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ntoon\Dropbox\Everest data\MATLAB\Data 24-7 2\"/>
    </mc:Choice>
  </mc:AlternateContent>
  <bookViews>
    <workbookView xWindow="0" yWindow="0" windowWidth="28800" windowHeight="14424"/>
  </bookViews>
  <sheets>
    <sheet name="20170724T1043-50ms-XSens-Positi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243" i="1" l="1"/>
  <c r="Q4243" i="1"/>
  <c r="P4243" i="1"/>
  <c r="O4243" i="1"/>
  <c r="N4243" i="1"/>
  <c r="I4243" i="1"/>
  <c r="H4243" i="1"/>
  <c r="G4243" i="1"/>
  <c r="F4243" i="1"/>
  <c r="E4243" i="1"/>
  <c r="D4243" i="1"/>
  <c r="C4243" i="1"/>
  <c r="V4242" i="1"/>
  <c r="Q4242" i="1"/>
  <c r="P4242" i="1"/>
  <c r="O4242" i="1"/>
  <c r="N4242" i="1"/>
  <c r="I4242" i="1"/>
  <c r="H4242" i="1"/>
  <c r="G4242" i="1"/>
  <c r="F4242" i="1"/>
  <c r="E4242" i="1"/>
  <c r="D4242" i="1"/>
  <c r="C4242" i="1"/>
  <c r="V4241" i="1"/>
  <c r="Q4241" i="1"/>
  <c r="P4241" i="1"/>
  <c r="O4241" i="1"/>
  <c r="N4241" i="1"/>
  <c r="I4241" i="1"/>
  <c r="H4241" i="1"/>
  <c r="G4241" i="1"/>
  <c r="F4241" i="1"/>
  <c r="E4241" i="1"/>
  <c r="D4241" i="1"/>
  <c r="V4240" i="1"/>
  <c r="Q4240" i="1"/>
  <c r="P4240" i="1"/>
  <c r="O4240" i="1"/>
  <c r="N4240" i="1"/>
  <c r="I4240" i="1"/>
  <c r="H4240" i="1"/>
  <c r="G4240" i="1"/>
  <c r="F4240" i="1"/>
  <c r="E4240" i="1"/>
  <c r="D4240" i="1"/>
  <c r="V4239" i="1"/>
  <c r="Q4239" i="1"/>
  <c r="P4239" i="1"/>
  <c r="O4239" i="1"/>
  <c r="N4239" i="1"/>
  <c r="I4239" i="1"/>
  <c r="H4239" i="1"/>
  <c r="G4239" i="1"/>
  <c r="F4239" i="1"/>
  <c r="E4239" i="1"/>
  <c r="D4239" i="1"/>
  <c r="V4238" i="1"/>
  <c r="Q4238" i="1"/>
  <c r="P4238" i="1"/>
  <c r="O4238" i="1"/>
  <c r="N4238" i="1"/>
  <c r="I4238" i="1"/>
  <c r="H4238" i="1"/>
  <c r="G4238" i="1"/>
  <c r="F4238" i="1"/>
  <c r="E4238" i="1"/>
  <c r="D4238" i="1"/>
  <c r="V4237" i="1"/>
  <c r="Q4237" i="1"/>
  <c r="P4237" i="1"/>
  <c r="O4237" i="1"/>
  <c r="N4237" i="1"/>
  <c r="I4237" i="1"/>
  <c r="H4237" i="1"/>
  <c r="G4237" i="1"/>
  <c r="F4237" i="1"/>
  <c r="E4237" i="1"/>
  <c r="D4237" i="1"/>
  <c r="V4236" i="1"/>
  <c r="Q4236" i="1"/>
  <c r="P4236" i="1"/>
  <c r="O4236" i="1"/>
  <c r="N4236" i="1"/>
  <c r="I4236" i="1"/>
  <c r="H4236" i="1"/>
  <c r="G4236" i="1"/>
  <c r="F4236" i="1"/>
  <c r="E4236" i="1"/>
  <c r="D4236" i="1"/>
  <c r="V4235" i="1"/>
  <c r="Q4235" i="1"/>
  <c r="P4235" i="1"/>
  <c r="O4235" i="1"/>
  <c r="N4235" i="1"/>
  <c r="I4235" i="1"/>
  <c r="H4235" i="1"/>
  <c r="G4235" i="1"/>
  <c r="F4235" i="1"/>
  <c r="E4235" i="1"/>
  <c r="D4235" i="1"/>
  <c r="V4234" i="1"/>
  <c r="Q4234" i="1"/>
  <c r="P4234" i="1"/>
  <c r="O4234" i="1"/>
  <c r="N4234" i="1"/>
  <c r="I4234" i="1"/>
  <c r="H4234" i="1"/>
  <c r="G4234" i="1"/>
  <c r="F4234" i="1"/>
  <c r="E4234" i="1"/>
  <c r="D4234" i="1"/>
  <c r="V4233" i="1"/>
  <c r="Q4233" i="1"/>
  <c r="P4233" i="1"/>
  <c r="O4233" i="1"/>
  <c r="N4233" i="1"/>
  <c r="I4233" i="1"/>
  <c r="H4233" i="1"/>
  <c r="G4233" i="1"/>
  <c r="F4233" i="1"/>
  <c r="E4233" i="1"/>
  <c r="D4233" i="1"/>
  <c r="V4232" i="1"/>
  <c r="Q4232" i="1"/>
  <c r="P4232" i="1"/>
  <c r="O4232" i="1"/>
  <c r="N4232" i="1"/>
  <c r="I4232" i="1"/>
  <c r="H4232" i="1"/>
  <c r="G4232" i="1"/>
  <c r="F4232" i="1"/>
  <c r="E4232" i="1"/>
  <c r="D4232" i="1"/>
  <c r="V4231" i="1"/>
  <c r="Q4231" i="1"/>
  <c r="P4231" i="1"/>
  <c r="O4231" i="1"/>
  <c r="N4231" i="1"/>
  <c r="I4231" i="1"/>
  <c r="H4231" i="1"/>
  <c r="G4231" i="1"/>
  <c r="F4231" i="1"/>
  <c r="E4231" i="1"/>
  <c r="D4231" i="1"/>
  <c r="V4230" i="1"/>
  <c r="Q4230" i="1"/>
  <c r="P4230" i="1"/>
  <c r="O4230" i="1"/>
  <c r="N4230" i="1"/>
  <c r="I4230" i="1"/>
  <c r="H4230" i="1"/>
  <c r="G4230" i="1"/>
  <c r="F4230" i="1"/>
  <c r="E4230" i="1"/>
  <c r="D4230" i="1"/>
  <c r="V4229" i="1"/>
  <c r="Q4229" i="1"/>
  <c r="P4229" i="1"/>
  <c r="O4229" i="1"/>
  <c r="N4229" i="1"/>
  <c r="I4229" i="1"/>
  <c r="H4229" i="1"/>
  <c r="G4229" i="1"/>
  <c r="F4229" i="1"/>
  <c r="E4229" i="1"/>
  <c r="D4229" i="1"/>
  <c r="V4228" i="1"/>
  <c r="Q4228" i="1"/>
  <c r="P4228" i="1"/>
  <c r="O4228" i="1"/>
  <c r="N4228" i="1"/>
  <c r="I4228" i="1"/>
  <c r="H4228" i="1"/>
  <c r="G4228" i="1"/>
  <c r="F4228" i="1"/>
  <c r="E4228" i="1"/>
  <c r="D4228" i="1"/>
  <c r="V4227" i="1"/>
  <c r="Q4227" i="1"/>
  <c r="P4227" i="1"/>
  <c r="O4227" i="1"/>
  <c r="N4227" i="1"/>
  <c r="I4227" i="1"/>
  <c r="H4227" i="1"/>
  <c r="G4227" i="1"/>
  <c r="F4227" i="1"/>
  <c r="E4227" i="1"/>
  <c r="D4227" i="1"/>
  <c r="V4226" i="1"/>
  <c r="Q4226" i="1"/>
  <c r="P4226" i="1"/>
  <c r="O4226" i="1"/>
  <c r="N4226" i="1"/>
  <c r="I4226" i="1"/>
  <c r="H4226" i="1"/>
  <c r="G4226" i="1"/>
  <c r="F4226" i="1"/>
  <c r="E4226" i="1"/>
  <c r="D4226" i="1"/>
  <c r="V4225" i="1"/>
  <c r="Q4225" i="1"/>
  <c r="P4225" i="1"/>
  <c r="O4225" i="1"/>
  <c r="N4225" i="1"/>
  <c r="I4225" i="1"/>
  <c r="H4225" i="1"/>
  <c r="G4225" i="1"/>
  <c r="F4225" i="1"/>
  <c r="E4225" i="1"/>
  <c r="D4225" i="1"/>
  <c r="V4224" i="1"/>
  <c r="Q4224" i="1"/>
  <c r="P4224" i="1"/>
  <c r="O4224" i="1"/>
  <c r="N4224" i="1"/>
  <c r="I4224" i="1"/>
  <c r="H4224" i="1"/>
  <c r="G4224" i="1"/>
  <c r="F4224" i="1"/>
  <c r="E4224" i="1"/>
  <c r="D4224" i="1"/>
  <c r="V4223" i="1"/>
  <c r="Q4223" i="1"/>
  <c r="P4223" i="1"/>
  <c r="O4223" i="1"/>
  <c r="N4223" i="1"/>
  <c r="I4223" i="1"/>
  <c r="H4223" i="1"/>
  <c r="G4223" i="1"/>
  <c r="F4223" i="1"/>
  <c r="E4223" i="1"/>
  <c r="D4223" i="1"/>
  <c r="V4222" i="1"/>
  <c r="Q4222" i="1"/>
  <c r="P4222" i="1"/>
  <c r="O4222" i="1"/>
  <c r="N4222" i="1"/>
  <c r="I4222" i="1"/>
  <c r="H4222" i="1"/>
  <c r="G4222" i="1"/>
  <c r="F4222" i="1"/>
  <c r="E4222" i="1"/>
  <c r="D4222" i="1"/>
  <c r="V4221" i="1"/>
  <c r="Q4221" i="1"/>
  <c r="P4221" i="1"/>
  <c r="O4221" i="1"/>
  <c r="N4221" i="1"/>
  <c r="I4221" i="1"/>
  <c r="H4221" i="1"/>
  <c r="G4221" i="1"/>
  <c r="F4221" i="1"/>
  <c r="E4221" i="1"/>
  <c r="D4221" i="1"/>
  <c r="V4220" i="1"/>
  <c r="Q4220" i="1"/>
  <c r="P4220" i="1"/>
  <c r="O4220" i="1"/>
  <c r="N4220" i="1"/>
  <c r="I4220" i="1"/>
  <c r="H4220" i="1"/>
  <c r="G4220" i="1"/>
  <c r="F4220" i="1"/>
  <c r="E4220" i="1"/>
  <c r="D4220" i="1"/>
  <c r="V4219" i="1"/>
  <c r="Q4219" i="1"/>
  <c r="P4219" i="1"/>
  <c r="O4219" i="1"/>
  <c r="N4219" i="1"/>
  <c r="I4219" i="1"/>
  <c r="H4219" i="1"/>
  <c r="G4219" i="1"/>
  <c r="F4219" i="1"/>
  <c r="E4219" i="1"/>
  <c r="D4219" i="1"/>
  <c r="V4218" i="1"/>
  <c r="Q4218" i="1"/>
  <c r="P4218" i="1"/>
  <c r="O4218" i="1"/>
  <c r="N4218" i="1"/>
  <c r="I4218" i="1"/>
  <c r="H4218" i="1"/>
  <c r="G4218" i="1"/>
  <c r="F4218" i="1"/>
  <c r="E4218" i="1"/>
  <c r="D4218" i="1"/>
  <c r="V4217" i="1"/>
  <c r="Q4217" i="1"/>
  <c r="P4217" i="1"/>
  <c r="O4217" i="1"/>
  <c r="N4217" i="1"/>
  <c r="I4217" i="1"/>
  <c r="H4217" i="1"/>
  <c r="G4217" i="1"/>
  <c r="F4217" i="1"/>
  <c r="E4217" i="1"/>
  <c r="D4217" i="1"/>
  <c r="V4216" i="1"/>
  <c r="Q4216" i="1"/>
  <c r="P4216" i="1"/>
  <c r="O4216" i="1"/>
  <c r="N4216" i="1"/>
  <c r="I4216" i="1"/>
  <c r="H4216" i="1"/>
  <c r="G4216" i="1"/>
  <c r="F4216" i="1"/>
  <c r="E4216" i="1"/>
  <c r="D4216" i="1"/>
  <c r="V4215" i="1"/>
  <c r="Q4215" i="1"/>
  <c r="P4215" i="1"/>
  <c r="O4215" i="1"/>
  <c r="N4215" i="1"/>
  <c r="I4215" i="1"/>
  <c r="H4215" i="1"/>
  <c r="G4215" i="1"/>
  <c r="F4215" i="1"/>
  <c r="E4215" i="1"/>
  <c r="D4215" i="1"/>
  <c r="V4214" i="1"/>
  <c r="Q4214" i="1"/>
  <c r="P4214" i="1"/>
  <c r="O4214" i="1"/>
  <c r="N4214" i="1"/>
  <c r="I4214" i="1"/>
  <c r="H4214" i="1"/>
  <c r="G4214" i="1"/>
  <c r="F4214" i="1"/>
  <c r="E4214" i="1"/>
  <c r="D4214" i="1"/>
  <c r="V4213" i="1"/>
  <c r="Q4213" i="1"/>
  <c r="P4213" i="1"/>
  <c r="O4213" i="1"/>
  <c r="N4213" i="1"/>
  <c r="I4213" i="1"/>
  <c r="H4213" i="1"/>
  <c r="G4213" i="1"/>
  <c r="F4213" i="1"/>
  <c r="E4213" i="1"/>
  <c r="D4213" i="1"/>
  <c r="V4212" i="1"/>
  <c r="Q4212" i="1"/>
  <c r="P4212" i="1"/>
  <c r="O4212" i="1"/>
  <c r="N4212" i="1"/>
  <c r="I4212" i="1"/>
  <c r="H4212" i="1"/>
  <c r="G4212" i="1"/>
  <c r="F4212" i="1"/>
  <c r="E4212" i="1"/>
  <c r="D4212" i="1"/>
  <c r="V4211" i="1"/>
  <c r="Q4211" i="1"/>
  <c r="P4211" i="1"/>
  <c r="O4211" i="1"/>
  <c r="N4211" i="1"/>
  <c r="I4211" i="1"/>
  <c r="H4211" i="1"/>
  <c r="G4211" i="1"/>
  <c r="F4211" i="1"/>
  <c r="E4211" i="1"/>
  <c r="D4211" i="1"/>
  <c r="V4210" i="1"/>
  <c r="Q4210" i="1"/>
  <c r="P4210" i="1"/>
  <c r="O4210" i="1"/>
  <c r="N4210" i="1"/>
  <c r="I4210" i="1"/>
  <c r="H4210" i="1"/>
  <c r="G4210" i="1"/>
  <c r="F4210" i="1"/>
  <c r="E4210" i="1"/>
  <c r="D4210" i="1"/>
  <c r="V4209" i="1"/>
  <c r="Q4209" i="1"/>
  <c r="P4209" i="1"/>
  <c r="O4209" i="1"/>
  <c r="N4209" i="1"/>
  <c r="I4209" i="1"/>
  <c r="H4209" i="1"/>
  <c r="G4209" i="1"/>
  <c r="F4209" i="1"/>
  <c r="E4209" i="1"/>
  <c r="D4209" i="1"/>
  <c r="V4208" i="1"/>
  <c r="Q4208" i="1"/>
  <c r="P4208" i="1"/>
  <c r="O4208" i="1"/>
  <c r="N4208" i="1"/>
  <c r="I4208" i="1"/>
  <c r="H4208" i="1"/>
  <c r="G4208" i="1"/>
  <c r="F4208" i="1"/>
  <c r="E4208" i="1"/>
  <c r="D4208" i="1"/>
  <c r="V4207" i="1"/>
  <c r="Q4207" i="1"/>
  <c r="P4207" i="1"/>
  <c r="O4207" i="1"/>
  <c r="N4207" i="1"/>
  <c r="I4207" i="1"/>
  <c r="H4207" i="1"/>
  <c r="G4207" i="1"/>
  <c r="F4207" i="1"/>
  <c r="E4207" i="1"/>
  <c r="D4207" i="1"/>
  <c r="V4206" i="1"/>
  <c r="Q4206" i="1"/>
  <c r="P4206" i="1"/>
  <c r="O4206" i="1"/>
  <c r="N4206" i="1"/>
  <c r="I4206" i="1"/>
  <c r="H4206" i="1"/>
  <c r="G4206" i="1"/>
  <c r="F4206" i="1"/>
  <c r="E4206" i="1"/>
  <c r="D4206" i="1"/>
  <c r="V4205" i="1"/>
  <c r="Q4205" i="1"/>
  <c r="P4205" i="1"/>
  <c r="O4205" i="1"/>
  <c r="N4205" i="1"/>
  <c r="I4205" i="1"/>
  <c r="H4205" i="1"/>
  <c r="G4205" i="1"/>
  <c r="F4205" i="1"/>
  <c r="E4205" i="1"/>
  <c r="D4205" i="1"/>
  <c r="V4204" i="1"/>
  <c r="Q4204" i="1"/>
  <c r="P4204" i="1"/>
  <c r="O4204" i="1"/>
  <c r="N4204" i="1"/>
  <c r="I4204" i="1"/>
  <c r="H4204" i="1"/>
  <c r="G4204" i="1"/>
  <c r="F4204" i="1"/>
  <c r="E4204" i="1"/>
  <c r="D4204" i="1"/>
  <c r="V4203" i="1"/>
  <c r="Q4203" i="1"/>
  <c r="P4203" i="1"/>
  <c r="O4203" i="1"/>
  <c r="N4203" i="1"/>
  <c r="I4203" i="1"/>
  <c r="H4203" i="1"/>
  <c r="G4203" i="1"/>
  <c r="F4203" i="1"/>
  <c r="E4203" i="1"/>
  <c r="D4203" i="1"/>
  <c r="V4202" i="1"/>
  <c r="Q4202" i="1"/>
  <c r="P4202" i="1"/>
  <c r="O4202" i="1"/>
  <c r="N4202" i="1"/>
  <c r="I4202" i="1"/>
  <c r="H4202" i="1"/>
  <c r="G4202" i="1"/>
  <c r="F4202" i="1"/>
  <c r="E4202" i="1"/>
  <c r="D4202" i="1"/>
  <c r="V4201" i="1"/>
  <c r="Q4201" i="1"/>
  <c r="P4201" i="1"/>
  <c r="O4201" i="1"/>
  <c r="N4201" i="1"/>
  <c r="I4201" i="1"/>
  <c r="H4201" i="1"/>
  <c r="G4201" i="1"/>
  <c r="F4201" i="1"/>
  <c r="E4201" i="1"/>
  <c r="D4201" i="1"/>
  <c r="V4200" i="1"/>
  <c r="Q4200" i="1"/>
  <c r="P4200" i="1"/>
  <c r="O4200" i="1"/>
  <c r="N4200" i="1"/>
  <c r="I4200" i="1"/>
  <c r="H4200" i="1"/>
  <c r="G4200" i="1"/>
  <c r="F4200" i="1"/>
  <c r="E4200" i="1"/>
  <c r="D4200" i="1"/>
  <c r="V4199" i="1"/>
  <c r="Q4199" i="1"/>
  <c r="P4199" i="1"/>
  <c r="O4199" i="1"/>
  <c r="N4199" i="1"/>
  <c r="I4199" i="1"/>
  <c r="H4199" i="1"/>
  <c r="G4199" i="1"/>
  <c r="F4199" i="1"/>
  <c r="E4199" i="1"/>
  <c r="D4199" i="1"/>
  <c r="V4198" i="1"/>
  <c r="Q4198" i="1"/>
  <c r="P4198" i="1"/>
  <c r="O4198" i="1"/>
  <c r="N4198" i="1"/>
  <c r="I4198" i="1"/>
  <c r="H4198" i="1"/>
  <c r="G4198" i="1"/>
  <c r="F4198" i="1"/>
  <c r="E4198" i="1"/>
  <c r="D4198" i="1"/>
  <c r="V4197" i="1"/>
  <c r="Q4197" i="1"/>
  <c r="P4197" i="1"/>
  <c r="O4197" i="1"/>
  <c r="N4197" i="1"/>
  <c r="I4197" i="1"/>
  <c r="H4197" i="1"/>
  <c r="G4197" i="1"/>
  <c r="F4197" i="1"/>
  <c r="E4197" i="1"/>
  <c r="D4197" i="1"/>
  <c r="V4196" i="1"/>
  <c r="Q4196" i="1"/>
  <c r="P4196" i="1"/>
  <c r="O4196" i="1"/>
  <c r="N4196" i="1"/>
  <c r="I4196" i="1"/>
  <c r="H4196" i="1"/>
  <c r="G4196" i="1"/>
  <c r="F4196" i="1"/>
  <c r="E4196" i="1"/>
  <c r="D4196" i="1"/>
  <c r="V4195" i="1"/>
  <c r="Q4195" i="1"/>
  <c r="P4195" i="1"/>
  <c r="O4195" i="1"/>
  <c r="N4195" i="1"/>
  <c r="I4195" i="1"/>
  <c r="H4195" i="1"/>
  <c r="G4195" i="1"/>
  <c r="F4195" i="1"/>
  <c r="E4195" i="1"/>
  <c r="D4195" i="1"/>
  <c r="V4194" i="1"/>
  <c r="Q4194" i="1"/>
  <c r="P4194" i="1"/>
  <c r="O4194" i="1"/>
  <c r="N4194" i="1"/>
  <c r="I4194" i="1"/>
  <c r="H4194" i="1"/>
  <c r="G4194" i="1"/>
  <c r="F4194" i="1"/>
  <c r="E4194" i="1"/>
  <c r="D4194" i="1"/>
  <c r="V4193" i="1"/>
  <c r="Q4193" i="1"/>
  <c r="P4193" i="1"/>
  <c r="O4193" i="1"/>
  <c r="N4193" i="1"/>
  <c r="I4193" i="1"/>
  <c r="H4193" i="1"/>
  <c r="G4193" i="1"/>
  <c r="F4193" i="1"/>
  <c r="E4193" i="1"/>
  <c r="D4193" i="1"/>
  <c r="V4192" i="1"/>
  <c r="Q4192" i="1"/>
  <c r="P4192" i="1"/>
  <c r="O4192" i="1"/>
  <c r="N4192" i="1"/>
  <c r="I4192" i="1"/>
  <c r="H4192" i="1"/>
  <c r="G4192" i="1"/>
  <c r="F4192" i="1"/>
  <c r="E4192" i="1"/>
  <c r="D4192" i="1"/>
  <c r="V4191" i="1"/>
  <c r="Q4191" i="1"/>
  <c r="P4191" i="1"/>
  <c r="O4191" i="1"/>
  <c r="N4191" i="1"/>
  <c r="I4191" i="1"/>
  <c r="H4191" i="1"/>
  <c r="G4191" i="1"/>
  <c r="F4191" i="1"/>
  <c r="E4191" i="1"/>
  <c r="D4191" i="1"/>
  <c r="V4190" i="1"/>
  <c r="Q4190" i="1"/>
  <c r="P4190" i="1"/>
  <c r="O4190" i="1"/>
  <c r="N4190" i="1"/>
  <c r="I4190" i="1"/>
  <c r="H4190" i="1"/>
  <c r="G4190" i="1"/>
  <c r="F4190" i="1"/>
  <c r="E4190" i="1"/>
  <c r="D4190" i="1"/>
  <c r="V4189" i="1"/>
  <c r="Q4189" i="1"/>
  <c r="P4189" i="1"/>
  <c r="O4189" i="1"/>
  <c r="N4189" i="1"/>
  <c r="I4189" i="1"/>
  <c r="H4189" i="1"/>
  <c r="G4189" i="1"/>
  <c r="F4189" i="1"/>
  <c r="E4189" i="1"/>
  <c r="D4189" i="1"/>
  <c r="V4188" i="1"/>
  <c r="Q4188" i="1"/>
  <c r="P4188" i="1"/>
  <c r="O4188" i="1"/>
  <c r="N4188" i="1"/>
  <c r="I4188" i="1"/>
  <c r="H4188" i="1"/>
  <c r="G4188" i="1"/>
  <c r="F4188" i="1"/>
  <c r="E4188" i="1"/>
  <c r="D4188" i="1"/>
  <c r="V4187" i="1"/>
  <c r="Q4187" i="1"/>
  <c r="P4187" i="1"/>
  <c r="O4187" i="1"/>
  <c r="N4187" i="1"/>
  <c r="I4187" i="1"/>
  <c r="H4187" i="1"/>
  <c r="G4187" i="1"/>
  <c r="F4187" i="1"/>
  <c r="E4187" i="1"/>
  <c r="D4187" i="1"/>
  <c r="V4186" i="1"/>
  <c r="Q4186" i="1"/>
  <c r="P4186" i="1"/>
  <c r="O4186" i="1"/>
  <c r="N4186" i="1"/>
  <c r="I4186" i="1"/>
  <c r="H4186" i="1"/>
  <c r="G4186" i="1"/>
  <c r="F4186" i="1"/>
  <c r="E4186" i="1"/>
  <c r="D4186" i="1"/>
  <c r="V4185" i="1"/>
  <c r="Q4185" i="1"/>
  <c r="P4185" i="1"/>
  <c r="O4185" i="1"/>
  <c r="N4185" i="1"/>
  <c r="I4185" i="1"/>
  <c r="H4185" i="1"/>
  <c r="G4185" i="1"/>
  <c r="F4185" i="1"/>
  <c r="E4185" i="1"/>
  <c r="D4185" i="1"/>
  <c r="V4184" i="1"/>
  <c r="Q4184" i="1"/>
  <c r="P4184" i="1"/>
  <c r="O4184" i="1"/>
  <c r="N4184" i="1"/>
  <c r="I4184" i="1"/>
  <c r="H4184" i="1"/>
  <c r="G4184" i="1"/>
  <c r="F4184" i="1"/>
  <c r="E4184" i="1"/>
  <c r="D4184" i="1"/>
  <c r="V4183" i="1"/>
  <c r="Q4183" i="1"/>
  <c r="P4183" i="1"/>
  <c r="O4183" i="1"/>
  <c r="N4183" i="1"/>
  <c r="I4183" i="1"/>
  <c r="H4183" i="1"/>
  <c r="G4183" i="1"/>
  <c r="F4183" i="1"/>
  <c r="E4183" i="1"/>
  <c r="D4183" i="1"/>
  <c r="V4182" i="1"/>
  <c r="Q4182" i="1"/>
  <c r="P4182" i="1"/>
  <c r="O4182" i="1"/>
  <c r="N4182" i="1"/>
  <c r="I4182" i="1"/>
  <c r="H4182" i="1"/>
  <c r="G4182" i="1"/>
  <c r="F4182" i="1"/>
  <c r="E4182" i="1"/>
  <c r="D4182" i="1"/>
  <c r="V4181" i="1"/>
  <c r="Q4181" i="1"/>
  <c r="P4181" i="1"/>
  <c r="O4181" i="1"/>
  <c r="N4181" i="1"/>
  <c r="I4181" i="1"/>
  <c r="H4181" i="1"/>
  <c r="G4181" i="1"/>
  <c r="F4181" i="1"/>
  <c r="E4181" i="1"/>
  <c r="D4181" i="1"/>
  <c r="V4180" i="1"/>
  <c r="Q4180" i="1"/>
  <c r="P4180" i="1"/>
  <c r="O4180" i="1"/>
  <c r="N4180" i="1"/>
  <c r="I4180" i="1"/>
  <c r="H4180" i="1"/>
  <c r="G4180" i="1"/>
  <c r="F4180" i="1"/>
  <c r="E4180" i="1"/>
  <c r="D4180" i="1"/>
  <c r="V4179" i="1"/>
  <c r="Q4179" i="1"/>
  <c r="P4179" i="1"/>
  <c r="O4179" i="1"/>
  <c r="N4179" i="1"/>
  <c r="I4179" i="1"/>
  <c r="H4179" i="1"/>
  <c r="G4179" i="1"/>
  <c r="F4179" i="1"/>
  <c r="E4179" i="1"/>
  <c r="D4179" i="1"/>
  <c r="V4178" i="1"/>
  <c r="Q4178" i="1"/>
  <c r="P4178" i="1"/>
  <c r="O4178" i="1"/>
  <c r="N4178" i="1"/>
  <c r="I4178" i="1"/>
  <c r="H4178" i="1"/>
  <c r="G4178" i="1"/>
  <c r="F4178" i="1"/>
  <c r="E4178" i="1"/>
  <c r="D4178" i="1"/>
  <c r="V4177" i="1"/>
  <c r="Q4177" i="1"/>
  <c r="P4177" i="1"/>
  <c r="O4177" i="1"/>
  <c r="N4177" i="1"/>
  <c r="I4177" i="1"/>
  <c r="H4177" i="1"/>
  <c r="G4177" i="1"/>
  <c r="F4177" i="1"/>
  <c r="E4177" i="1"/>
  <c r="D4177" i="1"/>
  <c r="V4176" i="1"/>
  <c r="Q4176" i="1"/>
  <c r="P4176" i="1"/>
  <c r="O4176" i="1"/>
  <c r="N4176" i="1"/>
  <c r="I4176" i="1"/>
  <c r="H4176" i="1"/>
  <c r="G4176" i="1"/>
  <c r="F4176" i="1"/>
  <c r="E4176" i="1"/>
  <c r="D4176" i="1"/>
  <c r="V4175" i="1"/>
  <c r="Q4175" i="1"/>
  <c r="P4175" i="1"/>
  <c r="O4175" i="1"/>
  <c r="N4175" i="1"/>
  <c r="I4175" i="1"/>
  <c r="H4175" i="1"/>
  <c r="G4175" i="1"/>
  <c r="F4175" i="1"/>
  <c r="E4175" i="1"/>
  <c r="D4175" i="1"/>
  <c r="V4174" i="1"/>
  <c r="Q4174" i="1"/>
  <c r="P4174" i="1"/>
  <c r="O4174" i="1"/>
  <c r="N4174" i="1"/>
  <c r="I4174" i="1"/>
  <c r="H4174" i="1"/>
  <c r="G4174" i="1"/>
  <c r="F4174" i="1"/>
  <c r="E4174" i="1"/>
  <c r="D4174" i="1"/>
  <c r="V4173" i="1"/>
  <c r="Q4173" i="1"/>
  <c r="P4173" i="1"/>
  <c r="O4173" i="1"/>
  <c r="N4173" i="1"/>
  <c r="I4173" i="1"/>
  <c r="H4173" i="1"/>
  <c r="G4173" i="1"/>
  <c r="F4173" i="1"/>
  <c r="E4173" i="1"/>
  <c r="D4173" i="1"/>
  <c r="V4172" i="1"/>
  <c r="Q4172" i="1"/>
  <c r="P4172" i="1"/>
  <c r="O4172" i="1"/>
  <c r="N4172" i="1"/>
  <c r="I4172" i="1"/>
  <c r="H4172" i="1"/>
  <c r="G4172" i="1"/>
  <c r="F4172" i="1"/>
  <c r="E4172" i="1"/>
  <c r="D4172" i="1"/>
  <c r="V4171" i="1"/>
  <c r="Q4171" i="1"/>
  <c r="P4171" i="1"/>
  <c r="O4171" i="1"/>
  <c r="N4171" i="1"/>
  <c r="I4171" i="1"/>
  <c r="H4171" i="1"/>
  <c r="G4171" i="1"/>
  <c r="F4171" i="1"/>
  <c r="E4171" i="1"/>
  <c r="D4171" i="1"/>
  <c r="V4170" i="1"/>
  <c r="Q4170" i="1"/>
  <c r="P4170" i="1"/>
  <c r="O4170" i="1"/>
  <c r="N4170" i="1"/>
  <c r="I4170" i="1"/>
  <c r="H4170" i="1"/>
  <c r="G4170" i="1"/>
  <c r="F4170" i="1"/>
  <c r="E4170" i="1"/>
  <c r="D4170" i="1"/>
  <c r="V4169" i="1"/>
  <c r="Q4169" i="1"/>
  <c r="P4169" i="1"/>
  <c r="O4169" i="1"/>
  <c r="N4169" i="1"/>
  <c r="I4169" i="1"/>
  <c r="H4169" i="1"/>
  <c r="G4169" i="1"/>
  <c r="F4169" i="1"/>
  <c r="E4169" i="1"/>
  <c r="D4169" i="1"/>
  <c r="V4168" i="1"/>
  <c r="Q4168" i="1"/>
  <c r="P4168" i="1"/>
  <c r="O4168" i="1"/>
  <c r="N4168" i="1"/>
  <c r="I4168" i="1"/>
  <c r="H4168" i="1"/>
  <c r="G4168" i="1"/>
  <c r="F4168" i="1"/>
  <c r="E4168" i="1"/>
  <c r="D4168" i="1"/>
  <c r="V4167" i="1"/>
  <c r="Q4167" i="1"/>
  <c r="P4167" i="1"/>
  <c r="O4167" i="1"/>
  <c r="N4167" i="1"/>
  <c r="I4167" i="1"/>
  <c r="H4167" i="1"/>
  <c r="G4167" i="1"/>
  <c r="F4167" i="1"/>
  <c r="E4167" i="1"/>
  <c r="D4167" i="1"/>
  <c r="V4166" i="1"/>
  <c r="Q4166" i="1"/>
  <c r="P4166" i="1"/>
  <c r="O4166" i="1"/>
  <c r="N4166" i="1"/>
  <c r="I4166" i="1"/>
  <c r="H4166" i="1"/>
  <c r="G4166" i="1"/>
  <c r="F4166" i="1"/>
  <c r="E4166" i="1"/>
  <c r="D4166" i="1"/>
  <c r="V4165" i="1"/>
  <c r="Q4165" i="1"/>
  <c r="P4165" i="1"/>
  <c r="O4165" i="1"/>
  <c r="N4165" i="1"/>
  <c r="I4165" i="1"/>
  <c r="H4165" i="1"/>
  <c r="G4165" i="1"/>
  <c r="F4165" i="1"/>
  <c r="E4165" i="1"/>
  <c r="D4165" i="1"/>
  <c r="V4164" i="1"/>
  <c r="Q4164" i="1"/>
  <c r="P4164" i="1"/>
  <c r="O4164" i="1"/>
  <c r="N4164" i="1"/>
  <c r="I4164" i="1"/>
  <c r="H4164" i="1"/>
  <c r="G4164" i="1"/>
  <c r="F4164" i="1"/>
  <c r="E4164" i="1"/>
  <c r="D4164" i="1"/>
  <c r="V4163" i="1"/>
  <c r="Q4163" i="1"/>
  <c r="P4163" i="1"/>
  <c r="O4163" i="1"/>
  <c r="N4163" i="1"/>
  <c r="I4163" i="1"/>
  <c r="H4163" i="1"/>
  <c r="G4163" i="1"/>
  <c r="F4163" i="1"/>
  <c r="E4163" i="1"/>
  <c r="D4163" i="1"/>
  <c r="V4162" i="1"/>
  <c r="Q4162" i="1"/>
  <c r="P4162" i="1"/>
  <c r="O4162" i="1"/>
  <c r="N4162" i="1"/>
  <c r="I4162" i="1"/>
  <c r="H4162" i="1"/>
  <c r="G4162" i="1"/>
  <c r="F4162" i="1"/>
  <c r="E4162" i="1"/>
  <c r="D4162" i="1"/>
  <c r="V4161" i="1"/>
  <c r="Q4161" i="1"/>
  <c r="P4161" i="1"/>
  <c r="O4161" i="1"/>
  <c r="N4161" i="1"/>
  <c r="I4161" i="1"/>
  <c r="H4161" i="1"/>
  <c r="G4161" i="1"/>
  <c r="F4161" i="1"/>
  <c r="E4161" i="1"/>
  <c r="D4161" i="1"/>
  <c r="V4160" i="1"/>
  <c r="Q4160" i="1"/>
  <c r="P4160" i="1"/>
  <c r="O4160" i="1"/>
  <c r="N4160" i="1"/>
  <c r="I4160" i="1"/>
  <c r="H4160" i="1"/>
  <c r="G4160" i="1"/>
  <c r="F4160" i="1"/>
  <c r="E4160" i="1"/>
  <c r="D4160" i="1"/>
  <c r="V4159" i="1"/>
  <c r="Q4159" i="1"/>
  <c r="P4159" i="1"/>
  <c r="O4159" i="1"/>
  <c r="N4159" i="1"/>
  <c r="I4159" i="1"/>
  <c r="H4159" i="1"/>
  <c r="G4159" i="1"/>
  <c r="F4159" i="1"/>
  <c r="E4159" i="1"/>
  <c r="D4159" i="1"/>
  <c r="V4158" i="1"/>
  <c r="Q4158" i="1"/>
  <c r="P4158" i="1"/>
  <c r="O4158" i="1"/>
  <c r="N4158" i="1"/>
  <c r="I4158" i="1"/>
  <c r="H4158" i="1"/>
  <c r="G4158" i="1"/>
  <c r="F4158" i="1"/>
  <c r="E4158" i="1"/>
  <c r="D4158" i="1"/>
  <c r="V4157" i="1"/>
  <c r="Q4157" i="1"/>
  <c r="P4157" i="1"/>
  <c r="O4157" i="1"/>
  <c r="N4157" i="1"/>
  <c r="I4157" i="1"/>
  <c r="H4157" i="1"/>
  <c r="G4157" i="1"/>
  <c r="F4157" i="1"/>
  <c r="E4157" i="1"/>
  <c r="D4157" i="1"/>
  <c r="V4156" i="1"/>
  <c r="Q4156" i="1"/>
  <c r="P4156" i="1"/>
  <c r="O4156" i="1"/>
  <c r="N4156" i="1"/>
  <c r="I4156" i="1"/>
  <c r="H4156" i="1"/>
  <c r="G4156" i="1"/>
  <c r="F4156" i="1"/>
  <c r="E4156" i="1"/>
  <c r="D4156" i="1"/>
  <c r="V4155" i="1"/>
  <c r="Q4155" i="1"/>
  <c r="P4155" i="1"/>
  <c r="O4155" i="1"/>
  <c r="N4155" i="1"/>
  <c r="I4155" i="1"/>
  <c r="H4155" i="1"/>
  <c r="G4155" i="1"/>
  <c r="F4155" i="1"/>
  <c r="E4155" i="1"/>
  <c r="D4155" i="1"/>
  <c r="V4154" i="1"/>
  <c r="Q4154" i="1"/>
  <c r="P4154" i="1"/>
  <c r="O4154" i="1"/>
  <c r="N4154" i="1"/>
  <c r="I4154" i="1"/>
  <c r="H4154" i="1"/>
  <c r="G4154" i="1"/>
  <c r="F4154" i="1"/>
  <c r="E4154" i="1"/>
  <c r="D4154" i="1"/>
  <c r="V4153" i="1"/>
  <c r="Q4153" i="1"/>
  <c r="P4153" i="1"/>
  <c r="O4153" i="1"/>
  <c r="N4153" i="1"/>
  <c r="I4153" i="1"/>
  <c r="H4153" i="1"/>
  <c r="G4153" i="1"/>
  <c r="F4153" i="1"/>
  <c r="E4153" i="1"/>
  <c r="D4153" i="1"/>
  <c r="V4152" i="1"/>
  <c r="Q4152" i="1"/>
  <c r="P4152" i="1"/>
  <c r="O4152" i="1"/>
  <c r="N4152" i="1"/>
  <c r="I4152" i="1"/>
  <c r="H4152" i="1"/>
  <c r="G4152" i="1"/>
  <c r="F4152" i="1"/>
  <c r="E4152" i="1"/>
  <c r="D4152" i="1"/>
  <c r="V4151" i="1"/>
  <c r="Q4151" i="1"/>
  <c r="P4151" i="1"/>
  <c r="O4151" i="1"/>
  <c r="N4151" i="1"/>
  <c r="I4151" i="1"/>
  <c r="H4151" i="1"/>
  <c r="G4151" i="1"/>
  <c r="F4151" i="1"/>
  <c r="E4151" i="1"/>
  <c r="D4151" i="1"/>
  <c r="V4150" i="1"/>
  <c r="Q4150" i="1"/>
  <c r="P4150" i="1"/>
  <c r="O4150" i="1"/>
  <c r="N4150" i="1"/>
  <c r="I4150" i="1"/>
  <c r="H4150" i="1"/>
  <c r="G4150" i="1"/>
  <c r="F4150" i="1"/>
  <c r="E4150" i="1"/>
  <c r="D4150" i="1"/>
  <c r="V4149" i="1"/>
  <c r="Q4149" i="1"/>
  <c r="P4149" i="1"/>
  <c r="O4149" i="1"/>
  <c r="N4149" i="1"/>
  <c r="I4149" i="1"/>
  <c r="H4149" i="1"/>
  <c r="G4149" i="1"/>
  <c r="F4149" i="1"/>
  <c r="E4149" i="1"/>
  <c r="D4149" i="1"/>
  <c r="V4148" i="1"/>
  <c r="Q4148" i="1"/>
  <c r="P4148" i="1"/>
  <c r="O4148" i="1"/>
  <c r="N4148" i="1"/>
  <c r="I4148" i="1"/>
  <c r="H4148" i="1"/>
  <c r="G4148" i="1"/>
  <c r="F4148" i="1"/>
  <c r="E4148" i="1"/>
  <c r="D4148" i="1"/>
  <c r="V4147" i="1"/>
  <c r="Q4147" i="1"/>
  <c r="P4147" i="1"/>
  <c r="O4147" i="1"/>
  <c r="N4147" i="1"/>
  <c r="I4147" i="1"/>
  <c r="H4147" i="1"/>
  <c r="G4147" i="1"/>
  <c r="F4147" i="1"/>
  <c r="E4147" i="1"/>
  <c r="D4147" i="1"/>
  <c r="V4146" i="1"/>
  <c r="Q4146" i="1"/>
  <c r="P4146" i="1"/>
  <c r="O4146" i="1"/>
  <c r="N4146" i="1"/>
  <c r="I4146" i="1"/>
  <c r="H4146" i="1"/>
  <c r="G4146" i="1"/>
  <c r="F4146" i="1"/>
  <c r="E4146" i="1"/>
  <c r="D4146" i="1"/>
  <c r="V4145" i="1"/>
  <c r="Q4145" i="1"/>
  <c r="P4145" i="1"/>
  <c r="O4145" i="1"/>
  <c r="N4145" i="1"/>
  <c r="I4145" i="1"/>
  <c r="H4145" i="1"/>
  <c r="G4145" i="1"/>
  <c r="F4145" i="1"/>
  <c r="E4145" i="1"/>
  <c r="D4145" i="1"/>
  <c r="V4144" i="1"/>
  <c r="Q4144" i="1"/>
  <c r="P4144" i="1"/>
  <c r="O4144" i="1"/>
  <c r="N4144" i="1"/>
  <c r="I4144" i="1"/>
  <c r="H4144" i="1"/>
  <c r="G4144" i="1"/>
  <c r="F4144" i="1"/>
  <c r="E4144" i="1"/>
  <c r="D4144" i="1"/>
  <c r="V4143" i="1"/>
  <c r="Q4143" i="1"/>
  <c r="P4143" i="1"/>
  <c r="O4143" i="1"/>
  <c r="N4143" i="1"/>
  <c r="I4143" i="1"/>
  <c r="H4143" i="1"/>
  <c r="G4143" i="1"/>
  <c r="F4143" i="1"/>
  <c r="E4143" i="1"/>
  <c r="D4143" i="1"/>
  <c r="V4142" i="1"/>
  <c r="Q4142" i="1"/>
  <c r="P4142" i="1"/>
  <c r="O4142" i="1"/>
  <c r="N4142" i="1"/>
  <c r="I4142" i="1"/>
  <c r="H4142" i="1"/>
  <c r="G4142" i="1"/>
  <c r="F4142" i="1"/>
  <c r="E4142" i="1"/>
  <c r="D4142" i="1"/>
  <c r="V4141" i="1"/>
  <c r="Q4141" i="1"/>
  <c r="P4141" i="1"/>
  <c r="O4141" i="1"/>
  <c r="N4141" i="1"/>
  <c r="I4141" i="1"/>
  <c r="H4141" i="1"/>
  <c r="G4141" i="1"/>
  <c r="F4141" i="1"/>
  <c r="E4141" i="1"/>
  <c r="D4141" i="1"/>
  <c r="V4140" i="1"/>
  <c r="Q4140" i="1"/>
  <c r="P4140" i="1"/>
  <c r="O4140" i="1"/>
  <c r="N4140" i="1"/>
  <c r="I4140" i="1"/>
  <c r="H4140" i="1"/>
  <c r="G4140" i="1"/>
  <c r="F4140" i="1"/>
  <c r="E4140" i="1"/>
  <c r="D4140" i="1"/>
  <c r="V4139" i="1"/>
  <c r="Q4139" i="1"/>
  <c r="P4139" i="1"/>
  <c r="O4139" i="1"/>
  <c r="N4139" i="1"/>
  <c r="H4139" i="1"/>
  <c r="G4139" i="1"/>
  <c r="F4139" i="1"/>
  <c r="E4139" i="1"/>
  <c r="D4139" i="1"/>
  <c r="V4138" i="1"/>
  <c r="Q4138" i="1"/>
  <c r="P4138" i="1"/>
  <c r="O4138" i="1"/>
  <c r="N4138" i="1"/>
  <c r="I4138" i="1"/>
  <c r="H4138" i="1"/>
  <c r="G4138" i="1"/>
  <c r="F4138" i="1"/>
  <c r="E4138" i="1"/>
  <c r="D4138" i="1"/>
  <c r="V4137" i="1"/>
  <c r="Q4137" i="1"/>
  <c r="P4137" i="1"/>
  <c r="O4137" i="1"/>
  <c r="N4137" i="1"/>
  <c r="I4137" i="1"/>
  <c r="H4137" i="1"/>
  <c r="G4137" i="1"/>
  <c r="F4137" i="1"/>
  <c r="E4137" i="1"/>
  <c r="D4137" i="1"/>
  <c r="V4136" i="1"/>
  <c r="Q4136" i="1"/>
  <c r="P4136" i="1"/>
  <c r="O4136" i="1"/>
  <c r="N4136" i="1"/>
  <c r="I4136" i="1"/>
  <c r="H4136" i="1"/>
  <c r="G4136" i="1"/>
  <c r="F4136" i="1"/>
  <c r="E4136" i="1"/>
  <c r="D4136" i="1"/>
  <c r="V4135" i="1"/>
  <c r="Q4135" i="1"/>
  <c r="P4135" i="1"/>
  <c r="O4135" i="1"/>
  <c r="N4135" i="1"/>
  <c r="I4135" i="1"/>
  <c r="H4135" i="1"/>
  <c r="G4135" i="1"/>
  <c r="F4135" i="1"/>
  <c r="E4135" i="1"/>
  <c r="D4135" i="1"/>
  <c r="V4134" i="1"/>
  <c r="Q4134" i="1"/>
  <c r="P4134" i="1"/>
  <c r="O4134" i="1"/>
  <c r="N4134" i="1"/>
  <c r="H4134" i="1"/>
  <c r="G4134" i="1"/>
  <c r="F4134" i="1"/>
  <c r="E4134" i="1"/>
  <c r="D4134" i="1"/>
  <c r="V4133" i="1"/>
  <c r="Q4133" i="1"/>
  <c r="P4133" i="1"/>
  <c r="O4133" i="1"/>
  <c r="N4133" i="1"/>
  <c r="H4133" i="1"/>
  <c r="G4133" i="1"/>
  <c r="F4133" i="1"/>
  <c r="E4133" i="1"/>
  <c r="D4133" i="1"/>
  <c r="V4132" i="1"/>
  <c r="Q4132" i="1"/>
  <c r="P4132" i="1"/>
  <c r="O4132" i="1"/>
  <c r="N4132" i="1"/>
  <c r="I4132" i="1"/>
  <c r="H4132" i="1"/>
  <c r="G4132" i="1"/>
  <c r="F4132" i="1"/>
  <c r="E4132" i="1"/>
  <c r="D4132" i="1"/>
  <c r="C4132" i="1"/>
  <c r="V4131" i="1"/>
  <c r="Q4131" i="1"/>
  <c r="P4131" i="1"/>
  <c r="O4131" i="1"/>
  <c r="N4131" i="1"/>
  <c r="I4131" i="1"/>
  <c r="H4131" i="1"/>
  <c r="G4131" i="1"/>
  <c r="F4131" i="1"/>
  <c r="E4131" i="1"/>
  <c r="D4131" i="1"/>
  <c r="C4131" i="1"/>
  <c r="V4130" i="1"/>
  <c r="Q4130" i="1"/>
  <c r="P4130" i="1"/>
  <c r="O4130" i="1"/>
  <c r="N4130" i="1"/>
  <c r="I4130" i="1"/>
  <c r="H4130" i="1"/>
  <c r="G4130" i="1"/>
  <c r="F4130" i="1"/>
  <c r="E4130" i="1"/>
  <c r="D4130" i="1"/>
  <c r="C4130" i="1"/>
  <c r="V4129" i="1"/>
  <c r="Q4129" i="1"/>
  <c r="P4129" i="1"/>
  <c r="O4129" i="1"/>
  <c r="N4129" i="1"/>
  <c r="I4129" i="1"/>
  <c r="H4129" i="1"/>
  <c r="G4129" i="1"/>
  <c r="F4129" i="1"/>
  <c r="E4129" i="1"/>
  <c r="D4129" i="1"/>
  <c r="C4129" i="1"/>
  <c r="V4128" i="1"/>
  <c r="Q4128" i="1"/>
  <c r="P4128" i="1"/>
  <c r="O4128" i="1"/>
  <c r="N4128" i="1"/>
  <c r="I4128" i="1"/>
  <c r="H4128" i="1"/>
  <c r="G4128" i="1"/>
  <c r="F4128" i="1"/>
  <c r="E4128" i="1"/>
  <c r="D4128" i="1"/>
  <c r="C4128" i="1"/>
  <c r="V4127" i="1"/>
  <c r="Q4127" i="1"/>
  <c r="P4127" i="1"/>
  <c r="O4127" i="1"/>
  <c r="N4127" i="1"/>
  <c r="I4127" i="1"/>
  <c r="H4127" i="1"/>
  <c r="G4127" i="1"/>
  <c r="F4127" i="1"/>
  <c r="E4127" i="1"/>
  <c r="D4127" i="1"/>
  <c r="C4127" i="1"/>
  <c r="V4126" i="1"/>
  <c r="Q4126" i="1"/>
  <c r="P4126" i="1"/>
  <c r="O4126" i="1"/>
  <c r="N4126" i="1"/>
  <c r="I4126" i="1"/>
  <c r="H4126" i="1"/>
  <c r="G4126" i="1"/>
  <c r="F4126" i="1"/>
  <c r="E4126" i="1"/>
  <c r="D4126" i="1"/>
  <c r="C4126" i="1"/>
  <c r="V4125" i="1"/>
  <c r="Q4125" i="1"/>
  <c r="P4125" i="1"/>
  <c r="O4125" i="1"/>
  <c r="N4125" i="1"/>
  <c r="I4125" i="1"/>
  <c r="H4125" i="1"/>
  <c r="G4125" i="1"/>
  <c r="F4125" i="1"/>
  <c r="E4125" i="1"/>
  <c r="D4125" i="1"/>
  <c r="C4125" i="1"/>
  <c r="V4124" i="1"/>
  <c r="Q4124" i="1"/>
  <c r="P4124" i="1"/>
  <c r="O4124" i="1"/>
  <c r="N4124" i="1"/>
  <c r="H4124" i="1"/>
  <c r="G4124" i="1"/>
  <c r="F4124" i="1"/>
  <c r="E4124" i="1"/>
  <c r="D4124" i="1"/>
  <c r="C4124" i="1"/>
  <c r="V4123" i="1"/>
  <c r="Q4123" i="1"/>
  <c r="P4123" i="1"/>
  <c r="O4123" i="1"/>
  <c r="N4123" i="1"/>
  <c r="H4123" i="1"/>
  <c r="G4123" i="1"/>
  <c r="F4123" i="1"/>
  <c r="E4123" i="1"/>
  <c r="D4123" i="1"/>
  <c r="C4123" i="1"/>
  <c r="V4122" i="1"/>
  <c r="Q4122" i="1"/>
  <c r="P4122" i="1"/>
  <c r="O4122" i="1"/>
  <c r="N4122" i="1"/>
  <c r="H4122" i="1"/>
  <c r="G4122" i="1"/>
  <c r="F4122" i="1"/>
  <c r="E4122" i="1"/>
  <c r="D4122" i="1"/>
  <c r="C4122" i="1"/>
  <c r="V4121" i="1"/>
  <c r="Q4121" i="1"/>
  <c r="P4121" i="1"/>
  <c r="O4121" i="1"/>
  <c r="N4121" i="1"/>
  <c r="H4121" i="1"/>
  <c r="G4121" i="1"/>
  <c r="F4121" i="1"/>
  <c r="E4121" i="1"/>
  <c r="D4121" i="1"/>
  <c r="C4121" i="1"/>
  <c r="V4120" i="1"/>
  <c r="Q4120" i="1"/>
  <c r="P4120" i="1"/>
  <c r="O4120" i="1"/>
  <c r="N4120" i="1"/>
  <c r="H4120" i="1"/>
  <c r="G4120" i="1"/>
  <c r="F4120" i="1"/>
  <c r="E4120" i="1"/>
  <c r="D4120" i="1"/>
  <c r="C4120" i="1"/>
  <c r="V4119" i="1"/>
  <c r="Q4119" i="1"/>
  <c r="P4119" i="1"/>
  <c r="O4119" i="1"/>
  <c r="N4119" i="1"/>
  <c r="H4119" i="1"/>
  <c r="G4119" i="1"/>
  <c r="F4119" i="1"/>
  <c r="E4119" i="1"/>
  <c r="D4119" i="1"/>
  <c r="C4119" i="1"/>
  <c r="V4118" i="1"/>
  <c r="Q4118" i="1"/>
  <c r="P4118" i="1"/>
  <c r="O4118" i="1"/>
  <c r="N4118" i="1"/>
  <c r="H4118" i="1"/>
  <c r="G4118" i="1"/>
  <c r="F4118" i="1"/>
  <c r="E4118" i="1"/>
  <c r="D4118" i="1"/>
  <c r="C4118" i="1"/>
  <c r="V4117" i="1"/>
  <c r="Q4117" i="1"/>
  <c r="P4117" i="1"/>
  <c r="O4117" i="1"/>
  <c r="N4117" i="1"/>
  <c r="H4117" i="1"/>
  <c r="G4117" i="1"/>
  <c r="F4117" i="1"/>
  <c r="E4117" i="1"/>
  <c r="D4117" i="1"/>
  <c r="C4117" i="1"/>
  <c r="V4116" i="1"/>
  <c r="Q4116" i="1"/>
  <c r="P4116" i="1"/>
  <c r="O4116" i="1"/>
  <c r="N4116" i="1"/>
  <c r="H4116" i="1"/>
  <c r="G4116" i="1"/>
  <c r="F4116" i="1"/>
  <c r="E4116" i="1"/>
  <c r="D4116" i="1"/>
  <c r="C4116" i="1"/>
  <c r="V4115" i="1"/>
  <c r="Q4115" i="1"/>
  <c r="P4115" i="1"/>
  <c r="O4115" i="1"/>
  <c r="N4115" i="1"/>
  <c r="H4115" i="1"/>
  <c r="G4115" i="1"/>
  <c r="F4115" i="1"/>
  <c r="E4115" i="1"/>
  <c r="D4115" i="1"/>
  <c r="C4115" i="1"/>
  <c r="V4114" i="1"/>
  <c r="Q4114" i="1"/>
  <c r="P4114" i="1"/>
  <c r="O4114" i="1"/>
  <c r="N4114" i="1"/>
  <c r="G4114" i="1"/>
  <c r="F4114" i="1"/>
  <c r="E4114" i="1"/>
  <c r="D4114" i="1"/>
  <c r="C4114" i="1"/>
  <c r="V4113" i="1"/>
  <c r="Q4113" i="1"/>
  <c r="P4113" i="1"/>
  <c r="O4113" i="1"/>
  <c r="N4113" i="1"/>
  <c r="G4113" i="1"/>
  <c r="F4113" i="1"/>
  <c r="E4113" i="1"/>
  <c r="D4113" i="1"/>
  <c r="C4113" i="1"/>
  <c r="V4112" i="1"/>
  <c r="Q4112" i="1"/>
  <c r="P4112" i="1"/>
  <c r="O4112" i="1"/>
  <c r="N4112" i="1"/>
  <c r="G4112" i="1"/>
  <c r="F4112" i="1"/>
  <c r="E4112" i="1"/>
  <c r="D4112" i="1"/>
  <c r="V4111" i="1"/>
  <c r="Q4111" i="1"/>
  <c r="P4111" i="1"/>
  <c r="O4111" i="1"/>
  <c r="N4111" i="1"/>
  <c r="F4111" i="1"/>
  <c r="E4111" i="1"/>
  <c r="D4111" i="1"/>
  <c r="V4110" i="1"/>
  <c r="Q4110" i="1"/>
  <c r="P4110" i="1"/>
  <c r="O4110" i="1"/>
  <c r="N4110" i="1"/>
  <c r="V4109" i="1"/>
  <c r="Q4109" i="1"/>
  <c r="P4109" i="1"/>
  <c r="O4109" i="1"/>
  <c r="N4109" i="1"/>
  <c r="V4108" i="1"/>
  <c r="Q4108" i="1"/>
  <c r="P4108" i="1"/>
  <c r="O4108" i="1"/>
  <c r="N4108" i="1"/>
  <c r="V4107" i="1"/>
  <c r="Q4107" i="1"/>
  <c r="P4107" i="1"/>
  <c r="O4107" i="1"/>
  <c r="N4107" i="1"/>
  <c r="V4106" i="1"/>
  <c r="Q4106" i="1"/>
  <c r="P4106" i="1"/>
  <c r="O4106" i="1"/>
  <c r="N4106" i="1"/>
  <c r="V4105" i="1"/>
  <c r="Q4105" i="1"/>
  <c r="P4105" i="1"/>
  <c r="O4105" i="1"/>
  <c r="N4105" i="1"/>
  <c r="V4104" i="1"/>
  <c r="Q4104" i="1"/>
  <c r="P4104" i="1"/>
  <c r="O4104" i="1"/>
  <c r="N4104" i="1"/>
  <c r="V4103" i="1"/>
  <c r="Q4103" i="1"/>
  <c r="P4103" i="1"/>
  <c r="O4103" i="1"/>
  <c r="N4103" i="1"/>
  <c r="V4102" i="1"/>
  <c r="Q4102" i="1"/>
  <c r="P4102" i="1"/>
  <c r="O4102" i="1"/>
  <c r="N4102" i="1"/>
  <c r="V4101" i="1"/>
  <c r="Q4101" i="1"/>
  <c r="P4101" i="1"/>
  <c r="O4101" i="1"/>
  <c r="N4101" i="1"/>
  <c r="V4100" i="1"/>
  <c r="Q4100" i="1"/>
  <c r="P4100" i="1"/>
  <c r="O4100" i="1"/>
  <c r="N4100" i="1"/>
  <c r="V4099" i="1"/>
  <c r="Q4099" i="1"/>
  <c r="P4099" i="1"/>
  <c r="O4099" i="1"/>
  <c r="N4099" i="1"/>
  <c r="V4098" i="1"/>
  <c r="Q4098" i="1"/>
  <c r="P4098" i="1"/>
  <c r="O4098" i="1"/>
  <c r="N4098" i="1"/>
  <c r="V4097" i="1"/>
  <c r="Q4097" i="1"/>
  <c r="P4097" i="1"/>
  <c r="O4097" i="1"/>
  <c r="N4097" i="1"/>
  <c r="V4096" i="1"/>
  <c r="Q4096" i="1"/>
  <c r="P4096" i="1"/>
  <c r="O4096" i="1"/>
  <c r="N4096" i="1"/>
  <c r="V4095" i="1"/>
  <c r="Q4095" i="1"/>
  <c r="P4095" i="1"/>
  <c r="O4095" i="1"/>
  <c r="N4095" i="1"/>
  <c r="V4094" i="1"/>
  <c r="Q4094" i="1"/>
  <c r="P4094" i="1"/>
  <c r="O4094" i="1"/>
  <c r="N4094" i="1"/>
  <c r="V4093" i="1"/>
  <c r="Q4093" i="1"/>
  <c r="P4093" i="1"/>
  <c r="O4093" i="1"/>
  <c r="N4093" i="1"/>
  <c r="V4092" i="1"/>
  <c r="Q4092" i="1"/>
  <c r="P4092" i="1"/>
  <c r="O4092" i="1"/>
  <c r="N4092" i="1"/>
  <c r="V4091" i="1"/>
  <c r="Q4091" i="1"/>
  <c r="P4091" i="1"/>
  <c r="O4091" i="1"/>
  <c r="N4091" i="1"/>
  <c r="V4090" i="1"/>
  <c r="Q4090" i="1"/>
  <c r="P4090" i="1"/>
  <c r="O4090" i="1"/>
  <c r="N4090" i="1"/>
  <c r="V4089" i="1"/>
  <c r="Q4089" i="1"/>
  <c r="P4089" i="1"/>
  <c r="O4089" i="1"/>
  <c r="N4089" i="1"/>
  <c r="V4088" i="1"/>
  <c r="Q4088" i="1"/>
  <c r="P4088" i="1"/>
  <c r="O4088" i="1"/>
  <c r="N4088" i="1"/>
  <c r="V4087" i="1"/>
  <c r="Q4087" i="1"/>
  <c r="P4087" i="1"/>
  <c r="O4087" i="1"/>
  <c r="N4087" i="1"/>
  <c r="V4086" i="1"/>
  <c r="Q4086" i="1"/>
  <c r="P4086" i="1"/>
  <c r="O4086" i="1"/>
  <c r="N4086" i="1"/>
  <c r="V4085" i="1"/>
  <c r="Q4085" i="1"/>
  <c r="P4085" i="1"/>
  <c r="O4085" i="1"/>
  <c r="N4085" i="1"/>
  <c r="V4084" i="1"/>
  <c r="Q4084" i="1"/>
  <c r="P4084" i="1"/>
  <c r="O4084" i="1"/>
  <c r="V4083" i="1"/>
  <c r="Q4083" i="1"/>
  <c r="P4083" i="1"/>
  <c r="O4083" i="1"/>
  <c r="V4082" i="1"/>
  <c r="Q4082" i="1"/>
  <c r="P4082" i="1"/>
  <c r="O4082" i="1"/>
  <c r="V4081" i="1"/>
  <c r="Q4081" i="1"/>
  <c r="P4081" i="1"/>
  <c r="O4081" i="1"/>
  <c r="V4080" i="1"/>
  <c r="Q4080" i="1"/>
  <c r="P4080" i="1"/>
  <c r="O4080" i="1"/>
  <c r="V4079" i="1"/>
  <c r="Q4079" i="1"/>
  <c r="P4079" i="1"/>
  <c r="O4079" i="1"/>
  <c r="V4078" i="1"/>
  <c r="Q4078" i="1"/>
  <c r="P4078" i="1"/>
  <c r="O4078" i="1"/>
  <c r="V4077" i="1"/>
  <c r="Q4077" i="1"/>
  <c r="P4077" i="1"/>
  <c r="O4077" i="1"/>
  <c r="V4076" i="1"/>
  <c r="Q4076" i="1"/>
  <c r="P4076" i="1"/>
  <c r="O4076" i="1"/>
  <c r="V4075" i="1"/>
  <c r="Q4075" i="1"/>
  <c r="P4075" i="1"/>
  <c r="O4075" i="1"/>
  <c r="V4074" i="1"/>
  <c r="Q4074" i="1"/>
  <c r="P4074" i="1"/>
  <c r="O4074" i="1"/>
  <c r="V4073" i="1"/>
  <c r="Q4073" i="1"/>
  <c r="P4073" i="1"/>
  <c r="O4073" i="1"/>
  <c r="V4072" i="1"/>
  <c r="Q4072" i="1"/>
  <c r="P4072" i="1"/>
  <c r="O4072" i="1"/>
  <c r="V4071" i="1"/>
  <c r="Q4071" i="1"/>
  <c r="P4071" i="1"/>
  <c r="O4071" i="1"/>
  <c r="V4070" i="1"/>
  <c r="Q4070" i="1"/>
  <c r="P4070" i="1"/>
  <c r="O4070" i="1"/>
  <c r="V4069" i="1"/>
  <c r="Q4069" i="1"/>
  <c r="P4069" i="1"/>
  <c r="O4069" i="1"/>
  <c r="V4068" i="1"/>
  <c r="Q4068" i="1"/>
  <c r="P4068" i="1"/>
  <c r="O4068" i="1"/>
  <c r="V4067" i="1"/>
  <c r="Q4067" i="1"/>
  <c r="P4067" i="1"/>
  <c r="O4067" i="1"/>
  <c r="V4066" i="1"/>
  <c r="Q4066" i="1"/>
  <c r="P4066" i="1"/>
  <c r="O4066" i="1"/>
  <c r="V4065" i="1"/>
  <c r="Q4065" i="1"/>
  <c r="P4065" i="1"/>
  <c r="O4065" i="1"/>
  <c r="V4064" i="1"/>
  <c r="Q4064" i="1"/>
  <c r="P4064" i="1"/>
  <c r="O4064" i="1"/>
  <c r="V4063" i="1"/>
  <c r="Q4063" i="1"/>
  <c r="P4063" i="1"/>
  <c r="O4063" i="1"/>
  <c r="V4062" i="1"/>
  <c r="Q4062" i="1"/>
  <c r="P4062" i="1"/>
  <c r="O4062" i="1"/>
  <c r="V4061" i="1"/>
  <c r="Q4061" i="1"/>
  <c r="P4061" i="1"/>
  <c r="O4061" i="1"/>
  <c r="V4060" i="1"/>
  <c r="Q4060" i="1"/>
  <c r="P4060" i="1"/>
  <c r="O4060" i="1"/>
  <c r="V4059" i="1"/>
  <c r="Q4059" i="1"/>
  <c r="P4059" i="1"/>
  <c r="O4059" i="1"/>
  <c r="V4058" i="1"/>
  <c r="Q4058" i="1"/>
  <c r="P4058" i="1"/>
  <c r="O4058" i="1"/>
  <c r="V4057" i="1"/>
  <c r="Q4057" i="1"/>
  <c r="P4057" i="1"/>
  <c r="O4057" i="1"/>
  <c r="V4056" i="1"/>
  <c r="Q4056" i="1"/>
  <c r="P4056" i="1"/>
  <c r="O4056" i="1"/>
  <c r="V4055" i="1"/>
  <c r="Q4055" i="1"/>
  <c r="P4055" i="1"/>
  <c r="O4055" i="1"/>
  <c r="V4054" i="1"/>
  <c r="Q4054" i="1"/>
  <c r="P4054" i="1"/>
  <c r="O4054" i="1"/>
  <c r="V4053" i="1"/>
  <c r="Q4053" i="1"/>
  <c r="P4053" i="1"/>
  <c r="O4053" i="1"/>
  <c r="V4052" i="1"/>
  <c r="Q4052" i="1"/>
  <c r="P4052" i="1"/>
  <c r="O4052" i="1"/>
  <c r="N4052" i="1"/>
  <c r="V4051" i="1"/>
  <c r="Q4051" i="1"/>
  <c r="P4051" i="1"/>
  <c r="O4051" i="1"/>
  <c r="N4051" i="1"/>
  <c r="V4050" i="1"/>
  <c r="Q4050" i="1"/>
  <c r="P4050" i="1"/>
  <c r="O4050" i="1"/>
  <c r="N4050" i="1"/>
  <c r="V4049" i="1"/>
  <c r="Q4049" i="1"/>
  <c r="P4049" i="1"/>
  <c r="O4049" i="1"/>
  <c r="N4049" i="1"/>
  <c r="V4048" i="1"/>
  <c r="Q4048" i="1"/>
  <c r="P4048" i="1"/>
  <c r="O4048" i="1"/>
  <c r="N4048" i="1"/>
  <c r="V4047" i="1"/>
  <c r="Q4047" i="1"/>
  <c r="P4047" i="1"/>
  <c r="O4047" i="1"/>
  <c r="N4047" i="1"/>
  <c r="V4046" i="1"/>
  <c r="Q4046" i="1"/>
  <c r="P4046" i="1"/>
  <c r="O4046" i="1"/>
  <c r="N4046" i="1"/>
  <c r="V4045" i="1"/>
  <c r="Q4045" i="1"/>
  <c r="P4045" i="1"/>
  <c r="O4045" i="1"/>
  <c r="N4045" i="1"/>
  <c r="V4044" i="1"/>
  <c r="Q4044" i="1"/>
  <c r="P4044" i="1"/>
  <c r="O4044" i="1"/>
  <c r="N4044" i="1"/>
  <c r="V4043" i="1"/>
  <c r="Q4043" i="1"/>
  <c r="P4043" i="1"/>
  <c r="O4043" i="1"/>
  <c r="N4043" i="1"/>
  <c r="V4042" i="1"/>
  <c r="Q4042" i="1"/>
  <c r="P4042" i="1"/>
  <c r="O4042" i="1"/>
  <c r="N4042" i="1"/>
  <c r="V4041" i="1"/>
  <c r="Q4041" i="1"/>
  <c r="P4041" i="1"/>
  <c r="O4041" i="1"/>
  <c r="N4041" i="1"/>
  <c r="V4040" i="1"/>
  <c r="Q4040" i="1"/>
  <c r="P4040" i="1"/>
  <c r="O4040" i="1"/>
  <c r="N4040" i="1"/>
  <c r="V4039" i="1"/>
  <c r="Q4039" i="1"/>
  <c r="P4039" i="1"/>
  <c r="O4039" i="1"/>
  <c r="N4039" i="1"/>
  <c r="V4038" i="1"/>
  <c r="Q4038" i="1"/>
  <c r="P4038" i="1"/>
  <c r="O4038" i="1"/>
  <c r="N4038" i="1"/>
  <c r="V4037" i="1"/>
  <c r="Q4037" i="1"/>
  <c r="P4037" i="1"/>
  <c r="O4037" i="1"/>
  <c r="N4037" i="1"/>
  <c r="F4037" i="1"/>
  <c r="V4036" i="1"/>
  <c r="Q4036" i="1"/>
  <c r="P4036" i="1"/>
  <c r="O4036" i="1"/>
  <c r="N4036" i="1"/>
  <c r="G4036" i="1"/>
  <c r="F4036" i="1"/>
  <c r="V4035" i="1"/>
  <c r="Q4035" i="1"/>
  <c r="P4035" i="1"/>
  <c r="O4035" i="1"/>
  <c r="N4035" i="1"/>
  <c r="G4035" i="1"/>
  <c r="F4035" i="1"/>
  <c r="V4034" i="1"/>
  <c r="Q4034" i="1"/>
  <c r="P4034" i="1"/>
  <c r="O4034" i="1"/>
  <c r="N4034" i="1"/>
  <c r="G4034" i="1"/>
  <c r="F4034" i="1"/>
  <c r="V4033" i="1"/>
  <c r="Q4033" i="1"/>
  <c r="P4033" i="1"/>
  <c r="O4033" i="1"/>
  <c r="N4033" i="1"/>
  <c r="G4033" i="1"/>
  <c r="F4033" i="1"/>
  <c r="V4032" i="1"/>
  <c r="Q4032" i="1"/>
  <c r="P4032" i="1"/>
  <c r="O4032" i="1"/>
  <c r="N4032" i="1"/>
  <c r="G4032" i="1"/>
  <c r="F4032" i="1"/>
  <c r="V4031" i="1"/>
  <c r="Q4031" i="1"/>
  <c r="P4031" i="1"/>
  <c r="O4031" i="1"/>
  <c r="N4031" i="1"/>
  <c r="G4031" i="1"/>
  <c r="F4031" i="1"/>
  <c r="V4030" i="1"/>
  <c r="Q4030" i="1"/>
  <c r="P4030" i="1"/>
  <c r="O4030" i="1"/>
  <c r="N4030" i="1"/>
  <c r="G4030" i="1"/>
  <c r="F4030" i="1"/>
  <c r="V4029" i="1"/>
  <c r="Q4029" i="1"/>
  <c r="P4029" i="1"/>
  <c r="O4029" i="1"/>
  <c r="N4029" i="1"/>
  <c r="G4029" i="1"/>
  <c r="F4029" i="1"/>
  <c r="V4028" i="1"/>
  <c r="Q4028" i="1"/>
  <c r="P4028" i="1"/>
  <c r="O4028" i="1"/>
  <c r="N4028" i="1"/>
  <c r="G4028" i="1"/>
  <c r="F4028" i="1"/>
  <c r="V4027" i="1"/>
  <c r="Q4027" i="1"/>
  <c r="P4027" i="1"/>
  <c r="O4027" i="1"/>
  <c r="N4027" i="1"/>
  <c r="H4027" i="1"/>
  <c r="G4027" i="1"/>
  <c r="F4027" i="1"/>
  <c r="V4026" i="1"/>
  <c r="Q4026" i="1"/>
  <c r="P4026" i="1"/>
  <c r="O4026" i="1"/>
  <c r="N4026" i="1"/>
  <c r="H4026" i="1"/>
  <c r="G4026" i="1"/>
  <c r="F4026" i="1"/>
  <c r="E4026" i="1"/>
  <c r="V4025" i="1"/>
  <c r="Q4025" i="1"/>
  <c r="P4025" i="1"/>
  <c r="O4025" i="1"/>
  <c r="N4025" i="1"/>
  <c r="H4025" i="1"/>
  <c r="G4025" i="1"/>
  <c r="F4025" i="1"/>
  <c r="E4025" i="1"/>
  <c r="V4024" i="1"/>
  <c r="Q4024" i="1"/>
  <c r="P4024" i="1"/>
  <c r="O4024" i="1"/>
  <c r="N4024" i="1"/>
  <c r="H4024" i="1"/>
  <c r="G4024" i="1"/>
  <c r="F4024" i="1"/>
  <c r="E4024" i="1"/>
  <c r="V4023" i="1"/>
  <c r="Q4023" i="1"/>
  <c r="P4023" i="1"/>
  <c r="O4023" i="1"/>
  <c r="N4023" i="1"/>
  <c r="H4023" i="1"/>
  <c r="G4023" i="1"/>
  <c r="F4023" i="1"/>
  <c r="V4022" i="1"/>
  <c r="Q4022" i="1"/>
  <c r="P4022" i="1"/>
  <c r="O4022" i="1"/>
  <c r="N4022" i="1"/>
  <c r="G4022" i="1"/>
  <c r="F4022" i="1"/>
  <c r="V4021" i="1"/>
  <c r="Q4021" i="1"/>
  <c r="P4021" i="1"/>
  <c r="O4021" i="1"/>
  <c r="N4021" i="1"/>
  <c r="F4021" i="1"/>
  <c r="V4020" i="1"/>
  <c r="Q4020" i="1"/>
  <c r="P4020" i="1"/>
  <c r="O4020" i="1"/>
  <c r="N4020" i="1"/>
  <c r="V4019" i="1"/>
  <c r="Q4019" i="1"/>
  <c r="P4019" i="1"/>
  <c r="O4019" i="1"/>
  <c r="N4019" i="1"/>
  <c r="V4018" i="1"/>
  <c r="Q4018" i="1"/>
  <c r="P4018" i="1"/>
  <c r="O4018" i="1"/>
  <c r="N4018" i="1"/>
  <c r="V4017" i="1"/>
  <c r="Q4017" i="1"/>
  <c r="P4017" i="1"/>
  <c r="O4017" i="1"/>
  <c r="N4017" i="1"/>
  <c r="V4016" i="1"/>
  <c r="Q4016" i="1"/>
  <c r="P4016" i="1"/>
  <c r="O4016" i="1"/>
  <c r="N4016" i="1"/>
  <c r="G4016" i="1"/>
  <c r="F4016" i="1"/>
  <c r="E4016" i="1"/>
  <c r="V4015" i="1"/>
  <c r="Q4015" i="1"/>
  <c r="P4015" i="1"/>
  <c r="O4015" i="1"/>
  <c r="N4015" i="1"/>
  <c r="G4015" i="1"/>
  <c r="F4015" i="1"/>
  <c r="E4015" i="1"/>
  <c r="V4014" i="1"/>
  <c r="Q4014" i="1"/>
  <c r="P4014" i="1"/>
  <c r="O4014" i="1"/>
  <c r="N4014" i="1"/>
  <c r="G4014" i="1"/>
  <c r="F4014" i="1"/>
  <c r="E4014" i="1"/>
  <c r="V4013" i="1"/>
  <c r="Q4013" i="1"/>
  <c r="P4013" i="1"/>
  <c r="O4013" i="1"/>
  <c r="N4013" i="1"/>
  <c r="H4013" i="1"/>
  <c r="G4013" i="1"/>
  <c r="F4013" i="1"/>
  <c r="E4013" i="1"/>
  <c r="D4013" i="1"/>
  <c r="V4012" i="1"/>
  <c r="Q4012" i="1"/>
  <c r="P4012" i="1"/>
  <c r="O4012" i="1"/>
  <c r="N4012" i="1"/>
  <c r="H4012" i="1"/>
  <c r="G4012" i="1"/>
  <c r="F4012" i="1"/>
  <c r="E4012" i="1"/>
  <c r="D4012" i="1"/>
  <c r="V4011" i="1"/>
  <c r="Q4011" i="1"/>
  <c r="P4011" i="1"/>
  <c r="O4011" i="1"/>
  <c r="N4011" i="1"/>
  <c r="H4011" i="1"/>
  <c r="G4011" i="1"/>
  <c r="F4011" i="1"/>
  <c r="E4011" i="1"/>
  <c r="D4011" i="1"/>
  <c r="V4010" i="1"/>
  <c r="Q4010" i="1"/>
  <c r="P4010" i="1"/>
  <c r="O4010" i="1"/>
  <c r="N4010" i="1"/>
  <c r="I4010" i="1"/>
  <c r="H4010" i="1"/>
  <c r="G4010" i="1"/>
  <c r="F4010" i="1"/>
  <c r="E4010" i="1"/>
  <c r="D4010" i="1"/>
  <c r="V4009" i="1"/>
  <c r="Q4009" i="1"/>
  <c r="P4009" i="1"/>
  <c r="O4009" i="1"/>
  <c r="N4009" i="1"/>
  <c r="I4009" i="1"/>
  <c r="H4009" i="1"/>
  <c r="G4009" i="1"/>
  <c r="F4009" i="1"/>
  <c r="E4009" i="1"/>
  <c r="D4009" i="1"/>
  <c r="V4008" i="1"/>
  <c r="Q4008" i="1"/>
  <c r="P4008" i="1"/>
  <c r="O4008" i="1"/>
  <c r="N4008" i="1"/>
  <c r="I4008" i="1"/>
  <c r="H4008" i="1"/>
  <c r="G4008" i="1"/>
  <c r="F4008" i="1"/>
  <c r="E4008" i="1"/>
  <c r="D4008" i="1"/>
  <c r="V4007" i="1"/>
  <c r="Q4007" i="1"/>
  <c r="P4007" i="1"/>
  <c r="O4007" i="1"/>
  <c r="N4007" i="1"/>
  <c r="I4007" i="1"/>
  <c r="H4007" i="1"/>
  <c r="G4007" i="1"/>
  <c r="F4007" i="1"/>
  <c r="E4007" i="1"/>
  <c r="D4007" i="1"/>
  <c r="V4006" i="1"/>
  <c r="Q4006" i="1"/>
  <c r="P4006" i="1"/>
  <c r="O4006" i="1"/>
  <c r="N4006" i="1"/>
  <c r="I4006" i="1"/>
  <c r="H4006" i="1"/>
  <c r="G4006" i="1"/>
  <c r="F4006" i="1"/>
  <c r="E4006" i="1"/>
  <c r="D4006" i="1"/>
  <c r="V4005" i="1"/>
  <c r="Q4005" i="1"/>
  <c r="P4005" i="1"/>
  <c r="O4005" i="1"/>
  <c r="N4005" i="1"/>
  <c r="I4005" i="1"/>
  <c r="H4005" i="1"/>
  <c r="G4005" i="1"/>
  <c r="F4005" i="1"/>
  <c r="E4005" i="1"/>
  <c r="D4005" i="1"/>
  <c r="C4005" i="1"/>
  <c r="V4004" i="1"/>
  <c r="Q4004" i="1"/>
  <c r="P4004" i="1"/>
  <c r="O4004" i="1"/>
  <c r="N4004" i="1"/>
  <c r="I4004" i="1"/>
  <c r="H4004" i="1"/>
  <c r="G4004" i="1"/>
  <c r="F4004" i="1"/>
  <c r="E4004" i="1"/>
  <c r="D4004" i="1"/>
  <c r="C4004" i="1"/>
  <c r="V4003" i="1"/>
  <c r="Q4003" i="1"/>
  <c r="P4003" i="1"/>
  <c r="O4003" i="1"/>
  <c r="N4003" i="1"/>
  <c r="I4003" i="1"/>
  <c r="H4003" i="1"/>
  <c r="G4003" i="1"/>
  <c r="F4003" i="1"/>
  <c r="E4003" i="1"/>
  <c r="D4003" i="1"/>
  <c r="C4003" i="1"/>
  <c r="V4002" i="1"/>
  <c r="Q4002" i="1"/>
  <c r="P4002" i="1"/>
  <c r="O4002" i="1"/>
  <c r="N4002" i="1"/>
  <c r="I4002" i="1"/>
  <c r="H4002" i="1"/>
  <c r="G4002" i="1"/>
  <c r="F4002" i="1"/>
  <c r="E4002" i="1"/>
  <c r="D4002" i="1"/>
  <c r="C4002" i="1"/>
  <c r="V4001" i="1"/>
  <c r="Q4001" i="1"/>
  <c r="P4001" i="1"/>
  <c r="O4001" i="1"/>
  <c r="N4001" i="1"/>
  <c r="I4001" i="1"/>
  <c r="H4001" i="1"/>
  <c r="G4001" i="1"/>
  <c r="F4001" i="1"/>
  <c r="E4001" i="1"/>
  <c r="D4001" i="1"/>
  <c r="C4001" i="1"/>
  <c r="V4000" i="1"/>
  <c r="Q4000" i="1"/>
  <c r="P4000" i="1"/>
  <c r="O4000" i="1"/>
  <c r="N4000" i="1"/>
  <c r="I4000" i="1"/>
  <c r="H4000" i="1"/>
  <c r="G4000" i="1"/>
  <c r="F4000" i="1"/>
  <c r="E4000" i="1"/>
  <c r="D4000" i="1"/>
  <c r="C4000" i="1"/>
  <c r="V3999" i="1"/>
  <c r="Q3999" i="1"/>
  <c r="P3999" i="1"/>
  <c r="O3999" i="1"/>
  <c r="N3999" i="1"/>
  <c r="I3999" i="1"/>
  <c r="H3999" i="1"/>
  <c r="G3999" i="1"/>
  <c r="F3999" i="1"/>
  <c r="E3999" i="1"/>
  <c r="D3999" i="1"/>
  <c r="C3999" i="1"/>
  <c r="V3998" i="1"/>
  <c r="Q3998" i="1"/>
  <c r="P3998" i="1"/>
  <c r="O3998" i="1"/>
  <c r="N3998" i="1"/>
  <c r="I3998" i="1"/>
  <c r="H3998" i="1"/>
  <c r="G3998" i="1"/>
  <c r="F3998" i="1"/>
  <c r="E3998" i="1"/>
  <c r="D3998" i="1"/>
  <c r="C3998" i="1"/>
  <c r="V3997" i="1"/>
  <c r="Q3997" i="1"/>
  <c r="P3997" i="1"/>
  <c r="O3997" i="1"/>
  <c r="N3997" i="1"/>
  <c r="I3997" i="1"/>
  <c r="H3997" i="1"/>
  <c r="G3997" i="1"/>
  <c r="F3997" i="1"/>
  <c r="E3997" i="1"/>
  <c r="D3997" i="1"/>
  <c r="C3997" i="1"/>
  <c r="V3996" i="1"/>
  <c r="Q3996" i="1"/>
  <c r="P3996" i="1"/>
  <c r="O3996" i="1"/>
  <c r="N3996" i="1"/>
  <c r="I3996" i="1"/>
  <c r="H3996" i="1"/>
  <c r="G3996" i="1"/>
  <c r="F3996" i="1"/>
  <c r="E3996" i="1"/>
  <c r="D3996" i="1"/>
  <c r="C3996" i="1"/>
  <c r="V3995" i="1"/>
  <c r="Q3995" i="1"/>
  <c r="P3995" i="1"/>
  <c r="O3995" i="1"/>
  <c r="N3995" i="1"/>
  <c r="I3995" i="1"/>
  <c r="H3995" i="1"/>
  <c r="G3995" i="1"/>
  <c r="F3995" i="1"/>
  <c r="E3995" i="1"/>
  <c r="D3995" i="1"/>
  <c r="C3995" i="1"/>
  <c r="V3994" i="1"/>
  <c r="Q3994" i="1"/>
  <c r="P3994" i="1"/>
  <c r="O3994" i="1"/>
  <c r="N3994" i="1"/>
  <c r="I3994" i="1"/>
  <c r="H3994" i="1"/>
  <c r="G3994" i="1"/>
  <c r="F3994" i="1"/>
  <c r="E3994" i="1"/>
  <c r="D3994" i="1"/>
  <c r="C3994" i="1"/>
  <c r="V3993" i="1"/>
  <c r="Q3993" i="1"/>
  <c r="P3993" i="1"/>
  <c r="O3993" i="1"/>
  <c r="N3993" i="1"/>
  <c r="I3993" i="1"/>
  <c r="H3993" i="1"/>
  <c r="G3993" i="1"/>
  <c r="F3993" i="1"/>
  <c r="E3993" i="1"/>
  <c r="D3993" i="1"/>
  <c r="C3993" i="1"/>
  <c r="V3992" i="1"/>
  <c r="Q3992" i="1"/>
  <c r="P3992" i="1"/>
  <c r="O3992" i="1"/>
  <c r="N3992" i="1"/>
  <c r="I3992" i="1"/>
  <c r="H3992" i="1"/>
  <c r="G3992" i="1"/>
  <c r="F3992" i="1"/>
  <c r="E3992" i="1"/>
  <c r="D3992" i="1"/>
  <c r="C3992" i="1"/>
  <c r="V3991" i="1"/>
  <c r="Q3991" i="1"/>
  <c r="P3991" i="1"/>
  <c r="O3991" i="1"/>
  <c r="N3991" i="1"/>
  <c r="I3991" i="1"/>
  <c r="H3991" i="1"/>
  <c r="G3991" i="1"/>
  <c r="F3991" i="1"/>
  <c r="E3991" i="1"/>
  <c r="D3991" i="1"/>
  <c r="C3991" i="1"/>
  <c r="V3990" i="1"/>
  <c r="Q3990" i="1"/>
  <c r="P3990" i="1"/>
  <c r="O3990" i="1"/>
  <c r="N3990" i="1"/>
  <c r="I3990" i="1"/>
  <c r="H3990" i="1"/>
  <c r="G3990" i="1"/>
  <c r="F3990" i="1"/>
  <c r="E3990" i="1"/>
  <c r="D3990" i="1"/>
  <c r="C3990" i="1"/>
  <c r="V3989" i="1"/>
  <c r="Q3989" i="1"/>
  <c r="P3989" i="1"/>
  <c r="O3989" i="1"/>
  <c r="N3989" i="1"/>
  <c r="I3989" i="1"/>
  <c r="H3989" i="1"/>
  <c r="G3989" i="1"/>
  <c r="F3989" i="1"/>
  <c r="E3989" i="1"/>
  <c r="D3989" i="1"/>
  <c r="C3989" i="1"/>
  <c r="V3988" i="1"/>
  <c r="Q3988" i="1"/>
  <c r="P3988" i="1"/>
  <c r="O3988" i="1"/>
  <c r="N3988" i="1"/>
  <c r="I3988" i="1"/>
  <c r="H3988" i="1"/>
  <c r="G3988" i="1"/>
  <c r="F3988" i="1"/>
  <c r="E3988" i="1"/>
  <c r="D3988" i="1"/>
  <c r="C3988" i="1"/>
  <c r="V3987" i="1"/>
  <c r="Q3987" i="1"/>
  <c r="P3987" i="1"/>
  <c r="O3987" i="1"/>
  <c r="N3987" i="1"/>
  <c r="I3987" i="1"/>
  <c r="H3987" i="1"/>
  <c r="G3987" i="1"/>
  <c r="F3987" i="1"/>
  <c r="E3987" i="1"/>
  <c r="D3987" i="1"/>
  <c r="C3987" i="1"/>
  <c r="V3986" i="1"/>
  <c r="Q3986" i="1"/>
  <c r="P3986" i="1"/>
  <c r="O3986" i="1"/>
  <c r="N3986" i="1"/>
  <c r="I3986" i="1"/>
  <c r="H3986" i="1"/>
  <c r="G3986" i="1"/>
  <c r="F3986" i="1"/>
  <c r="E3986" i="1"/>
  <c r="D3986" i="1"/>
  <c r="C3986" i="1"/>
  <c r="V3985" i="1"/>
  <c r="Q3985" i="1"/>
  <c r="P3985" i="1"/>
  <c r="O3985" i="1"/>
  <c r="N3985" i="1"/>
  <c r="I3985" i="1"/>
  <c r="H3985" i="1"/>
  <c r="G3985" i="1"/>
  <c r="F3985" i="1"/>
  <c r="E3985" i="1"/>
  <c r="D3985" i="1"/>
  <c r="C3985" i="1"/>
  <c r="V3984" i="1"/>
  <c r="Q3984" i="1"/>
  <c r="P3984" i="1"/>
  <c r="O3984" i="1"/>
  <c r="N3984" i="1"/>
  <c r="I3984" i="1"/>
  <c r="H3984" i="1"/>
  <c r="G3984" i="1"/>
  <c r="F3984" i="1"/>
  <c r="E3984" i="1"/>
  <c r="D3984" i="1"/>
  <c r="C3984" i="1"/>
  <c r="V3983" i="1"/>
  <c r="Q3983" i="1"/>
  <c r="P3983" i="1"/>
  <c r="O3983" i="1"/>
  <c r="N3983" i="1"/>
  <c r="I3983" i="1"/>
  <c r="H3983" i="1"/>
  <c r="G3983" i="1"/>
  <c r="F3983" i="1"/>
  <c r="E3983" i="1"/>
  <c r="D3983" i="1"/>
  <c r="C3983" i="1"/>
  <c r="V3982" i="1"/>
  <c r="Q3982" i="1"/>
  <c r="P3982" i="1"/>
  <c r="O3982" i="1"/>
  <c r="N3982" i="1"/>
  <c r="I3982" i="1"/>
  <c r="H3982" i="1"/>
  <c r="G3982" i="1"/>
  <c r="F3982" i="1"/>
  <c r="E3982" i="1"/>
  <c r="D3982" i="1"/>
  <c r="C3982" i="1"/>
  <c r="V3981" i="1"/>
  <c r="Q3981" i="1"/>
  <c r="P3981" i="1"/>
  <c r="O3981" i="1"/>
  <c r="N3981" i="1"/>
  <c r="I3981" i="1"/>
  <c r="H3981" i="1"/>
  <c r="G3981" i="1"/>
  <c r="F3981" i="1"/>
  <c r="E3981" i="1"/>
  <c r="D3981" i="1"/>
  <c r="C3981" i="1"/>
  <c r="V3980" i="1"/>
  <c r="Q3980" i="1"/>
  <c r="P3980" i="1"/>
  <c r="O3980" i="1"/>
  <c r="N3980" i="1"/>
  <c r="I3980" i="1"/>
  <c r="H3980" i="1"/>
  <c r="G3980" i="1"/>
  <c r="F3980" i="1"/>
  <c r="E3980" i="1"/>
  <c r="D3980" i="1"/>
  <c r="C3980" i="1"/>
  <c r="V3979" i="1"/>
  <c r="Q3979" i="1"/>
  <c r="P3979" i="1"/>
  <c r="O3979" i="1"/>
  <c r="N3979" i="1"/>
  <c r="I3979" i="1"/>
  <c r="H3979" i="1"/>
  <c r="G3979" i="1"/>
  <c r="F3979" i="1"/>
  <c r="E3979" i="1"/>
  <c r="D3979" i="1"/>
  <c r="C3979" i="1"/>
  <c r="V3978" i="1"/>
  <c r="Q3978" i="1"/>
  <c r="P3978" i="1"/>
  <c r="O3978" i="1"/>
  <c r="N3978" i="1"/>
  <c r="I3978" i="1"/>
  <c r="H3978" i="1"/>
  <c r="G3978" i="1"/>
  <c r="F3978" i="1"/>
  <c r="E3978" i="1"/>
  <c r="D3978" i="1"/>
  <c r="C3978" i="1"/>
  <c r="V3977" i="1"/>
  <c r="Q3977" i="1"/>
  <c r="P3977" i="1"/>
  <c r="O3977" i="1"/>
  <c r="N3977" i="1"/>
  <c r="I3977" i="1"/>
  <c r="H3977" i="1"/>
  <c r="G3977" i="1"/>
  <c r="F3977" i="1"/>
  <c r="E3977" i="1"/>
  <c r="D3977" i="1"/>
  <c r="C3977" i="1"/>
  <c r="V3976" i="1"/>
  <c r="Q3976" i="1"/>
  <c r="P3976" i="1"/>
  <c r="O3976" i="1"/>
  <c r="N3976" i="1"/>
  <c r="J3976" i="1"/>
  <c r="I3976" i="1"/>
  <c r="H3976" i="1"/>
  <c r="G3976" i="1"/>
  <c r="F3976" i="1"/>
  <c r="E3976" i="1"/>
  <c r="D3976" i="1"/>
  <c r="C3976" i="1"/>
  <c r="V3975" i="1"/>
  <c r="Q3975" i="1"/>
  <c r="P3975" i="1"/>
  <c r="O3975" i="1"/>
  <c r="N3975" i="1"/>
  <c r="J3975" i="1"/>
  <c r="I3975" i="1"/>
  <c r="H3975" i="1"/>
  <c r="G3975" i="1"/>
  <c r="F3975" i="1"/>
  <c r="E3975" i="1"/>
  <c r="D3975" i="1"/>
  <c r="C3975" i="1"/>
  <c r="V3974" i="1"/>
  <c r="Q3974" i="1"/>
  <c r="P3974" i="1"/>
  <c r="O3974" i="1"/>
  <c r="N3974" i="1"/>
  <c r="J3974" i="1"/>
  <c r="I3974" i="1"/>
  <c r="H3974" i="1"/>
  <c r="G3974" i="1"/>
  <c r="F3974" i="1"/>
  <c r="E3974" i="1"/>
  <c r="D3974" i="1"/>
  <c r="C3974" i="1"/>
  <c r="V3973" i="1"/>
  <c r="Q3973" i="1"/>
  <c r="P3973" i="1"/>
  <c r="O3973" i="1"/>
  <c r="N3973" i="1"/>
  <c r="J3973" i="1"/>
  <c r="I3973" i="1"/>
  <c r="H3973" i="1"/>
  <c r="G3973" i="1"/>
  <c r="F3973" i="1"/>
  <c r="E3973" i="1"/>
  <c r="D3973" i="1"/>
  <c r="C3973" i="1"/>
  <c r="V3972" i="1"/>
  <c r="Q3972" i="1"/>
  <c r="P3972" i="1"/>
  <c r="O3972" i="1"/>
  <c r="N3972" i="1"/>
  <c r="J3972" i="1"/>
  <c r="I3972" i="1"/>
  <c r="H3972" i="1"/>
  <c r="G3972" i="1"/>
  <c r="F3972" i="1"/>
  <c r="E3972" i="1"/>
  <c r="D3972" i="1"/>
  <c r="C3972" i="1"/>
  <c r="V3971" i="1"/>
  <c r="Q3971" i="1"/>
  <c r="P3971" i="1"/>
  <c r="O3971" i="1"/>
  <c r="N3971" i="1"/>
  <c r="J3971" i="1"/>
  <c r="I3971" i="1"/>
  <c r="H3971" i="1"/>
  <c r="G3971" i="1"/>
  <c r="F3971" i="1"/>
  <c r="E3971" i="1"/>
  <c r="D3971" i="1"/>
  <c r="C3971" i="1"/>
  <c r="V3970" i="1"/>
  <c r="Q3970" i="1"/>
  <c r="P3970" i="1"/>
  <c r="O3970" i="1"/>
  <c r="N3970" i="1"/>
  <c r="I3970" i="1"/>
  <c r="H3970" i="1"/>
  <c r="G3970" i="1"/>
  <c r="F3970" i="1"/>
  <c r="E3970" i="1"/>
  <c r="D3970" i="1"/>
  <c r="C3970" i="1"/>
  <c r="V3969" i="1"/>
  <c r="Q3969" i="1"/>
  <c r="P3969" i="1"/>
  <c r="O3969" i="1"/>
  <c r="N3969" i="1"/>
  <c r="I3969" i="1"/>
  <c r="H3969" i="1"/>
  <c r="G3969" i="1"/>
  <c r="F3969" i="1"/>
  <c r="E3969" i="1"/>
  <c r="D3969" i="1"/>
  <c r="C3969" i="1"/>
  <c r="V3968" i="1"/>
  <c r="Q3968" i="1"/>
  <c r="P3968" i="1"/>
  <c r="O3968" i="1"/>
  <c r="N3968" i="1"/>
  <c r="I3968" i="1"/>
  <c r="H3968" i="1"/>
  <c r="G3968" i="1"/>
  <c r="F3968" i="1"/>
  <c r="E3968" i="1"/>
  <c r="D3968" i="1"/>
  <c r="C3968" i="1"/>
  <c r="V3967" i="1"/>
  <c r="Q3967" i="1"/>
  <c r="P3967" i="1"/>
  <c r="O3967" i="1"/>
  <c r="N3967" i="1"/>
  <c r="I3967" i="1"/>
  <c r="H3967" i="1"/>
  <c r="G3967" i="1"/>
  <c r="F3967" i="1"/>
  <c r="E3967" i="1"/>
  <c r="D3967" i="1"/>
  <c r="C3967" i="1"/>
  <c r="V3966" i="1"/>
  <c r="Q3966" i="1"/>
  <c r="P3966" i="1"/>
  <c r="O3966" i="1"/>
  <c r="N3966" i="1"/>
  <c r="I3966" i="1"/>
  <c r="H3966" i="1"/>
  <c r="G3966" i="1"/>
  <c r="F3966" i="1"/>
  <c r="E3966" i="1"/>
  <c r="D3966" i="1"/>
  <c r="C3966" i="1"/>
  <c r="V3965" i="1"/>
  <c r="Q3965" i="1"/>
  <c r="P3965" i="1"/>
  <c r="O3965" i="1"/>
  <c r="N3965" i="1"/>
  <c r="I3965" i="1"/>
  <c r="H3965" i="1"/>
  <c r="G3965" i="1"/>
  <c r="F3965" i="1"/>
  <c r="E3965" i="1"/>
  <c r="D3965" i="1"/>
  <c r="C3965" i="1"/>
  <c r="V3964" i="1"/>
  <c r="Q3964" i="1"/>
  <c r="P3964" i="1"/>
  <c r="O3964" i="1"/>
  <c r="N3964" i="1"/>
  <c r="I3964" i="1"/>
  <c r="H3964" i="1"/>
  <c r="G3964" i="1"/>
  <c r="F3964" i="1"/>
  <c r="E3964" i="1"/>
  <c r="D3964" i="1"/>
  <c r="C3964" i="1"/>
  <c r="V3963" i="1"/>
  <c r="Q3963" i="1"/>
  <c r="P3963" i="1"/>
  <c r="O3963" i="1"/>
  <c r="N3963" i="1"/>
  <c r="I3963" i="1"/>
  <c r="H3963" i="1"/>
  <c r="G3963" i="1"/>
  <c r="F3963" i="1"/>
  <c r="E3963" i="1"/>
  <c r="D3963" i="1"/>
  <c r="C3963" i="1"/>
  <c r="V3962" i="1"/>
  <c r="Q3962" i="1"/>
  <c r="P3962" i="1"/>
  <c r="O3962" i="1"/>
  <c r="N3962" i="1"/>
  <c r="I3962" i="1"/>
  <c r="H3962" i="1"/>
  <c r="G3962" i="1"/>
  <c r="F3962" i="1"/>
  <c r="E3962" i="1"/>
  <c r="D3962" i="1"/>
  <c r="C3962" i="1"/>
  <c r="V3961" i="1"/>
  <c r="Q3961" i="1"/>
  <c r="P3961" i="1"/>
  <c r="O3961" i="1"/>
  <c r="N3961" i="1"/>
  <c r="I3961" i="1"/>
  <c r="H3961" i="1"/>
  <c r="G3961" i="1"/>
  <c r="F3961" i="1"/>
  <c r="E3961" i="1"/>
  <c r="D3961" i="1"/>
  <c r="C3961" i="1"/>
  <c r="V3960" i="1"/>
  <c r="Q3960" i="1"/>
  <c r="P3960" i="1"/>
  <c r="O3960" i="1"/>
  <c r="N3960" i="1"/>
  <c r="I3960" i="1"/>
  <c r="H3960" i="1"/>
  <c r="G3960" i="1"/>
  <c r="F3960" i="1"/>
  <c r="E3960" i="1"/>
  <c r="D3960" i="1"/>
  <c r="C3960" i="1"/>
  <c r="V3959" i="1"/>
  <c r="Q3959" i="1"/>
  <c r="P3959" i="1"/>
  <c r="O3959" i="1"/>
  <c r="N3959" i="1"/>
  <c r="I3959" i="1"/>
  <c r="H3959" i="1"/>
  <c r="G3959" i="1"/>
  <c r="F3959" i="1"/>
  <c r="E3959" i="1"/>
  <c r="D3959" i="1"/>
  <c r="C3959" i="1"/>
  <c r="V3958" i="1"/>
  <c r="Q3958" i="1"/>
  <c r="P3958" i="1"/>
  <c r="O3958" i="1"/>
  <c r="N3958" i="1"/>
  <c r="I3958" i="1"/>
  <c r="H3958" i="1"/>
  <c r="G3958" i="1"/>
  <c r="F3958" i="1"/>
  <c r="E3958" i="1"/>
  <c r="D3958" i="1"/>
  <c r="C3958" i="1"/>
  <c r="V3957" i="1"/>
  <c r="Q3957" i="1"/>
  <c r="P3957" i="1"/>
  <c r="O3957" i="1"/>
  <c r="N3957" i="1"/>
  <c r="I3957" i="1"/>
  <c r="H3957" i="1"/>
  <c r="G3957" i="1"/>
  <c r="F3957" i="1"/>
  <c r="E3957" i="1"/>
  <c r="D3957" i="1"/>
  <c r="C3957" i="1"/>
  <c r="V3956" i="1"/>
  <c r="Q3956" i="1"/>
  <c r="P3956" i="1"/>
  <c r="O3956" i="1"/>
  <c r="N3956" i="1"/>
  <c r="I3956" i="1"/>
  <c r="H3956" i="1"/>
  <c r="G3956" i="1"/>
  <c r="F3956" i="1"/>
  <c r="E3956" i="1"/>
  <c r="D3956" i="1"/>
  <c r="C3956" i="1"/>
  <c r="V3955" i="1"/>
  <c r="Q3955" i="1"/>
  <c r="P3955" i="1"/>
  <c r="O3955" i="1"/>
  <c r="N3955" i="1"/>
  <c r="I3955" i="1"/>
  <c r="H3955" i="1"/>
  <c r="G3955" i="1"/>
  <c r="F3955" i="1"/>
  <c r="E3955" i="1"/>
  <c r="D3955" i="1"/>
  <c r="C3955" i="1"/>
  <c r="V3954" i="1"/>
  <c r="Q3954" i="1"/>
  <c r="P3954" i="1"/>
  <c r="O3954" i="1"/>
  <c r="N3954" i="1"/>
  <c r="I3954" i="1"/>
  <c r="H3954" i="1"/>
  <c r="G3954" i="1"/>
  <c r="F3954" i="1"/>
  <c r="E3954" i="1"/>
  <c r="D3954" i="1"/>
  <c r="C3954" i="1"/>
  <c r="V3953" i="1"/>
  <c r="Q3953" i="1"/>
  <c r="P3953" i="1"/>
  <c r="O3953" i="1"/>
  <c r="N3953" i="1"/>
  <c r="I3953" i="1"/>
  <c r="H3953" i="1"/>
  <c r="G3953" i="1"/>
  <c r="F3953" i="1"/>
  <c r="E3953" i="1"/>
  <c r="D3953" i="1"/>
  <c r="C3953" i="1"/>
  <c r="V3952" i="1"/>
  <c r="Q3952" i="1"/>
  <c r="P3952" i="1"/>
  <c r="O3952" i="1"/>
  <c r="N3952" i="1"/>
  <c r="I3952" i="1"/>
  <c r="H3952" i="1"/>
  <c r="G3952" i="1"/>
  <c r="F3952" i="1"/>
  <c r="E3952" i="1"/>
  <c r="D3952" i="1"/>
  <c r="C3952" i="1"/>
  <c r="V3951" i="1"/>
  <c r="Q3951" i="1"/>
  <c r="P3951" i="1"/>
  <c r="O3951" i="1"/>
  <c r="N3951" i="1"/>
  <c r="I3951" i="1"/>
  <c r="H3951" i="1"/>
  <c r="G3951" i="1"/>
  <c r="F3951" i="1"/>
  <c r="E3951" i="1"/>
  <c r="D3951" i="1"/>
  <c r="C3951" i="1"/>
  <c r="V3950" i="1"/>
  <c r="Q3950" i="1"/>
  <c r="P3950" i="1"/>
  <c r="O3950" i="1"/>
  <c r="N3950" i="1"/>
  <c r="I3950" i="1"/>
  <c r="H3950" i="1"/>
  <c r="G3950" i="1"/>
  <c r="F3950" i="1"/>
  <c r="E3950" i="1"/>
  <c r="D3950" i="1"/>
  <c r="C3950" i="1"/>
  <c r="V3949" i="1"/>
  <c r="Q3949" i="1"/>
  <c r="P3949" i="1"/>
  <c r="O3949" i="1"/>
  <c r="N3949" i="1"/>
  <c r="I3949" i="1"/>
  <c r="H3949" i="1"/>
  <c r="G3949" i="1"/>
  <c r="F3949" i="1"/>
  <c r="E3949" i="1"/>
  <c r="D3949" i="1"/>
  <c r="V3948" i="1"/>
  <c r="Q3948" i="1"/>
  <c r="P3948" i="1"/>
  <c r="O3948" i="1"/>
  <c r="N3948" i="1"/>
  <c r="I3948" i="1"/>
  <c r="H3948" i="1"/>
  <c r="G3948" i="1"/>
  <c r="F3948" i="1"/>
  <c r="E3948" i="1"/>
  <c r="D3948" i="1"/>
  <c r="V3947" i="1"/>
  <c r="Q3947" i="1"/>
  <c r="P3947" i="1"/>
  <c r="O3947" i="1"/>
  <c r="N3947" i="1"/>
  <c r="I3947" i="1"/>
  <c r="H3947" i="1"/>
  <c r="G3947" i="1"/>
  <c r="F3947" i="1"/>
  <c r="E3947" i="1"/>
  <c r="D3947" i="1"/>
  <c r="V3946" i="1"/>
  <c r="Q3946" i="1"/>
  <c r="P3946" i="1"/>
  <c r="O3946" i="1"/>
  <c r="N3946" i="1"/>
  <c r="I3946" i="1"/>
  <c r="H3946" i="1"/>
  <c r="G3946" i="1"/>
  <c r="F3946" i="1"/>
  <c r="E3946" i="1"/>
  <c r="D3946" i="1"/>
  <c r="V3945" i="1"/>
  <c r="Q3945" i="1"/>
  <c r="P3945" i="1"/>
  <c r="O3945" i="1"/>
  <c r="N3945" i="1"/>
  <c r="I3945" i="1"/>
  <c r="H3945" i="1"/>
  <c r="G3945" i="1"/>
  <c r="F3945" i="1"/>
  <c r="E3945" i="1"/>
  <c r="D3945" i="1"/>
  <c r="V3944" i="1"/>
  <c r="Q3944" i="1"/>
  <c r="P3944" i="1"/>
  <c r="O3944" i="1"/>
  <c r="N3944" i="1"/>
  <c r="I3944" i="1"/>
  <c r="H3944" i="1"/>
  <c r="G3944" i="1"/>
  <c r="F3944" i="1"/>
  <c r="E3944" i="1"/>
  <c r="D3944" i="1"/>
  <c r="V3943" i="1"/>
  <c r="Q3943" i="1"/>
  <c r="P3943" i="1"/>
  <c r="O3943" i="1"/>
  <c r="N3943" i="1"/>
  <c r="I3943" i="1"/>
  <c r="H3943" i="1"/>
  <c r="G3943" i="1"/>
  <c r="F3943" i="1"/>
  <c r="E3943" i="1"/>
  <c r="D3943" i="1"/>
  <c r="V3942" i="1"/>
  <c r="Q3942" i="1"/>
  <c r="P3942" i="1"/>
  <c r="O3942" i="1"/>
  <c r="N3942" i="1"/>
  <c r="I3942" i="1"/>
  <c r="H3942" i="1"/>
  <c r="G3942" i="1"/>
  <c r="F3942" i="1"/>
  <c r="E3942" i="1"/>
  <c r="D3942" i="1"/>
  <c r="V3941" i="1"/>
  <c r="Q3941" i="1"/>
  <c r="P3941" i="1"/>
  <c r="O3941" i="1"/>
  <c r="N3941" i="1"/>
  <c r="I3941" i="1"/>
  <c r="H3941" i="1"/>
  <c r="G3941" i="1"/>
  <c r="F3941" i="1"/>
  <c r="E3941" i="1"/>
  <c r="D3941" i="1"/>
  <c r="C3941" i="1"/>
  <c r="V3940" i="1"/>
  <c r="Q3940" i="1"/>
  <c r="P3940" i="1"/>
  <c r="O3940" i="1"/>
  <c r="N3940" i="1"/>
  <c r="I3940" i="1"/>
  <c r="H3940" i="1"/>
  <c r="G3940" i="1"/>
  <c r="F3940" i="1"/>
  <c r="E3940" i="1"/>
  <c r="D3940" i="1"/>
  <c r="C3940" i="1"/>
  <c r="V3939" i="1"/>
  <c r="Q3939" i="1"/>
  <c r="P3939" i="1"/>
  <c r="O3939" i="1"/>
  <c r="N3939" i="1"/>
  <c r="I3939" i="1"/>
  <c r="H3939" i="1"/>
  <c r="G3939" i="1"/>
  <c r="F3939" i="1"/>
  <c r="E3939" i="1"/>
  <c r="D3939" i="1"/>
  <c r="C3939" i="1"/>
  <c r="V3938" i="1"/>
  <c r="Q3938" i="1"/>
  <c r="P3938" i="1"/>
  <c r="O3938" i="1"/>
  <c r="N3938" i="1"/>
  <c r="I3938" i="1"/>
  <c r="H3938" i="1"/>
  <c r="G3938" i="1"/>
  <c r="F3938" i="1"/>
  <c r="E3938" i="1"/>
  <c r="D3938" i="1"/>
  <c r="C3938" i="1"/>
  <c r="V3937" i="1"/>
  <c r="Q3937" i="1"/>
  <c r="P3937" i="1"/>
  <c r="O3937" i="1"/>
  <c r="N3937" i="1"/>
  <c r="I3937" i="1"/>
  <c r="H3937" i="1"/>
  <c r="G3937" i="1"/>
  <c r="F3937" i="1"/>
  <c r="E3937" i="1"/>
  <c r="D3937" i="1"/>
  <c r="C3937" i="1"/>
  <c r="V3936" i="1"/>
  <c r="Q3936" i="1"/>
  <c r="P3936" i="1"/>
  <c r="O3936" i="1"/>
  <c r="N3936" i="1"/>
  <c r="I3936" i="1"/>
  <c r="H3936" i="1"/>
  <c r="G3936" i="1"/>
  <c r="F3936" i="1"/>
  <c r="E3936" i="1"/>
  <c r="D3936" i="1"/>
  <c r="C3936" i="1"/>
  <c r="V3935" i="1"/>
  <c r="Q3935" i="1"/>
  <c r="P3935" i="1"/>
  <c r="O3935" i="1"/>
  <c r="N3935" i="1"/>
  <c r="I3935" i="1"/>
  <c r="H3935" i="1"/>
  <c r="G3935" i="1"/>
  <c r="F3935" i="1"/>
  <c r="E3935" i="1"/>
  <c r="D3935" i="1"/>
  <c r="C3935" i="1"/>
  <c r="V3934" i="1"/>
  <c r="Q3934" i="1"/>
  <c r="P3934" i="1"/>
  <c r="O3934" i="1"/>
  <c r="N3934" i="1"/>
  <c r="I3934" i="1"/>
  <c r="H3934" i="1"/>
  <c r="G3934" i="1"/>
  <c r="F3934" i="1"/>
  <c r="E3934" i="1"/>
  <c r="D3934" i="1"/>
  <c r="C3934" i="1"/>
  <c r="V3933" i="1"/>
  <c r="Q3933" i="1"/>
  <c r="P3933" i="1"/>
  <c r="O3933" i="1"/>
  <c r="N3933" i="1"/>
  <c r="I3933" i="1"/>
  <c r="H3933" i="1"/>
  <c r="G3933" i="1"/>
  <c r="F3933" i="1"/>
  <c r="E3933" i="1"/>
  <c r="D3933" i="1"/>
  <c r="C3933" i="1"/>
  <c r="V3932" i="1"/>
  <c r="Q3932" i="1"/>
  <c r="P3932" i="1"/>
  <c r="O3932" i="1"/>
  <c r="N3932" i="1"/>
  <c r="I3932" i="1"/>
  <c r="H3932" i="1"/>
  <c r="G3932" i="1"/>
  <c r="F3932" i="1"/>
  <c r="E3932" i="1"/>
  <c r="D3932" i="1"/>
  <c r="C3932" i="1"/>
  <c r="V3931" i="1"/>
  <c r="Q3931" i="1"/>
  <c r="P3931" i="1"/>
  <c r="O3931" i="1"/>
  <c r="N3931" i="1"/>
  <c r="I3931" i="1"/>
  <c r="H3931" i="1"/>
  <c r="G3931" i="1"/>
  <c r="F3931" i="1"/>
  <c r="E3931" i="1"/>
  <c r="D3931" i="1"/>
  <c r="C3931" i="1"/>
  <c r="V3930" i="1"/>
  <c r="Q3930" i="1"/>
  <c r="P3930" i="1"/>
  <c r="O3930" i="1"/>
  <c r="N3930" i="1"/>
  <c r="I3930" i="1"/>
  <c r="H3930" i="1"/>
  <c r="G3930" i="1"/>
  <c r="F3930" i="1"/>
  <c r="E3930" i="1"/>
  <c r="D3930" i="1"/>
  <c r="C3930" i="1"/>
  <c r="V3929" i="1"/>
  <c r="Q3929" i="1"/>
  <c r="P3929" i="1"/>
  <c r="O3929" i="1"/>
  <c r="N3929" i="1"/>
  <c r="I3929" i="1"/>
  <c r="H3929" i="1"/>
  <c r="G3929" i="1"/>
  <c r="F3929" i="1"/>
  <c r="E3929" i="1"/>
  <c r="D3929" i="1"/>
  <c r="C3929" i="1"/>
  <c r="V3928" i="1"/>
  <c r="Q3928" i="1"/>
  <c r="P3928" i="1"/>
  <c r="O3928" i="1"/>
  <c r="N3928" i="1"/>
  <c r="I3928" i="1"/>
  <c r="H3928" i="1"/>
  <c r="G3928" i="1"/>
  <c r="F3928" i="1"/>
  <c r="E3928" i="1"/>
  <c r="D3928" i="1"/>
  <c r="C3928" i="1"/>
  <c r="V3927" i="1"/>
  <c r="Q3927" i="1"/>
  <c r="P3927" i="1"/>
  <c r="O3927" i="1"/>
  <c r="N3927" i="1"/>
  <c r="I3927" i="1"/>
  <c r="H3927" i="1"/>
  <c r="G3927" i="1"/>
  <c r="F3927" i="1"/>
  <c r="E3927" i="1"/>
  <c r="D3927" i="1"/>
  <c r="C3927" i="1"/>
  <c r="V3926" i="1"/>
  <c r="Q3926" i="1"/>
  <c r="P3926" i="1"/>
  <c r="O3926" i="1"/>
  <c r="N3926" i="1"/>
  <c r="I3926" i="1"/>
  <c r="H3926" i="1"/>
  <c r="G3926" i="1"/>
  <c r="F3926" i="1"/>
  <c r="E3926" i="1"/>
  <c r="D3926" i="1"/>
  <c r="C3926" i="1"/>
  <c r="V3925" i="1"/>
  <c r="Q3925" i="1"/>
  <c r="P3925" i="1"/>
  <c r="O3925" i="1"/>
  <c r="N3925" i="1"/>
  <c r="I3925" i="1"/>
  <c r="H3925" i="1"/>
  <c r="G3925" i="1"/>
  <c r="F3925" i="1"/>
  <c r="E3925" i="1"/>
  <c r="D3925" i="1"/>
  <c r="C3925" i="1"/>
  <c r="V3924" i="1"/>
  <c r="Q3924" i="1"/>
  <c r="P3924" i="1"/>
  <c r="O3924" i="1"/>
  <c r="N3924" i="1"/>
  <c r="I3924" i="1"/>
  <c r="H3924" i="1"/>
  <c r="G3924" i="1"/>
  <c r="F3924" i="1"/>
  <c r="E3924" i="1"/>
  <c r="D3924" i="1"/>
  <c r="C3924" i="1"/>
  <c r="V3923" i="1"/>
  <c r="Q3923" i="1"/>
  <c r="P3923" i="1"/>
  <c r="O3923" i="1"/>
  <c r="N3923" i="1"/>
  <c r="I3923" i="1"/>
  <c r="H3923" i="1"/>
  <c r="G3923" i="1"/>
  <c r="F3923" i="1"/>
  <c r="E3923" i="1"/>
  <c r="D3923" i="1"/>
  <c r="C3923" i="1"/>
  <c r="V3922" i="1"/>
  <c r="Q3922" i="1"/>
  <c r="P3922" i="1"/>
  <c r="O3922" i="1"/>
  <c r="N3922" i="1"/>
  <c r="I3922" i="1"/>
  <c r="H3922" i="1"/>
  <c r="G3922" i="1"/>
  <c r="F3922" i="1"/>
  <c r="E3922" i="1"/>
  <c r="D3922" i="1"/>
  <c r="C3922" i="1"/>
  <c r="V3921" i="1"/>
  <c r="Q3921" i="1"/>
  <c r="P3921" i="1"/>
  <c r="O3921" i="1"/>
  <c r="N3921" i="1"/>
  <c r="I3921" i="1"/>
  <c r="H3921" i="1"/>
  <c r="G3921" i="1"/>
  <c r="F3921" i="1"/>
  <c r="E3921" i="1"/>
  <c r="D3921" i="1"/>
  <c r="C3921" i="1"/>
  <c r="V3920" i="1"/>
  <c r="Q3920" i="1"/>
  <c r="P3920" i="1"/>
  <c r="O3920" i="1"/>
  <c r="N3920" i="1"/>
  <c r="I3920" i="1"/>
  <c r="H3920" i="1"/>
  <c r="G3920" i="1"/>
  <c r="F3920" i="1"/>
  <c r="E3920" i="1"/>
  <c r="D3920" i="1"/>
  <c r="C3920" i="1"/>
  <c r="V3919" i="1"/>
  <c r="Q3919" i="1"/>
  <c r="P3919" i="1"/>
  <c r="O3919" i="1"/>
  <c r="N3919" i="1"/>
  <c r="I3919" i="1"/>
  <c r="H3919" i="1"/>
  <c r="G3919" i="1"/>
  <c r="F3919" i="1"/>
  <c r="E3919" i="1"/>
  <c r="D3919" i="1"/>
  <c r="C3919" i="1"/>
  <c r="V3918" i="1"/>
  <c r="Q3918" i="1"/>
  <c r="P3918" i="1"/>
  <c r="O3918" i="1"/>
  <c r="N3918" i="1"/>
  <c r="I3918" i="1"/>
  <c r="H3918" i="1"/>
  <c r="G3918" i="1"/>
  <c r="F3918" i="1"/>
  <c r="E3918" i="1"/>
  <c r="D3918" i="1"/>
  <c r="C3918" i="1"/>
  <c r="V3917" i="1"/>
  <c r="Q3917" i="1"/>
  <c r="P3917" i="1"/>
  <c r="O3917" i="1"/>
  <c r="N3917" i="1"/>
  <c r="I3917" i="1"/>
  <c r="H3917" i="1"/>
  <c r="G3917" i="1"/>
  <c r="F3917" i="1"/>
  <c r="E3917" i="1"/>
  <c r="D3917" i="1"/>
  <c r="C3917" i="1"/>
  <c r="V3916" i="1"/>
  <c r="Q3916" i="1"/>
  <c r="P3916" i="1"/>
  <c r="O3916" i="1"/>
  <c r="N3916" i="1"/>
  <c r="I3916" i="1"/>
  <c r="H3916" i="1"/>
  <c r="G3916" i="1"/>
  <c r="F3916" i="1"/>
  <c r="E3916" i="1"/>
  <c r="D3916" i="1"/>
  <c r="C3916" i="1"/>
  <c r="V3915" i="1"/>
  <c r="Q3915" i="1"/>
  <c r="P3915" i="1"/>
  <c r="O3915" i="1"/>
  <c r="N3915" i="1"/>
  <c r="I3915" i="1"/>
  <c r="H3915" i="1"/>
  <c r="G3915" i="1"/>
  <c r="F3915" i="1"/>
  <c r="E3915" i="1"/>
  <c r="D3915" i="1"/>
  <c r="C3915" i="1"/>
  <c r="V3914" i="1"/>
  <c r="Q3914" i="1"/>
  <c r="P3914" i="1"/>
  <c r="O3914" i="1"/>
  <c r="N3914" i="1"/>
  <c r="I3914" i="1"/>
  <c r="H3914" i="1"/>
  <c r="G3914" i="1"/>
  <c r="F3914" i="1"/>
  <c r="E3914" i="1"/>
  <c r="D3914" i="1"/>
  <c r="C3914" i="1"/>
  <c r="V3913" i="1"/>
  <c r="Q3913" i="1"/>
  <c r="P3913" i="1"/>
  <c r="O3913" i="1"/>
  <c r="N3913" i="1"/>
  <c r="I3913" i="1"/>
  <c r="H3913" i="1"/>
  <c r="G3913" i="1"/>
  <c r="F3913" i="1"/>
  <c r="E3913" i="1"/>
  <c r="D3913" i="1"/>
  <c r="C3913" i="1"/>
  <c r="V3912" i="1"/>
  <c r="Q3912" i="1"/>
  <c r="P3912" i="1"/>
  <c r="O3912" i="1"/>
  <c r="N3912" i="1"/>
  <c r="I3912" i="1"/>
  <c r="H3912" i="1"/>
  <c r="G3912" i="1"/>
  <c r="F3912" i="1"/>
  <c r="E3912" i="1"/>
  <c r="D3912" i="1"/>
  <c r="C3912" i="1"/>
  <c r="V3911" i="1"/>
  <c r="Q3911" i="1"/>
  <c r="P3911" i="1"/>
  <c r="O3911" i="1"/>
  <c r="N3911" i="1"/>
  <c r="I3911" i="1"/>
  <c r="H3911" i="1"/>
  <c r="G3911" i="1"/>
  <c r="F3911" i="1"/>
  <c r="E3911" i="1"/>
  <c r="D3911" i="1"/>
  <c r="C3911" i="1"/>
  <c r="V3910" i="1"/>
  <c r="Q3910" i="1"/>
  <c r="P3910" i="1"/>
  <c r="O3910" i="1"/>
  <c r="N3910" i="1"/>
  <c r="I3910" i="1"/>
  <c r="H3910" i="1"/>
  <c r="G3910" i="1"/>
  <c r="F3910" i="1"/>
  <c r="E3910" i="1"/>
  <c r="D3910" i="1"/>
  <c r="C3910" i="1"/>
  <c r="V3909" i="1"/>
  <c r="Q3909" i="1"/>
  <c r="P3909" i="1"/>
  <c r="O3909" i="1"/>
  <c r="N3909" i="1"/>
  <c r="I3909" i="1"/>
  <c r="H3909" i="1"/>
  <c r="G3909" i="1"/>
  <c r="F3909" i="1"/>
  <c r="E3909" i="1"/>
  <c r="D3909" i="1"/>
  <c r="C3909" i="1"/>
  <c r="V3908" i="1"/>
  <c r="Q3908" i="1"/>
  <c r="P3908" i="1"/>
  <c r="O3908" i="1"/>
  <c r="N3908" i="1"/>
  <c r="I3908" i="1"/>
  <c r="H3908" i="1"/>
  <c r="G3908" i="1"/>
  <c r="F3908" i="1"/>
  <c r="E3908" i="1"/>
  <c r="D3908" i="1"/>
  <c r="C3908" i="1"/>
  <c r="V3907" i="1"/>
  <c r="Q3907" i="1"/>
  <c r="P3907" i="1"/>
  <c r="O3907" i="1"/>
  <c r="N3907" i="1"/>
  <c r="I3907" i="1"/>
  <c r="H3907" i="1"/>
  <c r="G3907" i="1"/>
  <c r="F3907" i="1"/>
  <c r="E3907" i="1"/>
  <c r="D3907" i="1"/>
  <c r="C3907" i="1"/>
  <c r="V3906" i="1"/>
  <c r="Q3906" i="1"/>
  <c r="P3906" i="1"/>
  <c r="O3906" i="1"/>
  <c r="N3906" i="1"/>
  <c r="I3906" i="1"/>
  <c r="H3906" i="1"/>
  <c r="G3906" i="1"/>
  <c r="F3906" i="1"/>
  <c r="E3906" i="1"/>
  <c r="D3906" i="1"/>
  <c r="C3906" i="1"/>
  <c r="V3905" i="1"/>
  <c r="Q3905" i="1"/>
  <c r="P3905" i="1"/>
  <c r="O3905" i="1"/>
  <c r="N3905" i="1"/>
  <c r="I3905" i="1"/>
  <c r="H3905" i="1"/>
  <c r="G3905" i="1"/>
  <c r="F3905" i="1"/>
  <c r="E3905" i="1"/>
  <c r="D3905" i="1"/>
  <c r="C3905" i="1"/>
  <c r="V3904" i="1"/>
  <c r="Q3904" i="1"/>
  <c r="P3904" i="1"/>
  <c r="O3904" i="1"/>
  <c r="N3904" i="1"/>
  <c r="I3904" i="1"/>
  <c r="H3904" i="1"/>
  <c r="G3904" i="1"/>
  <c r="F3904" i="1"/>
  <c r="E3904" i="1"/>
  <c r="D3904" i="1"/>
  <c r="V3903" i="1"/>
  <c r="Q3903" i="1"/>
  <c r="P3903" i="1"/>
  <c r="O3903" i="1"/>
  <c r="N3903" i="1"/>
  <c r="I3903" i="1"/>
  <c r="H3903" i="1"/>
  <c r="G3903" i="1"/>
  <c r="F3903" i="1"/>
  <c r="E3903" i="1"/>
  <c r="D3903" i="1"/>
  <c r="V3902" i="1"/>
  <c r="Q3902" i="1"/>
  <c r="P3902" i="1"/>
  <c r="O3902" i="1"/>
  <c r="N3902" i="1"/>
  <c r="I3902" i="1"/>
  <c r="H3902" i="1"/>
  <c r="G3902" i="1"/>
  <c r="F3902" i="1"/>
  <c r="E3902" i="1"/>
  <c r="D3902" i="1"/>
  <c r="V3901" i="1"/>
  <c r="Q3901" i="1"/>
  <c r="P3901" i="1"/>
  <c r="O3901" i="1"/>
  <c r="N3901" i="1"/>
  <c r="I3901" i="1"/>
  <c r="H3901" i="1"/>
  <c r="G3901" i="1"/>
  <c r="F3901" i="1"/>
  <c r="E3901" i="1"/>
  <c r="D3901" i="1"/>
  <c r="V3900" i="1"/>
  <c r="Q3900" i="1"/>
  <c r="P3900" i="1"/>
  <c r="O3900" i="1"/>
  <c r="N3900" i="1"/>
  <c r="I3900" i="1"/>
  <c r="H3900" i="1"/>
  <c r="G3900" i="1"/>
  <c r="F3900" i="1"/>
  <c r="E3900" i="1"/>
  <c r="D3900" i="1"/>
  <c r="C3900" i="1"/>
  <c r="V3899" i="1"/>
  <c r="Q3899" i="1"/>
  <c r="P3899" i="1"/>
  <c r="O3899" i="1"/>
  <c r="N3899" i="1"/>
  <c r="I3899" i="1"/>
  <c r="H3899" i="1"/>
  <c r="G3899" i="1"/>
  <c r="F3899" i="1"/>
  <c r="E3899" i="1"/>
  <c r="D3899" i="1"/>
  <c r="C3899" i="1"/>
  <c r="V3898" i="1"/>
  <c r="Q3898" i="1"/>
  <c r="P3898" i="1"/>
  <c r="O3898" i="1"/>
  <c r="N3898" i="1"/>
  <c r="I3898" i="1"/>
  <c r="H3898" i="1"/>
  <c r="G3898" i="1"/>
  <c r="F3898" i="1"/>
  <c r="E3898" i="1"/>
  <c r="D3898" i="1"/>
  <c r="C3898" i="1"/>
  <c r="V3897" i="1"/>
  <c r="Q3897" i="1"/>
  <c r="P3897" i="1"/>
  <c r="O3897" i="1"/>
  <c r="N3897" i="1"/>
  <c r="I3897" i="1"/>
  <c r="H3897" i="1"/>
  <c r="G3897" i="1"/>
  <c r="F3897" i="1"/>
  <c r="E3897" i="1"/>
  <c r="D3897" i="1"/>
  <c r="C3897" i="1"/>
  <c r="V3896" i="1"/>
  <c r="Q3896" i="1"/>
  <c r="P3896" i="1"/>
  <c r="O3896" i="1"/>
  <c r="N3896" i="1"/>
  <c r="I3896" i="1"/>
  <c r="H3896" i="1"/>
  <c r="G3896" i="1"/>
  <c r="F3896" i="1"/>
  <c r="E3896" i="1"/>
  <c r="D3896" i="1"/>
  <c r="C3896" i="1"/>
  <c r="V3895" i="1"/>
  <c r="Q3895" i="1"/>
  <c r="P3895" i="1"/>
  <c r="O3895" i="1"/>
  <c r="N3895" i="1"/>
  <c r="I3895" i="1"/>
  <c r="H3895" i="1"/>
  <c r="G3895" i="1"/>
  <c r="F3895" i="1"/>
  <c r="E3895" i="1"/>
  <c r="D3895" i="1"/>
  <c r="C3895" i="1"/>
  <c r="V3894" i="1"/>
  <c r="Q3894" i="1"/>
  <c r="P3894" i="1"/>
  <c r="O3894" i="1"/>
  <c r="N3894" i="1"/>
  <c r="I3894" i="1"/>
  <c r="H3894" i="1"/>
  <c r="G3894" i="1"/>
  <c r="F3894" i="1"/>
  <c r="E3894" i="1"/>
  <c r="D3894" i="1"/>
  <c r="C3894" i="1"/>
  <c r="V3893" i="1"/>
  <c r="Q3893" i="1"/>
  <c r="P3893" i="1"/>
  <c r="O3893" i="1"/>
  <c r="N3893" i="1"/>
  <c r="I3893" i="1"/>
  <c r="H3893" i="1"/>
  <c r="G3893" i="1"/>
  <c r="F3893" i="1"/>
  <c r="E3893" i="1"/>
  <c r="D3893" i="1"/>
  <c r="C3893" i="1"/>
  <c r="V3892" i="1"/>
  <c r="Q3892" i="1"/>
  <c r="P3892" i="1"/>
  <c r="O3892" i="1"/>
  <c r="N3892" i="1"/>
  <c r="I3892" i="1"/>
  <c r="H3892" i="1"/>
  <c r="G3892" i="1"/>
  <c r="F3892" i="1"/>
  <c r="E3892" i="1"/>
  <c r="D3892" i="1"/>
  <c r="C3892" i="1"/>
  <c r="V3891" i="1"/>
  <c r="Q3891" i="1"/>
  <c r="P3891" i="1"/>
  <c r="O3891" i="1"/>
  <c r="N3891" i="1"/>
  <c r="I3891" i="1"/>
  <c r="H3891" i="1"/>
  <c r="G3891" i="1"/>
  <c r="F3891" i="1"/>
  <c r="E3891" i="1"/>
  <c r="D3891" i="1"/>
  <c r="C3891" i="1"/>
  <c r="V3890" i="1"/>
  <c r="Q3890" i="1"/>
  <c r="P3890" i="1"/>
  <c r="O3890" i="1"/>
  <c r="N3890" i="1"/>
  <c r="I3890" i="1"/>
  <c r="H3890" i="1"/>
  <c r="G3890" i="1"/>
  <c r="F3890" i="1"/>
  <c r="E3890" i="1"/>
  <c r="D3890" i="1"/>
  <c r="C3890" i="1"/>
  <c r="V3889" i="1"/>
  <c r="Q3889" i="1"/>
  <c r="P3889" i="1"/>
  <c r="O3889" i="1"/>
  <c r="N3889" i="1"/>
  <c r="I3889" i="1"/>
  <c r="H3889" i="1"/>
  <c r="G3889" i="1"/>
  <c r="F3889" i="1"/>
  <c r="E3889" i="1"/>
  <c r="D3889" i="1"/>
  <c r="C3889" i="1"/>
  <c r="V3888" i="1"/>
  <c r="Q3888" i="1"/>
  <c r="P3888" i="1"/>
  <c r="O3888" i="1"/>
  <c r="N3888" i="1"/>
  <c r="I3888" i="1"/>
  <c r="H3888" i="1"/>
  <c r="G3888" i="1"/>
  <c r="F3888" i="1"/>
  <c r="E3888" i="1"/>
  <c r="D3888" i="1"/>
  <c r="C3888" i="1"/>
  <c r="V3887" i="1"/>
  <c r="Q3887" i="1"/>
  <c r="P3887" i="1"/>
  <c r="O3887" i="1"/>
  <c r="N3887" i="1"/>
  <c r="I3887" i="1"/>
  <c r="H3887" i="1"/>
  <c r="G3887" i="1"/>
  <c r="F3887" i="1"/>
  <c r="E3887" i="1"/>
  <c r="D3887" i="1"/>
  <c r="C3887" i="1"/>
  <c r="V3886" i="1"/>
  <c r="Q3886" i="1"/>
  <c r="P3886" i="1"/>
  <c r="O3886" i="1"/>
  <c r="N3886" i="1"/>
  <c r="I3886" i="1"/>
  <c r="H3886" i="1"/>
  <c r="G3886" i="1"/>
  <c r="F3886" i="1"/>
  <c r="E3886" i="1"/>
  <c r="D3886" i="1"/>
  <c r="C3886" i="1"/>
  <c r="V3885" i="1"/>
  <c r="Q3885" i="1"/>
  <c r="P3885" i="1"/>
  <c r="O3885" i="1"/>
  <c r="N3885" i="1"/>
  <c r="I3885" i="1"/>
  <c r="H3885" i="1"/>
  <c r="G3885" i="1"/>
  <c r="F3885" i="1"/>
  <c r="E3885" i="1"/>
  <c r="D3885" i="1"/>
  <c r="C3885" i="1"/>
  <c r="V3884" i="1"/>
  <c r="Q3884" i="1"/>
  <c r="P3884" i="1"/>
  <c r="O3884" i="1"/>
  <c r="N3884" i="1"/>
  <c r="I3884" i="1"/>
  <c r="H3884" i="1"/>
  <c r="G3884" i="1"/>
  <c r="F3884" i="1"/>
  <c r="E3884" i="1"/>
  <c r="D3884" i="1"/>
  <c r="C3884" i="1"/>
  <c r="V3883" i="1"/>
  <c r="Q3883" i="1"/>
  <c r="P3883" i="1"/>
  <c r="O3883" i="1"/>
  <c r="N3883" i="1"/>
  <c r="I3883" i="1"/>
  <c r="H3883" i="1"/>
  <c r="G3883" i="1"/>
  <c r="F3883" i="1"/>
  <c r="E3883" i="1"/>
  <c r="D3883" i="1"/>
  <c r="C3883" i="1"/>
  <c r="V3882" i="1"/>
  <c r="Q3882" i="1"/>
  <c r="P3882" i="1"/>
  <c r="O3882" i="1"/>
  <c r="N3882" i="1"/>
  <c r="I3882" i="1"/>
  <c r="H3882" i="1"/>
  <c r="G3882" i="1"/>
  <c r="F3882" i="1"/>
  <c r="E3882" i="1"/>
  <c r="D3882" i="1"/>
  <c r="C3882" i="1"/>
  <c r="V3881" i="1"/>
  <c r="Q3881" i="1"/>
  <c r="P3881" i="1"/>
  <c r="O3881" i="1"/>
  <c r="N3881" i="1"/>
  <c r="I3881" i="1"/>
  <c r="H3881" i="1"/>
  <c r="G3881" i="1"/>
  <c r="F3881" i="1"/>
  <c r="E3881" i="1"/>
  <c r="D3881" i="1"/>
  <c r="C3881" i="1"/>
  <c r="V3880" i="1"/>
  <c r="Q3880" i="1"/>
  <c r="P3880" i="1"/>
  <c r="O3880" i="1"/>
  <c r="N3880" i="1"/>
  <c r="I3880" i="1"/>
  <c r="H3880" i="1"/>
  <c r="G3880" i="1"/>
  <c r="F3880" i="1"/>
  <c r="E3880" i="1"/>
  <c r="D3880" i="1"/>
  <c r="C3880" i="1"/>
  <c r="V3879" i="1"/>
  <c r="Q3879" i="1"/>
  <c r="P3879" i="1"/>
  <c r="O3879" i="1"/>
  <c r="N3879" i="1"/>
  <c r="I3879" i="1"/>
  <c r="H3879" i="1"/>
  <c r="G3879" i="1"/>
  <c r="F3879" i="1"/>
  <c r="E3879" i="1"/>
  <c r="D3879" i="1"/>
  <c r="C3879" i="1"/>
  <c r="V3878" i="1"/>
  <c r="Q3878" i="1"/>
  <c r="P3878" i="1"/>
  <c r="O3878" i="1"/>
  <c r="N3878" i="1"/>
  <c r="I3878" i="1"/>
  <c r="H3878" i="1"/>
  <c r="G3878" i="1"/>
  <c r="F3878" i="1"/>
  <c r="E3878" i="1"/>
  <c r="D3878" i="1"/>
  <c r="C3878" i="1"/>
  <c r="V3877" i="1"/>
  <c r="Q3877" i="1"/>
  <c r="P3877" i="1"/>
  <c r="O3877" i="1"/>
  <c r="N3877" i="1"/>
  <c r="I3877" i="1"/>
  <c r="H3877" i="1"/>
  <c r="G3877" i="1"/>
  <c r="F3877" i="1"/>
  <c r="E3877" i="1"/>
  <c r="D3877" i="1"/>
  <c r="C3877" i="1"/>
  <c r="V3876" i="1"/>
  <c r="Q3876" i="1"/>
  <c r="P3876" i="1"/>
  <c r="O3876" i="1"/>
  <c r="N3876" i="1"/>
  <c r="I3876" i="1"/>
  <c r="H3876" i="1"/>
  <c r="G3876" i="1"/>
  <c r="F3876" i="1"/>
  <c r="E3876" i="1"/>
  <c r="D3876" i="1"/>
  <c r="C3876" i="1"/>
  <c r="V3875" i="1"/>
  <c r="Q3875" i="1"/>
  <c r="P3875" i="1"/>
  <c r="O3875" i="1"/>
  <c r="N3875" i="1"/>
  <c r="J3875" i="1"/>
  <c r="I3875" i="1"/>
  <c r="H3875" i="1"/>
  <c r="G3875" i="1"/>
  <c r="F3875" i="1"/>
  <c r="E3875" i="1"/>
  <c r="D3875" i="1"/>
  <c r="C3875" i="1"/>
  <c r="V3874" i="1"/>
  <c r="Q3874" i="1"/>
  <c r="P3874" i="1"/>
  <c r="O3874" i="1"/>
  <c r="N3874" i="1"/>
  <c r="J3874" i="1"/>
  <c r="I3874" i="1"/>
  <c r="H3874" i="1"/>
  <c r="G3874" i="1"/>
  <c r="F3874" i="1"/>
  <c r="E3874" i="1"/>
  <c r="D3874" i="1"/>
  <c r="C3874" i="1"/>
  <c r="V3873" i="1"/>
  <c r="Q3873" i="1"/>
  <c r="P3873" i="1"/>
  <c r="O3873" i="1"/>
  <c r="N3873" i="1"/>
  <c r="J3873" i="1"/>
  <c r="I3873" i="1"/>
  <c r="H3873" i="1"/>
  <c r="G3873" i="1"/>
  <c r="F3873" i="1"/>
  <c r="E3873" i="1"/>
  <c r="D3873" i="1"/>
  <c r="C3873" i="1"/>
  <c r="V3872" i="1"/>
  <c r="Q3872" i="1"/>
  <c r="P3872" i="1"/>
  <c r="O3872" i="1"/>
  <c r="N3872" i="1"/>
  <c r="J3872" i="1"/>
  <c r="I3872" i="1"/>
  <c r="H3872" i="1"/>
  <c r="G3872" i="1"/>
  <c r="F3872" i="1"/>
  <c r="E3872" i="1"/>
  <c r="D3872" i="1"/>
  <c r="C3872" i="1"/>
  <c r="V3871" i="1"/>
  <c r="Q3871" i="1"/>
  <c r="P3871" i="1"/>
  <c r="O3871" i="1"/>
  <c r="N3871" i="1"/>
  <c r="J3871" i="1"/>
  <c r="I3871" i="1"/>
  <c r="H3871" i="1"/>
  <c r="G3871" i="1"/>
  <c r="F3871" i="1"/>
  <c r="E3871" i="1"/>
  <c r="D3871" i="1"/>
  <c r="C3871" i="1"/>
  <c r="V3870" i="1"/>
  <c r="Q3870" i="1"/>
  <c r="P3870" i="1"/>
  <c r="O3870" i="1"/>
  <c r="N3870" i="1"/>
  <c r="J3870" i="1"/>
  <c r="I3870" i="1"/>
  <c r="H3870" i="1"/>
  <c r="G3870" i="1"/>
  <c r="F3870" i="1"/>
  <c r="E3870" i="1"/>
  <c r="D3870" i="1"/>
  <c r="C3870" i="1"/>
  <c r="V3869" i="1"/>
  <c r="Q3869" i="1"/>
  <c r="P3869" i="1"/>
  <c r="O3869" i="1"/>
  <c r="N3869" i="1"/>
  <c r="J3869" i="1"/>
  <c r="I3869" i="1"/>
  <c r="H3869" i="1"/>
  <c r="G3869" i="1"/>
  <c r="F3869" i="1"/>
  <c r="E3869" i="1"/>
  <c r="D3869" i="1"/>
  <c r="C3869" i="1"/>
  <c r="V3868" i="1"/>
  <c r="Q3868" i="1"/>
  <c r="P3868" i="1"/>
  <c r="O3868" i="1"/>
  <c r="N3868" i="1"/>
  <c r="J3868" i="1"/>
  <c r="I3868" i="1"/>
  <c r="H3868" i="1"/>
  <c r="G3868" i="1"/>
  <c r="F3868" i="1"/>
  <c r="E3868" i="1"/>
  <c r="D3868" i="1"/>
  <c r="C3868" i="1"/>
  <c r="V3867" i="1"/>
  <c r="Q3867" i="1"/>
  <c r="P3867" i="1"/>
  <c r="O3867" i="1"/>
  <c r="N3867" i="1"/>
  <c r="J3867" i="1"/>
  <c r="I3867" i="1"/>
  <c r="H3867" i="1"/>
  <c r="G3867" i="1"/>
  <c r="F3867" i="1"/>
  <c r="E3867" i="1"/>
  <c r="D3867" i="1"/>
  <c r="C3867" i="1"/>
  <c r="V3866" i="1"/>
  <c r="Q3866" i="1"/>
  <c r="P3866" i="1"/>
  <c r="O3866" i="1"/>
  <c r="N3866" i="1"/>
  <c r="J3866" i="1"/>
  <c r="I3866" i="1"/>
  <c r="H3866" i="1"/>
  <c r="G3866" i="1"/>
  <c r="F3866" i="1"/>
  <c r="E3866" i="1"/>
  <c r="D3866" i="1"/>
  <c r="C3866" i="1"/>
  <c r="V3865" i="1"/>
  <c r="Q3865" i="1"/>
  <c r="P3865" i="1"/>
  <c r="O3865" i="1"/>
  <c r="N3865" i="1"/>
  <c r="J3865" i="1"/>
  <c r="I3865" i="1"/>
  <c r="H3865" i="1"/>
  <c r="G3865" i="1"/>
  <c r="F3865" i="1"/>
  <c r="E3865" i="1"/>
  <c r="D3865" i="1"/>
  <c r="C3865" i="1"/>
  <c r="V3864" i="1"/>
  <c r="Q3864" i="1"/>
  <c r="P3864" i="1"/>
  <c r="O3864" i="1"/>
  <c r="N3864" i="1"/>
  <c r="J3864" i="1"/>
  <c r="I3864" i="1"/>
  <c r="H3864" i="1"/>
  <c r="G3864" i="1"/>
  <c r="F3864" i="1"/>
  <c r="E3864" i="1"/>
  <c r="D3864" i="1"/>
  <c r="C3864" i="1"/>
  <c r="V3863" i="1"/>
  <c r="Q3863" i="1"/>
  <c r="P3863" i="1"/>
  <c r="O3863" i="1"/>
  <c r="N3863" i="1"/>
  <c r="J3863" i="1"/>
  <c r="I3863" i="1"/>
  <c r="H3863" i="1"/>
  <c r="G3863" i="1"/>
  <c r="F3863" i="1"/>
  <c r="E3863" i="1"/>
  <c r="D3863" i="1"/>
  <c r="C3863" i="1"/>
  <c r="V3862" i="1"/>
  <c r="Q3862" i="1"/>
  <c r="P3862" i="1"/>
  <c r="O3862" i="1"/>
  <c r="N3862" i="1"/>
  <c r="J3862" i="1"/>
  <c r="I3862" i="1"/>
  <c r="H3862" i="1"/>
  <c r="G3862" i="1"/>
  <c r="F3862" i="1"/>
  <c r="E3862" i="1"/>
  <c r="D3862" i="1"/>
  <c r="C3862" i="1"/>
  <c r="V3861" i="1"/>
  <c r="Q3861" i="1"/>
  <c r="P3861" i="1"/>
  <c r="O3861" i="1"/>
  <c r="N3861" i="1"/>
  <c r="J3861" i="1"/>
  <c r="I3861" i="1"/>
  <c r="H3861" i="1"/>
  <c r="G3861" i="1"/>
  <c r="F3861" i="1"/>
  <c r="E3861" i="1"/>
  <c r="D3861" i="1"/>
  <c r="C3861" i="1"/>
  <c r="V3860" i="1"/>
  <c r="Q3860" i="1"/>
  <c r="P3860" i="1"/>
  <c r="O3860" i="1"/>
  <c r="N3860" i="1"/>
  <c r="J3860" i="1"/>
  <c r="I3860" i="1"/>
  <c r="H3860" i="1"/>
  <c r="G3860" i="1"/>
  <c r="F3860" i="1"/>
  <c r="E3860" i="1"/>
  <c r="D3860" i="1"/>
  <c r="C3860" i="1"/>
  <c r="V3859" i="1"/>
  <c r="Q3859" i="1"/>
  <c r="P3859" i="1"/>
  <c r="O3859" i="1"/>
  <c r="N3859" i="1"/>
  <c r="J3859" i="1"/>
  <c r="I3859" i="1"/>
  <c r="H3859" i="1"/>
  <c r="G3859" i="1"/>
  <c r="F3859" i="1"/>
  <c r="E3859" i="1"/>
  <c r="D3859" i="1"/>
  <c r="C3859" i="1"/>
  <c r="V3858" i="1"/>
  <c r="Q3858" i="1"/>
  <c r="P3858" i="1"/>
  <c r="O3858" i="1"/>
  <c r="N3858" i="1"/>
  <c r="J3858" i="1"/>
  <c r="I3858" i="1"/>
  <c r="H3858" i="1"/>
  <c r="G3858" i="1"/>
  <c r="F3858" i="1"/>
  <c r="E3858" i="1"/>
  <c r="D3858" i="1"/>
  <c r="C3858" i="1"/>
  <c r="V3857" i="1"/>
  <c r="Q3857" i="1"/>
  <c r="P3857" i="1"/>
  <c r="O3857" i="1"/>
  <c r="N3857" i="1"/>
  <c r="J3857" i="1"/>
  <c r="I3857" i="1"/>
  <c r="H3857" i="1"/>
  <c r="G3857" i="1"/>
  <c r="F3857" i="1"/>
  <c r="E3857" i="1"/>
  <c r="D3857" i="1"/>
  <c r="C3857" i="1"/>
  <c r="V3856" i="1"/>
  <c r="Q3856" i="1"/>
  <c r="P3856" i="1"/>
  <c r="O3856" i="1"/>
  <c r="N3856" i="1"/>
  <c r="J3856" i="1"/>
  <c r="I3856" i="1"/>
  <c r="H3856" i="1"/>
  <c r="G3856" i="1"/>
  <c r="F3856" i="1"/>
  <c r="E3856" i="1"/>
  <c r="D3856" i="1"/>
  <c r="C3856" i="1"/>
  <c r="V3855" i="1"/>
  <c r="Q3855" i="1"/>
  <c r="P3855" i="1"/>
  <c r="O3855" i="1"/>
  <c r="N3855" i="1"/>
  <c r="J3855" i="1"/>
  <c r="I3855" i="1"/>
  <c r="H3855" i="1"/>
  <c r="G3855" i="1"/>
  <c r="F3855" i="1"/>
  <c r="E3855" i="1"/>
  <c r="D3855" i="1"/>
  <c r="C3855" i="1"/>
  <c r="V3854" i="1"/>
  <c r="Q3854" i="1"/>
  <c r="P3854" i="1"/>
  <c r="O3854" i="1"/>
  <c r="N3854" i="1"/>
  <c r="J3854" i="1"/>
  <c r="I3854" i="1"/>
  <c r="H3854" i="1"/>
  <c r="G3854" i="1"/>
  <c r="F3854" i="1"/>
  <c r="E3854" i="1"/>
  <c r="D3854" i="1"/>
  <c r="C3854" i="1"/>
  <c r="V3853" i="1"/>
  <c r="Q3853" i="1"/>
  <c r="P3853" i="1"/>
  <c r="O3853" i="1"/>
  <c r="N3853" i="1"/>
  <c r="J3853" i="1"/>
  <c r="I3853" i="1"/>
  <c r="H3853" i="1"/>
  <c r="G3853" i="1"/>
  <c r="F3853" i="1"/>
  <c r="E3853" i="1"/>
  <c r="D3853" i="1"/>
  <c r="C3853" i="1"/>
  <c r="V3852" i="1"/>
  <c r="Q3852" i="1"/>
  <c r="P3852" i="1"/>
  <c r="O3852" i="1"/>
  <c r="N3852" i="1"/>
  <c r="J3852" i="1"/>
  <c r="I3852" i="1"/>
  <c r="H3852" i="1"/>
  <c r="G3852" i="1"/>
  <c r="F3852" i="1"/>
  <c r="E3852" i="1"/>
  <c r="D3852" i="1"/>
  <c r="C3852" i="1"/>
  <c r="V3851" i="1"/>
  <c r="Q3851" i="1"/>
  <c r="P3851" i="1"/>
  <c r="O3851" i="1"/>
  <c r="N3851" i="1"/>
  <c r="J3851" i="1"/>
  <c r="I3851" i="1"/>
  <c r="H3851" i="1"/>
  <c r="G3851" i="1"/>
  <c r="F3851" i="1"/>
  <c r="E3851" i="1"/>
  <c r="D3851" i="1"/>
  <c r="C3851" i="1"/>
  <c r="V3850" i="1"/>
  <c r="Q3850" i="1"/>
  <c r="P3850" i="1"/>
  <c r="O3850" i="1"/>
  <c r="N3850" i="1"/>
  <c r="J3850" i="1"/>
  <c r="I3850" i="1"/>
  <c r="H3850" i="1"/>
  <c r="G3850" i="1"/>
  <c r="F3850" i="1"/>
  <c r="E3850" i="1"/>
  <c r="D3850" i="1"/>
  <c r="C3850" i="1"/>
  <c r="V3849" i="1"/>
  <c r="Q3849" i="1"/>
  <c r="P3849" i="1"/>
  <c r="O3849" i="1"/>
  <c r="N3849" i="1"/>
  <c r="J3849" i="1"/>
  <c r="I3849" i="1"/>
  <c r="H3849" i="1"/>
  <c r="G3849" i="1"/>
  <c r="F3849" i="1"/>
  <c r="E3849" i="1"/>
  <c r="D3849" i="1"/>
  <c r="C3849" i="1"/>
  <c r="V3848" i="1"/>
  <c r="Q3848" i="1"/>
  <c r="P3848" i="1"/>
  <c r="O3848" i="1"/>
  <c r="N3848" i="1"/>
  <c r="J3848" i="1"/>
  <c r="I3848" i="1"/>
  <c r="H3848" i="1"/>
  <c r="G3848" i="1"/>
  <c r="F3848" i="1"/>
  <c r="E3848" i="1"/>
  <c r="D3848" i="1"/>
  <c r="C3848" i="1"/>
  <c r="V3847" i="1"/>
  <c r="Q3847" i="1"/>
  <c r="P3847" i="1"/>
  <c r="O3847" i="1"/>
  <c r="N3847" i="1"/>
  <c r="J3847" i="1"/>
  <c r="I3847" i="1"/>
  <c r="H3847" i="1"/>
  <c r="G3847" i="1"/>
  <c r="F3847" i="1"/>
  <c r="E3847" i="1"/>
  <c r="D3847" i="1"/>
  <c r="C3847" i="1"/>
  <c r="V3846" i="1"/>
  <c r="Q3846" i="1"/>
  <c r="P3846" i="1"/>
  <c r="O3846" i="1"/>
  <c r="N3846" i="1"/>
  <c r="J3846" i="1"/>
  <c r="I3846" i="1"/>
  <c r="H3846" i="1"/>
  <c r="G3846" i="1"/>
  <c r="F3846" i="1"/>
  <c r="E3846" i="1"/>
  <c r="D3846" i="1"/>
  <c r="C3846" i="1"/>
  <c r="V3845" i="1"/>
  <c r="Q3845" i="1"/>
  <c r="P3845" i="1"/>
  <c r="O3845" i="1"/>
  <c r="N3845" i="1"/>
  <c r="J3845" i="1"/>
  <c r="I3845" i="1"/>
  <c r="H3845" i="1"/>
  <c r="G3845" i="1"/>
  <c r="F3845" i="1"/>
  <c r="E3845" i="1"/>
  <c r="D3845" i="1"/>
  <c r="C3845" i="1"/>
  <c r="V3844" i="1"/>
  <c r="Q3844" i="1"/>
  <c r="P3844" i="1"/>
  <c r="O3844" i="1"/>
  <c r="N3844" i="1"/>
  <c r="J3844" i="1"/>
  <c r="I3844" i="1"/>
  <c r="H3844" i="1"/>
  <c r="G3844" i="1"/>
  <c r="F3844" i="1"/>
  <c r="E3844" i="1"/>
  <c r="D3844" i="1"/>
  <c r="C3844" i="1"/>
  <c r="V3843" i="1"/>
  <c r="Q3843" i="1"/>
  <c r="P3843" i="1"/>
  <c r="O3843" i="1"/>
  <c r="N3843" i="1"/>
  <c r="J3843" i="1"/>
  <c r="I3843" i="1"/>
  <c r="H3843" i="1"/>
  <c r="G3843" i="1"/>
  <c r="F3843" i="1"/>
  <c r="E3843" i="1"/>
  <c r="D3843" i="1"/>
  <c r="C3843" i="1"/>
  <c r="V3842" i="1"/>
  <c r="Q3842" i="1"/>
  <c r="P3842" i="1"/>
  <c r="O3842" i="1"/>
  <c r="N3842" i="1"/>
  <c r="J3842" i="1"/>
  <c r="I3842" i="1"/>
  <c r="H3842" i="1"/>
  <c r="G3842" i="1"/>
  <c r="F3842" i="1"/>
  <c r="E3842" i="1"/>
  <c r="D3842" i="1"/>
  <c r="C3842" i="1"/>
  <c r="V3841" i="1"/>
  <c r="Q3841" i="1"/>
  <c r="P3841" i="1"/>
  <c r="O3841" i="1"/>
  <c r="N3841" i="1"/>
  <c r="J3841" i="1"/>
  <c r="I3841" i="1"/>
  <c r="H3841" i="1"/>
  <c r="G3841" i="1"/>
  <c r="F3841" i="1"/>
  <c r="E3841" i="1"/>
  <c r="D3841" i="1"/>
  <c r="C3841" i="1"/>
  <c r="V3840" i="1"/>
  <c r="Q3840" i="1"/>
  <c r="P3840" i="1"/>
  <c r="O3840" i="1"/>
  <c r="N3840" i="1"/>
  <c r="J3840" i="1"/>
  <c r="I3840" i="1"/>
  <c r="H3840" i="1"/>
  <c r="G3840" i="1"/>
  <c r="F3840" i="1"/>
  <c r="E3840" i="1"/>
  <c r="D3840" i="1"/>
  <c r="C3840" i="1"/>
  <c r="V3839" i="1"/>
  <c r="Q3839" i="1"/>
  <c r="P3839" i="1"/>
  <c r="O3839" i="1"/>
  <c r="N3839" i="1"/>
  <c r="J3839" i="1"/>
  <c r="I3839" i="1"/>
  <c r="H3839" i="1"/>
  <c r="G3839" i="1"/>
  <c r="F3839" i="1"/>
  <c r="E3839" i="1"/>
  <c r="D3839" i="1"/>
  <c r="C3839" i="1"/>
  <c r="V3838" i="1"/>
  <c r="Q3838" i="1"/>
  <c r="P3838" i="1"/>
  <c r="O3838" i="1"/>
  <c r="N3838" i="1"/>
  <c r="J3838" i="1"/>
  <c r="I3838" i="1"/>
  <c r="H3838" i="1"/>
  <c r="G3838" i="1"/>
  <c r="F3838" i="1"/>
  <c r="E3838" i="1"/>
  <c r="D3838" i="1"/>
  <c r="C3838" i="1"/>
  <c r="V3837" i="1"/>
  <c r="Q3837" i="1"/>
  <c r="P3837" i="1"/>
  <c r="O3837" i="1"/>
  <c r="N3837" i="1"/>
  <c r="J3837" i="1"/>
  <c r="I3837" i="1"/>
  <c r="H3837" i="1"/>
  <c r="G3837" i="1"/>
  <c r="F3837" i="1"/>
  <c r="E3837" i="1"/>
  <c r="D3837" i="1"/>
  <c r="C3837" i="1"/>
  <c r="V3836" i="1"/>
  <c r="Q3836" i="1"/>
  <c r="P3836" i="1"/>
  <c r="O3836" i="1"/>
  <c r="N3836" i="1"/>
  <c r="J3836" i="1"/>
  <c r="I3836" i="1"/>
  <c r="H3836" i="1"/>
  <c r="G3836" i="1"/>
  <c r="F3836" i="1"/>
  <c r="E3836" i="1"/>
  <c r="D3836" i="1"/>
  <c r="C3836" i="1"/>
  <c r="V3835" i="1"/>
  <c r="Q3835" i="1"/>
  <c r="P3835" i="1"/>
  <c r="O3835" i="1"/>
  <c r="N3835" i="1"/>
  <c r="J3835" i="1"/>
  <c r="I3835" i="1"/>
  <c r="H3835" i="1"/>
  <c r="G3835" i="1"/>
  <c r="F3835" i="1"/>
  <c r="E3835" i="1"/>
  <c r="D3835" i="1"/>
  <c r="C3835" i="1"/>
  <c r="V3834" i="1"/>
  <c r="Q3834" i="1"/>
  <c r="P3834" i="1"/>
  <c r="O3834" i="1"/>
  <c r="N3834" i="1"/>
  <c r="J3834" i="1"/>
  <c r="I3834" i="1"/>
  <c r="H3834" i="1"/>
  <c r="G3834" i="1"/>
  <c r="F3834" i="1"/>
  <c r="E3834" i="1"/>
  <c r="D3834" i="1"/>
  <c r="C3834" i="1"/>
  <c r="V3833" i="1"/>
  <c r="Q3833" i="1"/>
  <c r="P3833" i="1"/>
  <c r="O3833" i="1"/>
  <c r="N3833" i="1"/>
  <c r="J3833" i="1"/>
  <c r="I3833" i="1"/>
  <c r="H3833" i="1"/>
  <c r="G3833" i="1"/>
  <c r="F3833" i="1"/>
  <c r="E3833" i="1"/>
  <c r="D3833" i="1"/>
  <c r="C3833" i="1"/>
  <c r="V3832" i="1"/>
  <c r="Q3832" i="1"/>
  <c r="P3832" i="1"/>
  <c r="O3832" i="1"/>
  <c r="N3832" i="1"/>
  <c r="J3832" i="1"/>
  <c r="I3832" i="1"/>
  <c r="H3832" i="1"/>
  <c r="G3832" i="1"/>
  <c r="F3832" i="1"/>
  <c r="E3832" i="1"/>
  <c r="D3832" i="1"/>
  <c r="C3832" i="1"/>
  <c r="V3831" i="1"/>
  <c r="Q3831" i="1"/>
  <c r="P3831" i="1"/>
  <c r="O3831" i="1"/>
  <c r="N3831" i="1"/>
  <c r="J3831" i="1"/>
  <c r="I3831" i="1"/>
  <c r="H3831" i="1"/>
  <c r="G3831" i="1"/>
  <c r="F3831" i="1"/>
  <c r="E3831" i="1"/>
  <c r="D3831" i="1"/>
  <c r="C3831" i="1"/>
  <c r="V3830" i="1"/>
  <c r="Q3830" i="1"/>
  <c r="P3830" i="1"/>
  <c r="O3830" i="1"/>
  <c r="N3830" i="1"/>
  <c r="J3830" i="1"/>
  <c r="I3830" i="1"/>
  <c r="H3830" i="1"/>
  <c r="G3830" i="1"/>
  <c r="F3830" i="1"/>
  <c r="E3830" i="1"/>
  <c r="D3830" i="1"/>
  <c r="C3830" i="1"/>
  <c r="V3829" i="1"/>
  <c r="Q3829" i="1"/>
  <c r="P3829" i="1"/>
  <c r="O3829" i="1"/>
  <c r="N3829" i="1"/>
  <c r="J3829" i="1"/>
  <c r="I3829" i="1"/>
  <c r="H3829" i="1"/>
  <c r="G3829" i="1"/>
  <c r="F3829" i="1"/>
  <c r="E3829" i="1"/>
  <c r="D3829" i="1"/>
  <c r="C3829" i="1"/>
  <c r="V3828" i="1"/>
  <c r="Q3828" i="1"/>
  <c r="P3828" i="1"/>
  <c r="O3828" i="1"/>
  <c r="N3828" i="1"/>
  <c r="J3828" i="1"/>
  <c r="I3828" i="1"/>
  <c r="H3828" i="1"/>
  <c r="G3828" i="1"/>
  <c r="F3828" i="1"/>
  <c r="E3828" i="1"/>
  <c r="D3828" i="1"/>
  <c r="C3828" i="1"/>
  <c r="V3827" i="1"/>
  <c r="Q3827" i="1"/>
  <c r="P3827" i="1"/>
  <c r="O3827" i="1"/>
  <c r="N3827" i="1"/>
  <c r="J3827" i="1"/>
  <c r="I3827" i="1"/>
  <c r="H3827" i="1"/>
  <c r="G3827" i="1"/>
  <c r="F3827" i="1"/>
  <c r="E3827" i="1"/>
  <c r="D3827" i="1"/>
  <c r="C3827" i="1"/>
  <c r="V3826" i="1"/>
  <c r="Q3826" i="1"/>
  <c r="P3826" i="1"/>
  <c r="O3826" i="1"/>
  <c r="N3826" i="1"/>
  <c r="J3826" i="1"/>
  <c r="I3826" i="1"/>
  <c r="H3826" i="1"/>
  <c r="G3826" i="1"/>
  <c r="F3826" i="1"/>
  <c r="E3826" i="1"/>
  <c r="D3826" i="1"/>
  <c r="C3826" i="1"/>
  <c r="V3825" i="1"/>
  <c r="Q3825" i="1"/>
  <c r="P3825" i="1"/>
  <c r="O3825" i="1"/>
  <c r="N3825" i="1"/>
  <c r="J3825" i="1"/>
  <c r="I3825" i="1"/>
  <c r="H3825" i="1"/>
  <c r="G3825" i="1"/>
  <c r="F3825" i="1"/>
  <c r="E3825" i="1"/>
  <c r="D3825" i="1"/>
  <c r="C3825" i="1"/>
  <c r="V3824" i="1"/>
  <c r="Q3824" i="1"/>
  <c r="P3824" i="1"/>
  <c r="O3824" i="1"/>
  <c r="N3824" i="1"/>
  <c r="J3824" i="1"/>
  <c r="I3824" i="1"/>
  <c r="H3824" i="1"/>
  <c r="G3824" i="1"/>
  <c r="F3824" i="1"/>
  <c r="E3824" i="1"/>
  <c r="D3824" i="1"/>
  <c r="C3824" i="1"/>
  <c r="V3823" i="1"/>
  <c r="Q3823" i="1"/>
  <c r="P3823" i="1"/>
  <c r="O3823" i="1"/>
  <c r="N3823" i="1"/>
  <c r="J3823" i="1"/>
  <c r="I3823" i="1"/>
  <c r="H3823" i="1"/>
  <c r="G3823" i="1"/>
  <c r="F3823" i="1"/>
  <c r="E3823" i="1"/>
  <c r="D3823" i="1"/>
  <c r="C3823" i="1"/>
  <c r="V3822" i="1"/>
  <c r="Q3822" i="1"/>
  <c r="P3822" i="1"/>
  <c r="O3822" i="1"/>
  <c r="N3822" i="1"/>
  <c r="J3822" i="1"/>
  <c r="I3822" i="1"/>
  <c r="H3822" i="1"/>
  <c r="G3822" i="1"/>
  <c r="F3822" i="1"/>
  <c r="E3822" i="1"/>
  <c r="D3822" i="1"/>
  <c r="C3822" i="1"/>
  <c r="V3821" i="1"/>
  <c r="Q3821" i="1"/>
  <c r="P3821" i="1"/>
  <c r="O3821" i="1"/>
  <c r="N3821" i="1"/>
  <c r="J3821" i="1"/>
  <c r="I3821" i="1"/>
  <c r="H3821" i="1"/>
  <c r="G3821" i="1"/>
  <c r="F3821" i="1"/>
  <c r="E3821" i="1"/>
  <c r="D3821" i="1"/>
  <c r="C3821" i="1"/>
  <c r="V3820" i="1"/>
  <c r="Q3820" i="1"/>
  <c r="P3820" i="1"/>
  <c r="O3820" i="1"/>
  <c r="N3820" i="1"/>
  <c r="J3820" i="1"/>
  <c r="I3820" i="1"/>
  <c r="H3820" i="1"/>
  <c r="G3820" i="1"/>
  <c r="F3820" i="1"/>
  <c r="E3820" i="1"/>
  <c r="D3820" i="1"/>
  <c r="C3820" i="1"/>
  <c r="V3819" i="1"/>
  <c r="Q3819" i="1"/>
  <c r="P3819" i="1"/>
  <c r="O3819" i="1"/>
  <c r="N3819" i="1"/>
  <c r="J3819" i="1"/>
  <c r="I3819" i="1"/>
  <c r="H3819" i="1"/>
  <c r="G3819" i="1"/>
  <c r="F3819" i="1"/>
  <c r="E3819" i="1"/>
  <c r="D3819" i="1"/>
  <c r="C3819" i="1"/>
  <c r="V3818" i="1"/>
  <c r="Q3818" i="1"/>
  <c r="P3818" i="1"/>
  <c r="O3818" i="1"/>
  <c r="N3818" i="1"/>
  <c r="J3818" i="1"/>
  <c r="I3818" i="1"/>
  <c r="H3818" i="1"/>
  <c r="G3818" i="1"/>
  <c r="F3818" i="1"/>
  <c r="E3818" i="1"/>
  <c r="D3818" i="1"/>
  <c r="C3818" i="1"/>
  <c r="V3817" i="1"/>
  <c r="Q3817" i="1"/>
  <c r="P3817" i="1"/>
  <c r="O3817" i="1"/>
  <c r="N3817" i="1"/>
  <c r="J3817" i="1"/>
  <c r="I3817" i="1"/>
  <c r="H3817" i="1"/>
  <c r="G3817" i="1"/>
  <c r="F3817" i="1"/>
  <c r="E3817" i="1"/>
  <c r="D3817" i="1"/>
  <c r="C3817" i="1"/>
  <c r="V3816" i="1"/>
  <c r="Q3816" i="1"/>
  <c r="P3816" i="1"/>
  <c r="O3816" i="1"/>
  <c r="N3816" i="1"/>
  <c r="J3816" i="1"/>
  <c r="I3816" i="1"/>
  <c r="H3816" i="1"/>
  <c r="G3816" i="1"/>
  <c r="F3816" i="1"/>
  <c r="E3816" i="1"/>
  <c r="D3816" i="1"/>
  <c r="C3816" i="1"/>
  <c r="V3815" i="1"/>
  <c r="Q3815" i="1"/>
  <c r="P3815" i="1"/>
  <c r="O3815" i="1"/>
  <c r="N3815" i="1"/>
  <c r="J3815" i="1"/>
  <c r="I3815" i="1"/>
  <c r="H3815" i="1"/>
  <c r="G3815" i="1"/>
  <c r="F3815" i="1"/>
  <c r="E3815" i="1"/>
  <c r="D3815" i="1"/>
  <c r="C3815" i="1"/>
  <c r="V3814" i="1"/>
  <c r="Q3814" i="1"/>
  <c r="P3814" i="1"/>
  <c r="O3814" i="1"/>
  <c r="N3814" i="1"/>
  <c r="J3814" i="1"/>
  <c r="I3814" i="1"/>
  <c r="H3814" i="1"/>
  <c r="G3814" i="1"/>
  <c r="F3814" i="1"/>
  <c r="E3814" i="1"/>
  <c r="D3814" i="1"/>
  <c r="C3814" i="1"/>
  <c r="V3813" i="1"/>
  <c r="Q3813" i="1"/>
  <c r="P3813" i="1"/>
  <c r="O3813" i="1"/>
  <c r="N3813" i="1"/>
  <c r="J3813" i="1"/>
  <c r="I3813" i="1"/>
  <c r="H3813" i="1"/>
  <c r="G3813" i="1"/>
  <c r="F3813" i="1"/>
  <c r="E3813" i="1"/>
  <c r="D3813" i="1"/>
  <c r="C3813" i="1"/>
  <c r="V3812" i="1"/>
  <c r="Q3812" i="1"/>
  <c r="P3812" i="1"/>
  <c r="O3812" i="1"/>
  <c r="N3812" i="1"/>
  <c r="J3812" i="1"/>
  <c r="I3812" i="1"/>
  <c r="H3812" i="1"/>
  <c r="G3812" i="1"/>
  <c r="F3812" i="1"/>
  <c r="E3812" i="1"/>
  <c r="D3812" i="1"/>
  <c r="C3812" i="1"/>
  <c r="V3811" i="1"/>
  <c r="Q3811" i="1"/>
  <c r="P3811" i="1"/>
  <c r="O3811" i="1"/>
  <c r="N3811" i="1"/>
  <c r="J3811" i="1"/>
  <c r="I3811" i="1"/>
  <c r="H3811" i="1"/>
  <c r="G3811" i="1"/>
  <c r="F3811" i="1"/>
  <c r="E3811" i="1"/>
  <c r="D3811" i="1"/>
  <c r="C3811" i="1"/>
  <c r="V3810" i="1"/>
  <c r="Q3810" i="1"/>
  <c r="P3810" i="1"/>
  <c r="O3810" i="1"/>
  <c r="N3810" i="1"/>
  <c r="J3810" i="1"/>
  <c r="I3810" i="1"/>
  <c r="H3810" i="1"/>
  <c r="G3810" i="1"/>
  <c r="F3810" i="1"/>
  <c r="E3810" i="1"/>
  <c r="D3810" i="1"/>
  <c r="C3810" i="1"/>
  <c r="V3809" i="1"/>
  <c r="Q3809" i="1"/>
  <c r="P3809" i="1"/>
  <c r="O3809" i="1"/>
  <c r="N3809" i="1"/>
  <c r="J3809" i="1"/>
  <c r="I3809" i="1"/>
  <c r="H3809" i="1"/>
  <c r="G3809" i="1"/>
  <c r="F3809" i="1"/>
  <c r="E3809" i="1"/>
  <c r="D3809" i="1"/>
  <c r="C3809" i="1"/>
  <c r="V3808" i="1"/>
  <c r="Q3808" i="1"/>
  <c r="P3808" i="1"/>
  <c r="O3808" i="1"/>
  <c r="N3808" i="1"/>
  <c r="J3808" i="1"/>
  <c r="I3808" i="1"/>
  <c r="H3808" i="1"/>
  <c r="G3808" i="1"/>
  <c r="F3808" i="1"/>
  <c r="E3808" i="1"/>
  <c r="D3808" i="1"/>
  <c r="C3808" i="1"/>
  <c r="V3807" i="1"/>
  <c r="Q3807" i="1"/>
  <c r="P3807" i="1"/>
  <c r="O3807" i="1"/>
  <c r="N3807" i="1"/>
  <c r="J3807" i="1"/>
  <c r="I3807" i="1"/>
  <c r="H3807" i="1"/>
  <c r="G3807" i="1"/>
  <c r="F3807" i="1"/>
  <c r="E3807" i="1"/>
  <c r="D3807" i="1"/>
  <c r="C3807" i="1"/>
  <c r="V3806" i="1"/>
  <c r="Q3806" i="1"/>
  <c r="P3806" i="1"/>
  <c r="O3806" i="1"/>
  <c r="N3806" i="1"/>
  <c r="J3806" i="1"/>
  <c r="I3806" i="1"/>
  <c r="H3806" i="1"/>
  <c r="G3806" i="1"/>
  <c r="F3806" i="1"/>
  <c r="E3806" i="1"/>
  <c r="D3806" i="1"/>
  <c r="C3806" i="1"/>
  <c r="V3805" i="1"/>
  <c r="Q3805" i="1"/>
  <c r="P3805" i="1"/>
  <c r="O3805" i="1"/>
  <c r="N3805" i="1"/>
  <c r="J3805" i="1"/>
  <c r="I3805" i="1"/>
  <c r="H3805" i="1"/>
  <c r="G3805" i="1"/>
  <c r="F3805" i="1"/>
  <c r="E3805" i="1"/>
  <c r="D3805" i="1"/>
  <c r="C3805" i="1"/>
  <c r="V3804" i="1"/>
  <c r="Q3804" i="1"/>
  <c r="P3804" i="1"/>
  <c r="O3804" i="1"/>
  <c r="N3804" i="1"/>
  <c r="J3804" i="1"/>
  <c r="I3804" i="1"/>
  <c r="H3804" i="1"/>
  <c r="G3804" i="1"/>
  <c r="F3804" i="1"/>
  <c r="E3804" i="1"/>
  <c r="D3804" i="1"/>
  <c r="C3804" i="1"/>
  <c r="V3803" i="1"/>
  <c r="Q3803" i="1"/>
  <c r="P3803" i="1"/>
  <c r="O3803" i="1"/>
  <c r="N3803" i="1"/>
  <c r="J3803" i="1"/>
  <c r="I3803" i="1"/>
  <c r="H3803" i="1"/>
  <c r="G3803" i="1"/>
  <c r="F3803" i="1"/>
  <c r="E3803" i="1"/>
  <c r="D3803" i="1"/>
  <c r="C3803" i="1"/>
  <c r="V3802" i="1"/>
  <c r="Q3802" i="1"/>
  <c r="P3802" i="1"/>
  <c r="O3802" i="1"/>
  <c r="N3802" i="1"/>
  <c r="J3802" i="1"/>
  <c r="I3802" i="1"/>
  <c r="H3802" i="1"/>
  <c r="G3802" i="1"/>
  <c r="F3802" i="1"/>
  <c r="E3802" i="1"/>
  <c r="D3802" i="1"/>
  <c r="C3802" i="1"/>
  <c r="V3801" i="1"/>
  <c r="Q3801" i="1"/>
  <c r="P3801" i="1"/>
  <c r="O3801" i="1"/>
  <c r="N3801" i="1"/>
  <c r="J3801" i="1"/>
  <c r="I3801" i="1"/>
  <c r="H3801" i="1"/>
  <c r="G3801" i="1"/>
  <c r="F3801" i="1"/>
  <c r="E3801" i="1"/>
  <c r="D3801" i="1"/>
  <c r="C3801" i="1"/>
  <c r="V3800" i="1"/>
  <c r="Q3800" i="1"/>
  <c r="P3800" i="1"/>
  <c r="O3800" i="1"/>
  <c r="N3800" i="1"/>
  <c r="J3800" i="1"/>
  <c r="I3800" i="1"/>
  <c r="H3800" i="1"/>
  <c r="G3800" i="1"/>
  <c r="F3800" i="1"/>
  <c r="E3800" i="1"/>
  <c r="D3800" i="1"/>
  <c r="C3800" i="1"/>
  <c r="V3799" i="1"/>
  <c r="Q3799" i="1"/>
  <c r="P3799" i="1"/>
  <c r="O3799" i="1"/>
  <c r="N3799" i="1"/>
  <c r="J3799" i="1"/>
  <c r="I3799" i="1"/>
  <c r="H3799" i="1"/>
  <c r="G3799" i="1"/>
  <c r="F3799" i="1"/>
  <c r="E3799" i="1"/>
  <c r="D3799" i="1"/>
  <c r="C3799" i="1"/>
  <c r="V3798" i="1"/>
  <c r="Q3798" i="1"/>
  <c r="P3798" i="1"/>
  <c r="O3798" i="1"/>
  <c r="N3798" i="1"/>
  <c r="J3798" i="1"/>
  <c r="I3798" i="1"/>
  <c r="H3798" i="1"/>
  <c r="G3798" i="1"/>
  <c r="F3798" i="1"/>
  <c r="E3798" i="1"/>
  <c r="D3798" i="1"/>
  <c r="C3798" i="1"/>
  <c r="V3797" i="1"/>
  <c r="Q3797" i="1"/>
  <c r="P3797" i="1"/>
  <c r="O3797" i="1"/>
  <c r="N3797" i="1"/>
  <c r="J3797" i="1"/>
  <c r="I3797" i="1"/>
  <c r="H3797" i="1"/>
  <c r="G3797" i="1"/>
  <c r="F3797" i="1"/>
  <c r="E3797" i="1"/>
  <c r="D3797" i="1"/>
  <c r="C3797" i="1"/>
  <c r="V3796" i="1"/>
  <c r="Q3796" i="1"/>
  <c r="P3796" i="1"/>
  <c r="O3796" i="1"/>
  <c r="N3796" i="1"/>
  <c r="J3796" i="1"/>
  <c r="I3796" i="1"/>
  <c r="H3796" i="1"/>
  <c r="G3796" i="1"/>
  <c r="F3796" i="1"/>
  <c r="E3796" i="1"/>
  <c r="D3796" i="1"/>
  <c r="C3796" i="1"/>
  <c r="V3795" i="1"/>
  <c r="Q3795" i="1"/>
  <c r="P3795" i="1"/>
  <c r="O3795" i="1"/>
  <c r="N3795" i="1"/>
  <c r="J3795" i="1"/>
  <c r="I3795" i="1"/>
  <c r="H3795" i="1"/>
  <c r="G3795" i="1"/>
  <c r="F3795" i="1"/>
  <c r="E3795" i="1"/>
  <c r="D3795" i="1"/>
  <c r="C3795" i="1"/>
  <c r="V3794" i="1"/>
  <c r="Q3794" i="1"/>
  <c r="P3794" i="1"/>
  <c r="O3794" i="1"/>
  <c r="N3794" i="1"/>
  <c r="J3794" i="1"/>
  <c r="I3794" i="1"/>
  <c r="H3794" i="1"/>
  <c r="G3794" i="1"/>
  <c r="F3794" i="1"/>
  <c r="E3794" i="1"/>
  <c r="D3794" i="1"/>
  <c r="C3794" i="1"/>
  <c r="V3793" i="1"/>
  <c r="Q3793" i="1"/>
  <c r="P3793" i="1"/>
  <c r="O3793" i="1"/>
  <c r="N3793" i="1"/>
  <c r="J3793" i="1"/>
  <c r="I3793" i="1"/>
  <c r="H3793" i="1"/>
  <c r="G3793" i="1"/>
  <c r="F3793" i="1"/>
  <c r="E3793" i="1"/>
  <c r="D3793" i="1"/>
  <c r="C3793" i="1"/>
  <c r="V3792" i="1"/>
  <c r="Q3792" i="1"/>
  <c r="P3792" i="1"/>
  <c r="O3792" i="1"/>
  <c r="N3792" i="1"/>
  <c r="J3792" i="1"/>
  <c r="I3792" i="1"/>
  <c r="H3792" i="1"/>
  <c r="G3792" i="1"/>
  <c r="F3792" i="1"/>
  <c r="E3792" i="1"/>
  <c r="D3792" i="1"/>
  <c r="C3792" i="1"/>
  <c r="V3791" i="1"/>
  <c r="Q3791" i="1"/>
  <c r="P3791" i="1"/>
  <c r="O3791" i="1"/>
  <c r="N3791" i="1"/>
  <c r="J3791" i="1"/>
  <c r="I3791" i="1"/>
  <c r="H3791" i="1"/>
  <c r="G3791" i="1"/>
  <c r="F3791" i="1"/>
  <c r="E3791" i="1"/>
  <c r="D3791" i="1"/>
  <c r="C3791" i="1"/>
  <c r="V3790" i="1"/>
  <c r="Q3790" i="1"/>
  <c r="P3790" i="1"/>
  <c r="O3790" i="1"/>
  <c r="N3790" i="1"/>
  <c r="J3790" i="1"/>
  <c r="I3790" i="1"/>
  <c r="H3790" i="1"/>
  <c r="G3790" i="1"/>
  <c r="F3790" i="1"/>
  <c r="E3790" i="1"/>
  <c r="D3790" i="1"/>
  <c r="C3790" i="1"/>
  <c r="V3789" i="1"/>
  <c r="Q3789" i="1"/>
  <c r="P3789" i="1"/>
  <c r="O3789" i="1"/>
  <c r="N3789" i="1"/>
  <c r="J3789" i="1"/>
  <c r="I3789" i="1"/>
  <c r="H3789" i="1"/>
  <c r="G3789" i="1"/>
  <c r="F3789" i="1"/>
  <c r="E3789" i="1"/>
  <c r="D3789" i="1"/>
  <c r="C3789" i="1"/>
  <c r="V3788" i="1"/>
  <c r="Q3788" i="1"/>
  <c r="P3788" i="1"/>
  <c r="O3788" i="1"/>
  <c r="N3788" i="1"/>
  <c r="J3788" i="1"/>
  <c r="I3788" i="1"/>
  <c r="H3788" i="1"/>
  <c r="G3788" i="1"/>
  <c r="F3788" i="1"/>
  <c r="E3788" i="1"/>
  <c r="D3788" i="1"/>
  <c r="C3788" i="1"/>
  <c r="V3787" i="1"/>
  <c r="Q3787" i="1"/>
  <c r="P3787" i="1"/>
  <c r="O3787" i="1"/>
  <c r="N3787" i="1"/>
  <c r="J3787" i="1"/>
  <c r="I3787" i="1"/>
  <c r="H3787" i="1"/>
  <c r="G3787" i="1"/>
  <c r="F3787" i="1"/>
  <c r="E3787" i="1"/>
  <c r="D3787" i="1"/>
  <c r="C3787" i="1"/>
  <c r="V3786" i="1"/>
  <c r="Q3786" i="1"/>
  <c r="P3786" i="1"/>
  <c r="O3786" i="1"/>
  <c r="N3786" i="1"/>
  <c r="I3786" i="1"/>
  <c r="H3786" i="1"/>
  <c r="G3786" i="1"/>
  <c r="F3786" i="1"/>
  <c r="E3786" i="1"/>
  <c r="D3786" i="1"/>
  <c r="C3786" i="1"/>
  <c r="V3785" i="1"/>
  <c r="Q3785" i="1"/>
  <c r="P3785" i="1"/>
  <c r="O3785" i="1"/>
  <c r="N3785" i="1"/>
  <c r="I3785" i="1"/>
  <c r="H3785" i="1"/>
  <c r="G3785" i="1"/>
  <c r="F3785" i="1"/>
  <c r="E3785" i="1"/>
  <c r="D3785" i="1"/>
  <c r="C3785" i="1"/>
  <c r="V3784" i="1"/>
  <c r="Q3784" i="1"/>
  <c r="P3784" i="1"/>
  <c r="O3784" i="1"/>
  <c r="N3784" i="1"/>
  <c r="I3784" i="1"/>
  <c r="H3784" i="1"/>
  <c r="G3784" i="1"/>
  <c r="F3784" i="1"/>
  <c r="E3784" i="1"/>
  <c r="D3784" i="1"/>
  <c r="C3784" i="1"/>
  <c r="V3783" i="1"/>
  <c r="Q3783" i="1"/>
  <c r="P3783" i="1"/>
  <c r="O3783" i="1"/>
  <c r="N3783" i="1"/>
  <c r="I3783" i="1"/>
  <c r="H3783" i="1"/>
  <c r="G3783" i="1"/>
  <c r="F3783" i="1"/>
  <c r="E3783" i="1"/>
  <c r="D3783" i="1"/>
  <c r="C3783" i="1"/>
  <c r="V3782" i="1"/>
  <c r="Q3782" i="1"/>
  <c r="P3782" i="1"/>
  <c r="O3782" i="1"/>
  <c r="N3782" i="1"/>
  <c r="I3782" i="1"/>
  <c r="H3782" i="1"/>
  <c r="G3782" i="1"/>
  <c r="F3782" i="1"/>
  <c r="E3782" i="1"/>
  <c r="D3782" i="1"/>
  <c r="C3782" i="1"/>
  <c r="V3781" i="1"/>
  <c r="Q3781" i="1"/>
  <c r="P3781" i="1"/>
  <c r="O3781" i="1"/>
  <c r="N3781" i="1"/>
  <c r="I3781" i="1"/>
  <c r="H3781" i="1"/>
  <c r="G3781" i="1"/>
  <c r="F3781" i="1"/>
  <c r="E3781" i="1"/>
  <c r="D3781" i="1"/>
  <c r="C3781" i="1"/>
  <c r="V3780" i="1"/>
  <c r="Q3780" i="1"/>
  <c r="P3780" i="1"/>
  <c r="O3780" i="1"/>
  <c r="N3780" i="1"/>
  <c r="I3780" i="1"/>
  <c r="H3780" i="1"/>
  <c r="G3780" i="1"/>
  <c r="F3780" i="1"/>
  <c r="E3780" i="1"/>
  <c r="D3780" i="1"/>
  <c r="C3780" i="1"/>
  <c r="V3779" i="1"/>
  <c r="Q3779" i="1"/>
  <c r="P3779" i="1"/>
  <c r="O3779" i="1"/>
  <c r="N3779" i="1"/>
  <c r="I3779" i="1"/>
  <c r="H3779" i="1"/>
  <c r="G3779" i="1"/>
  <c r="F3779" i="1"/>
  <c r="E3779" i="1"/>
  <c r="D3779" i="1"/>
  <c r="C3779" i="1"/>
  <c r="V3778" i="1"/>
  <c r="Q3778" i="1"/>
  <c r="P3778" i="1"/>
  <c r="O3778" i="1"/>
  <c r="N3778" i="1"/>
  <c r="I3778" i="1"/>
  <c r="H3778" i="1"/>
  <c r="G3778" i="1"/>
  <c r="F3778" i="1"/>
  <c r="E3778" i="1"/>
  <c r="D3778" i="1"/>
  <c r="C3778" i="1"/>
  <c r="V3777" i="1"/>
  <c r="Q3777" i="1"/>
  <c r="P3777" i="1"/>
  <c r="O3777" i="1"/>
  <c r="N3777" i="1"/>
  <c r="I3777" i="1"/>
  <c r="H3777" i="1"/>
  <c r="G3777" i="1"/>
  <c r="F3777" i="1"/>
  <c r="E3777" i="1"/>
  <c r="D3777" i="1"/>
  <c r="C3777" i="1"/>
  <c r="V3776" i="1"/>
  <c r="Q3776" i="1"/>
  <c r="P3776" i="1"/>
  <c r="O3776" i="1"/>
  <c r="N3776" i="1"/>
  <c r="I3776" i="1"/>
  <c r="H3776" i="1"/>
  <c r="G3776" i="1"/>
  <c r="F3776" i="1"/>
  <c r="E3776" i="1"/>
  <c r="D3776" i="1"/>
  <c r="C3776" i="1"/>
  <c r="V3775" i="1"/>
  <c r="Q3775" i="1"/>
  <c r="P3775" i="1"/>
  <c r="O3775" i="1"/>
  <c r="N3775" i="1"/>
  <c r="I3775" i="1"/>
  <c r="H3775" i="1"/>
  <c r="G3775" i="1"/>
  <c r="F3775" i="1"/>
  <c r="E3775" i="1"/>
  <c r="D3775" i="1"/>
  <c r="C3775" i="1"/>
  <c r="V3774" i="1"/>
  <c r="Q3774" i="1"/>
  <c r="P3774" i="1"/>
  <c r="O3774" i="1"/>
  <c r="N3774" i="1"/>
  <c r="I3774" i="1"/>
  <c r="H3774" i="1"/>
  <c r="G3774" i="1"/>
  <c r="F3774" i="1"/>
  <c r="E3774" i="1"/>
  <c r="D3774" i="1"/>
  <c r="C3774" i="1"/>
  <c r="V3773" i="1"/>
  <c r="Q3773" i="1"/>
  <c r="P3773" i="1"/>
  <c r="O3773" i="1"/>
  <c r="N3773" i="1"/>
  <c r="I3773" i="1"/>
  <c r="H3773" i="1"/>
  <c r="G3773" i="1"/>
  <c r="F3773" i="1"/>
  <c r="E3773" i="1"/>
  <c r="D3773" i="1"/>
  <c r="C3773" i="1"/>
  <c r="V3772" i="1"/>
  <c r="Q3772" i="1"/>
  <c r="P3772" i="1"/>
  <c r="O3772" i="1"/>
  <c r="N3772" i="1"/>
  <c r="I3772" i="1"/>
  <c r="H3772" i="1"/>
  <c r="G3772" i="1"/>
  <c r="F3772" i="1"/>
  <c r="E3772" i="1"/>
  <c r="D3772" i="1"/>
  <c r="C3772" i="1"/>
  <c r="V3771" i="1"/>
  <c r="Q3771" i="1"/>
  <c r="P3771" i="1"/>
  <c r="O3771" i="1"/>
  <c r="N3771" i="1"/>
  <c r="I3771" i="1"/>
  <c r="H3771" i="1"/>
  <c r="G3771" i="1"/>
  <c r="F3771" i="1"/>
  <c r="E3771" i="1"/>
  <c r="D3771" i="1"/>
  <c r="C3771" i="1"/>
  <c r="V3770" i="1"/>
  <c r="Q3770" i="1"/>
  <c r="P3770" i="1"/>
  <c r="O3770" i="1"/>
  <c r="N3770" i="1"/>
  <c r="J3770" i="1"/>
  <c r="I3770" i="1"/>
  <c r="H3770" i="1"/>
  <c r="G3770" i="1"/>
  <c r="F3770" i="1"/>
  <c r="E3770" i="1"/>
  <c r="D3770" i="1"/>
  <c r="C3770" i="1"/>
  <c r="V3769" i="1"/>
  <c r="Q3769" i="1"/>
  <c r="P3769" i="1"/>
  <c r="O3769" i="1"/>
  <c r="N3769" i="1"/>
  <c r="J3769" i="1"/>
  <c r="I3769" i="1"/>
  <c r="H3769" i="1"/>
  <c r="G3769" i="1"/>
  <c r="F3769" i="1"/>
  <c r="E3769" i="1"/>
  <c r="D3769" i="1"/>
  <c r="C3769" i="1"/>
  <c r="V3768" i="1"/>
  <c r="Q3768" i="1"/>
  <c r="P3768" i="1"/>
  <c r="O3768" i="1"/>
  <c r="N3768" i="1"/>
  <c r="J3768" i="1"/>
  <c r="I3768" i="1"/>
  <c r="H3768" i="1"/>
  <c r="G3768" i="1"/>
  <c r="F3768" i="1"/>
  <c r="E3768" i="1"/>
  <c r="D3768" i="1"/>
  <c r="C3768" i="1"/>
  <c r="V3767" i="1"/>
  <c r="Q3767" i="1"/>
  <c r="P3767" i="1"/>
  <c r="O3767" i="1"/>
  <c r="N3767" i="1"/>
  <c r="J3767" i="1"/>
  <c r="I3767" i="1"/>
  <c r="H3767" i="1"/>
  <c r="G3767" i="1"/>
  <c r="F3767" i="1"/>
  <c r="E3767" i="1"/>
  <c r="D3767" i="1"/>
  <c r="C3767" i="1"/>
  <c r="V3766" i="1"/>
  <c r="Q3766" i="1"/>
  <c r="P3766" i="1"/>
  <c r="O3766" i="1"/>
  <c r="N3766" i="1"/>
  <c r="J3766" i="1"/>
  <c r="I3766" i="1"/>
  <c r="H3766" i="1"/>
  <c r="G3766" i="1"/>
  <c r="F3766" i="1"/>
  <c r="E3766" i="1"/>
  <c r="D3766" i="1"/>
  <c r="C3766" i="1"/>
  <c r="V3765" i="1"/>
  <c r="Q3765" i="1"/>
  <c r="P3765" i="1"/>
  <c r="O3765" i="1"/>
  <c r="N3765" i="1"/>
  <c r="J3765" i="1"/>
  <c r="I3765" i="1"/>
  <c r="H3765" i="1"/>
  <c r="G3765" i="1"/>
  <c r="F3765" i="1"/>
  <c r="E3765" i="1"/>
  <c r="D3765" i="1"/>
  <c r="C3765" i="1"/>
  <c r="V3764" i="1"/>
  <c r="Q3764" i="1"/>
  <c r="P3764" i="1"/>
  <c r="O3764" i="1"/>
  <c r="N3764" i="1"/>
  <c r="J3764" i="1"/>
  <c r="I3764" i="1"/>
  <c r="H3764" i="1"/>
  <c r="G3764" i="1"/>
  <c r="F3764" i="1"/>
  <c r="E3764" i="1"/>
  <c r="D3764" i="1"/>
  <c r="C3764" i="1"/>
  <c r="V3763" i="1"/>
  <c r="Q3763" i="1"/>
  <c r="P3763" i="1"/>
  <c r="O3763" i="1"/>
  <c r="N3763" i="1"/>
  <c r="J3763" i="1"/>
  <c r="I3763" i="1"/>
  <c r="H3763" i="1"/>
  <c r="G3763" i="1"/>
  <c r="F3763" i="1"/>
  <c r="E3763" i="1"/>
  <c r="D3763" i="1"/>
  <c r="C3763" i="1"/>
  <c r="V3762" i="1"/>
  <c r="Q3762" i="1"/>
  <c r="P3762" i="1"/>
  <c r="O3762" i="1"/>
  <c r="N3762" i="1"/>
  <c r="J3762" i="1"/>
  <c r="I3762" i="1"/>
  <c r="H3762" i="1"/>
  <c r="G3762" i="1"/>
  <c r="F3762" i="1"/>
  <c r="E3762" i="1"/>
  <c r="D3762" i="1"/>
  <c r="C3762" i="1"/>
  <c r="V3761" i="1"/>
  <c r="Q3761" i="1"/>
  <c r="P3761" i="1"/>
  <c r="O3761" i="1"/>
  <c r="N3761" i="1"/>
  <c r="J3761" i="1"/>
  <c r="I3761" i="1"/>
  <c r="H3761" i="1"/>
  <c r="G3761" i="1"/>
  <c r="F3761" i="1"/>
  <c r="E3761" i="1"/>
  <c r="D3761" i="1"/>
  <c r="C3761" i="1"/>
  <c r="V3760" i="1"/>
  <c r="Q3760" i="1"/>
  <c r="P3760" i="1"/>
  <c r="O3760" i="1"/>
  <c r="N3760" i="1"/>
  <c r="J3760" i="1"/>
  <c r="I3760" i="1"/>
  <c r="H3760" i="1"/>
  <c r="G3760" i="1"/>
  <c r="F3760" i="1"/>
  <c r="E3760" i="1"/>
  <c r="D3760" i="1"/>
  <c r="C3760" i="1"/>
  <c r="V3759" i="1"/>
  <c r="Q3759" i="1"/>
  <c r="P3759" i="1"/>
  <c r="O3759" i="1"/>
  <c r="N3759" i="1"/>
  <c r="J3759" i="1"/>
  <c r="I3759" i="1"/>
  <c r="H3759" i="1"/>
  <c r="G3759" i="1"/>
  <c r="F3759" i="1"/>
  <c r="E3759" i="1"/>
  <c r="D3759" i="1"/>
  <c r="C3759" i="1"/>
  <c r="V3758" i="1"/>
  <c r="Q3758" i="1"/>
  <c r="P3758" i="1"/>
  <c r="O3758" i="1"/>
  <c r="N3758" i="1"/>
  <c r="J3758" i="1"/>
  <c r="I3758" i="1"/>
  <c r="H3758" i="1"/>
  <c r="G3758" i="1"/>
  <c r="F3758" i="1"/>
  <c r="E3758" i="1"/>
  <c r="D3758" i="1"/>
  <c r="C3758" i="1"/>
  <c r="V3757" i="1"/>
  <c r="Q3757" i="1"/>
  <c r="P3757" i="1"/>
  <c r="O3757" i="1"/>
  <c r="N3757" i="1"/>
  <c r="J3757" i="1"/>
  <c r="I3757" i="1"/>
  <c r="H3757" i="1"/>
  <c r="G3757" i="1"/>
  <c r="F3757" i="1"/>
  <c r="E3757" i="1"/>
  <c r="D3757" i="1"/>
  <c r="C3757" i="1"/>
  <c r="V3756" i="1"/>
  <c r="Q3756" i="1"/>
  <c r="P3756" i="1"/>
  <c r="O3756" i="1"/>
  <c r="N3756" i="1"/>
  <c r="J3756" i="1"/>
  <c r="I3756" i="1"/>
  <c r="H3756" i="1"/>
  <c r="G3756" i="1"/>
  <c r="F3756" i="1"/>
  <c r="E3756" i="1"/>
  <c r="D3756" i="1"/>
  <c r="C3756" i="1"/>
  <c r="V3755" i="1"/>
  <c r="Q3755" i="1"/>
  <c r="P3755" i="1"/>
  <c r="O3755" i="1"/>
  <c r="N3755" i="1"/>
  <c r="J3755" i="1"/>
  <c r="I3755" i="1"/>
  <c r="H3755" i="1"/>
  <c r="G3755" i="1"/>
  <c r="F3755" i="1"/>
  <c r="E3755" i="1"/>
  <c r="D3755" i="1"/>
  <c r="C3755" i="1"/>
  <c r="V3754" i="1"/>
  <c r="Q3754" i="1"/>
  <c r="P3754" i="1"/>
  <c r="O3754" i="1"/>
  <c r="N3754" i="1"/>
  <c r="J3754" i="1"/>
  <c r="I3754" i="1"/>
  <c r="H3754" i="1"/>
  <c r="G3754" i="1"/>
  <c r="F3754" i="1"/>
  <c r="E3754" i="1"/>
  <c r="D3754" i="1"/>
  <c r="C3754" i="1"/>
  <c r="V3753" i="1"/>
  <c r="Q3753" i="1"/>
  <c r="P3753" i="1"/>
  <c r="O3753" i="1"/>
  <c r="N3753" i="1"/>
  <c r="J3753" i="1"/>
  <c r="I3753" i="1"/>
  <c r="H3753" i="1"/>
  <c r="G3753" i="1"/>
  <c r="F3753" i="1"/>
  <c r="E3753" i="1"/>
  <c r="D3753" i="1"/>
  <c r="C3753" i="1"/>
  <c r="V3752" i="1"/>
  <c r="Q3752" i="1"/>
  <c r="P3752" i="1"/>
  <c r="O3752" i="1"/>
  <c r="N3752" i="1"/>
  <c r="J3752" i="1"/>
  <c r="I3752" i="1"/>
  <c r="H3752" i="1"/>
  <c r="G3752" i="1"/>
  <c r="F3752" i="1"/>
  <c r="E3752" i="1"/>
  <c r="D3752" i="1"/>
  <c r="C3752" i="1"/>
  <c r="V3751" i="1"/>
  <c r="Q3751" i="1"/>
  <c r="P3751" i="1"/>
  <c r="O3751" i="1"/>
  <c r="N3751" i="1"/>
  <c r="J3751" i="1"/>
  <c r="I3751" i="1"/>
  <c r="H3751" i="1"/>
  <c r="G3751" i="1"/>
  <c r="F3751" i="1"/>
  <c r="E3751" i="1"/>
  <c r="D3751" i="1"/>
  <c r="C3751" i="1"/>
  <c r="V3750" i="1"/>
  <c r="Q3750" i="1"/>
  <c r="P3750" i="1"/>
  <c r="O3750" i="1"/>
  <c r="N3750" i="1"/>
  <c r="J3750" i="1"/>
  <c r="I3750" i="1"/>
  <c r="H3750" i="1"/>
  <c r="G3750" i="1"/>
  <c r="F3750" i="1"/>
  <c r="E3750" i="1"/>
  <c r="D3750" i="1"/>
  <c r="C3750" i="1"/>
  <c r="V3749" i="1"/>
  <c r="Q3749" i="1"/>
  <c r="P3749" i="1"/>
  <c r="O3749" i="1"/>
  <c r="N3749" i="1"/>
  <c r="J3749" i="1"/>
  <c r="I3749" i="1"/>
  <c r="H3749" i="1"/>
  <c r="G3749" i="1"/>
  <c r="F3749" i="1"/>
  <c r="E3749" i="1"/>
  <c r="D3749" i="1"/>
  <c r="C3749" i="1"/>
  <c r="V3748" i="1"/>
  <c r="Q3748" i="1"/>
  <c r="P3748" i="1"/>
  <c r="O3748" i="1"/>
  <c r="N3748" i="1"/>
  <c r="I3748" i="1"/>
  <c r="H3748" i="1"/>
  <c r="G3748" i="1"/>
  <c r="F3748" i="1"/>
  <c r="E3748" i="1"/>
  <c r="D3748" i="1"/>
  <c r="C3748" i="1"/>
  <c r="V3747" i="1"/>
  <c r="Q3747" i="1"/>
  <c r="P3747" i="1"/>
  <c r="O3747" i="1"/>
  <c r="N3747" i="1"/>
  <c r="I3747" i="1"/>
  <c r="H3747" i="1"/>
  <c r="G3747" i="1"/>
  <c r="F3747" i="1"/>
  <c r="E3747" i="1"/>
  <c r="D3747" i="1"/>
  <c r="C3747" i="1"/>
  <c r="V3746" i="1"/>
  <c r="Q3746" i="1"/>
  <c r="P3746" i="1"/>
  <c r="O3746" i="1"/>
  <c r="N3746" i="1"/>
  <c r="I3746" i="1"/>
  <c r="H3746" i="1"/>
  <c r="G3746" i="1"/>
  <c r="F3746" i="1"/>
  <c r="E3746" i="1"/>
  <c r="D3746" i="1"/>
  <c r="C3746" i="1"/>
  <c r="V3745" i="1"/>
  <c r="Q3745" i="1"/>
  <c r="P3745" i="1"/>
  <c r="O3745" i="1"/>
  <c r="N3745" i="1"/>
  <c r="I3745" i="1"/>
  <c r="H3745" i="1"/>
  <c r="G3745" i="1"/>
  <c r="F3745" i="1"/>
  <c r="E3745" i="1"/>
  <c r="D3745" i="1"/>
  <c r="C3745" i="1"/>
  <c r="V3744" i="1"/>
  <c r="Q3744" i="1"/>
  <c r="P3744" i="1"/>
  <c r="O3744" i="1"/>
  <c r="N3744" i="1"/>
  <c r="I3744" i="1"/>
  <c r="H3744" i="1"/>
  <c r="G3744" i="1"/>
  <c r="F3744" i="1"/>
  <c r="E3744" i="1"/>
  <c r="D3744" i="1"/>
  <c r="C3744" i="1"/>
  <c r="V3743" i="1"/>
  <c r="Q3743" i="1"/>
  <c r="P3743" i="1"/>
  <c r="O3743" i="1"/>
  <c r="N3743" i="1"/>
  <c r="I3743" i="1"/>
  <c r="H3743" i="1"/>
  <c r="G3743" i="1"/>
  <c r="F3743" i="1"/>
  <c r="E3743" i="1"/>
  <c r="D3743" i="1"/>
  <c r="C3743" i="1"/>
  <c r="V3742" i="1"/>
  <c r="Q3742" i="1"/>
  <c r="P3742" i="1"/>
  <c r="O3742" i="1"/>
  <c r="N3742" i="1"/>
  <c r="I3742" i="1"/>
  <c r="H3742" i="1"/>
  <c r="G3742" i="1"/>
  <c r="F3742" i="1"/>
  <c r="E3742" i="1"/>
  <c r="D3742" i="1"/>
  <c r="C3742" i="1"/>
  <c r="V3741" i="1"/>
  <c r="Q3741" i="1"/>
  <c r="P3741" i="1"/>
  <c r="O3741" i="1"/>
  <c r="N3741" i="1"/>
  <c r="I3741" i="1"/>
  <c r="H3741" i="1"/>
  <c r="G3741" i="1"/>
  <c r="F3741" i="1"/>
  <c r="E3741" i="1"/>
  <c r="D3741" i="1"/>
  <c r="C3741" i="1"/>
  <c r="V3740" i="1"/>
  <c r="Q3740" i="1"/>
  <c r="P3740" i="1"/>
  <c r="O3740" i="1"/>
  <c r="N3740" i="1"/>
  <c r="I3740" i="1"/>
  <c r="H3740" i="1"/>
  <c r="G3740" i="1"/>
  <c r="F3740" i="1"/>
  <c r="E3740" i="1"/>
  <c r="D3740" i="1"/>
  <c r="V3739" i="1"/>
  <c r="Q3739" i="1"/>
  <c r="P3739" i="1"/>
  <c r="O3739" i="1"/>
  <c r="N3739" i="1"/>
  <c r="I3739" i="1"/>
  <c r="H3739" i="1"/>
  <c r="G3739" i="1"/>
  <c r="F3739" i="1"/>
  <c r="E3739" i="1"/>
  <c r="D3739" i="1"/>
  <c r="V3738" i="1"/>
  <c r="Q3738" i="1"/>
  <c r="P3738" i="1"/>
  <c r="O3738" i="1"/>
  <c r="N3738" i="1"/>
  <c r="I3738" i="1"/>
  <c r="H3738" i="1"/>
  <c r="G3738" i="1"/>
  <c r="F3738" i="1"/>
  <c r="E3738" i="1"/>
  <c r="D3738" i="1"/>
  <c r="V3737" i="1"/>
  <c r="Q3737" i="1"/>
  <c r="P3737" i="1"/>
  <c r="O3737" i="1"/>
  <c r="N3737" i="1"/>
  <c r="I3737" i="1"/>
  <c r="H3737" i="1"/>
  <c r="G3737" i="1"/>
  <c r="F3737" i="1"/>
  <c r="E3737" i="1"/>
  <c r="D3737" i="1"/>
  <c r="V3736" i="1"/>
  <c r="Q3736" i="1"/>
  <c r="P3736" i="1"/>
  <c r="O3736" i="1"/>
  <c r="N3736" i="1"/>
  <c r="I3736" i="1"/>
  <c r="H3736" i="1"/>
  <c r="G3736" i="1"/>
  <c r="F3736" i="1"/>
  <c r="E3736" i="1"/>
  <c r="D3736" i="1"/>
  <c r="V3735" i="1"/>
  <c r="Q3735" i="1"/>
  <c r="P3735" i="1"/>
  <c r="O3735" i="1"/>
  <c r="N3735" i="1"/>
  <c r="I3735" i="1"/>
  <c r="H3735" i="1"/>
  <c r="G3735" i="1"/>
  <c r="F3735" i="1"/>
  <c r="E3735" i="1"/>
  <c r="D3735" i="1"/>
  <c r="V3734" i="1"/>
  <c r="Q3734" i="1"/>
  <c r="P3734" i="1"/>
  <c r="O3734" i="1"/>
  <c r="N3734" i="1"/>
  <c r="I3734" i="1"/>
  <c r="H3734" i="1"/>
  <c r="G3734" i="1"/>
  <c r="F3734" i="1"/>
  <c r="E3734" i="1"/>
  <c r="D3734" i="1"/>
  <c r="V3733" i="1"/>
  <c r="Q3733" i="1"/>
  <c r="P3733" i="1"/>
  <c r="O3733" i="1"/>
  <c r="N3733" i="1"/>
  <c r="I3733" i="1"/>
  <c r="H3733" i="1"/>
  <c r="G3733" i="1"/>
  <c r="F3733" i="1"/>
  <c r="E3733" i="1"/>
  <c r="D3733" i="1"/>
  <c r="V3732" i="1"/>
  <c r="Q3732" i="1"/>
  <c r="P3732" i="1"/>
  <c r="O3732" i="1"/>
  <c r="N3732" i="1"/>
  <c r="I3732" i="1"/>
  <c r="H3732" i="1"/>
  <c r="G3732" i="1"/>
  <c r="F3732" i="1"/>
  <c r="E3732" i="1"/>
  <c r="D3732" i="1"/>
  <c r="V3731" i="1"/>
  <c r="Q3731" i="1"/>
  <c r="P3731" i="1"/>
  <c r="O3731" i="1"/>
  <c r="N3731" i="1"/>
  <c r="I3731" i="1"/>
  <c r="H3731" i="1"/>
  <c r="G3731" i="1"/>
  <c r="F3731" i="1"/>
  <c r="E3731" i="1"/>
  <c r="D3731" i="1"/>
  <c r="V3730" i="1"/>
  <c r="Q3730" i="1"/>
  <c r="P3730" i="1"/>
  <c r="O3730" i="1"/>
  <c r="N3730" i="1"/>
  <c r="I3730" i="1"/>
  <c r="H3730" i="1"/>
  <c r="G3730" i="1"/>
  <c r="F3730" i="1"/>
  <c r="E3730" i="1"/>
  <c r="D3730" i="1"/>
  <c r="V3729" i="1"/>
  <c r="Q3729" i="1"/>
  <c r="P3729" i="1"/>
  <c r="O3729" i="1"/>
  <c r="N3729" i="1"/>
  <c r="I3729" i="1"/>
  <c r="H3729" i="1"/>
  <c r="G3729" i="1"/>
  <c r="F3729" i="1"/>
  <c r="E3729" i="1"/>
  <c r="D3729" i="1"/>
  <c r="V3728" i="1"/>
  <c r="Q3728" i="1"/>
  <c r="P3728" i="1"/>
  <c r="O3728" i="1"/>
  <c r="N3728" i="1"/>
  <c r="I3728" i="1"/>
  <c r="H3728" i="1"/>
  <c r="G3728" i="1"/>
  <c r="F3728" i="1"/>
  <c r="E3728" i="1"/>
  <c r="D3728" i="1"/>
  <c r="V3727" i="1"/>
  <c r="Q3727" i="1"/>
  <c r="P3727" i="1"/>
  <c r="O3727" i="1"/>
  <c r="N3727" i="1"/>
  <c r="I3727" i="1"/>
  <c r="H3727" i="1"/>
  <c r="G3727" i="1"/>
  <c r="F3727" i="1"/>
  <c r="E3727" i="1"/>
  <c r="D3727" i="1"/>
  <c r="V3726" i="1"/>
  <c r="Q3726" i="1"/>
  <c r="P3726" i="1"/>
  <c r="O3726" i="1"/>
  <c r="N3726" i="1"/>
  <c r="I3726" i="1"/>
  <c r="H3726" i="1"/>
  <c r="G3726" i="1"/>
  <c r="F3726" i="1"/>
  <c r="E3726" i="1"/>
  <c r="D3726" i="1"/>
  <c r="V3725" i="1"/>
  <c r="Q3725" i="1"/>
  <c r="P3725" i="1"/>
  <c r="O3725" i="1"/>
  <c r="N3725" i="1"/>
  <c r="I3725" i="1"/>
  <c r="H3725" i="1"/>
  <c r="G3725" i="1"/>
  <c r="F3725" i="1"/>
  <c r="E3725" i="1"/>
  <c r="D3725" i="1"/>
  <c r="V3724" i="1"/>
  <c r="Q3724" i="1"/>
  <c r="P3724" i="1"/>
  <c r="O3724" i="1"/>
  <c r="N3724" i="1"/>
  <c r="I3724" i="1"/>
  <c r="H3724" i="1"/>
  <c r="G3724" i="1"/>
  <c r="F3724" i="1"/>
  <c r="E3724" i="1"/>
  <c r="D3724" i="1"/>
  <c r="V3723" i="1"/>
  <c r="Q3723" i="1"/>
  <c r="P3723" i="1"/>
  <c r="O3723" i="1"/>
  <c r="N3723" i="1"/>
  <c r="I3723" i="1"/>
  <c r="H3723" i="1"/>
  <c r="G3723" i="1"/>
  <c r="F3723" i="1"/>
  <c r="E3723" i="1"/>
  <c r="D3723" i="1"/>
  <c r="V3722" i="1"/>
  <c r="Q3722" i="1"/>
  <c r="P3722" i="1"/>
  <c r="O3722" i="1"/>
  <c r="N3722" i="1"/>
  <c r="I3722" i="1"/>
  <c r="H3722" i="1"/>
  <c r="G3722" i="1"/>
  <c r="F3722" i="1"/>
  <c r="E3722" i="1"/>
  <c r="D3722" i="1"/>
  <c r="V3721" i="1"/>
  <c r="Q3721" i="1"/>
  <c r="P3721" i="1"/>
  <c r="O3721" i="1"/>
  <c r="N3721" i="1"/>
  <c r="I3721" i="1"/>
  <c r="H3721" i="1"/>
  <c r="G3721" i="1"/>
  <c r="F3721" i="1"/>
  <c r="E3721" i="1"/>
  <c r="D3721" i="1"/>
  <c r="V3720" i="1"/>
  <c r="Q3720" i="1"/>
  <c r="P3720" i="1"/>
  <c r="O3720" i="1"/>
  <c r="N3720" i="1"/>
  <c r="I3720" i="1"/>
  <c r="H3720" i="1"/>
  <c r="G3720" i="1"/>
  <c r="F3720" i="1"/>
  <c r="E3720" i="1"/>
  <c r="D3720" i="1"/>
  <c r="V3719" i="1"/>
  <c r="Q3719" i="1"/>
  <c r="P3719" i="1"/>
  <c r="O3719" i="1"/>
  <c r="N3719" i="1"/>
  <c r="I3719" i="1"/>
  <c r="H3719" i="1"/>
  <c r="G3719" i="1"/>
  <c r="F3719" i="1"/>
  <c r="E3719" i="1"/>
  <c r="D3719" i="1"/>
  <c r="V3718" i="1"/>
  <c r="Q3718" i="1"/>
  <c r="P3718" i="1"/>
  <c r="O3718" i="1"/>
  <c r="N3718" i="1"/>
  <c r="I3718" i="1"/>
  <c r="H3718" i="1"/>
  <c r="G3718" i="1"/>
  <c r="F3718" i="1"/>
  <c r="E3718" i="1"/>
  <c r="D3718" i="1"/>
  <c r="V3717" i="1"/>
  <c r="Q3717" i="1"/>
  <c r="P3717" i="1"/>
  <c r="O3717" i="1"/>
  <c r="N3717" i="1"/>
  <c r="I3717" i="1"/>
  <c r="H3717" i="1"/>
  <c r="G3717" i="1"/>
  <c r="F3717" i="1"/>
  <c r="E3717" i="1"/>
  <c r="D3717" i="1"/>
  <c r="V3716" i="1"/>
  <c r="Q3716" i="1"/>
  <c r="P3716" i="1"/>
  <c r="O3716" i="1"/>
  <c r="N3716" i="1"/>
  <c r="I3716" i="1"/>
  <c r="H3716" i="1"/>
  <c r="G3716" i="1"/>
  <c r="F3716" i="1"/>
  <c r="E3716" i="1"/>
  <c r="D3716" i="1"/>
  <c r="V3715" i="1"/>
  <c r="Q3715" i="1"/>
  <c r="P3715" i="1"/>
  <c r="O3715" i="1"/>
  <c r="N3715" i="1"/>
  <c r="I3715" i="1"/>
  <c r="H3715" i="1"/>
  <c r="G3715" i="1"/>
  <c r="F3715" i="1"/>
  <c r="E3715" i="1"/>
  <c r="D3715" i="1"/>
  <c r="V3714" i="1"/>
  <c r="Q3714" i="1"/>
  <c r="P3714" i="1"/>
  <c r="O3714" i="1"/>
  <c r="N3714" i="1"/>
  <c r="I3714" i="1"/>
  <c r="H3714" i="1"/>
  <c r="G3714" i="1"/>
  <c r="F3714" i="1"/>
  <c r="E3714" i="1"/>
  <c r="D3714" i="1"/>
  <c r="V3713" i="1"/>
  <c r="Q3713" i="1"/>
  <c r="P3713" i="1"/>
  <c r="O3713" i="1"/>
  <c r="N3713" i="1"/>
  <c r="I3713" i="1"/>
  <c r="H3713" i="1"/>
  <c r="G3713" i="1"/>
  <c r="F3713" i="1"/>
  <c r="E3713" i="1"/>
  <c r="D3713" i="1"/>
  <c r="V3712" i="1"/>
  <c r="Q3712" i="1"/>
  <c r="P3712" i="1"/>
  <c r="O3712" i="1"/>
  <c r="N3712" i="1"/>
  <c r="I3712" i="1"/>
  <c r="H3712" i="1"/>
  <c r="G3712" i="1"/>
  <c r="F3712" i="1"/>
  <c r="E3712" i="1"/>
  <c r="D3712" i="1"/>
  <c r="V3711" i="1"/>
  <c r="Q3711" i="1"/>
  <c r="P3711" i="1"/>
  <c r="O3711" i="1"/>
  <c r="N3711" i="1"/>
  <c r="I3711" i="1"/>
  <c r="H3711" i="1"/>
  <c r="G3711" i="1"/>
  <c r="F3711" i="1"/>
  <c r="E3711" i="1"/>
  <c r="D3711" i="1"/>
  <c r="V3710" i="1"/>
  <c r="Q3710" i="1"/>
  <c r="P3710" i="1"/>
  <c r="O3710" i="1"/>
  <c r="N3710" i="1"/>
  <c r="I3710" i="1"/>
  <c r="H3710" i="1"/>
  <c r="G3710" i="1"/>
  <c r="F3710" i="1"/>
  <c r="E3710" i="1"/>
  <c r="D3710" i="1"/>
  <c r="V3709" i="1"/>
  <c r="Q3709" i="1"/>
  <c r="P3709" i="1"/>
  <c r="O3709" i="1"/>
  <c r="N3709" i="1"/>
  <c r="I3709" i="1"/>
  <c r="H3709" i="1"/>
  <c r="G3709" i="1"/>
  <c r="F3709" i="1"/>
  <c r="E3709" i="1"/>
  <c r="D3709" i="1"/>
  <c r="V3708" i="1"/>
  <c r="Q3708" i="1"/>
  <c r="P3708" i="1"/>
  <c r="O3708" i="1"/>
  <c r="N3708" i="1"/>
  <c r="I3708" i="1"/>
  <c r="H3708" i="1"/>
  <c r="G3708" i="1"/>
  <c r="F3708" i="1"/>
  <c r="E3708" i="1"/>
  <c r="D3708" i="1"/>
  <c r="V3707" i="1"/>
  <c r="Q3707" i="1"/>
  <c r="P3707" i="1"/>
  <c r="O3707" i="1"/>
  <c r="N3707" i="1"/>
  <c r="I3707" i="1"/>
  <c r="H3707" i="1"/>
  <c r="G3707" i="1"/>
  <c r="F3707" i="1"/>
  <c r="E3707" i="1"/>
  <c r="D3707" i="1"/>
  <c r="V3706" i="1"/>
  <c r="Q3706" i="1"/>
  <c r="P3706" i="1"/>
  <c r="O3706" i="1"/>
  <c r="N3706" i="1"/>
  <c r="I3706" i="1"/>
  <c r="H3706" i="1"/>
  <c r="G3706" i="1"/>
  <c r="F3706" i="1"/>
  <c r="E3706" i="1"/>
  <c r="D3706" i="1"/>
  <c r="V3705" i="1"/>
  <c r="Q3705" i="1"/>
  <c r="P3705" i="1"/>
  <c r="O3705" i="1"/>
  <c r="N3705" i="1"/>
  <c r="I3705" i="1"/>
  <c r="H3705" i="1"/>
  <c r="G3705" i="1"/>
  <c r="F3705" i="1"/>
  <c r="E3705" i="1"/>
  <c r="D3705" i="1"/>
  <c r="V3704" i="1"/>
  <c r="Q3704" i="1"/>
  <c r="P3704" i="1"/>
  <c r="O3704" i="1"/>
  <c r="N3704" i="1"/>
  <c r="I3704" i="1"/>
  <c r="H3704" i="1"/>
  <c r="G3704" i="1"/>
  <c r="F3704" i="1"/>
  <c r="E3704" i="1"/>
  <c r="D3704" i="1"/>
  <c r="V3703" i="1"/>
  <c r="Q3703" i="1"/>
  <c r="P3703" i="1"/>
  <c r="O3703" i="1"/>
  <c r="N3703" i="1"/>
  <c r="I3703" i="1"/>
  <c r="H3703" i="1"/>
  <c r="G3703" i="1"/>
  <c r="F3703" i="1"/>
  <c r="E3703" i="1"/>
  <c r="D3703" i="1"/>
  <c r="V3702" i="1"/>
  <c r="Q3702" i="1"/>
  <c r="P3702" i="1"/>
  <c r="O3702" i="1"/>
  <c r="N3702" i="1"/>
  <c r="I3702" i="1"/>
  <c r="H3702" i="1"/>
  <c r="G3702" i="1"/>
  <c r="F3702" i="1"/>
  <c r="E3702" i="1"/>
  <c r="D3702" i="1"/>
  <c r="V3701" i="1"/>
  <c r="Q3701" i="1"/>
  <c r="P3701" i="1"/>
  <c r="O3701" i="1"/>
  <c r="N3701" i="1"/>
  <c r="I3701" i="1"/>
  <c r="H3701" i="1"/>
  <c r="G3701" i="1"/>
  <c r="F3701" i="1"/>
  <c r="E3701" i="1"/>
  <c r="D3701" i="1"/>
  <c r="V3700" i="1"/>
  <c r="Q3700" i="1"/>
  <c r="P3700" i="1"/>
  <c r="O3700" i="1"/>
  <c r="N3700" i="1"/>
  <c r="I3700" i="1"/>
  <c r="H3700" i="1"/>
  <c r="G3700" i="1"/>
  <c r="F3700" i="1"/>
  <c r="E3700" i="1"/>
  <c r="D3700" i="1"/>
  <c r="V3699" i="1"/>
  <c r="Q3699" i="1"/>
  <c r="P3699" i="1"/>
  <c r="O3699" i="1"/>
  <c r="N3699" i="1"/>
  <c r="I3699" i="1"/>
  <c r="H3699" i="1"/>
  <c r="G3699" i="1"/>
  <c r="F3699" i="1"/>
  <c r="E3699" i="1"/>
  <c r="D3699" i="1"/>
  <c r="V3698" i="1"/>
  <c r="Q3698" i="1"/>
  <c r="P3698" i="1"/>
  <c r="O3698" i="1"/>
  <c r="N3698" i="1"/>
  <c r="I3698" i="1"/>
  <c r="H3698" i="1"/>
  <c r="G3698" i="1"/>
  <c r="F3698" i="1"/>
  <c r="E3698" i="1"/>
  <c r="D3698" i="1"/>
  <c r="V3697" i="1"/>
  <c r="Q3697" i="1"/>
  <c r="P3697" i="1"/>
  <c r="O3697" i="1"/>
  <c r="N3697" i="1"/>
  <c r="I3697" i="1"/>
  <c r="H3697" i="1"/>
  <c r="G3697" i="1"/>
  <c r="F3697" i="1"/>
  <c r="E3697" i="1"/>
  <c r="D3697" i="1"/>
  <c r="V3696" i="1"/>
  <c r="Q3696" i="1"/>
  <c r="P3696" i="1"/>
  <c r="O3696" i="1"/>
  <c r="N3696" i="1"/>
  <c r="I3696" i="1"/>
  <c r="H3696" i="1"/>
  <c r="G3696" i="1"/>
  <c r="F3696" i="1"/>
  <c r="E3696" i="1"/>
  <c r="D3696" i="1"/>
  <c r="V3695" i="1"/>
  <c r="Q3695" i="1"/>
  <c r="P3695" i="1"/>
  <c r="O3695" i="1"/>
  <c r="N3695" i="1"/>
  <c r="I3695" i="1"/>
  <c r="H3695" i="1"/>
  <c r="G3695" i="1"/>
  <c r="F3695" i="1"/>
  <c r="E3695" i="1"/>
  <c r="D3695" i="1"/>
  <c r="V3694" i="1"/>
  <c r="Q3694" i="1"/>
  <c r="P3694" i="1"/>
  <c r="O3694" i="1"/>
  <c r="N3694" i="1"/>
  <c r="I3694" i="1"/>
  <c r="H3694" i="1"/>
  <c r="G3694" i="1"/>
  <c r="F3694" i="1"/>
  <c r="E3694" i="1"/>
  <c r="D3694" i="1"/>
  <c r="V3693" i="1"/>
  <c r="Q3693" i="1"/>
  <c r="P3693" i="1"/>
  <c r="O3693" i="1"/>
  <c r="N3693" i="1"/>
  <c r="I3693" i="1"/>
  <c r="H3693" i="1"/>
  <c r="G3693" i="1"/>
  <c r="F3693" i="1"/>
  <c r="E3693" i="1"/>
  <c r="D3693" i="1"/>
  <c r="V3692" i="1"/>
  <c r="Q3692" i="1"/>
  <c r="P3692" i="1"/>
  <c r="O3692" i="1"/>
  <c r="N3692" i="1"/>
  <c r="I3692" i="1"/>
  <c r="H3692" i="1"/>
  <c r="G3692" i="1"/>
  <c r="F3692" i="1"/>
  <c r="E3692" i="1"/>
  <c r="D3692" i="1"/>
  <c r="V3691" i="1"/>
  <c r="Q3691" i="1"/>
  <c r="P3691" i="1"/>
  <c r="O3691" i="1"/>
  <c r="N3691" i="1"/>
  <c r="I3691" i="1"/>
  <c r="H3691" i="1"/>
  <c r="G3691" i="1"/>
  <c r="F3691" i="1"/>
  <c r="E3691" i="1"/>
  <c r="D3691" i="1"/>
  <c r="V3690" i="1"/>
  <c r="Q3690" i="1"/>
  <c r="P3690" i="1"/>
  <c r="O3690" i="1"/>
  <c r="N3690" i="1"/>
  <c r="I3690" i="1"/>
  <c r="H3690" i="1"/>
  <c r="G3690" i="1"/>
  <c r="F3690" i="1"/>
  <c r="E3690" i="1"/>
  <c r="D3690" i="1"/>
  <c r="V3689" i="1"/>
  <c r="Q3689" i="1"/>
  <c r="P3689" i="1"/>
  <c r="O3689" i="1"/>
  <c r="N3689" i="1"/>
  <c r="I3689" i="1"/>
  <c r="H3689" i="1"/>
  <c r="G3689" i="1"/>
  <c r="F3689" i="1"/>
  <c r="E3689" i="1"/>
  <c r="D3689" i="1"/>
  <c r="V3688" i="1"/>
  <c r="Q3688" i="1"/>
  <c r="P3688" i="1"/>
  <c r="O3688" i="1"/>
  <c r="N3688" i="1"/>
  <c r="I3688" i="1"/>
  <c r="H3688" i="1"/>
  <c r="G3688" i="1"/>
  <c r="F3688" i="1"/>
  <c r="E3688" i="1"/>
  <c r="D3688" i="1"/>
  <c r="V3687" i="1"/>
  <c r="Q3687" i="1"/>
  <c r="P3687" i="1"/>
  <c r="O3687" i="1"/>
  <c r="N3687" i="1"/>
  <c r="I3687" i="1"/>
  <c r="H3687" i="1"/>
  <c r="G3687" i="1"/>
  <c r="F3687" i="1"/>
  <c r="E3687" i="1"/>
  <c r="D3687" i="1"/>
  <c r="V3686" i="1"/>
  <c r="Q3686" i="1"/>
  <c r="P3686" i="1"/>
  <c r="O3686" i="1"/>
  <c r="N3686" i="1"/>
  <c r="I3686" i="1"/>
  <c r="H3686" i="1"/>
  <c r="G3686" i="1"/>
  <c r="F3686" i="1"/>
  <c r="E3686" i="1"/>
  <c r="D3686" i="1"/>
  <c r="V3685" i="1"/>
  <c r="Q3685" i="1"/>
  <c r="P3685" i="1"/>
  <c r="O3685" i="1"/>
  <c r="N3685" i="1"/>
  <c r="I3685" i="1"/>
  <c r="H3685" i="1"/>
  <c r="G3685" i="1"/>
  <c r="F3685" i="1"/>
  <c r="E3685" i="1"/>
  <c r="D3685" i="1"/>
  <c r="V3684" i="1"/>
  <c r="Q3684" i="1"/>
  <c r="P3684" i="1"/>
  <c r="O3684" i="1"/>
  <c r="N3684" i="1"/>
  <c r="I3684" i="1"/>
  <c r="H3684" i="1"/>
  <c r="G3684" i="1"/>
  <c r="F3684" i="1"/>
  <c r="E3684" i="1"/>
  <c r="D3684" i="1"/>
  <c r="V3683" i="1"/>
  <c r="Q3683" i="1"/>
  <c r="P3683" i="1"/>
  <c r="O3683" i="1"/>
  <c r="N3683" i="1"/>
  <c r="I3683" i="1"/>
  <c r="H3683" i="1"/>
  <c r="G3683" i="1"/>
  <c r="F3683" i="1"/>
  <c r="E3683" i="1"/>
  <c r="D3683" i="1"/>
  <c r="V3682" i="1"/>
  <c r="Q3682" i="1"/>
  <c r="P3682" i="1"/>
  <c r="O3682" i="1"/>
  <c r="N3682" i="1"/>
  <c r="I3682" i="1"/>
  <c r="H3682" i="1"/>
  <c r="G3682" i="1"/>
  <c r="F3682" i="1"/>
  <c r="E3682" i="1"/>
  <c r="D3682" i="1"/>
  <c r="V3681" i="1"/>
  <c r="Q3681" i="1"/>
  <c r="P3681" i="1"/>
  <c r="O3681" i="1"/>
  <c r="N3681" i="1"/>
  <c r="I3681" i="1"/>
  <c r="H3681" i="1"/>
  <c r="G3681" i="1"/>
  <c r="F3681" i="1"/>
  <c r="E3681" i="1"/>
  <c r="D3681" i="1"/>
  <c r="V3680" i="1"/>
  <c r="Q3680" i="1"/>
  <c r="P3680" i="1"/>
  <c r="O3680" i="1"/>
  <c r="N3680" i="1"/>
  <c r="I3680" i="1"/>
  <c r="H3680" i="1"/>
  <c r="G3680" i="1"/>
  <c r="F3680" i="1"/>
  <c r="E3680" i="1"/>
  <c r="D3680" i="1"/>
  <c r="V3679" i="1"/>
  <c r="Q3679" i="1"/>
  <c r="P3679" i="1"/>
  <c r="O3679" i="1"/>
  <c r="N3679" i="1"/>
  <c r="I3679" i="1"/>
  <c r="H3679" i="1"/>
  <c r="G3679" i="1"/>
  <c r="F3679" i="1"/>
  <c r="E3679" i="1"/>
  <c r="D3679" i="1"/>
  <c r="V3678" i="1"/>
  <c r="Q3678" i="1"/>
  <c r="P3678" i="1"/>
  <c r="O3678" i="1"/>
  <c r="N3678" i="1"/>
  <c r="I3678" i="1"/>
  <c r="H3678" i="1"/>
  <c r="G3678" i="1"/>
  <c r="F3678" i="1"/>
  <c r="E3678" i="1"/>
  <c r="D3678" i="1"/>
  <c r="V3677" i="1"/>
  <c r="Q3677" i="1"/>
  <c r="P3677" i="1"/>
  <c r="O3677" i="1"/>
  <c r="N3677" i="1"/>
  <c r="I3677" i="1"/>
  <c r="H3677" i="1"/>
  <c r="G3677" i="1"/>
  <c r="F3677" i="1"/>
  <c r="E3677" i="1"/>
  <c r="D3677" i="1"/>
  <c r="V3676" i="1"/>
  <c r="Q3676" i="1"/>
  <c r="P3676" i="1"/>
  <c r="O3676" i="1"/>
  <c r="N3676" i="1"/>
  <c r="I3676" i="1"/>
  <c r="H3676" i="1"/>
  <c r="G3676" i="1"/>
  <c r="F3676" i="1"/>
  <c r="E3676" i="1"/>
  <c r="D3676" i="1"/>
  <c r="V3675" i="1"/>
  <c r="Q3675" i="1"/>
  <c r="P3675" i="1"/>
  <c r="O3675" i="1"/>
  <c r="N3675" i="1"/>
  <c r="I3675" i="1"/>
  <c r="H3675" i="1"/>
  <c r="G3675" i="1"/>
  <c r="F3675" i="1"/>
  <c r="E3675" i="1"/>
  <c r="D3675" i="1"/>
  <c r="V3674" i="1"/>
  <c r="Q3674" i="1"/>
  <c r="P3674" i="1"/>
  <c r="O3674" i="1"/>
  <c r="N3674" i="1"/>
  <c r="I3674" i="1"/>
  <c r="H3674" i="1"/>
  <c r="G3674" i="1"/>
  <c r="F3674" i="1"/>
  <c r="E3674" i="1"/>
  <c r="D3674" i="1"/>
  <c r="V3673" i="1"/>
  <c r="Q3673" i="1"/>
  <c r="P3673" i="1"/>
  <c r="O3673" i="1"/>
  <c r="N3673" i="1"/>
  <c r="I3673" i="1"/>
  <c r="H3673" i="1"/>
  <c r="G3673" i="1"/>
  <c r="F3673" i="1"/>
  <c r="E3673" i="1"/>
  <c r="D3673" i="1"/>
  <c r="V3672" i="1"/>
  <c r="Q3672" i="1"/>
  <c r="P3672" i="1"/>
  <c r="O3672" i="1"/>
  <c r="N3672" i="1"/>
  <c r="I3672" i="1"/>
  <c r="H3672" i="1"/>
  <c r="G3672" i="1"/>
  <c r="F3672" i="1"/>
  <c r="E3672" i="1"/>
  <c r="D3672" i="1"/>
  <c r="V3671" i="1"/>
  <c r="Q3671" i="1"/>
  <c r="P3671" i="1"/>
  <c r="O3671" i="1"/>
  <c r="N3671" i="1"/>
  <c r="I3671" i="1"/>
  <c r="H3671" i="1"/>
  <c r="G3671" i="1"/>
  <c r="F3671" i="1"/>
  <c r="E3671" i="1"/>
  <c r="D3671" i="1"/>
  <c r="V3670" i="1"/>
  <c r="Q3670" i="1"/>
  <c r="P3670" i="1"/>
  <c r="O3670" i="1"/>
  <c r="N3670" i="1"/>
  <c r="I3670" i="1"/>
  <c r="H3670" i="1"/>
  <c r="G3670" i="1"/>
  <c r="F3670" i="1"/>
  <c r="E3670" i="1"/>
  <c r="D3670" i="1"/>
  <c r="V3669" i="1"/>
  <c r="Q3669" i="1"/>
  <c r="P3669" i="1"/>
  <c r="O3669" i="1"/>
  <c r="N3669" i="1"/>
  <c r="I3669" i="1"/>
  <c r="H3669" i="1"/>
  <c r="G3669" i="1"/>
  <c r="F3669" i="1"/>
  <c r="E3669" i="1"/>
  <c r="D3669" i="1"/>
  <c r="V3668" i="1"/>
  <c r="Q3668" i="1"/>
  <c r="P3668" i="1"/>
  <c r="O3668" i="1"/>
  <c r="N3668" i="1"/>
  <c r="I3668" i="1"/>
  <c r="H3668" i="1"/>
  <c r="G3668" i="1"/>
  <c r="F3668" i="1"/>
  <c r="E3668" i="1"/>
  <c r="D3668" i="1"/>
  <c r="V3667" i="1"/>
  <c r="Q3667" i="1"/>
  <c r="P3667" i="1"/>
  <c r="O3667" i="1"/>
  <c r="N3667" i="1"/>
  <c r="I3667" i="1"/>
  <c r="H3667" i="1"/>
  <c r="G3667" i="1"/>
  <c r="F3667" i="1"/>
  <c r="E3667" i="1"/>
  <c r="D3667" i="1"/>
  <c r="V3666" i="1"/>
  <c r="Q3666" i="1"/>
  <c r="P3666" i="1"/>
  <c r="O3666" i="1"/>
  <c r="N3666" i="1"/>
  <c r="I3666" i="1"/>
  <c r="H3666" i="1"/>
  <c r="G3666" i="1"/>
  <c r="F3666" i="1"/>
  <c r="E3666" i="1"/>
  <c r="D3666" i="1"/>
  <c r="V3665" i="1"/>
  <c r="Q3665" i="1"/>
  <c r="P3665" i="1"/>
  <c r="O3665" i="1"/>
  <c r="N3665" i="1"/>
  <c r="I3665" i="1"/>
  <c r="H3665" i="1"/>
  <c r="G3665" i="1"/>
  <c r="F3665" i="1"/>
  <c r="E3665" i="1"/>
  <c r="D3665" i="1"/>
  <c r="V3664" i="1"/>
  <c r="Q3664" i="1"/>
  <c r="P3664" i="1"/>
  <c r="O3664" i="1"/>
  <c r="N3664" i="1"/>
  <c r="I3664" i="1"/>
  <c r="H3664" i="1"/>
  <c r="G3664" i="1"/>
  <c r="F3664" i="1"/>
  <c r="E3664" i="1"/>
  <c r="D3664" i="1"/>
  <c r="V3663" i="1"/>
  <c r="Q3663" i="1"/>
  <c r="P3663" i="1"/>
  <c r="O3663" i="1"/>
  <c r="N3663" i="1"/>
  <c r="I3663" i="1"/>
  <c r="H3663" i="1"/>
  <c r="G3663" i="1"/>
  <c r="F3663" i="1"/>
  <c r="E3663" i="1"/>
  <c r="D3663" i="1"/>
  <c r="V3662" i="1"/>
  <c r="Q3662" i="1"/>
  <c r="P3662" i="1"/>
  <c r="O3662" i="1"/>
  <c r="N3662" i="1"/>
  <c r="I3662" i="1"/>
  <c r="H3662" i="1"/>
  <c r="G3662" i="1"/>
  <c r="F3662" i="1"/>
  <c r="E3662" i="1"/>
  <c r="D3662" i="1"/>
  <c r="V3661" i="1"/>
  <c r="Q3661" i="1"/>
  <c r="P3661" i="1"/>
  <c r="O3661" i="1"/>
  <c r="N3661" i="1"/>
  <c r="I3661" i="1"/>
  <c r="H3661" i="1"/>
  <c r="G3661" i="1"/>
  <c r="F3661" i="1"/>
  <c r="E3661" i="1"/>
  <c r="D3661" i="1"/>
  <c r="V3660" i="1"/>
  <c r="Q3660" i="1"/>
  <c r="P3660" i="1"/>
  <c r="O3660" i="1"/>
  <c r="N3660" i="1"/>
  <c r="I3660" i="1"/>
  <c r="H3660" i="1"/>
  <c r="G3660" i="1"/>
  <c r="F3660" i="1"/>
  <c r="E3660" i="1"/>
  <c r="D3660" i="1"/>
  <c r="V3659" i="1"/>
  <c r="Q3659" i="1"/>
  <c r="P3659" i="1"/>
  <c r="O3659" i="1"/>
  <c r="N3659" i="1"/>
  <c r="I3659" i="1"/>
  <c r="H3659" i="1"/>
  <c r="G3659" i="1"/>
  <c r="F3659" i="1"/>
  <c r="E3659" i="1"/>
  <c r="D3659" i="1"/>
  <c r="V3658" i="1"/>
  <c r="Q3658" i="1"/>
  <c r="P3658" i="1"/>
  <c r="O3658" i="1"/>
  <c r="N3658" i="1"/>
  <c r="I3658" i="1"/>
  <c r="H3658" i="1"/>
  <c r="G3658" i="1"/>
  <c r="F3658" i="1"/>
  <c r="E3658" i="1"/>
  <c r="D3658" i="1"/>
  <c r="V3657" i="1"/>
  <c r="Q3657" i="1"/>
  <c r="P3657" i="1"/>
  <c r="O3657" i="1"/>
  <c r="N3657" i="1"/>
  <c r="I3657" i="1"/>
  <c r="H3657" i="1"/>
  <c r="G3657" i="1"/>
  <c r="F3657" i="1"/>
  <c r="E3657" i="1"/>
  <c r="D3657" i="1"/>
  <c r="V3656" i="1"/>
  <c r="Q3656" i="1"/>
  <c r="P3656" i="1"/>
  <c r="O3656" i="1"/>
  <c r="N3656" i="1"/>
  <c r="I3656" i="1"/>
  <c r="H3656" i="1"/>
  <c r="G3656" i="1"/>
  <c r="F3656" i="1"/>
  <c r="E3656" i="1"/>
  <c r="D3656" i="1"/>
  <c r="V3655" i="1"/>
  <c r="Q3655" i="1"/>
  <c r="P3655" i="1"/>
  <c r="O3655" i="1"/>
  <c r="N3655" i="1"/>
  <c r="I3655" i="1"/>
  <c r="H3655" i="1"/>
  <c r="G3655" i="1"/>
  <c r="F3655" i="1"/>
  <c r="E3655" i="1"/>
  <c r="D3655" i="1"/>
  <c r="V3654" i="1"/>
  <c r="Q3654" i="1"/>
  <c r="P3654" i="1"/>
  <c r="O3654" i="1"/>
  <c r="N3654" i="1"/>
  <c r="I3654" i="1"/>
  <c r="H3654" i="1"/>
  <c r="G3654" i="1"/>
  <c r="F3654" i="1"/>
  <c r="E3654" i="1"/>
  <c r="D3654" i="1"/>
  <c r="V3653" i="1"/>
  <c r="Q3653" i="1"/>
  <c r="P3653" i="1"/>
  <c r="O3653" i="1"/>
  <c r="N3653" i="1"/>
  <c r="I3653" i="1"/>
  <c r="H3653" i="1"/>
  <c r="G3653" i="1"/>
  <c r="F3653" i="1"/>
  <c r="E3653" i="1"/>
  <c r="D3653" i="1"/>
  <c r="V3652" i="1"/>
  <c r="Q3652" i="1"/>
  <c r="P3652" i="1"/>
  <c r="O3652" i="1"/>
  <c r="N3652" i="1"/>
  <c r="I3652" i="1"/>
  <c r="H3652" i="1"/>
  <c r="G3652" i="1"/>
  <c r="F3652" i="1"/>
  <c r="E3652" i="1"/>
  <c r="D3652" i="1"/>
  <c r="V3651" i="1"/>
  <c r="Q3651" i="1"/>
  <c r="P3651" i="1"/>
  <c r="O3651" i="1"/>
  <c r="N3651" i="1"/>
  <c r="I3651" i="1"/>
  <c r="H3651" i="1"/>
  <c r="G3651" i="1"/>
  <c r="F3651" i="1"/>
  <c r="E3651" i="1"/>
  <c r="D3651" i="1"/>
  <c r="V3650" i="1"/>
  <c r="Q3650" i="1"/>
  <c r="P3650" i="1"/>
  <c r="O3650" i="1"/>
  <c r="N3650" i="1"/>
  <c r="I3650" i="1"/>
  <c r="H3650" i="1"/>
  <c r="G3650" i="1"/>
  <c r="F3650" i="1"/>
  <c r="E3650" i="1"/>
  <c r="D3650" i="1"/>
  <c r="V3649" i="1"/>
  <c r="Q3649" i="1"/>
  <c r="P3649" i="1"/>
  <c r="O3649" i="1"/>
  <c r="N3649" i="1"/>
  <c r="I3649" i="1"/>
  <c r="H3649" i="1"/>
  <c r="G3649" i="1"/>
  <c r="F3649" i="1"/>
  <c r="E3649" i="1"/>
  <c r="V3648" i="1"/>
  <c r="Q3648" i="1"/>
  <c r="P3648" i="1"/>
  <c r="O3648" i="1"/>
  <c r="N3648" i="1"/>
  <c r="I3648" i="1"/>
  <c r="H3648" i="1"/>
  <c r="G3648" i="1"/>
  <c r="F3648" i="1"/>
  <c r="E3648" i="1"/>
  <c r="V3647" i="1"/>
  <c r="Q3647" i="1"/>
  <c r="P3647" i="1"/>
  <c r="O3647" i="1"/>
  <c r="N3647" i="1"/>
  <c r="I3647" i="1"/>
  <c r="H3647" i="1"/>
  <c r="G3647" i="1"/>
  <c r="F3647" i="1"/>
  <c r="E3647" i="1"/>
  <c r="V3646" i="1"/>
  <c r="Q3646" i="1"/>
  <c r="P3646" i="1"/>
  <c r="O3646" i="1"/>
  <c r="N3646" i="1"/>
  <c r="I3646" i="1"/>
  <c r="H3646" i="1"/>
  <c r="G3646" i="1"/>
  <c r="F3646" i="1"/>
  <c r="E3646" i="1"/>
  <c r="V3645" i="1"/>
  <c r="Q3645" i="1"/>
  <c r="P3645" i="1"/>
  <c r="O3645" i="1"/>
  <c r="N3645" i="1"/>
  <c r="I3645" i="1"/>
  <c r="H3645" i="1"/>
  <c r="G3645" i="1"/>
  <c r="F3645" i="1"/>
  <c r="E3645" i="1"/>
  <c r="V3644" i="1"/>
  <c r="Q3644" i="1"/>
  <c r="P3644" i="1"/>
  <c r="O3644" i="1"/>
  <c r="N3644" i="1"/>
  <c r="I3644" i="1"/>
  <c r="H3644" i="1"/>
  <c r="G3644" i="1"/>
  <c r="F3644" i="1"/>
  <c r="E3644" i="1"/>
  <c r="V3643" i="1"/>
  <c r="Q3643" i="1"/>
  <c r="P3643" i="1"/>
  <c r="O3643" i="1"/>
  <c r="N3643" i="1"/>
  <c r="I3643" i="1"/>
  <c r="H3643" i="1"/>
  <c r="G3643" i="1"/>
  <c r="F3643" i="1"/>
  <c r="E3643" i="1"/>
  <c r="V3642" i="1"/>
  <c r="Q3642" i="1"/>
  <c r="P3642" i="1"/>
  <c r="O3642" i="1"/>
  <c r="N3642" i="1"/>
  <c r="H3642" i="1"/>
  <c r="G3642" i="1"/>
  <c r="F3642" i="1"/>
  <c r="E3642" i="1"/>
  <c r="V3641" i="1"/>
  <c r="Q3641" i="1"/>
  <c r="P3641" i="1"/>
  <c r="O3641" i="1"/>
  <c r="N3641" i="1"/>
  <c r="H3641" i="1"/>
  <c r="G3641" i="1"/>
  <c r="F3641" i="1"/>
  <c r="E3641" i="1"/>
  <c r="V3640" i="1"/>
  <c r="Q3640" i="1"/>
  <c r="P3640" i="1"/>
  <c r="O3640" i="1"/>
  <c r="N3640" i="1"/>
  <c r="H3640" i="1"/>
  <c r="G3640" i="1"/>
  <c r="F3640" i="1"/>
  <c r="E3640" i="1"/>
  <c r="V3639" i="1"/>
  <c r="Q3639" i="1"/>
  <c r="P3639" i="1"/>
  <c r="O3639" i="1"/>
  <c r="N3639" i="1"/>
  <c r="H3639" i="1"/>
  <c r="G3639" i="1"/>
  <c r="F3639" i="1"/>
  <c r="E3639" i="1"/>
  <c r="V3638" i="1"/>
  <c r="Q3638" i="1"/>
  <c r="P3638" i="1"/>
  <c r="O3638" i="1"/>
  <c r="N3638" i="1"/>
  <c r="H3638" i="1"/>
  <c r="G3638" i="1"/>
  <c r="F3638" i="1"/>
  <c r="E3638" i="1"/>
  <c r="V3637" i="1"/>
  <c r="Q3637" i="1"/>
  <c r="P3637" i="1"/>
  <c r="O3637" i="1"/>
  <c r="N3637" i="1"/>
  <c r="H3637" i="1"/>
  <c r="G3637" i="1"/>
  <c r="F3637" i="1"/>
  <c r="E3637" i="1"/>
  <c r="V3636" i="1"/>
  <c r="Q3636" i="1"/>
  <c r="P3636" i="1"/>
  <c r="O3636" i="1"/>
  <c r="N3636" i="1"/>
  <c r="H3636" i="1"/>
  <c r="G3636" i="1"/>
  <c r="F3636" i="1"/>
  <c r="E3636" i="1"/>
  <c r="V3635" i="1"/>
  <c r="Q3635" i="1"/>
  <c r="P3635" i="1"/>
  <c r="O3635" i="1"/>
  <c r="N3635" i="1"/>
  <c r="H3635" i="1"/>
  <c r="G3635" i="1"/>
  <c r="F3635" i="1"/>
  <c r="E3635" i="1"/>
  <c r="V3634" i="1"/>
  <c r="Q3634" i="1"/>
  <c r="P3634" i="1"/>
  <c r="O3634" i="1"/>
  <c r="N3634" i="1"/>
  <c r="H3634" i="1"/>
  <c r="G3634" i="1"/>
  <c r="F3634" i="1"/>
  <c r="E3634" i="1"/>
  <c r="V3633" i="1"/>
  <c r="Q3633" i="1"/>
  <c r="P3633" i="1"/>
  <c r="O3633" i="1"/>
  <c r="N3633" i="1"/>
  <c r="H3633" i="1"/>
  <c r="G3633" i="1"/>
  <c r="F3633" i="1"/>
  <c r="E3633" i="1"/>
  <c r="V3632" i="1"/>
  <c r="Q3632" i="1"/>
  <c r="P3632" i="1"/>
  <c r="O3632" i="1"/>
  <c r="N3632" i="1"/>
  <c r="H3632" i="1"/>
  <c r="G3632" i="1"/>
  <c r="F3632" i="1"/>
  <c r="E3632" i="1"/>
  <c r="V3631" i="1"/>
  <c r="Q3631" i="1"/>
  <c r="P3631" i="1"/>
  <c r="O3631" i="1"/>
  <c r="N3631" i="1"/>
  <c r="H3631" i="1"/>
  <c r="G3631" i="1"/>
  <c r="F3631" i="1"/>
  <c r="E3631" i="1"/>
  <c r="V3630" i="1"/>
  <c r="Q3630" i="1"/>
  <c r="P3630" i="1"/>
  <c r="O3630" i="1"/>
  <c r="N3630" i="1"/>
  <c r="H3630" i="1"/>
  <c r="G3630" i="1"/>
  <c r="F3630" i="1"/>
  <c r="E3630" i="1"/>
  <c r="V3629" i="1"/>
  <c r="Q3629" i="1"/>
  <c r="P3629" i="1"/>
  <c r="O3629" i="1"/>
  <c r="N3629" i="1"/>
  <c r="H3629" i="1"/>
  <c r="G3629" i="1"/>
  <c r="F3629" i="1"/>
  <c r="E3629" i="1"/>
  <c r="V3628" i="1"/>
  <c r="Q3628" i="1"/>
  <c r="P3628" i="1"/>
  <c r="O3628" i="1"/>
  <c r="N3628" i="1"/>
  <c r="H3628" i="1"/>
  <c r="G3628" i="1"/>
  <c r="F3628" i="1"/>
  <c r="E3628" i="1"/>
  <c r="V3627" i="1"/>
  <c r="Q3627" i="1"/>
  <c r="P3627" i="1"/>
  <c r="O3627" i="1"/>
  <c r="N3627" i="1"/>
  <c r="H3627" i="1"/>
  <c r="G3627" i="1"/>
  <c r="F3627" i="1"/>
  <c r="E3627" i="1"/>
  <c r="V3626" i="1"/>
  <c r="Q3626" i="1"/>
  <c r="P3626" i="1"/>
  <c r="O3626" i="1"/>
  <c r="N3626" i="1"/>
  <c r="H3626" i="1"/>
  <c r="G3626" i="1"/>
  <c r="F3626" i="1"/>
  <c r="E3626" i="1"/>
  <c r="V3625" i="1"/>
  <c r="Q3625" i="1"/>
  <c r="P3625" i="1"/>
  <c r="O3625" i="1"/>
  <c r="N3625" i="1"/>
  <c r="H3625" i="1"/>
  <c r="G3625" i="1"/>
  <c r="F3625" i="1"/>
  <c r="E3625" i="1"/>
  <c r="V3624" i="1"/>
  <c r="Q3624" i="1"/>
  <c r="P3624" i="1"/>
  <c r="O3624" i="1"/>
  <c r="N3624" i="1"/>
  <c r="H3624" i="1"/>
  <c r="G3624" i="1"/>
  <c r="F3624" i="1"/>
  <c r="E3624" i="1"/>
  <c r="V3623" i="1"/>
  <c r="Q3623" i="1"/>
  <c r="P3623" i="1"/>
  <c r="O3623" i="1"/>
  <c r="N3623" i="1"/>
  <c r="H3623" i="1"/>
  <c r="G3623" i="1"/>
  <c r="F3623" i="1"/>
  <c r="E3623" i="1"/>
  <c r="V3622" i="1"/>
  <c r="Q3622" i="1"/>
  <c r="P3622" i="1"/>
  <c r="O3622" i="1"/>
  <c r="N3622" i="1"/>
  <c r="H3622" i="1"/>
  <c r="G3622" i="1"/>
  <c r="F3622" i="1"/>
  <c r="E3622" i="1"/>
  <c r="V3621" i="1"/>
  <c r="Q3621" i="1"/>
  <c r="P3621" i="1"/>
  <c r="O3621" i="1"/>
  <c r="N3621" i="1"/>
  <c r="H3621" i="1"/>
  <c r="G3621" i="1"/>
  <c r="F3621" i="1"/>
  <c r="E3621" i="1"/>
  <c r="V3620" i="1"/>
  <c r="Q3620" i="1"/>
  <c r="P3620" i="1"/>
  <c r="O3620" i="1"/>
  <c r="N3620" i="1"/>
  <c r="H3620" i="1"/>
  <c r="G3620" i="1"/>
  <c r="F3620" i="1"/>
  <c r="E3620" i="1"/>
  <c r="V3619" i="1"/>
  <c r="Q3619" i="1"/>
  <c r="P3619" i="1"/>
  <c r="O3619" i="1"/>
  <c r="N3619" i="1"/>
  <c r="H3619" i="1"/>
  <c r="G3619" i="1"/>
  <c r="F3619" i="1"/>
  <c r="E3619" i="1"/>
  <c r="V3618" i="1"/>
  <c r="Q3618" i="1"/>
  <c r="P3618" i="1"/>
  <c r="O3618" i="1"/>
  <c r="N3618" i="1"/>
  <c r="H3618" i="1"/>
  <c r="G3618" i="1"/>
  <c r="F3618" i="1"/>
  <c r="E3618" i="1"/>
  <c r="V3617" i="1"/>
  <c r="Q3617" i="1"/>
  <c r="P3617" i="1"/>
  <c r="O3617" i="1"/>
  <c r="N3617" i="1"/>
  <c r="H3617" i="1"/>
  <c r="G3617" i="1"/>
  <c r="F3617" i="1"/>
  <c r="E3617" i="1"/>
  <c r="V3616" i="1"/>
  <c r="Q3616" i="1"/>
  <c r="P3616" i="1"/>
  <c r="O3616" i="1"/>
  <c r="N3616" i="1"/>
  <c r="H3616" i="1"/>
  <c r="G3616" i="1"/>
  <c r="F3616" i="1"/>
  <c r="E3616" i="1"/>
  <c r="V3615" i="1"/>
  <c r="Q3615" i="1"/>
  <c r="P3615" i="1"/>
  <c r="O3615" i="1"/>
  <c r="N3615" i="1"/>
  <c r="H3615" i="1"/>
  <c r="G3615" i="1"/>
  <c r="F3615" i="1"/>
  <c r="E3615" i="1"/>
  <c r="V3614" i="1"/>
  <c r="Q3614" i="1"/>
  <c r="P3614" i="1"/>
  <c r="O3614" i="1"/>
  <c r="N3614" i="1"/>
  <c r="H3614" i="1"/>
  <c r="G3614" i="1"/>
  <c r="F3614" i="1"/>
  <c r="E3614" i="1"/>
  <c r="V3613" i="1"/>
  <c r="Q3613" i="1"/>
  <c r="P3613" i="1"/>
  <c r="O3613" i="1"/>
  <c r="N3613" i="1"/>
  <c r="H3613" i="1"/>
  <c r="G3613" i="1"/>
  <c r="F3613" i="1"/>
  <c r="E3613" i="1"/>
  <c r="V3612" i="1"/>
  <c r="Q3612" i="1"/>
  <c r="P3612" i="1"/>
  <c r="O3612" i="1"/>
  <c r="N3612" i="1"/>
  <c r="H3612" i="1"/>
  <c r="G3612" i="1"/>
  <c r="F3612" i="1"/>
  <c r="E3612" i="1"/>
  <c r="V3611" i="1"/>
  <c r="Q3611" i="1"/>
  <c r="P3611" i="1"/>
  <c r="O3611" i="1"/>
  <c r="N3611" i="1"/>
  <c r="H3611" i="1"/>
  <c r="G3611" i="1"/>
  <c r="F3611" i="1"/>
  <c r="E3611" i="1"/>
  <c r="V3610" i="1"/>
  <c r="Q3610" i="1"/>
  <c r="P3610" i="1"/>
  <c r="O3610" i="1"/>
  <c r="N3610" i="1"/>
  <c r="H3610" i="1"/>
  <c r="G3610" i="1"/>
  <c r="F3610" i="1"/>
  <c r="E3610" i="1"/>
  <c r="V3609" i="1"/>
  <c r="Q3609" i="1"/>
  <c r="P3609" i="1"/>
  <c r="O3609" i="1"/>
  <c r="N3609" i="1"/>
  <c r="H3609" i="1"/>
  <c r="G3609" i="1"/>
  <c r="F3609" i="1"/>
  <c r="E3609" i="1"/>
  <c r="V3608" i="1"/>
  <c r="Q3608" i="1"/>
  <c r="P3608" i="1"/>
  <c r="O3608" i="1"/>
  <c r="N3608" i="1"/>
  <c r="H3608" i="1"/>
  <c r="G3608" i="1"/>
  <c r="F3608" i="1"/>
  <c r="E3608" i="1"/>
  <c r="V3607" i="1"/>
  <c r="Q3607" i="1"/>
  <c r="P3607" i="1"/>
  <c r="O3607" i="1"/>
  <c r="N3607" i="1"/>
  <c r="H3607" i="1"/>
  <c r="G3607" i="1"/>
  <c r="F3607" i="1"/>
  <c r="E3607" i="1"/>
  <c r="V3606" i="1"/>
  <c r="Q3606" i="1"/>
  <c r="P3606" i="1"/>
  <c r="O3606" i="1"/>
  <c r="N3606" i="1"/>
  <c r="H3606" i="1"/>
  <c r="G3606" i="1"/>
  <c r="F3606" i="1"/>
  <c r="E3606" i="1"/>
  <c r="V3605" i="1"/>
  <c r="Q3605" i="1"/>
  <c r="P3605" i="1"/>
  <c r="O3605" i="1"/>
  <c r="N3605" i="1"/>
  <c r="H3605" i="1"/>
  <c r="G3605" i="1"/>
  <c r="F3605" i="1"/>
  <c r="E3605" i="1"/>
  <c r="V3604" i="1"/>
  <c r="Q3604" i="1"/>
  <c r="P3604" i="1"/>
  <c r="O3604" i="1"/>
  <c r="N3604" i="1"/>
  <c r="H3604" i="1"/>
  <c r="G3604" i="1"/>
  <c r="F3604" i="1"/>
  <c r="E3604" i="1"/>
  <c r="V3603" i="1"/>
  <c r="Q3603" i="1"/>
  <c r="P3603" i="1"/>
  <c r="O3603" i="1"/>
  <c r="N3603" i="1"/>
  <c r="I3603" i="1"/>
  <c r="H3603" i="1"/>
  <c r="G3603" i="1"/>
  <c r="F3603" i="1"/>
  <c r="E3603" i="1"/>
  <c r="V3602" i="1"/>
  <c r="Q3602" i="1"/>
  <c r="P3602" i="1"/>
  <c r="O3602" i="1"/>
  <c r="N3602" i="1"/>
  <c r="I3602" i="1"/>
  <c r="H3602" i="1"/>
  <c r="G3602" i="1"/>
  <c r="F3602" i="1"/>
  <c r="E3602" i="1"/>
  <c r="V3601" i="1"/>
  <c r="Q3601" i="1"/>
  <c r="P3601" i="1"/>
  <c r="O3601" i="1"/>
  <c r="N3601" i="1"/>
  <c r="I3601" i="1"/>
  <c r="H3601" i="1"/>
  <c r="G3601" i="1"/>
  <c r="F3601" i="1"/>
  <c r="E3601" i="1"/>
  <c r="V3600" i="1"/>
  <c r="Q3600" i="1"/>
  <c r="P3600" i="1"/>
  <c r="O3600" i="1"/>
  <c r="N3600" i="1"/>
  <c r="I3600" i="1"/>
  <c r="H3600" i="1"/>
  <c r="G3600" i="1"/>
  <c r="F3600" i="1"/>
  <c r="E3600" i="1"/>
  <c r="V3599" i="1"/>
  <c r="Q3599" i="1"/>
  <c r="P3599" i="1"/>
  <c r="O3599" i="1"/>
  <c r="N3599" i="1"/>
  <c r="I3599" i="1"/>
  <c r="H3599" i="1"/>
  <c r="G3599" i="1"/>
  <c r="F3599" i="1"/>
  <c r="E3599" i="1"/>
  <c r="V3598" i="1"/>
  <c r="Q3598" i="1"/>
  <c r="P3598" i="1"/>
  <c r="O3598" i="1"/>
  <c r="N3598" i="1"/>
  <c r="I3598" i="1"/>
  <c r="H3598" i="1"/>
  <c r="G3598" i="1"/>
  <c r="F3598" i="1"/>
  <c r="E3598" i="1"/>
  <c r="V3597" i="1"/>
  <c r="Q3597" i="1"/>
  <c r="P3597" i="1"/>
  <c r="O3597" i="1"/>
  <c r="N3597" i="1"/>
  <c r="I3597" i="1"/>
  <c r="H3597" i="1"/>
  <c r="G3597" i="1"/>
  <c r="F3597" i="1"/>
  <c r="E3597" i="1"/>
  <c r="V3596" i="1"/>
  <c r="Q3596" i="1"/>
  <c r="P3596" i="1"/>
  <c r="O3596" i="1"/>
  <c r="N3596" i="1"/>
  <c r="I3596" i="1"/>
  <c r="H3596" i="1"/>
  <c r="G3596" i="1"/>
  <c r="F3596" i="1"/>
  <c r="E3596" i="1"/>
  <c r="V3595" i="1"/>
  <c r="Q3595" i="1"/>
  <c r="P3595" i="1"/>
  <c r="O3595" i="1"/>
  <c r="N3595" i="1"/>
  <c r="I3595" i="1"/>
  <c r="H3595" i="1"/>
  <c r="G3595" i="1"/>
  <c r="F3595" i="1"/>
  <c r="E3595" i="1"/>
  <c r="V3594" i="1"/>
  <c r="Q3594" i="1"/>
  <c r="P3594" i="1"/>
  <c r="O3594" i="1"/>
  <c r="N3594" i="1"/>
  <c r="I3594" i="1"/>
  <c r="H3594" i="1"/>
  <c r="G3594" i="1"/>
  <c r="F3594" i="1"/>
  <c r="E3594" i="1"/>
  <c r="V3593" i="1"/>
  <c r="Q3593" i="1"/>
  <c r="P3593" i="1"/>
  <c r="O3593" i="1"/>
  <c r="N3593" i="1"/>
  <c r="I3593" i="1"/>
  <c r="H3593" i="1"/>
  <c r="G3593" i="1"/>
  <c r="F3593" i="1"/>
  <c r="E3593" i="1"/>
  <c r="V3592" i="1"/>
  <c r="Q3592" i="1"/>
  <c r="P3592" i="1"/>
  <c r="O3592" i="1"/>
  <c r="N3592" i="1"/>
  <c r="I3592" i="1"/>
  <c r="H3592" i="1"/>
  <c r="G3592" i="1"/>
  <c r="F3592" i="1"/>
  <c r="E3592" i="1"/>
  <c r="V3591" i="1"/>
  <c r="Q3591" i="1"/>
  <c r="P3591" i="1"/>
  <c r="O3591" i="1"/>
  <c r="N3591" i="1"/>
  <c r="I3591" i="1"/>
  <c r="H3591" i="1"/>
  <c r="G3591" i="1"/>
  <c r="F3591" i="1"/>
  <c r="E3591" i="1"/>
  <c r="V3590" i="1"/>
  <c r="Q3590" i="1"/>
  <c r="P3590" i="1"/>
  <c r="O3590" i="1"/>
  <c r="N3590" i="1"/>
  <c r="H3590" i="1"/>
  <c r="G3590" i="1"/>
  <c r="F3590" i="1"/>
  <c r="E3590" i="1"/>
  <c r="V3589" i="1"/>
  <c r="Q3589" i="1"/>
  <c r="P3589" i="1"/>
  <c r="O3589" i="1"/>
  <c r="N3589" i="1"/>
  <c r="H3589" i="1"/>
  <c r="G3589" i="1"/>
  <c r="F3589" i="1"/>
  <c r="E3589" i="1"/>
  <c r="V3588" i="1"/>
  <c r="Q3588" i="1"/>
  <c r="P3588" i="1"/>
  <c r="O3588" i="1"/>
  <c r="N3588" i="1"/>
  <c r="H3588" i="1"/>
  <c r="G3588" i="1"/>
  <c r="F3588" i="1"/>
  <c r="E3588" i="1"/>
  <c r="V3587" i="1"/>
  <c r="Q3587" i="1"/>
  <c r="P3587" i="1"/>
  <c r="O3587" i="1"/>
  <c r="N3587" i="1"/>
  <c r="H3587" i="1"/>
  <c r="G3587" i="1"/>
  <c r="F3587" i="1"/>
  <c r="E3587" i="1"/>
  <c r="V3586" i="1"/>
  <c r="Q3586" i="1"/>
  <c r="P3586" i="1"/>
  <c r="O3586" i="1"/>
  <c r="N3586" i="1"/>
  <c r="H3586" i="1"/>
  <c r="G3586" i="1"/>
  <c r="F3586" i="1"/>
  <c r="E3586" i="1"/>
  <c r="V3585" i="1"/>
  <c r="Q3585" i="1"/>
  <c r="P3585" i="1"/>
  <c r="O3585" i="1"/>
  <c r="N3585" i="1"/>
  <c r="H3585" i="1"/>
  <c r="G3585" i="1"/>
  <c r="F3585" i="1"/>
  <c r="E3585" i="1"/>
  <c r="V3584" i="1"/>
  <c r="Q3584" i="1"/>
  <c r="P3584" i="1"/>
  <c r="O3584" i="1"/>
  <c r="N3584" i="1"/>
  <c r="H3584" i="1"/>
  <c r="G3584" i="1"/>
  <c r="F3584" i="1"/>
  <c r="E3584" i="1"/>
  <c r="V3583" i="1"/>
  <c r="Q3583" i="1"/>
  <c r="P3583" i="1"/>
  <c r="O3583" i="1"/>
  <c r="N3583" i="1"/>
  <c r="H3583" i="1"/>
  <c r="G3583" i="1"/>
  <c r="F3583" i="1"/>
  <c r="E3583" i="1"/>
  <c r="V3582" i="1"/>
  <c r="Q3582" i="1"/>
  <c r="P3582" i="1"/>
  <c r="O3582" i="1"/>
  <c r="N3582" i="1"/>
  <c r="H3582" i="1"/>
  <c r="G3582" i="1"/>
  <c r="F3582" i="1"/>
  <c r="E3582" i="1"/>
  <c r="V3581" i="1"/>
  <c r="Q3581" i="1"/>
  <c r="P3581" i="1"/>
  <c r="O3581" i="1"/>
  <c r="N3581" i="1"/>
  <c r="H3581" i="1"/>
  <c r="G3581" i="1"/>
  <c r="F3581" i="1"/>
  <c r="V3580" i="1"/>
  <c r="Q3580" i="1"/>
  <c r="P3580" i="1"/>
  <c r="O3580" i="1"/>
  <c r="N3580" i="1"/>
  <c r="H3580" i="1"/>
  <c r="G3580" i="1"/>
  <c r="F3580" i="1"/>
  <c r="V3579" i="1"/>
  <c r="Q3579" i="1"/>
  <c r="P3579" i="1"/>
  <c r="O3579" i="1"/>
  <c r="N3579" i="1"/>
  <c r="H3579" i="1"/>
  <c r="G3579" i="1"/>
  <c r="F3579" i="1"/>
  <c r="V3578" i="1"/>
  <c r="Q3578" i="1"/>
  <c r="P3578" i="1"/>
  <c r="O3578" i="1"/>
  <c r="N3578" i="1"/>
  <c r="H3578" i="1"/>
  <c r="G3578" i="1"/>
  <c r="F3578" i="1"/>
  <c r="V3577" i="1"/>
  <c r="Q3577" i="1"/>
  <c r="P3577" i="1"/>
  <c r="O3577" i="1"/>
  <c r="N3577" i="1"/>
  <c r="G3577" i="1"/>
  <c r="F3577" i="1"/>
  <c r="V3576" i="1"/>
  <c r="Q3576" i="1"/>
  <c r="P3576" i="1"/>
  <c r="O3576" i="1"/>
  <c r="N3576" i="1"/>
  <c r="G3576" i="1"/>
  <c r="F3576" i="1"/>
  <c r="V3575" i="1"/>
  <c r="Q3575" i="1"/>
  <c r="P3575" i="1"/>
  <c r="O3575" i="1"/>
  <c r="N3575" i="1"/>
  <c r="G3575" i="1"/>
  <c r="V3574" i="1"/>
  <c r="Q3574" i="1"/>
  <c r="P3574" i="1"/>
  <c r="O3574" i="1"/>
  <c r="N3574" i="1"/>
  <c r="G3574" i="1"/>
  <c r="V3573" i="1"/>
  <c r="Q3573" i="1"/>
  <c r="P3573" i="1"/>
  <c r="O3573" i="1"/>
  <c r="N3573" i="1"/>
  <c r="G3573" i="1"/>
  <c r="V3572" i="1"/>
  <c r="Q3572" i="1"/>
  <c r="P3572" i="1"/>
  <c r="O3572" i="1"/>
  <c r="N3572" i="1"/>
  <c r="G3572" i="1"/>
  <c r="V3571" i="1"/>
  <c r="Q3571" i="1"/>
  <c r="P3571" i="1"/>
  <c r="O3571" i="1"/>
  <c r="N3571" i="1"/>
  <c r="V3570" i="1"/>
  <c r="Q3570" i="1"/>
  <c r="P3570" i="1"/>
  <c r="O3570" i="1"/>
  <c r="N3570" i="1"/>
  <c r="V3569" i="1"/>
  <c r="Q3569" i="1"/>
  <c r="P3569" i="1"/>
  <c r="O3569" i="1"/>
  <c r="N3569" i="1"/>
  <c r="V3568" i="1"/>
  <c r="Q3568" i="1"/>
  <c r="P3568" i="1"/>
  <c r="O3568" i="1"/>
  <c r="N3568" i="1"/>
  <c r="G3568" i="1"/>
  <c r="V3567" i="1"/>
  <c r="Q3567" i="1"/>
  <c r="P3567" i="1"/>
  <c r="O3567" i="1"/>
  <c r="N3567" i="1"/>
  <c r="G3567" i="1"/>
  <c r="V3566" i="1"/>
  <c r="Q3566" i="1"/>
  <c r="P3566" i="1"/>
  <c r="O3566" i="1"/>
  <c r="N3566" i="1"/>
  <c r="G3566" i="1"/>
  <c r="V3565" i="1"/>
  <c r="Q3565" i="1"/>
  <c r="P3565" i="1"/>
  <c r="O3565" i="1"/>
  <c r="N3565" i="1"/>
  <c r="V3564" i="1"/>
  <c r="Q3564" i="1"/>
  <c r="P3564" i="1"/>
  <c r="O3564" i="1"/>
  <c r="N3564" i="1"/>
  <c r="V3563" i="1"/>
  <c r="Q3563" i="1"/>
  <c r="P3563" i="1"/>
  <c r="O3563" i="1"/>
  <c r="N3563" i="1"/>
  <c r="V3562" i="1"/>
  <c r="Q3562" i="1"/>
  <c r="P3562" i="1"/>
  <c r="O3562" i="1"/>
  <c r="N3562" i="1"/>
  <c r="V3561" i="1"/>
  <c r="Q3561" i="1"/>
  <c r="P3561" i="1"/>
  <c r="O3561" i="1"/>
  <c r="N3561" i="1"/>
  <c r="V3560" i="1"/>
  <c r="Q3560" i="1"/>
  <c r="P3560" i="1"/>
  <c r="O3560" i="1"/>
  <c r="N3560" i="1"/>
  <c r="V3559" i="1"/>
  <c r="Q3559" i="1"/>
  <c r="P3559" i="1"/>
  <c r="O3559" i="1"/>
  <c r="N3559" i="1"/>
  <c r="V3558" i="1"/>
  <c r="Q3558" i="1"/>
  <c r="P3558" i="1"/>
  <c r="O3558" i="1"/>
  <c r="N3558" i="1"/>
  <c r="V3557" i="1"/>
  <c r="Q3557" i="1"/>
  <c r="P3557" i="1"/>
  <c r="O3557" i="1"/>
  <c r="N3557" i="1"/>
  <c r="V3556" i="1"/>
  <c r="Q3556" i="1"/>
  <c r="P3556" i="1"/>
  <c r="O3556" i="1"/>
  <c r="N3556" i="1"/>
  <c r="F3556" i="1"/>
  <c r="E3556" i="1"/>
  <c r="V3555" i="1"/>
  <c r="Q3555" i="1"/>
  <c r="P3555" i="1"/>
  <c r="O3555" i="1"/>
  <c r="N3555" i="1"/>
  <c r="G3555" i="1"/>
  <c r="F3555" i="1"/>
  <c r="E3555" i="1"/>
  <c r="V3554" i="1"/>
  <c r="Q3554" i="1"/>
  <c r="P3554" i="1"/>
  <c r="O3554" i="1"/>
  <c r="N3554" i="1"/>
  <c r="G3554" i="1"/>
  <c r="F3554" i="1"/>
  <c r="E3554" i="1"/>
  <c r="D3554" i="1"/>
  <c r="V3553" i="1"/>
  <c r="Q3553" i="1"/>
  <c r="P3553" i="1"/>
  <c r="O3553" i="1"/>
  <c r="N3553" i="1"/>
  <c r="G3553" i="1"/>
  <c r="F3553" i="1"/>
  <c r="E3553" i="1"/>
  <c r="D3553" i="1"/>
  <c r="V3552" i="1"/>
  <c r="Q3552" i="1"/>
  <c r="P3552" i="1"/>
  <c r="O3552" i="1"/>
  <c r="N3552" i="1"/>
  <c r="G3552" i="1"/>
  <c r="F3552" i="1"/>
  <c r="E3552" i="1"/>
  <c r="D3552" i="1"/>
  <c r="V3551" i="1"/>
  <c r="Q3551" i="1"/>
  <c r="P3551" i="1"/>
  <c r="O3551" i="1"/>
  <c r="N3551" i="1"/>
  <c r="G3551" i="1"/>
  <c r="F3551" i="1"/>
  <c r="E3551" i="1"/>
  <c r="D3551" i="1"/>
  <c r="V3550" i="1"/>
  <c r="Q3550" i="1"/>
  <c r="P3550" i="1"/>
  <c r="O3550" i="1"/>
  <c r="N3550" i="1"/>
  <c r="G3550" i="1"/>
  <c r="F3550" i="1"/>
  <c r="E3550" i="1"/>
  <c r="D3550" i="1"/>
  <c r="C3550" i="1"/>
  <c r="V3549" i="1"/>
  <c r="Q3549" i="1"/>
  <c r="P3549" i="1"/>
  <c r="O3549" i="1"/>
  <c r="N3549" i="1"/>
  <c r="G3549" i="1"/>
  <c r="F3549" i="1"/>
  <c r="E3549" i="1"/>
  <c r="D3549" i="1"/>
  <c r="V3548" i="1"/>
  <c r="Q3548" i="1"/>
  <c r="P3548" i="1"/>
  <c r="O3548" i="1"/>
  <c r="N3548" i="1"/>
  <c r="G3548" i="1"/>
  <c r="F3548" i="1"/>
  <c r="E3548" i="1"/>
  <c r="D3548" i="1"/>
  <c r="C3548" i="1"/>
  <c r="V3547" i="1"/>
  <c r="Q3547" i="1"/>
  <c r="P3547" i="1"/>
  <c r="O3547" i="1"/>
  <c r="N3547" i="1"/>
  <c r="G3547" i="1"/>
  <c r="F3547" i="1"/>
  <c r="E3547" i="1"/>
  <c r="D3547" i="1"/>
  <c r="C3547" i="1"/>
  <c r="V3546" i="1"/>
  <c r="Q3546" i="1"/>
  <c r="P3546" i="1"/>
  <c r="O3546" i="1"/>
  <c r="N3546" i="1"/>
  <c r="F3546" i="1"/>
  <c r="E3546" i="1"/>
  <c r="D3546" i="1"/>
  <c r="V3545" i="1"/>
  <c r="Q3545" i="1"/>
  <c r="P3545" i="1"/>
  <c r="O3545" i="1"/>
  <c r="N3545" i="1"/>
  <c r="G3545" i="1"/>
  <c r="F3545" i="1"/>
  <c r="E3545" i="1"/>
  <c r="D3545" i="1"/>
  <c r="C3545" i="1"/>
  <c r="V3544" i="1"/>
  <c r="Q3544" i="1"/>
  <c r="P3544" i="1"/>
  <c r="O3544" i="1"/>
  <c r="N3544" i="1"/>
  <c r="H3544" i="1"/>
  <c r="G3544" i="1"/>
  <c r="F3544" i="1"/>
  <c r="E3544" i="1"/>
  <c r="D3544" i="1"/>
  <c r="C3544" i="1"/>
  <c r="V3543" i="1"/>
  <c r="Q3543" i="1"/>
  <c r="P3543" i="1"/>
  <c r="O3543" i="1"/>
  <c r="N3543" i="1"/>
  <c r="H3543" i="1"/>
  <c r="G3543" i="1"/>
  <c r="F3543" i="1"/>
  <c r="E3543" i="1"/>
  <c r="D3543" i="1"/>
  <c r="C3543" i="1"/>
  <c r="V3542" i="1"/>
  <c r="Q3542" i="1"/>
  <c r="P3542" i="1"/>
  <c r="O3542" i="1"/>
  <c r="N3542" i="1"/>
  <c r="I3542" i="1"/>
  <c r="H3542" i="1"/>
  <c r="G3542" i="1"/>
  <c r="F3542" i="1"/>
  <c r="E3542" i="1"/>
  <c r="D3542" i="1"/>
  <c r="C3542" i="1"/>
  <c r="V3541" i="1"/>
  <c r="Q3541" i="1"/>
  <c r="P3541" i="1"/>
  <c r="O3541" i="1"/>
  <c r="N3541" i="1"/>
  <c r="J3541" i="1"/>
  <c r="I3541" i="1"/>
  <c r="H3541" i="1"/>
  <c r="G3541" i="1"/>
  <c r="F3541" i="1"/>
  <c r="E3541" i="1"/>
  <c r="D3541" i="1"/>
  <c r="C3541" i="1"/>
  <c r="V3540" i="1"/>
  <c r="Q3540" i="1"/>
  <c r="P3540" i="1"/>
  <c r="O3540" i="1"/>
  <c r="N3540" i="1"/>
  <c r="I3540" i="1"/>
  <c r="H3540" i="1"/>
  <c r="G3540" i="1"/>
  <c r="F3540" i="1"/>
  <c r="E3540" i="1"/>
  <c r="D3540" i="1"/>
  <c r="C3540" i="1"/>
  <c r="V3539" i="1"/>
  <c r="Q3539" i="1"/>
  <c r="P3539" i="1"/>
  <c r="O3539" i="1"/>
  <c r="N3539" i="1"/>
  <c r="I3539" i="1"/>
  <c r="H3539" i="1"/>
  <c r="G3539" i="1"/>
  <c r="F3539" i="1"/>
  <c r="E3539" i="1"/>
  <c r="D3539" i="1"/>
  <c r="C3539" i="1"/>
  <c r="V3538" i="1"/>
  <c r="Q3538" i="1"/>
  <c r="P3538" i="1"/>
  <c r="O3538" i="1"/>
  <c r="N3538" i="1"/>
  <c r="H3538" i="1"/>
  <c r="G3538" i="1"/>
  <c r="F3538" i="1"/>
  <c r="E3538" i="1"/>
  <c r="D3538" i="1"/>
  <c r="C3538" i="1"/>
  <c r="V3537" i="1"/>
  <c r="Q3537" i="1"/>
  <c r="P3537" i="1"/>
  <c r="O3537" i="1"/>
  <c r="N3537" i="1"/>
  <c r="H3537" i="1"/>
  <c r="G3537" i="1"/>
  <c r="F3537" i="1"/>
  <c r="E3537" i="1"/>
  <c r="D3537" i="1"/>
  <c r="C3537" i="1"/>
  <c r="V3536" i="1"/>
  <c r="Q3536" i="1"/>
  <c r="P3536" i="1"/>
  <c r="O3536" i="1"/>
  <c r="N3536" i="1"/>
  <c r="H3536" i="1"/>
  <c r="G3536" i="1"/>
  <c r="F3536" i="1"/>
  <c r="E3536" i="1"/>
  <c r="D3536" i="1"/>
  <c r="C3536" i="1"/>
  <c r="V3535" i="1"/>
  <c r="Q3535" i="1"/>
  <c r="P3535" i="1"/>
  <c r="O3535" i="1"/>
  <c r="N3535" i="1"/>
  <c r="H3535" i="1"/>
  <c r="G3535" i="1"/>
  <c r="F3535" i="1"/>
  <c r="E3535" i="1"/>
  <c r="D3535" i="1"/>
  <c r="C3535" i="1"/>
  <c r="V3534" i="1"/>
  <c r="Q3534" i="1"/>
  <c r="P3534" i="1"/>
  <c r="O3534" i="1"/>
  <c r="N3534" i="1"/>
  <c r="H3534" i="1"/>
  <c r="G3534" i="1"/>
  <c r="F3534" i="1"/>
  <c r="E3534" i="1"/>
  <c r="D3534" i="1"/>
  <c r="C3534" i="1"/>
  <c r="V3533" i="1"/>
  <c r="Q3533" i="1"/>
  <c r="P3533" i="1"/>
  <c r="O3533" i="1"/>
  <c r="N3533" i="1"/>
  <c r="H3533" i="1"/>
  <c r="G3533" i="1"/>
  <c r="F3533" i="1"/>
  <c r="E3533" i="1"/>
  <c r="D3533" i="1"/>
  <c r="C3533" i="1"/>
  <c r="V3532" i="1"/>
  <c r="Q3532" i="1"/>
  <c r="P3532" i="1"/>
  <c r="O3532" i="1"/>
  <c r="N3532" i="1"/>
  <c r="H3532" i="1"/>
  <c r="G3532" i="1"/>
  <c r="F3532" i="1"/>
  <c r="E3532" i="1"/>
  <c r="D3532" i="1"/>
  <c r="C3532" i="1"/>
  <c r="V3531" i="1"/>
  <c r="Q3531" i="1"/>
  <c r="P3531" i="1"/>
  <c r="O3531" i="1"/>
  <c r="N3531" i="1"/>
  <c r="H3531" i="1"/>
  <c r="G3531" i="1"/>
  <c r="F3531" i="1"/>
  <c r="E3531" i="1"/>
  <c r="D3531" i="1"/>
  <c r="C3531" i="1"/>
  <c r="V3530" i="1"/>
  <c r="Q3530" i="1"/>
  <c r="P3530" i="1"/>
  <c r="O3530" i="1"/>
  <c r="N3530" i="1"/>
  <c r="I3530" i="1"/>
  <c r="H3530" i="1"/>
  <c r="G3530" i="1"/>
  <c r="F3530" i="1"/>
  <c r="E3530" i="1"/>
  <c r="D3530" i="1"/>
  <c r="C3530" i="1"/>
  <c r="V3529" i="1"/>
  <c r="Q3529" i="1"/>
  <c r="P3529" i="1"/>
  <c r="O3529" i="1"/>
  <c r="N3529" i="1"/>
  <c r="I3529" i="1"/>
  <c r="H3529" i="1"/>
  <c r="G3529" i="1"/>
  <c r="F3529" i="1"/>
  <c r="E3529" i="1"/>
  <c r="D3529" i="1"/>
  <c r="C3529" i="1"/>
  <c r="V3528" i="1"/>
  <c r="Q3528" i="1"/>
  <c r="P3528" i="1"/>
  <c r="O3528" i="1"/>
  <c r="N3528" i="1"/>
  <c r="I3528" i="1"/>
  <c r="H3528" i="1"/>
  <c r="G3528" i="1"/>
  <c r="F3528" i="1"/>
  <c r="E3528" i="1"/>
  <c r="D3528" i="1"/>
  <c r="V3527" i="1"/>
  <c r="Q3527" i="1"/>
  <c r="P3527" i="1"/>
  <c r="O3527" i="1"/>
  <c r="N3527" i="1"/>
  <c r="I3527" i="1"/>
  <c r="H3527" i="1"/>
  <c r="G3527" i="1"/>
  <c r="F3527" i="1"/>
  <c r="E3527" i="1"/>
  <c r="D3527" i="1"/>
  <c r="V3526" i="1"/>
  <c r="Q3526" i="1"/>
  <c r="P3526" i="1"/>
  <c r="O3526" i="1"/>
  <c r="N3526" i="1"/>
  <c r="I3526" i="1"/>
  <c r="H3526" i="1"/>
  <c r="G3526" i="1"/>
  <c r="F3526" i="1"/>
  <c r="E3526" i="1"/>
  <c r="D3526" i="1"/>
  <c r="V3525" i="1"/>
  <c r="Q3525" i="1"/>
  <c r="P3525" i="1"/>
  <c r="O3525" i="1"/>
  <c r="N3525" i="1"/>
  <c r="I3525" i="1"/>
  <c r="H3525" i="1"/>
  <c r="G3525" i="1"/>
  <c r="F3525" i="1"/>
  <c r="E3525" i="1"/>
  <c r="D3525" i="1"/>
  <c r="V3524" i="1"/>
  <c r="Q3524" i="1"/>
  <c r="P3524" i="1"/>
  <c r="O3524" i="1"/>
  <c r="N3524" i="1"/>
  <c r="I3524" i="1"/>
  <c r="H3524" i="1"/>
  <c r="G3524" i="1"/>
  <c r="F3524" i="1"/>
  <c r="E3524" i="1"/>
  <c r="D3524" i="1"/>
  <c r="V3523" i="1"/>
  <c r="Q3523" i="1"/>
  <c r="P3523" i="1"/>
  <c r="O3523" i="1"/>
  <c r="N3523" i="1"/>
  <c r="I3523" i="1"/>
  <c r="H3523" i="1"/>
  <c r="G3523" i="1"/>
  <c r="F3523" i="1"/>
  <c r="E3523" i="1"/>
  <c r="D3523" i="1"/>
  <c r="V3522" i="1"/>
  <c r="Q3522" i="1"/>
  <c r="P3522" i="1"/>
  <c r="O3522" i="1"/>
  <c r="N3522" i="1"/>
  <c r="J3522" i="1"/>
  <c r="I3522" i="1"/>
  <c r="H3522" i="1"/>
  <c r="G3522" i="1"/>
  <c r="F3522" i="1"/>
  <c r="E3522" i="1"/>
  <c r="D3522" i="1"/>
  <c r="C3522" i="1"/>
  <c r="V3521" i="1"/>
  <c r="Q3521" i="1"/>
  <c r="P3521" i="1"/>
  <c r="O3521" i="1"/>
  <c r="N3521" i="1"/>
  <c r="J3521" i="1"/>
  <c r="I3521" i="1"/>
  <c r="H3521" i="1"/>
  <c r="G3521" i="1"/>
  <c r="F3521" i="1"/>
  <c r="E3521" i="1"/>
  <c r="D3521" i="1"/>
  <c r="C3521" i="1"/>
  <c r="V3520" i="1"/>
  <c r="Q3520" i="1"/>
  <c r="P3520" i="1"/>
  <c r="O3520" i="1"/>
  <c r="N3520" i="1"/>
  <c r="J3520" i="1"/>
  <c r="I3520" i="1"/>
  <c r="H3520" i="1"/>
  <c r="G3520" i="1"/>
  <c r="F3520" i="1"/>
  <c r="E3520" i="1"/>
  <c r="D3520" i="1"/>
  <c r="C3520" i="1"/>
  <c r="V3519" i="1"/>
  <c r="Q3519" i="1"/>
  <c r="P3519" i="1"/>
  <c r="O3519" i="1"/>
  <c r="N3519" i="1"/>
  <c r="J3519" i="1"/>
  <c r="I3519" i="1"/>
  <c r="H3519" i="1"/>
  <c r="G3519" i="1"/>
  <c r="F3519" i="1"/>
  <c r="E3519" i="1"/>
  <c r="D3519" i="1"/>
  <c r="C3519" i="1"/>
  <c r="V3518" i="1"/>
  <c r="Q3518" i="1"/>
  <c r="P3518" i="1"/>
  <c r="O3518" i="1"/>
  <c r="N3518" i="1"/>
  <c r="J3518" i="1"/>
  <c r="I3518" i="1"/>
  <c r="H3518" i="1"/>
  <c r="G3518" i="1"/>
  <c r="F3518" i="1"/>
  <c r="E3518" i="1"/>
  <c r="D3518" i="1"/>
  <c r="C3518" i="1"/>
  <c r="V3517" i="1"/>
  <c r="Q3517" i="1"/>
  <c r="P3517" i="1"/>
  <c r="O3517" i="1"/>
  <c r="N3517" i="1"/>
  <c r="J3517" i="1"/>
  <c r="I3517" i="1"/>
  <c r="H3517" i="1"/>
  <c r="G3517" i="1"/>
  <c r="F3517" i="1"/>
  <c r="E3517" i="1"/>
  <c r="D3517" i="1"/>
  <c r="C3517" i="1"/>
  <c r="V3516" i="1"/>
  <c r="Q3516" i="1"/>
  <c r="P3516" i="1"/>
  <c r="O3516" i="1"/>
  <c r="N3516" i="1"/>
  <c r="J3516" i="1"/>
  <c r="I3516" i="1"/>
  <c r="H3516" i="1"/>
  <c r="G3516" i="1"/>
  <c r="F3516" i="1"/>
  <c r="E3516" i="1"/>
  <c r="D3516" i="1"/>
  <c r="C3516" i="1"/>
  <c r="V3515" i="1"/>
  <c r="Q3515" i="1"/>
  <c r="P3515" i="1"/>
  <c r="O3515" i="1"/>
  <c r="N3515" i="1"/>
  <c r="J3515" i="1"/>
  <c r="I3515" i="1"/>
  <c r="H3515" i="1"/>
  <c r="G3515" i="1"/>
  <c r="F3515" i="1"/>
  <c r="E3515" i="1"/>
  <c r="D3515" i="1"/>
  <c r="C3515" i="1"/>
  <c r="V3514" i="1"/>
  <c r="Q3514" i="1"/>
  <c r="P3514" i="1"/>
  <c r="O3514" i="1"/>
  <c r="N3514" i="1"/>
  <c r="J3514" i="1"/>
  <c r="I3514" i="1"/>
  <c r="H3514" i="1"/>
  <c r="G3514" i="1"/>
  <c r="F3514" i="1"/>
  <c r="E3514" i="1"/>
  <c r="D3514" i="1"/>
  <c r="C3514" i="1"/>
  <c r="V3513" i="1"/>
  <c r="Q3513" i="1"/>
  <c r="P3513" i="1"/>
  <c r="O3513" i="1"/>
  <c r="N3513" i="1"/>
  <c r="J3513" i="1"/>
  <c r="I3513" i="1"/>
  <c r="H3513" i="1"/>
  <c r="G3513" i="1"/>
  <c r="F3513" i="1"/>
  <c r="E3513" i="1"/>
  <c r="D3513" i="1"/>
  <c r="C3513" i="1"/>
  <c r="V3512" i="1"/>
  <c r="Q3512" i="1"/>
  <c r="P3512" i="1"/>
  <c r="O3512" i="1"/>
  <c r="N3512" i="1"/>
  <c r="J3512" i="1"/>
  <c r="I3512" i="1"/>
  <c r="H3512" i="1"/>
  <c r="G3512" i="1"/>
  <c r="F3512" i="1"/>
  <c r="E3512" i="1"/>
  <c r="D3512" i="1"/>
  <c r="C3512" i="1"/>
  <c r="V3511" i="1"/>
  <c r="Q3511" i="1"/>
  <c r="P3511" i="1"/>
  <c r="O3511" i="1"/>
  <c r="N3511" i="1"/>
  <c r="J3511" i="1"/>
  <c r="I3511" i="1"/>
  <c r="H3511" i="1"/>
  <c r="G3511" i="1"/>
  <c r="F3511" i="1"/>
  <c r="E3511" i="1"/>
  <c r="D3511" i="1"/>
  <c r="C3511" i="1"/>
  <c r="V3510" i="1"/>
  <c r="Q3510" i="1"/>
  <c r="P3510" i="1"/>
  <c r="O3510" i="1"/>
  <c r="N3510" i="1"/>
  <c r="J3510" i="1"/>
  <c r="I3510" i="1"/>
  <c r="H3510" i="1"/>
  <c r="G3510" i="1"/>
  <c r="F3510" i="1"/>
  <c r="E3510" i="1"/>
  <c r="D3510" i="1"/>
  <c r="C3510" i="1"/>
  <c r="V3509" i="1"/>
  <c r="Q3509" i="1"/>
  <c r="P3509" i="1"/>
  <c r="O3509" i="1"/>
  <c r="N3509" i="1"/>
  <c r="J3509" i="1"/>
  <c r="I3509" i="1"/>
  <c r="H3509" i="1"/>
  <c r="G3509" i="1"/>
  <c r="F3509" i="1"/>
  <c r="E3509" i="1"/>
  <c r="D3509" i="1"/>
  <c r="C3509" i="1"/>
  <c r="V3508" i="1"/>
  <c r="Q3508" i="1"/>
  <c r="P3508" i="1"/>
  <c r="O3508" i="1"/>
  <c r="N3508" i="1"/>
  <c r="J3508" i="1"/>
  <c r="I3508" i="1"/>
  <c r="H3508" i="1"/>
  <c r="G3508" i="1"/>
  <c r="F3508" i="1"/>
  <c r="E3508" i="1"/>
  <c r="D3508" i="1"/>
  <c r="C3508" i="1"/>
  <c r="V3507" i="1"/>
  <c r="Q3507" i="1"/>
  <c r="P3507" i="1"/>
  <c r="O3507" i="1"/>
  <c r="N3507" i="1"/>
  <c r="J3507" i="1"/>
  <c r="I3507" i="1"/>
  <c r="H3507" i="1"/>
  <c r="G3507" i="1"/>
  <c r="F3507" i="1"/>
  <c r="E3507" i="1"/>
  <c r="D3507" i="1"/>
  <c r="C3507" i="1"/>
  <c r="V3506" i="1"/>
  <c r="Q3506" i="1"/>
  <c r="P3506" i="1"/>
  <c r="O3506" i="1"/>
  <c r="N3506" i="1"/>
  <c r="J3506" i="1"/>
  <c r="I3506" i="1"/>
  <c r="H3506" i="1"/>
  <c r="G3506" i="1"/>
  <c r="F3506" i="1"/>
  <c r="E3506" i="1"/>
  <c r="D3506" i="1"/>
  <c r="C3506" i="1"/>
  <c r="V3505" i="1"/>
  <c r="Q3505" i="1"/>
  <c r="P3505" i="1"/>
  <c r="O3505" i="1"/>
  <c r="N3505" i="1"/>
  <c r="J3505" i="1"/>
  <c r="I3505" i="1"/>
  <c r="H3505" i="1"/>
  <c r="G3505" i="1"/>
  <c r="F3505" i="1"/>
  <c r="E3505" i="1"/>
  <c r="D3505" i="1"/>
  <c r="C3505" i="1"/>
  <c r="V3504" i="1"/>
  <c r="Q3504" i="1"/>
  <c r="P3504" i="1"/>
  <c r="O3504" i="1"/>
  <c r="N3504" i="1"/>
  <c r="J3504" i="1"/>
  <c r="I3504" i="1"/>
  <c r="H3504" i="1"/>
  <c r="G3504" i="1"/>
  <c r="F3504" i="1"/>
  <c r="E3504" i="1"/>
  <c r="D3504" i="1"/>
  <c r="C3504" i="1"/>
  <c r="V3503" i="1"/>
  <c r="Q3503" i="1"/>
  <c r="P3503" i="1"/>
  <c r="O3503" i="1"/>
  <c r="N3503" i="1"/>
  <c r="J3503" i="1"/>
  <c r="I3503" i="1"/>
  <c r="H3503" i="1"/>
  <c r="G3503" i="1"/>
  <c r="F3503" i="1"/>
  <c r="E3503" i="1"/>
  <c r="D3503" i="1"/>
  <c r="C3503" i="1"/>
  <c r="V3502" i="1"/>
  <c r="Q3502" i="1"/>
  <c r="P3502" i="1"/>
  <c r="O3502" i="1"/>
  <c r="N3502" i="1"/>
  <c r="J3502" i="1"/>
  <c r="I3502" i="1"/>
  <c r="H3502" i="1"/>
  <c r="G3502" i="1"/>
  <c r="F3502" i="1"/>
  <c r="E3502" i="1"/>
  <c r="D3502" i="1"/>
  <c r="C3502" i="1"/>
  <c r="V3501" i="1"/>
  <c r="Q3501" i="1"/>
  <c r="P3501" i="1"/>
  <c r="O3501" i="1"/>
  <c r="N3501" i="1"/>
  <c r="J3501" i="1"/>
  <c r="I3501" i="1"/>
  <c r="H3501" i="1"/>
  <c r="G3501" i="1"/>
  <c r="F3501" i="1"/>
  <c r="E3501" i="1"/>
  <c r="D3501" i="1"/>
  <c r="C3501" i="1"/>
  <c r="V3500" i="1"/>
  <c r="Q3500" i="1"/>
  <c r="P3500" i="1"/>
  <c r="O3500" i="1"/>
  <c r="N3500" i="1"/>
  <c r="J3500" i="1"/>
  <c r="I3500" i="1"/>
  <c r="H3500" i="1"/>
  <c r="G3500" i="1"/>
  <c r="F3500" i="1"/>
  <c r="E3500" i="1"/>
  <c r="D3500" i="1"/>
  <c r="C3500" i="1"/>
  <c r="V3499" i="1"/>
  <c r="Q3499" i="1"/>
  <c r="P3499" i="1"/>
  <c r="O3499" i="1"/>
  <c r="N3499" i="1"/>
  <c r="J3499" i="1"/>
  <c r="I3499" i="1"/>
  <c r="H3499" i="1"/>
  <c r="G3499" i="1"/>
  <c r="F3499" i="1"/>
  <c r="E3499" i="1"/>
  <c r="D3499" i="1"/>
  <c r="C3499" i="1"/>
  <c r="V3498" i="1"/>
  <c r="Q3498" i="1"/>
  <c r="P3498" i="1"/>
  <c r="O3498" i="1"/>
  <c r="N3498" i="1"/>
  <c r="J3498" i="1"/>
  <c r="I3498" i="1"/>
  <c r="H3498" i="1"/>
  <c r="G3498" i="1"/>
  <c r="F3498" i="1"/>
  <c r="E3498" i="1"/>
  <c r="D3498" i="1"/>
  <c r="C3498" i="1"/>
  <c r="V3497" i="1"/>
  <c r="Q3497" i="1"/>
  <c r="P3497" i="1"/>
  <c r="O3497" i="1"/>
  <c r="N3497" i="1"/>
  <c r="J3497" i="1"/>
  <c r="I3497" i="1"/>
  <c r="H3497" i="1"/>
  <c r="G3497" i="1"/>
  <c r="F3497" i="1"/>
  <c r="E3497" i="1"/>
  <c r="D3497" i="1"/>
  <c r="C3497" i="1"/>
  <c r="V3496" i="1"/>
  <c r="Q3496" i="1"/>
  <c r="P3496" i="1"/>
  <c r="O3496" i="1"/>
  <c r="N3496" i="1"/>
  <c r="J3496" i="1"/>
  <c r="I3496" i="1"/>
  <c r="H3496" i="1"/>
  <c r="G3496" i="1"/>
  <c r="F3496" i="1"/>
  <c r="E3496" i="1"/>
  <c r="D3496" i="1"/>
  <c r="C3496" i="1"/>
  <c r="V3495" i="1"/>
  <c r="Q3495" i="1"/>
  <c r="P3495" i="1"/>
  <c r="O3495" i="1"/>
  <c r="N3495" i="1"/>
  <c r="J3495" i="1"/>
  <c r="I3495" i="1"/>
  <c r="H3495" i="1"/>
  <c r="G3495" i="1"/>
  <c r="F3495" i="1"/>
  <c r="E3495" i="1"/>
  <c r="D3495" i="1"/>
  <c r="C3495" i="1"/>
  <c r="V3494" i="1"/>
  <c r="Q3494" i="1"/>
  <c r="P3494" i="1"/>
  <c r="O3494" i="1"/>
  <c r="N3494" i="1"/>
  <c r="J3494" i="1"/>
  <c r="I3494" i="1"/>
  <c r="H3494" i="1"/>
  <c r="G3494" i="1"/>
  <c r="F3494" i="1"/>
  <c r="E3494" i="1"/>
  <c r="D3494" i="1"/>
  <c r="C3494" i="1"/>
  <c r="V3493" i="1"/>
  <c r="Q3493" i="1"/>
  <c r="P3493" i="1"/>
  <c r="O3493" i="1"/>
  <c r="N3493" i="1"/>
  <c r="J3493" i="1"/>
  <c r="I3493" i="1"/>
  <c r="H3493" i="1"/>
  <c r="G3493" i="1"/>
  <c r="F3493" i="1"/>
  <c r="E3493" i="1"/>
  <c r="D3493" i="1"/>
  <c r="C3493" i="1"/>
  <c r="V3492" i="1"/>
  <c r="Q3492" i="1"/>
  <c r="P3492" i="1"/>
  <c r="O3492" i="1"/>
  <c r="N3492" i="1"/>
  <c r="J3492" i="1"/>
  <c r="I3492" i="1"/>
  <c r="H3492" i="1"/>
  <c r="G3492" i="1"/>
  <c r="F3492" i="1"/>
  <c r="E3492" i="1"/>
  <c r="D3492" i="1"/>
  <c r="C3492" i="1"/>
  <c r="V3491" i="1"/>
  <c r="Q3491" i="1"/>
  <c r="P3491" i="1"/>
  <c r="O3491" i="1"/>
  <c r="N3491" i="1"/>
  <c r="J3491" i="1"/>
  <c r="I3491" i="1"/>
  <c r="H3491" i="1"/>
  <c r="G3491" i="1"/>
  <c r="F3491" i="1"/>
  <c r="E3491" i="1"/>
  <c r="D3491" i="1"/>
  <c r="C3491" i="1"/>
  <c r="V3490" i="1"/>
  <c r="Q3490" i="1"/>
  <c r="P3490" i="1"/>
  <c r="O3490" i="1"/>
  <c r="N3490" i="1"/>
  <c r="J3490" i="1"/>
  <c r="I3490" i="1"/>
  <c r="H3490" i="1"/>
  <c r="G3490" i="1"/>
  <c r="F3490" i="1"/>
  <c r="E3490" i="1"/>
  <c r="D3490" i="1"/>
  <c r="C3490" i="1"/>
  <c r="V3489" i="1"/>
  <c r="Q3489" i="1"/>
  <c r="P3489" i="1"/>
  <c r="O3489" i="1"/>
  <c r="N3489" i="1"/>
  <c r="J3489" i="1"/>
  <c r="I3489" i="1"/>
  <c r="H3489" i="1"/>
  <c r="G3489" i="1"/>
  <c r="F3489" i="1"/>
  <c r="E3489" i="1"/>
  <c r="D3489" i="1"/>
  <c r="C3489" i="1"/>
  <c r="V3488" i="1"/>
  <c r="Q3488" i="1"/>
  <c r="P3488" i="1"/>
  <c r="O3488" i="1"/>
  <c r="N3488" i="1"/>
  <c r="J3488" i="1"/>
  <c r="I3488" i="1"/>
  <c r="H3488" i="1"/>
  <c r="G3488" i="1"/>
  <c r="F3488" i="1"/>
  <c r="E3488" i="1"/>
  <c r="D3488" i="1"/>
  <c r="C3488" i="1"/>
  <c r="V3487" i="1"/>
  <c r="Q3487" i="1"/>
  <c r="P3487" i="1"/>
  <c r="O3487" i="1"/>
  <c r="N3487" i="1"/>
  <c r="J3487" i="1"/>
  <c r="I3487" i="1"/>
  <c r="H3487" i="1"/>
  <c r="G3487" i="1"/>
  <c r="F3487" i="1"/>
  <c r="E3487" i="1"/>
  <c r="D3487" i="1"/>
  <c r="C3487" i="1"/>
  <c r="V3486" i="1"/>
  <c r="Q3486" i="1"/>
  <c r="P3486" i="1"/>
  <c r="O3486" i="1"/>
  <c r="N3486" i="1"/>
  <c r="J3486" i="1"/>
  <c r="I3486" i="1"/>
  <c r="H3486" i="1"/>
  <c r="G3486" i="1"/>
  <c r="F3486" i="1"/>
  <c r="E3486" i="1"/>
  <c r="D3486" i="1"/>
  <c r="C3486" i="1"/>
  <c r="V3485" i="1"/>
  <c r="Q3485" i="1"/>
  <c r="P3485" i="1"/>
  <c r="O3485" i="1"/>
  <c r="N3485" i="1"/>
  <c r="J3485" i="1"/>
  <c r="I3485" i="1"/>
  <c r="H3485" i="1"/>
  <c r="G3485" i="1"/>
  <c r="F3485" i="1"/>
  <c r="E3485" i="1"/>
  <c r="D3485" i="1"/>
  <c r="C3485" i="1"/>
  <c r="V3484" i="1"/>
  <c r="Q3484" i="1"/>
  <c r="P3484" i="1"/>
  <c r="O3484" i="1"/>
  <c r="N3484" i="1"/>
  <c r="J3484" i="1"/>
  <c r="I3484" i="1"/>
  <c r="H3484" i="1"/>
  <c r="G3484" i="1"/>
  <c r="F3484" i="1"/>
  <c r="E3484" i="1"/>
  <c r="D3484" i="1"/>
  <c r="C3484" i="1"/>
  <c r="V3483" i="1"/>
  <c r="Q3483" i="1"/>
  <c r="P3483" i="1"/>
  <c r="O3483" i="1"/>
  <c r="N3483" i="1"/>
  <c r="J3483" i="1"/>
  <c r="I3483" i="1"/>
  <c r="H3483" i="1"/>
  <c r="G3483" i="1"/>
  <c r="F3483" i="1"/>
  <c r="E3483" i="1"/>
  <c r="D3483" i="1"/>
  <c r="C3483" i="1"/>
  <c r="V3482" i="1"/>
  <c r="Q3482" i="1"/>
  <c r="P3482" i="1"/>
  <c r="O3482" i="1"/>
  <c r="N3482" i="1"/>
  <c r="J3482" i="1"/>
  <c r="I3482" i="1"/>
  <c r="H3482" i="1"/>
  <c r="G3482" i="1"/>
  <c r="F3482" i="1"/>
  <c r="E3482" i="1"/>
  <c r="D3482" i="1"/>
  <c r="C3482" i="1"/>
  <c r="V3481" i="1"/>
  <c r="Q3481" i="1"/>
  <c r="P3481" i="1"/>
  <c r="O3481" i="1"/>
  <c r="N3481" i="1"/>
  <c r="J3481" i="1"/>
  <c r="I3481" i="1"/>
  <c r="H3481" i="1"/>
  <c r="G3481" i="1"/>
  <c r="F3481" i="1"/>
  <c r="E3481" i="1"/>
  <c r="D3481" i="1"/>
  <c r="C3481" i="1"/>
  <c r="V3480" i="1"/>
  <c r="Q3480" i="1"/>
  <c r="P3480" i="1"/>
  <c r="O3480" i="1"/>
  <c r="N3480" i="1"/>
  <c r="J3480" i="1"/>
  <c r="I3480" i="1"/>
  <c r="H3480" i="1"/>
  <c r="G3480" i="1"/>
  <c r="F3480" i="1"/>
  <c r="E3480" i="1"/>
  <c r="D3480" i="1"/>
  <c r="C3480" i="1"/>
  <c r="V3479" i="1"/>
  <c r="Q3479" i="1"/>
  <c r="P3479" i="1"/>
  <c r="O3479" i="1"/>
  <c r="N3479" i="1"/>
  <c r="J3479" i="1"/>
  <c r="I3479" i="1"/>
  <c r="H3479" i="1"/>
  <c r="G3479" i="1"/>
  <c r="F3479" i="1"/>
  <c r="E3479" i="1"/>
  <c r="D3479" i="1"/>
  <c r="C3479" i="1"/>
  <c r="V3478" i="1"/>
  <c r="Q3478" i="1"/>
  <c r="P3478" i="1"/>
  <c r="O3478" i="1"/>
  <c r="N3478" i="1"/>
  <c r="J3478" i="1"/>
  <c r="I3478" i="1"/>
  <c r="H3478" i="1"/>
  <c r="G3478" i="1"/>
  <c r="F3478" i="1"/>
  <c r="E3478" i="1"/>
  <c r="D3478" i="1"/>
  <c r="C3478" i="1"/>
  <c r="V3477" i="1"/>
  <c r="Q3477" i="1"/>
  <c r="P3477" i="1"/>
  <c r="O3477" i="1"/>
  <c r="N3477" i="1"/>
  <c r="J3477" i="1"/>
  <c r="I3477" i="1"/>
  <c r="H3477" i="1"/>
  <c r="G3477" i="1"/>
  <c r="F3477" i="1"/>
  <c r="E3477" i="1"/>
  <c r="D3477" i="1"/>
  <c r="C3477" i="1"/>
  <c r="V3476" i="1"/>
  <c r="Q3476" i="1"/>
  <c r="P3476" i="1"/>
  <c r="O3476" i="1"/>
  <c r="N3476" i="1"/>
  <c r="J3476" i="1"/>
  <c r="I3476" i="1"/>
  <c r="H3476" i="1"/>
  <c r="G3476" i="1"/>
  <c r="F3476" i="1"/>
  <c r="E3476" i="1"/>
  <c r="D3476" i="1"/>
  <c r="C3476" i="1"/>
  <c r="V3475" i="1"/>
  <c r="Q3475" i="1"/>
  <c r="P3475" i="1"/>
  <c r="O3475" i="1"/>
  <c r="N3475" i="1"/>
  <c r="J3475" i="1"/>
  <c r="I3475" i="1"/>
  <c r="H3475" i="1"/>
  <c r="G3475" i="1"/>
  <c r="F3475" i="1"/>
  <c r="E3475" i="1"/>
  <c r="D3475" i="1"/>
  <c r="C3475" i="1"/>
  <c r="V3474" i="1"/>
  <c r="Q3474" i="1"/>
  <c r="P3474" i="1"/>
  <c r="O3474" i="1"/>
  <c r="N3474" i="1"/>
  <c r="J3474" i="1"/>
  <c r="I3474" i="1"/>
  <c r="H3474" i="1"/>
  <c r="G3474" i="1"/>
  <c r="F3474" i="1"/>
  <c r="E3474" i="1"/>
  <c r="D3474" i="1"/>
  <c r="C3474" i="1"/>
  <c r="V3473" i="1"/>
  <c r="Q3473" i="1"/>
  <c r="P3473" i="1"/>
  <c r="O3473" i="1"/>
  <c r="N3473" i="1"/>
  <c r="J3473" i="1"/>
  <c r="I3473" i="1"/>
  <c r="H3473" i="1"/>
  <c r="G3473" i="1"/>
  <c r="F3473" i="1"/>
  <c r="E3473" i="1"/>
  <c r="D3473" i="1"/>
  <c r="C3473" i="1"/>
  <c r="V3472" i="1"/>
  <c r="Q3472" i="1"/>
  <c r="P3472" i="1"/>
  <c r="O3472" i="1"/>
  <c r="N3472" i="1"/>
  <c r="J3472" i="1"/>
  <c r="I3472" i="1"/>
  <c r="H3472" i="1"/>
  <c r="G3472" i="1"/>
  <c r="F3472" i="1"/>
  <c r="E3472" i="1"/>
  <c r="D3472" i="1"/>
  <c r="C3472" i="1"/>
  <c r="V3471" i="1"/>
  <c r="Q3471" i="1"/>
  <c r="P3471" i="1"/>
  <c r="O3471" i="1"/>
  <c r="N3471" i="1"/>
  <c r="J3471" i="1"/>
  <c r="I3471" i="1"/>
  <c r="H3471" i="1"/>
  <c r="G3471" i="1"/>
  <c r="F3471" i="1"/>
  <c r="E3471" i="1"/>
  <c r="D3471" i="1"/>
  <c r="C3471" i="1"/>
  <c r="V3470" i="1"/>
  <c r="Q3470" i="1"/>
  <c r="P3470" i="1"/>
  <c r="O3470" i="1"/>
  <c r="N3470" i="1"/>
  <c r="J3470" i="1"/>
  <c r="I3470" i="1"/>
  <c r="H3470" i="1"/>
  <c r="G3470" i="1"/>
  <c r="F3470" i="1"/>
  <c r="E3470" i="1"/>
  <c r="D3470" i="1"/>
  <c r="C3470" i="1"/>
  <c r="V3469" i="1"/>
  <c r="Q3469" i="1"/>
  <c r="P3469" i="1"/>
  <c r="O3469" i="1"/>
  <c r="N3469" i="1"/>
  <c r="J3469" i="1"/>
  <c r="I3469" i="1"/>
  <c r="H3469" i="1"/>
  <c r="G3469" i="1"/>
  <c r="F3469" i="1"/>
  <c r="E3469" i="1"/>
  <c r="D3469" i="1"/>
  <c r="C3469" i="1"/>
  <c r="V3468" i="1"/>
  <c r="Q3468" i="1"/>
  <c r="P3468" i="1"/>
  <c r="O3468" i="1"/>
  <c r="N3468" i="1"/>
  <c r="J3468" i="1"/>
  <c r="I3468" i="1"/>
  <c r="H3468" i="1"/>
  <c r="G3468" i="1"/>
  <c r="F3468" i="1"/>
  <c r="E3468" i="1"/>
  <c r="D3468" i="1"/>
  <c r="C3468" i="1"/>
  <c r="V3467" i="1"/>
  <c r="Q3467" i="1"/>
  <c r="P3467" i="1"/>
  <c r="O3467" i="1"/>
  <c r="N3467" i="1"/>
  <c r="J3467" i="1"/>
  <c r="I3467" i="1"/>
  <c r="H3467" i="1"/>
  <c r="G3467" i="1"/>
  <c r="F3467" i="1"/>
  <c r="E3467" i="1"/>
  <c r="D3467" i="1"/>
  <c r="C3467" i="1"/>
  <c r="V3466" i="1"/>
  <c r="Q3466" i="1"/>
  <c r="P3466" i="1"/>
  <c r="O3466" i="1"/>
  <c r="N3466" i="1"/>
  <c r="J3466" i="1"/>
  <c r="I3466" i="1"/>
  <c r="H3466" i="1"/>
  <c r="G3466" i="1"/>
  <c r="F3466" i="1"/>
  <c r="E3466" i="1"/>
  <c r="D3466" i="1"/>
  <c r="C3466" i="1"/>
  <c r="V3465" i="1"/>
  <c r="Q3465" i="1"/>
  <c r="P3465" i="1"/>
  <c r="O3465" i="1"/>
  <c r="N3465" i="1"/>
  <c r="J3465" i="1"/>
  <c r="I3465" i="1"/>
  <c r="H3465" i="1"/>
  <c r="G3465" i="1"/>
  <c r="F3465" i="1"/>
  <c r="E3465" i="1"/>
  <c r="D3465" i="1"/>
  <c r="C3465" i="1"/>
  <c r="V3464" i="1"/>
  <c r="Q3464" i="1"/>
  <c r="P3464" i="1"/>
  <c r="O3464" i="1"/>
  <c r="N3464" i="1"/>
  <c r="J3464" i="1"/>
  <c r="I3464" i="1"/>
  <c r="H3464" i="1"/>
  <c r="G3464" i="1"/>
  <c r="F3464" i="1"/>
  <c r="E3464" i="1"/>
  <c r="D3464" i="1"/>
  <c r="C3464" i="1"/>
  <c r="V3463" i="1"/>
  <c r="Q3463" i="1"/>
  <c r="P3463" i="1"/>
  <c r="O3463" i="1"/>
  <c r="N3463" i="1"/>
  <c r="J3463" i="1"/>
  <c r="I3463" i="1"/>
  <c r="H3463" i="1"/>
  <c r="G3463" i="1"/>
  <c r="F3463" i="1"/>
  <c r="E3463" i="1"/>
  <c r="D3463" i="1"/>
  <c r="C3463" i="1"/>
  <c r="V3462" i="1"/>
  <c r="Q3462" i="1"/>
  <c r="P3462" i="1"/>
  <c r="O3462" i="1"/>
  <c r="N3462" i="1"/>
  <c r="J3462" i="1"/>
  <c r="I3462" i="1"/>
  <c r="H3462" i="1"/>
  <c r="G3462" i="1"/>
  <c r="F3462" i="1"/>
  <c r="E3462" i="1"/>
  <c r="D3462" i="1"/>
  <c r="C3462" i="1"/>
  <c r="V3461" i="1"/>
  <c r="Q3461" i="1"/>
  <c r="P3461" i="1"/>
  <c r="O3461" i="1"/>
  <c r="N3461" i="1"/>
  <c r="J3461" i="1"/>
  <c r="I3461" i="1"/>
  <c r="H3461" i="1"/>
  <c r="G3461" i="1"/>
  <c r="F3461" i="1"/>
  <c r="E3461" i="1"/>
  <c r="D3461" i="1"/>
  <c r="C3461" i="1"/>
  <c r="V3460" i="1"/>
  <c r="Q3460" i="1"/>
  <c r="P3460" i="1"/>
  <c r="O3460" i="1"/>
  <c r="N3460" i="1"/>
  <c r="J3460" i="1"/>
  <c r="I3460" i="1"/>
  <c r="H3460" i="1"/>
  <c r="G3460" i="1"/>
  <c r="F3460" i="1"/>
  <c r="E3460" i="1"/>
  <c r="D3460" i="1"/>
  <c r="C3460" i="1"/>
  <c r="V3459" i="1"/>
  <c r="Q3459" i="1"/>
  <c r="P3459" i="1"/>
  <c r="O3459" i="1"/>
  <c r="N3459" i="1"/>
  <c r="J3459" i="1"/>
  <c r="I3459" i="1"/>
  <c r="H3459" i="1"/>
  <c r="G3459" i="1"/>
  <c r="F3459" i="1"/>
  <c r="E3459" i="1"/>
  <c r="D3459" i="1"/>
  <c r="C3459" i="1"/>
  <c r="V3458" i="1"/>
  <c r="Q3458" i="1"/>
  <c r="P3458" i="1"/>
  <c r="O3458" i="1"/>
  <c r="N3458" i="1"/>
  <c r="J3458" i="1"/>
  <c r="I3458" i="1"/>
  <c r="H3458" i="1"/>
  <c r="G3458" i="1"/>
  <c r="F3458" i="1"/>
  <c r="E3458" i="1"/>
  <c r="D3458" i="1"/>
  <c r="C3458" i="1"/>
  <c r="V3457" i="1"/>
  <c r="Q3457" i="1"/>
  <c r="P3457" i="1"/>
  <c r="O3457" i="1"/>
  <c r="N3457" i="1"/>
  <c r="J3457" i="1"/>
  <c r="I3457" i="1"/>
  <c r="H3457" i="1"/>
  <c r="G3457" i="1"/>
  <c r="F3457" i="1"/>
  <c r="E3457" i="1"/>
  <c r="D3457" i="1"/>
  <c r="C3457" i="1"/>
  <c r="V3456" i="1"/>
  <c r="Q3456" i="1"/>
  <c r="P3456" i="1"/>
  <c r="O3456" i="1"/>
  <c r="N3456" i="1"/>
  <c r="J3456" i="1"/>
  <c r="I3456" i="1"/>
  <c r="H3456" i="1"/>
  <c r="G3456" i="1"/>
  <c r="F3456" i="1"/>
  <c r="E3456" i="1"/>
  <c r="D3456" i="1"/>
  <c r="C3456" i="1"/>
  <c r="V3455" i="1"/>
  <c r="Q3455" i="1"/>
  <c r="P3455" i="1"/>
  <c r="O3455" i="1"/>
  <c r="N3455" i="1"/>
  <c r="J3455" i="1"/>
  <c r="I3455" i="1"/>
  <c r="H3455" i="1"/>
  <c r="G3455" i="1"/>
  <c r="F3455" i="1"/>
  <c r="E3455" i="1"/>
  <c r="D3455" i="1"/>
  <c r="C3455" i="1"/>
  <c r="V3454" i="1"/>
  <c r="Q3454" i="1"/>
  <c r="P3454" i="1"/>
  <c r="O3454" i="1"/>
  <c r="N3454" i="1"/>
  <c r="J3454" i="1"/>
  <c r="I3454" i="1"/>
  <c r="H3454" i="1"/>
  <c r="G3454" i="1"/>
  <c r="F3454" i="1"/>
  <c r="E3454" i="1"/>
  <c r="D3454" i="1"/>
  <c r="C3454" i="1"/>
  <c r="V3453" i="1"/>
  <c r="Q3453" i="1"/>
  <c r="P3453" i="1"/>
  <c r="O3453" i="1"/>
  <c r="N3453" i="1"/>
  <c r="J3453" i="1"/>
  <c r="I3453" i="1"/>
  <c r="H3453" i="1"/>
  <c r="G3453" i="1"/>
  <c r="F3453" i="1"/>
  <c r="E3453" i="1"/>
  <c r="D3453" i="1"/>
  <c r="C3453" i="1"/>
  <c r="V3452" i="1"/>
  <c r="Q3452" i="1"/>
  <c r="P3452" i="1"/>
  <c r="O3452" i="1"/>
  <c r="N3452" i="1"/>
  <c r="J3452" i="1"/>
  <c r="I3452" i="1"/>
  <c r="H3452" i="1"/>
  <c r="G3452" i="1"/>
  <c r="F3452" i="1"/>
  <c r="E3452" i="1"/>
  <c r="D3452" i="1"/>
  <c r="C3452" i="1"/>
  <c r="V3451" i="1"/>
  <c r="Q3451" i="1"/>
  <c r="P3451" i="1"/>
  <c r="O3451" i="1"/>
  <c r="N3451" i="1"/>
  <c r="J3451" i="1"/>
  <c r="I3451" i="1"/>
  <c r="H3451" i="1"/>
  <c r="G3451" i="1"/>
  <c r="F3451" i="1"/>
  <c r="E3451" i="1"/>
  <c r="D3451" i="1"/>
  <c r="C3451" i="1"/>
  <c r="V3450" i="1"/>
  <c r="Q3450" i="1"/>
  <c r="P3450" i="1"/>
  <c r="O3450" i="1"/>
  <c r="N3450" i="1"/>
  <c r="J3450" i="1"/>
  <c r="I3450" i="1"/>
  <c r="H3450" i="1"/>
  <c r="G3450" i="1"/>
  <c r="F3450" i="1"/>
  <c r="E3450" i="1"/>
  <c r="D3450" i="1"/>
  <c r="C3450" i="1"/>
  <c r="V3449" i="1"/>
  <c r="Q3449" i="1"/>
  <c r="P3449" i="1"/>
  <c r="O3449" i="1"/>
  <c r="N3449" i="1"/>
  <c r="J3449" i="1"/>
  <c r="I3449" i="1"/>
  <c r="H3449" i="1"/>
  <c r="G3449" i="1"/>
  <c r="F3449" i="1"/>
  <c r="E3449" i="1"/>
  <c r="D3449" i="1"/>
  <c r="C3449" i="1"/>
  <c r="V3448" i="1"/>
  <c r="Q3448" i="1"/>
  <c r="P3448" i="1"/>
  <c r="O3448" i="1"/>
  <c r="N3448" i="1"/>
  <c r="J3448" i="1"/>
  <c r="I3448" i="1"/>
  <c r="H3448" i="1"/>
  <c r="G3448" i="1"/>
  <c r="F3448" i="1"/>
  <c r="E3448" i="1"/>
  <c r="D3448" i="1"/>
  <c r="C3448" i="1"/>
  <c r="V3447" i="1"/>
  <c r="Q3447" i="1"/>
  <c r="P3447" i="1"/>
  <c r="O3447" i="1"/>
  <c r="N3447" i="1"/>
  <c r="J3447" i="1"/>
  <c r="I3447" i="1"/>
  <c r="H3447" i="1"/>
  <c r="G3447" i="1"/>
  <c r="F3447" i="1"/>
  <c r="E3447" i="1"/>
  <c r="D3447" i="1"/>
  <c r="C3447" i="1"/>
  <c r="V3446" i="1"/>
  <c r="Q3446" i="1"/>
  <c r="P3446" i="1"/>
  <c r="O3446" i="1"/>
  <c r="N3446" i="1"/>
  <c r="J3446" i="1"/>
  <c r="I3446" i="1"/>
  <c r="H3446" i="1"/>
  <c r="G3446" i="1"/>
  <c r="F3446" i="1"/>
  <c r="E3446" i="1"/>
  <c r="D3446" i="1"/>
  <c r="C3446" i="1"/>
  <c r="V3445" i="1"/>
  <c r="Q3445" i="1"/>
  <c r="P3445" i="1"/>
  <c r="O3445" i="1"/>
  <c r="N3445" i="1"/>
  <c r="J3445" i="1"/>
  <c r="I3445" i="1"/>
  <c r="H3445" i="1"/>
  <c r="G3445" i="1"/>
  <c r="F3445" i="1"/>
  <c r="E3445" i="1"/>
  <c r="D3445" i="1"/>
  <c r="C3445" i="1"/>
  <c r="V3444" i="1"/>
  <c r="Q3444" i="1"/>
  <c r="P3444" i="1"/>
  <c r="O3444" i="1"/>
  <c r="N3444" i="1"/>
  <c r="J3444" i="1"/>
  <c r="I3444" i="1"/>
  <c r="H3444" i="1"/>
  <c r="G3444" i="1"/>
  <c r="F3444" i="1"/>
  <c r="E3444" i="1"/>
  <c r="D3444" i="1"/>
  <c r="C3444" i="1"/>
  <c r="V3443" i="1"/>
  <c r="Q3443" i="1"/>
  <c r="P3443" i="1"/>
  <c r="O3443" i="1"/>
  <c r="N3443" i="1"/>
  <c r="J3443" i="1"/>
  <c r="I3443" i="1"/>
  <c r="H3443" i="1"/>
  <c r="G3443" i="1"/>
  <c r="F3443" i="1"/>
  <c r="E3443" i="1"/>
  <c r="D3443" i="1"/>
  <c r="C3443" i="1"/>
  <c r="V3442" i="1"/>
  <c r="Q3442" i="1"/>
  <c r="P3442" i="1"/>
  <c r="O3442" i="1"/>
  <c r="N3442" i="1"/>
  <c r="J3442" i="1"/>
  <c r="I3442" i="1"/>
  <c r="H3442" i="1"/>
  <c r="G3442" i="1"/>
  <c r="F3442" i="1"/>
  <c r="E3442" i="1"/>
  <c r="D3442" i="1"/>
  <c r="C3442" i="1"/>
  <c r="V3441" i="1"/>
  <c r="Q3441" i="1"/>
  <c r="P3441" i="1"/>
  <c r="O3441" i="1"/>
  <c r="N3441" i="1"/>
  <c r="J3441" i="1"/>
  <c r="I3441" i="1"/>
  <c r="H3441" i="1"/>
  <c r="G3441" i="1"/>
  <c r="F3441" i="1"/>
  <c r="E3441" i="1"/>
  <c r="D3441" i="1"/>
  <c r="C3441" i="1"/>
  <c r="V3440" i="1"/>
  <c r="Q3440" i="1"/>
  <c r="P3440" i="1"/>
  <c r="O3440" i="1"/>
  <c r="N3440" i="1"/>
  <c r="J3440" i="1"/>
  <c r="I3440" i="1"/>
  <c r="H3440" i="1"/>
  <c r="G3440" i="1"/>
  <c r="F3440" i="1"/>
  <c r="E3440" i="1"/>
  <c r="D3440" i="1"/>
  <c r="C3440" i="1"/>
  <c r="V3439" i="1"/>
  <c r="Q3439" i="1"/>
  <c r="P3439" i="1"/>
  <c r="O3439" i="1"/>
  <c r="N3439" i="1"/>
  <c r="J3439" i="1"/>
  <c r="I3439" i="1"/>
  <c r="H3439" i="1"/>
  <c r="G3439" i="1"/>
  <c r="F3439" i="1"/>
  <c r="E3439" i="1"/>
  <c r="D3439" i="1"/>
  <c r="C3439" i="1"/>
  <c r="V3438" i="1"/>
  <c r="Q3438" i="1"/>
  <c r="P3438" i="1"/>
  <c r="O3438" i="1"/>
  <c r="N3438" i="1"/>
  <c r="J3438" i="1"/>
  <c r="I3438" i="1"/>
  <c r="H3438" i="1"/>
  <c r="G3438" i="1"/>
  <c r="F3438" i="1"/>
  <c r="E3438" i="1"/>
  <c r="D3438" i="1"/>
  <c r="C3438" i="1"/>
  <c r="V3437" i="1"/>
  <c r="Q3437" i="1"/>
  <c r="P3437" i="1"/>
  <c r="O3437" i="1"/>
  <c r="N3437" i="1"/>
  <c r="J3437" i="1"/>
  <c r="I3437" i="1"/>
  <c r="H3437" i="1"/>
  <c r="G3437" i="1"/>
  <c r="F3437" i="1"/>
  <c r="E3437" i="1"/>
  <c r="D3437" i="1"/>
  <c r="C3437" i="1"/>
  <c r="V3436" i="1"/>
  <c r="Q3436" i="1"/>
  <c r="P3436" i="1"/>
  <c r="O3436" i="1"/>
  <c r="N3436" i="1"/>
  <c r="J3436" i="1"/>
  <c r="I3436" i="1"/>
  <c r="H3436" i="1"/>
  <c r="G3436" i="1"/>
  <c r="F3436" i="1"/>
  <c r="E3436" i="1"/>
  <c r="D3436" i="1"/>
  <c r="C3436" i="1"/>
  <c r="V3435" i="1"/>
  <c r="Q3435" i="1"/>
  <c r="P3435" i="1"/>
  <c r="O3435" i="1"/>
  <c r="N3435" i="1"/>
  <c r="J3435" i="1"/>
  <c r="I3435" i="1"/>
  <c r="H3435" i="1"/>
  <c r="G3435" i="1"/>
  <c r="F3435" i="1"/>
  <c r="E3435" i="1"/>
  <c r="D3435" i="1"/>
  <c r="C3435" i="1"/>
  <c r="V3434" i="1"/>
  <c r="Q3434" i="1"/>
  <c r="P3434" i="1"/>
  <c r="O3434" i="1"/>
  <c r="N3434" i="1"/>
  <c r="J3434" i="1"/>
  <c r="I3434" i="1"/>
  <c r="H3434" i="1"/>
  <c r="G3434" i="1"/>
  <c r="F3434" i="1"/>
  <c r="E3434" i="1"/>
  <c r="D3434" i="1"/>
  <c r="C3434" i="1"/>
  <c r="V3433" i="1"/>
  <c r="Q3433" i="1"/>
  <c r="P3433" i="1"/>
  <c r="O3433" i="1"/>
  <c r="N3433" i="1"/>
  <c r="J3433" i="1"/>
  <c r="I3433" i="1"/>
  <c r="H3433" i="1"/>
  <c r="G3433" i="1"/>
  <c r="F3433" i="1"/>
  <c r="E3433" i="1"/>
  <c r="D3433" i="1"/>
  <c r="C3433" i="1"/>
  <c r="V3432" i="1"/>
  <c r="Q3432" i="1"/>
  <c r="P3432" i="1"/>
  <c r="O3432" i="1"/>
  <c r="N3432" i="1"/>
  <c r="J3432" i="1"/>
  <c r="I3432" i="1"/>
  <c r="H3432" i="1"/>
  <c r="G3432" i="1"/>
  <c r="F3432" i="1"/>
  <c r="E3432" i="1"/>
  <c r="D3432" i="1"/>
  <c r="C3432" i="1"/>
  <c r="V3431" i="1"/>
  <c r="Q3431" i="1"/>
  <c r="P3431" i="1"/>
  <c r="O3431" i="1"/>
  <c r="N3431" i="1"/>
  <c r="J3431" i="1"/>
  <c r="I3431" i="1"/>
  <c r="H3431" i="1"/>
  <c r="G3431" i="1"/>
  <c r="F3431" i="1"/>
  <c r="E3431" i="1"/>
  <c r="D3431" i="1"/>
  <c r="C3431" i="1"/>
  <c r="V3430" i="1"/>
  <c r="Q3430" i="1"/>
  <c r="P3430" i="1"/>
  <c r="O3430" i="1"/>
  <c r="N3430" i="1"/>
  <c r="J3430" i="1"/>
  <c r="I3430" i="1"/>
  <c r="H3430" i="1"/>
  <c r="G3430" i="1"/>
  <c r="F3430" i="1"/>
  <c r="E3430" i="1"/>
  <c r="D3430" i="1"/>
  <c r="C3430" i="1"/>
  <c r="V3429" i="1"/>
  <c r="Q3429" i="1"/>
  <c r="P3429" i="1"/>
  <c r="O3429" i="1"/>
  <c r="N3429" i="1"/>
  <c r="J3429" i="1"/>
  <c r="I3429" i="1"/>
  <c r="H3429" i="1"/>
  <c r="G3429" i="1"/>
  <c r="F3429" i="1"/>
  <c r="E3429" i="1"/>
  <c r="D3429" i="1"/>
  <c r="C3429" i="1"/>
  <c r="V3428" i="1"/>
  <c r="Q3428" i="1"/>
  <c r="P3428" i="1"/>
  <c r="O3428" i="1"/>
  <c r="N3428" i="1"/>
  <c r="J3428" i="1"/>
  <c r="I3428" i="1"/>
  <c r="H3428" i="1"/>
  <c r="G3428" i="1"/>
  <c r="F3428" i="1"/>
  <c r="E3428" i="1"/>
  <c r="D3428" i="1"/>
  <c r="C3428" i="1"/>
  <c r="V3427" i="1"/>
  <c r="Q3427" i="1"/>
  <c r="P3427" i="1"/>
  <c r="O3427" i="1"/>
  <c r="N3427" i="1"/>
  <c r="J3427" i="1"/>
  <c r="I3427" i="1"/>
  <c r="H3427" i="1"/>
  <c r="G3427" i="1"/>
  <c r="F3427" i="1"/>
  <c r="E3427" i="1"/>
  <c r="D3427" i="1"/>
  <c r="C3427" i="1"/>
  <c r="V3426" i="1"/>
  <c r="Q3426" i="1"/>
  <c r="P3426" i="1"/>
  <c r="O3426" i="1"/>
  <c r="N3426" i="1"/>
  <c r="J3426" i="1"/>
  <c r="I3426" i="1"/>
  <c r="H3426" i="1"/>
  <c r="G3426" i="1"/>
  <c r="F3426" i="1"/>
  <c r="E3426" i="1"/>
  <c r="D3426" i="1"/>
  <c r="C3426" i="1"/>
  <c r="V3425" i="1"/>
  <c r="Q3425" i="1"/>
  <c r="P3425" i="1"/>
  <c r="O3425" i="1"/>
  <c r="N3425" i="1"/>
  <c r="J3425" i="1"/>
  <c r="I3425" i="1"/>
  <c r="H3425" i="1"/>
  <c r="G3425" i="1"/>
  <c r="F3425" i="1"/>
  <c r="E3425" i="1"/>
  <c r="D3425" i="1"/>
  <c r="C3425" i="1"/>
  <c r="V3424" i="1"/>
  <c r="Q3424" i="1"/>
  <c r="P3424" i="1"/>
  <c r="O3424" i="1"/>
  <c r="N3424" i="1"/>
  <c r="J3424" i="1"/>
  <c r="I3424" i="1"/>
  <c r="H3424" i="1"/>
  <c r="G3424" i="1"/>
  <c r="F3424" i="1"/>
  <c r="E3424" i="1"/>
  <c r="D3424" i="1"/>
  <c r="C3424" i="1"/>
  <c r="V3423" i="1"/>
  <c r="Q3423" i="1"/>
  <c r="P3423" i="1"/>
  <c r="O3423" i="1"/>
  <c r="N3423" i="1"/>
  <c r="J3423" i="1"/>
  <c r="I3423" i="1"/>
  <c r="H3423" i="1"/>
  <c r="G3423" i="1"/>
  <c r="F3423" i="1"/>
  <c r="E3423" i="1"/>
  <c r="D3423" i="1"/>
  <c r="C3423" i="1"/>
  <c r="V3422" i="1"/>
  <c r="Q3422" i="1"/>
  <c r="P3422" i="1"/>
  <c r="O3422" i="1"/>
  <c r="N3422" i="1"/>
  <c r="J3422" i="1"/>
  <c r="I3422" i="1"/>
  <c r="H3422" i="1"/>
  <c r="G3422" i="1"/>
  <c r="F3422" i="1"/>
  <c r="E3422" i="1"/>
  <c r="D3422" i="1"/>
  <c r="C3422" i="1"/>
  <c r="V3421" i="1"/>
  <c r="Q3421" i="1"/>
  <c r="P3421" i="1"/>
  <c r="O3421" i="1"/>
  <c r="N3421" i="1"/>
  <c r="J3421" i="1"/>
  <c r="I3421" i="1"/>
  <c r="H3421" i="1"/>
  <c r="G3421" i="1"/>
  <c r="F3421" i="1"/>
  <c r="E3421" i="1"/>
  <c r="D3421" i="1"/>
  <c r="C3421" i="1"/>
  <c r="V3420" i="1"/>
  <c r="Q3420" i="1"/>
  <c r="P3420" i="1"/>
  <c r="O3420" i="1"/>
  <c r="N3420" i="1"/>
  <c r="J3420" i="1"/>
  <c r="I3420" i="1"/>
  <c r="H3420" i="1"/>
  <c r="G3420" i="1"/>
  <c r="F3420" i="1"/>
  <c r="E3420" i="1"/>
  <c r="D3420" i="1"/>
  <c r="V3419" i="1"/>
  <c r="Q3419" i="1"/>
  <c r="P3419" i="1"/>
  <c r="O3419" i="1"/>
  <c r="N3419" i="1"/>
  <c r="J3419" i="1"/>
  <c r="I3419" i="1"/>
  <c r="H3419" i="1"/>
  <c r="G3419" i="1"/>
  <c r="F3419" i="1"/>
  <c r="E3419" i="1"/>
  <c r="D3419" i="1"/>
  <c r="V3418" i="1"/>
  <c r="Q3418" i="1"/>
  <c r="P3418" i="1"/>
  <c r="O3418" i="1"/>
  <c r="N3418" i="1"/>
  <c r="J3418" i="1"/>
  <c r="I3418" i="1"/>
  <c r="H3418" i="1"/>
  <c r="G3418" i="1"/>
  <c r="F3418" i="1"/>
  <c r="E3418" i="1"/>
  <c r="D3418" i="1"/>
  <c r="V3417" i="1"/>
  <c r="Q3417" i="1"/>
  <c r="P3417" i="1"/>
  <c r="O3417" i="1"/>
  <c r="N3417" i="1"/>
  <c r="J3417" i="1"/>
  <c r="I3417" i="1"/>
  <c r="H3417" i="1"/>
  <c r="G3417" i="1"/>
  <c r="F3417" i="1"/>
  <c r="E3417" i="1"/>
  <c r="D3417" i="1"/>
  <c r="V3416" i="1"/>
  <c r="Q3416" i="1"/>
  <c r="P3416" i="1"/>
  <c r="O3416" i="1"/>
  <c r="N3416" i="1"/>
  <c r="J3416" i="1"/>
  <c r="I3416" i="1"/>
  <c r="H3416" i="1"/>
  <c r="G3416" i="1"/>
  <c r="F3416" i="1"/>
  <c r="E3416" i="1"/>
  <c r="D3416" i="1"/>
  <c r="V3415" i="1"/>
  <c r="Q3415" i="1"/>
  <c r="P3415" i="1"/>
  <c r="O3415" i="1"/>
  <c r="N3415" i="1"/>
  <c r="J3415" i="1"/>
  <c r="I3415" i="1"/>
  <c r="H3415" i="1"/>
  <c r="G3415" i="1"/>
  <c r="F3415" i="1"/>
  <c r="E3415" i="1"/>
  <c r="D3415" i="1"/>
  <c r="V3414" i="1"/>
  <c r="Q3414" i="1"/>
  <c r="P3414" i="1"/>
  <c r="O3414" i="1"/>
  <c r="N3414" i="1"/>
  <c r="J3414" i="1"/>
  <c r="I3414" i="1"/>
  <c r="H3414" i="1"/>
  <c r="G3414" i="1"/>
  <c r="F3414" i="1"/>
  <c r="E3414" i="1"/>
  <c r="D3414" i="1"/>
  <c r="V3413" i="1"/>
  <c r="Q3413" i="1"/>
  <c r="P3413" i="1"/>
  <c r="O3413" i="1"/>
  <c r="N3413" i="1"/>
  <c r="J3413" i="1"/>
  <c r="I3413" i="1"/>
  <c r="H3413" i="1"/>
  <c r="G3413" i="1"/>
  <c r="F3413" i="1"/>
  <c r="E3413" i="1"/>
  <c r="D3413" i="1"/>
  <c r="V3412" i="1"/>
  <c r="Q3412" i="1"/>
  <c r="P3412" i="1"/>
  <c r="O3412" i="1"/>
  <c r="N3412" i="1"/>
  <c r="J3412" i="1"/>
  <c r="I3412" i="1"/>
  <c r="H3412" i="1"/>
  <c r="G3412" i="1"/>
  <c r="F3412" i="1"/>
  <c r="E3412" i="1"/>
  <c r="D3412" i="1"/>
  <c r="V3411" i="1"/>
  <c r="Q3411" i="1"/>
  <c r="P3411" i="1"/>
  <c r="O3411" i="1"/>
  <c r="N3411" i="1"/>
  <c r="J3411" i="1"/>
  <c r="I3411" i="1"/>
  <c r="H3411" i="1"/>
  <c r="G3411" i="1"/>
  <c r="F3411" i="1"/>
  <c r="E3411" i="1"/>
  <c r="D3411" i="1"/>
  <c r="V3410" i="1"/>
  <c r="Q3410" i="1"/>
  <c r="P3410" i="1"/>
  <c r="O3410" i="1"/>
  <c r="N3410" i="1"/>
  <c r="J3410" i="1"/>
  <c r="I3410" i="1"/>
  <c r="H3410" i="1"/>
  <c r="G3410" i="1"/>
  <c r="F3410" i="1"/>
  <c r="E3410" i="1"/>
  <c r="D3410" i="1"/>
  <c r="V3409" i="1"/>
  <c r="Q3409" i="1"/>
  <c r="P3409" i="1"/>
  <c r="O3409" i="1"/>
  <c r="N3409" i="1"/>
  <c r="J3409" i="1"/>
  <c r="I3409" i="1"/>
  <c r="H3409" i="1"/>
  <c r="G3409" i="1"/>
  <c r="F3409" i="1"/>
  <c r="E3409" i="1"/>
  <c r="D3409" i="1"/>
  <c r="V3408" i="1"/>
  <c r="Q3408" i="1"/>
  <c r="P3408" i="1"/>
  <c r="O3408" i="1"/>
  <c r="N3408" i="1"/>
  <c r="J3408" i="1"/>
  <c r="I3408" i="1"/>
  <c r="H3408" i="1"/>
  <c r="G3408" i="1"/>
  <c r="F3408" i="1"/>
  <c r="E3408" i="1"/>
  <c r="D3408" i="1"/>
  <c r="V3407" i="1"/>
  <c r="Q3407" i="1"/>
  <c r="P3407" i="1"/>
  <c r="O3407" i="1"/>
  <c r="N3407" i="1"/>
  <c r="J3407" i="1"/>
  <c r="I3407" i="1"/>
  <c r="H3407" i="1"/>
  <c r="G3407" i="1"/>
  <c r="F3407" i="1"/>
  <c r="E3407" i="1"/>
  <c r="D3407" i="1"/>
  <c r="V3406" i="1"/>
  <c r="Q3406" i="1"/>
  <c r="P3406" i="1"/>
  <c r="O3406" i="1"/>
  <c r="N3406" i="1"/>
  <c r="J3406" i="1"/>
  <c r="I3406" i="1"/>
  <c r="H3406" i="1"/>
  <c r="G3406" i="1"/>
  <c r="F3406" i="1"/>
  <c r="E3406" i="1"/>
  <c r="D3406" i="1"/>
  <c r="V3405" i="1"/>
  <c r="Q3405" i="1"/>
  <c r="P3405" i="1"/>
  <c r="O3405" i="1"/>
  <c r="N3405" i="1"/>
  <c r="J3405" i="1"/>
  <c r="I3405" i="1"/>
  <c r="H3405" i="1"/>
  <c r="G3405" i="1"/>
  <c r="F3405" i="1"/>
  <c r="E3405" i="1"/>
  <c r="D3405" i="1"/>
  <c r="V3404" i="1"/>
  <c r="Q3404" i="1"/>
  <c r="P3404" i="1"/>
  <c r="O3404" i="1"/>
  <c r="N3404" i="1"/>
  <c r="J3404" i="1"/>
  <c r="I3404" i="1"/>
  <c r="H3404" i="1"/>
  <c r="G3404" i="1"/>
  <c r="F3404" i="1"/>
  <c r="E3404" i="1"/>
  <c r="D3404" i="1"/>
  <c r="V3403" i="1"/>
  <c r="Q3403" i="1"/>
  <c r="P3403" i="1"/>
  <c r="O3403" i="1"/>
  <c r="N3403" i="1"/>
  <c r="J3403" i="1"/>
  <c r="I3403" i="1"/>
  <c r="H3403" i="1"/>
  <c r="G3403" i="1"/>
  <c r="F3403" i="1"/>
  <c r="E3403" i="1"/>
  <c r="D3403" i="1"/>
  <c r="V3402" i="1"/>
  <c r="Q3402" i="1"/>
  <c r="P3402" i="1"/>
  <c r="O3402" i="1"/>
  <c r="N3402" i="1"/>
  <c r="J3402" i="1"/>
  <c r="I3402" i="1"/>
  <c r="H3402" i="1"/>
  <c r="G3402" i="1"/>
  <c r="F3402" i="1"/>
  <c r="E3402" i="1"/>
  <c r="D3402" i="1"/>
  <c r="V3401" i="1"/>
  <c r="Q3401" i="1"/>
  <c r="P3401" i="1"/>
  <c r="O3401" i="1"/>
  <c r="N3401" i="1"/>
  <c r="J3401" i="1"/>
  <c r="I3401" i="1"/>
  <c r="H3401" i="1"/>
  <c r="G3401" i="1"/>
  <c r="F3401" i="1"/>
  <c r="E3401" i="1"/>
  <c r="D3401" i="1"/>
  <c r="V3400" i="1"/>
  <c r="Q3400" i="1"/>
  <c r="P3400" i="1"/>
  <c r="O3400" i="1"/>
  <c r="N3400" i="1"/>
  <c r="J3400" i="1"/>
  <c r="I3400" i="1"/>
  <c r="H3400" i="1"/>
  <c r="G3400" i="1"/>
  <c r="F3400" i="1"/>
  <c r="E3400" i="1"/>
  <c r="D3400" i="1"/>
  <c r="V3399" i="1"/>
  <c r="Q3399" i="1"/>
  <c r="P3399" i="1"/>
  <c r="O3399" i="1"/>
  <c r="N3399" i="1"/>
  <c r="J3399" i="1"/>
  <c r="I3399" i="1"/>
  <c r="H3399" i="1"/>
  <c r="G3399" i="1"/>
  <c r="F3399" i="1"/>
  <c r="E3399" i="1"/>
  <c r="D3399" i="1"/>
  <c r="V3398" i="1"/>
  <c r="Q3398" i="1"/>
  <c r="P3398" i="1"/>
  <c r="O3398" i="1"/>
  <c r="N3398" i="1"/>
  <c r="J3398" i="1"/>
  <c r="I3398" i="1"/>
  <c r="H3398" i="1"/>
  <c r="G3398" i="1"/>
  <c r="F3398" i="1"/>
  <c r="E3398" i="1"/>
  <c r="D3398" i="1"/>
  <c r="V3397" i="1"/>
  <c r="Q3397" i="1"/>
  <c r="P3397" i="1"/>
  <c r="O3397" i="1"/>
  <c r="N3397" i="1"/>
  <c r="J3397" i="1"/>
  <c r="I3397" i="1"/>
  <c r="H3397" i="1"/>
  <c r="G3397" i="1"/>
  <c r="F3397" i="1"/>
  <c r="E3397" i="1"/>
  <c r="D3397" i="1"/>
  <c r="V3396" i="1"/>
  <c r="Q3396" i="1"/>
  <c r="P3396" i="1"/>
  <c r="O3396" i="1"/>
  <c r="N3396" i="1"/>
  <c r="J3396" i="1"/>
  <c r="I3396" i="1"/>
  <c r="H3396" i="1"/>
  <c r="G3396" i="1"/>
  <c r="F3396" i="1"/>
  <c r="E3396" i="1"/>
  <c r="D3396" i="1"/>
  <c r="V3395" i="1"/>
  <c r="Q3395" i="1"/>
  <c r="P3395" i="1"/>
  <c r="O3395" i="1"/>
  <c r="N3395" i="1"/>
  <c r="J3395" i="1"/>
  <c r="I3395" i="1"/>
  <c r="H3395" i="1"/>
  <c r="G3395" i="1"/>
  <c r="F3395" i="1"/>
  <c r="E3395" i="1"/>
  <c r="D3395" i="1"/>
  <c r="V3394" i="1"/>
  <c r="Q3394" i="1"/>
  <c r="P3394" i="1"/>
  <c r="O3394" i="1"/>
  <c r="N3394" i="1"/>
  <c r="J3394" i="1"/>
  <c r="I3394" i="1"/>
  <c r="H3394" i="1"/>
  <c r="G3394" i="1"/>
  <c r="F3394" i="1"/>
  <c r="E3394" i="1"/>
  <c r="D3394" i="1"/>
  <c r="V3393" i="1"/>
  <c r="Q3393" i="1"/>
  <c r="P3393" i="1"/>
  <c r="O3393" i="1"/>
  <c r="N3393" i="1"/>
  <c r="J3393" i="1"/>
  <c r="I3393" i="1"/>
  <c r="H3393" i="1"/>
  <c r="G3393" i="1"/>
  <c r="F3393" i="1"/>
  <c r="E3393" i="1"/>
  <c r="D3393" i="1"/>
  <c r="V3392" i="1"/>
  <c r="Q3392" i="1"/>
  <c r="P3392" i="1"/>
  <c r="O3392" i="1"/>
  <c r="N3392" i="1"/>
  <c r="J3392" i="1"/>
  <c r="I3392" i="1"/>
  <c r="H3392" i="1"/>
  <c r="G3392" i="1"/>
  <c r="F3392" i="1"/>
  <c r="E3392" i="1"/>
  <c r="D3392" i="1"/>
  <c r="C3392" i="1"/>
  <c r="V3391" i="1"/>
  <c r="Q3391" i="1"/>
  <c r="P3391" i="1"/>
  <c r="O3391" i="1"/>
  <c r="N3391" i="1"/>
  <c r="J3391" i="1"/>
  <c r="I3391" i="1"/>
  <c r="H3391" i="1"/>
  <c r="G3391" i="1"/>
  <c r="F3391" i="1"/>
  <c r="E3391" i="1"/>
  <c r="D3391" i="1"/>
  <c r="C3391" i="1"/>
  <c r="V3390" i="1"/>
  <c r="Q3390" i="1"/>
  <c r="P3390" i="1"/>
  <c r="O3390" i="1"/>
  <c r="N3390" i="1"/>
  <c r="J3390" i="1"/>
  <c r="I3390" i="1"/>
  <c r="H3390" i="1"/>
  <c r="G3390" i="1"/>
  <c r="F3390" i="1"/>
  <c r="E3390" i="1"/>
  <c r="D3390" i="1"/>
  <c r="C3390" i="1"/>
  <c r="V3389" i="1"/>
  <c r="Q3389" i="1"/>
  <c r="P3389" i="1"/>
  <c r="O3389" i="1"/>
  <c r="N3389" i="1"/>
  <c r="J3389" i="1"/>
  <c r="I3389" i="1"/>
  <c r="H3389" i="1"/>
  <c r="G3389" i="1"/>
  <c r="F3389" i="1"/>
  <c r="E3389" i="1"/>
  <c r="D3389" i="1"/>
  <c r="C3389" i="1"/>
  <c r="V3388" i="1"/>
  <c r="Q3388" i="1"/>
  <c r="P3388" i="1"/>
  <c r="O3388" i="1"/>
  <c r="N3388" i="1"/>
  <c r="J3388" i="1"/>
  <c r="I3388" i="1"/>
  <c r="H3388" i="1"/>
  <c r="G3388" i="1"/>
  <c r="F3388" i="1"/>
  <c r="E3388" i="1"/>
  <c r="D3388" i="1"/>
  <c r="C3388" i="1"/>
  <c r="V3387" i="1"/>
  <c r="Q3387" i="1"/>
  <c r="P3387" i="1"/>
  <c r="O3387" i="1"/>
  <c r="N3387" i="1"/>
  <c r="J3387" i="1"/>
  <c r="I3387" i="1"/>
  <c r="H3387" i="1"/>
  <c r="G3387" i="1"/>
  <c r="F3387" i="1"/>
  <c r="E3387" i="1"/>
  <c r="D3387" i="1"/>
  <c r="C3387" i="1"/>
  <c r="V3386" i="1"/>
  <c r="Q3386" i="1"/>
  <c r="P3386" i="1"/>
  <c r="O3386" i="1"/>
  <c r="N3386" i="1"/>
  <c r="J3386" i="1"/>
  <c r="I3386" i="1"/>
  <c r="H3386" i="1"/>
  <c r="G3386" i="1"/>
  <c r="F3386" i="1"/>
  <c r="E3386" i="1"/>
  <c r="D3386" i="1"/>
  <c r="C3386" i="1"/>
  <c r="V3385" i="1"/>
  <c r="Q3385" i="1"/>
  <c r="P3385" i="1"/>
  <c r="O3385" i="1"/>
  <c r="N3385" i="1"/>
  <c r="J3385" i="1"/>
  <c r="I3385" i="1"/>
  <c r="H3385" i="1"/>
  <c r="G3385" i="1"/>
  <c r="F3385" i="1"/>
  <c r="E3385" i="1"/>
  <c r="D3385" i="1"/>
  <c r="C3385" i="1"/>
  <c r="V3384" i="1"/>
  <c r="Q3384" i="1"/>
  <c r="P3384" i="1"/>
  <c r="O3384" i="1"/>
  <c r="N3384" i="1"/>
  <c r="J3384" i="1"/>
  <c r="I3384" i="1"/>
  <c r="H3384" i="1"/>
  <c r="G3384" i="1"/>
  <c r="F3384" i="1"/>
  <c r="E3384" i="1"/>
  <c r="D3384" i="1"/>
  <c r="C3384" i="1"/>
  <c r="V3383" i="1"/>
  <c r="Q3383" i="1"/>
  <c r="P3383" i="1"/>
  <c r="O3383" i="1"/>
  <c r="N3383" i="1"/>
  <c r="J3383" i="1"/>
  <c r="I3383" i="1"/>
  <c r="H3383" i="1"/>
  <c r="G3383" i="1"/>
  <c r="F3383" i="1"/>
  <c r="E3383" i="1"/>
  <c r="D3383" i="1"/>
  <c r="C3383" i="1"/>
  <c r="V3382" i="1"/>
  <c r="Q3382" i="1"/>
  <c r="P3382" i="1"/>
  <c r="O3382" i="1"/>
  <c r="N3382" i="1"/>
  <c r="J3382" i="1"/>
  <c r="I3382" i="1"/>
  <c r="H3382" i="1"/>
  <c r="G3382" i="1"/>
  <c r="F3382" i="1"/>
  <c r="E3382" i="1"/>
  <c r="D3382" i="1"/>
  <c r="C3382" i="1"/>
  <c r="V3381" i="1"/>
  <c r="Q3381" i="1"/>
  <c r="P3381" i="1"/>
  <c r="O3381" i="1"/>
  <c r="N3381" i="1"/>
  <c r="J3381" i="1"/>
  <c r="I3381" i="1"/>
  <c r="H3381" i="1"/>
  <c r="G3381" i="1"/>
  <c r="F3381" i="1"/>
  <c r="E3381" i="1"/>
  <c r="D3381" i="1"/>
  <c r="C3381" i="1"/>
  <c r="V3380" i="1"/>
  <c r="Q3380" i="1"/>
  <c r="P3380" i="1"/>
  <c r="O3380" i="1"/>
  <c r="N3380" i="1"/>
  <c r="J3380" i="1"/>
  <c r="I3380" i="1"/>
  <c r="H3380" i="1"/>
  <c r="G3380" i="1"/>
  <c r="F3380" i="1"/>
  <c r="E3380" i="1"/>
  <c r="D3380" i="1"/>
  <c r="C3380" i="1"/>
  <c r="V3379" i="1"/>
  <c r="Q3379" i="1"/>
  <c r="P3379" i="1"/>
  <c r="O3379" i="1"/>
  <c r="N3379" i="1"/>
  <c r="J3379" i="1"/>
  <c r="I3379" i="1"/>
  <c r="H3379" i="1"/>
  <c r="G3379" i="1"/>
  <c r="F3379" i="1"/>
  <c r="E3379" i="1"/>
  <c r="D3379" i="1"/>
  <c r="C3379" i="1"/>
  <c r="V3378" i="1"/>
  <c r="Q3378" i="1"/>
  <c r="P3378" i="1"/>
  <c r="O3378" i="1"/>
  <c r="N3378" i="1"/>
  <c r="J3378" i="1"/>
  <c r="I3378" i="1"/>
  <c r="H3378" i="1"/>
  <c r="G3378" i="1"/>
  <c r="F3378" i="1"/>
  <c r="E3378" i="1"/>
  <c r="D3378" i="1"/>
  <c r="C3378" i="1"/>
  <c r="V3377" i="1"/>
  <c r="Q3377" i="1"/>
  <c r="P3377" i="1"/>
  <c r="O3377" i="1"/>
  <c r="N3377" i="1"/>
  <c r="J3377" i="1"/>
  <c r="I3377" i="1"/>
  <c r="H3377" i="1"/>
  <c r="G3377" i="1"/>
  <c r="F3377" i="1"/>
  <c r="E3377" i="1"/>
  <c r="D3377" i="1"/>
  <c r="C3377" i="1"/>
  <c r="V3376" i="1"/>
  <c r="Q3376" i="1"/>
  <c r="P3376" i="1"/>
  <c r="O3376" i="1"/>
  <c r="N3376" i="1"/>
  <c r="J3376" i="1"/>
  <c r="I3376" i="1"/>
  <c r="H3376" i="1"/>
  <c r="G3376" i="1"/>
  <c r="F3376" i="1"/>
  <c r="E3376" i="1"/>
  <c r="D3376" i="1"/>
  <c r="C3376" i="1"/>
  <c r="V3375" i="1"/>
  <c r="Q3375" i="1"/>
  <c r="P3375" i="1"/>
  <c r="O3375" i="1"/>
  <c r="N3375" i="1"/>
  <c r="J3375" i="1"/>
  <c r="I3375" i="1"/>
  <c r="H3375" i="1"/>
  <c r="G3375" i="1"/>
  <c r="F3375" i="1"/>
  <c r="E3375" i="1"/>
  <c r="D3375" i="1"/>
  <c r="C3375" i="1"/>
  <c r="V3374" i="1"/>
  <c r="Q3374" i="1"/>
  <c r="P3374" i="1"/>
  <c r="O3374" i="1"/>
  <c r="N3374" i="1"/>
  <c r="J3374" i="1"/>
  <c r="I3374" i="1"/>
  <c r="H3374" i="1"/>
  <c r="G3374" i="1"/>
  <c r="F3374" i="1"/>
  <c r="E3374" i="1"/>
  <c r="D3374" i="1"/>
  <c r="C3374" i="1"/>
  <c r="V3373" i="1"/>
  <c r="Q3373" i="1"/>
  <c r="P3373" i="1"/>
  <c r="O3373" i="1"/>
  <c r="N3373" i="1"/>
  <c r="J3373" i="1"/>
  <c r="I3373" i="1"/>
  <c r="H3373" i="1"/>
  <c r="G3373" i="1"/>
  <c r="F3373" i="1"/>
  <c r="E3373" i="1"/>
  <c r="D3373" i="1"/>
  <c r="C3373" i="1"/>
  <c r="V3372" i="1"/>
  <c r="R3372" i="1"/>
  <c r="Q3372" i="1"/>
  <c r="P3372" i="1"/>
  <c r="O3372" i="1"/>
  <c r="N3372" i="1"/>
  <c r="J3372" i="1"/>
  <c r="I3372" i="1"/>
  <c r="H3372" i="1"/>
  <c r="G3372" i="1"/>
  <c r="F3372" i="1"/>
  <c r="E3372" i="1"/>
  <c r="D3372" i="1"/>
  <c r="C3372" i="1"/>
  <c r="V3371" i="1"/>
  <c r="R3371" i="1"/>
  <c r="Q3371" i="1"/>
  <c r="P3371" i="1"/>
  <c r="O3371" i="1"/>
  <c r="N3371" i="1"/>
  <c r="J3371" i="1"/>
  <c r="I3371" i="1"/>
  <c r="H3371" i="1"/>
  <c r="G3371" i="1"/>
  <c r="F3371" i="1"/>
  <c r="E3371" i="1"/>
  <c r="D3371" i="1"/>
  <c r="C3371" i="1"/>
  <c r="V3370" i="1"/>
  <c r="R3370" i="1"/>
  <c r="Q3370" i="1"/>
  <c r="P3370" i="1"/>
  <c r="O3370" i="1"/>
  <c r="N3370" i="1"/>
  <c r="J3370" i="1"/>
  <c r="I3370" i="1"/>
  <c r="H3370" i="1"/>
  <c r="G3370" i="1"/>
  <c r="F3370" i="1"/>
  <c r="E3370" i="1"/>
  <c r="D3370" i="1"/>
  <c r="C3370" i="1"/>
  <c r="V3369" i="1"/>
  <c r="R3369" i="1"/>
  <c r="Q3369" i="1"/>
  <c r="P3369" i="1"/>
  <c r="O3369" i="1"/>
  <c r="N3369" i="1"/>
  <c r="J3369" i="1"/>
  <c r="I3369" i="1"/>
  <c r="H3369" i="1"/>
  <c r="G3369" i="1"/>
  <c r="F3369" i="1"/>
  <c r="E3369" i="1"/>
  <c r="D3369" i="1"/>
  <c r="C3369" i="1"/>
  <c r="V3368" i="1"/>
  <c r="R3368" i="1"/>
  <c r="Q3368" i="1"/>
  <c r="P3368" i="1"/>
  <c r="O3368" i="1"/>
  <c r="N3368" i="1"/>
  <c r="J3368" i="1"/>
  <c r="I3368" i="1"/>
  <c r="H3368" i="1"/>
  <c r="G3368" i="1"/>
  <c r="F3368" i="1"/>
  <c r="E3368" i="1"/>
  <c r="D3368" i="1"/>
  <c r="C3368" i="1"/>
  <c r="V3367" i="1"/>
  <c r="R3367" i="1"/>
  <c r="Q3367" i="1"/>
  <c r="P3367" i="1"/>
  <c r="O3367" i="1"/>
  <c r="N3367" i="1"/>
  <c r="J3367" i="1"/>
  <c r="I3367" i="1"/>
  <c r="H3367" i="1"/>
  <c r="G3367" i="1"/>
  <c r="F3367" i="1"/>
  <c r="E3367" i="1"/>
  <c r="D3367" i="1"/>
  <c r="C3367" i="1"/>
  <c r="V3366" i="1"/>
  <c r="R3366" i="1"/>
  <c r="Q3366" i="1"/>
  <c r="P3366" i="1"/>
  <c r="O3366" i="1"/>
  <c r="N3366" i="1"/>
  <c r="J3366" i="1"/>
  <c r="I3366" i="1"/>
  <c r="H3366" i="1"/>
  <c r="G3366" i="1"/>
  <c r="F3366" i="1"/>
  <c r="E3366" i="1"/>
  <c r="D3366" i="1"/>
  <c r="C3366" i="1"/>
  <c r="V3365" i="1"/>
  <c r="R3365" i="1"/>
  <c r="Q3365" i="1"/>
  <c r="P3365" i="1"/>
  <c r="O3365" i="1"/>
  <c r="N3365" i="1"/>
  <c r="J3365" i="1"/>
  <c r="I3365" i="1"/>
  <c r="H3365" i="1"/>
  <c r="G3365" i="1"/>
  <c r="F3365" i="1"/>
  <c r="E3365" i="1"/>
  <c r="D3365" i="1"/>
  <c r="C3365" i="1"/>
  <c r="V3364" i="1"/>
  <c r="R3364" i="1"/>
  <c r="Q3364" i="1"/>
  <c r="P3364" i="1"/>
  <c r="O3364" i="1"/>
  <c r="N3364" i="1"/>
  <c r="J3364" i="1"/>
  <c r="I3364" i="1"/>
  <c r="H3364" i="1"/>
  <c r="G3364" i="1"/>
  <c r="F3364" i="1"/>
  <c r="E3364" i="1"/>
  <c r="D3364" i="1"/>
  <c r="C3364" i="1"/>
  <c r="V3363" i="1"/>
  <c r="R3363" i="1"/>
  <c r="Q3363" i="1"/>
  <c r="P3363" i="1"/>
  <c r="O3363" i="1"/>
  <c r="N3363" i="1"/>
  <c r="J3363" i="1"/>
  <c r="I3363" i="1"/>
  <c r="H3363" i="1"/>
  <c r="G3363" i="1"/>
  <c r="F3363" i="1"/>
  <c r="E3363" i="1"/>
  <c r="D3363" i="1"/>
  <c r="C3363" i="1"/>
  <c r="V3362" i="1"/>
  <c r="R3362" i="1"/>
  <c r="Q3362" i="1"/>
  <c r="P3362" i="1"/>
  <c r="O3362" i="1"/>
  <c r="N3362" i="1"/>
  <c r="J3362" i="1"/>
  <c r="I3362" i="1"/>
  <c r="H3362" i="1"/>
  <c r="G3362" i="1"/>
  <c r="F3362" i="1"/>
  <c r="E3362" i="1"/>
  <c r="D3362" i="1"/>
  <c r="C3362" i="1"/>
  <c r="V3361" i="1"/>
  <c r="R3361" i="1"/>
  <c r="Q3361" i="1"/>
  <c r="P3361" i="1"/>
  <c r="O3361" i="1"/>
  <c r="N3361" i="1"/>
  <c r="J3361" i="1"/>
  <c r="I3361" i="1"/>
  <c r="H3361" i="1"/>
  <c r="G3361" i="1"/>
  <c r="F3361" i="1"/>
  <c r="E3361" i="1"/>
  <c r="D3361" i="1"/>
  <c r="C3361" i="1"/>
  <c r="V3360" i="1"/>
  <c r="R3360" i="1"/>
  <c r="Q3360" i="1"/>
  <c r="P3360" i="1"/>
  <c r="O3360" i="1"/>
  <c r="N3360" i="1"/>
  <c r="J3360" i="1"/>
  <c r="I3360" i="1"/>
  <c r="H3360" i="1"/>
  <c r="G3360" i="1"/>
  <c r="F3360" i="1"/>
  <c r="E3360" i="1"/>
  <c r="D3360" i="1"/>
  <c r="C3360" i="1"/>
  <c r="V3359" i="1"/>
  <c r="R3359" i="1"/>
  <c r="Q3359" i="1"/>
  <c r="P3359" i="1"/>
  <c r="O3359" i="1"/>
  <c r="N3359" i="1"/>
  <c r="J3359" i="1"/>
  <c r="I3359" i="1"/>
  <c r="H3359" i="1"/>
  <c r="G3359" i="1"/>
  <c r="F3359" i="1"/>
  <c r="E3359" i="1"/>
  <c r="D3359" i="1"/>
  <c r="C3359" i="1"/>
  <c r="V3358" i="1"/>
  <c r="R3358" i="1"/>
  <c r="Q3358" i="1"/>
  <c r="P3358" i="1"/>
  <c r="O3358" i="1"/>
  <c r="N3358" i="1"/>
  <c r="J3358" i="1"/>
  <c r="I3358" i="1"/>
  <c r="H3358" i="1"/>
  <c r="G3358" i="1"/>
  <c r="F3358" i="1"/>
  <c r="E3358" i="1"/>
  <c r="D3358" i="1"/>
  <c r="C3358" i="1"/>
  <c r="V3357" i="1"/>
  <c r="R3357" i="1"/>
  <c r="Q3357" i="1"/>
  <c r="P3357" i="1"/>
  <c r="O3357" i="1"/>
  <c r="N3357" i="1"/>
  <c r="J3357" i="1"/>
  <c r="I3357" i="1"/>
  <c r="H3357" i="1"/>
  <c r="G3357" i="1"/>
  <c r="F3357" i="1"/>
  <c r="E3357" i="1"/>
  <c r="D3357" i="1"/>
  <c r="C3357" i="1"/>
  <c r="V3356" i="1"/>
  <c r="R3356" i="1"/>
  <c r="Q3356" i="1"/>
  <c r="P3356" i="1"/>
  <c r="O3356" i="1"/>
  <c r="N3356" i="1"/>
  <c r="J3356" i="1"/>
  <c r="I3356" i="1"/>
  <c r="H3356" i="1"/>
  <c r="G3356" i="1"/>
  <c r="F3356" i="1"/>
  <c r="E3356" i="1"/>
  <c r="D3356" i="1"/>
  <c r="C3356" i="1"/>
  <c r="V3355" i="1"/>
  <c r="R3355" i="1"/>
  <c r="Q3355" i="1"/>
  <c r="P3355" i="1"/>
  <c r="O3355" i="1"/>
  <c r="N3355" i="1"/>
  <c r="J3355" i="1"/>
  <c r="I3355" i="1"/>
  <c r="H3355" i="1"/>
  <c r="G3355" i="1"/>
  <c r="F3355" i="1"/>
  <c r="E3355" i="1"/>
  <c r="D3355" i="1"/>
  <c r="C3355" i="1"/>
  <c r="V3354" i="1"/>
  <c r="R3354" i="1"/>
  <c r="Q3354" i="1"/>
  <c r="P3354" i="1"/>
  <c r="O3354" i="1"/>
  <c r="N3354" i="1"/>
  <c r="J3354" i="1"/>
  <c r="I3354" i="1"/>
  <c r="H3354" i="1"/>
  <c r="G3354" i="1"/>
  <c r="F3354" i="1"/>
  <c r="E3354" i="1"/>
  <c r="D3354" i="1"/>
  <c r="C3354" i="1"/>
  <c r="V3353" i="1"/>
  <c r="R3353" i="1"/>
  <c r="Q3353" i="1"/>
  <c r="P3353" i="1"/>
  <c r="O3353" i="1"/>
  <c r="N3353" i="1"/>
  <c r="J3353" i="1"/>
  <c r="I3353" i="1"/>
  <c r="H3353" i="1"/>
  <c r="G3353" i="1"/>
  <c r="F3353" i="1"/>
  <c r="E3353" i="1"/>
  <c r="D3353" i="1"/>
  <c r="C3353" i="1"/>
  <c r="V3352" i="1"/>
  <c r="R3352" i="1"/>
  <c r="Q3352" i="1"/>
  <c r="P3352" i="1"/>
  <c r="O3352" i="1"/>
  <c r="N3352" i="1"/>
  <c r="J3352" i="1"/>
  <c r="I3352" i="1"/>
  <c r="H3352" i="1"/>
  <c r="G3352" i="1"/>
  <c r="F3352" i="1"/>
  <c r="E3352" i="1"/>
  <c r="D3352" i="1"/>
  <c r="C3352" i="1"/>
  <c r="V3351" i="1"/>
  <c r="R3351" i="1"/>
  <c r="Q3351" i="1"/>
  <c r="P3351" i="1"/>
  <c r="O3351" i="1"/>
  <c r="N3351" i="1"/>
  <c r="J3351" i="1"/>
  <c r="I3351" i="1"/>
  <c r="H3351" i="1"/>
  <c r="G3351" i="1"/>
  <c r="F3351" i="1"/>
  <c r="E3351" i="1"/>
  <c r="D3351" i="1"/>
  <c r="C3351" i="1"/>
  <c r="V3350" i="1"/>
  <c r="R3350" i="1"/>
  <c r="Q3350" i="1"/>
  <c r="P3350" i="1"/>
  <c r="O3350" i="1"/>
  <c r="N3350" i="1"/>
  <c r="J3350" i="1"/>
  <c r="I3350" i="1"/>
  <c r="H3350" i="1"/>
  <c r="G3350" i="1"/>
  <c r="F3350" i="1"/>
  <c r="E3350" i="1"/>
  <c r="D3350" i="1"/>
  <c r="C3350" i="1"/>
  <c r="V3349" i="1"/>
  <c r="R3349" i="1"/>
  <c r="Q3349" i="1"/>
  <c r="P3349" i="1"/>
  <c r="O3349" i="1"/>
  <c r="N3349" i="1"/>
  <c r="J3349" i="1"/>
  <c r="I3349" i="1"/>
  <c r="H3349" i="1"/>
  <c r="G3349" i="1"/>
  <c r="F3349" i="1"/>
  <c r="E3349" i="1"/>
  <c r="D3349" i="1"/>
  <c r="C3349" i="1"/>
  <c r="V3348" i="1"/>
  <c r="R3348" i="1"/>
  <c r="Q3348" i="1"/>
  <c r="P3348" i="1"/>
  <c r="O3348" i="1"/>
  <c r="N3348" i="1"/>
  <c r="J3348" i="1"/>
  <c r="I3348" i="1"/>
  <c r="H3348" i="1"/>
  <c r="G3348" i="1"/>
  <c r="F3348" i="1"/>
  <c r="E3348" i="1"/>
  <c r="D3348" i="1"/>
  <c r="C3348" i="1"/>
  <c r="V3347" i="1"/>
  <c r="R3347" i="1"/>
  <c r="Q3347" i="1"/>
  <c r="P3347" i="1"/>
  <c r="O3347" i="1"/>
  <c r="N3347" i="1"/>
  <c r="J3347" i="1"/>
  <c r="I3347" i="1"/>
  <c r="H3347" i="1"/>
  <c r="G3347" i="1"/>
  <c r="F3347" i="1"/>
  <c r="E3347" i="1"/>
  <c r="D3347" i="1"/>
  <c r="C3347" i="1"/>
  <c r="V3346" i="1"/>
  <c r="R3346" i="1"/>
  <c r="Q3346" i="1"/>
  <c r="P3346" i="1"/>
  <c r="O3346" i="1"/>
  <c r="N3346" i="1"/>
  <c r="J3346" i="1"/>
  <c r="I3346" i="1"/>
  <c r="H3346" i="1"/>
  <c r="G3346" i="1"/>
  <c r="F3346" i="1"/>
  <c r="E3346" i="1"/>
  <c r="D3346" i="1"/>
  <c r="C3346" i="1"/>
  <c r="V3345" i="1"/>
  <c r="R3345" i="1"/>
  <c r="Q3345" i="1"/>
  <c r="P3345" i="1"/>
  <c r="O3345" i="1"/>
  <c r="N3345" i="1"/>
  <c r="J3345" i="1"/>
  <c r="I3345" i="1"/>
  <c r="H3345" i="1"/>
  <c r="G3345" i="1"/>
  <c r="F3345" i="1"/>
  <c r="E3345" i="1"/>
  <c r="D3345" i="1"/>
  <c r="C3345" i="1"/>
  <c r="V3344" i="1"/>
  <c r="R3344" i="1"/>
  <c r="Q3344" i="1"/>
  <c r="P3344" i="1"/>
  <c r="O3344" i="1"/>
  <c r="N3344" i="1"/>
  <c r="J3344" i="1"/>
  <c r="I3344" i="1"/>
  <c r="H3344" i="1"/>
  <c r="G3344" i="1"/>
  <c r="F3344" i="1"/>
  <c r="E3344" i="1"/>
  <c r="D3344" i="1"/>
  <c r="C3344" i="1"/>
  <c r="V3343" i="1"/>
  <c r="R3343" i="1"/>
  <c r="Q3343" i="1"/>
  <c r="P3343" i="1"/>
  <c r="O3343" i="1"/>
  <c r="N3343" i="1"/>
  <c r="J3343" i="1"/>
  <c r="I3343" i="1"/>
  <c r="H3343" i="1"/>
  <c r="G3343" i="1"/>
  <c r="F3343" i="1"/>
  <c r="E3343" i="1"/>
  <c r="D3343" i="1"/>
  <c r="C3343" i="1"/>
  <c r="V3342" i="1"/>
  <c r="R3342" i="1"/>
  <c r="Q3342" i="1"/>
  <c r="P3342" i="1"/>
  <c r="O3342" i="1"/>
  <c r="N3342" i="1"/>
  <c r="J3342" i="1"/>
  <c r="I3342" i="1"/>
  <c r="H3342" i="1"/>
  <c r="G3342" i="1"/>
  <c r="F3342" i="1"/>
  <c r="E3342" i="1"/>
  <c r="D3342" i="1"/>
  <c r="C3342" i="1"/>
  <c r="V3341" i="1"/>
  <c r="R3341" i="1"/>
  <c r="Q3341" i="1"/>
  <c r="P3341" i="1"/>
  <c r="O3341" i="1"/>
  <c r="N3341" i="1"/>
  <c r="J3341" i="1"/>
  <c r="I3341" i="1"/>
  <c r="H3341" i="1"/>
  <c r="G3341" i="1"/>
  <c r="F3341" i="1"/>
  <c r="E3341" i="1"/>
  <c r="D3341" i="1"/>
  <c r="C3341" i="1"/>
  <c r="V3340" i="1"/>
  <c r="R3340" i="1"/>
  <c r="Q3340" i="1"/>
  <c r="P3340" i="1"/>
  <c r="O3340" i="1"/>
  <c r="N3340" i="1"/>
  <c r="J3340" i="1"/>
  <c r="I3340" i="1"/>
  <c r="H3340" i="1"/>
  <c r="G3340" i="1"/>
  <c r="F3340" i="1"/>
  <c r="E3340" i="1"/>
  <c r="D3340" i="1"/>
  <c r="C3340" i="1"/>
  <c r="V3339" i="1"/>
  <c r="R3339" i="1"/>
  <c r="Q3339" i="1"/>
  <c r="P3339" i="1"/>
  <c r="O3339" i="1"/>
  <c r="N3339" i="1"/>
  <c r="J3339" i="1"/>
  <c r="I3339" i="1"/>
  <c r="H3339" i="1"/>
  <c r="G3339" i="1"/>
  <c r="F3339" i="1"/>
  <c r="E3339" i="1"/>
  <c r="D3339" i="1"/>
  <c r="C3339" i="1"/>
  <c r="V3338" i="1"/>
  <c r="R3338" i="1"/>
  <c r="Q3338" i="1"/>
  <c r="P3338" i="1"/>
  <c r="O3338" i="1"/>
  <c r="N3338" i="1"/>
  <c r="J3338" i="1"/>
  <c r="I3338" i="1"/>
  <c r="H3338" i="1"/>
  <c r="G3338" i="1"/>
  <c r="F3338" i="1"/>
  <c r="E3338" i="1"/>
  <c r="D3338" i="1"/>
  <c r="C3338" i="1"/>
  <c r="V3337" i="1"/>
  <c r="R3337" i="1"/>
  <c r="Q3337" i="1"/>
  <c r="P3337" i="1"/>
  <c r="O3337" i="1"/>
  <c r="N3337" i="1"/>
  <c r="J3337" i="1"/>
  <c r="I3337" i="1"/>
  <c r="H3337" i="1"/>
  <c r="G3337" i="1"/>
  <c r="F3337" i="1"/>
  <c r="E3337" i="1"/>
  <c r="D3337" i="1"/>
  <c r="C3337" i="1"/>
  <c r="V3336" i="1"/>
  <c r="R3336" i="1"/>
  <c r="Q3336" i="1"/>
  <c r="P3336" i="1"/>
  <c r="O3336" i="1"/>
  <c r="N3336" i="1"/>
  <c r="J3336" i="1"/>
  <c r="I3336" i="1"/>
  <c r="H3336" i="1"/>
  <c r="G3336" i="1"/>
  <c r="F3336" i="1"/>
  <c r="E3336" i="1"/>
  <c r="D3336" i="1"/>
  <c r="C3336" i="1"/>
  <c r="V3335" i="1"/>
  <c r="R3335" i="1"/>
  <c r="Q3335" i="1"/>
  <c r="P3335" i="1"/>
  <c r="O3335" i="1"/>
  <c r="N3335" i="1"/>
  <c r="J3335" i="1"/>
  <c r="I3335" i="1"/>
  <c r="H3335" i="1"/>
  <c r="G3335" i="1"/>
  <c r="F3335" i="1"/>
  <c r="E3335" i="1"/>
  <c r="D3335" i="1"/>
  <c r="C3335" i="1"/>
  <c r="V3334" i="1"/>
  <c r="R3334" i="1"/>
  <c r="Q3334" i="1"/>
  <c r="P3334" i="1"/>
  <c r="O3334" i="1"/>
  <c r="N3334" i="1"/>
  <c r="J3334" i="1"/>
  <c r="I3334" i="1"/>
  <c r="H3334" i="1"/>
  <c r="G3334" i="1"/>
  <c r="F3334" i="1"/>
  <c r="E3334" i="1"/>
  <c r="D3334" i="1"/>
  <c r="C3334" i="1"/>
  <c r="V3333" i="1"/>
  <c r="R3333" i="1"/>
  <c r="Q3333" i="1"/>
  <c r="P3333" i="1"/>
  <c r="O3333" i="1"/>
  <c r="N3333" i="1"/>
  <c r="J3333" i="1"/>
  <c r="I3333" i="1"/>
  <c r="H3333" i="1"/>
  <c r="G3333" i="1"/>
  <c r="F3333" i="1"/>
  <c r="E3333" i="1"/>
  <c r="D3333" i="1"/>
  <c r="C3333" i="1"/>
  <c r="V3332" i="1"/>
  <c r="R3332" i="1"/>
  <c r="Q3332" i="1"/>
  <c r="P3332" i="1"/>
  <c r="O3332" i="1"/>
  <c r="N3332" i="1"/>
  <c r="J3332" i="1"/>
  <c r="I3332" i="1"/>
  <c r="H3332" i="1"/>
  <c r="G3332" i="1"/>
  <c r="F3332" i="1"/>
  <c r="E3332" i="1"/>
  <c r="D3332" i="1"/>
  <c r="C3332" i="1"/>
  <c r="V3331" i="1"/>
  <c r="R3331" i="1"/>
  <c r="Q3331" i="1"/>
  <c r="P3331" i="1"/>
  <c r="O3331" i="1"/>
  <c r="N3331" i="1"/>
  <c r="J3331" i="1"/>
  <c r="I3331" i="1"/>
  <c r="H3331" i="1"/>
  <c r="G3331" i="1"/>
  <c r="F3331" i="1"/>
  <c r="E3331" i="1"/>
  <c r="D3331" i="1"/>
  <c r="C3331" i="1"/>
  <c r="V3330" i="1"/>
  <c r="R3330" i="1"/>
  <c r="Q3330" i="1"/>
  <c r="P3330" i="1"/>
  <c r="O3330" i="1"/>
  <c r="N3330" i="1"/>
  <c r="J3330" i="1"/>
  <c r="I3330" i="1"/>
  <c r="H3330" i="1"/>
  <c r="G3330" i="1"/>
  <c r="F3330" i="1"/>
  <c r="E3330" i="1"/>
  <c r="D3330" i="1"/>
  <c r="C3330" i="1"/>
  <c r="V3329" i="1"/>
  <c r="R3329" i="1"/>
  <c r="Q3329" i="1"/>
  <c r="P3329" i="1"/>
  <c r="O3329" i="1"/>
  <c r="N3329" i="1"/>
  <c r="J3329" i="1"/>
  <c r="I3329" i="1"/>
  <c r="H3329" i="1"/>
  <c r="G3329" i="1"/>
  <c r="F3329" i="1"/>
  <c r="E3329" i="1"/>
  <c r="D3329" i="1"/>
  <c r="C3329" i="1"/>
  <c r="V3328" i="1"/>
  <c r="R3328" i="1"/>
  <c r="Q3328" i="1"/>
  <c r="P3328" i="1"/>
  <c r="O3328" i="1"/>
  <c r="N3328" i="1"/>
  <c r="J3328" i="1"/>
  <c r="I3328" i="1"/>
  <c r="H3328" i="1"/>
  <c r="G3328" i="1"/>
  <c r="F3328" i="1"/>
  <c r="E3328" i="1"/>
  <c r="D3328" i="1"/>
  <c r="C3328" i="1"/>
  <c r="V3327" i="1"/>
  <c r="R3327" i="1"/>
  <c r="Q3327" i="1"/>
  <c r="P3327" i="1"/>
  <c r="O3327" i="1"/>
  <c r="N3327" i="1"/>
  <c r="J3327" i="1"/>
  <c r="I3327" i="1"/>
  <c r="H3327" i="1"/>
  <c r="G3327" i="1"/>
  <c r="F3327" i="1"/>
  <c r="E3327" i="1"/>
  <c r="D3327" i="1"/>
  <c r="C3327" i="1"/>
  <c r="V3326" i="1"/>
  <c r="R3326" i="1"/>
  <c r="Q3326" i="1"/>
  <c r="P3326" i="1"/>
  <c r="O3326" i="1"/>
  <c r="N3326" i="1"/>
  <c r="J3326" i="1"/>
  <c r="I3326" i="1"/>
  <c r="H3326" i="1"/>
  <c r="G3326" i="1"/>
  <c r="F3326" i="1"/>
  <c r="E3326" i="1"/>
  <c r="D3326" i="1"/>
  <c r="C3326" i="1"/>
  <c r="V3325" i="1"/>
  <c r="R3325" i="1"/>
  <c r="Q3325" i="1"/>
  <c r="P3325" i="1"/>
  <c r="O3325" i="1"/>
  <c r="N3325" i="1"/>
  <c r="J3325" i="1"/>
  <c r="I3325" i="1"/>
  <c r="H3325" i="1"/>
  <c r="G3325" i="1"/>
  <c r="F3325" i="1"/>
  <c r="E3325" i="1"/>
  <c r="D3325" i="1"/>
  <c r="C3325" i="1"/>
  <c r="V3324" i="1"/>
  <c r="R3324" i="1"/>
  <c r="Q3324" i="1"/>
  <c r="P3324" i="1"/>
  <c r="O3324" i="1"/>
  <c r="N3324" i="1"/>
  <c r="J3324" i="1"/>
  <c r="I3324" i="1"/>
  <c r="H3324" i="1"/>
  <c r="G3324" i="1"/>
  <c r="F3324" i="1"/>
  <c r="E3324" i="1"/>
  <c r="D3324" i="1"/>
  <c r="C3324" i="1"/>
  <c r="V3323" i="1"/>
  <c r="R3323" i="1"/>
  <c r="Q3323" i="1"/>
  <c r="P3323" i="1"/>
  <c r="O3323" i="1"/>
  <c r="N3323" i="1"/>
  <c r="J3323" i="1"/>
  <c r="I3323" i="1"/>
  <c r="H3323" i="1"/>
  <c r="G3323" i="1"/>
  <c r="F3323" i="1"/>
  <c r="E3323" i="1"/>
  <c r="D3323" i="1"/>
  <c r="C3323" i="1"/>
  <c r="V3322" i="1"/>
  <c r="R3322" i="1"/>
  <c r="Q3322" i="1"/>
  <c r="P3322" i="1"/>
  <c r="O3322" i="1"/>
  <c r="N3322" i="1"/>
  <c r="J3322" i="1"/>
  <c r="I3322" i="1"/>
  <c r="H3322" i="1"/>
  <c r="G3322" i="1"/>
  <c r="F3322" i="1"/>
  <c r="E3322" i="1"/>
  <c r="D3322" i="1"/>
  <c r="C3322" i="1"/>
  <c r="V3321" i="1"/>
  <c r="R3321" i="1"/>
  <c r="Q3321" i="1"/>
  <c r="P3321" i="1"/>
  <c r="O3321" i="1"/>
  <c r="N3321" i="1"/>
  <c r="J3321" i="1"/>
  <c r="I3321" i="1"/>
  <c r="H3321" i="1"/>
  <c r="G3321" i="1"/>
  <c r="F3321" i="1"/>
  <c r="E3321" i="1"/>
  <c r="D3321" i="1"/>
  <c r="C3321" i="1"/>
  <c r="V3320" i="1"/>
  <c r="R3320" i="1"/>
  <c r="Q3320" i="1"/>
  <c r="P3320" i="1"/>
  <c r="O3320" i="1"/>
  <c r="N3320" i="1"/>
  <c r="J3320" i="1"/>
  <c r="I3320" i="1"/>
  <c r="H3320" i="1"/>
  <c r="G3320" i="1"/>
  <c r="F3320" i="1"/>
  <c r="E3320" i="1"/>
  <c r="D3320" i="1"/>
  <c r="C3320" i="1"/>
  <c r="V3319" i="1"/>
  <c r="R3319" i="1"/>
  <c r="Q3319" i="1"/>
  <c r="P3319" i="1"/>
  <c r="O3319" i="1"/>
  <c r="N3319" i="1"/>
  <c r="J3319" i="1"/>
  <c r="I3319" i="1"/>
  <c r="H3319" i="1"/>
  <c r="G3319" i="1"/>
  <c r="F3319" i="1"/>
  <c r="E3319" i="1"/>
  <c r="D3319" i="1"/>
  <c r="C3319" i="1"/>
  <c r="V3318" i="1"/>
  <c r="R3318" i="1"/>
  <c r="Q3318" i="1"/>
  <c r="P3318" i="1"/>
  <c r="O3318" i="1"/>
  <c r="N3318" i="1"/>
  <c r="J3318" i="1"/>
  <c r="I3318" i="1"/>
  <c r="H3318" i="1"/>
  <c r="G3318" i="1"/>
  <c r="F3318" i="1"/>
  <c r="E3318" i="1"/>
  <c r="D3318" i="1"/>
  <c r="C3318" i="1"/>
  <c r="V3317" i="1"/>
  <c r="R3317" i="1"/>
  <c r="Q3317" i="1"/>
  <c r="P3317" i="1"/>
  <c r="O3317" i="1"/>
  <c r="N3317" i="1"/>
  <c r="J3317" i="1"/>
  <c r="I3317" i="1"/>
  <c r="H3317" i="1"/>
  <c r="G3317" i="1"/>
  <c r="F3317" i="1"/>
  <c r="E3317" i="1"/>
  <c r="D3317" i="1"/>
  <c r="C3317" i="1"/>
  <c r="V3316" i="1"/>
  <c r="R3316" i="1"/>
  <c r="Q3316" i="1"/>
  <c r="P3316" i="1"/>
  <c r="O3316" i="1"/>
  <c r="N3316" i="1"/>
  <c r="J3316" i="1"/>
  <c r="I3316" i="1"/>
  <c r="H3316" i="1"/>
  <c r="G3316" i="1"/>
  <c r="F3316" i="1"/>
  <c r="E3316" i="1"/>
  <c r="D3316" i="1"/>
  <c r="C3316" i="1"/>
  <c r="V3315" i="1"/>
  <c r="R3315" i="1"/>
  <c r="Q3315" i="1"/>
  <c r="P3315" i="1"/>
  <c r="O3315" i="1"/>
  <c r="N3315" i="1"/>
  <c r="J3315" i="1"/>
  <c r="I3315" i="1"/>
  <c r="H3315" i="1"/>
  <c r="G3315" i="1"/>
  <c r="F3315" i="1"/>
  <c r="E3315" i="1"/>
  <c r="D3315" i="1"/>
  <c r="C3315" i="1"/>
  <c r="V3314" i="1"/>
  <c r="R3314" i="1"/>
  <c r="Q3314" i="1"/>
  <c r="P3314" i="1"/>
  <c r="O3314" i="1"/>
  <c r="N3314" i="1"/>
  <c r="J3314" i="1"/>
  <c r="I3314" i="1"/>
  <c r="H3314" i="1"/>
  <c r="G3314" i="1"/>
  <c r="F3314" i="1"/>
  <c r="E3314" i="1"/>
  <c r="D3314" i="1"/>
  <c r="C3314" i="1"/>
  <c r="V3313" i="1"/>
  <c r="R3313" i="1"/>
  <c r="Q3313" i="1"/>
  <c r="P3313" i="1"/>
  <c r="O3313" i="1"/>
  <c r="N3313" i="1"/>
  <c r="J3313" i="1"/>
  <c r="I3313" i="1"/>
  <c r="H3313" i="1"/>
  <c r="G3313" i="1"/>
  <c r="F3313" i="1"/>
  <c r="E3313" i="1"/>
  <c r="D3313" i="1"/>
  <c r="C3313" i="1"/>
  <c r="V3312" i="1"/>
  <c r="R3312" i="1"/>
  <c r="Q3312" i="1"/>
  <c r="P3312" i="1"/>
  <c r="O3312" i="1"/>
  <c r="N3312" i="1"/>
  <c r="J3312" i="1"/>
  <c r="I3312" i="1"/>
  <c r="H3312" i="1"/>
  <c r="G3312" i="1"/>
  <c r="F3312" i="1"/>
  <c r="E3312" i="1"/>
  <c r="D3312" i="1"/>
  <c r="C3312" i="1"/>
  <c r="V3311" i="1"/>
  <c r="R3311" i="1"/>
  <c r="Q3311" i="1"/>
  <c r="P3311" i="1"/>
  <c r="O3311" i="1"/>
  <c r="N3311" i="1"/>
  <c r="J3311" i="1"/>
  <c r="I3311" i="1"/>
  <c r="H3311" i="1"/>
  <c r="G3311" i="1"/>
  <c r="F3311" i="1"/>
  <c r="E3311" i="1"/>
  <c r="D3311" i="1"/>
  <c r="C3311" i="1"/>
  <c r="V3310" i="1"/>
  <c r="R3310" i="1"/>
  <c r="Q3310" i="1"/>
  <c r="P3310" i="1"/>
  <c r="O3310" i="1"/>
  <c r="N3310" i="1"/>
  <c r="J3310" i="1"/>
  <c r="I3310" i="1"/>
  <c r="H3310" i="1"/>
  <c r="G3310" i="1"/>
  <c r="F3310" i="1"/>
  <c r="E3310" i="1"/>
  <c r="D3310" i="1"/>
  <c r="C3310" i="1"/>
  <c r="V3309" i="1"/>
  <c r="R3309" i="1"/>
  <c r="Q3309" i="1"/>
  <c r="P3309" i="1"/>
  <c r="O3309" i="1"/>
  <c r="N3309" i="1"/>
  <c r="J3309" i="1"/>
  <c r="I3309" i="1"/>
  <c r="H3309" i="1"/>
  <c r="G3309" i="1"/>
  <c r="F3309" i="1"/>
  <c r="E3309" i="1"/>
  <c r="D3309" i="1"/>
  <c r="C3309" i="1"/>
  <c r="V3308" i="1"/>
  <c r="R3308" i="1"/>
  <c r="Q3308" i="1"/>
  <c r="P3308" i="1"/>
  <c r="O3308" i="1"/>
  <c r="N3308" i="1"/>
  <c r="J3308" i="1"/>
  <c r="I3308" i="1"/>
  <c r="H3308" i="1"/>
  <c r="G3308" i="1"/>
  <c r="F3308" i="1"/>
  <c r="E3308" i="1"/>
  <c r="D3308" i="1"/>
  <c r="C3308" i="1"/>
  <c r="V3307" i="1"/>
  <c r="R3307" i="1"/>
  <c r="Q3307" i="1"/>
  <c r="P3307" i="1"/>
  <c r="O3307" i="1"/>
  <c r="N3307" i="1"/>
  <c r="J3307" i="1"/>
  <c r="I3307" i="1"/>
  <c r="H3307" i="1"/>
  <c r="G3307" i="1"/>
  <c r="F3307" i="1"/>
  <c r="E3307" i="1"/>
  <c r="D3307" i="1"/>
  <c r="C3307" i="1"/>
  <c r="V3306" i="1"/>
  <c r="R3306" i="1"/>
  <c r="Q3306" i="1"/>
  <c r="P3306" i="1"/>
  <c r="O3306" i="1"/>
  <c r="N3306" i="1"/>
  <c r="J3306" i="1"/>
  <c r="I3306" i="1"/>
  <c r="H3306" i="1"/>
  <c r="G3306" i="1"/>
  <c r="F3306" i="1"/>
  <c r="E3306" i="1"/>
  <c r="D3306" i="1"/>
  <c r="C3306" i="1"/>
  <c r="V3305" i="1"/>
  <c r="R3305" i="1"/>
  <c r="Q3305" i="1"/>
  <c r="P3305" i="1"/>
  <c r="O3305" i="1"/>
  <c r="N3305" i="1"/>
  <c r="J3305" i="1"/>
  <c r="I3305" i="1"/>
  <c r="H3305" i="1"/>
  <c r="G3305" i="1"/>
  <c r="F3305" i="1"/>
  <c r="E3305" i="1"/>
  <c r="D3305" i="1"/>
  <c r="C3305" i="1"/>
  <c r="V3304" i="1"/>
  <c r="R3304" i="1"/>
  <c r="Q3304" i="1"/>
  <c r="P3304" i="1"/>
  <c r="O3304" i="1"/>
  <c r="N3304" i="1"/>
  <c r="J3304" i="1"/>
  <c r="I3304" i="1"/>
  <c r="H3304" i="1"/>
  <c r="G3304" i="1"/>
  <c r="F3304" i="1"/>
  <c r="E3304" i="1"/>
  <c r="D3304" i="1"/>
  <c r="C3304" i="1"/>
  <c r="V3303" i="1"/>
  <c r="R3303" i="1"/>
  <c r="Q3303" i="1"/>
  <c r="P3303" i="1"/>
  <c r="O3303" i="1"/>
  <c r="N3303" i="1"/>
  <c r="J3303" i="1"/>
  <c r="I3303" i="1"/>
  <c r="H3303" i="1"/>
  <c r="G3303" i="1"/>
  <c r="F3303" i="1"/>
  <c r="E3303" i="1"/>
  <c r="D3303" i="1"/>
  <c r="C3303" i="1"/>
  <c r="V3302" i="1"/>
  <c r="R3302" i="1"/>
  <c r="Q3302" i="1"/>
  <c r="P3302" i="1"/>
  <c r="O3302" i="1"/>
  <c r="N3302" i="1"/>
  <c r="J3302" i="1"/>
  <c r="I3302" i="1"/>
  <c r="H3302" i="1"/>
  <c r="G3302" i="1"/>
  <c r="F3302" i="1"/>
  <c r="E3302" i="1"/>
  <c r="D3302" i="1"/>
  <c r="C3302" i="1"/>
  <c r="V3301" i="1"/>
  <c r="R3301" i="1"/>
  <c r="Q3301" i="1"/>
  <c r="P3301" i="1"/>
  <c r="O3301" i="1"/>
  <c r="N3301" i="1"/>
  <c r="J3301" i="1"/>
  <c r="I3301" i="1"/>
  <c r="H3301" i="1"/>
  <c r="G3301" i="1"/>
  <c r="F3301" i="1"/>
  <c r="E3301" i="1"/>
  <c r="D3301" i="1"/>
  <c r="C3301" i="1"/>
  <c r="V3300" i="1"/>
  <c r="R3300" i="1"/>
  <c r="Q3300" i="1"/>
  <c r="P3300" i="1"/>
  <c r="O3300" i="1"/>
  <c r="N3300" i="1"/>
  <c r="J3300" i="1"/>
  <c r="I3300" i="1"/>
  <c r="H3300" i="1"/>
  <c r="G3300" i="1"/>
  <c r="F3300" i="1"/>
  <c r="E3300" i="1"/>
  <c r="D3300" i="1"/>
  <c r="C3300" i="1"/>
  <c r="V3299" i="1"/>
  <c r="R3299" i="1"/>
  <c r="Q3299" i="1"/>
  <c r="P3299" i="1"/>
  <c r="O3299" i="1"/>
  <c r="N3299" i="1"/>
  <c r="J3299" i="1"/>
  <c r="I3299" i="1"/>
  <c r="H3299" i="1"/>
  <c r="G3299" i="1"/>
  <c r="F3299" i="1"/>
  <c r="E3299" i="1"/>
  <c r="D3299" i="1"/>
  <c r="C3299" i="1"/>
  <c r="V3298" i="1"/>
  <c r="R3298" i="1"/>
  <c r="Q3298" i="1"/>
  <c r="P3298" i="1"/>
  <c r="O3298" i="1"/>
  <c r="N3298" i="1"/>
  <c r="J3298" i="1"/>
  <c r="I3298" i="1"/>
  <c r="H3298" i="1"/>
  <c r="G3298" i="1"/>
  <c r="F3298" i="1"/>
  <c r="E3298" i="1"/>
  <c r="D3298" i="1"/>
  <c r="C3298" i="1"/>
  <c r="V3297" i="1"/>
  <c r="R3297" i="1"/>
  <c r="Q3297" i="1"/>
  <c r="P3297" i="1"/>
  <c r="O3297" i="1"/>
  <c r="N3297" i="1"/>
  <c r="J3297" i="1"/>
  <c r="I3297" i="1"/>
  <c r="H3297" i="1"/>
  <c r="G3297" i="1"/>
  <c r="F3297" i="1"/>
  <c r="E3297" i="1"/>
  <c r="D3297" i="1"/>
  <c r="C3297" i="1"/>
  <c r="V3296" i="1"/>
  <c r="R3296" i="1"/>
  <c r="Q3296" i="1"/>
  <c r="P3296" i="1"/>
  <c r="O3296" i="1"/>
  <c r="N3296" i="1"/>
  <c r="J3296" i="1"/>
  <c r="I3296" i="1"/>
  <c r="H3296" i="1"/>
  <c r="G3296" i="1"/>
  <c r="F3296" i="1"/>
  <c r="E3296" i="1"/>
  <c r="D3296" i="1"/>
  <c r="C3296" i="1"/>
  <c r="V3295" i="1"/>
  <c r="R3295" i="1"/>
  <c r="Q3295" i="1"/>
  <c r="P3295" i="1"/>
  <c r="O3295" i="1"/>
  <c r="N3295" i="1"/>
  <c r="J3295" i="1"/>
  <c r="I3295" i="1"/>
  <c r="H3295" i="1"/>
  <c r="G3295" i="1"/>
  <c r="F3295" i="1"/>
  <c r="E3295" i="1"/>
  <c r="D3295" i="1"/>
  <c r="C3295" i="1"/>
  <c r="V3294" i="1"/>
  <c r="R3294" i="1"/>
  <c r="Q3294" i="1"/>
  <c r="P3294" i="1"/>
  <c r="O3294" i="1"/>
  <c r="N3294" i="1"/>
  <c r="J3294" i="1"/>
  <c r="I3294" i="1"/>
  <c r="H3294" i="1"/>
  <c r="G3294" i="1"/>
  <c r="F3294" i="1"/>
  <c r="E3294" i="1"/>
  <c r="D3294" i="1"/>
  <c r="C3294" i="1"/>
  <c r="V3293" i="1"/>
  <c r="R3293" i="1"/>
  <c r="Q3293" i="1"/>
  <c r="P3293" i="1"/>
  <c r="O3293" i="1"/>
  <c r="N3293" i="1"/>
  <c r="J3293" i="1"/>
  <c r="I3293" i="1"/>
  <c r="H3293" i="1"/>
  <c r="G3293" i="1"/>
  <c r="F3293" i="1"/>
  <c r="E3293" i="1"/>
  <c r="D3293" i="1"/>
  <c r="C3293" i="1"/>
  <c r="V3292" i="1"/>
  <c r="R3292" i="1"/>
  <c r="Q3292" i="1"/>
  <c r="P3292" i="1"/>
  <c r="O3292" i="1"/>
  <c r="N3292" i="1"/>
  <c r="J3292" i="1"/>
  <c r="I3292" i="1"/>
  <c r="H3292" i="1"/>
  <c r="G3292" i="1"/>
  <c r="F3292" i="1"/>
  <c r="E3292" i="1"/>
  <c r="D3292" i="1"/>
  <c r="C3292" i="1"/>
  <c r="V3291" i="1"/>
  <c r="R3291" i="1"/>
  <c r="Q3291" i="1"/>
  <c r="P3291" i="1"/>
  <c r="O3291" i="1"/>
  <c r="N3291" i="1"/>
  <c r="J3291" i="1"/>
  <c r="I3291" i="1"/>
  <c r="H3291" i="1"/>
  <c r="G3291" i="1"/>
  <c r="F3291" i="1"/>
  <c r="E3291" i="1"/>
  <c r="D3291" i="1"/>
  <c r="C3291" i="1"/>
  <c r="V3290" i="1"/>
  <c r="R3290" i="1"/>
  <c r="Q3290" i="1"/>
  <c r="P3290" i="1"/>
  <c r="O3290" i="1"/>
  <c r="N3290" i="1"/>
  <c r="J3290" i="1"/>
  <c r="I3290" i="1"/>
  <c r="H3290" i="1"/>
  <c r="G3290" i="1"/>
  <c r="F3290" i="1"/>
  <c r="E3290" i="1"/>
  <c r="D3290" i="1"/>
  <c r="C3290" i="1"/>
  <c r="V3289" i="1"/>
  <c r="R3289" i="1"/>
  <c r="Q3289" i="1"/>
  <c r="P3289" i="1"/>
  <c r="O3289" i="1"/>
  <c r="N3289" i="1"/>
  <c r="J3289" i="1"/>
  <c r="I3289" i="1"/>
  <c r="H3289" i="1"/>
  <c r="G3289" i="1"/>
  <c r="F3289" i="1"/>
  <c r="E3289" i="1"/>
  <c r="D3289" i="1"/>
  <c r="C3289" i="1"/>
  <c r="V3288" i="1"/>
  <c r="R3288" i="1"/>
  <c r="Q3288" i="1"/>
  <c r="P3288" i="1"/>
  <c r="O3288" i="1"/>
  <c r="N3288" i="1"/>
  <c r="J3288" i="1"/>
  <c r="I3288" i="1"/>
  <c r="H3288" i="1"/>
  <c r="G3288" i="1"/>
  <c r="F3288" i="1"/>
  <c r="E3288" i="1"/>
  <c r="D3288" i="1"/>
  <c r="C3288" i="1"/>
  <c r="V3287" i="1"/>
  <c r="R3287" i="1"/>
  <c r="Q3287" i="1"/>
  <c r="P3287" i="1"/>
  <c r="O3287" i="1"/>
  <c r="N3287" i="1"/>
  <c r="J3287" i="1"/>
  <c r="I3287" i="1"/>
  <c r="H3287" i="1"/>
  <c r="G3287" i="1"/>
  <c r="F3287" i="1"/>
  <c r="E3287" i="1"/>
  <c r="D3287" i="1"/>
  <c r="C3287" i="1"/>
  <c r="V3286" i="1"/>
  <c r="R3286" i="1"/>
  <c r="Q3286" i="1"/>
  <c r="P3286" i="1"/>
  <c r="O3286" i="1"/>
  <c r="N3286" i="1"/>
  <c r="J3286" i="1"/>
  <c r="I3286" i="1"/>
  <c r="H3286" i="1"/>
  <c r="G3286" i="1"/>
  <c r="F3286" i="1"/>
  <c r="E3286" i="1"/>
  <c r="D3286" i="1"/>
  <c r="C3286" i="1"/>
  <c r="V3285" i="1"/>
  <c r="R3285" i="1"/>
  <c r="Q3285" i="1"/>
  <c r="P3285" i="1"/>
  <c r="O3285" i="1"/>
  <c r="N3285" i="1"/>
  <c r="J3285" i="1"/>
  <c r="I3285" i="1"/>
  <c r="H3285" i="1"/>
  <c r="G3285" i="1"/>
  <c r="F3285" i="1"/>
  <c r="E3285" i="1"/>
  <c r="D3285" i="1"/>
  <c r="C3285" i="1"/>
  <c r="V3284" i="1"/>
  <c r="R3284" i="1"/>
  <c r="Q3284" i="1"/>
  <c r="P3284" i="1"/>
  <c r="O3284" i="1"/>
  <c r="N3284" i="1"/>
  <c r="J3284" i="1"/>
  <c r="I3284" i="1"/>
  <c r="H3284" i="1"/>
  <c r="G3284" i="1"/>
  <c r="F3284" i="1"/>
  <c r="E3284" i="1"/>
  <c r="D3284" i="1"/>
  <c r="C3284" i="1"/>
  <c r="V3283" i="1"/>
  <c r="R3283" i="1"/>
  <c r="Q3283" i="1"/>
  <c r="P3283" i="1"/>
  <c r="O3283" i="1"/>
  <c r="N3283" i="1"/>
  <c r="J3283" i="1"/>
  <c r="I3283" i="1"/>
  <c r="H3283" i="1"/>
  <c r="G3283" i="1"/>
  <c r="F3283" i="1"/>
  <c r="E3283" i="1"/>
  <c r="D3283" i="1"/>
  <c r="C3283" i="1"/>
  <c r="V3282" i="1"/>
  <c r="R3282" i="1"/>
  <c r="Q3282" i="1"/>
  <c r="P3282" i="1"/>
  <c r="O3282" i="1"/>
  <c r="N3282" i="1"/>
  <c r="J3282" i="1"/>
  <c r="I3282" i="1"/>
  <c r="H3282" i="1"/>
  <c r="G3282" i="1"/>
  <c r="F3282" i="1"/>
  <c r="E3282" i="1"/>
  <c r="D3282" i="1"/>
  <c r="C3282" i="1"/>
  <c r="V3281" i="1"/>
  <c r="R3281" i="1"/>
  <c r="Q3281" i="1"/>
  <c r="P3281" i="1"/>
  <c r="O3281" i="1"/>
  <c r="N3281" i="1"/>
  <c r="J3281" i="1"/>
  <c r="I3281" i="1"/>
  <c r="H3281" i="1"/>
  <c r="G3281" i="1"/>
  <c r="F3281" i="1"/>
  <c r="E3281" i="1"/>
  <c r="D3281" i="1"/>
  <c r="C3281" i="1"/>
  <c r="V3280" i="1"/>
  <c r="R3280" i="1"/>
  <c r="Q3280" i="1"/>
  <c r="P3280" i="1"/>
  <c r="O3280" i="1"/>
  <c r="N3280" i="1"/>
  <c r="J3280" i="1"/>
  <c r="I3280" i="1"/>
  <c r="H3280" i="1"/>
  <c r="G3280" i="1"/>
  <c r="F3280" i="1"/>
  <c r="E3280" i="1"/>
  <c r="D3280" i="1"/>
  <c r="C3280" i="1"/>
  <c r="V3279" i="1"/>
  <c r="R3279" i="1"/>
  <c r="Q3279" i="1"/>
  <c r="P3279" i="1"/>
  <c r="O3279" i="1"/>
  <c r="N3279" i="1"/>
  <c r="J3279" i="1"/>
  <c r="I3279" i="1"/>
  <c r="H3279" i="1"/>
  <c r="G3279" i="1"/>
  <c r="F3279" i="1"/>
  <c r="E3279" i="1"/>
  <c r="D3279" i="1"/>
  <c r="C3279" i="1"/>
  <c r="V3278" i="1"/>
  <c r="R3278" i="1"/>
  <c r="Q3278" i="1"/>
  <c r="P3278" i="1"/>
  <c r="O3278" i="1"/>
  <c r="N3278" i="1"/>
  <c r="J3278" i="1"/>
  <c r="I3278" i="1"/>
  <c r="H3278" i="1"/>
  <c r="G3278" i="1"/>
  <c r="F3278" i="1"/>
  <c r="E3278" i="1"/>
  <c r="D3278" i="1"/>
  <c r="C3278" i="1"/>
  <c r="V3277" i="1"/>
  <c r="R3277" i="1"/>
  <c r="Q3277" i="1"/>
  <c r="P3277" i="1"/>
  <c r="O3277" i="1"/>
  <c r="N3277" i="1"/>
  <c r="J3277" i="1"/>
  <c r="I3277" i="1"/>
  <c r="H3277" i="1"/>
  <c r="G3277" i="1"/>
  <c r="F3277" i="1"/>
  <c r="E3277" i="1"/>
  <c r="D3277" i="1"/>
  <c r="C3277" i="1"/>
  <c r="V3276" i="1"/>
  <c r="R3276" i="1"/>
  <c r="Q3276" i="1"/>
  <c r="P3276" i="1"/>
  <c r="O3276" i="1"/>
  <c r="N3276" i="1"/>
  <c r="J3276" i="1"/>
  <c r="I3276" i="1"/>
  <c r="H3276" i="1"/>
  <c r="G3276" i="1"/>
  <c r="F3276" i="1"/>
  <c r="E3276" i="1"/>
  <c r="D3276" i="1"/>
  <c r="C3276" i="1"/>
  <c r="V3275" i="1"/>
  <c r="R3275" i="1"/>
  <c r="Q3275" i="1"/>
  <c r="P3275" i="1"/>
  <c r="O3275" i="1"/>
  <c r="N3275" i="1"/>
  <c r="J3275" i="1"/>
  <c r="I3275" i="1"/>
  <c r="H3275" i="1"/>
  <c r="G3275" i="1"/>
  <c r="F3275" i="1"/>
  <c r="E3275" i="1"/>
  <c r="D3275" i="1"/>
  <c r="C3275" i="1"/>
  <c r="V3274" i="1"/>
  <c r="R3274" i="1"/>
  <c r="Q3274" i="1"/>
  <c r="P3274" i="1"/>
  <c r="O3274" i="1"/>
  <c r="N3274" i="1"/>
  <c r="J3274" i="1"/>
  <c r="I3274" i="1"/>
  <c r="H3274" i="1"/>
  <c r="G3274" i="1"/>
  <c r="F3274" i="1"/>
  <c r="E3274" i="1"/>
  <c r="D3274" i="1"/>
  <c r="C3274" i="1"/>
  <c r="V3273" i="1"/>
  <c r="R3273" i="1"/>
  <c r="Q3273" i="1"/>
  <c r="P3273" i="1"/>
  <c r="O3273" i="1"/>
  <c r="N3273" i="1"/>
  <c r="J3273" i="1"/>
  <c r="I3273" i="1"/>
  <c r="H3273" i="1"/>
  <c r="G3273" i="1"/>
  <c r="F3273" i="1"/>
  <c r="E3273" i="1"/>
  <c r="D3273" i="1"/>
  <c r="C3273" i="1"/>
  <c r="V3272" i="1"/>
  <c r="R3272" i="1"/>
  <c r="Q3272" i="1"/>
  <c r="P3272" i="1"/>
  <c r="O3272" i="1"/>
  <c r="N3272" i="1"/>
  <c r="J3272" i="1"/>
  <c r="I3272" i="1"/>
  <c r="H3272" i="1"/>
  <c r="G3272" i="1"/>
  <c r="F3272" i="1"/>
  <c r="E3272" i="1"/>
  <c r="D3272" i="1"/>
  <c r="C3272" i="1"/>
  <c r="V3271" i="1"/>
  <c r="R3271" i="1"/>
  <c r="Q3271" i="1"/>
  <c r="P3271" i="1"/>
  <c r="O3271" i="1"/>
  <c r="N3271" i="1"/>
  <c r="J3271" i="1"/>
  <c r="I3271" i="1"/>
  <c r="H3271" i="1"/>
  <c r="G3271" i="1"/>
  <c r="F3271" i="1"/>
  <c r="E3271" i="1"/>
  <c r="D3271" i="1"/>
  <c r="C3271" i="1"/>
  <c r="V3270" i="1"/>
  <c r="R3270" i="1"/>
  <c r="Q3270" i="1"/>
  <c r="P3270" i="1"/>
  <c r="O3270" i="1"/>
  <c r="N3270" i="1"/>
  <c r="J3270" i="1"/>
  <c r="I3270" i="1"/>
  <c r="H3270" i="1"/>
  <c r="G3270" i="1"/>
  <c r="F3270" i="1"/>
  <c r="E3270" i="1"/>
  <c r="D3270" i="1"/>
  <c r="C3270" i="1"/>
  <c r="V3269" i="1"/>
  <c r="R3269" i="1"/>
  <c r="Q3269" i="1"/>
  <c r="P3269" i="1"/>
  <c r="O3269" i="1"/>
  <c r="N3269" i="1"/>
  <c r="J3269" i="1"/>
  <c r="I3269" i="1"/>
  <c r="H3269" i="1"/>
  <c r="G3269" i="1"/>
  <c r="F3269" i="1"/>
  <c r="E3269" i="1"/>
  <c r="D3269" i="1"/>
  <c r="C3269" i="1"/>
  <c r="V3268" i="1"/>
  <c r="R3268" i="1"/>
  <c r="Q3268" i="1"/>
  <c r="P3268" i="1"/>
  <c r="O3268" i="1"/>
  <c r="N3268" i="1"/>
  <c r="J3268" i="1"/>
  <c r="I3268" i="1"/>
  <c r="H3268" i="1"/>
  <c r="G3268" i="1"/>
  <c r="F3268" i="1"/>
  <c r="E3268" i="1"/>
  <c r="D3268" i="1"/>
  <c r="C3268" i="1"/>
  <c r="V3267" i="1"/>
  <c r="R3267" i="1"/>
  <c r="Q3267" i="1"/>
  <c r="P3267" i="1"/>
  <c r="O3267" i="1"/>
  <c r="N3267" i="1"/>
  <c r="J3267" i="1"/>
  <c r="I3267" i="1"/>
  <c r="H3267" i="1"/>
  <c r="G3267" i="1"/>
  <c r="F3267" i="1"/>
  <c r="E3267" i="1"/>
  <c r="D3267" i="1"/>
  <c r="C3267" i="1"/>
  <c r="V3266" i="1"/>
  <c r="R3266" i="1"/>
  <c r="Q3266" i="1"/>
  <c r="P3266" i="1"/>
  <c r="O3266" i="1"/>
  <c r="N3266" i="1"/>
  <c r="J3266" i="1"/>
  <c r="I3266" i="1"/>
  <c r="H3266" i="1"/>
  <c r="G3266" i="1"/>
  <c r="F3266" i="1"/>
  <c r="E3266" i="1"/>
  <c r="D3266" i="1"/>
  <c r="C3266" i="1"/>
  <c r="V3265" i="1"/>
  <c r="R3265" i="1"/>
  <c r="Q3265" i="1"/>
  <c r="P3265" i="1"/>
  <c r="O3265" i="1"/>
  <c r="N3265" i="1"/>
  <c r="J3265" i="1"/>
  <c r="I3265" i="1"/>
  <c r="H3265" i="1"/>
  <c r="G3265" i="1"/>
  <c r="F3265" i="1"/>
  <c r="E3265" i="1"/>
  <c r="D3265" i="1"/>
  <c r="C3265" i="1"/>
  <c r="V3264" i="1"/>
  <c r="R3264" i="1"/>
  <c r="Q3264" i="1"/>
  <c r="P3264" i="1"/>
  <c r="O3264" i="1"/>
  <c r="N3264" i="1"/>
  <c r="J3264" i="1"/>
  <c r="I3264" i="1"/>
  <c r="H3264" i="1"/>
  <c r="G3264" i="1"/>
  <c r="F3264" i="1"/>
  <c r="E3264" i="1"/>
  <c r="D3264" i="1"/>
  <c r="C3264" i="1"/>
  <c r="V3263" i="1"/>
  <c r="R3263" i="1"/>
  <c r="Q3263" i="1"/>
  <c r="P3263" i="1"/>
  <c r="O3263" i="1"/>
  <c r="N3263" i="1"/>
  <c r="J3263" i="1"/>
  <c r="I3263" i="1"/>
  <c r="H3263" i="1"/>
  <c r="G3263" i="1"/>
  <c r="F3263" i="1"/>
  <c r="E3263" i="1"/>
  <c r="D3263" i="1"/>
  <c r="C3263" i="1"/>
  <c r="V3262" i="1"/>
  <c r="R3262" i="1"/>
  <c r="Q3262" i="1"/>
  <c r="P3262" i="1"/>
  <c r="O3262" i="1"/>
  <c r="N3262" i="1"/>
  <c r="J3262" i="1"/>
  <c r="I3262" i="1"/>
  <c r="H3262" i="1"/>
  <c r="G3262" i="1"/>
  <c r="F3262" i="1"/>
  <c r="E3262" i="1"/>
  <c r="D3262" i="1"/>
  <c r="C3262" i="1"/>
  <c r="V3261" i="1"/>
  <c r="R3261" i="1"/>
  <c r="Q3261" i="1"/>
  <c r="P3261" i="1"/>
  <c r="O3261" i="1"/>
  <c r="N3261" i="1"/>
  <c r="J3261" i="1"/>
  <c r="I3261" i="1"/>
  <c r="H3261" i="1"/>
  <c r="G3261" i="1"/>
  <c r="F3261" i="1"/>
  <c r="E3261" i="1"/>
  <c r="D3261" i="1"/>
  <c r="C3261" i="1"/>
  <c r="V3260" i="1"/>
  <c r="R3260" i="1"/>
  <c r="Q3260" i="1"/>
  <c r="P3260" i="1"/>
  <c r="O3260" i="1"/>
  <c r="N3260" i="1"/>
  <c r="J3260" i="1"/>
  <c r="I3260" i="1"/>
  <c r="H3260" i="1"/>
  <c r="G3260" i="1"/>
  <c r="F3260" i="1"/>
  <c r="E3260" i="1"/>
  <c r="D3260" i="1"/>
  <c r="C3260" i="1"/>
  <c r="V3259" i="1"/>
  <c r="R3259" i="1"/>
  <c r="Q3259" i="1"/>
  <c r="P3259" i="1"/>
  <c r="O3259" i="1"/>
  <c r="N3259" i="1"/>
  <c r="J3259" i="1"/>
  <c r="I3259" i="1"/>
  <c r="H3259" i="1"/>
  <c r="G3259" i="1"/>
  <c r="F3259" i="1"/>
  <c r="E3259" i="1"/>
  <c r="D3259" i="1"/>
  <c r="C3259" i="1"/>
  <c r="V3258" i="1"/>
  <c r="R3258" i="1"/>
  <c r="Q3258" i="1"/>
  <c r="P3258" i="1"/>
  <c r="O3258" i="1"/>
  <c r="N3258" i="1"/>
  <c r="J3258" i="1"/>
  <c r="I3258" i="1"/>
  <c r="H3258" i="1"/>
  <c r="G3258" i="1"/>
  <c r="F3258" i="1"/>
  <c r="E3258" i="1"/>
  <c r="D3258" i="1"/>
  <c r="C3258" i="1"/>
  <c r="V3257" i="1"/>
  <c r="R3257" i="1"/>
  <c r="Q3257" i="1"/>
  <c r="P3257" i="1"/>
  <c r="O3257" i="1"/>
  <c r="N3257" i="1"/>
  <c r="J3257" i="1"/>
  <c r="I3257" i="1"/>
  <c r="H3257" i="1"/>
  <c r="G3257" i="1"/>
  <c r="F3257" i="1"/>
  <c r="E3257" i="1"/>
  <c r="D3257" i="1"/>
  <c r="C3257" i="1"/>
  <c r="V3256" i="1"/>
  <c r="R3256" i="1"/>
  <c r="Q3256" i="1"/>
  <c r="P3256" i="1"/>
  <c r="O3256" i="1"/>
  <c r="N3256" i="1"/>
  <c r="J3256" i="1"/>
  <c r="I3256" i="1"/>
  <c r="H3256" i="1"/>
  <c r="G3256" i="1"/>
  <c r="F3256" i="1"/>
  <c r="E3256" i="1"/>
  <c r="D3256" i="1"/>
  <c r="C3256" i="1"/>
  <c r="V3255" i="1"/>
  <c r="R3255" i="1"/>
  <c r="Q3255" i="1"/>
  <c r="P3255" i="1"/>
  <c r="O3255" i="1"/>
  <c r="N3255" i="1"/>
  <c r="J3255" i="1"/>
  <c r="I3255" i="1"/>
  <c r="H3255" i="1"/>
  <c r="G3255" i="1"/>
  <c r="F3255" i="1"/>
  <c r="E3255" i="1"/>
  <c r="D3255" i="1"/>
  <c r="C3255" i="1"/>
  <c r="V3254" i="1"/>
  <c r="R3254" i="1"/>
  <c r="Q3254" i="1"/>
  <c r="P3254" i="1"/>
  <c r="O3254" i="1"/>
  <c r="N3254" i="1"/>
  <c r="J3254" i="1"/>
  <c r="I3254" i="1"/>
  <c r="H3254" i="1"/>
  <c r="G3254" i="1"/>
  <c r="F3254" i="1"/>
  <c r="E3254" i="1"/>
  <c r="D3254" i="1"/>
  <c r="C3254" i="1"/>
  <c r="V3253" i="1"/>
  <c r="R3253" i="1"/>
  <c r="Q3253" i="1"/>
  <c r="P3253" i="1"/>
  <c r="O3253" i="1"/>
  <c r="N3253" i="1"/>
  <c r="J3253" i="1"/>
  <c r="I3253" i="1"/>
  <c r="H3253" i="1"/>
  <c r="G3253" i="1"/>
  <c r="F3253" i="1"/>
  <c r="E3253" i="1"/>
  <c r="D3253" i="1"/>
  <c r="C3253" i="1"/>
  <c r="V3252" i="1"/>
  <c r="R3252" i="1"/>
  <c r="Q3252" i="1"/>
  <c r="P3252" i="1"/>
  <c r="O3252" i="1"/>
  <c r="N3252" i="1"/>
  <c r="J3252" i="1"/>
  <c r="I3252" i="1"/>
  <c r="H3252" i="1"/>
  <c r="G3252" i="1"/>
  <c r="F3252" i="1"/>
  <c r="E3252" i="1"/>
  <c r="D3252" i="1"/>
  <c r="C3252" i="1"/>
  <c r="V3251" i="1"/>
  <c r="R3251" i="1"/>
  <c r="Q3251" i="1"/>
  <c r="P3251" i="1"/>
  <c r="O3251" i="1"/>
  <c r="N3251" i="1"/>
  <c r="J3251" i="1"/>
  <c r="I3251" i="1"/>
  <c r="H3251" i="1"/>
  <c r="G3251" i="1"/>
  <c r="F3251" i="1"/>
  <c r="E3251" i="1"/>
  <c r="D3251" i="1"/>
  <c r="C3251" i="1"/>
  <c r="V3250" i="1"/>
  <c r="R3250" i="1"/>
  <c r="Q3250" i="1"/>
  <c r="P3250" i="1"/>
  <c r="O3250" i="1"/>
  <c r="N3250" i="1"/>
  <c r="J3250" i="1"/>
  <c r="I3250" i="1"/>
  <c r="H3250" i="1"/>
  <c r="G3250" i="1"/>
  <c r="F3250" i="1"/>
  <c r="E3250" i="1"/>
  <c r="D3250" i="1"/>
  <c r="C3250" i="1"/>
  <c r="V3249" i="1"/>
  <c r="R3249" i="1"/>
  <c r="Q3249" i="1"/>
  <c r="P3249" i="1"/>
  <c r="O3249" i="1"/>
  <c r="N3249" i="1"/>
  <c r="J3249" i="1"/>
  <c r="I3249" i="1"/>
  <c r="H3249" i="1"/>
  <c r="G3249" i="1"/>
  <c r="F3249" i="1"/>
  <c r="E3249" i="1"/>
  <c r="D3249" i="1"/>
  <c r="C3249" i="1"/>
  <c r="V3248" i="1"/>
  <c r="R3248" i="1"/>
  <c r="Q3248" i="1"/>
  <c r="P3248" i="1"/>
  <c r="O3248" i="1"/>
  <c r="N3248" i="1"/>
  <c r="J3248" i="1"/>
  <c r="I3248" i="1"/>
  <c r="H3248" i="1"/>
  <c r="G3248" i="1"/>
  <c r="F3248" i="1"/>
  <c r="E3248" i="1"/>
  <c r="D3248" i="1"/>
  <c r="C3248" i="1"/>
  <c r="V3247" i="1"/>
  <c r="R3247" i="1"/>
  <c r="Q3247" i="1"/>
  <c r="P3247" i="1"/>
  <c r="O3247" i="1"/>
  <c r="N3247" i="1"/>
  <c r="J3247" i="1"/>
  <c r="I3247" i="1"/>
  <c r="H3247" i="1"/>
  <c r="G3247" i="1"/>
  <c r="F3247" i="1"/>
  <c r="E3247" i="1"/>
  <c r="D3247" i="1"/>
  <c r="C3247" i="1"/>
  <c r="V3246" i="1"/>
  <c r="R3246" i="1"/>
  <c r="Q3246" i="1"/>
  <c r="P3246" i="1"/>
  <c r="O3246" i="1"/>
  <c r="N3246" i="1"/>
  <c r="J3246" i="1"/>
  <c r="I3246" i="1"/>
  <c r="H3246" i="1"/>
  <c r="G3246" i="1"/>
  <c r="F3246" i="1"/>
  <c r="E3246" i="1"/>
  <c r="D3246" i="1"/>
  <c r="C3246" i="1"/>
  <c r="V3245" i="1"/>
  <c r="R3245" i="1"/>
  <c r="Q3245" i="1"/>
  <c r="P3245" i="1"/>
  <c r="O3245" i="1"/>
  <c r="N3245" i="1"/>
  <c r="J3245" i="1"/>
  <c r="I3245" i="1"/>
  <c r="H3245" i="1"/>
  <c r="G3245" i="1"/>
  <c r="F3245" i="1"/>
  <c r="E3245" i="1"/>
  <c r="D3245" i="1"/>
  <c r="C3245" i="1"/>
  <c r="V3244" i="1"/>
  <c r="R3244" i="1"/>
  <c r="Q3244" i="1"/>
  <c r="P3244" i="1"/>
  <c r="O3244" i="1"/>
  <c r="N3244" i="1"/>
  <c r="J3244" i="1"/>
  <c r="I3244" i="1"/>
  <c r="H3244" i="1"/>
  <c r="G3244" i="1"/>
  <c r="F3244" i="1"/>
  <c r="E3244" i="1"/>
  <c r="D3244" i="1"/>
  <c r="C3244" i="1"/>
  <c r="V3243" i="1"/>
  <c r="R3243" i="1"/>
  <c r="Q3243" i="1"/>
  <c r="P3243" i="1"/>
  <c r="O3243" i="1"/>
  <c r="N3243" i="1"/>
  <c r="J3243" i="1"/>
  <c r="I3243" i="1"/>
  <c r="H3243" i="1"/>
  <c r="G3243" i="1"/>
  <c r="F3243" i="1"/>
  <c r="E3243" i="1"/>
  <c r="D3243" i="1"/>
  <c r="C3243" i="1"/>
  <c r="V3242" i="1"/>
  <c r="R3242" i="1"/>
  <c r="Q3242" i="1"/>
  <c r="P3242" i="1"/>
  <c r="O3242" i="1"/>
  <c r="N3242" i="1"/>
  <c r="J3242" i="1"/>
  <c r="I3242" i="1"/>
  <c r="H3242" i="1"/>
  <c r="G3242" i="1"/>
  <c r="F3242" i="1"/>
  <c r="E3242" i="1"/>
  <c r="D3242" i="1"/>
  <c r="C3242" i="1"/>
  <c r="V3241" i="1"/>
  <c r="R3241" i="1"/>
  <c r="Q3241" i="1"/>
  <c r="P3241" i="1"/>
  <c r="O3241" i="1"/>
  <c r="N3241" i="1"/>
  <c r="J3241" i="1"/>
  <c r="I3241" i="1"/>
  <c r="H3241" i="1"/>
  <c r="G3241" i="1"/>
  <c r="F3241" i="1"/>
  <c r="E3241" i="1"/>
  <c r="D3241" i="1"/>
  <c r="C3241" i="1"/>
  <c r="V3240" i="1"/>
  <c r="R3240" i="1"/>
  <c r="Q3240" i="1"/>
  <c r="P3240" i="1"/>
  <c r="O3240" i="1"/>
  <c r="N3240" i="1"/>
  <c r="J3240" i="1"/>
  <c r="I3240" i="1"/>
  <c r="H3240" i="1"/>
  <c r="G3240" i="1"/>
  <c r="F3240" i="1"/>
  <c r="E3240" i="1"/>
  <c r="D3240" i="1"/>
  <c r="C3240" i="1"/>
  <c r="V3239" i="1"/>
  <c r="R3239" i="1"/>
  <c r="Q3239" i="1"/>
  <c r="P3239" i="1"/>
  <c r="O3239" i="1"/>
  <c r="N3239" i="1"/>
  <c r="J3239" i="1"/>
  <c r="I3239" i="1"/>
  <c r="H3239" i="1"/>
  <c r="G3239" i="1"/>
  <c r="F3239" i="1"/>
  <c r="E3239" i="1"/>
  <c r="D3239" i="1"/>
  <c r="C3239" i="1"/>
  <c r="V3238" i="1"/>
  <c r="R3238" i="1"/>
  <c r="Q3238" i="1"/>
  <c r="P3238" i="1"/>
  <c r="O3238" i="1"/>
  <c r="N3238" i="1"/>
  <c r="J3238" i="1"/>
  <c r="I3238" i="1"/>
  <c r="H3238" i="1"/>
  <c r="G3238" i="1"/>
  <c r="F3238" i="1"/>
  <c r="E3238" i="1"/>
  <c r="D3238" i="1"/>
  <c r="C3238" i="1"/>
  <c r="V3237" i="1"/>
  <c r="R3237" i="1"/>
  <c r="Q3237" i="1"/>
  <c r="P3237" i="1"/>
  <c r="O3237" i="1"/>
  <c r="N3237" i="1"/>
  <c r="J3237" i="1"/>
  <c r="I3237" i="1"/>
  <c r="H3237" i="1"/>
  <c r="G3237" i="1"/>
  <c r="F3237" i="1"/>
  <c r="E3237" i="1"/>
  <c r="D3237" i="1"/>
  <c r="C3237" i="1"/>
  <c r="V3236" i="1"/>
  <c r="R3236" i="1"/>
  <c r="Q3236" i="1"/>
  <c r="P3236" i="1"/>
  <c r="O3236" i="1"/>
  <c r="N3236" i="1"/>
  <c r="J3236" i="1"/>
  <c r="I3236" i="1"/>
  <c r="H3236" i="1"/>
  <c r="G3236" i="1"/>
  <c r="F3236" i="1"/>
  <c r="E3236" i="1"/>
  <c r="D3236" i="1"/>
  <c r="C3236" i="1"/>
  <c r="V3235" i="1"/>
  <c r="R3235" i="1"/>
  <c r="Q3235" i="1"/>
  <c r="P3235" i="1"/>
  <c r="O3235" i="1"/>
  <c r="N3235" i="1"/>
  <c r="J3235" i="1"/>
  <c r="I3235" i="1"/>
  <c r="H3235" i="1"/>
  <c r="G3235" i="1"/>
  <c r="F3235" i="1"/>
  <c r="E3235" i="1"/>
  <c r="D3235" i="1"/>
  <c r="C3235" i="1"/>
  <c r="V3234" i="1"/>
  <c r="R3234" i="1"/>
  <c r="Q3234" i="1"/>
  <c r="P3234" i="1"/>
  <c r="O3234" i="1"/>
  <c r="N3234" i="1"/>
  <c r="J3234" i="1"/>
  <c r="I3234" i="1"/>
  <c r="H3234" i="1"/>
  <c r="G3234" i="1"/>
  <c r="F3234" i="1"/>
  <c r="E3234" i="1"/>
  <c r="D3234" i="1"/>
  <c r="C3234" i="1"/>
  <c r="V3233" i="1"/>
  <c r="R3233" i="1"/>
  <c r="Q3233" i="1"/>
  <c r="P3233" i="1"/>
  <c r="O3233" i="1"/>
  <c r="N3233" i="1"/>
  <c r="J3233" i="1"/>
  <c r="I3233" i="1"/>
  <c r="H3233" i="1"/>
  <c r="G3233" i="1"/>
  <c r="F3233" i="1"/>
  <c r="E3233" i="1"/>
  <c r="D3233" i="1"/>
  <c r="C3233" i="1"/>
  <c r="V3232" i="1"/>
  <c r="R3232" i="1"/>
  <c r="Q3232" i="1"/>
  <c r="P3232" i="1"/>
  <c r="O3232" i="1"/>
  <c r="N3232" i="1"/>
  <c r="J3232" i="1"/>
  <c r="I3232" i="1"/>
  <c r="H3232" i="1"/>
  <c r="G3232" i="1"/>
  <c r="F3232" i="1"/>
  <c r="E3232" i="1"/>
  <c r="D3232" i="1"/>
  <c r="C3232" i="1"/>
  <c r="V3231" i="1"/>
  <c r="R3231" i="1"/>
  <c r="Q3231" i="1"/>
  <c r="P3231" i="1"/>
  <c r="O3231" i="1"/>
  <c r="N3231" i="1"/>
  <c r="J3231" i="1"/>
  <c r="I3231" i="1"/>
  <c r="H3231" i="1"/>
  <c r="G3231" i="1"/>
  <c r="F3231" i="1"/>
  <c r="E3231" i="1"/>
  <c r="D3231" i="1"/>
  <c r="C3231" i="1"/>
  <c r="V3230" i="1"/>
  <c r="R3230" i="1"/>
  <c r="Q3230" i="1"/>
  <c r="P3230" i="1"/>
  <c r="O3230" i="1"/>
  <c r="N3230" i="1"/>
  <c r="J3230" i="1"/>
  <c r="I3230" i="1"/>
  <c r="H3230" i="1"/>
  <c r="G3230" i="1"/>
  <c r="F3230" i="1"/>
  <c r="E3230" i="1"/>
  <c r="D3230" i="1"/>
  <c r="C3230" i="1"/>
  <c r="V3229" i="1"/>
  <c r="R3229" i="1"/>
  <c r="Q3229" i="1"/>
  <c r="P3229" i="1"/>
  <c r="O3229" i="1"/>
  <c r="N3229" i="1"/>
  <c r="J3229" i="1"/>
  <c r="I3229" i="1"/>
  <c r="H3229" i="1"/>
  <c r="G3229" i="1"/>
  <c r="F3229" i="1"/>
  <c r="E3229" i="1"/>
  <c r="D3229" i="1"/>
  <c r="C3229" i="1"/>
  <c r="V3228" i="1"/>
  <c r="R3228" i="1"/>
  <c r="Q3228" i="1"/>
  <c r="P3228" i="1"/>
  <c r="O3228" i="1"/>
  <c r="N3228" i="1"/>
  <c r="J3228" i="1"/>
  <c r="I3228" i="1"/>
  <c r="H3228" i="1"/>
  <c r="G3228" i="1"/>
  <c r="F3228" i="1"/>
  <c r="E3228" i="1"/>
  <c r="D3228" i="1"/>
  <c r="C3228" i="1"/>
  <c r="V3227" i="1"/>
  <c r="R3227" i="1"/>
  <c r="Q3227" i="1"/>
  <c r="P3227" i="1"/>
  <c r="O3227" i="1"/>
  <c r="N3227" i="1"/>
  <c r="J3227" i="1"/>
  <c r="I3227" i="1"/>
  <c r="H3227" i="1"/>
  <c r="G3227" i="1"/>
  <c r="F3227" i="1"/>
  <c r="E3227" i="1"/>
  <c r="D3227" i="1"/>
  <c r="C3227" i="1"/>
  <c r="V3226" i="1"/>
  <c r="R3226" i="1"/>
  <c r="Q3226" i="1"/>
  <c r="P3226" i="1"/>
  <c r="O3226" i="1"/>
  <c r="N3226" i="1"/>
  <c r="J3226" i="1"/>
  <c r="I3226" i="1"/>
  <c r="H3226" i="1"/>
  <c r="G3226" i="1"/>
  <c r="F3226" i="1"/>
  <c r="E3226" i="1"/>
  <c r="D3226" i="1"/>
  <c r="C3226" i="1"/>
  <c r="V3225" i="1"/>
  <c r="R3225" i="1"/>
  <c r="Q3225" i="1"/>
  <c r="P3225" i="1"/>
  <c r="O3225" i="1"/>
  <c r="N3225" i="1"/>
  <c r="J3225" i="1"/>
  <c r="I3225" i="1"/>
  <c r="H3225" i="1"/>
  <c r="G3225" i="1"/>
  <c r="F3225" i="1"/>
  <c r="E3225" i="1"/>
  <c r="D3225" i="1"/>
  <c r="C3225" i="1"/>
  <c r="V3224" i="1"/>
  <c r="R3224" i="1"/>
  <c r="Q3224" i="1"/>
  <c r="P3224" i="1"/>
  <c r="O3224" i="1"/>
  <c r="N3224" i="1"/>
  <c r="J3224" i="1"/>
  <c r="I3224" i="1"/>
  <c r="H3224" i="1"/>
  <c r="G3224" i="1"/>
  <c r="F3224" i="1"/>
  <c r="E3224" i="1"/>
  <c r="D3224" i="1"/>
  <c r="C3224" i="1"/>
  <c r="V3223" i="1"/>
  <c r="R3223" i="1"/>
  <c r="Q3223" i="1"/>
  <c r="P3223" i="1"/>
  <c r="O3223" i="1"/>
  <c r="N3223" i="1"/>
  <c r="J3223" i="1"/>
  <c r="I3223" i="1"/>
  <c r="H3223" i="1"/>
  <c r="G3223" i="1"/>
  <c r="F3223" i="1"/>
  <c r="E3223" i="1"/>
  <c r="D3223" i="1"/>
  <c r="C3223" i="1"/>
  <c r="V3222" i="1"/>
  <c r="R3222" i="1"/>
  <c r="Q3222" i="1"/>
  <c r="P3222" i="1"/>
  <c r="O3222" i="1"/>
  <c r="N3222" i="1"/>
  <c r="J3222" i="1"/>
  <c r="I3222" i="1"/>
  <c r="H3222" i="1"/>
  <c r="G3222" i="1"/>
  <c r="F3222" i="1"/>
  <c r="E3222" i="1"/>
  <c r="D3222" i="1"/>
  <c r="C3222" i="1"/>
  <c r="V3221" i="1"/>
  <c r="R3221" i="1"/>
  <c r="Q3221" i="1"/>
  <c r="P3221" i="1"/>
  <c r="O3221" i="1"/>
  <c r="N3221" i="1"/>
  <c r="J3221" i="1"/>
  <c r="I3221" i="1"/>
  <c r="H3221" i="1"/>
  <c r="G3221" i="1"/>
  <c r="F3221" i="1"/>
  <c r="E3221" i="1"/>
  <c r="D3221" i="1"/>
  <c r="C3221" i="1"/>
  <c r="V3220" i="1"/>
  <c r="R3220" i="1"/>
  <c r="Q3220" i="1"/>
  <c r="P3220" i="1"/>
  <c r="O3220" i="1"/>
  <c r="N3220" i="1"/>
  <c r="J3220" i="1"/>
  <c r="I3220" i="1"/>
  <c r="H3220" i="1"/>
  <c r="G3220" i="1"/>
  <c r="F3220" i="1"/>
  <c r="E3220" i="1"/>
  <c r="D3220" i="1"/>
  <c r="C3220" i="1"/>
  <c r="V3219" i="1"/>
  <c r="R3219" i="1"/>
  <c r="Q3219" i="1"/>
  <c r="P3219" i="1"/>
  <c r="O3219" i="1"/>
  <c r="N3219" i="1"/>
  <c r="J3219" i="1"/>
  <c r="I3219" i="1"/>
  <c r="H3219" i="1"/>
  <c r="G3219" i="1"/>
  <c r="F3219" i="1"/>
  <c r="E3219" i="1"/>
  <c r="D3219" i="1"/>
  <c r="C3219" i="1"/>
  <c r="V3218" i="1"/>
  <c r="R3218" i="1"/>
  <c r="Q3218" i="1"/>
  <c r="P3218" i="1"/>
  <c r="O3218" i="1"/>
  <c r="N3218" i="1"/>
  <c r="J3218" i="1"/>
  <c r="I3218" i="1"/>
  <c r="H3218" i="1"/>
  <c r="G3218" i="1"/>
  <c r="F3218" i="1"/>
  <c r="E3218" i="1"/>
  <c r="D3218" i="1"/>
  <c r="C3218" i="1"/>
  <c r="V3217" i="1"/>
  <c r="R3217" i="1"/>
  <c r="Q3217" i="1"/>
  <c r="P3217" i="1"/>
  <c r="O3217" i="1"/>
  <c r="N3217" i="1"/>
  <c r="J3217" i="1"/>
  <c r="I3217" i="1"/>
  <c r="H3217" i="1"/>
  <c r="G3217" i="1"/>
  <c r="F3217" i="1"/>
  <c r="E3217" i="1"/>
  <c r="D3217" i="1"/>
  <c r="C3217" i="1"/>
  <c r="V3216" i="1"/>
  <c r="R3216" i="1"/>
  <c r="Q3216" i="1"/>
  <c r="P3216" i="1"/>
  <c r="O3216" i="1"/>
  <c r="N3216" i="1"/>
  <c r="J3216" i="1"/>
  <c r="I3216" i="1"/>
  <c r="H3216" i="1"/>
  <c r="G3216" i="1"/>
  <c r="F3216" i="1"/>
  <c r="E3216" i="1"/>
  <c r="D3216" i="1"/>
  <c r="C3216" i="1"/>
  <c r="V3215" i="1"/>
  <c r="R3215" i="1"/>
  <c r="Q3215" i="1"/>
  <c r="P3215" i="1"/>
  <c r="O3215" i="1"/>
  <c r="N3215" i="1"/>
  <c r="J3215" i="1"/>
  <c r="I3215" i="1"/>
  <c r="H3215" i="1"/>
  <c r="G3215" i="1"/>
  <c r="F3215" i="1"/>
  <c r="E3215" i="1"/>
  <c r="D3215" i="1"/>
  <c r="C3215" i="1"/>
  <c r="V3214" i="1"/>
  <c r="R3214" i="1"/>
  <c r="Q3214" i="1"/>
  <c r="P3214" i="1"/>
  <c r="O3214" i="1"/>
  <c r="N3214" i="1"/>
  <c r="J3214" i="1"/>
  <c r="I3214" i="1"/>
  <c r="H3214" i="1"/>
  <c r="G3214" i="1"/>
  <c r="F3214" i="1"/>
  <c r="E3214" i="1"/>
  <c r="D3214" i="1"/>
  <c r="C3214" i="1"/>
  <c r="V3213" i="1"/>
  <c r="R3213" i="1"/>
  <c r="Q3213" i="1"/>
  <c r="P3213" i="1"/>
  <c r="O3213" i="1"/>
  <c r="N3213" i="1"/>
  <c r="J3213" i="1"/>
  <c r="I3213" i="1"/>
  <c r="H3213" i="1"/>
  <c r="G3213" i="1"/>
  <c r="F3213" i="1"/>
  <c r="E3213" i="1"/>
  <c r="D3213" i="1"/>
  <c r="C3213" i="1"/>
  <c r="V3212" i="1"/>
  <c r="R3212" i="1"/>
  <c r="Q3212" i="1"/>
  <c r="P3212" i="1"/>
  <c r="O3212" i="1"/>
  <c r="N3212" i="1"/>
  <c r="J3212" i="1"/>
  <c r="I3212" i="1"/>
  <c r="H3212" i="1"/>
  <c r="G3212" i="1"/>
  <c r="F3212" i="1"/>
  <c r="E3212" i="1"/>
  <c r="D3212" i="1"/>
  <c r="C3212" i="1"/>
  <c r="V3211" i="1"/>
  <c r="R3211" i="1"/>
  <c r="Q3211" i="1"/>
  <c r="P3211" i="1"/>
  <c r="O3211" i="1"/>
  <c r="N3211" i="1"/>
  <c r="J3211" i="1"/>
  <c r="I3211" i="1"/>
  <c r="H3211" i="1"/>
  <c r="G3211" i="1"/>
  <c r="F3211" i="1"/>
  <c r="E3211" i="1"/>
  <c r="D3211" i="1"/>
  <c r="C3211" i="1"/>
  <c r="V3210" i="1"/>
  <c r="R3210" i="1"/>
  <c r="Q3210" i="1"/>
  <c r="P3210" i="1"/>
  <c r="O3210" i="1"/>
  <c r="N3210" i="1"/>
  <c r="J3210" i="1"/>
  <c r="I3210" i="1"/>
  <c r="H3210" i="1"/>
  <c r="G3210" i="1"/>
  <c r="F3210" i="1"/>
  <c r="E3210" i="1"/>
  <c r="D3210" i="1"/>
  <c r="C3210" i="1"/>
  <c r="V3209" i="1"/>
  <c r="R3209" i="1"/>
  <c r="Q3209" i="1"/>
  <c r="P3209" i="1"/>
  <c r="O3209" i="1"/>
  <c r="N3209" i="1"/>
  <c r="J3209" i="1"/>
  <c r="I3209" i="1"/>
  <c r="H3209" i="1"/>
  <c r="G3209" i="1"/>
  <c r="F3209" i="1"/>
  <c r="E3209" i="1"/>
  <c r="D3209" i="1"/>
  <c r="C3209" i="1"/>
  <c r="V3208" i="1"/>
  <c r="R3208" i="1"/>
  <c r="Q3208" i="1"/>
  <c r="P3208" i="1"/>
  <c r="O3208" i="1"/>
  <c r="N3208" i="1"/>
  <c r="J3208" i="1"/>
  <c r="I3208" i="1"/>
  <c r="H3208" i="1"/>
  <c r="G3208" i="1"/>
  <c r="F3208" i="1"/>
  <c r="E3208" i="1"/>
  <c r="D3208" i="1"/>
  <c r="C3208" i="1"/>
  <c r="V3207" i="1"/>
  <c r="R3207" i="1"/>
  <c r="Q3207" i="1"/>
  <c r="P3207" i="1"/>
  <c r="O3207" i="1"/>
  <c r="N3207" i="1"/>
  <c r="J3207" i="1"/>
  <c r="I3207" i="1"/>
  <c r="H3207" i="1"/>
  <c r="G3207" i="1"/>
  <c r="F3207" i="1"/>
  <c r="E3207" i="1"/>
  <c r="D3207" i="1"/>
  <c r="C3207" i="1"/>
  <c r="V3206" i="1"/>
  <c r="R3206" i="1"/>
  <c r="Q3206" i="1"/>
  <c r="P3206" i="1"/>
  <c r="O3206" i="1"/>
  <c r="N3206" i="1"/>
  <c r="J3206" i="1"/>
  <c r="I3206" i="1"/>
  <c r="H3206" i="1"/>
  <c r="G3206" i="1"/>
  <c r="F3206" i="1"/>
  <c r="E3206" i="1"/>
  <c r="D3206" i="1"/>
  <c r="C3206" i="1"/>
  <c r="V3205" i="1"/>
  <c r="R3205" i="1"/>
  <c r="Q3205" i="1"/>
  <c r="P3205" i="1"/>
  <c r="O3205" i="1"/>
  <c r="N3205" i="1"/>
  <c r="J3205" i="1"/>
  <c r="I3205" i="1"/>
  <c r="H3205" i="1"/>
  <c r="G3205" i="1"/>
  <c r="F3205" i="1"/>
  <c r="E3205" i="1"/>
  <c r="D3205" i="1"/>
  <c r="C3205" i="1"/>
  <c r="V3204" i="1"/>
  <c r="R3204" i="1"/>
  <c r="Q3204" i="1"/>
  <c r="P3204" i="1"/>
  <c r="O3204" i="1"/>
  <c r="N3204" i="1"/>
  <c r="J3204" i="1"/>
  <c r="I3204" i="1"/>
  <c r="H3204" i="1"/>
  <c r="G3204" i="1"/>
  <c r="F3204" i="1"/>
  <c r="E3204" i="1"/>
  <c r="D3204" i="1"/>
  <c r="C3204" i="1"/>
  <c r="V3203" i="1"/>
  <c r="R3203" i="1"/>
  <c r="Q3203" i="1"/>
  <c r="P3203" i="1"/>
  <c r="O3203" i="1"/>
  <c r="N3203" i="1"/>
  <c r="J3203" i="1"/>
  <c r="I3203" i="1"/>
  <c r="H3203" i="1"/>
  <c r="G3203" i="1"/>
  <c r="F3203" i="1"/>
  <c r="E3203" i="1"/>
  <c r="D3203" i="1"/>
  <c r="C3203" i="1"/>
  <c r="V3202" i="1"/>
  <c r="R3202" i="1"/>
  <c r="Q3202" i="1"/>
  <c r="P3202" i="1"/>
  <c r="O3202" i="1"/>
  <c r="N3202" i="1"/>
  <c r="J3202" i="1"/>
  <c r="I3202" i="1"/>
  <c r="H3202" i="1"/>
  <c r="G3202" i="1"/>
  <c r="F3202" i="1"/>
  <c r="E3202" i="1"/>
  <c r="D3202" i="1"/>
  <c r="C3202" i="1"/>
  <c r="V3201" i="1"/>
  <c r="R3201" i="1"/>
  <c r="Q3201" i="1"/>
  <c r="P3201" i="1"/>
  <c r="O3201" i="1"/>
  <c r="N3201" i="1"/>
  <c r="J3201" i="1"/>
  <c r="I3201" i="1"/>
  <c r="H3201" i="1"/>
  <c r="G3201" i="1"/>
  <c r="F3201" i="1"/>
  <c r="E3201" i="1"/>
  <c r="D3201" i="1"/>
  <c r="C3201" i="1"/>
  <c r="V3200" i="1"/>
  <c r="R3200" i="1"/>
  <c r="Q3200" i="1"/>
  <c r="P3200" i="1"/>
  <c r="O3200" i="1"/>
  <c r="N3200" i="1"/>
  <c r="J3200" i="1"/>
  <c r="I3200" i="1"/>
  <c r="H3200" i="1"/>
  <c r="G3200" i="1"/>
  <c r="F3200" i="1"/>
  <c r="E3200" i="1"/>
  <c r="D3200" i="1"/>
  <c r="C3200" i="1"/>
  <c r="V3199" i="1"/>
  <c r="R3199" i="1"/>
  <c r="Q3199" i="1"/>
  <c r="P3199" i="1"/>
  <c r="O3199" i="1"/>
  <c r="N3199" i="1"/>
  <c r="J3199" i="1"/>
  <c r="I3199" i="1"/>
  <c r="H3199" i="1"/>
  <c r="G3199" i="1"/>
  <c r="F3199" i="1"/>
  <c r="E3199" i="1"/>
  <c r="D3199" i="1"/>
  <c r="C3199" i="1"/>
  <c r="V3198" i="1"/>
  <c r="R3198" i="1"/>
  <c r="Q3198" i="1"/>
  <c r="P3198" i="1"/>
  <c r="O3198" i="1"/>
  <c r="N3198" i="1"/>
  <c r="J3198" i="1"/>
  <c r="I3198" i="1"/>
  <c r="H3198" i="1"/>
  <c r="G3198" i="1"/>
  <c r="F3198" i="1"/>
  <c r="E3198" i="1"/>
  <c r="D3198" i="1"/>
  <c r="C3198" i="1"/>
  <c r="V3197" i="1"/>
  <c r="R3197" i="1"/>
  <c r="Q3197" i="1"/>
  <c r="P3197" i="1"/>
  <c r="O3197" i="1"/>
  <c r="N3197" i="1"/>
  <c r="J3197" i="1"/>
  <c r="I3197" i="1"/>
  <c r="H3197" i="1"/>
  <c r="G3197" i="1"/>
  <c r="F3197" i="1"/>
  <c r="E3197" i="1"/>
  <c r="D3197" i="1"/>
  <c r="C3197" i="1"/>
  <c r="V3196" i="1"/>
  <c r="R3196" i="1"/>
  <c r="Q3196" i="1"/>
  <c r="P3196" i="1"/>
  <c r="O3196" i="1"/>
  <c r="N3196" i="1"/>
  <c r="J3196" i="1"/>
  <c r="I3196" i="1"/>
  <c r="H3196" i="1"/>
  <c r="G3196" i="1"/>
  <c r="F3196" i="1"/>
  <c r="E3196" i="1"/>
  <c r="D3196" i="1"/>
  <c r="C3196" i="1"/>
  <c r="V3195" i="1"/>
  <c r="R3195" i="1"/>
  <c r="Q3195" i="1"/>
  <c r="P3195" i="1"/>
  <c r="O3195" i="1"/>
  <c r="N3195" i="1"/>
  <c r="J3195" i="1"/>
  <c r="I3195" i="1"/>
  <c r="H3195" i="1"/>
  <c r="G3195" i="1"/>
  <c r="F3195" i="1"/>
  <c r="E3195" i="1"/>
  <c r="D3195" i="1"/>
  <c r="C3195" i="1"/>
  <c r="V3194" i="1"/>
  <c r="R3194" i="1"/>
  <c r="Q3194" i="1"/>
  <c r="P3194" i="1"/>
  <c r="O3194" i="1"/>
  <c r="N3194" i="1"/>
  <c r="J3194" i="1"/>
  <c r="I3194" i="1"/>
  <c r="H3194" i="1"/>
  <c r="G3194" i="1"/>
  <c r="F3194" i="1"/>
  <c r="E3194" i="1"/>
  <c r="D3194" i="1"/>
  <c r="C3194" i="1"/>
  <c r="V3193" i="1"/>
  <c r="R3193" i="1"/>
  <c r="Q3193" i="1"/>
  <c r="P3193" i="1"/>
  <c r="O3193" i="1"/>
  <c r="N3193" i="1"/>
  <c r="J3193" i="1"/>
  <c r="I3193" i="1"/>
  <c r="H3193" i="1"/>
  <c r="G3193" i="1"/>
  <c r="F3193" i="1"/>
  <c r="E3193" i="1"/>
  <c r="D3193" i="1"/>
  <c r="C3193" i="1"/>
  <c r="V3192" i="1"/>
  <c r="R3192" i="1"/>
  <c r="Q3192" i="1"/>
  <c r="P3192" i="1"/>
  <c r="O3192" i="1"/>
  <c r="N3192" i="1"/>
  <c r="J3192" i="1"/>
  <c r="I3192" i="1"/>
  <c r="H3192" i="1"/>
  <c r="G3192" i="1"/>
  <c r="F3192" i="1"/>
  <c r="E3192" i="1"/>
  <c r="D3192" i="1"/>
  <c r="C3192" i="1"/>
  <c r="V3191" i="1"/>
  <c r="R3191" i="1"/>
  <c r="Q3191" i="1"/>
  <c r="P3191" i="1"/>
  <c r="O3191" i="1"/>
  <c r="N3191" i="1"/>
  <c r="J3191" i="1"/>
  <c r="I3191" i="1"/>
  <c r="H3191" i="1"/>
  <c r="G3191" i="1"/>
  <c r="F3191" i="1"/>
  <c r="E3191" i="1"/>
  <c r="D3191" i="1"/>
  <c r="C3191" i="1"/>
  <c r="V3190" i="1"/>
  <c r="R3190" i="1"/>
  <c r="Q3190" i="1"/>
  <c r="P3190" i="1"/>
  <c r="O3190" i="1"/>
  <c r="N3190" i="1"/>
  <c r="J3190" i="1"/>
  <c r="I3190" i="1"/>
  <c r="H3190" i="1"/>
  <c r="G3190" i="1"/>
  <c r="F3190" i="1"/>
  <c r="E3190" i="1"/>
  <c r="D3190" i="1"/>
  <c r="C3190" i="1"/>
  <c r="V3189" i="1"/>
  <c r="R3189" i="1"/>
  <c r="Q3189" i="1"/>
  <c r="P3189" i="1"/>
  <c r="O3189" i="1"/>
  <c r="N3189" i="1"/>
  <c r="J3189" i="1"/>
  <c r="I3189" i="1"/>
  <c r="H3189" i="1"/>
  <c r="G3189" i="1"/>
  <c r="F3189" i="1"/>
  <c r="E3189" i="1"/>
  <c r="D3189" i="1"/>
  <c r="C3189" i="1"/>
  <c r="V3188" i="1"/>
  <c r="R3188" i="1"/>
  <c r="Q3188" i="1"/>
  <c r="P3188" i="1"/>
  <c r="O3188" i="1"/>
  <c r="N3188" i="1"/>
  <c r="J3188" i="1"/>
  <c r="I3188" i="1"/>
  <c r="H3188" i="1"/>
  <c r="G3188" i="1"/>
  <c r="F3188" i="1"/>
  <c r="E3188" i="1"/>
  <c r="D3188" i="1"/>
  <c r="C3188" i="1"/>
  <c r="V3187" i="1"/>
  <c r="R3187" i="1"/>
  <c r="Q3187" i="1"/>
  <c r="P3187" i="1"/>
  <c r="O3187" i="1"/>
  <c r="N3187" i="1"/>
  <c r="J3187" i="1"/>
  <c r="I3187" i="1"/>
  <c r="H3187" i="1"/>
  <c r="G3187" i="1"/>
  <c r="F3187" i="1"/>
  <c r="E3187" i="1"/>
  <c r="D3187" i="1"/>
  <c r="C3187" i="1"/>
  <c r="V3186" i="1"/>
  <c r="R3186" i="1"/>
  <c r="Q3186" i="1"/>
  <c r="P3186" i="1"/>
  <c r="O3186" i="1"/>
  <c r="N3186" i="1"/>
  <c r="J3186" i="1"/>
  <c r="I3186" i="1"/>
  <c r="H3186" i="1"/>
  <c r="G3186" i="1"/>
  <c r="F3186" i="1"/>
  <c r="E3186" i="1"/>
  <c r="D3186" i="1"/>
  <c r="C3186" i="1"/>
  <c r="V3185" i="1"/>
  <c r="R3185" i="1"/>
  <c r="Q3185" i="1"/>
  <c r="P3185" i="1"/>
  <c r="O3185" i="1"/>
  <c r="N3185" i="1"/>
  <c r="J3185" i="1"/>
  <c r="I3185" i="1"/>
  <c r="H3185" i="1"/>
  <c r="G3185" i="1"/>
  <c r="F3185" i="1"/>
  <c r="E3185" i="1"/>
  <c r="D3185" i="1"/>
  <c r="C3185" i="1"/>
  <c r="V3184" i="1"/>
  <c r="R3184" i="1"/>
  <c r="Q3184" i="1"/>
  <c r="P3184" i="1"/>
  <c r="O3184" i="1"/>
  <c r="N3184" i="1"/>
  <c r="J3184" i="1"/>
  <c r="I3184" i="1"/>
  <c r="H3184" i="1"/>
  <c r="G3184" i="1"/>
  <c r="F3184" i="1"/>
  <c r="E3184" i="1"/>
  <c r="D3184" i="1"/>
  <c r="C3184" i="1"/>
  <c r="V3183" i="1"/>
  <c r="R3183" i="1"/>
  <c r="Q3183" i="1"/>
  <c r="P3183" i="1"/>
  <c r="O3183" i="1"/>
  <c r="N3183" i="1"/>
  <c r="J3183" i="1"/>
  <c r="I3183" i="1"/>
  <c r="H3183" i="1"/>
  <c r="G3183" i="1"/>
  <c r="F3183" i="1"/>
  <c r="E3183" i="1"/>
  <c r="D3183" i="1"/>
  <c r="C3183" i="1"/>
  <c r="V3182" i="1"/>
  <c r="R3182" i="1"/>
  <c r="Q3182" i="1"/>
  <c r="P3182" i="1"/>
  <c r="O3182" i="1"/>
  <c r="N3182" i="1"/>
  <c r="J3182" i="1"/>
  <c r="I3182" i="1"/>
  <c r="H3182" i="1"/>
  <c r="G3182" i="1"/>
  <c r="F3182" i="1"/>
  <c r="E3182" i="1"/>
  <c r="D3182" i="1"/>
  <c r="C3182" i="1"/>
  <c r="V3181" i="1"/>
  <c r="R3181" i="1"/>
  <c r="Q3181" i="1"/>
  <c r="P3181" i="1"/>
  <c r="O3181" i="1"/>
  <c r="N3181" i="1"/>
  <c r="J3181" i="1"/>
  <c r="I3181" i="1"/>
  <c r="H3181" i="1"/>
  <c r="G3181" i="1"/>
  <c r="F3181" i="1"/>
  <c r="E3181" i="1"/>
  <c r="D3181" i="1"/>
  <c r="C3181" i="1"/>
  <c r="V3180" i="1"/>
  <c r="R3180" i="1"/>
  <c r="Q3180" i="1"/>
  <c r="P3180" i="1"/>
  <c r="O3180" i="1"/>
  <c r="N3180" i="1"/>
  <c r="J3180" i="1"/>
  <c r="I3180" i="1"/>
  <c r="H3180" i="1"/>
  <c r="G3180" i="1"/>
  <c r="F3180" i="1"/>
  <c r="E3180" i="1"/>
  <c r="D3180" i="1"/>
  <c r="C3180" i="1"/>
  <c r="V3179" i="1"/>
  <c r="R3179" i="1"/>
  <c r="Q3179" i="1"/>
  <c r="P3179" i="1"/>
  <c r="O3179" i="1"/>
  <c r="N3179" i="1"/>
  <c r="J3179" i="1"/>
  <c r="I3179" i="1"/>
  <c r="H3179" i="1"/>
  <c r="G3179" i="1"/>
  <c r="F3179" i="1"/>
  <c r="E3179" i="1"/>
  <c r="D3179" i="1"/>
  <c r="C3179" i="1"/>
  <c r="V3178" i="1"/>
  <c r="R3178" i="1"/>
  <c r="Q3178" i="1"/>
  <c r="P3178" i="1"/>
  <c r="O3178" i="1"/>
  <c r="N3178" i="1"/>
  <c r="J3178" i="1"/>
  <c r="I3178" i="1"/>
  <c r="H3178" i="1"/>
  <c r="G3178" i="1"/>
  <c r="F3178" i="1"/>
  <c r="E3178" i="1"/>
  <c r="D3178" i="1"/>
  <c r="C3178" i="1"/>
  <c r="V3177" i="1"/>
  <c r="R3177" i="1"/>
  <c r="Q3177" i="1"/>
  <c r="P3177" i="1"/>
  <c r="O3177" i="1"/>
  <c r="N3177" i="1"/>
  <c r="J3177" i="1"/>
  <c r="I3177" i="1"/>
  <c r="H3177" i="1"/>
  <c r="G3177" i="1"/>
  <c r="F3177" i="1"/>
  <c r="E3177" i="1"/>
  <c r="D3177" i="1"/>
  <c r="C3177" i="1"/>
  <c r="V3176" i="1"/>
  <c r="R3176" i="1"/>
  <c r="Q3176" i="1"/>
  <c r="P3176" i="1"/>
  <c r="O3176" i="1"/>
  <c r="N3176" i="1"/>
  <c r="J3176" i="1"/>
  <c r="I3176" i="1"/>
  <c r="H3176" i="1"/>
  <c r="G3176" i="1"/>
  <c r="F3176" i="1"/>
  <c r="E3176" i="1"/>
  <c r="D3176" i="1"/>
  <c r="C3176" i="1"/>
  <c r="V3175" i="1"/>
  <c r="R3175" i="1"/>
  <c r="Q3175" i="1"/>
  <c r="P3175" i="1"/>
  <c r="O3175" i="1"/>
  <c r="N3175" i="1"/>
  <c r="J3175" i="1"/>
  <c r="I3175" i="1"/>
  <c r="H3175" i="1"/>
  <c r="G3175" i="1"/>
  <c r="F3175" i="1"/>
  <c r="E3175" i="1"/>
  <c r="D3175" i="1"/>
  <c r="C3175" i="1"/>
  <c r="V3174" i="1"/>
  <c r="R3174" i="1"/>
  <c r="Q3174" i="1"/>
  <c r="P3174" i="1"/>
  <c r="O3174" i="1"/>
  <c r="N3174" i="1"/>
  <c r="J3174" i="1"/>
  <c r="I3174" i="1"/>
  <c r="H3174" i="1"/>
  <c r="G3174" i="1"/>
  <c r="F3174" i="1"/>
  <c r="E3174" i="1"/>
  <c r="D3174" i="1"/>
  <c r="C3174" i="1"/>
  <c r="V3173" i="1"/>
  <c r="R3173" i="1"/>
  <c r="Q3173" i="1"/>
  <c r="P3173" i="1"/>
  <c r="O3173" i="1"/>
  <c r="N3173" i="1"/>
  <c r="J3173" i="1"/>
  <c r="I3173" i="1"/>
  <c r="H3173" i="1"/>
  <c r="G3173" i="1"/>
  <c r="F3173" i="1"/>
  <c r="E3173" i="1"/>
  <c r="D3173" i="1"/>
  <c r="C3173" i="1"/>
  <c r="V3172" i="1"/>
  <c r="R3172" i="1"/>
  <c r="Q3172" i="1"/>
  <c r="P3172" i="1"/>
  <c r="O3172" i="1"/>
  <c r="N3172" i="1"/>
  <c r="J3172" i="1"/>
  <c r="I3172" i="1"/>
  <c r="H3172" i="1"/>
  <c r="G3172" i="1"/>
  <c r="F3172" i="1"/>
  <c r="E3172" i="1"/>
  <c r="D3172" i="1"/>
  <c r="C3172" i="1"/>
  <c r="V3171" i="1"/>
  <c r="R3171" i="1"/>
  <c r="Q3171" i="1"/>
  <c r="P3171" i="1"/>
  <c r="O3171" i="1"/>
  <c r="N3171" i="1"/>
  <c r="J3171" i="1"/>
  <c r="I3171" i="1"/>
  <c r="H3171" i="1"/>
  <c r="G3171" i="1"/>
  <c r="F3171" i="1"/>
  <c r="E3171" i="1"/>
  <c r="D3171" i="1"/>
  <c r="C3171" i="1"/>
  <c r="V3170" i="1"/>
  <c r="R3170" i="1"/>
  <c r="Q3170" i="1"/>
  <c r="P3170" i="1"/>
  <c r="O3170" i="1"/>
  <c r="N3170" i="1"/>
  <c r="J3170" i="1"/>
  <c r="I3170" i="1"/>
  <c r="H3170" i="1"/>
  <c r="G3170" i="1"/>
  <c r="F3170" i="1"/>
  <c r="E3170" i="1"/>
  <c r="D3170" i="1"/>
  <c r="C3170" i="1"/>
  <c r="V3169" i="1"/>
  <c r="R3169" i="1"/>
  <c r="Q3169" i="1"/>
  <c r="P3169" i="1"/>
  <c r="O3169" i="1"/>
  <c r="N3169" i="1"/>
  <c r="J3169" i="1"/>
  <c r="I3169" i="1"/>
  <c r="H3169" i="1"/>
  <c r="G3169" i="1"/>
  <c r="F3169" i="1"/>
  <c r="E3169" i="1"/>
  <c r="D3169" i="1"/>
  <c r="C3169" i="1"/>
  <c r="V3168" i="1"/>
  <c r="R3168" i="1"/>
  <c r="Q3168" i="1"/>
  <c r="P3168" i="1"/>
  <c r="O3168" i="1"/>
  <c r="N3168" i="1"/>
  <c r="J3168" i="1"/>
  <c r="I3168" i="1"/>
  <c r="H3168" i="1"/>
  <c r="G3168" i="1"/>
  <c r="F3168" i="1"/>
  <c r="E3168" i="1"/>
  <c r="D3168" i="1"/>
  <c r="C3168" i="1"/>
  <c r="V3167" i="1"/>
  <c r="R3167" i="1"/>
  <c r="Q3167" i="1"/>
  <c r="P3167" i="1"/>
  <c r="O3167" i="1"/>
  <c r="N3167" i="1"/>
  <c r="J3167" i="1"/>
  <c r="I3167" i="1"/>
  <c r="H3167" i="1"/>
  <c r="G3167" i="1"/>
  <c r="F3167" i="1"/>
  <c r="E3167" i="1"/>
  <c r="D3167" i="1"/>
  <c r="C3167" i="1"/>
  <c r="V3166" i="1"/>
  <c r="R3166" i="1"/>
  <c r="Q3166" i="1"/>
  <c r="P3166" i="1"/>
  <c r="O3166" i="1"/>
  <c r="N3166" i="1"/>
  <c r="J3166" i="1"/>
  <c r="I3166" i="1"/>
  <c r="H3166" i="1"/>
  <c r="G3166" i="1"/>
  <c r="F3166" i="1"/>
  <c r="E3166" i="1"/>
  <c r="D3166" i="1"/>
  <c r="C3166" i="1"/>
  <c r="V3165" i="1"/>
  <c r="R3165" i="1"/>
  <c r="Q3165" i="1"/>
  <c r="P3165" i="1"/>
  <c r="O3165" i="1"/>
  <c r="N3165" i="1"/>
  <c r="J3165" i="1"/>
  <c r="I3165" i="1"/>
  <c r="H3165" i="1"/>
  <c r="G3165" i="1"/>
  <c r="F3165" i="1"/>
  <c r="E3165" i="1"/>
  <c r="D3165" i="1"/>
  <c r="C3165" i="1"/>
  <c r="V3164" i="1"/>
  <c r="R3164" i="1"/>
  <c r="Q3164" i="1"/>
  <c r="P3164" i="1"/>
  <c r="O3164" i="1"/>
  <c r="N3164" i="1"/>
  <c r="J3164" i="1"/>
  <c r="I3164" i="1"/>
  <c r="H3164" i="1"/>
  <c r="G3164" i="1"/>
  <c r="F3164" i="1"/>
  <c r="E3164" i="1"/>
  <c r="D3164" i="1"/>
  <c r="C3164" i="1"/>
  <c r="V3163" i="1"/>
  <c r="R3163" i="1"/>
  <c r="Q3163" i="1"/>
  <c r="P3163" i="1"/>
  <c r="O3163" i="1"/>
  <c r="N3163" i="1"/>
  <c r="J3163" i="1"/>
  <c r="I3163" i="1"/>
  <c r="H3163" i="1"/>
  <c r="G3163" i="1"/>
  <c r="F3163" i="1"/>
  <c r="E3163" i="1"/>
  <c r="D3163" i="1"/>
  <c r="C3163" i="1"/>
  <c r="V3162" i="1"/>
  <c r="R3162" i="1"/>
  <c r="Q3162" i="1"/>
  <c r="P3162" i="1"/>
  <c r="O3162" i="1"/>
  <c r="N3162" i="1"/>
  <c r="J3162" i="1"/>
  <c r="I3162" i="1"/>
  <c r="H3162" i="1"/>
  <c r="G3162" i="1"/>
  <c r="F3162" i="1"/>
  <c r="E3162" i="1"/>
  <c r="D3162" i="1"/>
  <c r="C3162" i="1"/>
  <c r="V3161" i="1"/>
  <c r="R3161" i="1"/>
  <c r="Q3161" i="1"/>
  <c r="P3161" i="1"/>
  <c r="O3161" i="1"/>
  <c r="N3161" i="1"/>
  <c r="J3161" i="1"/>
  <c r="I3161" i="1"/>
  <c r="H3161" i="1"/>
  <c r="G3161" i="1"/>
  <c r="F3161" i="1"/>
  <c r="E3161" i="1"/>
  <c r="D3161" i="1"/>
  <c r="C3161" i="1"/>
  <c r="V3160" i="1"/>
  <c r="R3160" i="1"/>
  <c r="Q3160" i="1"/>
  <c r="P3160" i="1"/>
  <c r="O3160" i="1"/>
  <c r="N3160" i="1"/>
  <c r="J3160" i="1"/>
  <c r="I3160" i="1"/>
  <c r="H3160" i="1"/>
  <c r="G3160" i="1"/>
  <c r="F3160" i="1"/>
  <c r="E3160" i="1"/>
  <c r="D3160" i="1"/>
  <c r="C3160" i="1"/>
  <c r="V3159" i="1"/>
  <c r="R3159" i="1"/>
  <c r="Q3159" i="1"/>
  <c r="P3159" i="1"/>
  <c r="O3159" i="1"/>
  <c r="N3159" i="1"/>
  <c r="J3159" i="1"/>
  <c r="I3159" i="1"/>
  <c r="H3159" i="1"/>
  <c r="G3159" i="1"/>
  <c r="F3159" i="1"/>
  <c r="E3159" i="1"/>
  <c r="D3159" i="1"/>
  <c r="C3159" i="1"/>
  <c r="V3158" i="1"/>
  <c r="R3158" i="1"/>
  <c r="Q3158" i="1"/>
  <c r="P3158" i="1"/>
  <c r="O3158" i="1"/>
  <c r="N3158" i="1"/>
  <c r="J3158" i="1"/>
  <c r="I3158" i="1"/>
  <c r="H3158" i="1"/>
  <c r="G3158" i="1"/>
  <c r="F3158" i="1"/>
  <c r="E3158" i="1"/>
  <c r="D3158" i="1"/>
  <c r="C3158" i="1"/>
  <c r="V3157" i="1"/>
  <c r="R3157" i="1"/>
  <c r="Q3157" i="1"/>
  <c r="P3157" i="1"/>
  <c r="O3157" i="1"/>
  <c r="N3157" i="1"/>
  <c r="J3157" i="1"/>
  <c r="I3157" i="1"/>
  <c r="H3157" i="1"/>
  <c r="G3157" i="1"/>
  <c r="F3157" i="1"/>
  <c r="E3157" i="1"/>
  <c r="D3157" i="1"/>
  <c r="C3157" i="1"/>
  <c r="V3156" i="1"/>
  <c r="R3156" i="1"/>
  <c r="Q3156" i="1"/>
  <c r="P3156" i="1"/>
  <c r="O3156" i="1"/>
  <c r="N3156" i="1"/>
  <c r="J3156" i="1"/>
  <c r="I3156" i="1"/>
  <c r="H3156" i="1"/>
  <c r="G3156" i="1"/>
  <c r="F3156" i="1"/>
  <c r="E3156" i="1"/>
  <c r="D3156" i="1"/>
  <c r="C3156" i="1"/>
  <c r="V3155" i="1"/>
  <c r="R3155" i="1"/>
  <c r="Q3155" i="1"/>
  <c r="P3155" i="1"/>
  <c r="O3155" i="1"/>
  <c r="N3155" i="1"/>
  <c r="J3155" i="1"/>
  <c r="I3155" i="1"/>
  <c r="H3155" i="1"/>
  <c r="G3155" i="1"/>
  <c r="F3155" i="1"/>
  <c r="E3155" i="1"/>
  <c r="D3155" i="1"/>
  <c r="C3155" i="1"/>
  <c r="V3154" i="1"/>
  <c r="R3154" i="1"/>
  <c r="Q3154" i="1"/>
  <c r="P3154" i="1"/>
  <c r="O3154" i="1"/>
  <c r="N3154" i="1"/>
  <c r="J3154" i="1"/>
  <c r="I3154" i="1"/>
  <c r="H3154" i="1"/>
  <c r="G3154" i="1"/>
  <c r="F3154" i="1"/>
  <c r="E3154" i="1"/>
  <c r="D3154" i="1"/>
  <c r="C3154" i="1"/>
  <c r="V3153" i="1"/>
  <c r="R3153" i="1"/>
  <c r="Q3153" i="1"/>
  <c r="P3153" i="1"/>
  <c r="O3153" i="1"/>
  <c r="N3153" i="1"/>
  <c r="J3153" i="1"/>
  <c r="I3153" i="1"/>
  <c r="H3153" i="1"/>
  <c r="G3153" i="1"/>
  <c r="F3153" i="1"/>
  <c r="E3153" i="1"/>
  <c r="D3153" i="1"/>
  <c r="C3153" i="1"/>
  <c r="V3152" i="1"/>
  <c r="R3152" i="1"/>
  <c r="Q3152" i="1"/>
  <c r="P3152" i="1"/>
  <c r="O3152" i="1"/>
  <c r="N3152" i="1"/>
  <c r="J3152" i="1"/>
  <c r="I3152" i="1"/>
  <c r="H3152" i="1"/>
  <c r="G3152" i="1"/>
  <c r="F3152" i="1"/>
  <c r="E3152" i="1"/>
  <c r="D3152" i="1"/>
  <c r="C3152" i="1"/>
  <c r="V3151" i="1"/>
  <c r="R3151" i="1"/>
  <c r="Q3151" i="1"/>
  <c r="P3151" i="1"/>
  <c r="O3151" i="1"/>
  <c r="N3151" i="1"/>
  <c r="J3151" i="1"/>
  <c r="I3151" i="1"/>
  <c r="H3151" i="1"/>
  <c r="G3151" i="1"/>
  <c r="F3151" i="1"/>
  <c r="E3151" i="1"/>
  <c r="D3151" i="1"/>
  <c r="C3151" i="1"/>
  <c r="V3150" i="1"/>
  <c r="R3150" i="1"/>
  <c r="Q3150" i="1"/>
  <c r="P3150" i="1"/>
  <c r="O3150" i="1"/>
  <c r="N3150" i="1"/>
  <c r="J3150" i="1"/>
  <c r="I3150" i="1"/>
  <c r="H3150" i="1"/>
  <c r="G3150" i="1"/>
  <c r="F3150" i="1"/>
  <c r="E3150" i="1"/>
  <c r="D3150" i="1"/>
  <c r="C3150" i="1"/>
  <c r="V3149" i="1"/>
  <c r="R3149" i="1"/>
  <c r="Q3149" i="1"/>
  <c r="P3149" i="1"/>
  <c r="O3149" i="1"/>
  <c r="N3149" i="1"/>
  <c r="J3149" i="1"/>
  <c r="I3149" i="1"/>
  <c r="H3149" i="1"/>
  <c r="G3149" i="1"/>
  <c r="F3149" i="1"/>
  <c r="E3149" i="1"/>
  <c r="D3149" i="1"/>
  <c r="C3149" i="1"/>
  <c r="V3148" i="1"/>
  <c r="R3148" i="1"/>
  <c r="Q3148" i="1"/>
  <c r="P3148" i="1"/>
  <c r="O3148" i="1"/>
  <c r="N3148" i="1"/>
  <c r="J3148" i="1"/>
  <c r="I3148" i="1"/>
  <c r="H3148" i="1"/>
  <c r="G3148" i="1"/>
  <c r="F3148" i="1"/>
  <c r="E3148" i="1"/>
  <c r="D3148" i="1"/>
  <c r="C3148" i="1"/>
  <c r="V3147" i="1"/>
  <c r="R3147" i="1"/>
  <c r="Q3147" i="1"/>
  <c r="P3147" i="1"/>
  <c r="O3147" i="1"/>
  <c r="N3147" i="1"/>
  <c r="J3147" i="1"/>
  <c r="I3147" i="1"/>
  <c r="H3147" i="1"/>
  <c r="G3147" i="1"/>
  <c r="F3147" i="1"/>
  <c r="E3147" i="1"/>
  <c r="D3147" i="1"/>
  <c r="C3147" i="1"/>
  <c r="V3146" i="1"/>
  <c r="R3146" i="1"/>
  <c r="Q3146" i="1"/>
  <c r="P3146" i="1"/>
  <c r="O3146" i="1"/>
  <c r="N3146" i="1"/>
  <c r="J3146" i="1"/>
  <c r="I3146" i="1"/>
  <c r="H3146" i="1"/>
  <c r="G3146" i="1"/>
  <c r="F3146" i="1"/>
  <c r="E3146" i="1"/>
  <c r="D3146" i="1"/>
  <c r="C3146" i="1"/>
  <c r="V3145" i="1"/>
  <c r="R3145" i="1"/>
  <c r="Q3145" i="1"/>
  <c r="P3145" i="1"/>
  <c r="O3145" i="1"/>
  <c r="N3145" i="1"/>
  <c r="J3145" i="1"/>
  <c r="I3145" i="1"/>
  <c r="H3145" i="1"/>
  <c r="G3145" i="1"/>
  <c r="F3145" i="1"/>
  <c r="E3145" i="1"/>
  <c r="D3145" i="1"/>
  <c r="C3145" i="1"/>
  <c r="V3144" i="1"/>
  <c r="R3144" i="1"/>
  <c r="Q3144" i="1"/>
  <c r="P3144" i="1"/>
  <c r="O3144" i="1"/>
  <c r="N3144" i="1"/>
  <c r="J3144" i="1"/>
  <c r="I3144" i="1"/>
  <c r="H3144" i="1"/>
  <c r="G3144" i="1"/>
  <c r="F3144" i="1"/>
  <c r="E3144" i="1"/>
  <c r="D3144" i="1"/>
  <c r="C3144" i="1"/>
  <c r="V3143" i="1"/>
  <c r="R3143" i="1"/>
  <c r="Q3143" i="1"/>
  <c r="P3143" i="1"/>
  <c r="O3143" i="1"/>
  <c r="N3143" i="1"/>
  <c r="J3143" i="1"/>
  <c r="I3143" i="1"/>
  <c r="H3143" i="1"/>
  <c r="G3143" i="1"/>
  <c r="F3143" i="1"/>
  <c r="E3143" i="1"/>
  <c r="D3143" i="1"/>
  <c r="C3143" i="1"/>
  <c r="V3142" i="1"/>
  <c r="R3142" i="1"/>
  <c r="Q3142" i="1"/>
  <c r="P3142" i="1"/>
  <c r="O3142" i="1"/>
  <c r="N3142" i="1"/>
  <c r="J3142" i="1"/>
  <c r="I3142" i="1"/>
  <c r="H3142" i="1"/>
  <c r="G3142" i="1"/>
  <c r="F3142" i="1"/>
  <c r="E3142" i="1"/>
  <c r="D3142" i="1"/>
  <c r="C3142" i="1"/>
  <c r="V3141" i="1"/>
  <c r="R3141" i="1"/>
  <c r="Q3141" i="1"/>
  <c r="P3141" i="1"/>
  <c r="O3141" i="1"/>
  <c r="N3141" i="1"/>
  <c r="J3141" i="1"/>
  <c r="I3141" i="1"/>
  <c r="H3141" i="1"/>
  <c r="G3141" i="1"/>
  <c r="F3141" i="1"/>
  <c r="E3141" i="1"/>
  <c r="D3141" i="1"/>
  <c r="C3141" i="1"/>
  <c r="V3140" i="1"/>
  <c r="R3140" i="1"/>
  <c r="Q3140" i="1"/>
  <c r="P3140" i="1"/>
  <c r="O3140" i="1"/>
  <c r="N3140" i="1"/>
  <c r="J3140" i="1"/>
  <c r="I3140" i="1"/>
  <c r="H3140" i="1"/>
  <c r="G3140" i="1"/>
  <c r="F3140" i="1"/>
  <c r="E3140" i="1"/>
  <c r="D3140" i="1"/>
  <c r="C3140" i="1"/>
  <c r="V3139" i="1"/>
  <c r="R3139" i="1"/>
  <c r="Q3139" i="1"/>
  <c r="P3139" i="1"/>
  <c r="O3139" i="1"/>
  <c r="N3139" i="1"/>
  <c r="J3139" i="1"/>
  <c r="I3139" i="1"/>
  <c r="H3139" i="1"/>
  <c r="G3139" i="1"/>
  <c r="F3139" i="1"/>
  <c r="E3139" i="1"/>
  <c r="D3139" i="1"/>
  <c r="C3139" i="1"/>
  <c r="V3138" i="1"/>
  <c r="R3138" i="1"/>
  <c r="Q3138" i="1"/>
  <c r="P3138" i="1"/>
  <c r="O3138" i="1"/>
  <c r="N3138" i="1"/>
  <c r="J3138" i="1"/>
  <c r="I3138" i="1"/>
  <c r="H3138" i="1"/>
  <c r="G3138" i="1"/>
  <c r="F3138" i="1"/>
  <c r="E3138" i="1"/>
  <c r="D3138" i="1"/>
  <c r="C3138" i="1"/>
  <c r="V3137" i="1"/>
  <c r="R3137" i="1"/>
  <c r="Q3137" i="1"/>
  <c r="P3137" i="1"/>
  <c r="O3137" i="1"/>
  <c r="N3137" i="1"/>
  <c r="J3137" i="1"/>
  <c r="I3137" i="1"/>
  <c r="H3137" i="1"/>
  <c r="G3137" i="1"/>
  <c r="F3137" i="1"/>
  <c r="E3137" i="1"/>
  <c r="D3137" i="1"/>
  <c r="C3137" i="1"/>
  <c r="V3136" i="1"/>
  <c r="R3136" i="1"/>
  <c r="Q3136" i="1"/>
  <c r="P3136" i="1"/>
  <c r="O3136" i="1"/>
  <c r="N3136" i="1"/>
  <c r="J3136" i="1"/>
  <c r="I3136" i="1"/>
  <c r="H3136" i="1"/>
  <c r="G3136" i="1"/>
  <c r="F3136" i="1"/>
  <c r="E3136" i="1"/>
  <c r="D3136" i="1"/>
  <c r="C3136" i="1"/>
  <c r="V3135" i="1"/>
  <c r="R3135" i="1"/>
  <c r="Q3135" i="1"/>
  <c r="P3135" i="1"/>
  <c r="O3135" i="1"/>
  <c r="N3135" i="1"/>
  <c r="J3135" i="1"/>
  <c r="I3135" i="1"/>
  <c r="H3135" i="1"/>
  <c r="G3135" i="1"/>
  <c r="F3135" i="1"/>
  <c r="E3135" i="1"/>
  <c r="D3135" i="1"/>
  <c r="C3135" i="1"/>
  <c r="V3134" i="1"/>
  <c r="R3134" i="1"/>
  <c r="Q3134" i="1"/>
  <c r="P3134" i="1"/>
  <c r="O3134" i="1"/>
  <c r="N3134" i="1"/>
  <c r="J3134" i="1"/>
  <c r="I3134" i="1"/>
  <c r="H3134" i="1"/>
  <c r="G3134" i="1"/>
  <c r="F3134" i="1"/>
  <c r="E3134" i="1"/>
  <c r="D3134" i="1"/>
  <c r="C3134" i="1"/>
  <c r="V3133" i="1"/>
  <c r="R3133" i="1"/>
  <c r="Q3133" i="1"/>
  <c r="P3133" i="1"/>
  <c r="O3133" i="1"/>
  <c r="N3133" i="1"/>
  <c r="J3133" i="1"/>
  <c r="I3133" i="1"/>
  <c r="H3133" i="1"/>
  <c r="G3133" i="1"/>
  <c r="F3133" i="1"/>
  <c r="E3133" i="1"/>
  <c r="D3133" i="1"/>
  <c r="C3133" i="1"/>
  <c r="V3132" i="1"/>
  <c r="R3132" i="1"/>
  <c r="Q3132" i="1"/>
  <c r="P3132" i="1"/>
  <c r="O3132" i="1"/>
  <c r="N3132" i="1"/>
  <c r="J3132" i="1"/>
  <c r="I3132" i="1"/>
  <c r="H3132" i="1"/>
  <c r="G3132" i="1"/>
  <c r="F3132" i="1"/>
  <c r="E3132" i="1"/>
  <c r="D3132" i="1"/>
  <c r="C3132" i="1"/>
  <c r="V3131" i="1"/>
  <c r="R3131" i="1"/>
  <c r="Q3131" i="1"/>
  <c r="P3131" i="1"/>
  <c r="O3131" i="1"/>
  <c r="N3131" i="1"/>
  <c r="J3131" i="1"/>
  <c r="I3131" i="1"/>
  <c r="H3131" i="1"/>
  <c r="G3131" i="1"/>
  <c r="F3131" i="1"/>
  <c r="E3131" i="1"/>
  <c r="D3131" i="1"/>
  <c r="C3131" i="1"/>
  <c r="V3130" i="1"/>
  <c r="R3130" i="1"/>
  <c r="Q3130" i="1"/>
  <c r="P3130" i="1"/>
  <c r="O3130" i="1"/>
  <c r="N3130" i="1"/>
  <c r="J3130" i="1"/>
  <c r="I3130" i="1"/>
  <c r="H3130" i="1"/>
  <c r="G3130" i="1"/>
  <c r="F3130" i="1"/>
  <c r="E3130" i="1"/>
  <c r="D3130" i="1"/>
  <c r="C3130" i="1"/>
  <c r="V3129" i="1"/>
  <c r="R3129" i="1"/>
  <c r="Q3129" i="1"/>
  <c r="P3129" i="1"/>
  <c r="O3129" i="1"/>
  <c r="N3129" i="1"/>
  <c r="J3129" i="1"/>
  <c r="I3129" i="1"/>
  <c r="H3129" i="1"/>
  <c r="G3129" i="1"/>
  <c r="F3129" i="1"/>
  <c r="E3129" i="1"/>
  <c r="D3129" i="1"/>
  <c r="C3129" i="1"/>
  <c r="V3128" i="1"/>
  <c r="R3128" i="1"/>
  <c r="Q3128" i="1"/>
  <c r="P3128" i="1"/>
  <c r="O3128" i="1"/>
  <c r="N3128" i="1"/>
  <c r="J3128" i="1"/>
  <c r="I3128" i="1"/>
  <c r="H3128" i="1"/>
  <c r="G3128" i="1"/>
  <c r="F3128" i="1"/>
  <c r="E3128" i="1"/>
  <c r="D3128" i="1"/>
  <c r="C3128" i="1"/>
  <c r="V3127" i="1"/>
  <c r="R3127" i="1"/>
  <c r="Q3127" i="1"/>
  <c r="P3127" i="1"/>
  <c r="O3127" i="1"/>
  <c r="N3127" i="1"/>
  <c r="J3127" i="1"/>
  <c r="I3127" i="1"/>
  <c r="H3127" i="1"/>
  <c r="G3127" i="1"/>
  <c r="F3127" i="1"/>
  <c r="E3127" i="1"/>
  <c r="D3127" i="1"/>
  <c r="C3127" i="1"/>
  <c r="V3126" i="1"/>
  <c r="R3126" i="1"/>
  <c r="Q3126" i="1"/>
  <c r="P3126" i="1"/>
  <c r="O3126" i="1"/>
  <c r="N3126" i="1"/>
  <c r="J3126" i="1"/>
  <c r="I3126" i="1"/>
  <c r="H3126" i="1"/>
  <c r="G3126" i="1"/>
  <c r="F3126" i="1"/>
  <c r="E3126" i="1"/>
  <c r="D3126" i="1"/>
  <c r="C3126" i="1"/>
  <c r="V3125" i="1"/>
  <c r="R3125" i="1"/>
  <c r="Q3125" i="1"/>
  <c r="P3125" i="1"/>
  <c r="O3125" i="1"/>
  <c r="N3125" i="1"/>
  <c r="J3125" i="1"/>
  <c r="I3125" i="1"/>
  <c r="H3125" i="1"/>
  <c r="G3125" i="1"/>
  <c r="F3125" i="1"/>
  <c r="E3125" i="1"/>
  <c r="D3125" i="1"/>
  <c r="C3125" i="1"/>
  <c r="V3124" i="1"/>
  <c r="R3124" i="1"/>
  <c r="Q3124" i="1"/>
  <c r="P3124" i="1"/>
  <c r="O3124" i="1"/>
  <c r="N3124" i="1"/>
  <c r="J3124" i="1"/>
  <c r="I3124" i="1"/>
  <c r="H3124" i="1"/>
  <c r="G3124" i="1"/>
  <c r="F3124" i="1"/>
  <c r="E3124" i="1"/>
  <c r="D3124" i="1"/>
  <c r="C3124" i="1"/>
  <c r="V3123" i="1"/>
  <c r="R3123" i="1"/>
  <c r="Q3123" i="1"/>
  <c r="P3123" i="1"/>
  <c r="O3123" i="1"/>
  <c r="N3123" i="1"/>
  <c r="J3123" i="1"/>
  <c r="I3123" i="1"/>
  <c r="H3123" i="1"/>
  <c r="G3123" i="1"/>
  <c r="F3123" i="1"/>
  <c r="E3123" i="1"/>
  <c r="D3123" i="1"/>
  <c r="C3123" i="1"/>
  <c r="V3122" i="1"/>
  <c r="R3122" i="1"/>
  <c r="Q3122" i="1"/>
  <c r="P3122" i="1"/>
  <c r="O3122" i="1"/>
  <c r="N3122" i="1"/>
  <c r="K3122" i="1"/>
  <c r="J3122" i="1"/>
  <c r="I3122" i="1"/>
  <c r="H3122" i="1"/>
  <c r="G3122" i="1"/>
  <c r="F3122" i="1"/>
  <c r="E3122" i="1"/>
  <c r="D3122" i="1"/>
  <c r="C3122" i="1"/>
  <c r="V3121" i="1"/>
  <c r="R3121" i="1"/>
  <c r="Q3121" i="1"/>
  <c r="P3121" i="1"/>
  <c r="O3121" i="1"/>
  <c r="N3121" i="1"/>
  <c r="K3121" i="1"/>
  <c r="J3121" i="1"/>
  <c r="I3121" i="1"/>
  <c r="H3121" i="1"/>
  <c r="G3121" i="1"/>
  <c r="F3121" i="1"/>
  <c r="E3121" i="1"/>
  <c r="D3121" i="1"/>
  <c r="C3121" i="1"/>
  <c r="V3120" i="1"/>
  <c r="R3120" i="1"/>
  <c r="Q3120" i="1"/>
  <c r="P3120" i="1"/>
  <c r="O3120" i="1"/>
  <c r="N3120" i="1"/>
  <c r="K3120" i="1"/>
  <c r="J3120" i="1"/>
  <c r="I3120" i="1"/>
  <c r="H3120" i="1"/>
  <c r="G3120" i="1"/>
  <c r="F3120" i="1"/>
  <c r="E3120" i="1"/>
  <c r="D3120" i="1"/>
  <c r="C3120" i="1"/>
  <c r="V3119" i="1"/>
  <c r="R3119" i="1"/>
  <c r="Q3119" i="1"/>
  <c r="P3119" i="1"/>
  <c r="O3119" i="1"/>
  <c r="N3119" i="1"/>
  <c r="K3119" i="1"/>
  <c r="J3119" i="1"/>
  <c r="I3119" i="1"/>
  <c r="H3119" i="1"/>
  <c r="G3119" i="1"/>
  <c r="F3119" i="1"/>
  <c r="E3119" i="1"/>
  <c r="D3119" i="1"/>
  <c r="C3119" i="1"/>
  <c r="V3118" i="1"/>
  <c r="R3118" i="1"/>
  <c r="Q3118" i="1"/>
  <c r="P3118" i="1"/>
  <c r="O3118" i="1"/>
  <c r="N3118" i="1"/>
  <c r="K3118" i="1"/>
  <c r="J3118" i="1"/>
  <c r="I3118" i="1"/>
  <c r="H3118" i="1"/>
  <c r="G3118" i="1"/>
  <c r="F3118" i="1"/>
  <c r="E3118" i="1"/>
  <c r="D3118" i="1"/>
  <c r="C3118" i="1"/>
  <c r="V3117" i="1"/>
  <c r="R3117" i="1"/>
  <c r="Q3117" i="1"/>
  <c r="P3117" i="1"/>
  <c r="O3117" i="1"/>
  <c r="N3117" i="1"/>
  <c r="K3117" i="1"/>
  <c r="J3117" i="1"/>
  <c r="I3117" i="1"/>
  <c r="H3117" i="1"/>
  <c r="G3117" i="1"/>
  <c r="F3117" i="1"/>
  <c r="E3117" i="1"/>
  <c r="D3117" i="1"/>
  <c r="C3117" i="1"/>
  <c r="V3116" i="1"/>
  <c r="R3116" i="1"/>
  <c r="Q3116" i="1"/>
  <c r="P3116" i="1"/>
  <c r="O3116" i="1"/>
  <c r="N3116" i="1"/>
  <c r="K3116" i="1"/>
  <c r="J3116" i="1"/>
  <c r="I3116" i="1"/>
  <c r="H3116" i="1"/>
  <c r="G3116" i="1"/>
  <c r="F3116" i="1"/>
  <c r="E3116" i="1"/>
  <c r="D3116" i="1"/>
  <c r="C3116" i="1"/>
  <c r="V3115" i="1"/>
  <c r="R3115" i="1"/>
  <c r="Q3115" i="1"/>
  <c r="P3115" i="1"/>
  <c r="O3115" i="1"/>
  <c r="N3115" i="1"/>
  <c r="K3115" i="1"/>
  <c r="J3115" i="1"/>
  <c r="I3115" i="1"/>
  <c r="H3115" i="1"/>
  <c r="G3115" i="1"/>
  <c r="F3115" i="1"/>
  <c r="E3115" i="1"/>
  <c r="D3115" i="1"/>
  <c r="C3115" i="1"/>
  <c r="V3114" i="1"/>
  <c r="R3114" i="1"/>
  <c r="Q3114" i="1"/>
  <c r="P3114" i="1"/>
  <c r="O3114" i="1"/>
  <c r="N3114" i="1"/>
  <c r="K3114" i="1"/>
  <c r="J3114" i="1"/>
  <c r="I3114" i="1"/>
  <c r="H3114" i="1"/>
  <c r="G3114" i="1"/>
  <c r="F3114" i="1"/>
  <c r="E3114" i="1"/>
  <c r="D3114" i="1"/>
  <c r="C3114" i="1"/>
  <c r="V3113" i="1"/>
  <c r="R3113" i="1"/>
  <c r="Q3113" i="1"/>
  <c r="P3113" i="1"/>
  <c r="O3113" i="1"/>
  <c r="N3113" i="1"/>
  <c r="K3113" i="1"/>
  <c r="J3113" i="1"/>
  <c r="I3113" i="1"/>
  <c r="H3113" i="1"/>
  <c r="G3113" i="1"/>
  <c r="F3113" i="1"/>
  <c r="E3113" i="1"/>
  <c r="D3113" i="1"/>
  <c r="C3113" i="1"/>
  <c r="V3112" i="1"/>
  <c r="R3112" i="1"/>
  <c r="Q3112" i="1"/>
  <c r="P3112" i="1"/>
  <c r="O3112" i="1"/>
  <c r="N3112" i="1"/>
  <c r="K3112" i="1"/>
  <c r="J3112" i="1"/>
  <c r="I3112" i="1"/>
  <c r="H3112" i="1"/>
  <c r="G3112" i="1"/>
  <c r="F3112" i="1"/>
  <c r="E3112" i="1"/>
  <c r="D3112" i="1"/>
  <c r="C3112" i="1"/>
  <c r="V3111" i="1"/>
  <c r="R3111" i="1"/>
  <c r="Q3111" i="1"/>
  <c r="P3111" i="1"/>
  <c r="O3111" i="1"/>
  <c r="N3111" i="1"/>
  <c r="K3111" i="1"/>
  <c r="J3111" i="1"/>
  <c r="I3111" i="1"/>
  <c r="H3111" i="1"/>
  <c r="G3111" i="1"/>
  <c r="F3111" i="1"/>
  <c r="E3111" i="1"/>
  <c r="D3111" i="1"/>
  <c r="C3111" i="1"/>
  <c r="V3110" i="1"/>
  <c r="R3110" i="1"/>
  <c r="Q3110" i="1"/>
  <c r="P3110" i="1"/>
  <c r="O3110" i="1"/>
  <c r="N3110" i="1"/>
  <c r="K3110" i="1"/>
  <c r="J3110" i="1"/>
  <c r="I3110" i="1"/>
  <c r="H3110" i="1"/>
  <c r="G3110" i="1"/>
  <c r="F3110" i="1"/>
  <c r="E3110" i="1"/>
  <c r="D3110" i="1"/>
  <c r="C3110" i="1"/>
  <c r="V3109" i="1"/>
  <c r="R3109" i="1"/>
  <c r="Q3109" i="1"/>
  <c r="P3109" i="1"/>
  <c r="O3109" i="1"/>
  <c r="N3109" i="1"/>
  <c r="K3109" i="1"/>
  <c r="J3109" i="1"/>
  <c r="I3109" i="1"/>
  <c r="H3109" i="1"/>
  <c r="G3109" i="1"/>
  <c r="F3109" i="1"/>
  <c r="E3109" i="1"/>
  <c r="D3109" i="1"/>
  <c r="C3109" i="1"/>
  <c r="V3108" i="1"/>
  <c r="R3108" i="1"/>
  <c r="Q3108" i="1"/>
  <c r="P3108" i="1"/>
  <c r="O3108" i="1"/>
  <c r="N3108" i="1"/>
  <c r="K3108" i="1"/>
  <c r="J3108" i="1"/>
  <c r="I3108" i="1"/>
  <c r="H3108" i="1"/>
  <c r="G3108" i="1"/>
  <c r="F3108" i="1"/>
  <c r="E3108" i="1"/>
  <c r="D3108" i="1"/>
  <c r="C3108" i="1"/>
  <c r="V3107" i="1"/>
  <c r="R3107" i="1"/>
  <c r="Q3107" i="1"/>
  <c r="P3107" i="1"/>
  <c r="O3107" i="1"/>
  <c r="N3107" i="1"/>
  <c r="J3107" i="1"/>
  <c r="I3107" i="1"/>
  <c r="H3107" i="1"/>
  <c r="G3107" i="1"/>
  <c r="F3107" i="1"/>
  <c r="E3107" i="1"/>
  <c r="D3107" i="1"/>
  <c r="C3107" i="1"/>
  <c r="V3106" i="1"/>
  <c r="R3106" i="1"/>
  <c r="Q3106" i="1"/>
  <c r="P3106" i="1"/>
  <c r="O3106" i="1"/>
  <c r="N3106" i="1"/>
  <c r="J3106" i="1"/>
  <c r="I3106" i="1"/>
  <c r="H3106" i="1"/>
  <c r="G3106" i="1"/>
  <c r="F3106" i="1"/>
  <c r="E3106" i="1"/>
  <c r="D3106" i="1"/>
  <c r="C3106" i="1"/>
  <c r="V3105" i="1"/>
  <c r="R3105" i="1"/>
  <c r="Q3105" i="1"/>
  <c r="P3105" i="1"/>
  <c r="O3105" i="1"/>
  <c r="N3105" i="1"/>
  <c r="J3105" i="1"/>
  <c r="I3105" i="1"/>
  <c r="H3105" i="1"/>
  <c r="G3105" i="1"/>
  <c r="F3105" i="1"/>
  <c r="E3105" i="1"/>
  <c r="D3105" i="1"/>
  <c r="C3105" i="1"/>
  <c r="V3104" i="1"/>
  <c r="R3104" i="1"/>
  <c r="Q3104" i="1"/>
  <c r="P3104" i="1"/>
  <c r="O3104" i="1"/>
  <c r="N3104" i="1"/>
  <c r="J3104" i="1"/>
  <c r="I3104" i="1"/>
  <c r="H3104" i="1"/>
  <c r="G3104" i="1"/>
  <c r="F3104" i="1"/>
  <c r="E3104" i="1"/>
  <c r="D3104" i="1"/>
  <c r="C3104" i="1"/>
  <c r="V3103" i="1"/>
  <c r="R3103" i="1"/>
  <c r="Q3103" i="1"/>
  <c r="P3103" i="1"/>
  <c r="O3103" i="1"/>
  <c r="N3103" i="1"/>
  <c r="J3103" i="1"/>
  <c r="I3103" i="1"/>
  <c r="H3103" i="1"/>
  <c r="G3103" i="1"/>
  <c r="F3103" i="1"/>
  <c r="E3103" i="1"/>
  <c r="D3103" i="1"/>
  <c r="C3103" i="1"/>
  <c r="V3102" i="1"/>
  <c r="R3102" i="1"/>
  <c r="Q3102" i="1"/>
  <c r="P3102" i="1"/>
  <c r="O3102" i="1"/>
  <c r="N3102" i="1"/>
  <c r="J3102" i="1"/>
  <c r="I3102" i="1"/>
  <c r="H3102" i="1"/>
  <c r="G3102" i="1"/>
  <c r="F3102" i="1"/>
  <c r="E3102" i="1"/>
  <c r="D3102" i="1"/>
  <c r="C3102" i="1"/>
  <c r="V3101" i="1"/>
  <c r="Q3101" i="1"/>
  <c r="P3101" i="1"/>
  <c r="O3101" i="1"/>
  <c r="N3101" i="1"/>
  <c r="J3101" i="1"/>
  <c r="I3101" i="1"/>
  <c r="H3101" i="1"/>
  <c r="G3101" i="1"/>
  <c r="F3101" i="1"/>
  <c r="E3101" i="1"/>
  <c r="D3101" i="1"/>
  <c r="C3101" i="1"/>
  <c r="V3100" i="1"/>
  <c r="Q3100" i="1"/>
  <c r="P3100" i="1"/>
  <c r="O3100" i="1"/>
  <c r="N3100" i="1"/>
  <c r="J3100" i="1"/>
  <c r="I3100" i="1"/>
  <c r="H3100" i="1"/>
  <c r="G3100" i="1"/>
  <c r="F3100" i="1"/>
  <c r="E3100" i="1"/>
  <c r="D3100" i="1"/>
  <c r="C3100" i="1"/>
  <c r="V3099" i="1"/>
  <c r="Q3099" i="1"/>
  <c r="P3099" i="1"/>
  <c r="O3099" i="1"/>
  <c r="N3099" i="1"/>
  <c r="J3099" i="1"/>
  <c r="I3099" i="1"/>
  <c r="H3099" i="1"/>
  <c r="G3099" i="1"/>
  <c r="F3099" i="1"/>
  <c r="E3099" i="1"/>
  <c r="D3099" i="1"/>
  <c r="C3099" i="1"/>
  <c r="V3098" i="1"/>
  <c r="Q3098" i="1"/>
  <c r="P3098" i="1"/>
  <c r="O3098" i="1"/>
  <c r="N3098" i="1"/>
  <c r="J3098" i="1"/>
  <c r="I3098" i="1"/>
  <c r="H3098" i="1"/>
  <c r="G3098" i="1"/>
  <c r="F3098" i="1"/>
  <c r="E3098" i="1"/>
  <c r="D3098" i="1"/>
  <c r="C3098" i="1"/>
  <c r="V3097" i="1"/>
  <c r="Q3097" i="1"/>
  <c r="P3097" i="1"/>
  <c r="O3097" i="1"/>
  <c r="N3097" i="1"/>
  <c r="J3097" i="1"/>
  <c r="I3097" i="1"/>
  <c r="H3097" i="1"/>
  <c r="G3097" i="1"/>
  <c r="F3097" i="1"/>
  <c r="E3097" i="1"/>
  <c r="D3097" i="1"/>
  <c r="C3097" i="1"/>
  <c r="V3096" i="1"/>
  <c r="Q3096" i="1"/>
  <c r="P3096" i="1"/>
  <c r="O3096" i="1"/>
  <c r="N3096" i="1"/>
  <c r="J3096" i="1"/>
  <c r="I3096" i="1"/>
  <c r="H3096" i="1"/>
  <c r="G3096" i="1"/>
  <c r="F3096" i="1"/>
  <c r="E3096" i="1"/>
  <c r="D3096" i="1"/>
  <c r="C3096" i="1"/>
  <c r="V3095" i="1"/>
  <c r="Q3095" i="1"/>
  <c r="P3095" i="1"/>
  <c r="O3095" i="1"/>
  <c r="N3095" i="1"/>
  <c r="J3095" i="1"/>
  <c r="I3095" i="1"/>
  <c r="H3095" i="1"/>
  <c r="G3095" i="1"/>
  <c r="F3095" i="1"/>
  <c r="E3095" i="1"/>
  <c r="D3095" i="1"/>
  <c r="C3095" i="1"/>
  <c r="V3094" i="1"/>
  <c r="Q3094" i="1"/>
  <c r="P3094" i="1"/>
  <c r="O3094" i="1"/>
  <c r="N3094" i="1"/>
  <c r="J3094" i="1"/>
  <c r="I3094" i="1"/>
  <c r="H3094" i="1"/>
  <c r="G3094" i="1"/>
  <c r="F3094" i="1"/>
  <c r="E3094" i="1"/>
  <c r="D3094" i="1"/>
  <c r="C3094" i="1"/>
  <c r="V3093" i="1"/>
  <c r="Q3093" i="1"/>
  <c r="P3093" i="1"/>
  <c r="O3093" i="1"/>
  <c r="N3093" i="1"/>
  <c r="J3093" i="1"/>
  <c r="I3093" i="1"/>
  <c r="H3093" i="1"/>
  <c r="G3093" i="1"/>
  <c r="F3093" i="1"/>
  <c r="E3093" i="1"/>
  <c r="D3093" i="1"/>
  <c r="C3093" i="1"/>
  <c r="V3092" i="1"/>
  <c r="Q3092" i="1"/>
  <c r="P3092" i="1"/>
  <c r="O3092" i="1"/>
  <c r="N3092" i="1"/>
  <c r="J3092" i="1"/>
  <c r="I3092" i="1"/>
  <c r="H3092" i="1"/>
  <c r="G3092" i="1"/>
  <c r="F3092" i="1"/>
  <c r="E3092" i="1"/>
  <c r="D3092" i="1"/>
  <c r="C3092" i="1"/>
  <c r="V3091" i="1"/>
  <c r="Q3091" i="1"/>
  <c r="P3091" i="1"/>
  <c r="O3091" i="1"/>
  <c r="N3091" i="1"/>
  <c r="J3091" i="1"/>
  <c r="I3091" i="1"/>
  <c r="H3091" i="1"/>
  <c r="G3091" i="1"/>
  <c r="F3091" i="1"/>
  <c r="E3091" i="1"/>
  <c r="D3091" i="1"/>
  <c r="C3091" i="1"/>
  <c r="V3090" i="1"/>
  <c r="Q3090" i="1"/>
  <c r="P3090" i="1"/>
  <c r="O3090" i="1"/>
  <c r="N3090" i="1"/>
  <c r="J3090" i="1"/>
  <c r="I3090" i="1"/>
  <c r="H3090" i="1"/>
  <c r="G3090" i="1"/>
  <c r="F3090" i="1"/>
  <c r="E3090" i="1"/>
  <c r="D3090" i="1"/>
  <c r="C3090" i="1"/>
  <c r="V3089" i="1"/>
  <c r="Q3089" i="1"/>
  <c r="P3089" i="1"/>
  <c r="O3089" i="1"/>
  <c r="N3089" i="1"/>
  <c r="J3089" i="1"/>
  <c r="I3089" i="1"/>
  <c r="H3089" i="1"/>
  <c r="G3089" i="1"/>
  <c r="F3089" i="1"/>
  <c r="E3089" i="1"/>
  <c r="D3089" i="1"/>
  <c r="C3089" i="1"/>
  <c r="V3088" i="1"/>
  <c r="Q3088" i="1"/>
  <c r="P3088" i="1"/>
  <c r="O3088" i="1"/>
  <c r="N3088" i="1"/>
  <c r="J3088" i="1"/>
  <c r="I3088" i="1"/>
  <c r="H3088" i="1"/>
  <c r="G3088" i="1"/>
  <c r="F3088" i="1"/>
  <c r="E3088" i="1"/>
  <c r="D3088" i="1"/>
  <c r="C3088" i="1"/>
  <c r="V3087" i="1"/>
  <c r="Q3087" i="1"/>
  <c r="P3087" i="1"/>
  <c r="O3087" i="1"/>
  <c r="N3087" i="1"/>
  <c r="J3087" i="1"/>
  <c r="I3087" i="1"/>
  <c r="H3087" i="1"/>
  <c r="G3087" i="1"/>
  <c r="F3087" i="1"/>
  <c r="E3087" i="1"/>
  <c r="D3087" i="1"/>
  <c r="C3087" i="1"/>
  <c r="V3086" i="1"/>
  <c r="Q3086" i="1"/>
  <c r="P3086" i="1"/>
  <c r="O3086" i="1"/>
  <c r="N3086" i="1"/>
  <c r="J3086" i="1"/>
  <c r="I3086" i="1"/>
  <c r="H3086" i="1"/>
  <c r="G3086" i="1"/>
  <c r="F3086" i="1"/>
  <c r="E3086" i="1"/>
  <c r="D3086" i="1"/>
  <c r="C3086" i="1"/>
  <c r="V3085" i="1"/>
  <c r="Q3085" i="1"/>
  <c r="P3085" i="1"/>
  <c r="O3085" i="1"/>
  <c r="N3085" i="1"/>
  <c r="J3085" i="1"/>
  <c r="I3085" i="1"/>
  <c r="H3085" i="1"/>
  <c r="G3085" i="1"/>
  <c r="F3085" i="1"/>
  <c r="E3085" i="1"/>
  <c r="D3085" i="1"/>
  <c r="C3085" i="1"/>
  <c r="V3084" i="1"/>
  <c r="Q3084" i="1"/>
  <c r="P3084" i="1"/>
  <c r="O3084" i="1"/>
  <c r="N3084" i="1"/>
  <c r="J3084" i="1"/>
  <c r="I3084" i="1"/>
  <c r="H3084" i="1"/>
  <c r="G3084" i="1"/>
  <c r="F3084" i="1"/>
  <c r="E3084" i="1"/>
  <c r="D3084" i="1"/>
  <c r="C3084" i="1"/>
  <c r="V3083" i="1"/>
  <c r="Q3083" i="1"/>
  <c r="P3083" i="1"/>
  <c r="O3083" i="1"/>
  <c r="N3083" i="1"/>
  <c r="J3083" i="1"/>
  <c r="I3083" i="1"/>
  <c r="H3083" i="1"/>
  <c r="G3083" i="1"/>
  <c r="F3083" i="1"/>
  <c r="E3083" i="1"/>
  <c r="D3083" i="1"/>
  <c r="C3083" i="1"/>
  <c r="V3082" i="1"/>
  <c r="Q3082" i="1"/>
  <c r="P3082" i="1"/>
  <c r="O3082" i="1"/>
  <c r="N3082" i="1"/>
  <c r="J3082" i="1"/>
  <c r="I3082" i="1"/>
  <c r="H3082" i="1"/>
  <c r="G3082" i="1"/>
  <c r="F3082" i="1"/>
  <c r="E3082" i="1"/>
  <c r="D3082" i="1"/>
  <c r="C3082" i="1"/>
  <c r="V3081" i="1"/>
  <c r="Q3081" i="1"/>
  <c r="P3081" i="1"/>
  <c r="O3081" i="1"/>
  <c r="N3081" i="1"/>
  <c r="J3081" i="1"/>
  <c r="I3081" i="1"/>
  <c r="H3081" i="1"/>
  <c r="G3081" i="1"/>
  <c r="F3081" i="1"/>
  <c r="E3081" i="1"/>
  <c r="D3081" i="1"/>
  <c r="C3081" i="1"/>
  <c r="V3080" i="1"/>
  <c r="Q3080" i="1"/>
  <c r="P3080" i="1"/>
  <c r="O3080" i="1"/>
  <c r="N3080" i="1"/>
  <c r="J3080" i="1"/>
  <c r="I3080" i="1"/>
  <c r="H3080" i="1"/>
  <c r="G3080" i="1"/>
  <c r="F3080" i="1"/>
  <c r="E3080" i="1"/>
  <c r="D3080" i="1"/>
  <c r="C3080" i="1"/>
  <c r="V3079" i="1"/>
  <c r="Q3079" i="1"/>
  <c r="P3079" i="1"/>
  <c r="O3079" i="1"/>
  <c r="N3079" i="1"/>
  <c r="J3079" i="1"/>
  <c r="I3079" i="1"/>
  <c r="H3079" i="1"/>
  <c r="G3079" i="1"/>
  <c r="F3079" i="1"/>
  <c r="E3079" i="1"/>
  <c r="D3079" i="1"/>
  <c r="C3079" i="1"/>
  <c r="V3078" i="1"/>
  <c r="Q3078" i="1"/>
  <c r="P3078" i="1"/>
  <c r="O3078" i="1"/>
  <c r="N3078" i="1"/>
  <c r="J3078" i="1"/>
  <c r="I3078" i="1"/>
  <c r="H3078" i="1"/>
  <c r="G3078" i="1"/>
  <c r="F3078" i="1"/>
  <c r="E3078" i="1"/>
  <c r="D3078" i="1"/>
  <c r="C3078" i="1"/>
  <c r="V3077" i="1"/>
  <c r="Q3077" i="1"/>
  <c r="P3077" i="1"/>
  <c r="O3077" i="1"/>
  <c r="N3077" i="1"/>
  <c r="J3077" i="1"/>
  <c r="I3077" i="1"/>
  <c r="H3077" i="1"/>
  <c r="G3077" i="1"/>
  <c r="F3077" i="1"/>
  <c r="E3077" i="1"/>
  <c r="D3077" i="1"/>
  <c r="C3077" i="1"/>
  <c r="V3076" i="1"/>
  <c r="Q3076" i="1"/>
  <c r="P3076" i="1"/>
  <c r="O3076" i="1"/>
  <c r="N3076" i="1"/>
  <c r="J3076" i="1"/>
  <c r="I3076" i="1"/>
  <c r="H3076" i="1"/>
  <c r="G3076" i="1"/>
  <c r="F3076" i="1"/>
  <c r="E3076" i="1"/>
  <c r="D3076" i="1"/>
  <c r="C3076" i="1"/>
  <c r="V3075" i="1"/>
  <c r="Q3075" i="1"/>
  <c r="P3075" i="1"/>
  <c r="O3075" i="1"/>
  <c r="N3075" i="1"/>
  <c r="J3075" i="1"/>
  <c r="I3075" i="1"/>
  <c r="H3075" i="1"/>
  <c r="G3075" i="1"/>
  <c r="F3075" i="1"/>
  <c r="E3075" i="1"/>
  <c r="D3075" i="1"/>
  <c r="C3075" i="1"/>
  <c r="V3074" i="1"/>
  <c r="Q3074" i="1"/>
  <c r="P3074" i="1"/>
  <c r="O3074" i="1"/>
  <c r="N3074" i="1"/>
  <c r="J3074" i="1"/>
  <c r="I3074" i="1"/>
  <c r="H3074" i="1"/>
  <c r="G3074" i="1"/>
  <c r="F3074" i="1"/>
  <c r="E3074" i="1"/>
  <c r="D3074" i="1"/>
  <c r="C3074" i="1"/>
  <c r="V3073" i="1"/>
  <c r="Q3073" i="1"/>
  <c r="P3073" i="1"/>
  <c r="O3073" i="1"/>
  <c r="N3073" i="1"/>
  <c r="J3073" i="1"/>
  <c r="I3073" i="1"/>
  <c r="H3073" i="1"/>
  <c r="G3073" i="1"/>
  <c r="F3073" i="1"/>
  <c r="E3073" i="1"/>
  <c r="D3073" i="1"/>
  <c r="C3073" i="1"/>
  <c r="V3072" i="1"/>
  <c r="Q3072" i="1"/>
  <c r="P3072" i="1"/>
  <c r="O3072" i="1"/>
  <c r="N3072" i="1"/>
  <c r="J3072" i="1"/>
  <c r="I3072" i="1"/>
  <c r="H3072" i="1"/>
  <c r="G3072" i="1"/>
  <c r="F3072" i="1"/>
  <c r="E3072" i="1"/>
  <c r="D3072" i="1"/>
  <c r="C3072" i="1"/>
  <c r="V3071" i="1"/>
  <c r="Q3071" i="1"/>
  <c r="P3071" i="1"/>
  <c r="O3071" i="1"/>
  <c r="N3071" i="1"/>
  <c r="J3071" i="1"/>
  <c r="I3071" i="1"/>
  <c r="H3071" i="1"/>
  <c r="G3071" i="1"/>
  <c r="F3071" i="1"/>
  <c r="E3071" i="1"/>
  <c r="D3071" i="1"/>
  <c r="C3071" i="1"/>
  <c r="V3070" i="1"/>
  <c r="Q3070" i="1"/>
  <c r="P3070" i="1"/>
  <c r="O3070" i="1"/>
  <c r="N3070" i="1"/>
  <c r="J3070" i="1"/>
  <c r="I3070" i="1"/>
  <c r="H3070" i="1"/>
  <c r="G3070" i="1"/>
  <c r="F3070" i="1"/>
  <c r="E3070" i="1"/>
  <c r="D3070" i="1"/>
  <c r="C3070" i="1"/>
  <c r="V3069" i="1"/>
  <c r="Q3069" i="1"/>
  <c r="P3069" i="1"/>
  <c r="O3069" i="1"/>
  <c r="N3069" i="1"/>
  <c r="J3069" i="1"/>
  <c r="I3069" i="1"/>
  <c r="H3069" i="1"/>
  <c r="G3069" i="1"/>
  <c r="F3069" i="1"/>
  <c r="E3069" i="1"/>
  <c r="D3069" i="1"/>
  <c r="C3069" i="1"/>
  <c r="V3068" i="1"/>
  <c r="Q3068" i="1"/>
  <c r="P3068" i="1"/>
  <c r="O3068" i="1"/>
  <c r="N3068" i="1"/>
  <c r="J3068" i="1"/>
  <c r="I3068" i="1"/>
  <c r="H3068" i="1"/>
  <c r="G3068" i="1"/>
  <c r="F3068" i="1"/>
  <c r="E3068" i="1"/>
  <c r="D3068" i="1"/>
  <c r="C3068" i="1"/>
  <c r="V3067" i="1"/>
  <c r="Q3067" i="1"/>
  <c r="P3067" i="1"/>
  <c r="O3067" i="1"/>
  <c r="N3067" i="1"/>
  <c r="J3067" i="1"/>
  <c r="I3067" i="1"/>
  <c r="H3067" i="1"/>
  <c r="G3067" i="1"/>
  <c r="F3067" i="1"/>
  <c r="E3067" i="1"/>
  <c r="D3067" i="1"/>
  <c r="C3067" i="1"/>
  <c r="V3066" i="1"/>
  <c r="Q3066" i="1"/>
  <c r="P3066" i="1"/>
  <c r="O3066" i="1"/>
  <c r="N3066" i="1"/>
  <c r="J3066" i="1"/>
  <c r="I3066" i="1"/>
  <c r="H3066" i="1"/>
  <c r="G3066" i="1"/>
  <c r="F3066" i="1"/>
  <c r="E3066" i="1"/>
  <c r="D3066" i="1"/>
  <c r="C3066" i="1"/>
  <c r="V3065" i="1"/>
  <c r="Q3065" i="1"/>
  <c r="P3065" i="1"/>
  <c r="O3065" i="1"/>
  <c r="N3065" i="1"/>
  <c r="J3065" i="1"/>
  <c r="I3065" i="1"/>
  <c r="H3065" i="1"/>
  <c r="G3065" i="1"/>
  <c r="F3065" i="1"/>
  <c r="E3065" i="1"/>
  <c r="D3065" i="1"/>
  <c r="C3065" i="1"/>
  <c r="V3064" i="1"/>
  <c r="Q3064" i="1"/>
  <c r="P3064" i="1"/>
  <c r="O3064" i="1"/>
  <c r="N3064" i="1"/>
  <c r="J3064" i="1"/>
  <c r="I3064" i="1"/>
  <c r="H3064" i="1"/>
  <c r="G3064" i="1"/>
  <c r="F3064" i="1"/>
  <c r="E3064" i="1"/>
  <c r="D3064" i="1"/>
  <c r="C3064" i="1"/>
  <c r="V3063" i="1"/>
  <c r="Q3063" i="1"/>
  <c r="P3063" i="1"/>
  <c r="O3063" i="1"/>
  <c r="N3063" i="1"/>
  <c r="J3063" i="1"/>
  <c r="I3063" i="1"/>
  <c r="H3063" i="1"/>
  <c r="G3063" i="1"/>
  <c r="F3063" i="1"/>
  <c r="E3063" i="1"/>
  <c r="D3063" i="1"/>
  <c r="C3063" i="1"/>
  <c r="V3062" i="1"/>
  <c r="Q3062" i="1"/>
  <c r="P3062" i="1"/>
  <c r="O3062" i="1"/>
  <c r="N3062" i="1"/>
  <c r="J3062" i="1"/>
  <c r="I3062" i="1"/>
  <c r="H3062" i="1"/>
  <c r="G3062" i="1"/>
  <c r="F3062" i="1"/>
  <c r="E3062" i="1"/>
  <c r="D3062" i="1"/>
  <c r="C3062" i="1"/>
  <c r="V3061" i="1"/>
  <c r="Q3061" i="1"/>
  <c r="P3061" i="1"/>
  <c r="O3061" i="1"/>
  <c r="N3061" i="1"/>
  <c r="J3061" i="1"/>
  <c r="I3061" i="1"/>
  <c r="H3061" i="1"/>
  <c r="G3061" i="1"/>
  <c r="F3061" i="1"/>
  <c r="E3061" i="1"/>
  <c r="D3061" i="1"/>
  <c r="C3061" i="1"/>
  <c r="V3060" i="1"/>
  <c r="Q3060" i="1"/>
  <c r="P3060" i="1"/>
  <c r="O3060" i="1"/>
  <c r="N3060" i="1"/>
  <c r="J3060" i="1"/>
  <c r="I3060" i="1"/>
  <c r="H3060" i="1"/>
  <c r="G3060" i="1"/>
  <c r="F3060" i="1"/>
  <c r="E3060" i="1"/>
  <c r="D3060" i="1"/>
  <c r="C3060" i="1"/>
  <c r="V3059" i="1"/>
  <c r="Q3059" i="1"/>
  <c r="P3059" i="1"/>
  <c r="O3059" i="1"/>
  <c r="N3059" i="1"/>
  <c r="J3059" i="1"/>
  <c r="I3059" i="1"/>
  <c r="H3059" i="1"/>
  <c r="G3059" i="1"/>
  <c r="F3059" i="1"/>
  <c r="E3059" i="1"/>
  <c r="D3059" i="1"/>
  <c r="C3059" i="1"/>
  <c r="V3058" i="1"/>
  <c r="Q3058" i="1"/>
  <c r="P3058" i="1"/>
  <c r="O3058" i="1"/>
  <c r="N3058" i="1"/>
  <c r="J3058" i="1"/>
  <c r="I3058" i="1"/>
  <c r="H3058" i="1"/>
  <c r="G3058" i="1"/>
  <c r="F3058" i="1"/>
  <c r="E3058" i="1"/>
  <c r="D3058" i="1"/>
  <c r="C3058" i="1"/>
  <c r="V3057" i="1"/>
  <c r="Q3057" i="1"/>
  <c r="P3057" i="1"/>
  <c r="O3057" i="1"/>
  <c r="N3057" i="1"/>
  <c r="J3057" i="1"/>
  <c r="I3057" i="1"/>
  <c r="H3057" i="1"/>
  <c r="G3057" i="1"/>
  <c r="F3057" i="1"/>
  <c r="E3057" i="1"/>
  <c r="D3057" i="1"/>
  <c r="C3057" i="1"/>
  <c r="V3056" i="1"/>
  <c r="Q3056" i="1"/>
  <c r="P3056" i="1"/>
  <c r="O3056" i="1"/>
  <c r="N3056" i="1"/>
  <c r="J3056" i="1"/>
  <c r="I3056" i="1"/>
  <c r="H3056" i="1"/>
  <c r="G3056" i="1"/>
  <c r="F3056" i="1"/>
  <c r="E3056" i="1"/>
  <c r="D3056" i="1"/>
  <c r="C3056" i="1"/>
  <c r="V3055" i="1"/>
  <c r="Q3055" i="1"/>
  <c r="P3055" i="1"/>
  <c r="O3055" i="1"/>
  <c r="N3055" i="1"/>
  <c r="J3055" i="1"/>
  <c r="I3055" i="1"/>
  <c r="H3055" i="1"/>
  <c r="G3055" i="1"/>
  <c r="F3055" i="1"/>
  <c r="E3055" i="1"/>
  <c r="D3055" i="1"/>
  <c r="C3055" i="1"/>
  <c r="V3054" i="1"/>
  <c r="Q3054" i="1"/>
  <c r="P3054" i="1"/>
  <c r="O3054" i="1"/>
  <c r="N3054" i="1"/>
  <c r="J3054" i="1"/>
  <c r="I3054" i="1"/>
  <c r="H3054" i="1"/>
  <c r="G3054" i="1"/>
  <c r="F3054" i="1"/>
  <c r="E3054" i="1"/>
  <c r="D3054" i="1"/>
  <c r="C3054" i="1"/>
  <c r="V3053" i="1"/>
  <c r="Q3053" i="1"/>
  <c r="P3053" i="1"/>
  <c r="O3053" i="1"/>
  <c r="N3053" i="1"/>
  <c r="J3053" i="1"/>
  <c r="I3053" i="1"/>
  <c r="H3053" i="1"/>
  <c r="G3053" i="1"/>
  <c r="F3053" i="1"/>
  <c r="E3053" i="1"/>
  <c r="D3053" i="1"/>
  <c r="C3053" i="1"/>
  <c r="V3052" i="1"/>
  <c r="Q3052" i="1"/>
  <c r="P3052" i="1"/>
  <c r="O3052" i="1"/>
  <c r="N3052" i="1"/>
  <c r="J3052" i="1"/>
  <c r="I3052" i="1"/>
  <c r="H3052" i="1"/>
  <c r="G3052" i="1"/>
  <c r="F3052" i="1"/>
  <c r="E3052" i="1"/>
  <c r="D3052" i="1"/>
  <c r="C3052" i="1"/>
  <c r="V3051" i="1"/>
  <c r="Q3051" i="1"/>
  <c r="P3051" i="1"/>
  <c r="O3051" i="1"/>
  <c r="N3051" i="1"/>
  <c r="J3051" i="1"/>
  <c r="I3051" i="1"/>
  <c r="H3051" i="1"/>
  <c r="G3051" i="1"/>
  <c r="F3051" i="1"/>
  <c r="E3051" i="1"/>
  <c r="D3051" i="1"/>
  <c r="C3051" i="1"/>
  <c r="V3050" i="1"/>
  <c r="Q3050" i="1"/>
  <c r="P3050" i="1"/>
  <c r="O3050" i="1"/>
  <c r="N3050" i="1"/>
  <c r="J3050" i="1"/>
  <c r="I3050" i="1"/>
  <c r="H3050" i="1"/>
  <c r="G3050" i="1"/>
  <c r="F3050" i="1"/>
  <c r="E3050" i="1"/>
  <c r="D3050" i="1"/>
  <c r="C3050" i="1"/>
  <c r="V3049" i="1"/>
  <c r="Q3049" i="1"/>
  <c r="P3049" i="1"/>
  <c r="O3049" i="1"/>
  <c r="N3049" i="1"/>
  <c r="J3049" i="1"/>
  <c r="I3049" i="1"/>
  <c r="H3049" i="1"/>
  <c r="G3049" i="1"/>
  <c r="F3049" i="1"/>
  <c r="E3049" i="1"/>
  <c r="D3049" i="1"/>
  <c r="C3049" i="1"/>
  <c r="V3048" i="1"/>
  <c r="Q3048" i="1"/>
  <c r="P3048" i="1"/>
  <c r="O3048" i="1"/>
  <c r="N3048" i="1"/>
  <c r="J3048" i="1"/>
  <c r="I3048" i="1"/>
  <c r="H3048" i="1"/>
  <c r="G3048" i="1"/>
  <c r="F3048" i="1"/>
  <c r="E3048" i="1"/>
  <c r="D3048" i="1"/>
  <c r="C3048" i="1"/>
  <c r="V3047" i="1"/>
  <c r="Q3047" i="1"/>
  <c r="P3047" i="1"/>
  <c r="O3047" i="1"/>
  <c r="N3047" i="1"/>
  <c r="J3047" i="1"/>
  <c r="I3047" i="1"/>
  <c r="H3047" i="1"/>
  <c r="G3047" i="1"/>
  <c r="F3047" i="1"/>
  <c r="E3047" i="1"/>
  <c r="D3047" i="1"/>
  <c r="C3047" i="1"/>
  <c r="V3046" i="1"/>
  <c r="Q3046" i="1"/>
  <c r="P3046" i="1"/>
  <c r="O3046" i="1"/>
  <c r="N3046" i="1"/>
  <c r="J3046" i="1"/>
  <c r="I3046" i="1"/>
  <c r="H3046" i="1"/>
  <c r="G3046" i="1"/>
  <c r="F3046" i="1"/>
  <c r="E3046" i="1"/>
  <c r="D3046" i="1"/>
  <c r="C3046" i="1"/>
  <c r="V3045" i="1"/>
  <c r="Q3045" i="1"/>
  <c r="P3045" i="1"/>
  <c r="O3045" i="1"/>
  <c r="N3045" i="1"/>
  <c r="J3045" i="1"/>
  <c r="I3045" i="1"/>
  <c r="H3045" i="1"/>
  <c r="G3045" i="1"/>
  <c r="F3045" i="1"/>
  <c r="E3045" i="1"/>
  <c r="D3045" i="1"/>
  <c r="C3045" i="1"/>
  <c r="V3044" i="1"/>
  <c r="Q3044" i="1"/>
  <c r="P3044" i="1"/>
  <c r="O3044" i="1"/>
  <c r="N3044" i="1"/>
  <c r="J3044" i="1"/>
  <c r="I3044" i="1"/>
  <c r="H3044" i="1"/>
  <c r="G3044" i="1"/>
  <c r="F3044" i="1"/>
  <c r="E3044" i="1"/>
  <c r="D3044" i="1"/>
  <c r="C3044" i="1"/>
  <c r="V3043" i="1"/>
  <c r="Q3043" i="1"/>
  <c r="P3043" i="1"/>
  <c r="O3043" i="1"/>
  <c r="N3043" i="1"/>
  <c r="J3043" i="1"/>
  <c r="I3043" i="1"/>
  <c r="H3043" i="1"/>
  <c r="G3043" i="1"/>
  <c r="F3043" i="1"/>
  <c r="E3043" i="1"/>
  <c r="D3043" i="1"/>
  <c r="C3043" i="1"/>
  <c r="V3042" i="1"/>
  <c r="Q3042" i="1"/>
  <c r="P3042" i="1"/>
  <c r="O3042" i="1"/>
  <c r="N3042" i="1"/>
  <c r="J3042" i="1"/>
  <c r="I3042" i="1"/>
  <c r="H3042" i="1"/>
  <c r="G3042" i="1"/>
  <c r="F3042" i="1"/>
  <c r="E3042" i="1"/>
  <c r="D3042" i="1"/>
  <c r="C3042" i="1"/>
  <c r="V3041" i="1"/>
  <c r="Q3041" i="1"/>
  <c r="P3041" i="1"/>
  <c r="O3041" i="1"/>
  <c r="N3041" i="1"/>
  <c r="J3041" i="1"/>
  <c r="I3041" i="1"/>
  <c r="H3041" i="1"/>
  <c r="G3041" i="1"/>
  <c r="F3041" i="1"/>
  <c r="E3041" i="1"/>
  <c r="D3041" i="1"/>
  <c r="C3041" i="1"/>
  <c r="V3040" i="1"/>
  <c r="Q3040" i="1"/>
  <c r="P3040" i="1"/>
  <c r="O3040" i="1"/>
  <c r="N3040" i="1"/>
  <c r="J3040" i="1"/>
  <c r="I3040" i="1"/>
  <c r="H3040" i="1"/>
  <c r="G3040" i="1"/>
  <c r="F3040" i="1"/>
  <c r="E3040" i="1"/>
  <c r="D3040" i="1"/>
  <c r="C3040" i="1"/>
  <c r="V3039" i="1"/>
  <c r="Q3039" i="1"/>
  <c r="P3039" i="1"/>
  <c r="O3039" i="1"/>
  <c r="N3039" i="1"/>
  <c r="J3039" i="1"/>
  <c r="I3039" i="1"/>
  <c r="H3039" i="1"/>
  <c r="G3039" i="1"/>
  <c r="F3039" i="1"/>
  <c r="E3039" i="1"/>
  <c r="D3039" i="1"/>
  <c r="C3039" i="1"/>
  <c r="V3038" i="1"/>
  <c r="Q3038" i="1"/>
  <c r="P3038" i="1"/>
  <c r="O3038" i="1"/>
  <c r="N3038" i="1"/>
  <c r="J3038" i="1"/>
  <c r="I3038" i="1"/>
  <c r="H3038" i="1"/>
  <c r="G3038" i="1"/>
  <c r="F3038" i="1"/>
  <c r="E3038" i="1"/>
  <c r="D3038" i="1"/>
  <c r="C3038" i="1"/>
  <c r="V3037" i="1"/>
  <c r="Q3037" i="1"/>
  <c r="P3037" i="1"/>
  <c r="O3037" i="1"/>
  <c r="N3037" i="1"/>
  <c r="J3037" i="1"/>
  <c r="I3037" i="1"/>
  <c r="H3037" i="1"/>
  <c r="G3037" i="1"/>
  <c r="F3037" i="1"/>
  <c r="E3037" i="1"/>
  <c r="D3037" i="1"/>
  <c r="C3037" i="1"/>
  <c r="V3036" i="1"/>
  <c r="Q3036" i="1"/>
  <c r="P3036" i="1"/>
  <c r="O3036" i="1"/>
  <c r="N3036" i="1"/>
  <c r="J3036" i="1"/>
  <c r="I3036" i="1"/>
  <c r="H3036" i="1"/>
  <c r="G3036" i="1"/>
  <c r="F3036" i="1"/>
  <c r="E3036" i="1"/>
  <c r="D3036" i="1"/>
  <c r="C3036" i="1"/>
  <c r="V3035" i="1"/>
  <c r="Q3035" i="1"/>
  <c r="P3035" i="1"/>
  <c r="O3035" i="1"/>
  <c r="N3035" i="1"/>
  <c r="J3035" i="1"/>
  <c r="I3035" i="1"/>
  <c r="H3035" i="1"/>
  <c r="G3035" i="1"/>
  <c r="F3035" i="1"/>
  <c r="E3035" i="1"/>
  <c r="D3035" i="1"/>
  <c r="C3035" i="1"/>
  <c r="V3034" i="1"/>
  <c r="Q3034" i="1"/>
  <c r="P3034" i="1"/>
  <c r="O3034" i="1"/>
  <c r="N3034" i="1"/>
  <c r="J3034" i="1"/>
  <c r="I3034" i="1"/>
  <c r="H3034" i="1"/>
  <c r="G3034" i="1"/>
  <c r="F3034" i="1"/>
  <c r="E3034" i="1"/>
  <c r="D3034" i="1"/>
  <c r="C3034" i="1"/>
  <c r="V3033" i="1"/>
  <c r="Q3033" i="1"/>
  <c r="P3033" i="1"/>
  <c r="O3033" i="1"/>
  <c r="N3033" i="1"/>
  <c r="J3033" i="1"/>
  <c r="I3033" i="1"/>
  <c r="H3033" i="1"/>
  <c r="G3033" i="1"/>
  <c r="F3033" i="1"/>
  <c r="E3033" i="1"/>
  <c r="D3033" i="1"/>
  <c r="C3033" i="1"/>
  <c r="V3032" i="1"/>
  <c r="Q3032" i="1"/>
  <c r="P3032" i="1"/>
  <c r="O3032" i="1"/>
  <c r="N3032" i="1"/>
  <c r="J3032" i="1"/>
  <c r="I3032" i="1"/>
  <c r="H3032" i="1"/>
  <c r="G3032" i="1"/>
  <c r="F3032" i="1"/>
  <c r="E3032" i="1"/>
  <c r="D3032" i="1"/>
  <c r="C3032" i="1"/>
  <c r="V3031" i="1"/>
  <c r="Q3031" i="1"/>
  <c r="P3031" i="1"/>
  <c r="O3031" i="1"/>
  <c r="N3031" i="1"/>
  <c r="J3031" i="1"/>
  <c r="I3031" i="1"/>
  <c r="H3031" i="1"/>
  <c r="G3031" i="1"/>
  <c r="F3031" i="1"/>
  <c r="E3031" i="1"/>
  <c r="D3031" i="1"/>
  <c r="C3031" i="1"/>
  <c r="V3030" i="1"/>
  <c r="Q3030" i="1"/>
  <c r="P3030" i="1"/>
  <c r="O3030" i="1"/>
  <c r="N3030" i="1"/>
  <c r="J3030" i="1"/>
  <c r="I3030" i="1"/>
  <c r="H3030" i="1"/>
  <c r="G3030" i="1"/>
  <c r="F3030" i="1"/>
  <c r="E3030" i="1"/>
  <c r="D3030" i="1"/>
  <c r="C3030" i="1"/>
  <c r="V3029" i="1"/>
  <c r="Q3029" i="1"/>
  <c r="P3029" i="1"/>
  <c r="O3029" i="1"/>
  <c r="N3029" i="1"/>
  <c r="J3029" i="1"/>
  <c r="I3029" i="1"/>
  <c r="H3029" i="1"/>
  <c r="G3029" i="1"/>
  <c r="F3029" i="1"/>
  <c r="E3029" i="1"/>
  <c r="D3029" i="1"/>
  <c r="C3029" i="1"/>
  <c r="V3028" i="1"/>
  <c r="Q3028" i="1"/>
  <c r="P3028" i="1"/>
  <c r="O3028" i="1"/>
  <c r="N3028" i="1"/>
  <c r="J3028" i="1"/>
  <c r="I3028" i="1"/>
  <c r="H3028" i="1"/>
  <c r="G3028" i="1"/>
  <c r="F3028" i="1"/>
  <c r="E3028" i="1"/>
  <c r="D3028" i="1"/>
  <c r="C3028" i="1"/>
  <c r="V3027" i="1"/>
  <c r="Q3027" i="1"/>
  <c r="P3027" i="1"/>
  <c r="O3027" i="1"/>
  <c r="N3027" i="1"/>
  <c r="J3027" i="1"/>
  <c r="I3027" i="1"/>
  <c r="H3027" i="1"/>
  <c r="G3027" i="1"/>
  <c r="F3027" i="1"/>
  <c r="E3027" i="1"/>
  <c r="D3027" i="1"/>
  <c r="C3027" i="1"/>
  <c r="V3026" i="1"/>
  <c r="Q3026" i="1"/>
  <c r="P3026" i="1"/>
  <c r="O3026" i="1"/>
  <c r="N3026" i="1"/>
  <c r="J3026" i="1"/>
  <c r="I3026" i="1"/>
  <c r="H3026" i="1"/>
  <c r="G3026" i="1"/>
  <c r="F3026" i="1"/>
  <c r="E3026" i="1"/>
  <c r="D3026" i="1"/>
  <c r="C3026" i="1"/>
  <c r="V3025" i="1"/>
  <c r="Q3025" i="1"/>
  <c r="P3025" i="1"/>
  <c r="O3025" i="1"/>
  <c r="N3025" i="1"/>
  <c r="J3025" i="1"/>
  <c r="I3025" i="1"/>
  <c r="H3025" i="1"/>
  <c r="G3025" i="1"/>
  <c r="F3025" i="1"/>
  <c r="E3025" i="1"/>
  <c r="D3025" i="1"/>
  <c r="C3025" i="1"/>
  <c r="V3024" i="1"/>
  <c r="Q3024" i="1"/>
  <c r="P3024" i="1"/>
  <c r="O3024" i="1"/>
  <c r="N3024" i="1"/>
  <c r="J3024" i="1"/>
  <c r="I3024" i="1"/>
  <c r="H3024" i="1"/>
  <c r="G3024" i="1"/>
  <c r="F3024" i="1"/>
  <c r="E3024" i="1"/>
  <c r="D3024" i="1"/>
  <c r="C3024" i="1"/>
  <c r="V3023" i="1"/>
  <c r="Q3023" i="1"/>
  <c r="P3023" i="1"/>
  <c r="O3023" i="1"/>
  <c r="N3023" i="1"/>
  <c r="J3023" i="1"/>
  <c r="I3023" i="1"/>
  <c r="H3023" i="1"/>
  <c r="G3023" i="1"/>
  <c r="F3023" i="1"/>
  <c r="E3023" i="1"/>
  <c r="D3023" i="1"/>
  <c r="C3023" i="1"/>
  <c r="V3022" i="1"/>
  <c r="Q3022" i="1"/>
  <c r="P3022" i="1"/>
  <c r="O3022" i="1"/>
  <c r="N3022" i="1"/>
  <c r="J3022" i="1"/>
  <c r="I3022" i="1"/>
  <c r="H3022" i="1"/>
  <c r="G3022" i="1"/>
  <c r="F3022" i="1"/>
  <c r="E3022" i="1"/>
  <c r="D3022" i="1"/>
  <c r="C3022" i="1"/>
  <c r="V3021" i="1"/>
  <c r="Q3021" i="1"/>
  <c r="P3021" i="1"/>
  <c r="O3021" i="1"/>
  <c r="N3021" i="1"/>
  <c r="J3021" i="1"/>
  <c r="I3021" i="1"/>
  <c r="H3021" i="1"/>
  <c r="G3021" i="1"/>
  <c r="F3021" i="1"/>
  <c r="E3021" i="1"/>
  <c r="D3021" i="1"/>
  <c r="C3021" i="1"/>
  <c r="V3020" i="1"/>
  <c r="Q3020" i="1"/>
  <c r="P3020" i="1"/>
  <c r="O3020" i="1"/>
  <c r="N3020" i="1"/>
  <c r="J3020" i="1"/>
  <c r="I3020" i="1"/>
  <c r="H3020" i="1"/>
  <c r="G3020" i="1"/>
  <c r="F3020" i="1"/>
  <c r="E3020" i="1"/>
  <c r="D3020" i="1"/>
  <c r="C3020" i="1"/>
  <c r="V3019" i="1"/>
  <c r="Q3019" i="1"/>
  <c r="P3019" i="1"/>
  <c r="O3019" i="1"/>
  <c r="N3019" i="1"/>
  <c r="J3019" i="1"/>
  <c r="I3019" i="1"/>
  <c r="H3019" i="1"/>
  <c r="G3019" i="1"/>
  <c r="F3019" i="1"/>
  <c r="E3019" i="1"/>
  <c r="D3019" i="1"/>
  <c r="C3019" i="1"/>
  <c r="V3018" i="1"/>
  <c r="Q3018" i="1"/>
  <c r="P3018" i="1"/>
  <c r="O3018" i="1"/>
  <c r="N3018" i="1"/>
  <c r="J3018" i="1"/>
  <c r="I3018" i="1"/>
  <c r="H3018" i="1"/>
  <c r="G3018" i="1"/>
  <c r="F3018" i="1"/>
  <c r="E3018" i="1"/>
  <c r="D3018" i="1"/>
  <c r="C3018" i="1"/>
  <c r="V3017" i="1"/>
  <c r="Q3017" i="1"/>
  <c r="P3017" i="1"/>
  <c r="O3017" i="1"/>
  <c r="N3017" i="1"/>
  <c r="J3017" i="1"/>
  <c r="I3017" i="1"/>
  <c r="H3017" i="1"/>
  <c r="G3017" i="1"/>
  <c r="F3017" i="1"/>
  <c r="E3017" i="1"/>
  <c r="D3017" i="1"/>
  <c r="C3017" i="1"/>
  <c r="V3016" i="1"/>
  <c r="Q3016" i="1"/>
  <c r="P3016" i="1"/>
  <c r="O3016" i="1"/>
  <c r="N3016" i="1"/>
  <c r="J3016" i="1"/>
  <c r="I3016" i="1"/>
  <c r="H3016" i="1"/>
  <c r="G3016" i="1"/>
  <c r="F3016" i="1"/>
  <c r="E3016" i="1"/>
  <c r="D3016" i="1"/>
  <c r="C3016" i="1"/>
  <c r="V3015" i="1"/>
  <c r="Q3015" i="1"/>
  <c r="P3015" i="1"/>
  <c r="O3015" i="1"/>
  <c r="N3015" i="1"/>
  <c r="J3015" i="1"/>
  <c r="I3015" i="1"/>
  <c r="H3015" i="1"/>
  <c r="G3015" i="1"/>
  <c r="F3015" i="1"/>
  <c r="E3015" i="1"/>
  <c r="D3015" i="1"/>
  <c r="C3015" i="1"/>
  <c r="V3014" i="1"/>
  <c r="Q3014" i="1"/>
  <c r="P3014" i="1"/>
  <c r="O3014" i="1"/>
  <c r="N3014" i="1"/>
  <c r="J3014" i="1"/>
  <c r="I3014" i="1"/>
  <c r="H3014" i="1"/>
  <c r="G3014" i="1"/>
  <c r="F3014" i="1"/>
  <c r="E3014" i="1"/>
  <c r="D3014" i="1"/>
  <c r="C3014" i="1"/>
  <c r="V3013" i="1"/>
  <c r="Q3013" i="1"/>
  <c r="P3013" i="1"/>
  <c r="O3013" i="1"/>
  <c r="N3013" i="1"/>
  <c r="J3013" i="1"/>
  <c r="I3013" i="1"/>
  <c r="H3013" i="1"/>
  <c r="G3013" i="1"/>
  <c r="F3013" i="1"/>
  <c r="E3013" i="1"/>
  <c r="D3013" i="1"/>
  <c r="C3013" i="1"/>
  <c r="V3012" i="1"/>
  <c r="Q3012" i="1"/>
  <c r="P3012" i="1"/>
  <c r="O3012" i="1"/>
  <c r="N3012" i="1"/>
  <c r="J3012" i="1"/>
  <c r="I3012" i="1"/>
  <c r="H3012" i="1"/>
  <c r="G3012" i="1"/>
  <c r="F3012" i="1"/>
  <c r="E3012" i="1"/>
  <c r="D3012" i="1"/>
  <c r="C3012" i="1"/>
  <c r="V3011" i="1"/>
  <c r="Q3011" i="1"/>
  <c r="P3011" i="1"/>
  <c r="O3011" i="1"/>
  <c r="N3011" i="1"/>
  <c r="J3011" i="1"/>
  <c r="I3011" i="1"/>
  <c r="H3011" i="1"/>
  <c r="G3011" i="1"/>
  <c r="F3011" i="1"/>
  <c r="E3011" i="1"/>
  <c r="D3011" i="1"/>
  <c r="C3011" i="1"/>
  <c r="V3010" i="1"/>
  <c r="Q3010" i="1"/>
  <c r="P3010" i="1"/>
  <c r="O3010" i="1"/>
  <c r="N3010" i="1"/>
  <c r="J3010" i="1"/>
  <c r="I3010" i="1"/>
  <c r="H3010" i="1"/>
  <c r="G3010" i="1"/>
  <c r="F3010" i="1"/>
  <c r="E3010" i="1"/>
  <c r="D3010" i="1"/>
  <c r="C3010" i="1"/>
  <c r="V3009" i="1"/>
  <c r="Q3009" i="1"/>
  <c r="P3009" i="1"/>
  <c r="O3009" i="1"/>
  <c r="N3009" i="1"/>
  <c r="J3009" i="1"/>
  <c r="I3009" i="1"/>
  <c r="H3009" i="1"/>
  <c r="G3009" i="1"/>
  <c r="F3009" i="1"/>
  <c r="E3009" i="1"/>
  <c r="D3009" i="1"/>
  <c r="C3009" i="1"/>
  <c r="V3008" i="1"/>
  <c r="Q3008" i="1"/>
  <c r="P3008" i="1"/>
  <c r="O3008" i="1"/>
  <c r="N3008" i="1"/>
  <c r="J3008" i="1"/>
  <c r="I3008" i="1"/>
  <c r="H3008" i="1"/>
  <c r="G3008" i="1"/>
  <c r="F3008" i="1"/>
  <c r="E3008" i="1"/>
  <c r="D3008" i="1"/>
  <c r="C3008" i="1"/>
  <c r="V3007" i="1"/>
  <c r="Q3007" i="1"/>
  <c r="P3007" i="1"/>
  <c r="O3007" i="1"/>
  <c r="N3007" i="1"/>
  <c r="J3007" i="1"/>
  <c r="I3007" i="1"/>
  <c r="H3007" i="1"/>
  <c r="G3007" i="1"/>
  <c r="F3007" i="1"/>
  <c r="E3007" i="1"/>
  <c r="D3007" i="1"/>
  <c r="C3007" i="1"/>
  <c r="V3006" i="1"/>
  <c r="Q3006" i="1"/>
  <c r="P3006" i="1"/>
  <c r="O3006" i="1"/>
  <c r="N3006" i="1"/>
  <c r="J3006" i="1"/>
  <c r="I3006" i="1"/>
  <c r="H3006" i="1"/>
  <c r="G3006" i="1"/>
  <c r="F3006" i="1"/>
  <c r="E3006" i="1"/>
  <c r="D3006" i="1"/>
  <c r="C3006" i="1"/>
  <c r="V3005" i="1"/>
  <c r="Q3005" i="1"/>
  <c r="P3005" i="1"/>
  <c r="O3005" i="1"/>
  <c r="N3005" i="1"/>
  <c r="J3005" i="1"/>
  <c r="I3005" i="1"/>
  <c r="H3005" i="1"/>
  <c r="G3005" i="1"/>
  <c r="F3005" i="1"/>
  <c r="E3005" i="1"/>
  <c r="D3005" i="1"/>
  <c r="C3005" i="1"/>
  <c r="V3004" i="1"/>
  <c r="Q3004" i="1"/>
  <c r="P3004" i="1"/>
  <c r="O3004" i="1"/>
  <c r="N3004" i="1"/>
  <c r="J3004" i="1"/>
  <c r="I3004" i="1"/>
  <c r="H3004" i="1"/>
  <c r="G3004" i="1"/>
  <c r="F3004" i="1"/>
  <c r="E3004" i="1"/>
  <c r="D3004" i="1"/>
  <c r="C3004" i="1"/>
  <c r="V3003" i="1"/>
  <c r="Q3003" i="1"/>
  <c r="P3003" i="1"/>
  <c r="O3003" i="1"/>
  <c r="N3003" i="1"/>
  <c r="J3003" i="1"/>
  <c r="I3003" i="1"/>
  <c r="H3003" i="1"/>
  <c r="G3003" i="1"/>
  <c r="F3003" i="1"/>
  <c r="E3003" i="1"/>
  <c r="D3003" i="1"/>
  <c r="C3003" i="1"/>
  <c r="V3002" i="1"/>
  <c r="Q3002" i="1"/>
  <c r="P3002" i="1"/>
  <c r="O3002" i="1"/>
  <c r="N3002" i="1"/>
  <c r="J3002" i="1"/>
  <c r="I3002" i="1"/>
  <c r="H3002" i="1"/>
  <c r="G3002" i="1"/>
  <c r="F3002" i="1"/>
  <c r="E3002" i="1"/>
  <c r="D3002" i="1"/>
  <c r="C3002" i="1"/>
  <c r="V3001" i="1"/>
  <c r="Q3001" i="1"/>
  <c r="P3001" i="1"/>
  <c r="O3001" i="1"/>
  <c r="N3001" i="1"/>
  <c r="J3001" i="1"/>
  <c r="I3001" i="1"/>
  <c r="H3001" i="1"/>
  <c r="G3001" i="1"/>
  <c r="F3001" i="1"/>
  <c r="E3001" i="1"/>
  <c r="D3001" i="1"/>
  <c r="C3001" i="1"/>
  <c r="V3000" i="1"/>
  <c r="Q3000" i="1"/>
  <c r="P3000" i="1"/>
  <c r="O3000" i="1"/>
  <c r="N3000" i="1"/>
  <c r="J3000" i="1"/>
  <c r="I3000" i="1"/>
  <c r="H3000" i="1"/>
  <c r="G3000" i="1"/>
  <c r="F3000" i="1"/>
  <c r="E3000" i="1"/>
  <c r="D3000" i="1"/>
  <c r="C3000" i="1"/>
  <c r="V2999" i="1"/>
  <c r="Q2999" i="1"/>
  <c r="P2999" i="1"/>
  <c r="O2999" i="1"/>
  <c r="N2999" i="1"/>
  <c r="J2999" i="1"/>
  <c r="I2999" i="1"/>
  <c r="H2999" i="1"/>
  <c r="G2999" i="1"/>
  <c r="F2999" i="1"/>
  <c r="E2999" i="1"/>
  <c r="D2999" i="1"/>
  <c r="C2999" i="1"/>
  <c r="V2998" i="1"/>
  <c r="Q2998" i="1"/>
  <c r="P2998" i="1"/>
  <c r="O2998" i="1"/>
  <c r="N2998" i="1"/>
  <c r="J2998" i="1"/>
  <c r="I2998" i="1"/>
  <c r="H2998" i="1"/>
  <c r="G2998" i="1"/>
  <c r="F2998" i="1"/>
  <c r="E2998" i="1"/>
  <c r="D2998" i="1"/>
  <c r="C2998" i="1"/>
  <c r="V2997" i="1"/>
  <c r="Q2997" i="1"/>
  <c r="P2997" i="1"/>
  <c r="O2997" i="1"/>
  <c r="N2997" i="1"/>
  <c r="J2997" i="1"/>
  <c r="I2997" i="1"/>
  <c r="H2997" i="1"/>
  <c r="G2997" i="1"/>
  <c r="F2997" i="1"/>
  <c r="E2997" i="1"/>
  <c r="D2997" i="1"/>
  <c r="C2997" i="1"/>
  <c r="V2996" i="1"/>
  <c r="Q2996" i="1"/>
  <c r="P2996" i="1"/>
  <c r="O2996" i="1"/>
  <c r="N2996" i="1"/>
  <c r="J2996" i="1"/>
  <c r="I2996" i="1"/>
  <c r="H2996" i="1"/>
  <c r="G2996" i="1"/>
  <c r="F2996" i="1"/>
  <c r="E2996" i="1"/>
  <c r="D2996" i="1"/>
  <c r="C2996" i="1"/>
  <c r="V2995" i="1"/>
  <c r="Q2995" i="1"/>
  <c r="P2995" i="1"/>
  <c r="O2995" i="1"/>
  <c r="N2995" i="1"/>
  <c r="J2995" i="1"/>
  <c r="I2995" i="1"/>
  <c r="H2995" i="1"/>
  <c r="G2995" i="1"/>
  <c r="F2995" i="1"/>
  <c r="E2995" i="1"/>
  <c r="D2995" i="1"/>
  <c r="C2995" i="1"/>
  <c r="V2994" i="1"/>
  <c r="Q2994" i="1"/>
  <c r="P2994" i="1"/>
  <c r="O2994" i="1"/>
  <c r="N2994" i="1"/>
  <c r="J2994" i="1"/>
  <c r="I2994" i="1"/>
  <c r="H2994" i="1"/>
  <c r="G2994" i="1"/>
  <c r="F2994" i="1"/>
  <c r="E2994" i="1"/>
  <c r="D2994" i="1"/>
  <c r="C2994" i="1"/>
  <c r="V2993" i="1"/>
  <c r="Q2993" i="1"/>
  <c r="P2993" i="1"/>
  <c r="O2993" i="1"/>
  <c r="N2993" i="1"/>
  <c r="J2993" i="1"/>
  <c r="I2993" i="1"/>
  <c r="H2993" i="1"/>
  <c r="G2993" i="1"/>
  <c r="F2993" i="1"/>
  <c r="E2993" i="1"/>
  <c r="D2993" i="1"/>
  <c r="C2993" i="1"/>
  <c r="V2992" i="1"/>
  <c r="Q2992" i="1"/>
  <c r="P2992" i="1"/>
  <c r="O2992" i="1"/>
  <c r="N2992" i="1"/>
  <c r="J2992" i="1"/>
  <c r="I2992" i="1"/>
  <c r="H2992" i="1"/>
  <c r="G2992" i="1"/>
  <c r="F2992" i="1"/>
  <c r="E2992" i="1"/>
  <c r="D2992" i="1"/>
  <c r="C2992" i="1"/>
  <c r="V2991" i="1"/>
  <c r="Q2991" i="1"/>
  <c r="P2991" i="1"/>
  <c r="O2991" i="1"/>
  <c r="N2991" i="1"/>
  <c r="J2991" i="1"/>
  <c r="I2991" i="1"/>
  <c r="H2991" i="1"/>
  <c r="G2991" i="1"/>
  <c r="F2991" i="1"/>
  <c r="E2991" i="1"/>
  <c r="D2991" i="1"/>
  <c r="C2991" i="1"/>
  <c r="V2990" i="1"/>
  <c r="Q2990" i="1"/>
  <c r="P2990" i="1"/>
  <c r="O2990" i="1"/>
  <c r="N2990" i="1"/>
  <c r="J2990" i="1"/>
  <c r="I2990" i="1"/>
  <c r="H2990" i="1"/>
  <c r="G2990" i="1"/>
  <c r="F2990" i="1"/>
  <c r="E2990" i="1"/>
  <c r="D2990" i="1"/>
  <c r="C2990" i="1"/>
  <c r="V2989" i="1"/>
  <c r="Q2989" i="1"/>
  <c r="P2989" i="1"/>
  <c r="O2989" i="1"/>
  <c r="N2989" i="1"/>
  <c r="J2989" i="1"/>
  <c r="I2989" i="1"/>
  <c r="H2989" i="1"/>
  <c r="G2989" i="1"/>
  <c r="F2989" i="1"/>
  <c r="E2989" i="1"/>
  <c r="D2989" i="1"/>
  <c r="C2989" i="1"/>
  <c r="V2988" i="1"/>
  <c r="Q2988" i="1"/>
  <c r="P2988" i="1"/>
  <c r="O2988" i="1"/>
  <c r="N2988" i="1"/>
  <c r="J2988" i="1"/>
  <c r="I2988" i="1"/>
  <c r="H2988" i="1"/>
  <c r="G2988" i="1"/>
  <c r="F2988" i="1"/>
  <c r="E2988" i="1"/>
  <c r="D2988" i="1"/>
  <c r="C2988" i="1"/>
  <c r="V2987" i="1"/>
  <c r="Q2987" i="1"/>
  <c r="P2987" i="1"/>
  <c r="O2987" i="1"/>
  <c r="N2987" i="1"/>
  <c r="J2987" i="1"/>
  <c r="I2987" i="1"/>
  <c r="H2987" i="1"/>
  <c r="G2987" i="1"/>
  <c r="F2987" i="1"/>
  <c r="E2987" i="1"/>
  <c r="D2987" i="1"/>
  <c r="C2987" i="1"/>
  <c r="V2986" i="1"/>
  <c r="Q2986" i="1"/>
  <c r="P2986" i="1"/>
  <c r="O2986" i="1"/>
  <c r="N2986" i="1"/>
  <c r="J2986" i="1"/>
  <c r="I2986" i="1"/>
  <c r="H2986" i="1"/>
  <c r="G2986" i="1"/>
  <c r="F2986" i="1"/>
  <c r="E2986" i="1"/>
  <c r="D2986" i="1"/>
  <c r="C2986" i="1"/>
  <c r="V2985" i="1"/>
  <c r="Q2985" i="1"/>
  <c r="P2985" i="1"/>
  <c r="O2985" i="1"/>
  <c r="N2985" i="1"/>
  <c r="J2985" i="1"/>
  <c r="I2985" i="1"/>
  <c r="H2985" i="1"/>
  <c r="G2985" i="1"/>
  <c r="F2985" i="1"/>
  <c r="E2985" i="1"/>
  <c r="D2985" i="1"/>
  <c r="C2985" i="1"/>
  <c r="V2984" i="1"/>
  <c r="Q2984" i="1"/>
  <c r="P2984" i="1"/>
  <c r="O2984" i="1"/>
  <c r="N2984" i="1"/>
  <c r="J2984" i="1"/>
  <c r="I2984" i="1"/>
  <c r="H2984" i="1"/>
  <c r="G2984" i="1"/>
  <c r="F2984" i="1"/>
  <c r="E2984" i="1"/>
  <c r="D2984" i="1"/>
  <c r="C2984" i="1"/>
  <c r="V2983" i="1"/>
  <c r="Q2983" i="1"/>
  <c r="P2983" i="1"/>
  <c r="O2983" i="1"/>
  <c r="N2983" i="1"/>
  <c r="J2983" i="1"/>
  <c r="I2983" i="1"/>
  <c r="H2983" i="1"/>
  <c r="G2983" i="1"/>
  <c r="F2983" i="1"/>
  <c r="E2983" i="1"/>
  <c r="D2983" i="1"/>
  <c r="C2983" i="1"/>
  <c r="V2982" i="1"/>
  <c r="Q2982" i="1"/>
  <c r="P2982" i="1"/>
  <c r="O2982" i="1"/>
  <c r="N2982" i="1"/>
  <c r="J2982" i="1"/>
  <c r="I2982" i="1"/>
  <c r="H2982" i="1"/>
  <c r="G2982" i="1"/>
  <c r="F2982" i="1"/>
  <c r="E2982" i="1"/>
  <c r="D2982" i="1"/>
  <c r="C2982" i="1"/>
  <c r="V2981" i="1"/>
  <c r="Q2981" i="1"/>
  <c r="P2981" i="1"/>
  <c r="O2981" i="1"/>
  <c r="N2981" i="1"/>
  <c r="J2981" i="1"/>
  <c r="I2981" i="1"/>
  <c r="H2981" i="1"/>
  <c r="G2981" i="1"/>
  <c r="F2981" i="1"/>
  <c r="E2981" i="1"/>
  <c r="D2981" i="1"/>
  <c r="C2981" i="1"/>
  <c r="V2980" i="1"/>
  <c r="Q2980" i="1"/>
  <c r="P2980" i="1"/>
  <c r="O2980" i="1"/>
  <c r="N2980" i="1"/>
  <c r="J2980" i="1"/>
  <c r="I2980" i="1"/>
  <c r="H2980" i="1"/>
  <c r="G2980" i="1"/>
  <c r="F2980" i="1"/>
  <c r="E2980" i="1"/>
  <c r="D2980" i="1"/>
  <c r="C2980" i="1"/>
  <c r="V2979" i="1"/>
  <c r="Q2979" i="1"/>
  <c r="P2979" i="1"/>
  <c r="O2979" i="1"/>
  <c r="N2979" i="1"/>
  <c r="J2979" i="1"/>
  <c r="I2979" i="1"/>
  <c r="H2979" i="1"/>
  <c r="G2979" i="1"/>
  <c r="F2979" i="1"/>
  <c r="E2979" i="1"/>
  <c r="D2979" i="1"/>
  <c r="C2979" i="1"/>
  <c r="V2978" i="1"/>
  <c r="Q2978" i="1"/>
  <c r="P2978" i="1"/>
  <c r="O2978" i="1"/>
  <c r="N2978" i="1"/>
  <c r="J2978" i="1"/>
  <c r="I2978" i="1"/>
  <c r="H2978" i="1"/>
  <c r="G2978" i="1"/>
  <c r="F2978" i="1"/>
  <c r="E2978" i="1"/>
  <c r="D2978" i="1"/>
  <c r="C2978" i="1"/>
  <c r="V2977" i="1"/>
  <c r="Q2977" i="1"/>
  <c r="P2977" i="1"/>
  <c r="O2977" i="1"/>
  <c r="N2977" i="1"/>
  <c r="J2977" i="1"/>
  <c r="I2977" i="1"/>
  <c r="H2977" i="1"/>
  <c r="G2977" i="1"/>
  <c r="F2977" i="1"/>
  <c r="E2977" i="1"/>
  <c r="D2977" i="1"/>
  <c r="C2977" i="1"/>
  <c r="V2976" i="1"/>
  <c r="Q2976" i="1"/>
  <c r="P2976" i="1"/>
  <c r="O2976" i="1"/>
  <c r="N2976" i="1"/>
  <c r="J2976" i="1"/>
  <c r="I2976" i="1"/>
  <c r="H2976" i="1"/>
  <c r="G2976" i="1"/>
  <c r="F2976" i="1"/>
  <c r="E2976" i="1"/>
  <c r="D2976" i="1"/>
  <c r="C2976" i="1"/>
  <c r="V2975" i="1"/>
  <c r="Q2975" i="1"/>
  <c r="P2975" i="1"/>
  <c r="O2975" i="1"/>
  <c r="N2975" i="1"/>
  <c r="J2975" i="1"/>
  <c r="I2975" i="1"/>
  <c r="H2975" i="1"/>
  <c r="G2975" i="1"/>
  <c r="F2975" i="1"/>
  <c r="E2975" i="1"/>
  <c r="D2975" i="1"/>
  <c r="C2975" i="1"/>
  <c r="V2974" i="1"/>
  <c r="Q2974" i="1"/>
  <c r="P2974" i="1"/>
  <c r="O2974" i="1"/>
  <c r="N2974" i="1"/>
  <c r="J2974" i="1"/>
  <c r="I2974" i="1"/>
  <c r="H2974" i="1"/>
  <c r="G2974" i="1"/>
  <c r="F2974" i="1"/>
  <c r="E2974" i="1"/>
  <c r="D2974" i="1"/>
  <c r="C2974" i="1"/>
  <c r="V2973" i="1"/>
  <c r="Q2973" i="1"/>
  <c r="P2973" i="1"/>
  <c r="O2973" i="1"/>
  <c r="N2973" i="1"/>
  <c r="J2973" i="1"/>
  <c r="I2973" i="1"/>
  <c r="H2973" i="1"/>
  <c r="G2973" i="1"/>
  <c r="F2973" i="1"/>
  <c r="E2973" i="1"/>
  <c r="D2973" i="1"/>
  <c r="C2973" i="1"/>
  <c r="V2972" i="1"/>
  <c r="Q2972" i="1"/>
  <c r="P2972" i="1"/>
  <c r="O2972" i="1"/>
  <c r="N2972" i="1"/>
  <c r="J2972" i="1"/>
  <c r="I2972" i="1"/>
  <c r="H2972" i="1"/>
  <c r="G2972" i="1"/>
  <c r="F2972" i="1"/>
  <c r="E2972" i="1"/>
  <c r="D2972" i="1"/>
  <c r="C2972" i="1"/>
  <c r="V2971" i="1"/>
  <c r="Q2971" i="1"/>
  <c r="P2971" i="1"/>
  <c r="O2971" i="1"/>
  <c r="N2971" i="1"/>
  <c r="J2971" i="1"/>
  <c r="I2971" i="1"/>
  <c r="H2971" i="1"/>
  <c r="G2971" i="1"/>
  <c r="F2971" i="1"/>
  <c r="E2971" i="1"/>
  <c r="D2971" i="1"/>
  <c r="C2971" i="1"/>
  <c r="V2970" i="1"/>
  <c r="Q2970" i="1"/>
  <c r="P2970" i="1"/>
  <c r="O2970" i="1"/>
  <c r="N2970" i="1"/>
  <c r="J2970" i="1"/>
  <c r="I2970" i="1"/>
  <c r="H2970" i="1"/>
  <c r="G2970" i="1"/>
  <c r="F2970" i="1"/>
  <c r="E2970" i="1"/>
  <c r="D2970" i="1"/>
  <c r="C2970" i="1"/>
  <c r="V2969" i="1"/>
  <c r="Q2969" i="1"/>
  <c r="P2969" i="1"/>
  <c r="O2969" i="1"/>
  <c r="N2969" i="1"/>
  <c r="J2969" i="1"/>
  <c r="I2969" i="1"/>
  <c r="H2969" i="1"/>
  <c r="G2969" i="1"/>
  <c r="F2969" i="1"/>
  <c r="E2969" i="1"/>
  <c r="D2969" i="1"/>
  <c r="C2969" i="1"/>
  <c r="V2968" i="1"/>
  <c r="Q2968" i="1"/>
  <c r="P2968" i="1"/>
  <c r="O2968" i="1"/>
  <c r="N2968" i="1"/>
  <c r="J2968" i="1"/>
  <c r="I2968" i="1"/>
  <c r="H2968" i="1"/>
  <c r="G2968" i="1"/>
  <c r="F2968" i="1"/>
  <c r="E2968" i="1"/>
  <c r="D2968" i="1"/>
  <c r="C2968" i="1"/>
  <c r="V2967" i="1"/>
  <c r="Q2967" i="1"/>
  <c r="P2967" i="1"/>
  <c r="O2967" i="1"/>
  <c r="N2967" i="1"/>
  <c r="J2967" i="1"/>
  <c r="I2967" i="1"/>
  <c r="H2967" i="1"/>
  <c r="G2967" i="1"/>
  <c r="F2967" i="1"/>
  <c r="E2967" i="1"/>
  <c r="D2967" i="1"/>
  <c r="C2967" i="1"/>
  <c r="V2966" i="1"/>
  <c r="Q2966" i="1"/>
  <c r="P2966" i="1"/>
  <c r="O2966" i="1"/>
  <c r="N2966" i="1"/>
  <c r="J2966" i="1"/>
  <c r="I2966" i="1"/>
  <c r="H2966" i="1"/>
  <c r="G2966" i="1"/>
  <c r="F2966" i="1"/>
  <c r="E2966" i="1"/>
  <c r="D2966" i="1"/>
  <c r="C2966" i="1"/>
  <c r="V2965" i="1"/>
  <c r="Q2965" i="1"/>
  <c r="P2965" i="1"/>
  <c r="O2965" i="1"/>
  <c r="N2965" i="1"/>
  <c r="J2965" i="1"/>
  <c r="I2965" i="1"/>
  <c r="H2965" i="1"/>
  <c r="G2965" i="1"/>
  <c r="F2965" i="1"/>
  <c r="E2965" i="1"/>
  <c r="D2965" i="1"/>
  <c r="C2965" i="1"/>
  <c r="V2964" i="1"/>
  <c r="Q2964" i="1"/>
  <c r="P2964" i="1"/>
  <c r="O2964" i="1"/>
  <c r="N2964" i="1"/>
  <c r="J2964" i="1"/>
  <c r="I2964" i="1"/>
  <c r="H2964" i="1"/>
  <c r="G2964" i="1"/>
  <c r="F2964" i="1"/>
  <c r="E2964" i="1"/>
  <c r="D2964" i="1"/>
  <c r="C2964" i="1"/>
  <c r="V2963" i="1"/>
  <c r="Q2963" i="1"/>
  <c r="P2963" i="1"/>
  <c r="O2963" i="1"/>
  <c r="N2963" i="1"/>
  <c r="J2963" i="1"/>
  <c r="I2963" i="1"/>
  <c r="H2963" i="1"/>
  <c r="G2963" i="1"/>
  <c r="F2963" i="1"/>
  <c r="E2963" i="1"/>
  <c r="D2963" i="1"/>
  <c r="C2963" i="1"/>
  <c r="V2962" i="1"/>
  <c r="Q2962" i="1"/>
  <c r="P2962" i="1"/>
  <c r="O2962" i="1"/>
  <c r="N2962" i="1"/>
  <c r="J2962" i="1"/>
  <c r="I2962" i="1"/>
  <c r="H2962" i="1"/>
  <c r="G2962" i="1"/>
  <c r="F2962" i="1"/>
  <c r="E2962" i="1"/>
  <c r="D2962" i="1"/>
  <c r="C2962" i="1"/>
  <c r="V2961" i="1"/>
  <c r="Q2961" i="1"/>
  <c r="P2961" i="1"/>
  <c r="O2961" i="1"/>
  <c r="N2961" i="1"/>
  <c r="J2961" i="1"/>
  <c r="I2961" i="1"/>
  <c r="H2961" i="1"/>
  <c r="G2961" i="1"/>
  <c r="F2961" i="1"/>
  <c r="E2961" i="1"/>
  <c r="D2961" i="1"/>
  <c r="C2961" i="1"/>
  <c r="V2960" i="1"/>
  <c r="Q2960" i="1"/>
  <c r="P2960" i="1"/>
  <c r="O2960" i="1"/>
  <c r="N2960" i="1"/>
  <c r="J2960" i="1"/>
  <c r="I2960" i="1"/>
  <c r="H2960" i="1"/>
  <c r="G2960" i="1"/>
  <c r="F2960" i="1"/>
  <c r="E2960" i="1"/>
  <c r="D2960" i="1"/>
  <c r="C2960" i="1"/>
  <c r="V2959" i="1"/>
  <c r="Q2959" i="1"/>
  <c r="P2959" i="1"/>
  <c r="O2959" i="1"/>
  <c r="N2959" i="1"/>
  <c r="J2959" i="1"/>
  <c r="I2959" i="1"/>
  <c r="H2959" i="1"/>
  <c r="G2959" i="1"/>
  <c r="F2959" i="1"/>
  <c r="E2959" i="1"/>
  <c r="D2959" i="1"/>
  <c r="C2959" i="1"/>
  <c r="V2958" i="1"/>
  <c r="Q2958" i="1"/>
  <c r="P2958" i="1"/>
  <c r="O2958" i="1"/>
  <c r="N2958" i="1"/>
  <c r="J2958" i="1"/>
  <c r="I2958" i="1"/>
  <c r="H2958" i="1"/>
  <c r="G2958" i="1"/>
  <c r="F2958" i="1"/>
  <c r="E2958" i="1"/>
  <c r="D2958" i="1"/>
  <c r="C2958" i="1"/>
  <c r="V2957" i="1"/>
  <c r="Q2957" i="1"/>
  <c r="P2957" i="1"/>
  <c r="O2957" i="1"/>
  <c r="N2957" i="1"/>
  <c r="J2957" i="1"/>
  <c r="I2957" i="1"/>
  <c r="H2957" i="1"/>
  <c r="G2957" i="1"/>
  <c r="F2957" i="1"/>
  <c r="E2957" i="1"/>
  <c r="D2957" i="1"/>
  <c r="C2957" i="1"/>
  <c r="V2956" i="1"/>
  <c r="Q2956" i="1"/>
  <c r="P2956" i="1"/>
  <c r="O2956" i="1"/>
  <c r="N2956" i="1"/>
  <c r="J2956" i="1"/>
  <c r="I2956" i="1"/>
  <c r="H2956" i="1"/>
  <c r="G2956" i="1"/>
  <c r="F2956" i="1"/>
  <c r="E2956" i="1"/>
  <c r="D2956" i="1"/>
  <c r="C2956" i="1"/>
  <c r="V2955" i="1"/>
  <c r="Q2955" i="1"/>
  <c r="P2955" i="1"/>
  <c r="O2955" i="1"/>
  <c r="N2955" i="1"/>
  <c r="J2955" i="1"/>
  <c r="I2955" i="1"/>
  <c r="H2955" i="1"/>
  <c r="G2955" i="1"/>
  <c r="F2955" i="1"/>
  <c r="E2955" i="1"/>
  <c r="D2955" i="1"/>
  <c r="C2955" i="1"/>
  <c r="V2954" i="1"/>
  <c r="Q2954" i="1"/>
  <c r="P2954" i="1"/>
  <c r="O2954" i="1"/>
  <c r="N2954" i="1"/>
  <c r="J2954" i="1"/>
  <c r="I2954" i="1"/>
  <c r="H2954" i="1"/>
  <c r="G2954" i="1"/>
  <c r="F2954" i="1"/>
  <c r="E2954" i="1"/>
  <c r="D2954" i="1"/>
  <c r="C2954" i="1"/>
  <c r="V2953" i="1"/>
  <c r="Q2953" i="1"/>
  <c r="P2953" i="1"/>
  <c r="O2953" i="1"/>
  <c r="N2953" i="1"/>
  <c r="J2953" i="1"/>
  <c r="I2953" i="1"/>
  <c r="H2953" i="1"/>
  <c r="G2953" i="1"/>
  <c r="F2953" i="1"/>
  <c r="E2953" i="1"/>
  <c r="D2953" i="1"/>
  <c r="C2953" i="1"/>
  <c r="V2952" i="1"/>
  <c r="Q2952" i="1"/>
  <c r="P2952" i="1"/>
  <c r="O2952" i="1"/>
  <c r="N2952" i="1"/>
  <c r="J2952" i="1"/>
  <c r="I2952" i="1"/>
  <c r="H2952" i="1"/>
  <c r="G2952" i="1"/>
  <c r="F2952" i="1"/>
  <c r="E2952" i="1"/>
  <c r="D2952" i="1"/>
  <c r="C2952" i="1"/>
  <c r="V2951" i="1"/>
  <c r="Q2951" i="1"/>
  <c r="P2951" i="1"/>
  <c r="O2951" i="1"/>
  <c r="N2951" i="1"/>
  <c r="J2951" i="1"/>
  <c r="I2951" i="1"/>
  <c r="H2951" i="1"/>
  <c r="G2951" i="1"/>
  <c r="F2951" i="1"/>
  <c r="E2951" i="1"/>
  <c r="D2951" i="1"/>
  <c r="C2951" i="1"/>
  <c r="V2950" i="1"/>
  <c r="Q2950" i="1"/>
  <c r="P2950" i="1"/>
  <c r="O2950" i="1"/>
  <c r="N2950" i="1"/>
  <c r="J2950" i="1"/>
  <c r="I2950" i="1"/>
  <c r="H2950" i="1"/>
  <c r="G2950" i="1"/>
  <c r="F2950" i="1"/>
  <c r="E2950" i="1"/>
  <c r="D2950" i="1"/>
  <c r="C2950" i="1"/>
  <c r="V2949" i="1"/>
  <c r="Q2949" i="1"/>
  <c r="P2949" i="1"/>
  <c r="O2949" i="1"/>
  <c r="N2949" i="1"/>
  <c r="J2949" i="1"/>
  <c r="I2949" i="1"/>
  <c r="H2949" i="1"/>
  <c r="G2949" i="1"/>
  <c r="F2949" i="1"/>
  <c r="E2949" i="1"/>
  <c r="D2949" i="1"/>
  <c r="C2949" i="1"/>
  <c r="V2948" i="1"/>
  <c r="Q2948" i="1"/>
  <c r="P2948" i="1"/>
  <c r="O2948" i="1"/>
  <c r="N2948" i="1"/>
  <c r="J2948" i="1"/>
  <c r="I2948" i="1"/>
  <c r="H2948" i="1"/>
  <c r="G2948" i="1"/>
  <c r="F2948" i="1"/>
  <c r="E2948" i="1"/>
  <c r="D2948" i="1"/>
  <c r="C2948" i="1"/>
  <c r="V2947" i="1"/>
  <c r="Q2947" i="1"/>
  <c r="P2947" i="1"/>
  <c r="O2947" i="1"/>
  <c r="N2947" i="1"/>
  <c r="J2947" i="1"/>
  <c r="I2947" i="1"/>
  <c r="H2947" i="1"/>
  <c r="G2947" i="1"/>
  <c r="F2947" i="1"/>
  <c r="E2947" i="1"/>
  <c r="D2947" i="1"/>
  <c r="C2947" i="1"/>
  <c r="V2946" i="1"/>
  <c r="Q2946" i="1"/>
  <c r="P2946" i="1"/>
  <c r="O2946" i="1"/>
  <c r="N2946" i="1"/>
  <c r="J2946" i="1"/>
  <c r="I2946" i="1"/>
  <c r="H2946" i="1"/>
  <c r="G2946" i="1"/>
  <c r="F2946" i="1"/>
  <c r="E2946" i="1"/>
  <c r="D2946" i="1"/>
  <c r="C2946" i="1"/>
  <c r="V2945" i="1"/>
  <c r="Q2945" i="1"/>
  <c r="P2945" i="1"/>
  <c r="O2945" i="1"/>
  <c r="N2945" i="1"/>
  <c r="J2945" i="1"/>
  <c r="I2945" i="1"/>
  <c r="H2945" i="1"/>
  <c r="G2945" i="1"/>
  <c r="F2945" i="1"/>
  <c r="E2945" i="1"/>
  <c r="D2945" i="1"/>
  <c r="C2945" i="1"/>
  <c r="V2944" i="1"/>
  <c r="Q2944" i="1"/>
  <c r="P2944" i="1"/>
  <c r="O2944" i="1"/>
  <c r="N2944" i="1"/>
  <c r="J2944" i="1"/>
  <c r="I2944" i="1"/>
  <c r="H2944" i="1"/>
  <c r="G2944" i="1"/>
  <c r="F2944" i="1"/>
  <c r="E2944" i="1"/>
  <c r="D2944" i="1"/>
  <c r="C2944" i="1"/>
  <c r="V2943" i="1"/>
  <c r="Q2943" i="1"/>
  <c r="P2943" i="1"/>
  <c r="O2943" i="1"/>
  <c r="N2943" i="1"/>
  <c r="J2943" i="1"/>
  <c r="I2943" i="1"/>
  <c r="H2943" i="1"/>
  <c r="G2943" i="1"/>
  <c r="F2943" i="1"/>
  <c r="E2943" i="1"/>
  <c r="D2943" i="1"/>
  <c r="C2943" i="1"/>
  <c r="V2942" i="1"/>
  <c r="Q2942" i="1"/>
  <c r="P2942" i="1"/>
  <c r="O2942" i="1"/>
  <c r="N2942" i="1"/>
  <c r="J2942" i="1"/>
  <c r="I2942" i="1"/>
  <c r="H2942" i="1"/>
  <c r="G2942" i="1"/>
  <c r="F2942" i="1"/>
  <c r="E2942" i="1"/>
  <c r="D2942" i="1"/>
  <c r="C2942" i="1"/>
  <c r="V2941" i="1"/>
  <c r="Q2941" i="1"/>
  <c r="P2941" i="1"/>
  <c r="O2941" i="1"/>
  <c r="N2941" i="1"/>
  <c r="J2941" i="1"/>
  <c r="I2941" i="1"/>
  <c r="H2941" i="1"/>
  <c r="G2941" i="1"/>
  <c r="F2941" i="1"/>
  <c r="E2941" i="1"/>
  <c r="D2941" i="1"/>
  <c r="C2941" i="1"/>
  <c r="V2940" i="1"/>
  <c r="Q2940" i="1"/>
  <c r="P2940" i="1"/>
  <c r="O2940" i="1"/>
  <c r="N2940" i="1"/>
  <c r="J2940" i="1"/>
  <c r="I2940" i="1"/>
  <c r="H2940" i="1"/>
  <c r="G2940" i="1"/>
  <c r="F2940" i="1"/>
  <c r="E2940" i="1"/>
  <c r="D2940" i="1"/>
  <c r="C2940" i="1"/>
  <c r="V2939" i="1"/>
  <c r="Q2939" i="1"/>
  <c r="P2939" i="1"/>
  <c r="O2939" i="1"/>
  <c r="N2939" i="1"/>
  <c r="J2939" i="1"/>
  <c r="I2939" i="1"/>
  <c r="H2939" i="1"/>
  <c r="G2939" i="1"/>
  <c r="F2939" i="1"/>
  <c r="E2939" i="1"/>
  <c r="D2939" i="1"/>
  <c r="C2939" i="1"/>
  <c r="V2938" i="1"/>
  <c r="Q2938" i="1"/>
  <c r="P2938" i="1"/>
  <c r="O2938" i="1"/>
  <c r="N2938" i="1"/>
  <c r="J2938" i="1"/>
  <c r="I2938" i="1"/>
  <c r="H2938" i="1"/>
  <c r="G2938" i="1"/>
  <c r="F2938" i="1"/>
  <c r="E2938" i="1"/>
  <c r="D2938" i="1"/>
  <c r="C2938" i="1"/>
  <c r="V2937" i="1"/>
  <c r="Q2937" i="1"/>
  <c r="P2937" i="1"/>
  <c r="O2937" i="1"/>
  <c r="N2937" i="1"/>
  <c r="J2937" i="1"/>
  <c r="I2937" i="1"/>
  <c r="H2937" i="1"/>
  <c r="G2937" i="1"/>
  <c r="F2937" i="1"/>
  <c r="E2937" i="1"/>
  <c r="D2937" i="1"/>
  <c r="C2937" i="1"/>
  <c r="V2936" i="1"/>
  <c r="Q2936" i="1"/>
  <c r="P2936" i="1"/>
  <c r="O2936" i="1"/>
  <c r="N2936" i="1"/>
  <c r="J2936" i="1"/>
  <c r="I2936" i="1"/>
  <c r="H2936" i="1"/>
  <c r="G2936" i="1"/>
  <c r="F2936" i="1"/>
  <c r="E2936" i="1"/>
  <c r="D2936" i="1"/>
  <c r="C2936" i="1"/>
  <c r="V2935" i="1"/>
  <c r="Q2935" i="1"/>
  <c r="P2935" i="1"/>
  <c r="O2935" i="1"/>
  <c r="N2935" i="1"/>
  <c r="J2935" i="1"/>
  <c r="I2935" i="1"/>
  <c r="H2935" i="1"/>
  <c r="G2935" i="1"/>
  <c r="F2935" i="1"/>
  <c r="E2935" i="1"/>
  <c r="D2935" i="1"/>
  <c r="C2935" i="1"/>
  <c r="V2934" i="1"/>
  <c r="Q2934" i="1"/>
  <c r="P2934" i="1"/>
  <c r="O2934" i="1"/>
  <c r="N2934" i="1"/>
  <c r="J2934" i="1"/>
  <c r="I2934" i="1"/>
  <c r="H2934" i="1"/>
  <c r="G2934" i="1"/>
  <c r="F2934" i="1"/>
  <c r="E2934" i="1"/>
  <c r="D2934" i="1"/>
  <c r="C2934" i="1"/>
  <c r="V2933" i="1"/>
  <c r="Q2933" i="1"/>
  <c r="P2933" i="1"/>
  <c r="O2933" i="1"/>
  <c r="N2933" i="1"/>
  <c r="J2933" i="1"/>
  <c r="I2933" i="1"/>
  <c r="H2933" i="1"/>
  <c r="G2933" i="1"/>
  <c r="F2933" i="1"/>
  <c r="E2933" i="1"/>
  <c r="D2933" i="1"/>
  <c r="C2933" i="1"/>
  <c r="V2932" i="1"/>
  <c r="Q2932" i="1"/>
  <c r="P2932" i="1"/>
  <c r="O2932" i="1"/>
  <c r="N2932" i="1"/>
  <c r="J2932" i="1"/>
  <c r="I2932" i="1"/>
  <c r="H2932" i="1"/>
  <c r="G2932" i="1"/>
  <c r="F2932" i="1"/>
  <c r="E2932" i="1"/>
  <c r="D2932" i="1"/>
  <c r="C2932" i="1"/>
  <c r="V2931" i="1"/>
  <c r="Q2931" i="1"/>
  <c r="P2931" i="1"/>
  <c r="O2931" i="1"/>
  <c r="N2931" i="1"/>
  <c r="J2931" i="1"/>
  <c r="I2931" i="1"/>
  <c r="H2931" i="1"/>
  <c r="G2931" i="1"/>
  <c r="F2931" i="1"/>
  <c r="E2931" i="1"/>
  <c r="D2931" i="1"/>
  <c r="C2931" i="1"/>
  <c r="V2930" i="1"/>
  <c r="Q2930" i="1"/>
  <c r="P2930" i="1"/>
  <c r="O2930" i="1"/>
  <c r="N2930" i="1"/>
  <c r="J2930" i="1"/>
  <c r="I2930" i="1"/>
  <c r="H2930" i="1"/>
  <c r="G2930" i="1"/>
  <c r="F2930" i="1"/>
  <c r="E2930" i="1"/>
  <c r="D2930" i="1"/>
  <c r="C2930" i="1"/>
  <c r="V2929" i="1"/>
  <c r="Q2929" i="1"/>
  <c r="P2929" i="1"/>
  <c r="O2929" i="1"/>
  <c r="N2929" i="1"/>
  <c r="J2929" i="1"/>
  <c r="I2929" i="1"/>
  <c r="H2929" i="1"/>
  <c r="G2929" i="1"/>
  <c r="F2929" i="1"/>
  <c r="E2929" i="1"/>
  <c r="D2929" i="1"/>
  <c r="C2929" i="1"/>
  <c r="V2928" i="1"/>
  <c r="Q2928" i="1"/>
  <c r="P2928" i="1"/>
  <c r="O2928" i="1"/>
  <c r="N2928" i="1"/>
  <c r="J2928" i="1"/>
  <c r="I2928" i="1"/>
  <c r="H2928" i="1"/>
  <c r="G2928" i="1"/>
  <c r="F2928" i="1"/>
  <c r="E2928" i="1"/>
  <c r="D2928" i="1"/>
  <c r="C2928" i="1"/>
  <c r="V2927" i="1"/>
  <c r="Q2927" i="1"/>
  <c r="P2927" i="1"/>
  <c r="O2927" i="1"/>
  <c r="N2927" i="1"/>
  <c r="J2927" i="1"/>
  <c r="I2927" i="1"/>
  <c r="H2927" i="1"/>
  <c r="G2927" i="1"/>
  <c r="F2927" i="1"/>
  <c r="E2927" i="1"/>
  <c r="D2927" i="1"/>
  <c r="C2927" i="1"/>
  <c r="V2926" i="1"/>
  <c r="Q2926" i="1"/>
  <c r="P2926" i="1"/>
  <c r="O2926" i="1"/>
  <c r="N2926" i="1"/>
  <c r="J2926" i="1"/>
  <c r="I2926" i="1"/>
  <c r="H2926" i="1"/>
  <c r="G2926" i="1"/>
  <c r="F2926" i="1"/>
  <c r="E2926" i="1"/>
  <c r="D2926" i="1"/>
  <c r="C2926" i="1"/>
  <c r="V2925" i="1"/>
  <c r="Q2925" i="1"/>
  <c r="P2925" i="1"/>
  <c r="O2925" i="1"/>
  <c r="N2925" i="1"/>
  <c r="J2925" i="1"/>
  <c r="I2925" i="1"/>
  <c r="H2925" i="1"/>
  <c r="G2925" i="1"/>
  <c r="F2925" i="1"/>
  <c r="E2925" i="1"/>
  <c r="D2925" i="1"/>
  <c r="C2925" i="1"/>
  <c r="V2924" i="1"/>
  <c r="Q2924" i="1"/>
  <c r="P2924" i="1"/>
  <c r="O2924" i="1"/>
  <c r="N2924" i="1"/>
  <c r="J2924" i="1"/>
  <c r="I2924" i="1"/>
  <c r="H2924" i="1"/>
  <c r="G2924" i="1"/>
  <c r="F2924" i="1"/>
  <c r="E2924" i="1"/>
  <c r="D2924" i="1"/>
  <c r="C2924" i="1"/>
  <c r="V2923" i="1"/>
  <c r="Q2923" i="1"/>
  <c r="P2923" i="1"/>
  <c r="O2923" i="1"/>
  <c r="N2923" i="1"/>
  <c r="J2923" i="1"/>
  <c r="I2923" i="1"/>
  <c r="H2923" i="1"/>
  <c r="G2923" i="1"/>
  <c r="F2923" i="1"/>
  <c r="E2923" i="1"/>
  <c r="D2923" i="1"/>
  <c r="C2923" i="1"/>
  <c r="V2922" i="1"/>
  <c r="Q2922" i="1"/>
  <c r="P2922" i="1"/>
  <c r="O2922" i="1"/>
  <c r="N2922" i="1"/>
  <c r="J2922" i="1"/>
  <c r="I2922" i="1"/>
  <c r="H2922" i="1"/>
  <c r="G2922" i="1"/>
  <c r="F2922" i="1"/>
  <c r="E2922" i="1"/>
  <c r="D2922" i="1"/>
  <c r="C2922" i="1"/>
  <c r="V2921" i="1"/>
  <c r="Q2921" i="1"/>
  <c r="P2921" i="1"/>
  <c r="O2921" i="1"/>
  <c r="N2921" i="1"/>
  <c r="J2921" i="1"/>
  <c r="I2921" i="1"/>
  <c r="H2921" i="1"/>
  <c r="G2921" i="1"/>
  <c r="F2921" i="1"/>
  <c r="E2921" i="1"/>
  <c r="D2921" i="1"/>
  <c r="C2921" i="1"/>
  <c r="V2920" i="1"/>
  <c r="Q2920" i="1"/>
  <c r="P2920" i="1"/>
  <c r="O2920" i="1"/>
  <c r="N2920" i="1"/>
  <c r="J2920" i="1"/>
  <c r="I2920" i="1"/>
  <c r="H2920" i="1"/>
  <c r="G2920" i="1"/>
  <c r="F2920" i="1"/>
  <c r="E2920" i="1"/>
  <c r="D2920" i="1"/>
  <c r="C2920" i="1"/>
  <c r="V2919" i="1"/>
  <c r="Q2919" i="1"/>
  <c r="P2919" i="1"/>
  <c r="O2919" i="1"/>
  <c r="N2919" i="1"/>
  <c r="J2919" i="1"/>
  <c r="I2919" i="1"/>
  <c r="H2919" i="1"/>
  <c r="G2919" i="1"/>
  <c r="F2919" i="1"/>
  <c r="E2919" i="1"/>
  <c r="D2919" i="1"/>
  <c r="C2919" i="1"/>
  <c r="V2918" i="1"/>
  <c r="Q2918" i="1"/>
  <c r="P2918" i="1"/>
  <c r="O2918" i="1"/>
  <c r="N2918" i="1"/>
  <c r="J2918" i="1"/>
  <c r="I2918" i="1"/>
  <c r="H2918" i="1"/>
  <c r="G2918" i="1"/>
  <c r="F2918" i="1"/>
  <c r="E2918" i="1"/>
  <c r="D2918" i="1"/>
  <c r="C2918" i="1"/>
  <c r="V2917" i="1"/>
  <c r="Q2917" i="1"/>
  <c r="P2917" i="1"/>
  <c r="O2917" i="1"/>
  <c r="N2917" i="1"/>
  <c r="J2917" i="1"/>
  <c r="I2917" i="1"/>
  <c r="H2917" i="1"/>
  <c r="G2917" i="1"/>
  <c r="F2917" i="1"/>
  <c r="E2917" i="1"/>
  <c r="D2917" i="1"/>
  <c r="C2917" i="1"/>
  <c r="V2916" i="1"/>
  <c r="Q2916" i="1"/>
  <c r="P2916" i="1"/>
  <c r="O2916" i="1"/>
  <c r="N2916" i="1"/>
  <c r="J2916" i="1"/>
  <c r="I2916" i="1"/>
  <c r="H2916" i="1"/>
  <c r="G2916" i="1"/>
  <c r="F2916" i="1"/>
  <c r="E2916" i="1"/>
  <c r="D2916" i="1"/>
  <c r="C2916" i="1"/>
  <c r="V2915" i="1"/>
  <c r="Q2915" i="1"/>
  <c r="P2915" i="1"/>
  <c r="O2915" i="1"/>
  <c r="N2915" i="1"/>
  <c r="J2915" i="1"/>
  <c r="I2915" i="1"/>
  <c r="H2915" i="1"/>
  <c r="G2915" i="1"/>
  <c r="F2915" i="1"/>
  <c r="E2915" i="1"/>
  <c r="D2915" i="1"/>
  <c r="C2915" i="1"/>
  <c r="V2914" i="1"/>
  <c r="Q2914" i="1"/>
  <c r="P2914" i="1"/>
  <c r="O2914" i="1"/>
  <c r="N2914" i="1"/>
  <c r="J2914" i="1"/>
  <c r="I2914" i="1"/>
  <c r="H2914" i="1"/>
  <c r="G2914" i="1"/>
  <c r="F2914" i="1"/>
  <c r="E2914" i="1"/>
  <c r="D2914" i="1"/>
  <c r="C2914" i="1"/>
  <c r="V2913" i="1"/>
  <c r="Q2913" i="1"/>
  <c r="P2913" i="1"/>
  <c r="O2913" i="1"/>
  <c r="N2913" i="1"/>
  <c r="J2913" i="1"/>
  <c r="I2913" i="1"/>
  <c r="H2913" i="1"/>
  <c r="G2913" i="1"/>
  <c r="F2913" i="1"/>
  <c r="E2913" i="1"/>
  <c r="D2913" i="1"/>
  <c r="C2913" i="1"/>
  <c r="V2912" i="1"/>
  <c r="Q2912" i="1"/>
  <c r="P2912" i="1"/>
  <c r="O2912" i="1"/>
  <c r="N2912" i="1"/>
  <c r="J2912" i="1"/>
  <c r="I2912" i="1"/>
  <c r="H2912" i="1"/>
  <c r="G2912" i="1"/>
  <c r="F2912" i="1"/>
  <c r="E2912" i="1"/>
  <c r="D2912" i="1"/>
  <c r="C2912" i="1"/>
  <c r="V2911" i="1"/>
  <c r="Q2911" i="1"/>
  <c r="P2911" i="1"/>
  <c r="O2911" i="1"/>
  <c r="N2911" i="1"/>
  <c r="J2911" i="1"/>
  <c r="I2911" i="1"/>
  <c r="H2911" i="1"/>
  <c r="G2911" i="1"/>
  <c r="F2911" i="1"/>
  <c r="E2911" i="1"/>
  <c r="D2911" i="1"/>
  <c r="C2911" i="1"/>
  <c r="V2910" i="1"/>
  <c r="Q2910" i="1"/>
  <c r="P2910" i="1"/>
  <c r="O2910" i="1"/>
  <c r="N2910" i="1"/>
  <c r="J2910" i="1"/>
  <c r="I2910" i="1"/>
  <c r="H2910" i="1"/>
  <c r="G2910" i="1"/>
  <c r="F2910" i="1"/>
  <c r="E2910" i="1"/>
  <c r="D2910" i="1"/>
  <c r="C2910" i="1"/>
  <c r="V2909" i="1"/>
  <c r="Q2909" i="1"/>
  <c r="P2909" i="1"/>
  <c r="O2909" i="1"/>
  <c r="N2909" i="1"/>
  <c r="J2909" i="1"/>
  <c r="I2909" i="1"/>
  <c r="H2909" i="1"/>
  <c r="G2909" i="1"/>
  <c r="F2909" i="1"/>
  <c r="E2909" i="1"/>
  <c r="D2909" i="1"/>
  <c r="C2909" i="1"/>
  <c r="V2908" i="1"/>
  <c r="Q2908" i="1"/>
  <c r="P2908" i="1"/>
  <c r="O2908" i="1"/>
  <c r="N2908" i="1"/>
  <c r="J2908" i="1"/>
  <c r="I2908" i="1"/>
  <c r="H2908" i="1"/>
  <c r="G2908" i="1"/>
  <c r="F2908" i="1"/>
  <c r="E2908" i="1"/>
  <c r="D2908" i="1"/>
  <c r="C2908" i="1"/>
  <c r="V2907" i="1"/>
  <c r="Q2907" i="1"/>
  <c r="P2907" i="1"/>
  <c r="O2907" i="1"/>
  <c r="N2907" i="1"/>
  <c r="J2907" i="1"/>
  <c r="I2907" i="1"/>
  <c r="H2907" i="1"/>
  <c r="G2907" i="1"/>
  <c r="F2907" i="1"/>
  <c r="E2907" i="1"/>
  <c r="D2907" i="1"/>
  <c r="C2907" i="1"/>
  <c r="V2906" i="1"/>
  <c r="Q2906" i="1"/>
  <c r="P2906" i="1"/>
  <c r="O2906" i="1"/>
  <c r="N2906" i="1"/>
  <c r="J2906" i="1"/>
  <c r="I2906" i="1"/>
  <c r="H2906" i="1"/>
  <c r="G2906" i="1"/>
  <c r="F2906" i="1"/>
  <c r="E2906" i="1"/>
  <c r="D2906" i="1"/>
  <c r="C2906" i="1"/>
  <c r="V2905" i="1"/>
  <c r="Q2905" i="1"/>
  <c r="P2905" i="1"/>
  <c r="O2905" i="1"/>
  <c r="N2905" i="1"/>
  <c r="J2905" i="1"/>
  <c r="I2905" i="1"/>
  <c r="H2905" i="1"/>
  <c r="G2905" i="1"/>
  <c r="F2905" i="1"/>
  <c r="E2905" i="1"/>
  <c r="D2905" i="1"/>
  <c r="C2905" i="1"/>
  <c r="V2904" i="1"/>
  <c r="Q2904" i="1"/>
  <c r="P2904" i="1"/>
  <c r="O2904" i="1"/>
  <c r="N2904" i="1"/>
  <c r="J2904" i="1"/>
  <c r="I2904" i="1"/>
  <c r="H2904" i="1"/>
  <c r="G2904" i="1"/>
  <c r="F2904" i="1"/>
  <c r="E2904" i="1"/>
  <c r="D2904" i="1"/>
  <c r="C2904" i="1"/>
  <c r="V2903" i="1"/>
  <c r="Q2903" i="1"/>
  <c r="P2903" i="1"/>
  <c r="O2903" i="1"/>
  <c r="N2903" i="1"/>
  <c r="J2903" i="1"/>
  <c r="I2903" i="1"/>
  <c r="H2903" i="1"/>
  <c r="G2903" i="1"/>
  <c r="F2903" i="1"/>
  <c r="E2903" i="1"/>
  <c r="D2903" i="1"/>
  <c r="C2903" i="1"/>
  <c r="V2902" i="1"/>
  <c r="Q2902" i="1"/>
  <c r="P2902" i="1"/>
  <c r="O2902" i="1"/>
  <c r="N2902" i="1"/>
  <c r="J2902" i="1"/>
  <c r="I2902" i="1"/>
  <c r="H2902" i="1"/>
  <c r="G2902" i="1"/>
  <c r="F2902" i="1"/>
  <c r="E2902" i="1"/>
  <c r="D2902" i="1"/>
  <c r="C2902" i="1"/>
  <c r="V2901" i="1"/>
  <c r="Q2901" i="1"/>
  <c r="P2901" i="1"/>
  <c r="O2901" i="1"/>
  <c r="N2901" i="1"/>
  <c r="J2901" i="1"/>
  <c r="I2901" i="1"/>
  <c r="H2901" i="1"/>
  <c r="G2901" i="1"/>
  <c r="F2901" i="1"/>
  <c r="E2901" i="1"/>
  <c r="D2901" i="1"/>
  <c r="C2901" i="1"/>
  <c r="V2900" i="1"/>
  <c r="Q2900" i="1"/>
  <c r="P2900" i="1"/>
  <c r="O2900" i="1"/>
  <c r="N2900" i="1"/>
  <c r="J2900" i="1"/>
  <c r="I2900" i="1"/>
  <c r="H2900" i="1"/>
  <c r="G2900" i="1"/>
  <c r="F2900" i="1"/>
  <c r="E2900" i="1"/>
  <c r="D2900" i="1"/>
  <c r="C2900" i="1"/>
  <c r="V2899" i="1"/>
  <c r="Q2899" i="1"/>
  <c r="P2899" i="1"/>
  <c r="O2899" i="1"/>
  <c r="N2899" i="1"/>
  <c r="J2899" i="1"/>
  <c r="I2899" i="1"/>
  <c r="H2899" i="1"/>
  <c r="G2899" i="1"/>
  <c r="F2899" i="1"/>
  <c r="E2899" i="1"/>
  <c r="D2899" i="1"/>
  <c r="C2899" i="1"/>
  <c r="V2898" i="1"/>
  <c r="Q2898" i="1"/>
  <c r="P2898" i="1"/>
  <c r="O2898" i="1"/>
  <c r="N2898" i="1"/>
  <c r="J2898" i="1"/>
  <c r="I2898" i="1"/>
  <c r="H2898" i="1"/>
  <c r="G2898" i="1"/>
  <c r="F2898" i="1"/>
  <c r="E2898" i="1"/>
  <c r="D2898" i="1"/>
  <c r="C2898" i="1"/>
  <c r="V2897" i="1"/>
  <c r="Q2897" i="1"/>
  <c r="P2897" i="1"/>
  <c r="O2897" i="1"/>
  <c r="N2897" i="1"/>
  <c r="J2897" i="1"/>
  <c r="I2897" i="1"/>
  <c r="H2897" i="1"/>
  <c r="G2897" i="1"/>
  <c r="F2897" i="1"/>
  <c r="E2897" i="1"/>
  <c r="D2897" i="1"/>
  <c r="C2897" i="1"/>
  <c r="V2896" i="1"/>
  <c r="Q2896" i="1"/>
  <c r="P2896" i="1"/>
  <c r="O2896" i="1"/>
  <c r="N2896" i="1"/>
  <c r="J2896" i="1"/>
  <c r="I2896" i="1"/>
  <c r="H2896" i="1"/>
  <c r="G2896" i="1"/>
  <c r="F2896" i="1"/>
  <c r="E2896" i="1"/>
  <c r="D2896" i="1"/>
  <c r="C2896" i="1"/>
  <c r="V2895" i="1"/>
  <c r="Q2895" i="1"/>
  <c r="P2895" i="1"/>
  <c r="O2895" i="1"/>
  <c r="N2895" i="1"/>
  <c r="J2895" i="1"/>
  <c r="I2895" i="1"/>
  <c r="H2895" i="1"/>
  <c r="G2895" i="1"/>
  <c r="F2895" i="1"/>
  <c r="E2895" i="1"/>
  <c r="D2895" i="1"/>
  <c r="C2895" i="1"/>
  <c r="V2894" i="1"/>
  <c r="Q2894" i="1"/>
  <c r="P2894" i="1"/>
  <c r="O2894" i="1"/>
  <c r="N2894" i="1"/>
  <c r="J2894" i="1"/>
  <c r="I2894" i="1"/>
  <c r="H2894" i="1"/>
  <c r="G2894" i="1"/>
  <c r="F2894" i="1"/>
  <c r="E2894" i="1"/>
  <c r="D2894" i="1"/>
  <c r="C2894" i="1"/>
  <c r="V2893" i="1"/>
  <c r="Q2893" i="1"/>
  <c r="P2893" i="1"/>
  <c r="O2893" i="1"/>
  <c r="N2893" i="1"/>
  <c r="J2893" i="1"/>
  <c r="I2893" i="1"/>
  <c r="H2893" i="1"/>
  <c r="G2893" i="1"/>
  <c r="F2893" i="1"/>
  <c r="E2893" i="1"/>
  <c r="D2893" i="1"/>
  <c r="C2893" i="1"/>
  <c r="V2892" i="1"/>
  <c r="Q2892" i="1"/>
  <c r="P2892" i="1"/>
  <c r="O2892" i="1"/>
  <c r="N2892" i="1"/>
  <c r="J2892" i="1"/>
  <c r="I2892" i="1"/>
  <c r="H2892" i="1"/>
  <c r="G2892" i="1"/>
  <c r="F2892" i="1"/>
  <c r="E2892" i="1"/>
  <c r="D2892" i="1"/>
  <c r="C2892" i="1"/>
  <c r="V2891" i="1"/>
  <c r="Q2891" i="1"/>
  <c r="P2891" i="1"/>
  <c r="O2891" i="1"/>
  <c r="N2891" i="1"/>
  <c r="J2891" i="1"/>
  <c r="I2891" i="1"/>
  <c r="H2891" i="1"/>
  <c r="G2891" i="1"/>
  <c r="F2891" i="1"/>
  <c r="E2891" i="1"/>
  <c r="D2891" i="1"/>
  <c r="C2891" i="1"/>
  <c r="V2890" i="1"/>
  <c r="Q2890" i="1"/>
  <c r="P2890" i="1"/>
  <c r="O2890" i="1"/>
  <c r="N2890" i="1"/>
  <c r="J2890" i="1"/>
  <c r="I2890" i="1"/>
  <c r="H2890" i="1"/>
  <c r="G2890" i="1"/>
  <c r="F2890" i="1"/>
  <c r="E2890" i="1"/>
  <c r="D2890" i="1"/>
  <c r="C2890" i="1"/>
  <c r="V2889" i="1"/>
  <c r="Q2889" i="1"/>
  <c r="P2889" i="1"/>
  <c r="O2889" i="1"/>
  <c r="N2889" i="1"/>
  <c r="J2889" i="1"/>
  <c r="I2889" i="1"/>
  <c r="H2889" i="1"/>
  <c r="G2889" i="1"/>
  <c r="F2889" i="1"/>
  <c r="E2889" i="1"/>
  <c r="D2889" i="1"/>
  <c r="C2889" i="1"/>
  <c r="V2888" i="1"/>
  <c r="Q2888" i="1"/>
  <c r="P2888" i="1"/>
  <c r="O2888" i="1"/>
  <c r="N2888" i="1"/>
  <c r="J2888" i="1"/>
  <c r="I2888" i="1"/>
  <c r="H2888" i="1"/>
  <c r="G2888" i="1"/>
  <c r="F2888" i="1"/>
  <c r="E2888" i="1"/>
  <c r="D2888" i="1"/>
  <c r="C2888" i="1"/>
  <c r="V2887" i="1"/>
  <c r="Q2887" i="1"/>
  <c r="P2887" i="1"/>
  <c r="O2887" i="1"/>
  <c r="N2887" i="1"/>
  <c r="J2887" i="1"/>
  <c r="I2887" i="1"/>
  <c r="H2887" i="1"/>
  <c r="G2887" i="1"/>
  <c r="F2887" i="1"/>
  <c r="E2887" i="1"/>
  <c r="D2887" i="1"/>
  <c r="C2887" i="1"/>
  <c r="V2886" i="1"/>
  <c r="Q2886" i="1"/>
  <c r="P2886" i="1"/>
  <c r="O2886" i="1"/>
  <c r="N2886" i="1"/>
  <c r="J2886" i="1"/>
  <c r="I2886" i="1"/>
  <c r="H2886" i="1"/>
  <c r="G2886" i="1"/>
  <c r="F2886" i="1"/>
  <c r="E2886" i="1"/>
  <c r="D2886" i="1"/>
  <c r="C2886" i="1"/>
  <c r="V2885" i="1"/>
  <c r="Q2885" i="1"/>
  <c r="P2885" i="1"/>
  <c r="O2885" i="1"/>
  <c r="N2885" i="1"/>
  <c r="J2885" i="1"/>
  <c r="I2885" i="1"/>
  <c r="H2885" i="1"/>
  <c r="G2885" i="1"/>
  <c r="F2885" i="1"/>
  <c r="E2885" i="1"/>
  <c r="D2885" i="1"/>
  <c r="C2885" i="1"/>
  <c r="V2884" i="1"/>
  <c r="Q2884" i="1"/>
  <c r="P2884" i="1"/>
  <c r="O2884" i="1"/>
  <c r="N2884" i="1"/>
  <c r="J2884" i="1"/>
  <c r="I2884" i="1"/>
  <c r="H2884" i="1"/>
  <c r="G2884" i="1"/>
  <c r="F2884" i="1"/>
  <c r="E2884" i="1"/>
  <c r="D2884" i="1"/>
  <c r="C2884" i="1"/>
  <c r="V2883" i="1"/>
  <c r="Q2883" i="1"/>
  <c r="P2883" i="1"/>
  <c r="O2883" i="1"/>
  <c r="N2883" i="1"/>
  <c r="J2883" i="1"/>
  <c r="I2883" i="1"/>
  <c r="H2883" i="1"/>
  <c r="G2883" i="1"/>
  <c r="F2883" i="1"/>
  <c r="E2883" i="1"/>
  <c r="D2883" i="1"/>
  <c r="C2883" i="1"/>
  <c r="V2882" i="1"/>
  <c r="Q2882" i="1"/>
  <c r="P2882" i="1"/>
  <c r="O2882" i="1"/>
  <c r="N2882" i="1"/>
  <c r="J2882" i="1"/>
  <c r="I2882" i="1"/>
  <c r="H2882" i="1"/>
  <c r="G2882" i="1"/>
  <c r="F2882" i="1"/>
  <c r="E2882" i="1"/>
  <c r="D2882" i="1"/>
  <c r="C2882" i="1"/>
  <c r="V2881" i="1"/>
  <c r="Q2881" i="1"/>
  <c r="P2881" i="1"/>
  <c r="O2881" i="1"/>
  <c r="N2881" i="1"/>
  <c r="J2881" i="1"/>
  <c r="I2881" i="1"/>
  <c r="H2881" i="1"/>
  <c r="G2881" i="1"/>
  <c r="F2881" i="1"/>
  <c r="E2881" i="1"/>
  <c r="D2881" i="1"/>
  <c r="C2881" i="1"/>
  <c r="V2880" i="1"/>
  <c r="Q2880" i="1"/>
  <c r="P2880" i="1"/>
  <c r="O2880" i="1"/>
  <c r="N2880" i="1"/>
  <c r="J2880" i="1"/>
  <c r="I2880" i="1"/>
  <c r="H2880" i="1"/>
  <c r="G2880" i="1"/>
  <c r="F2880" i="1"/>
  <c r="E2880" i="1"/>
  <c r="D2880" i="1"/>
  <c r="C2880" i="1"/>
  <c r="V2879" i="1"/>
  <c r="Q2879" i="1"/>
  <c r="P2879" i="1"/>
  <c r="O2879" i="1"/>
  <c r="N2879" i="1"/>
  <c r="J2879" i="1"/>
  <c r="I2879" i="1"/>
  <c r="H2879" i="1"/>
  <c r="G2879" i="1"/>
  <c r="F2879" i="1"/>
  <c r="E2879" i="1"/>
  <c r="D2879" i="1"/>
  <c r="C2879" i="1"/>
  <c r="V2878" i="1"/>
  <c r="Q2878" i="1"/>
  <c r="P2878" i="1"/>
  <c r="O2878" i="1"/>
  <c r="N2878" i="1"/>
  <c r="J2878" i="1"/>
  <c r="I2878" i="1"/>
  <c r="H2878" i="1"/>
  <c r="G2878" i="1"/>
  <c r="F2878" i="1"/>
  <c r="E2878" i="1"/>
  <c r="D2878" i="1"/>
  <c r="C2878" i="1"/>
  <c r="V2877" i="1"/>
  <c r="Q2877" i="1"/>
  <c r="P2877" i="1"/>
  <c r="O2877" i="1"/>
  <c r="N2877" i="1"/>
  <c r="J2877" i="1"/>
  <c r="I2877" i="1"/>
  <c r="H2877" i="1"/>
  <c r="G2877" i="1"/>
  <c r="F2877" i="1"/>
  <c r="E2877" i="1"/>
  <c r="D2877" i="1"/>
  <c r="C2877" i="1"/>
  <c r="V2876" i="1"/>
  <c r="Q2876" i="1"/>
  <c r="P2876" i="1"/>
  <c r="O2876" i="1"/>
  <c r="N2876" i="1"/>
  <c r="J2876" i="1"/>
  <c r="I2876" i="1"/>
  <c r="H2876" i="1"/>
  <c r="G2876" i="1"/>
  <c r="F2876" i="1"/>
  <c r="E2876" i="1"/>
  <c r="D2876" i="1"/>
  <c r="C2876" i="1"/>
  <c r="V2875" i="1"/>
  <c r="Q2875" i="1"/>
  <c r="P2875" i="1"/>
  <c r="O2875" i="1"/>
  <c r="N2875" i="1"/>
  <c r="J2875" i="1"/>
  <c r="I2875" i="1"/>
  <c r="H2875" i="1"/>
  <c r="G2875" i="1"/>
  <c r="F2875" i="1"/>
  <c r="E2875" i="1"/>
  <c r="D2875" i="1"/>
  <c r="C2875" i="1"/>
  <c r="V2874" i="1"/>
  <c r="Q2874" i="1"/>
  <c r="P2874" i="1"/>
  <c r="O2874" i="1"/>
  <c r="N2874" i="1"/>
  <c r="J2874" i="1"/>
  <c r="I2874" i="1"/>
  <c r="H2874" i="1"/>
  <c r="G2874" i="1"/>
  <c r="F2874" i="1"/>
  <c r="E2874" i="1"/>
  <c r="D2874" i="1"/>
  <c r="C2874" i="1"/>
  <c r="V2873" i="1"/>
  <c r="Q2873" i="1"/>
  <c r="P2873" i="1"/>
  <c r="O2873" i="1"/>
  <c r="N2873" i="1"/>
  <c r="J2873" i="1"/>
  <c r="I2873" i="1"/>
  <c r="H2873" i="1"/>
  <c r="G2873" i="1"/>
  <c r="F2873" i="1"/>
  <c r="E2873" i="1"/>
  <c r="D2873" i="1"/>
  <c r="C2873" i="1"/>
  <c r="V2872" i="1"/>
  <c r="Q2872" i="1"/>
  <c r="P2872" i="1"/>
  <c r="O2872" i="1"/>
  <c r="N2872" i="1"/>
  <c r="J2872" i="1"/>
  <c r="I2872" i="1"/>
  <c r="H2872" i="1"/>
  <c r="G2872" i="1"/>
  <c r="F2872" i="1"/>
  <c r="E2872" i="1"/>
  <c r="D2872" i="1"/>
  <c r="C2872" i="1"/>
  <c r="V2871" i="1"/>
  <c r="Q2871" i="1"/>
  <c r="P2871" i="1"/>
  <c r="O2871" i="1"/>
  <c r="N2871" i="1"/>
  <c r="J2871" i="1"/>
  <c r="I2871" i="1"/>
  <c r="H2871" i="1"/>
  <c r="G2871" i="1"/>
  <c r="F2871" i="1"/>
  <c r="E2871" i="1"/>
  <c r="D2871" i="1"/>
  <c r="C2871" i="1"/>
  <c r="V2870" i="1"/>
  <c r="Q2870" i="1"/>
  <c r="P2870" i="1"/>
  <c r="O2870" i="1"/>
  <c r="N2870" i="1"/>
  <c r="J2870" i="1"/>
  <c r="I2870" i="1"/>
  <c r="H2870" i="1"/>
  <c r="G2870" i="1"/>
  <c r="F2870" i="1"/>
  <c r="E2870" i="1"/>
  <c r="D2870" i="1"/>
  <c r="C2870" i="1"/>
  <c r="V2869" i="1"/>
  <c r="Q2869" i="1"/>
  <c r="P2869" i="1"/>
  <c r="O2869" i="1"/>
  <c r="N2869" i="1"/>
  <c r="J2869" i="1"/>
  <c r="I2869" i="1"/>
  <c r="H2869" i="1"/>
  <c r="G2869" i="1"/>
  <c r="F2869" i="1"/>
  <c r="E2869" i="1"/>
  <c r="D2869" i="1"/>
  <c r="C2869" i="1"/>
  <c r="V2868" i="1"/>
  <c r="Q2868" i="1"/>
  <c r="P2868" i="1"/>
  <c r="O2868" i="1"/>
  <c r="N2868" i="1"/>
  <c r="J2868" i="1"/>
  <c r="I2868" i="1"/>
  <c r="H2868" i="1"/>
  <c r="G2868" i="1"/>
  <c r="F2868" i="1"/>
  <c r="E2868" i="1"/>
  <c r="D2868" i="1"/>
  <c r="C2868" i="1"/>
  <c r="V2867" i="1"/>
  <c r="Q2867" i="1"/>
  <c r="P2867" i="1"/>
  <c r="O2867" i="1"/>
  <c r="N2867" i="1"/>
  <c r="J2867" i="1"/>
  <c r="I2867" i="1"/>
  <c r="H2867" i="1"/>
  <c r="G2867" i="1"/>
  <c r="F2867" i="1"/>
  <c r="E2867" i="1"/>
  <c r="D2867" i="1"/>
  <c r="C2867" i="1"/>
  <c r="V2866" i="1"/>
  <c r="Q2866" i="1"/>
  <c r="P2866" i="1"/>
  <c r="O2866" i="1"/>
  <c r="N2866" i="1"/>
  <c r="J2866" i="1"/>
  <c r="I2866" i="1"/>
  <c r="H2866" i="1"/>
  <c r="G2866" i="1"/>
  <c r="F2866" i="1"/>
  <c r="E2866" i="1"/>
  <c r="D2866" i="1"/>
  <c r="C2866" i="1"/>
  <c r="V2865" i="1"/>
  <c r="Q2865" i="1"/>
  <c r="P2865" i="1"/>
  <c r="O2865" i="1"/>
  <c r="N2865" i="1"/>
  <c r="J2865" i="1"/>
  <c r="I2865" i="1"/>
  <c r="H2865" i="1"/>
  <c r="G2865" i="1"/>
  <c r="F2865" i="1"/>
  <c r="E2865" i="1"/>
  <c r="D2865" i="1"/>
  <c r="C2865" i="1"/>
  <c r="V2864" i="1"/>
  <c r="Q2864" i="1"/>
  <c r="P2864" i="1"/>
  <c r="O2864" i="1"/>
  <c r="N2864" i="1"/>
  <c r="J2864" i="1"/>
  <c r="I2864" i="1"/>
  <c r="H2864" i="1"/>
  <c r="G2864" i="1"/>
  <c r="F2864" i="1"/>
  <c r="E2864" i="1"/>
  <c r="D2864" i="1"/>
  <c r="C2864" i="1"/>
  <c r="V2863" i="1"/>
  <c r="Q2863" i="1"/>
  <c r="P2863" i="1"/>
  <c r="O2863" i="1"/>
  <c r="N2863" i="1"/>
  <c r="J2863" i="1"/>
  <c r="I2863" i="1"/>
  <c r="H2863" i="1"/>
  <c r="G2863" i="1"/>
  <c r="F2863" i="1"/>
  <c r="E2863" i="1"/>
  <c r="D2863" i="1"/>
  <c r="C2863" i="1"/>
  <c r="V2862" i="1"/>
  <c r="Q2862" i="1"/>
  <c r="P2862" i="1"/>
  <c r="O2862" i="1"/>
  <c r="N2862" i="1"/>
  <c r="J2862" i="1"/>
  <c r="I2862" i="1"/>
  <c r="H2862" i="1"/>
  <c r="G2862" i="1"/>
  <c r="F2862" i="1"/>
  <c r="E2862" i="1"/>
  <c r="D2862" i="1"/>
  <c r="C2862" i="1"/>
  <c r="V2861" i="1"/>
  <c r="Q2861" i="1"/>
  <c r="P2861" i="1"/>
  <c r="O2861" i="1"/>
  <c r="N2861" i="1"/>
  <c r="J2861" i="1"/>
  <c r="I2861" i="1"/>
  <c r="H2861" i="1"/>
  <c r="G2861" i="1"/>
  <c r="F2861" i="1"/>
  <c r="E2861" i="1"/>
  <c r="D2861" i="1"/>
  <c r="C2861" i="1"/>
  <c r="V2860" i="1"/>
  <c r="Q2860" i="1"/>
  <c r="P2860" i="1"/>
  <c r="O2860" i="1"/>
  <c r="N2860" i="1"/>
  <c r="J2860" i="1"/>
  <c r="I2860" i="1"/>
  <c r="H2860" i="1"/>
  <c r="G2860" i="1"/>
  <c r="F2860" i="1"/>
  <c r="E2860" i="1"/>
  <c r="D2860" i="1"/>
  <c r="C2860" i="1"/>
  <c r="V2859" i="1"/>
  <c r="Q2859" i="1"/>
  <c r="P2859" i="1"/>
  <c r="O2859" i="1"/>
  <c r="N2859" i="1"/>
  <c r="J2859" i="1"/>
  <c r="I2859" i="1"/>
  <c r="H2859" i="1"/>
  <c r="G2859" i="1"/>
  <c r="F2859" i="1"/>
  <c r="E2859" i="1"/>
  <c r="D2859" i="1"/>
  <c r="C2859" i="1"/>
  <c r="V2858" i="1"/>
  <c r="Q2858" i="1"/>
  <c r="P2858" i="1"/>
  <c r="O2858" i="1"/>
  <c r="N2858" i="1"/>
  <c r="J2858" i="1"/>
  <c r="I2858" i="1"/>
  <c r="H2858" i="1"/>
  <c r="G2858" i="1"/>
  <c r="F2858" i="1"/>
  <c r="E2858" i="1"/>
  <c r="D2858" i="1"/>
  <c r="C2858" i="1"/>
  <c r="V2857" i="1"/>
  <c r="Q2857" i="1"/>
  <c r="P2857" i="1"/>
  <c r="O2857" i="1"/>
  <c r="N2857" i="1"/>
  <c r="J2857" i="1"/>
  <c r="I2857" i="1"/>
  <c r="H2857" i="1"/>
  <c r="G2857" i="1"/>
  <c r="F2857" i="1"/>
  <c r="E2857" i="1"/>
  <c r="D2857" i="1"/>
  <c r="C2857" i="1"/>
  <c r="V2856" i="1"/>
  <c r="Q2856" i="1"/>
  <c r="P2856" i="1"/>
  <c r="O2856" i="1"/>
  <c r="N2856" i="1"/>
  <c r="J2856" i="1"/>
  <c r="I2856" i="1"/>
  <c r="H2856" i="1"/>
  <c r="G2856" i="1"/>
  <c r="F2856" i="1"/>
  <c r="E2856" i="1"/>
  <c r="D2856" i="1"/>
  <c r="C2856" i="1"/>
  <c r="V2855" i="1"/>
  <c r="Q2855" i="1"/>
  <c r="P2855" i="1"/>
  <c r="O2855" i="1"/>
  <c r="N2855" i="1"/>
  <c r="J2855" i="1"/>
  <c r="I2855" i="1"/>
  <c r="H2855" i="1"/>
  <c r="G2855" i="1"/>
  <c r="F2855" i="1"/>
  <c r="E2855" i="1"/>
  <c r="D2855" i="1"/>
  <c r="C2855" i="1"/>
  <c r="V2854" i="1"/>
  <c r="Q2854" i="1"/>
  <c r="P2854" i="1"/>
  <c r="O2854" i="1"/>
  <c r="N2854" i="1"/>
  <c r="J2854" i="1"/>
  <c r="I2854" i="1"/>
  <c r="H2854" i="1"/>
  <c r="G2854" i="1"/>
  <c r="F2854" i="1"/>
  <c r="E2854" i="1"/>
  <c r="D2854" i="1"/>
  <c r="C2854" i="1"/>
  <c r="V2853" i="1"/>
  <c r="Q2853" i="1"/>
  <c r="P2853" i="1"/>
  <c r="O2853" i="1"/>
  <c r="N2853" i="1"/>
  <c r="J2853" i="1"/>
  <c r="I2853" i="1"/>
  <c r="H2853" i="1"/>
  <c r="G2853" i="1"/>
  <c r="F2853" i="1"/>
  <c r="E2853" i="1"/>
  <c r="D2853" i="1"/>
  <c r="C2853" i="1"/>
  <c r="V2852" i="1"/>
  <c r="Q2852" i="1"/>
  <c r="P2852" i="1"/>
  <c r="O2852" i="1"/>
  <c r="N2852" i="1"/>
  <c r="J2852" i="1"/>
  <c r="I2852" i="1"/>
  <c r="H2852" i="1"/>
  <c r="G2852" i="1"/>
  <c r="F2852" i="1"/>
  <c r="E2852" i="1"/>
  <c r="D2852" i="1"/>
  <c r="C2852" i="1"/>
  <c r="V2851" i="1"/>
  <c r="Q2851" i="1"/>
  <c r="P2851" i="1"/>
  <c r="O2851" i="1"/>
  <c r="N2851" i="1"/>
  <c r="J2851" i="1"/>
  <c r="I2851" i="1"/>
  <c r="H2851" i="1"/>
  <c r="G2851" i="1"/>
  <c r="F2851" i="1"/>
  <c r="E2851" i="1"/>
  <c r="D2851" i="1"/>
  <c r="C2851" i="1"/>
  <c r="V2850" i="1"/>
  <c r="Q2850" i="1"/>
  <c r="P2850" i="1"/>
  <c r="O2850" i="1"/>
  <c r="N2850" i="1"/>
  <c r="J2850" i="1"/>
  <c r="I2850" i="1"/>
  <c r="H2850" i="1"/>
  <c r="G2850" i="1"/>
  <c r="F2850" i="1"/>
  <c r="E2850" i="1"/>
  <c r="D2850" i="1"/>
  <c r="C2850" i="1"/>
  <c r="V2849" i="1"/>
  <c r="Q2849" i="1"/>
  <c r="P2849" i="1"/>
  <c r="O2849" i="1"/>
  <c r="N2849" i="1"/>
  <c r="J2849" i="1"/>
  <c r="I2849" i="1"/>
  <c r="H2849" i="1"/>
  <c r="G2849" i="1"/>
  <c r="F2849" i="1"/>
  <c r="E2849" i="1"/>
  <c r="D2849" i="1"/>
  <c r="C2849" i="1"/>
  <c r="V2848" i="1"/>
  <c r="Q2848" i="1"/>
  <c r="P2848" i="1"/>
  <c r="O2848" i="1"/>
  <c r="N2848" i="1"/>
  <c r="J2848" i="1"/>
  <c r="I2848" i="1"/>
  <c r="H2848" i="1"/>
  <c r="G2848" i="1"/>
  <c r="F2848" i="1"/>
  <c r="E2848" i="1"/>
  <c r="D2848" i="1"/>
  <c r="C2848" i="1"/>
  <c r="V2847" i="1"/>
  <c r="Q2847" i="1"/>
  <c r="P2847" i="1"/>
  <c r="O2847" i="1"/>
  <c r="N2847" i="1"/>
  <c r="J2847" i="1"/>
  <c r="I2847" i="1"/>
  <c r="H2847" i="1"/>
  <c r="G2847" i="1"/>
  <c r="F2847" i="1"/>
  <c r="E2847" i="1"/>
  <c r="D2847" i="1"/>
  <c r="C2847" i="1"/>
  <c r="V2846" i="1"/>
  <c r="Q2846" i="1"/>
  <c r="P2846" i="1"/>
  <c r="O2846" i="1"/>
  <c r="N2846" i="1"/>
  <c r="J2846" i="1"/>
  <c r="I2846" i="1"/>
  <c r="H2846" i="1"/>
  <c r="G2846" i="1"/>
  <c r="F2846" i="1"/>
  <c r="E2846" i="1"/>
  <c r="D2846" i="1"/>
  <c r="C2846" i="1"/>
  <c r="V2845" i="1"/>
  <c r="Q2845" i="1"/>
  <c r="P2845" i="1"/>
  <c r="O2845" i="1"/>
  <c r="N2845" i="1"/>
  <c r="J2845" i="1"/>
  <c r="I2845" i="1"/>
  <c r="H2845" i="1"/>
  <c r="G2845" i="1"/>
  <c r="F2845" i="1"/>
  <c r="E2845" i="1"/>
  <c r="D2845" i="1"/>
  <c r="C2845" i="1"/>
  <c r="V2844" i="1"/>
  <c r="Q2844" i="1"/>
  <c r="P2844" i="1"/>
  <c r="O2844" i="1"/>
  <c r="N2844" i="1"/>
  <c r="J2844" i="1"/>
  <c r="I2844" i="1"/>
  <c r="H2844" i="1"/>
  <c r="G2844" i="1"/>
  <c r="F2844" i="1"/>
  <c r="E2844" i="1"/>
  <c r="D2844" i="1"/>
  <c r="C2844" i="1"/>
  <c r="V2843" i="1"/>
  <c r="Q2843" i="1"/>
  <c r="P2843" i="1"/>
  <c r="O2843" i="1"/>
  <c r="N2843" i="1"/>
  <c r="J2843" i="1"/>
  <c r="I2843" i="1"/>
  <c r="H2843" i="1"/>
  <c r="G2843" i="1"/>
  <c r="F2843" i="1"/>
  <c r="E2843" i="1"/>
  <c r="D2843" i="1"/>
  <c r="C2843" i="1"/>
  <c r="V2842" i="1"/>
  <c r="Q2842" i="1"/>
  <c r="P2842" i="1"/>
  <c r="O2842" i="1"/>
  <c r="N2842" i="1"/>
  <c r="J2842" i="1"/>
  <c r="I2842" i="1"/>
  <c r="H2842" i="1"/>
  <c r="G2842" i="1"/>
  <c r="F2842" i="1"/>
  <c r="E2842" i="1"/>
  <c r="D2842" i="1"/>
  <c r="C2842" i="1"/>
  <c r="V2841" i="1"/>
  <c r="Q2841" i="1"/>
  <c r="P2841" i="1"/>
  <c r="O2841" i="1"/>
  <c r="N2841" i="1"/>
  <c r="J2841" i="1"/>
  <c r="I2841" i="1"/>
  <c r="H2841" i="1"/>
  <c r="G2841" i="1"/>
  <c r="F2841" i="1"/>
  <c r="E2841" i="1"/>
  <c r="D2841" i="1"/>
  <c r="C2841" i="1"/>
  <c r="V2840" i="1"/>
  <c r="Q2840" i="1"/>
  <c r="P2840" i="1"/>
  <c r="O2840" i="1"/>
  <c r="N2840" i="1"/>
  <c r="J2840" i="1"/>
  <c r="I2840" i="1"/>
  <c r="H2840" i="1"/>
  <c r="G2840" i="1"/>
  <c r="F2840" i="1"/>
  <c r="E2840" i="1"/>
  <c r="D2840" i="1"/>
  <c r="C2840" i="1"/>
  <c r="V2839" i="1"/>
  <c r="Q2839" i="1"/>
  <c r="P2839" i="1"/>
  <c r="O2839" i="1"/>
  <c r="N2839" i="1"/>
  <c r="J2839" i="1"/>
  <c r="I2839" i="1"/>
  <c r="H2839" i="1"/>
  <c r="G2839" i="1"/>
  <c r="F2839" i="1"/>
  <c r="E2839" i="1"/>
  <c r="D2839" i="1"/>
  <c r="C2839" i="1"/>
  <c r="V2838" i="1"/>
  <c r="Q2838" i="1"/>
  <c r="P2838" i="1"/>
  <c r="O2838" i="1"/>
  <c r="N2838" i="1"/>
  <c r="J2838" i="1"/>
  <c r="I2838" i="1"/>
  <c r="H2838" i="1"/>
  <c r="G2838" i="1"/>
  <c r="F2838" i="1"/>
  <c r="E2838" i="1"/>
  <c r="D2838" i="1"/>
  <c r="C2838" i="1"/>
  <c r="V2837" i="1"/>
  <c r="Q2837" i="1"/>
  <c r="P2837" i="1"/>
  <c r="O2837" i="1"/>
  <c r="N2837" i="1"/>
  <c r="J2837" i="1"/>
  <c r="I2837" i="1"/>
  <c r="H2837" i="1"/>
  <c r="G2837" i="1"/>
  <c r="F2837" i="1"/>
  <c r="E2837" i="1"/>
  <c r="D2837" i="1"/>
  <c r="C2837" i="1"/>
  <c r="V2836" i="1"/>
  <c r="Q2836" i="1"/>
  <c r="P2836" i="1"/>
  <c r="O2836" i="1"/>
  <c r="N2836" i="1"/>
  <c r="J2836" i="1"/>
  <c r="I2836" i="1"/>
  <c r="H2836" i="1"/>
  <c r="G2836" i="1"/>
  <c r="F2836" i="1"/>
  <c r="E2836" i="1"/>
  <c r="D2836" i="1"/>
  <c r="C2836" i="1"/>
  <c r="V2835" i="1"/>
  <c r="Q2835" i="1"/>
  <c r="P2835" i="1"/>
  <c r="O2835" i="1"/>
  <c r="N2835" i="1"/>
  <c r="J2835" i="1"/>
  <c r="I2835" i="1"/>
  <c r="H2835" i="1"/>
  <c r="G2835" i="1"/>
  <c r="F2835" i="1"/>
  <c r="E2835" i="1"/>
  <c r="D2835" i="1"/>
  <c r="C2835" i="1"/>
  <c r="V2834" i="1"/>
  <c r="Q2834" i="1"/>
  <c r="P2834" i="1"/>
  <c r="O2834" i="1"/>
  <c r="N2834" i="1"/>
  <c r="J2834" i="1"/>
  <c r="I2834" i="1"/>
  <c r="H2834" i="1"/>
  <c r="G2834" i="1"/>
  <c r="F2834" i="1"/>
  <c r="E2834" i="1"/>
  <c r="D2834" i="1"/>
  <c r="C2834" i="1"/>
  <c r="V2833" i="1"/>
  <c r="Q2833" i="1"/>
  <c r="P2833" i="1"/>
  <c r="O2833" i="1"/>
  <c r="N2833" i="1"/>
  <c r="J2833" i="1"/>
  <c r="I2833" i="1"/>
  <c r="H2833" i="1"/>
  <c r="G2833" i="1"/>
  <c r="F2833" i="1"/>
  <c r="E2833" i="1"/>
  <c r="D2833" i="1"/>
  <c r="C2833" i="1"/>
  <c r="V2832" i="1"/>
  <c r="Q2832" i="1"/>
  <c r="P2832" i="1"/>
  <c r="O2832" i="1"/>
  <c r="N2832" i="1"/>
  <c r="J2832" i="1"/>
  <c r="I2832" i="1"/>
  <c r="H2832" i="1"/>
  <c r="G2832" i="1"/>
  <c r="F2832" i="1"/>
  <c r="E2832" i="1"/>
  <c r="D2832" i="1"/>
  <c r="C2832" i="1"/>
  <c r="V2831" i="1"/>
  <c r="Q2831" i="1"/>
  <c r="P2831" i="1"/>
  <c r="O2831" i="1"/>
  <c r="N2831" i="1"/>
  <c r="J2831" i="1"/>
  <c r="I2831" i="1"/>
  <c r="H2831" i="1"/>
  <c r="G2831" i="1"/>
  <c r="F2831" i="1"/>
  <c r="E2831" i="1"/>
  <c r="D2831" i="1"/>
  <c r="C2831" i="1"/>
  <c r="V2830" i="1"/>
  <c r="Q2830" i="1"/>
  <c r="P2830" i="1"/>
  <c r="O2830" i="1"/>
  <c r="N2830" i="1"/>
  <c r="J2830" i="1"/>
  <c r="I2830" i="1"/>
  <c r="H2830" i="1"/>
  <c r="G2830" i="1"/>
  <c r="F2830" i="1"/>
  <c r="E2830" i="1"/>
  <c r="D2830" i="1"/>
  <c r="C2830" i="1"/>
  <c r="V2829" i="1"/>
  <c r="Q2829" i="1"/>
  <c r="P2829" i="1"/>
  <c r="O2829" i="1"/>
  <c r="N2829" i="1"/>
  <c r="J2829" i="1"/>
  <c r="I2829" i="1"/>
  <c r="H2829" i="1"/>
  <c r="G2829" i="1"/>
  <c r="F2829" i="1"/>
  <c r="E2829" i="1"/>
  <c r="D2829" i="1"/>
  <c r="C2829" i="1"/>
  <c r="V2828" i="1"/>
  <c r="Q2828" i="1"/>
  <c r="P2828" i="1"/>
  <c r="O2828" i="1"/>
  <c r="N2828" i="1"/>
  <c r="J2828" i="1"/>
  <c r="I2828" i="1"/>
  <c r="H2828" i="1"/>
  <c r="G2828" i="1"/>
  <c r="F2828" i="1"/>
  <c r="E2828" i="1"/>
  <c r="D2828" i="1"/>
  <c r="C2828" i="1"/>
  <c r="V2827" i="1"/>
  <c r="Q2827" i="1"/>
  <c r="P2827" i="1"/>
  <c r="O2827" i="1"/>
  <c r="N2827" i="1"/>
  <c r="J2827" i="1"/>
  <c r="I2827" i="1"/>
  <c r="H2827" i="1"/>
  <c r="G2827" i="1"/>
  <c r="F2827" i="1"/>
  <c r="E2827" i="1"/>
  <c r="D2827" i="1"/>
  <c r="C2827" i="1"/>
  <c r="V2826" i="1"/>
  <c r="Q2826" i="1"/>
  <c r="P2826" i="1"/>
  <c r="O2826" i="1"/>
  <c r="N2826" i="1"/>
  <c r="J2826" i="1"/>
  <c r="I2826" i="1"/>
  <c r="H2826" i="1"/>
  <c r="G2826" i="1"/>
  <c r="F2826" i="1"/>
  <c r="E2826" i="1"/>
  <c r="D2826" i="1"/>
  <c r="C2826" i="1"/>
  <c r="V2825" i="1"/>
  <c r="Q2825" i="1"/>
  <c r="P2825" i="1"/>
  <c r="O2825" i="1"/>
  <c r="N2825" i="1"/>
  <c r="J2825" i="1"/>
  <c r="I2825" i="1"/>
  <c r="H2825" i="1"/>
  <c r="G2825" i="1"/>
  <c r="F2825" i="1"/>
  <c r="E2825" i="1"/>
  <c r="D2825" i="1"/>
  <c r="C2825" i="1"/>
  <c r="V2824" i="1"/>
  <c r="Q2824" i="1"/>
  <c r="P2824" i="1"/>
  <c r="O2824" i="1"/>
  <c r="N2824" i="1"/>
  <c r="J2824" i="1"/>
  <c r="I2824" i="1"/>
  <c r="H2824" i="1"/>
  <c r="G2824" i="1"/>
  <c r="F2824" i="1"/>
  <c r="E2824" i="1"/>
  <c r="D2824" i="1"/>
  <c r="C2824" i="1"/>
  <c r="V2823" i="1"/>
  <c r="Q2823" i="1"/>
  <c r="P2823" i="1"/>
  <c r="O2823" i="1"/>
  <c r="N2823" i="1"/>
  <c r="J2823" i="1"/>
  <c r="I2823" i="1"/>
  <c r="H2823" i="1"/>
  <c r="G2823" i="1"/>
  <c r="F2823" i="1"/>
  <c r="E2823" i="1"/>
  <c r="D2823" i="1"/>
  <c r="C2823" i="1"/>
  <c r="V2822" i="1"/>
  <c r="Q2822" i="1"/>
  <c r="P2822" i="1"/>
  <c r="O2822" i="1"/>
  <c r="N2822" i="1"/>
  <c r="J2822" i="1"/>
  <c r="I2822" i="1"/>
  <c r="H2822" i="1"/>
  <c r="G2822" i="1"/>
  <c r="F2822" i="1"/>
  <c r="E2822" i="1"/>
  <c r="D2822" i="1"/>
  <c r="C2822" i="1"/>
  <c r="V2821" i="1"/>
  <c r="Q2821" i="1"/>
  <c r="P2821" i="1"/>
  <c r="O2821" i="1"/>
  <c r="N2821" i="1"/>
  <c r="J2821" i="1"/>
  <c r="I2821" i="1"/>
  <c r="H2821" i="1"/>
  <c r="G2821" i="1"/>
  <c r="F2821" i="1"/>
  <c r="E2821" i="1"/>
  <c r="D2821" i="1"/>
  <c r="C2821" i="1"/>
  <c r="V2820" i="1"/>
  <c r="Q2820" i="1"/>
  <c r="P2820" i="1"/>
  <c r="O2820" i="1"/>
  <c r="N2820" i="1"/>
  <c r="J2820" i="1"/>
  <c r="I2820" i="1"/>
  <c r="H2820" i="1"/>
  <c r="G2820" i="1"/>
  <c r="F2820" i="1"/>
  <c r="E2820" i="1"/>
  <c r="D2820" i="1"/>
  <c r="C2820" i="1"/>
  <c r="V2819" i="1"/>
  <c r="Q2819" i="1"/>
  <c r="P2819" i="1"/>
  <c r="O2819" i="1"/>
  <c r="N2819" i="1"/>
  <c r="J2819" i="1"/>
  <c r="I2819" i="1"/>
  <c r="H2819" i="1"/>
  <c r="G2819" i="1"/>
  <c r="F2819" i="1"/>
  <c r="E2819" i="1"/>
  <c r="D2819" i="1"/>
  <c r="C2819" i="1"/>
  <c r="V2818" i="1"/>
  <c r="Q2818" i="1"/>
  <c r="P2818" i="1"/>
  <c r="O2818" i="1"/>
  <c r="N2818" i="1"/>
  <c r="J2818" i="1"/>
  <c r="I2818" i="1"/>
  <c r="H2818" i="1"/>
  <c r="G2818" i="1"/>
  <c r="F2818" i="1"/>
  <c r="E2818" i="1"/>
  <c r="D2818" i="1"/>
  <c r="C2818" i="1"/>
  <c r="V2817" i="1"/>
  <c r="Q2817" i="1"/>
  <c r="P2817" i="1"/>
  <c r="O2817" i="1"/>
  <c r="N2817" i="1"/>
  <c r="J2817" i="1"/>
  <c r="I2817" i="1"/>
  <c r="H2817" i="1"/>
  <c r="G2817" i="1"/>
  <c r="F2817" i="1"/>
  <c r="E2817" i="1"/>
  <c r="D2817" i="1"/>
  <c r="C2817" i="1"/>
  <c r="V2816" i="1"/>
  <c r="Q2816" i="1"/>
  <c r="P2816" i="1"/>
  <c r="O2816" i="1"/>
  <c r="N2816" i="1"/>
  <c r="J2816" i="1"/>
  <c r="I2816" i="1"/>
  <c r="H2816" i="1"/>
  <c r="G2816" i="1"/>
  <c r="F2816" i="1"/>
  <c r="E2816" i="1"/>
  <c r="D2816" i="1"/>
  <c r="C2816" i="1"/>
  <c r="V2815" i="1"/>
  <c r="Q2815" i="1"/>
  <c r="P2815" i="1"/>
  <c r="O2815" i="1"/>
  <c r="N2815" i="1"/>
  <c r="J2815" i="1"/>
  <c r="I2815" i="1"/>
  <c r="H2815" i="1"/>
  <c r="G2815" i="1"/>
  <c r="F2815" i="1"/>
  <c r="E2815" i="1"/>
  <c r="D2815" i="1"/>
  <c r="C2815" i="1"/>
  <c r="V2814" i="1"/>
  <c r="Q2814" i="1"/>
  <c r="P2814" i="1"/>
  <c r="O2814" i="1"/>
  <c r="N2814" i="1"/>
  <c r="J2814" i="1"/>
  <c r="I2814" i="1"/>
  <c r="H2814" i="1"/>
  <c r="G2814" i="1"/>
  <c r="F2814" i="1"/>
  <c r="E2814" i="1"/>
  <c r="D2814" i="1"/>
  <c r="C2814" i="1"/>
  <c r="V2813" i="1"/>
  <c r="Q2813" i="1"/>
  <c r="P2813" i="1"/>
  <c r="O2813" i="1"/>
  <c r="N2813" i="1"/>
  <c r="J2813" i="1"/>
  <c r="I2813" i="1"/>
  <c r="H2813" i="1"/>
  <c r="G2813" i="1"/>
  <c r="F2813" i="1"/>
  <c r="E2813" i="1"/>
  <c r="D2813" i="1"/>
  <c r="C2813" i="1"/>
  <c r="V2812" i="1"/>
  <c r="Q2812" i="1"/>
  <c r="P2812" i="1"/>
  <c r="O2812" i="1"/>
  <c r="N2812" i="1"/>
  <c r="J2812" i="1"/>
  <c r="I2812" i="1"/>
  <c r="H2812" i="1"/>
  <c r="G2812" i="1"/>
  <c r="F2812" i="1"/>
  <c r="E2812" i="1"/>
  <c r="D2812" i="1"/>
  <c r="C2812" i="1"/>
  <c r="V2811" i="1"/>
  <c r="Q2811" i="1"/>
  <c r="P2811" i="1"/>
  <c r="O2811" i="1"/>
  <c r="N2811" i="1"/>
  <c r="J2811" i="1"/>
  <c r="I2811" i="1"/>
  <c r="H2811" i="1"/>
  <c r="G2811" i="1"/>
  <c r="F2811" i="1"/>
  <c r="E2811" i="1"/>
  <c r="D2811" i="1"/>
  <c r="C2811" i="1"/>
  <c r="V2810" i="1"/>
  <c r="Q2810" i="1"/>
  <c r="P2810" i="1"/>
  <c r="O2810" i="1"/>
  <c r="N2810" i="1"/>
  <c r="J2810" i="1"/>
  <c r="I2810" i="1"/>
  <c r="H2810" i="1"/>
  <c r="G2810" i="1"/>
  <c r="F2810" i="1"/>
  <c r="E2810" i="1"/>
  <c r="D2810" i="1"/>
  <c r="C2810" i="1"/>
  <c r="V2809" i="1"/>
  <c r="Q2809" i="1"/>
  <c r="P2809" i="1"/>
  <c r="O2809" i="1"/>
  <c r="N2809" i="1"/>
  <c r="J2809" i="1"/>
  <c r="I2809" i="1"/>
  <c r="H2809" i="1"/>
  <c r="G2809" i="1"/>
  <c r="F2809" i="1"/>
  <c r="E2809" i="1"/>
  <c r="D2809" i="1"/>
  <c r="C2809" i="1"/>
  <c r="V2808" i="1"/>
  <c r="Q2808" i="1"/>
  <c r="P2808" i="1"/>
  <c r="O2808" i="1"/>
  <c r="N2808" i="1"/>
  <c r="J2808" i="1"/>
  <c r="I2808" i="1"/>
  <c r="H2808" i="1"/>
  <c r="G2808" i="1"/>
  <c r="F2808" i="1"/>
  <c r="E2808" i="1"/>
  <c r="D2808" i="1"/>
  <c r="C2808" i="1"/>
  <c r="V2807" i="1"/>
  <c r="Q2807" i="1"/>
  <c r="P2807" i="1"/>
  <c r="O2807" i="1"/>
  <c r="N2807" i="1"/>
  <c r="J2807" i="1"/>
  <c r="I2807" i="1"/>
  <c r="H2807" i="1"/>
  <c r="G2807" i="1"/>
  <c r="F2807" i="1"/>
  <c r="E2807" i="1"/>
  <c r="D2807" i="1"/>
  <c r="C2807" i="1"/>
  <c r="V2806" i="1"/>
  <c r="Q2806" i="1"/>
  <c r="P2806" i="1"/>
  <c r="O2806" i="1"/>
  <c r="N2806" i="1"/>
  <c r="J2806" i="1"/>
  <c r="I2806" i="1"/>
  <c r="H2806" i="1"/>
  <c r="G2806" i="1"/>
  <c r="F2806" i="1"/>
  <c r="E2806" i="1"/>
  <c r="D2806" i="1"/>
  <c r="C2806" i="1"/>
  <c r="V2805" i="1"/>
  <c r="Q2805" i="1"/>
  <c r="P2805" i="1"/>
  <c r="O2805" i="1"/>
  <c r="N2805" i="1"/>
  <c r="J2805" i="1"/>
  <c r="I2805" i="1"/>
  <c r="H2805" i="1"/>
  <c r="G2805" i="1"/>
  <c r="F2805" i="1"/>
  <c r="E2805" i="1"/>
  <c r="D2805" i="1"/>
  <c r="C2805" i="1"/>
  <c r="V2804" i="1"/>
  <c r="Q2804" i="1"/>
  <c r="P2804" i="1"/>
  <c r="O2804" i="1"/>
  <c r="N2804" i="1"/>
  <c r="J2804" i="1"/>
  <c r="I2804" i="1"/>
  <c r="H2804" i="1"/>
  <c r="G2804" i="1"/>
  <c r="F2804" i="1"/>
  <c r="E2804" i="1"/>
  <c r="D2804" i="1"/>
  <c r="C2804" i="1"/>
  <c r="V2803" i="1"/>
  <c r="Q2803" i="1"/>
  <c r="P2803" i="1"/>
  <c r="O2803" i="1"/>
  <c r="N2803" i="1"/>
  <c r="J2803" i="1"/>
  <c r="I2803" i="1"/>
  <c r="H2803" i="1"/>
  <c r="G2803" i="1"/>
  <c r="F2803" i="1"/>
  <c r="E2803" i="1"/>
  <c r="D2803" i="1"/>
  <c r="C2803" i="1"/>
  <c r="V2802" i="1"/>
  <c r="Q2802" i="1"/>
  <c r="P2802" i="1"/>
  <c r="O2802" i="1"/>
  <c r="N2802" i="1"/>
  <c r="J2802" i="1"/>
  <c r="I2802" i="1"/>
  <c r="H2802" i="1"/>
  <c r="G2802" i="1"/>
  <c r="F2802" i="1"/>
  <c r="E2802" i="1"/>
  <c r="D2802" i="1"/>
  <c r="C2802" i="1"/>
  <c r="V2801" i="1"/>
  <c r="Q2801" i="1"/>
  <c r="P2801" i="1"/>
  <c r="O2801" i="1"/>
  <c r="N2801" i="1"/>
  <c r="J2801" i="1"/>
  <c r="I2801" i="1"/>
  <c r="H2801" i="1"/>
  <c r="G2801" i="1"/>
  <c r="F2801" i="1"/>
  <c r="E2801" i="1"/>
  <c r="D2801" i="1"/>
  <c r="C2801" i="1"/>
  <c r="V2800" i="1"/>
  <c r="Q2800" i="1"/>
  <c r="P2800" i="1"/>
  <c r="O2800" i="1"/>
  <c r="N2800" i="1"/>
  <c r="J2800" i="1"/>
  <c r="I2800" i="1"/>
  <c r="H2800" i="1"/>
  <c r="G2800" i="1"/>
  <c r="F2800" i="1"/>
  <c r="E2800" i="1"/>
  <c r="D2800" i="1"/>
  <c r="C2800" i="1"/>
  <c r="V2799" i="1"/>
  <c r="Q2799" i="1"/>
  <c r="P2799" i="1"/>
  <c r="O2799" i="1"/>
  <c r="N2799" i="1"/>
  <c r="J2799" i="1"/>
  <c r="I2799" i="1"/>
  <c r="H2799" i="1"/>
  <c r="G2799" i="1"/>
  <c r="F2799" i="1"/>
  <c r="E2799" i="1"/>
  <c r="D2799" i="1"/>
  <c r="C2799" i="1"/>
  <c r="V2798" i="1"/>
  <c r="Q2798" i="1"/>
  <c r="P2798" i="1"/>
  <c r="O2798" i="1"/>
  <c r="N2798" i="1"/>
  <c r="J2798" i="1"/>
  <c r="I2798" i="1"/>
  <c r="H2798" i="1"/>
  <c r="G2798" i="1"/>
  <c r="F2798" i="1"/>
  <c r="E2798" i="1"/>
  <c r="D2798" i="1"/>
  <c r="C2798" i="1"/>
  <c r="V2797" i="1"/>
  <c r="Q2797" i="1"/>
  <c r="P2797" i="1"/>
  <c r="O2797" i="1"/>
  <c r="N2797" i="1"/>
  <c r="J2797" i="1"/>
  <c r="I2797" i="1"/>
  <c r="H2797" i="1"/>
  <c r="G2797" i="1"/>
  <c r="F2797" i="1"/>
  <c r="E2797" i="1"/>
  <c r="D2797" i="1"/>
  <c r="C2797" i="1"/>
  <c r="V2796" i="1"/>
  <c r="Q2796" i="1"/>
  <c r="P2796" i="1"/>
  <c r="O2796" i="1"/>
  <c r="N2796" i="1"/>
  <c r="J2796" i="1"/>
  <c r="I2796" i="1"/>
  <c r="H2796" i="1"/>
  <c r="G2796" i="1"/>
  <c r="F2796" i="1"/>
  <c r="E2796" i="1"/>
  <c r="D2796" i="1"/>
  <c r="C2796" i="1"/>
  <c r="V2795" i="1"/>
  <c r="Q2795" i="1"/>
  <c r="P2795" i="1"/>
  <c r="O2795" i="1"/>
  <c r="N2795" i="1"/>
  <c r="J2795" i="1"/>
  <c r="I2795" i="1"/>
  <c r="H2795" i="1"/>
  <c r="G2795" i="1"/>
  <c r="F2795" i="1"/>
  <c r="E2795" i="1"/>
  <c r="D2795" i="1"/>
  <c r="C2795" i="1"/>
  <c r="V2794" i="1"/>
  <c r="Q2794" i="1"/>
  <c r="P2794" i="1"/>
  <c r="O2794" i="1"/>
  <c r="N2794" i="1"/>
  <c r="J2794" i="1"/>
  <c r="I2794" i="1"/>
  <c r="H2794" i="1"/>
  <c r="G2794" i="1"/>
  <c r="F2794" i="1"/>
  <c r="E2794" i="1"/>
  <c r="D2794" i="1"/>
  <c r="C2794" i="1"/>
  <c r="V2793" i="1"/>
  <c r="Q2793" i="1"/>
  <c r="P2793" i="1"/>
  <c r="O2793" i="1"/>
  <c r="N2793" i="1"/>
  <c r="J2793" i="1"/>
  <c r="I2793" i="1"/>
  <c r="H2793" i="1"/>
  <c r="G2793" i="1"/>
  <c r="F2793" i="1"/>
  <c r="E2793" i="1"/>
  <c r="D2793" i="1"/>
  <c r="C2793" i="1"/>
  <c r="V2792" i="1"/>
  <c r="Q2792" i="1"/>
  <c r="P2792" i="1"/>
  <c r="O2792" i="1"/>
  <c r="N2792" i="1"/>
  <c r="J2792" i="1"/>
  <c r="I2792" i="1"/>
  <c r="H2792" i="1"/>
  <c r="G2792" i="1"/>
  <c r="F2792" i="1"/>
  <c r="E2792" i="1"/>
  <c r="D2792" i="1"/>
  <c r="C2792" i="1"/>
  <c r="V2791" i="1"/>
  <c r="Q2791" i="1"/>
  <c r="P2791" i="1"/>
  <c r="O2791" i="1"/>
  <c r="N2791" i="1"/>
  <c r="J2791" i="1"/>
  <c r="I2791" i="1"/>
  <c r="H2791" i="1"/>
  <c r="G2791" i="1"/>
  <c r="F2791" i="1"/>
  <c r="E2791" i="1"/>
  <c r="D2791" i="1"/>
  <c r="C2791" i="1"/>
  <c r="V2790" i="1"/>
  <c r="Q2790" i="1"/>
  <c r="P2790" i="1"/>
  <c r="O2790" i="1"/>
  <c r="N2790" i="1"/>
  <c r="J2790" i="1"/>
  <c r="I2790" i="1"/>
  <c r="H2790" i="1"/>
  <c r="G2790" i="1"/>
  <c r="F2790" i="1"/>
  <c r="E2790" i="1"/>
  <c r="D2790" i="1"/>
  <c r="C2790" i="1"/>
  <c r="V2789" i="1"/>
  <c r="Q2789" i="1"/>
  <c r="P2789" i="1"/>
  <c r="O2789" i="1"/>
  <c r="N2789" i="1"/>
  <c r="J2789" i="1"/>
  <c r="I2789" i="1"/>
  <c r="H2789" i="1"/>
  <c r="G2789" i="1"/>
  <c r="F2789" i="1"/>
  <c r="E2789" i="1"/>
  <c r="D2789" i="1"/>
  <c r="C2789" i="1"/>
  <c r="V2788" i="1"/>
  <c r="Q2788" i="1"/>
  <c r="P2788" i="1"/>
  <c r="O2788" i="1"/>
  <c r="N2788" i="1"/>
  <c r="J2788" i="1"/>
  <c r="I2788" i="1"/>
  <c r="H2788" i="1"/>
  <c r="G2788" i="1"/>
  <c r="F2788" i="1"/>
  <c r="E2788" i="1"/>
  <c r="D2788" i="1"/>
  <c r="C2788" i="1"/>
  <c r="V2787" i="1"/>
  <c r="Q2787" i="1"/>
  <c r="P2787" i="1"/>
  <c r="O2787" i="1"/>
  <c r="N2787" i="1"/>
  <c r="J2787" i="1"/>
  <c r="I2787" i="1"/>
  <c r="H2787" i="1"/>
  <c r="G2787" i="1"/>
  <c r="F2787" i="1"/>
  <c r="E2787" i="1"/>
  <c r="D2787" i="1"/>
  <c r="C2787" i="1"/>
  <c r="V2786" i="1"/>
  <c r="Q2786" i="1"/>
  <c r="P2786" i="1"/>
  <c r="O2786" i="1"/>
  <c r="N2786" i="1"/>
  <c r="J2786" i="1"/>
  <c r="I2786" i="1"/>
  <c r="H2786" i="1"/>
  <c r="G2786" i="1"/>
  <c r="F2786" i="1"/>
  <c r="E2786" i="1"/>
  <c r="D2786" i="1"/>
  <c r="C2786" i="1"/>
  <c r="V2785" i="1"/>
  <c r="Q2785" i="1"/>
  <c r="P2785" i="1"/>
  <c r="O2785" i="1"/>
  <c r="N2785" i="1"/>
  <c r="J2785" i="1"/>
  <c r="I2785" i="1"/>
  <c r="H2785" i="1"/>
  <c r="G2785" i="1"/>
  <c r="F2785" i="1"/>
  <c r="E2785" i="1"/>
  <c r="D2785" i="1"/>
  <c r="C2785" i="1"/>
  <c r="V2784" i="1"/>
  <c r="Q2784" i="1"/>
  <c r="P2784" i="1"/>
  <c r="O2784" i="1"/>
  <c r="N2784" i="1"/>
  <c r="J2784" i="1"/>
  <c r="I2784" i="1"/>
  <c r="H2784" i="1"/>
  <c r="G2784" i="1"/>
  <c r="F2784" i="1"/>
  <c r="E2784" i="1"/>
  <c r="D2784" i="1"/>
  <c r="C2784" i="1"/>
  <c r="V2783" i="1"/>
  <c r="Q2783" i="1"/>
  <c r="P2783" i="1"/>
  <c r="O2783" i="1"/>
  <c r="N2783" i="1"/>
  <c r="J2783" i="1"/>
  <c r="I2783" i="1"/>
  <c r="H2783" i="1"/>
  <c r="G2783" i="1"/>
  <c r="F2783" i="1"/>
  <c r="E2783" i="1"/>
  <c r="D2783" i="1"/>
  <c r="C2783" i="1"/>
  <c r="V2782" i="1"/>
  <c r="Q2782" i="1"/>
  <c r="P2782" i="1"/>
  <c r="O2782" i="1"/>
  <c r="N2782" i="1"/>
  <c r="J2782" i="1"/>
  <c r="I2782" i="1"/>
  <c r="H2782" i="1"/>
  <c r="G2782" i="1"/>
  <c r="F2782" i="1"/>
  <c r="E2782" i="1"/>
  <c r="D2782" i="1"/>
  <c r="C2782" i="1"/>
  <c r="V2781" i="1"/>
  <c r="Q2781" i="1"/>
  <c r="P2781" i="1"/>
  <c r="O2781" i="1"/>
  <c r="N2781" i="1"/>
  <c r="J2781" i="1"/>
  <c r="I2781" i="1"/>
  <c r="H2781" i="1"/>
  <c r="G2781" i="1"/>
  <c r="F2781" i="1"/>
  <c r="E2781" i="1"/>
  <c r="D2781" i="1"/>
  <c r="C2781" i="1"/>
  <c r="V2780" i="1"/>
  <c r="Q2780" i="1"/>
  <c r="P2780" i="1"/>
  <c r="O2780" i="1"/>
  <c r="N2780" i="1"/>
  <c r="J2780" i="1"/>
  <c r="I2780" i="1"/>
  <c r="H2780" i="1"/>
  <c r="G2780" i="1"/>
  <c r="F2780" i="1"/>
  <c r="E2780" i="1"/>
  <c r="D2780" i="1"/>
  <c r="C2780" i="1"/>
  <c r="V2779" i="1"/>
  <c r="Q2779" i="1"/>
  <c r="P2779" i="1"/>
  <c r="O2779" i="1"/>
  <c r="N2779" i="1"/>
  <c r="J2779" i="1"/>
  <c r="I2779" i="1"/>
  <c r="H2779" i="1"/>
  <c r="G2779" i="1"/>
  <c r="F2779" i="1"/>
  <c r="E2779" i="1"/>
  <c r="D2779" i="1"/>
  <c r="C2779" i="1"/>
  <c r="V2778" i="1"/>
  <c r="Q2778" i="1"/>
  <c r="P2778" i="1"/>
  <c r="O2778" i="1"/>
  <c r="N2778" i="1"/>
  <c r="J2778" i="1"/>
  <c r="I2778" i="1"/>
  <c r="H2778" i="1"/>
  <c r="G2778" i="1"/>
  <c r="F2778" i="1"/>
  <c r="E2778" i="1"/>
  <c r="D2778" i="1"/>
  <c r="C2778" i="1"/>
  <c r="V2777" i="1"/>
  <c r="Q2777" i="1"/>
  <c r="P2777" i="1"/>
  <c r="O2777" i="1"/>
  <c r="N2777" i="1"/>
  <c r="J2777" i="1"/>
  <c r="I2777" i="1"/>
  <c r="H2777" i="1"/>
  <c r="G2777" i="1"/>
  <c r="F2777" i="1"/>
  <c r="E2777" i="1"/>
  <c r="D2777" i="1"/>
  <c r="C2777" i="1"/>
  <c r="V2776" i="1"/>
  <c r="Q2776" i="1"/>
  <c r="P2776" i="1"/>
  <c r="O2776" i="1"/>
  <c r="N2776" i="1"/>
  <c r="J2776" i="1"/>
  <c r="I2776" i="1"/>
  <c r="H2776" i="1"/>
  <c r="G2776" i="1"/>
  <c r="F2776" i="1"/>
  <c r="E2776" i="1"/>
  <c r="D2776" i="1"/>
  <c r="C2776" i="1"/>
  <c r="V2775" i="1"/>
  <c r="Q2775" i="1"/>
  <c r="P2775" i="1"/>
  <c r="O2775" i="1"/>
  <c r="N2775" i="1"/>
  <c r="J2775" i="1"/>
  <c r="I2775" i="1"/>
  <c r="H2775" i="1"/>
  <c r="G2775" i="1"/>
  <c r="F2775" i="1"/>
  <c r="E2775" i="1"/>
  <c r="D2775" i="1"/>
  <c r="C2775" i="1"/>
  <c r="V2774" i="1"/>
  <c r="Q2774" i="1"/>
  <c r="P2774" i="1"/>
  <c r="O2774" i="1"/>
  <c r="N2774" i="1"/>
  <c r="J2774" i="1"/>
  <c r="I2774" i="1"/>
  <c r="H2774" i="1"/>
  <c r="G2774" i="1"/>
  <c r="F2774" i="1"/>
  <c r="E2774" i="1"/>
  <c r="D2774" i="1"/>
  <c r="C2774" i="1"/>
  <c r="V2773" i="1"/>
  <c r="Q2773" i="1"/>
  <c r="P2773" i="1"/>
  <c r="O2773" i="1"/>
  <c r="N2773" i="1"/>
  <c r="J2773" i="1"/>
  <c r="I2773" i="1"/>
  <c r="H2773" i="1"/>
  <c r="G2773" i="1"/>
  <c r="F2773" i="1"/>
  <c r="E2773" i="1"/>
  <c r="D2773" i="1"/>
  <c r="C2773" i="1"/>
  <c r="V2772" i="1"/>
  <c r="Q2772" i="1"/>
  <c r="P2772" i="1"/>
  <c r="O2772" i="1"/>
  <c r="N2772" i="1"/>
  <c r="J2772" i="1"/>
  <c r="I2772" i="1"/>
  <c r="H2772" i="1"/>
  <c r="G2772" i="1"/>
  <c r="F2772" i="1"/>
  <c r="E2772" i="1"/>
  <c r="D2772" i="1"/>
  <c r="C2772" i="1"/>
  <c r="V2771" i="1"/>
  <c r="Q2771" i="1"/>
  <c r="P2771" i="1"/>
  <c r="O2771" i="1"/>
  <c r="N2771" i="1"/>
  <c r="J2771" i="1"/>
  <c r="I2771" i="1"/>
  <c r="H2771" i="1"/>
  <c r="G2771" i="1"/>
  <c r="F2771" i="1"/>
  <c r="E2771" i="1"/>
  <c r="D2771" i="1"/>
  <c r="C2771" i="1"/>
  <c r="V2770" i="1"/>
  <c r="Q2770" i="1"/>
  <c r="P2770" i="1"/>
  <c r="O2770" i="1"/>
  <c r="N2770" i="1"/>
  <c r="J2770" i="1"/>
  <c r="I2770" i="1"/>
  <c r="H2770" i="1"/>
  <c r="G2770" i="1"/>
  <c r="F2770" i="1"/>
  <c r="E2770" i="1"/>
  <c r="D2770" i="1"/>
  <c r="C2770" i="1"/>
  <c r="V2769" i="1"/>
  <c r="Q2769" i="1"/>
  <c r="P2769" i="1"/>
  <c r="O2769" i="1"/>
  <c r="N2769" i="1"/>
  <c r="J2769" i="1"/>
  <c r="I2769" i="1"/>
  <c r="H2769" i="1"/>
  <c r="G2769" i="1"/>
  <c r="F2769" i="1"/>
  <c r="E2769" i="1"/>
  <c r="D2769" i="1"/>
  <c r="C2769" i="1"/>
  <c r="V2768" i="1"/>
  <c r="Q2768" i="1"/>
  <c r="P2768" i="1"/>
  <c r="O2768" i="1"/>
  <c r="N2768" i="1"/>
  <c r="J2768" i="1"/>
  <c r="I2768" i="1"/>
  <c r="H2768" i="1"/>
  <c r="G2768" i="1"/>
  <c r="F2768" i="1"/>
  <c r="E2768" i="1"/>
  <c r="D2768" i="1"/>
  <c r="C2768" i="1"/>
  <c r="V2767" i="1"/>
  <c r="Q2767" i="1"/>
  <c r="P2767" i="1"/>
  <c r="O2767" i="1"/>
  <c r="N2767" i="1"/>
  <c r="J2767" i="1"/>
  <c r="I2767" i="1"/>
  <c r="H2767" i="1"/>
  <c r="G2767" i="1"/>
  <c r="F2767" i="1"/>
  <c r="E2767" i="1"/>
  <c r="D2767" i="1"/>
  <c r="C2767" i="1"/>
  <c r="V2766" i="1"/>
  <c r="Q2766" i="1"/>
  <c r="P2766" i="1"/>
  <c r="O2766" i="1"/>
  <c r="N2766" i="1"/>
  <c r="J2766" i="1"/>
  <c r="I2766" i="1"/>
  <c r="H2766" i="1"/>
  <c r="G2766" i="1"/>
  <c r="F2766" i="1"/>
  <c r="E2766" i="1"/>
  <c r="D2766" i="1"/>
  <c r="C2766" i="1"/>
  <c r="V2765" i="1"/>
  <c r="Q2765" i="1"/>
  <c r="P2765" i="1"/>
  <c r="O2765" i="1"/>
  <c r="N2765" i="1"/>
  <c r="J2765" i="1"/>
  <c r="I2765" i="1"/>
  <c r="H2765" i="1"/>
  <c r="G2765" i="1"/>
  <c r="F2765" i="1"/>
  <c r="E2765" i="1"/>
  <c r="D2765" i="1"/>
  <c r="C2765" i="1"/>
  <c r="V2764" i="1"/>
  <c r="Q2764" i="1"/>
  <c r="P2764" i="1"/>
  <c r="O2764" i="1"/>
  <c r="N2764" i="1"/>
  <c r="J2764" i="1"/>
  <c r="I2764" i="1"/>
  <c r="H2764" i="1"/>
  <c r="G2764" i="1"/>
  <c r="F2764" i="1"/>
  <c r="E2764" i="1"/>
  <c r="D2764" i="1"/>
  <c r="C2764" i="1"/>
  <c r="V2763" i="1"/>
  <c r="Q2763" i="1"/>
  <c r="P2763" i="1"/>
  <c r="O2763" i="1"/>
  <c r="N2763" i="1"/>
  <c r="J2763" i="1"/>
  <c r="I2763" i="1"/>
  <c r="H2763" i="1"/>
  <c r="G2763" i="1"/>
  <c r="F2763" i="1"/>
  <c r="E2763" i="1"/>
  <c r="D2763" i="1"/>
  <c r="C2763" i="1"/>
  <c r="V2762" i="1"/>
  <c r="Q2762" i="1"/>
  <c r="P2762" i="1"/>
  <c r="O2762" i="1"/>
  <c r="N2762" i="1"/>
  <c r="J2762" i="1"/>
  <c r="I2762" i="1"/>
  <c r="H2762" i="1"/>
  <c r="G2762" i="1"/>
  <c r="F2762" i="1"/>
  <c r="E2762" i="1"/>
  <c r="D2762" i="1"/>
  <c r="C2762" i="1"/>
  <c r="V2761" i="1"/>
  <c r="Q2761" i="1"/>
  <c r="P2761" i="1"/>
  <c r="O2761" i="1"/>
  <c r="N2761" i="1"/>
  <c r="J2761" i="1"/>
  <c r="I2761" i="1"/>
  <c r="H2761" i="1"/>
  <c r="G2761" i="1"/>
  <c r="F2761" i="1"/>
  <c r="E2761" i="1"/>
  <c r="D2761" i="1"/>
  <c r="C2761" i="1"/>
  <c r="V2760" i="1"/>
  <c r="Q2760" i="1"/>
  <c r="P2760" i="1"/>
  <c r="O2760" i="1"/>
  <c r="N2760" i="1"/>
  <c r="J2760" i="1"/>
  <c r="I2760" i="1"/>
  <c r="H2760" i="1"/>
  <c r="G2760" i="1"/>
  <c r="F2760" i="1"/>
  <c r="E2760" i="1"/>
  <c r="D2760" i="1"/>
  <c r="C2760" i="1"/>
  <c r="V2759" i="1"/>
  <c r="Q2759" i="1"/>
  <c r="P2759" i="1"/>
  <c r="O2759" i="1"/>
  <c r="N2759" i="1"/>
  <c r="J2759" i="1"/>
  <c r="I2759" i="1"/>
  <c r="H2759" i="1"/>
  <c r="G2759" i="1"/>
  <c r="F2759" i="1"/>
  <c r="E2759" i="1"/>
  <c r="D2759" i="1"/>
  <c r="C2759" i="1"/>
  <c r="V2758" i="1"/>
  <c r="Q2758" i="1"/>
  <c r="P2758" i="1"/>
  <c r="O2758" i="1"/>
  <c r="N2758" i="1"/>
  <c r="J2758" i="1"/>
  <c r="I2758" i="1"/>
  <c r="H2758" i="1"/>
  <c r="G2758" i="1"/>
  <c r="F2758" i="1"/>
  <c r="E2758" i="1"/>
  <c r="D2758" i="1"/>
  <c r="C2758" i="1"/>
  <c r="V2757" i="1"/>
  <c r="Q2757" i="1"/>
  <c r="P2757" i="1"/>
  <c r="O2757" i="1"/>
  <c r="N2757" i="1"/>
  <c r="J2757" i="1"/>
  <c r="I2757" i="1"/>
  <c r="H2757" i="1"/>
  <c r="G2757" i="1"/>
  <c r="F2757" i="1"/>
  <c r="E2757" i="1"/>
  <c r="D2757" i="1"/>
  <c r="C2757" i="1"/>
  <c r="V2756" i="1"/>
  <c r="Q2756" i="1"/>
  <c r="P2756" i="1"/>
  <c r="O2756" i="1"/>
  <c r="N2756" i="1"/>
  <c r="J2756" i="1"/>
  <c r="I2756" i="1"/>
  <c r="H2756" i="1"/>
  <c r="G2756" i="1"/>
  <c r="F2756" i="1"/>
  <c r="E2756" i="1"/>
  <c r="D2756" i="1"/>
  <c r="C2756" i="1"/>
  <c r="V2755" i="1"/>
  <c r="Q2755" i="1"/>
  <c r="P2755" i="1"/>
  <c r="O2755" i="1"/>
  <c r="N2755" i="1"/>
  <c r="J2755" i="1"/>
  <c r="I2755" i="1"/>
  <c r="H2755" i="1"/>
  <c r="G2755" i="1"/>
  <c r="F2755" i="1"/>
  <c r="E2755" i="1"/>
  <c r="D2755" i="1"/>
  <c r="C2755" i="1"/>
  <c r="V2754" i="1"/>
  <c r="Q2754" i="1"/>
  <c r="P2754" i="1"/>
  <c r="O2754" i="1"/>
  <c r="N2754" i="1"/>
  <c r="J2754" i="1"/>
  <c r="I2754" i="1"/>
  <c r="H2754" i="1"/>
  <c r="G2754" i="1"/>
  <c r="F2754" i="1"/>
  <c r="E2754" i="1"/>
  <c r="D2754" i="1"/>
  <c r="C2754" i="1"/>
  <c r="V2753" i="1"/>
  <c r="Q2753" i="1"/>
  <c r="P2753" i="1"/>
  <c r="O2753" i="1"/>
  <c r="N2753" i="1"/>
  <c r="J2753" i="1"/>
  <c r="I2753" i="1"/>
  <c r="H2753" i="1"/>
  <c r="G2753" i="1"/>
  <c r="F2753" i="1"/>
  <c r="E2753" i="1"/>
  <c r="D2753" i="1"/>
  <c r="C2753" i="1"/>
  <c r="V2752" i="1"/>
  <c r="Q2752" i="1"/>
  <c r="P2752" i="1"/>
  <c r="O2752" i="1"/>
  <c r="N2752" i="1"/>
  <c r="J2752" i="1"/>
  <c r="I2752" i="1"/>
  <c r="H2752" i="1"/>
  <c r="G2752" i="1"/>
  <c r="F2752" i="1"/>
  <c r="E2752" i="1"/>
  <c r="D2752" i="1"/>
  <c r="C2752" i="1"/>
  <c r="V2751" i="1"/>
  <c r="Q2751" i="1"/>
  <c r="P2751" i="1"/>
  <c r="O2751" i="1"/>
  <c r="N2751" i="1"/>
  <c r="J2751" i="1"/>
  <c r="I2751" i="1"/>
  <c r="H2751" i="1"/>
  <c r="G2751" i="1"/>
  <c r="F2751" i="1"/>
  <c r="E2751" i="1"/>
  <c r="D2751" i="1"/>
  <c r="C2751" i="1"/>
  <c r="V2750" i="1"/>
  <c r="Q2750" i="1"/>
  <c r="P2750" i="1"/>
  <c r="O2750" i="1"/>
  <c r="N2750" i="1"/>
  <c r="J2750" i="1"/>
  <c r="I2750" i="1"/>
  <c r="H2750" i="1"/>
  <c r="G2750" i="1"/>
  <c r="F2750" i="1"/>
  <c r="E2750" i="1"/>
  <c r="D2750" i="1"/>
  <c r="C2750" i="1"/>
  <c r="V2749" i="1"/>
  <c r="Q2749" i="1"/>
  <c r="P2749" i="1"/>
  <c r="O2749" i="1"/>
  <c r="N2749" i="1"/>
  <c r="J2749" i="1"/>
  <c r="I2749" i="1"/>
  <c r="H2749" i="1"/>
  <c r="G2749" i="1"/>
  <c r="F2749" i="1"/>
  <c r="E2749" i="1"/>
  <c r="D2749" i="1"/>
  <c r="C2749" i="1"/>
  <c r="V2748" i="1"/>
  <c r="Q2748" i="1"/>
  <c r="P2748" i="1"/>
  <c r="O2748" i="1"/>
  <c r="N2748" i="1"/>
  <c r="J2748" i="1"/>
  <c r="I2748" i="1"/>
  <c r="H2748" i="1"/>
  <c r="G2748" i="1"/>
  <c r="F2748" i="1"/>
  <c r="E2748" i="1"/>
  <c r="D2748" i="1"/>
  <c r="C2748" i="1"/>
  <c r="V2747" i="1"/>
  <c r="Q2747" i="1"/>
  <c r="P2747" i="1"/>
  <c r="O2747" i="1"/>
  <c r="N2747" i="1"/>
  <c r="J2747" i="1"/>
  <c r="I2747" i="1"/>
  <c r="H2747" i="1"/>
  <c r="G2747" i="1"/>
  <c r="F2747" i="1"/>
  <c r="E2747" i="1"/>
  <c r="D2747" i="1"/>
  <c r="C2747" i="1"/>
  <c r="V2746" i="1"/>
  <c r="Q2746" i="1"/>
  <c r="P2746" i="1"/>
  <c r="O2746" i="1"/>
  <c r="N2746" i="1"/>
  <c r="J2746" i="1"/>
  <c r="I2746" i="1"/>
  <c r="H2746" i="1"/>
  <c r="G2746" i="1"/>
  <c r="F2746" i="1"/>
  <c r="E2746" i="1"/>
  <c r="D2746" i="1"/>
  <c r="C2746" i="1"/>
  <c r="V2745" i="1"/>
  <c r="Q2745" i="1"/>
  <c r="P2745" i="1"/>
  <c r="O2745" i="1"/>
  <c r="N2745" i="1"/>
  <c r="J2745" i="1"/>
  <c r="I2745" i="1"/>
  <c r="H2745" i="1"/>
  <c r="G2745" i="1"/>
  <c r="F2745" i="1"/>
  <c r="E2745" i="1"/>
  <c r="D2745" i="1"/>
  <c r="C2745" i="1"/>
  <c r="V2744" i="1"/>
  <c r="Q2744" i="1"/>
  <c r="P2744" i="1"/>
  <c r="O2744" i="1"/>
  <c r="N2744" i="1"/>
  <c r="J2744" i="1"/>
  <c r="I2744" i="1"/>
  <c r="H2744" i="1"/>
  <c r="G2744" i="1"/>
  <c r="F2744" i="1"/>
  <c r="E2744" i="1"/>
  <c r="D2744" i="1"/>
  <c r="C2744" i="1"/>
  <c r="V2743" i="1"/>
  <c r="Q2743" i="1"/>
  <c r="P2743" i="1"/>
  <c r="O2743" i="1"/>
  <c r="N2743" i="1"/>
  <c r="J2743" i="1"/>
  <c r="I2743" i="1"/>
  <c r="H2743" i="1"/>
  <c r="G2743" i="1"/>
  <c r="F2743" i="1"/>
  <c r="E2743" i="1"/>
  <c r="D2743" i="1"/>
  <c r="C2743" i="1"/>
  <c r="V2742" i="1"/>
  <c r="Q2742" i="1"/>
  <c r="P2742" i="1"/>
  <c r="O2742" i="1"/>
  <c r="N2742" i="1"/>
  <c r="J2742" i="1"/>
  <c r="I2742" i="1"/>
  <c r="H2742" i="1"/>
  <c r="G2742" i="1"/>
  <c r="F2742" i="1"/>
  <c r="E2742" i="1"/>
  <c r="D2742" i="1"/>
  <c r="C2742" i="1"/>
  <c r="V2741" i="1"/>
  <c r="Q2741" i="1"/>
  <c r="P2741" i="1"/>
  <c r="O2741" i="1"/>
  <c r="N2741" i="1"/>
  <c r="J2741" i="1"/>
  <c r="I2741" i="1"/>
  <c r="H2741" i="1"/>
  <c r="G2741" i="1"/>
  <c r="F2741" i="1"/>
  <c r="E2741" i="1"/>
  <c r="D2741" i="1"/>
  <c r="C2741" i="1"/>
  <c r="V2740" i="1"/>
  <c r="Q2740" i="1"/>
  <c r="P2740" i="1"/>
  <c r="O2740" i="1"/>
  <c r="N2740" i="1"/>
  <c r="J2740" i="1"/>
  <c r="I2740" i="1"/>
  <c r="H2740" i="1"/>
  <c r="G2740" i="1"/>
  <c r="F2740" i="1"/>
  <c r="E2740" i="1"/>
  <c r="D2740" i="1"/>
  <c r="C2740" i="1"/>
  <c r="V2739" i="1"/>
  <c r="Q2739" i="1"/>
  <c r="P2739" i="1"/>
  <c r="O2739" i="1"/>
  <c r="N2739" i="1"/>
  <c r="J2739" i="1"/>
  <c r="I2739" i="1"/>
  <c r="H2739" i="1"/>
  <c r="G2739" i="1"/>
  <c r="F2739" i="1"/>
  <c r="E2739" i="1"/>
  <c r="D2739" i="1"/>
  <c r="C2739" i="1"/>
  <c r="V2738" i="1"/>
  <c r="Q2738" i="1"/>
  <c r="P2738" i="1"/>
  <c r="O2738" i="1"/>
  <c r="N2738" i="1"/>
  <c r="J2738" i="1"/>
  <c r="I2738" i="1"/>
  <c r="H2738" i="1"/>
  <c r="G2738" i="1"/>
  <c r="F2738" i="1"/>
  <c r="E2738" i="1"/>
  <c r="D2738" i="1"/>
  <c r="C2738" i="1"/>
  <c r="V2737" i="1"/>
  <c r="Q2737" i="1"/>
  <c r="P2737" i="1"/>
  <c r="O2737" i="1"/>
  <c r="N2737" i="1"/>
  <c r="J2737" i="1"/>
  <c r="I2737" i="1"/>
  <c r="H2737" i="1"/>
  <c r="G2737" i="1"/>
  <c r="F2737" i="1"/>
  <c r="E2737" i="1"/>
  <c r="D2737" i="1"/>
  <c r="C2737" i="1"/>
  <c r="V2736" i="1"/>
  <c r="Q2736" i="1"/>
  <c r="P2736" i="1"/>
  <c r="O2736" i="1"/>
  <c r="N2736" i="1"/>
  <c r="J2736" i="1"/>
  <c r="I2736" i="1"/>
  <c r="H2736" i="1"/>
  <c r="G2736" i="1"/>
  <c r="F2736" i="1"/>
  <c r="E2736" i="1"/>
  <c r="D2736" i="1"/>
  <c r="C2736" i="1"/>
  <c r="V2735" i="1"/>
  <c r="Q2735" i="1"/>
  <c r="P2735" i="1"/>
  <c r="O2735" i="1"/>
  <c r="N2735" i="1"/>
  <c r="J2735" i="1"/>
  <c r="I2735" i="1"/>
  <c r="H2735" i="1"/>
  <c r="G2735" i="1"/>
  <c r="F2735" i="1"/>
  <c r="E2735" i="1"/>
  <c r="D2735" i="1"/>
  <c r="C2735" i="1"/>
  <c r="V2734" i="1"/>
  <c r="Q2734" i="1"/>
  <c r="P2734" i="1"/>
  <c r="O2734" i="1"/>
  <c r="N2734" i="1"/>
  <c r="J2734" i="1"/>
  <c r="I2734" i="1"/>
  <c r="H2734" i="1"/>
  <c r="G2734" i="1"/>
  <c r="F2734" i="1"/>
  <c r="E2734" i="1"/>
  <c r="D2734" i="1"/>
  <c r="C2734" i="1"/>
  <c r="V2733" i="1"/>
  <c r="Q2733" i="1"/>
  <c r="P2733" i="1"/>
  <c r="O2733" i="1"/>
  <c r="N2733" i="1"/>
  <c r="J2733" i="1"/>
  <c r="I2733" i="1"/>
  <c r="H2733" i="1"/>
  <c r="G2733" i="1"/>
  <c r="F2733" i="1"/>
  <c r="E2733" i="1"/>
  <c r="D2733" i="1"/>
  <c r="C2733" i="1"/>
  <c r="V2732" i="1"/>
  <c r="Q2732" i="1"/>
  <c r="P2732" i="1"/>
  <c r="O2732" i="1"/>
  <c r="N2732" i="1"/>
  <c r="J2732" i="1"/>
  <c r="I2732" i="1"/>
  <c r="H2732" i="1"/>
  <c r="G2732" i="1"/>
  <c r="F2732" i="1"/>
  <c r="E2732" i="1"/>
  <c r="D2732" i="1"/>
  <c r="C2732" i="1"/>
  <c r="V2731" i="1"/>
  <c r="Q2731" i="1"/>
  <c r="P2731" i="1"/>
  <c r="O2731" i="1"/>
  <c r="N2731" i="1"/>
  <c r="J2731" i="1"/>
  <c r="I2731" i="1"/>
  <c r="H2731" i="1"/>
  <c r="G2731" i="1"/>
  <c r="F2731" i="1"/>
  <c r="E2731" i="1"/>
  <c r="D2731" i="1"/>
  <c r="C2731" i="1"/>
  <c r="V2730" i="1"/>
  <c r="Q2730" i="1"/>
  <c r="P2730" i="1"/>
  <c r="O2730" i="1"/>
  <c r="N2730" i="1"/>
  <c r="J2730" i="1"/>
  <c r="I2730" i="1"/>
  <c r="H2730" i="1"/>
  <c r="G2730" i="1"/>
  <c r="F2730" i="1"/>
  <c r="E2730" i="1"/>
  <c r="D2730" i="1"/>
  <c r="C2730" i="1"/>
  <c r="V2729" i="1"/>
  <c r="Q2729" i="1"/>
  <c r="P2729" i="1"/>
  <c r="O2729" i="1"/>
  <c r="N2729" i="1"/>
  <c r="J2729" i="1"/>
  <c r="I2729" i="1"/>
  <c r="H2729" i="1"/>
  <c r="G2729" i="1"/>
  <c r="F2729" i="1"/>
  <c r="E2729" i="1"/>
  <c r="D2729" i="1"/>
  <c r="C2729" i="1"/>
  <c r="V2728" i="1"/>
  <c r="Q2728" i="1"/>
  <c r="P2728" i="1"/>
  <c r="O2728" i="1"/>
  <c r="N2728" i="1"/>
  <c r="J2728" i="1"/>
  <c r="I2728" i="1"/>
  <c r="H2728" i="1"/>
  <c r="G2728" i="1"/>
  <c r="F2728" i="1"/>
  <c r="E2728" i="1"/>
  <c r="D2728" i="1"/>
  <c r="C2728" i="1"/>
  <c r="V2727" i="1"/>
  <c r="Q2727" i="1"/>
  <c r="P2727" i="1"/>
  <c r="O2727" i="1"/>
  <c r="N2727" i="1"/>
  <c r="J2727" i="1"/>
  <c r="I2727" i="1"/>
  <c r="H2727" i="1"/>
  <c r="G2727" i="1"/>
  <c r="F2727" i="1"/>
  <c r="E2727" i="1"/>
  <c r="D2727" i="1"/>
  <c r="C2727" i="1"/>
  <c r="V2726" i="1"/>
  <c r="Q2726" i="1"/>
  <c r="P2726" i="1"/>
  <c r="O2726" i="1"/>
  <c r="N2726" i="1"/>
  <c r="J2726" i="1"/>
  <c r="I2726" i="1"/>
  <c r="H2726" i="1"/>
  <c r="G2726" i="1"/>
  <c r="F2726" i="1"/>
  <c r="E2726" i="1"/>
  <c r="D2726" i="1"/>
  <c r="C2726" i="1"/>
  <c r="V2725" i="1"/>
  <c r="Q2725" i="1"/>
  <c r="P2725" i="1"/>
  <c r="O2725" i="1"/>
  <c r="N2725" i="1"/>
  <c r="J2725" i="1"/>
  <c r="I2725" i="1"/>
  <c r="H2725" i="1"/>
  <c r="G2725" i="1"/>
  <c r="F2725" i="1"/>
  <c r="E2725" i="1"/>
  <c r="D2725" i="1"/>
  <c r="C2725" i="1"/>
  <c r="V2724" i="1"/>
  <c r="Q2724" i="1"/>
  <c r="P2724" i="1"/>
  <c r="O2724" i="1"/>
  <c r="N2724" i="1"/>
  <c r="J2724" i="1"/>
  <c r="I2724" i="1"/>
  <c r="H2724" i="1"/>
  <c r="G2724" i="1"/>
  <c r="F2724" i="1"/>
  <c r="E2724" i="1"/>
  <c r="D2724" i="1"/>
  <c r="C2724" i="1"/>
  <c r="V2723" i="1"/>
  <c r="Q2723" i="1"/>
  <c r="P2723" i="1"/>
  <c r="O2723" i="1"/>
  <c r="N2723" i="1"/>
  <c r="J2723" i="1"/>
  <c r="I2723" i="1"/>
  <c r="H2723" i="1"/>
  <c r="G2723" i="1"/>
  <c r="F2723" i="1"/>
  <c r="E2723" i="1"/>
  <c r="D2723" i="1"/>
  <c r="C2723" i="1"/>
  <c r="V2722" i="1"/>
  <c r="Q2722" i="1"/>
  <c r="P2722" i="1"/>
  <c r="O2722" i="1"/>
  <c r="N2722" i="1"/>
  <c r="J2722" i="1"/>
  <c r="I2722" i="1"/>
  <c r="H2722" i="1"/>
  <c r="G2722" i="1"/>
  <c r="F2722" i="1"/>
  <c r="E2722" i="1"/>
  <c r="D2722" i="1"/>
  <c r="C2722" i="1"/>
  <c r="V2721" i="1"/>
  <c r="Q2721" i="1"/>
  <c r="P2721" i="1"/>
  <c r="O2721" i="1"/>
  <c r="N2721" i="1"/>
  <c r="J2721" i="1"/>
  <c r="I2721" i="1"/>
  <c r="H2721" i="1"/>
  <c r="G2721" i="1"/>
  <c r="F2721" i="1"/>
  <c r="E2721" i="1"/>
  <c r="D2721" i="1"/>
  <c r="C2721" i="1"/>
  <c r="V2720" i="1"/>
  <c r="Q2720" i="1"/>
  <c r="P2720" i="1"/>
  <c r="O2720" i="1"/>
  <c r="N2720" i="1"/>
  <c r="J2720" i="1"/>
  <c r="I2720" i="1"/>
  <c r="H2720" i="1"/>
  <c r="G2720" i="1"/>
  <c r="F2720" i="1"/>
  <c r="E2720" i="1"/>
  <c r="D2720" i="1"/>
  <c r="C2720" i="1"/>
  <c r="V2719" i="1"/>
  <c r="Q2719" i="1"/>
  <c r="P2719" i="1"/>
  <c r="O2719" i="1"/>
  <c r="N2719" i="1"/>
  <c r="J2719" i="1"/>
  <c r="I2719" i="1"/>
  <c r="H2719" i="1"/>
  <c r="G2719" i="1"/>
  <c r="F2719" i="1"/>
  <c r="E2719" i="1"/>
  <c r="D2719" i="1"/>
  <c r="C2719" i="1"/>
  <c r="V2718" i="1"/>
  <c r="Q2718" i="1"/>
  <c r="P2718" i="1"/>
  <c r="O2718" i="1"/>
  <c r="N2718" i="1"/>
  <c r="J2718" i="1"/>
  <c r="I2718" i="1"/>
  <c r="H2718" i="1"/>
  <c r="G2718" i="1"/>
  <c r="F2718" i="1"/>
  <c r="E2718" i="1"/>
  <c r="D2718" i="1"/>
  <c r="C2718" i="1"/>
  <c r="V2717" i="1"/>
  <c r="Q2717" i="1"/>
  <c r="P2717" i="1"/>
  <c r="O2717" i="1"/>
  <c r="N2717" i="1"/>
  <c r="J2717" i="1"/>
  <c r="I2717" i="1"/>
  <c r="H2717" i="1"/>
  <c r="G2717" i="1"/>
  <c r="F2717" i="1"/>
  <c r="E2717" i="1"/>
  <c r="D2717" i="1"/>
  <c r="C2717" i="1"/>
  <c r="V2716" i="1"/>
  <c r="Q2716" i="1"/>
  <c r="P2716" i="1"/>
  <c r="O2716" i="1"/>
  <c r="N2716" i="1"/>
  <c r="J2716" i="1"/>
  <c r="I2716" i="1"/>
  <c r="H2716" i="1"/>
  <c r="G2716" i="1"/>
  <c r="F2716" i="1"/>
  <c r="E2716" i="1"/>
  <c r="D2716" i="1"/>
  <c r="C2716" i="1"/>
  <c r="V2715" i="1"/>
  <c r="Q2715" i="1"/>
  <c r="P2715" i="1"/>
  <c r="O2715" i="1"/>
  <c r="N2715" i="1"/>
  <c r="J2715" i="1"/>
  <c r="I2715" i="1"/>
  <c r="H2715" i="1"/>
  <c r="G2715" i="1"/>
  <c r="F2715" i="1"/>
  <c r="E2715" i="1"/>
  <c r="D2715" i="1"/>
  <c r="C2715" i="1"/>
  <c r="V2714" i="1"/>
  <c r="Q2714" i="1"/>
  <c r="P2714" i="1"/>
  <c r="O2714" i="1"/>
  <c r="N2714" i="1"/>
  <c r="J2714" i="1"/>
  <c r="I2714" i="1"/>
  <c r="H2714" i="1"/>
  <c r="G2714" i="1"/>
  <c r="F2714" i="1"/>
  <c r="E2714" i="1"/>
  <c r="D2714" i="1"/>
  <c r="C2714" i="1"/>
  <c r="V2713" i="1"/>
  <c r="Q2713" i="1"/>
  <c r="P2713" i="1"/>
  <c r="O2713" i="1"/>
  <c r="N2713" i="1"/>
  <c r="J2713" i="1"/>
  <c r="I2713" i="1"/>
  <c r="H2713" i="1"/>
  <c r="G2713" i="1"/>
  <c r="F2713" i="1"/>
  <c r="E2713" i="1"/>
  <c r="D2713" i="1"/>
  <c r="C2713" i="1"/>
  <c r="V2712" i="1"/>
  <c r="Q2712" i="1"/>
  <c r="P2712" i="1"/>
  <c r="O2712" i="1"/>
  <c r="N2712" i="1"/>
  <c r="J2712" i="1"/>
  <c r="I2712" i="1"/>
  <c r="H2712" i="1"/>
  <c r="G2712" i="1"/>
  <c r="F2712" i="1"/>
  <c r="E2712" i="1"/>
  <c r="D2712" i="1"/>
  <c r="C2712" i="1"/>
  <c r="V2711" i="1"/>
  <c r="Q2711" i="1"/>
  <c r="P2711" i="1"/>
  <c r="O2711" i="1"/>
  <c r="N2711" i="1"/>
  <c r="J2711" i="1"/>
  <c r="I2711" i="1"/>
  <c r="H2711" i="1"/>
  <c r="G2711" i="1"/>
  <c r="F2711" i="1"/>
  <c r="E2711" i="1"/>
  <c r="D2711" i="1"/>
  <c r="C2711" i="1"/>
  <c r="V2710" i="1"/>
  <c r="Q2710" i="1"/>
  <c r="P2710" i="1"/>
  <c r="O2710" i="1"/>
  <c r="N2710" i="1"/>
  <c r="J2710" i="1"/>
  <c r="I2710" i="1"/>
  <c r="H2710" i="1"/>
  <c r="G2710" i="1"/>
  <c r="F2710" i="1"/>
  <c r="E2710" i="1"/>
  <c r="D2710" i="1"/>
  <c r="C2710" i="1"/>
  <c r="V2709" i="1"/>
  <c r="Q2709" i="1"/>
  <c r="P2709" i="1"/>
  <c r="O2709" i="1"/>
  <c r="N2709" i="1"/>
  <c r="J2709" i="1"/>
  <c r="I2709" i="1"/>
  <c r="H2709" i="1"/>
  <c r="G2709" i="1"/>
  <c r="F2709" i="1"/>
  <c r="E2709" i="1"/>
  <c r="D2709" i="1"/>
  <c r="C2709" i="1"/>
  <c r="V2708" i="1"/>
  <c r="Q2708" i="1"/>
  <c r="P2708" i="1"/>
  <c r="O2708" i="1"/>
  <c r="N2708" i="1"/>
  <c r="J2708" i="1"/>
  <c r="I2708" i="1"/>
  <c r="H2708" i="1"/>
  <c r="G2708" i="1"/>
  <c r="F2708" i="1"/>
  <c r="E2708" i="1"/>
  <c r="D2708" i="1"/>
  <c r="C2708" i="1"/>
  <c r="V2707" i="1"/>
  <c r="Q2707" i="1"/>
  <c r="P2707" i="1"/>
  <c r="O2707" i="1"/>
  <c r="N2707" i="1"/>
  <c r="J2707" i="1"/>
  <c r="I2707" i="1"/>
  <c r="H2707" i="1"/>
  <c r="G2707" i="1"/>
  <c r="F2707" i="1"/>
  <c r="E2707" i="1"/>
  <c r="D2707" i="1"/>
  <c r="C2707" i="1"/>
  <c r="V2706" i="1"/>
  <c r="Q2706" i="1"/>
  <c r="P2706" i="1"/>
  <c r="O2706" i="1"/>
  <c r="N2706" i="1"/>
  <c r="J2706" i="1"/>
  <c r="I2706" i="1"/>
  <c r="H2706" i="1"/>
  <c r="G2706" i="1"/>
  <c r="F2706" i="1"/>
  <c r="E2706" i="1"/>
  <c r="D2706" i="1"/>
  <c r="C2706" i="1"/>
  <c r="V2705" i="1"/>
  <c r="Q2705" i="1"/>
  <c r="P2705" i="1"/>
  <c r="O2705" i="1"/>
  <c r="N2705" i="1"/>
  <c r="J2705" i="1"/>
  <c r="I2705" i="1"/>
  <c r="H2705" i="1"/>
  <c r="G2705" i="1"/>
  <c r="F2705" i="1"/>
  <c r="E2705" i="1"/>
  <c r="D2705" i="1"/>
  <c r="C2705" i="1"/>
  <c r="V2704" i="1"/>
  <c r="Q2704" i="1"/>
  <c r="P2704" i="1"/>
  <c r="O2704" i="1"/>
  <c r="N2704" i="1"/>
  <c r="J2704" i="1"/>
  <c r="I2704" i="1"/>
  <c r="H2704" i="1"/>
  <c r="G2704" i="1"/>
  <c r="F2704" i="1"/>
  <c r="E2704" i="1"/>
  <c r="D2704" i="1"/>
  <c r="C2704" i="1"/>
  <c r="V2703" i="1"/>
  <c r="Q2703" i="1"/>
  <c r="P2703" i="1"/>
  <c r="O2703" i="1"/>
  <c r="N2703" i="1"/>
  <c r="J2703" i="1"/>
  <c r="I2703" i="1"/>
  <c r="H2703" i="1"/>
  <c r="G2703" i="1"/>
  <c r="F2703" i="1"/>
  <c r="E2703" i="1"/>
  <c r="D2703" i="1"/>
  <c r="C2703" i="1"/>
  <c r="V2702" i="1"/>
  <c r="Q2702" i="1"/>
  <c r="P2702" i="1"/>
  <c r="O2702" i="1"/>
  <c r="N2702" i="1"/>
  <c r="J2702" i="1"/>
  <c r="I2702" i="1"/>
  <c r="H2702" i="1"/>
  <c r="G2702" i="1"/>
  <c r="F2702" i="1"/>
  <c r="E2702" i="1"/>
  <c r="D2702" i="1"/>
  <c r="C2702" i="1"/>
  <c r="V2701" i="1"/>
  <c r="Q2701" i="1"/>
  <c r="P2701" i="1"/>
  <c r="O2701" i="1"/>
  <c r="N2701" i="1"/>
  <c r="J2701" i="1"/>
  <c r="I2701" i="1"/>
  <c r="H2701" i="1"/>
  <c r="G2701" i="1"/>
  <c r="F2701" i="1"/>
  <c r="E2701" i="1"/>
  <c r="D2701" i="1"/>
  <c r="C2701" i="1"/>
  <c r="V2700" i="1"/>
  <c r="Q2700" i="1"/>
  <c r="P2700" i="1"/>
  <c r="O2700" i="1"/>
  <c r="N2700" i="1"/>
  <c r="J2700" i="1"/>
  <c r="I2700" i="1"/>
  <c r="H2700" i="1"/>
  <c r="G2700" i="1"/>
  <c r="F2700" i="1"/>
  <c r="E2700" i="1"/>
  <c r="D2700" i="1"/>
  <c r="C2700" i="1"/>
  <c r="V2699" i="1"/>
  <c r="Q2699" i="1"/>
  <c r="P2699" i="1"/>
  <c r="O2699" i="1"/>
  <c r="N2699" i="1"/>
  <c r="J2699" i="1"/>
  <c r="I2699" i="1"/>
  <c r="H2699" i="1"/>
  <c r="G2699" i="1"/>
  <c r="F2699" i="1"/>
  <c r="E2699" i="1"/>
  <c r="D2699" i="1"/>
  <c r="C2699" i="1"/>
  <c r="V2698" i="1"/>
  <c r="Q2698" i="1"/>
  <c r="P2698" i="1"/>
  <c r="O2698" i="1"/>
  <c r="N2698" i="1"/>
  <c r="J2698" i="1"/>
  <c r="I2698" i="1"/>
  <c r="H2698" i="1"/>
  <c r="G2698" i="1"/>
  <c r="F2698" i="1"/>
  <c r="E2698" i="1"/>
  <c r="D2698" i="1"/>
  <c r="C2698" i="1"/>
  <c r="V2697" i="1"/>
  <c r="Q2697" i="1"/>
  <c r="P2697" i="1"/>
  <c r="O2697" i="1"/>
  <c r="N2697" i="1"/>
  <c r="J2697" i="1"/>
  <c r="I2697" i="1"/>
  <c r="H2697" i="1"/>
  <c r="G2697" i="1"/>
  <c r="F2697" i="1"/>
  <c r="E2697" i="1"/>
  <c r="D2697" i="1"/>
  <c r="C2697" i="1"/>
  <c r="V2696" i="1"/>
  <c r="Q2696" i="1"/>
  <c r="P2696" i="1"/>
  <c r="O2696" i="1"/>
  <c r="N2696" i="1"/>
  <c r="J2696" i="1"/>
  <c r="I2696" i="1"/>
  <c r="H2696" i="1"/>
  <c r="G2696" i="1"/>
  <c r="F2696" i="1"/>
  <c r="E2696" i="1"/>
  <c r="D2696" i="1"/>
  <c r="C2696" i="1"/>
  <c r="V2695" i="1"/>
  <c r="Q2695" i="1"/>
  <c r="P2695" i="1"/>
  <c r="O2695" i="1"/>
  <c r="N2695" i="1"/>
  <c r="J2695" i="1"/>
  <c r="I2695" i="1"/>
  <c r="H2695" i="1"/>
  <c r="G2695" i="1"/>
  <c r="F2695" i="1"/>
  <c r="E2695" i="1"/>
  <c r="D2695" i="1"/>
  <c r="C2695" i="1"/>
  <c r="V2694" i="1"/>
  <c r="Q2694" i="1"/>
  <c r="P2694" i="1"/>
  <c r="O2694" i="1"/>
  <c r="N2694" i="1"/>
  <c r="J2694" i="1"/>
  <c r="I2694" i="1"/>
  <c r="H2694" i="1"/>
  <c r="G2694" i="1"/>
  <c r="F2694" i="1"/>
  <c r="E2694" i="1"/>
  <c r="D2694" i="1"/>
  <c r="C2694" i="1"/>
  <c r="V2693" i="1"/>
  <c r="Q2693" i="1"/>
  <c r="P2693" i="1"/>
  <c r="O2693" i="1"/>
  <c r="N2693" i="1"/>
  <c r="J2693" i="1"/>
  <c r="I2693" i="1"/>
  <c r="H2693" i="1"/>
  <c r="G2693" i="1"/>
  <c r="F2693" i="1"/>
  <c r="E2693" i="1"/>
  <c r="D2693" i="1"/>
  <c r="C2693" i="1"/>
  <c r="V2692" i="1"/>
  <c r="Q2692" i="1"/>
  <c r="P2692" i="1"/>
  <c r="O2692" i="1"/>
  <c r="N2692" i="1"/>
  <c r="J2692" i="1"/>
  <c r="I2692" i="1"/>
  <c r="H2692" i="1"/>
  <c r="G2692" i="1"/>
  <c r="F2692" i="1"/>
  <c r="E2692" i="1"/>
  <c r="D2692" i="1"/>
  <c r="C2692" i="1"/>
  <c r="V2691" i="1"/>
  <c r="Q2691" i="1"/>
  <c r="P2691" i="1"/>
  <c r="O2691" i="1"/>
  <c r="N2691" i="1"/>
  <c r="J2691" i="1"/>
  <c r="I2691" i="1"/>
  <c r="H2691" i="1"/>
  <c r="G2691" i="1"/>
  <c r="F2691" i="1"/>
  <c r="E2691" i="1"/>
  <c r="D2691" i="1"/>
  <c r="C2691" i="1"/>
  <c r="V2690" i="1"/>
  <c r="Q2690" i="1"/>
  <c r="P2690" i="1"/>
  <c r="O2690" i="1"/>
  <c r="N2690" i="1"/>
  <c r="J2690" i="1"/>
  <c r="I2690" i="1"/>
  <c r="H2690" i="1"/>
  <c r="G2690" i="1"/>
  <c r="F2690" i="1"/>
  <c r="E2690" i="1"/>
  <c r="D2690" i="1"/>
  <c r="C2690" i="1"/>
  <c r="V2689" i="1"/>
  <c r="Q2689" i="1"/>
  <c r="P2689" i="1"/>
  <c r="O2689" i="1"/>
  <c r="N2689" i="1"/>
  <c r="J2689" i="1"/>
  <c r="I2689" i="1"/>
  <c r="H2689" i="1"/>
  <c r="G2689" i="1"/>
  <c r="F2689" i="1"/>
  <c r="E2689" i="1"/>
  <c r="D2689" i="1"/>
  <c r="C2689" i="1"/>
  <c r="V2688" i="1"/>
  <c r="Q2688" i="1"/>
  <c r="P2688" i="1"/>
  <c r="O2688" i="1"/>
  <c r="N2688" i="1"/>
  <c r="J2688" i="1"/>
  <c r="I2688" i="1"/>
  <c r="H2688" i="1"/>
  <c r="G2688" i="1"/>
  <c r="F2688" i="1"/>
  <c r="E2688" i="1"/>
  <c r="D2688" i="1"/>
  <c r="C2688" i="1"/>
  <c r="V2687" i="1"/>
  <c r="Q2687" i="1"/>
  <c r="P2687" i="1"/>
  <c r="O2687" i="1"/>
  <c r="N2687" i="1"/>
  <c r="J2687" i="1"/>
  <c r="I2687" i="1"/>
  <c r="H2687" i="1"/>
  <c r="G2687" i="1"/>
  <c r="F2687" i="1"/>
  <c r="E2687" i="1"/>
  <c r="D2687" i="1"/>
  <c r="C2687" i="1"/>
  <c r="V2686" i="1"/>
  <c r="Q2686" i="1"/>
  <c r="P2686" i="1"/>
  <c r="O2686" i="1"/>
  <c r="N2686" i="1"/>
  <c r="J2686" i="1"/>
  <c r="I2686" i="1"/>
  <c r="H2686" i="1"/>
  <c r="G2686" i="1"/>
  <c r="F2686" i="1"/>
  <c r="E2686" i="1"/>
  <c r="D2686" i="1"/>
  <c r="C2686" i="1"/>
  <c r="V2685" i="1"/>
  <c r="Q2685" i="1"/>
  <c r="P2685" i="1"/>
  <c r="O2685" i="1"/>
  <c r="N2685" i="1"/>
  <c r="J2685" i="1"/>
  <c r="I2685" i="1"/>
  <c r="H2685" i="1"/>
  <c r="G2685" i="1"/>
  <c r="F2685" i="1"/>
  <c r="E2685" i="1"/>
  <c r="D2685" i="1"/>
  <c r="C2685" i="1"/>
  <c r="V2684" i="1"/>
  <c r="Q2684" i="1"/>
  <c r="P2684" i="1"/>
  <c r="O2684" i="1"/>
  <c r="N2684" i="1"/>
  <c r="J2684" i="1"/>
  <c r="I2684" i="1"/>
  <c r="H2684" i="1"/>
  <c r="G2684" i="1"/>
  <c r="F2684" i="1"/>
  <c r="E2684" i="1"/>
  <c r="D2684" i="1"/>
  <c r="C2684" i="1"/>
  <c r="V2683" i="1"/>
  <c r="Q2683" i="1"/>
  <c r="P2683" i="1"/>
  <c r="O2683" i="1"/>
  <c r="N2683" i="1"/>
  <c r="J2683" i="1"/>
  <c r="I2683" i="1"/>
  <c r="H2683" i="1"/>
  <c r="G2683" i="1"/>
  <c r="F2683" i="1"/>
  <c r="E2683" i="1"/>
  <c r="D2683" i="1"/>
  <c r="C2683" i="1"/>
  <c r="V2682" i="1"/>
  <c r="Q2682" i="1"/>
  <c r="P2682" i="1"/>
  <c r="O2682" i="1"/>
  <c r="N2682" i="1"/>
  <c r="J2682" i="1"/>
  <c r="I2682" i="1"/>
  <c r="H2682" i="1"/>
  <c r="G2682" i="1"/>
  <c r="F2682" i="1"/>
  <c r="E2682" i="1"/>
  <c r="D2682" i="1"/>
  <c r="C2682" i="1"/>
  <c r="V2681" i="1"/>
  <c r="Q2681" i="1"/>
  <c r="P2681" i="1"/>
  <c r="O2681" i="1"/>
  <c r="N2681" i="1"/>
  <c r="J2681" i="1"/>
  <c r="I2681" i="1"/>
  <c r="H2681" i="1"/>
  <c r="G2681" i="1"/>
  <c r="F2681" i="1"/>
  <c r="E2681" i="1"/>
  <c r="D2681" i="1"/>
  <c r="C2681" i="1"/>
  <c r="V2680" i="1"/>
  <c r="Q2680" i="1"/>
  <c r="P2680" i="1"/>
  <c r="O2680" i="1"/>
  <c r="N2680" i="1"/>
  <c r="J2680" i="1"/>
  <c r="I2680" i="1"/>
  <c r="H2680" i="1"/>
  <c r="G2680" i="1"/>
  <c r="F2680" i="1"/>
  <c r="E2680" i="1"/>
  <c r="D2680" i="1"/>
  <c r="C2680" i="1"/>
  <c r="V2679" i="1"/>
  <c r="Q2679" i="1"/>
  <c r="P2679" i="1"/>
  <c r="O2679" i="1"/>
  <c r="N2679" i="1"/>
  <c r="J2679" i="1"/>
  <c r="I2679" i="1"/>
  <c r="H2679" i="1"/>
  <c r="G2679" i="1"/>
  <c r="F2679" i="1"/>
  <c r="E2679" i="1"/>
  <c r="D2679" i="1"/>
  <c r="C2679" i="1"/>
  <c r="V2678" i="1"/>
  <c r="Q2678" i="1"/>
  <c r="P2678" i="1"/>
  <c r="O2678" i="1"/>
  <c r="N2678" i="1"/>
  <c r="J2678" i="1"/>
  <c r="I2678" i="1"/>
  <c r="H2678" i="1"/>
  <c r="G2678" i="1"/>
  <c r="F2678" i="1"/>
  <c r="E2678" i="1"/>
  <c r="D2678" i="1"/>
  <c r="C2678" i="1"/>
  <c r="V2677" i="1"/>
  <c r="Q2677" i="1"/>
  <c r="P2677" i="1"/>
  <c r="O2677" i="1"/>
  <c r="N2677" i="1"/>
  <c r="J2677" i="1"/>
  <c r="I2677" i="1"/>
  <c r="H2677" i="1"/>
  <c r="G2677" i="1"/>
  <c r="F2677" i="1"/>
  <c r="E2677" i="1"/>
  <c r="D2677" i="1"/>
  <c r="C2677" i="1"/>
  <c r="V2676" i="1"/>
  <c r="Q2676" i="1"/>
  <c r="P2676" i="1"/>
  <c r="O2676" i="1"/>
  <c r="N2676" i="1"/>
  <c r="J2676" i="1"/>
  <c r="I2676" i="1"/>
  <c r="H2676" i="1"/>
  <c r="G2676" i="1"/>
  <c r="F2676" i="1"/>
  <c r="E2676" i="1"/>
  <c r="D2676" i="1"/>
  <c r="C2676" i="1"/>
  <c r="V2675" i="1"/>
  <c r="Q2675" i="1"/>
  <c r="P2675" i="1"/>
  <c r="O2675" i="1"/>
  <c r="N2675" i="1"/>
  <c r="J2675" i="1"/>
  <c r="I2675" i="1"/>
  <c r="H2675" i="1"/>
  <c r="G2675" i="1"/>
  <c r="F2675" i="1"/>
  <c r="E2675" i="1"/>
  <c r="D2675" i="1"/>
  <c r="C2675" i="1"/>
  <c r="V2674" i="1"/>
  <c r="P2674" i="1"/>
  <c r="O2674" i="1"/>
  <c r="N2674" i="1"/>
  <c r="J2674" i="1"/>
  <c r="I2674" i="1"/>
  <c r="H2674" i="1"/>
  <c r="G2674" i="1"/>
  <c r="F2674" i="1"/>
  <c r="E2674" i="1"/>
  <c r="D2674" i="1"/>
  <c r="C2674" i="1"/>
  <c r="V2673" i="1"/>
  <c r="P2673" i="1"/>
  <c r="O2673" i="1"/>
  <c r="N2673" i="1"/>
  <c r="J2673" i="1"/>
  <c r="I2673" i="1"/>
  <c r="H2673" i="1"/>
  <c r="G2673" i="1"/>
  <c r="F2673" i="1"/>
  <c r="E2673" i="1"/>
  <c r="D2673" i="1"/>
  <c r="C2673" i="1"/>
  <c r="V2672" i="1"/>
  <c r="P2672" i="1"/>
  <c r="O2672" i="1"/>
  <c r="N2672" i="1"/>
  <c r="J2672" i="1"/>
  <c r="I2672" i="1"/>
  <c r="H2672" i="1"/>
  <c r="G2672" i="1"/>
  <c r="F2672" i="1"/>
  <c r="E2672" i="1"/>
  <c r="D2672" i="1"/>
  <c r="C2672" i="1"/>
  <c r="V2671" i="1"/>
  <c r="P2671" i="1"/>
  <c r="O2671" i="1"/>
  <c r="N2671" i="1"/>
  <c r="J2671" i="1"/>
  <c r="I2671" i="1"/>
  <c r="H2671" i="1"/>
  <c r="G2671" i="1"/>
  <c r="F2671" i="1"/>
  <c r="E2671" i="1"/>
  <c r="D2671" i="1"/>
  <c r="C2671" i="1"/>
  <c r="V2670" i="1"/>
  <c r="P2670" i="1"/>
  <c r="O2670" i="1"/>
  <c r="N2670" i="1"/>
  <c r="J2670" i="1"/>
  <c r="I2670" i="1"/>
  <c r="H2670" i="1"/>
  <c r="G2670" i="1"/>
  <c r="F2670" i="1"/>
  <c r="E2670" i="1"/>
  <c r="D2670" i="1"/>
  <c r="C2670" i="1"/>
  <c r="V2669" i="1"/>
  <c r="P2669" i="1"/>
  <c r="O2669" i="1"/>
  <c r="N2669" i="1"/>
  <c r="J2669" i="1"/>
  <c r="I2669" i="1"/>
  <c r="H2669" i="1"/>
  <c r="G2669" i="1"/>
  <c r="F2669" i="1"/>
  <c r="E2669" i="1"/>
  <c r="D2669" i="1"/>
  <c r="C2669" i="1"/>
  <c r="V2668" i="1"/>
  <c r="P2668" i="1"/>
  <c r="O2668" i="1"/>
  <c r="N2668" i="1"/>
  <c r="J2668" i="1"/>
  <c r="H2668" i="1"/>
  <c r="G2668" i="1"/>
  <c r="F2668" i="1"/>
  <c r="E2668" i="1"/>
  <c r="D2668" i="1"/>
  <c r="C2668" i="1"/>
  <c r="V2667" i="1"/>
  <c r="P2667" i="1"/>
  <c r="O2667" i="1"/>
  <c r="N2667" i="1"/>
  <c r="J2667" i="1"/>
  <c r="H2667" i="1"/>
  <c r="G2667" i="1"/>
  <c r="F2667" i="1"/>
  <c r="E2667" i="1"/>
  <c r="D2667" i="1"/>
  <c r="C2667" i="1"/>
  <c r="V2666" i="1"/>
  <c r="P2666" i="1"/>
  <c r="O2666" i="1"/>
  <c r="N2666" i="1"/>
  <c r="J2666" i="1"/>
  <c r="H2666" i="1"/>
  <c r="G2666" i="1"/>
  <c r="F2666" i="1"/>
  <c r="E2666" i="1"/>
  <c r="D2666" i="1"/>
  <c r="C2666" i="1"/>
  <c r="V2665" i="1"/>
  <c r="P2665" i="1"/>
  <c r="O2665" i="1"/>
  <c r="N2665" i="1"/>
  <c r="J2665" i="1"/>
  <c r="H2665" i="1"/>
  <c r="G2665" i="1"/>
  <c r="F2665" i="1"/>
  <c r="E2665" i="1"/>
  <c r="D2665" i="1"/>
  <c r="C2665" i="1"/>
  <c r="V2664" i="1"/>
  <c r="P2664" i="1"/>
  <c r="O2664" i="1"/>
  <c r="N2664" i="1"/>
  <c r="J2664" i="1"/>
  <c r="H2664" i="1"/>
  <c r="G2664" i="1"/>
  <c r="F2664" i="1"/>
  <c r="E2664" i="1"/>
  <c r="D2664" i="1"/>
  <c r="C2664" i="1"/>
  <c r="V2663" i="1"/>
  <c r="P2663" i="1"/>
  <c r="O2663" i="1"/>
  <c r="N2663" i="1"/>
  <c r="J2663" i="1"/>
  <c r="H2663" i="1"/>
  <c r="G2663" i="1"/>
  <c r="F2663" i="1"/>
  <c r="E2663" i="1"/>
  <c r="D2663" i="1"/>
  <c r="C2663" i="1"/>
  <c r="V2662" i="1"/>
  <c r="P2662" i="1"/>
  <c r="O2662" i="1"/>
  <c r="N2662" i="1"/>
  <c r="J2662" i="1"/>
  <c r="H2662" i="1"/>
  <c r="G2662" i="1"/>
  <c r="F2662" i="1"/>
  <c r="E2662" i="1"/>
  <c r="D2662" i="1"/>
  <c r="C2662" i="1"/>
  <c r="V2661" i="1"/>
  <c r="P2661" i="1"/>
  <c r="O2661" i="1"/>
  <c r="N2661" i="1"/>
  <c r="J2661" i="1"/>
  <c r="H2661" i="1"/>
  <c r="G2661" i="1"/>
  <c r="F2661" i="1"/>
  <c r="E2661" i="1"/>
  <c r="D2661" i="1"/>
  <c r="C2661" i="1"/>
  <c r="V2660" i="1"/>
  <c r="P2660" i="1"/>
  <c r="O2660" i="1"/>
  <c r="N2660" i="1"/>
  <c r="J2660" i="1"/>
  <c r="H2660" i="1"/>
  <c r="G2660" i="1"/>
  <c r="F2660" i="1"/>
  <c r="E2660" i="1"/>
  <c r="D2660" i="1"/>
  <c r="C2660" i="1"/>
  <c r="V2659" i="1"/>
  <c r="P2659" i="1"/>
  <c r="O2659" i="1"/>
  <c r="N2659" i="1"/>
  <c r="J2659" i="1"/>
  <c r="H2659" i="1"/>
  <c r="G2659" i="1"/>
  <c r="F2659" i="1"/>
  <c r="E2659" i="1"/>
  <c r="D2659" i="1"/>
  <c r="C2659" i="1"/>
  <c r="V2658" i="1"/>
  <c r="P2658" i="1"/>
  <c r="O2658" i="1"/>
  <c r="N2658" i="1"/>
  <c r="J2658" i="1"/>
  <c r="H2658" i="1"/>
  <c r="G2658" i="1"/>
  <c r="F2658" i="1"/>
  <c r="E2658" i="1"/>
  <c r="D2658" i="1"/>
  <c r="C2658" i="1"/>
  <c r="V2657" i="1"/>
  <c r="P2657" i="1"/>
  <c r="O2657" i="1"/>
  <c r="N2657" i="1"/>
  <c r="J2657" i="1"/>
  <c r="H2657" i="1"/>
  <c r="G2657" i="1"/>
  <c r="F2657" i="1"/>
  <c r="E2657" i="1"/>
  <c r="D2657" i="1"/>
  <c r="C2657" i="1"/>
  <c r="V2656" i="1"/>
  <c r="P2656" i="1"/>
  <c r="O2656" i="1"/>
  <c r="N2656" i="1"/>
  <c r="J2656" i="1"/>
  <c r="I2656" i="1"/>
  <c r="H2656" i="1"/>
  <c r="G2656" i="1"/>
  <c r="F2656" i="1"/>
  <c r="E2656" i="1"/>
  <c r="D2656" i="1"/>
  <c r="C2656" i="1"/>
  <c r="V2655" i="1"/>
  <c r="P2655" i="1"/>
  <c r="O2655" i="1"/>
  <c r="N2655" i="1"/>
  <c r="J2655" i="1"/>
  <c r="I2655" i="1"/>
  <c r="H2655" i="1"/>
  <c r="G2655" i="1"/>
  <c r="F2655" i="1"/>
  <c r="E2655" i="1"/>
  <c r="D2655" i="1"/>
  <c r="C2655" i="1"/>
  <c r="V2654" i="1"/>
  <c r="P2654" i="1"/>
  <c r="O2654" i="1"/>
  <c r="N2654" i="1"/>
  <c r="J2654" i="1"/>
  <c r="I2654" i="1"/>
  <c r="H2654" i="1"/>
  <c r="G2654" i="1"/>
  <c r="F2654" i="1"/>
  <c r="E2654" i="1"/>
  <c r="D2654" i="1"/>
  <c r="C2654" i="1"/>
  <c r="V2653" i="1"/>
  <c r="P2653" i="1"/>
  <c r="O2653" i="1"/>
  <c r="N2653" i="1"/>
  <c r="J2653" i="1"/>
  <c r="I2653" i="1"/>
  <c r="H2653" i="1"/>
  <c r="G2653" i="1"/>
  <c r="F2653" i="1"/>
  <c r="E2653" i="1"/>
  <c r="D2653" i="1"/>
  <c r="C2653" i="1"/>
  <c r="V2652" i="1"/>
  <c r="Q2652" i="1"/>
  <c r="P2652" i="1"/>
  <c r="O2652" i="1"/>
  <c r="N2652" i="1"/>
  <c r="J2652" i="1"/>
  <c r="I2652" i="1"/>
  <c r="H2652" i="1"/>
  <c r="G2652" i="1"/>
  <c r="F2652" i="1"/>
  <c r="E2652" i="1"/>
  <c r="D2652" i="1"/>
  <c r="C2652" i="1"/>
  <c r="V2651" i="1"/>
  <c r="Q2651" i="1"/>
  <c r="P2651" i="1"/>
  <c r="O2651" i="1"/>
  <c r="N2651" i="1"/>
  <c r="J2651" i="1"/>
  <c r="I2651" i="1"/>
  <c r="H2651" i="1"/>
  <c r="G2651" i="1"/>
  <c r="F2651" i="1"/>
  <c r="E2651" i="1"/>
  <c r="D2651" i="1"/>
  <c r="C2651" i="1"/>
  <c r="V2650" i="1"/>
  <c r="Q2650" i="1"/>
  <c r="P2650" i="1"/>
  <c r="O2650" i="1"/>
  <c r="N2650" i="1"/>
  <c r="J2650" i="1"/>
  <c r="I2650" i="1"/>
  <c r="H2650" i="1"/>
  <c r="G2650" i="1"/>
  <c r="F2650" i="1"/>
  <c r="E2650" i="1"/>
  <c r="D2650" i="1"/>
  <c r="C2650" i="1"/>
  <c r="V2649" i="1"/>
  <c r="Q2649" i="1"/>
  <c r="P2649" i="1"/>
  <c r="O2649" i="1"/>
  <c r="N2649" i="1"/>
  <c r="J2649" i="1"/>
  <c r="I2649" i="1"/>
  <c r="H2649" i="1"/>
  <c r="G2649" i="1"/>
  <c r="F2649" i="1"/>
  <c r="E2649" i="1"/>
  <c r="D2649" i="1"/>
  <c r="C2649" i="1"/>
  <c r="V2648" i="1"/>
  <c r="Q2648" i="1"/>
  <c r="P2648" i="1"/>
  <c r="O2648" i="1"/>
  <c r="N2648" i="1"/>
  <c r="J2648" i="1"/>
  <c r="I2648" i="1"/>
  <c r="H2648" i="1"/>
  <c r="G2648" i="1"/>
  <c r="F2648" i="1"/>
  <c r="E2648" i="1"/>
  <c r="D2648" i="1"/>
  <c r="C2648" i="1"/>
  <c r="V2647" i="1"/>
  <c r="Q2647" i="1"/>
  <c r="P2647" i="1"/>
  <c r="O2647" i="1"/>
  <c r="N2647" i="1"/>
  <c r="J2647" i="1"/>
  <c r="I2647" i="1"/>
  <c r="H2647" i="1"/>
  <c r="G2647" i="1"/>
  <c r="F2647" i="1"/>
  <c r="E2647" i="1"/>
  <c r="D2647" i="1"/>
  <c r="C2647" i="1"/>
  <c r="V2646" i="1"/>
  <c r="Q2646" i="1"/>
  <c r="P2646" i="1"/>
  <c r="O2646" i="1"/>
  <c r="N2646" i="1"/>
  <c r="J2646" i="1"/>
  <c r="I2646" i="1"/>
  <c r="H2646" i="1"/>
  <c r="G2646" i="1"/>
  <c r="F2646" i="1"/>
  <c r="E2646" i="1"/>
  <c r="D2646" i="1"/>
  <c r="C2646" i="1"/>
  <c r="V2645" i="1"/>
  <c r="Q2645" i="1"/>
  <c r="P2645" i="1"/>
  <c r="O2645" i="1"/>
  <c r="N2645" i="1"/>
  <c r="J2645" i="1"/>
  <c r="I2645" i="1"/>
  <c r="H2645" i="1"/>
  <c r="G2645" i="1"/>
  <c r="F2645" i="1"/>
  <c r="E2645" i="1"/>
  <c r="D2645" i="1"/>
  <c r="C2645" i="1"/>
  <c r="V2644" i="1"/>
  <c r="Q2644" i="1"/>
  <c r="P2644" i="1"/>
  <c r="O2644" i="1"/>
  <c r="N2644" i="1"/>
  <c r="J2644" i="1"/>
  <c r="I2644" i="1"/>
  <c r="H2644" i="1"/>
  <c r="G2644" i="1"/>
  <c r="F2644" i="1"/>
  <c r="E2644" i="1"/>
  <c r="D2644" i="1"/>
  <c r="C2644" i="1"/>
  <c r="V2643" i="1"/>
  <c r="Q2643" i="1"/>
  <c r="P2643" i="1"/>
  <c r="O2643" i="1"/>
  <c r="N2643" i="1"/>
  <c r="J2643" i="1"/>
  <c r="I2643" i="1"/>
  <c r="H2643" i="1"/>
  <c r="G2643" i="1"/>
  <c r="F2643" i="1"/>
  <c r="E2643" i="1"/>
  <c r="D2643" i="1"/>
  <c r="C2643" i="1"/>
  <c r="V2642" i="1"/>
  <c r="Q2642" i="1"/>
  <c r="P2642" i="1"/>
  <c r="O2642" i="1"/>
  <c r="N2642" i="1"/>
  <c r="J2642" i="1"/>
  <c r="I2642" i="1"/>
  <c r="H2642" i="1"/>
  <c r="G2642" i="1"/>
  <c r="F2642" i="1"/>
  <c r="E2642" i="1"/>
  <c r="D2642" i="1"/>
  <c r="C2642" i="1"/>
  <c r="V2641" i="1"/>
  <c r="Q2641" i="1"/>
  <c r="P2641" i="1"/>
  <c r="O2641" i="1"/>
  <c r="N2641" i="1"/>
  <c r="J2641" i="1"/>
  <c r="I2641" i="1"/>
  <c r="H2641" i="1"/>
  <c r="G2641" i="1"/>
  <c r="F2641" i="1"/>
  <c r="E2641" i="1"/>
  <c r="D2641" i="1"/>
  <c r="C2641" i="1"/>
  <c r="V2640" i="1"/>
  <c r="Q2640" i="1"/>
  <c r="P2640" i="1"/>
  <c r="O2640" i="1"/>
  <c r="N2640" i="1"/>
  <c r="J2640" i="1"/>
  <c r="I2640" i="1"/>
  <c r="H2640" i="1"/>
  <c r="G2640" i="1"/>
  <c r="F2640" i="1"/>
  <c r="E2640" i="1"/>
  <c r="D2640" i="1"/>
  <c r="C2640" i="1"/>
  <c r="V2639" i="1"/>
  <c r="Q2639" i="1"/>
  <c r="P2639" i="1"/>
  <c r="O2639" i="1"/>
  <c r="N2639" i="1"/>
  <c r="J2639" i="1"/>
  <c r="I2639" i="1"/>
  <c r="H2639" i="1"/>
  <c r="G2639" i="1"/>
  <c r="F2639" i="1"/>
  <c r="E2639" i="1"/>
  <c r="D2639" i="1"/>
  <c r="C2639" i="1"/>
  <c r="V2638" i="1"/>
  <c r="Q2638" i="1"/>
  <c r="P2638" i="1"/>
  <c r="O2638" i="1"/>
  <c r="N2638" i="1"/>
  <c r="J2638" i="1"/>
  <c r="I2638" i="1"/>
  <c r="H2638" i="1"/>
  <c r="G2638" i="1"/>
  <c r="F2638" i="1"/>
  <c r="E2638" i="1"/>
  <c r="D2638" i="1"/>
  <c r="C2638" i="1"/>
  <c r="V2637" i="1"/>
  <c r="Q2637" i="1"/>
  <c r="P2637" i="1"/>
  <c r="O2637" i="1"/>
  <c r="N2637" i="1"/>
  <c r="J2637" i="1"/>
  <c r="I2637" i="1"/>
  <c r="H2637" i="1"/>
  <c r="G2637" i="1"/>
  <c r="F2637" i="1"/>
  <c r="E2637" i="1"/>
  <c r="D2637" i="1"/>
  <c r="C2637" i="1"/>
  <c r="V2636" i="1"/>
  <c r="Q2636" i="1"/>
  <c r="P2636" i="1"/>
  <c r="O2636" i="1"/>
  <c r="N2636" i="1"/>
  <c r="J2636" i="1"/>
  <c r="I2636" i="1"/>
  <c r="H2636" i="1"/>
  <c r="G2636" i="1"/>
  <c r="F2636" i="1"/>
  <c r="E2636" i="1"/>
  <c r="D2636" i="1"/>
  <c r="C2636" i="1"/>
  <c r="V2635" i="1"/>
  <c r="Q2635" i="1"/>
  <c r="P2635" i="1"/>
  <c r="O2635" i="1"/>
  <c r="N2635" i="1"/>
  <c r="J2635" i="1"/>
  <c r="I2635" i="1"/>
  <c r="H2635" i="1"/>
  <c r="G2635" i="1"/>
  <c r="F2635" i="1"/>
  <c r="E2635" i="1"/>
  <c r="D2635" i="1"/>
  <c r="C2635" i="1"/>
  <c r="V2634" i="1"/>
  <c r="Q2634" i="1"/>
  <c r="P2634" i="1"/>
  <c r="O2634" i="1"/>
  <c r="N2634" i="1"/>
  <c r="J2634" i="1"/>
  <c r="I2634" i="1"/>
  <c r="H2634" i="1"/>
  <c r="G2634" i="1"/>
  <c r="F2634" i="1"/>
  <c r="E2634" i="1"/>
  <c r="D2634" i="1"/>
  <c r="C2634" i="1"/>
  <c r="V2633" i="1"/>
  <c r="Q2633" i="1"/>
  <c r="P2633" i="1"/>
  <c r="O2633" i="1"/>
  <c r="N2633" i="1"/>
  <c r="J2633" i="1"/>
  <c r="I2633" i="1"/>
  <c r="H2633" i="1"/>
  <c r="G2633" i="1"/>
  <c r="F2633" i="1"/>
  <c r="E2633" i="1"/>
  <c r="D2633" i="1"/>
  <c r="C2633" i="1"/>
  <c r="V2632" i="1"/>
  <c r="Q2632" i="1"/>
  <c r="P2632" i="1"/>
  <c r="O2632" i="1"/>
  <c r="N2632" i="1"/>
  <c r="J2632" i="1"/>
  <c r="I2632" i="1"/>
  <c r="H2632" i="1"/>
  <c r="G2632" i="1"/>
  <c r="F2632" i="1"/>
  <c r="E2632" i="1"/>
  <c r="D2632" i="1"/>
  <c r="C2632" i="1"/>
  <c r="V2631" i="1"/>
  <c r="Q2631" i="1"/>
  <c r="P2631" i="1"/>
  <c r="O2631" i="1"/>
  <c r="N2631" i="1"/>
  <c r="J2631" i="1"/>
  <c r="I2631" i="1"/>
  <c r="H2631" i="1"/>
  <c r="G2631" i="1"/>
  <c r="F2631" i="1"/>
  <c r="E2631" i="1"/>
  <c r="D2631" i="1"/>
  <c r="C2631" i="1"/>
  <c r="V2630" i="1"/>
  <c r="Q2630" i="1"/>
  <c r="P2630" i="1"/>
  <c r="O2630" i="1"/>
  <c r="N2630" i="1"/>
  <c r="J2630" i="1"/>
  <c r="I2630" i="1"/>
  <c r="H2630" i="1"/>
  <c r="G2630" i="1"/>
  <c r="F2630" i="1"/>
  <c r="E2630" i="1"/>
  <c r="D2630" i="1"/>
  <c r="C2630" i="1"/>
  <c r="V2629" i="1"/>
  <c r="Q2629" i="1"/>
  <c r="P2629" i="1"/>
  <c r="O2629" i="1"/>
  <c r="N2629" i="1"/>
  <c r="J2629" i="1"/>
  <c r="I2629" i="1"/>
  <c r="H2629" i="1"/>
  <c r="G2629" i="1"/>
  <c r="F2629" i="1"/>
  <c r="E2629" i="1"/>
  <c r="D2629" i="1"/>
  <c r="C2629" i="1"/>
  <c r="V2628" i="1"/>
  <c r="Q2628" i="1"/>
  <c r="P2628" i="1"/>
  <c r="O2628" i="1"/>
  <c r="N2628" i="1"/>
  <c r="J2628" i="1"/>
  <c r="I2628" i="1"/>
  <c r="H2628" i="1"/>
  <c r="G2628" i="1"/>
  <c r="F2628" i="1"/>
  <c r="E2628" i="1"/>
  <c r="D2628" i="1"/>
  <c r="C2628" i="1"/>
  <c r="V2627" i="1"/>
  <c r="Q2627" i="1"/>
  <c r="P2627" i="1"/>
  <c r="O2627" i="1"/>
  <c r="N2627" i="1"/>
  <c r="J2627" i="1"/>
  <c r="I2627" i="1"/>
  <c r="H2627" i="1"/>
  <c r="G2627" i="1"/>
  <c r="F2627" i="1"/>
  <c r="E2627" i="1"/>
  <c r="D2627" i="1"/>
  <c r="C2627" i="1"/>
  <c r="V2626" i="1"/>
  <c r="Q2626" i="1"/>
  <c r="P2626" i="1"/>
  <c r="O2626" i="1"/>
  <c r="N2626" i="1"/>
  <c r="J2626" i="1"/>
  <c r="I2626" i="1"/>
  <c r="H2626" i="1"/>
  <c r="G2626" i="1"/>
  <c r="F2626" i="1"/>
  <c r="E2626" i="1"/>
  <c r="D2626" i="1"/>
  <c r="C2626" i="1"/>
  <c r="V2625" i="1"/>
  <c r="Q2625" i="1"/>
  <c r="P2625" i="1"/>
  <c r="O2625" i="1"/>
  <c r="N2625" i="1"/>
  <c r="J2625" i="1"/>
  <c r="I2625" i="1"/>
  <c r="H2625" i="1"/>
  <c r="G2625" i="1"/>
  <c r="F2625" i="1"/>
  <c r="E2625" i="1"/>
  <c r="D2625" i="1"/>
  <c r="C2625" i="1"/>
  <c r="V2624" i="1"/>
  <c r="Q2624" i="1"/>
  <c r="P2624" i="1"/>
  <c r="O2624" i="1"/>
  <c r="N2624" i="1"/>
  <c r="J2624" i="1"/>
  <c r="I2624" i="1"/>
  <c r="H2624" i="1"/>
  <c r="G2624" i="1"/>
  <c r="F2624" i="1"/>
  <c r="E2624" i="1"/>
  <c r="D2624" i="1"/>
  <c r="C2624" i="1"/>
  <c r="V2623" i="1"/>
  <c r="Q2623" i="1"/>
  <c r="P2623" i="1"/>
  <c r="O2623" i="1"/>
  <c r="N2623" i="1"/>
  <c r="J2623" i="1"/>
  <c r="I2623" i="1"/>
  <c r="H2623" i="1"/>
  <c r="G2623" i="1"/>
  <c r="F2623" i="1"/>
  <c r="E2623" i="1"/>
  <c r="D2623" i="1"/>
  <c r="C2623" i="1"/>
  <c r="V2622" i="1"/>
  <c r="Q2622" i="1"/>
  <c r="P2622" i="1"/>
  <c r="O2622" i="1"/>
  <c r="N2622" i="1"/>
  <c r="J2622" i="1"/>
  <c r="I2622" i="1"/>
  <c r="H2622" i="1"/>
  <c r="G2622" i="1"/>
  <c r="F2622" i="1"/>
  <c r="E2622" i="1"/>
  <c r="D2622" i="1"/>
  <c r="C2622" i="1"/>
  <c r="V2621" i="1"/>
  <c r="Q2621" i="1"/>
  <c r="P2621" i="1"/>
  <c r="O2621" i="1"/>
  <c r="N2621" i="1"/>
  <c r="J2621" i="1"/>
  <c r="I2621" i="1"/>
  <c r="H2621" i="1"/>
  <c r="G2621" i="1"/>
  <c r="F2621" i="1"/>
  <c r="E2621" i="1"/>
  <c r="D2621" i="1"/>
  <c r="C2621" i="1"/>
  <c r="V2620" i="1"/>
  <c r="Q2620" i="1"/>
  <c r="P2620" i="1"/>
  <c r="O2620" i="1"/>
  <c r="N2620" i="1"/>
  <c r="J2620" i="1"/>
  <c r="I2620" i="1"/>
  <c r="H2620" i="1"/>
  <c r="G2620" i="1"/>
  <c r="F2620" i="1"/>
  <c r="E2620" i="1"/>
  <c r="D2620" i="1"/>
  <c r="C2620" i="1"/>
  <c r="V2619" i="1"/>
  <c r="Q2619" i="1"/>
  <c r="P2619" i="1"/>
  <c r="O2619" i="1"/>
  <c r="N2619" i="1"/>
  <c r="J2619" i="1"/>
  <c r="I2619" i="1"/>
  <c r="H2619" i="1"/>
  <c r="G2619" i="1"/>
  <c r="F2619" i="1"/>
  <c r="E2619" i="1"/>
  <c r="D2619" i="1"/>
  <c r="C2619" i="1"/>
  <c r="V2618" i="1"/>
  <c r="Q2618" i="1"/>
  <c r="P2618" i="1"/>
  <c r="O2618" i="1"/>
  <c r="N2618" i="1"/>
  <c r="J2618" i="1"/>
  <c r="I2618" i="1"/>
  <c r="H2618" i="1"/>
  <c r="G2618" i="1"/>
  <c r="F2618" i="1"/>
  <c r="E2618" i="1"/>
  <c r="D2618" i="1"/>
  <c r="C2618" i="1"/>
  <c r="V2617" i="1"/>
  <c r="Q2617" i="1"/>
  <c r="P2617" i="1"/>
  <c r="O2617" i="1"/>
  <c r="N2617" i="1"/>
  <c r="J2617" i="1"/>
  <c r="I2617" i="1"/>
  <c r="H2617" i="1"/>
  <c r="G2617" i="1"/>
  <c r="F2617" i="1"/>
  <c r="E2617" i="1"/>
  <c r="D2617" i="1"/>
  <c r="C2617" i="1"/>
  <c r="V2616" i="1"/>
  <c r="Q2616" i="1"/>
  <c r="P2616" i="1"/>
  <c r="O2616" i="1"/>
  <c r="N2616" i="1"/>
  <c r="J2616" i="1"/>
  <c r="I2616" i="1"/>
  <c r="H2616" i="1"/>
  <c r="G2616" i="1"/>
  <c r="F2616" i="1"/>
  <c r="E2616" i="1"/>
  <c r="D2616" i="1"/>
  <c r="C2616" i="1"/>
  <c r="V2615" i="1"/>
  <c r="Q2615" i="1"/>
  <c r="P2615" i="1"/>
  <c r="O2615" i="1"/>
  <c r="N2615" i="1"/>
  <c r="J2615" i="1"/>
  <c r="I2615" i="1"/>
  <c r="H2615" i="1"/>
  <c r="G2615" i="1"/>
  <c r="F2615" i="1"/>
  <c r="E2615" i="1"/>
  <c r="D2615" i="1"/>
  <c r="C2615" i="1"/>
  <c r="V2614" i="1"/>
  <c r="Q2614" i="1"/>
  <c r="P2614" i="1"/>
  <c r="O2614" i="1"/>
  <c r="N2614" i="1"/>
  <c r="J2614" i="1"/>
  <c r="I2614" i="1"/>
  <c r="H2614" i="1"/>
  <c r="G2614" i="1"/>
  <c r="F2614" i="1"/>
  <c r="E2614" i="1"/>
  <c r="D2614" i="1"/>
  <c r="C2614" i="1"/>
  <c r="V2613" i="1"/>
  <c r="Q2613" i="1"/>
  <c r="P2613" i="1"/>
  <c r="O2613" i="1"/>
  <c r="N2613" i="1"/>
  <c r="J2613" i="1"/>
  <c r="I2613" i="1"/>
  <c r="H2613" i="1"/>
  <c r="G2613" i="1"/>
  <c r="F2613" i="1"/>
  <c r="E2613" i="1"/>
  <c r="D2613" i="1"/>
  <c r="C2613" i="1"/>
  <c r="V2612" i="1"/>
  <c r="Q2612" i="1"/>
  <c r="P2612" i="1"/>
  <c r="O2612" i="1"/>
  <c r="N2612" i="1"/>
  <c r="J2612" i="1"/>
  <c r="I2612" i="1"/>
  <c r="H2612" i="1"/>
  <c r="G2612" i="1"/>
  <c r="F2612" i="1"/>
  <c r="E2612" i="1"/>
  <c r="D2612" i="1"/>
  <c r="C2612" i="1"/>
  <c r="V2611" i="1"/>
  <c r="Q2611" i="1"/>
  <c r="P2611" i="1"/>
  <c r="O2611" i="1"/>
  <c r="N2611" i="1"/>
  <c r="J2611" i="1"/>
  <c r="I2611" i="1"/>
  <c r="H2611" i="1"/>
  <c r="G2611" i="1"/>
  <c r="F2611" i="1"/>
  <c r="E2611" i="1"/>
  <c r="D2611" i="1"/>
  <c r="C2611" i="1"/>
  <c r="V2610" i="1"/>
  <c r="R2610" i="1"/>
  <c r="Q2610" i="1"/>
  <c r="P2610" i="1"/>
  <c r="O2610" i="1"/>
  <c r="N2610" i="1"/>
  <c r="J2610" i="1"/>
  <c r="I2610" i="1"/>
  <c r="H2610" i="1"/>
  <c r="G2610" i="1"/>
  <c r="F2610" i="1"/>
  <c r="E2610" i="1"/>
  <c r="D2610" i="1"/>
  <c r="C2610" i="1"/>
  <c r="V2609" i="1"/>
  <c r="R2609" i="1"/>
  <c r="Q2609" i="1"/>
  <c r="P2609" i="1"/>
  <c r="O2609" i="1"/>
  <c r="N2609" i="1"/>
  <c r="J2609" i="1"/>
  <c r="I2609" i="1"/>
  <c r="H2609" i="1"/>
  <c r="G2609" i="1"/>
  <c r="F2609" i="1"/>
  <c r="E2609" i="1"/>
  <c r="D2609" i="1"/>
  <c r="C2609" i="1"/>
  <c r="V2608" i="1"/>
  <c r="R2608" i="1"/>
  <c r="Q2608" i="1"/>
  <c r="P2608" i="1"/>
  <c r="O2608" i="1"/>
  <c r="N2608" i="1"/>
  <c r="J2608" i="1"/>
  <c r="I2608" i="1"/>
  <c r="H2608" i="1"/>
  <c r="G2608" i="1"/>
  <c r="F2608" i="1"/>
  <c r="E2608" i="1"/>
  <c r="D2608" i="1"/>
  <c r="C2608" i="1"/>
  <c r="V2607" i="1"/>
  <c r="R2607" i="1"/>
  <c r="Q2607" i="1"/>
  <c r="P2607" i="1"/>
  <c r="O2607" i="1"/>
  <c r="N2607" i="1"/>
  <c r="J2607" i="1"/>
  <c r="I2607" i="1"/>
  <c r="H2607" i="1"/>
  <c r="G2607" i="1"/>
  <c r="F2607" i="1"/>
  <c r="E2607" i="1"/>
  <c r="D2607" i="1"/>
  <c r="C2607" i="1"/>
  <c r="V2606" i="1"/>
  <c r="R2606" i="1"/>
  <c r="Q2606" i="1"/>
  <c r="P2606" i="1"/>
  <c r="O2606" i="1"/>
  <c r="N2606" i="1"/>
  <c r="J2606" i="1"/>
  <c r="I2606" i="1"/>
  <c r="H2606" i="1"/>
  <c r="G2606" i="1"/>
  <c r="F2606" i="1"/>
  <c r="E2606" i="1"/>
  <c r="D2606" i="1"/>
  <c r="C2606" i="1"/>
  <c r="V2605" i="1"/>
  <c r="R2605" i="1"/>
  <c r="Q2605" i="1"/>
  <c r="P2605" i="1"/>
  <c r="O2605" i="1"/>
  <c r="N2605" i="1"/>
  <c r="J2605" i="1"/>
  <c r="I2605" i="1"/>
  <c r="H2605" i="1"/>
  <c r="G2605" i="1"/>
  <c r="F2605" i="1"/>
  <c r="E2605" i="1"/>
  <c r="D2605" i="1"/>
  <c r="C2605" i="1"/>
  <c r="V2604" i="1"/>
  <c r="R2604" i="1"/>
  <c r="Q2604" i="1"/>
  <c r="P2604" i="1"/>
  <c r="O2604" i="1"/>
  <c r="N2604" i="1"/>
  <c r="J2604" i="1"/>
  <c r="I2604" i="1"/>
  <c r="H2604" i="1"/>
  <c r="G2604" i="1"/>
  <c r="F2604" i="1"/>
  <c r="E2604" i="1"/>
  <c r="D2604" i="1"/>
  <c r="C2604" i="1"/>
  <c r="V2603" i="1"/>
  <c r="R2603" i="1"/>
  <c r="Q2603" i="1"/>
  <c r="P2603" i="1"/>
  <c r="O2603" i="1"/>
  <c r="N2603" i="1"/>
  <c r="J2603" i="1"/>
  <c r="I2603" i="1"/>
  <c r="H2603" i="1"/>
  <c r="G2603" i="1"/>
  <c r="F2603" i="1"/>
  <c r="E2603" i="1"/>
  <c r="D2603" i="1"/>
  <c r="C2603" i="1"/>
  <c r="V2602" i="1"/>
  <c r="R2602" i="1"/>
  <c r="Q2602" i="1"/>
  <c r="P2602" i="1"/>
  <c r="O2602" i="1"/>
  <c r="N2602" i="1"/>
  <c r="J2602" i="1"/>
  <c r="I2602" i="1"/>
  <c r="H2602" i="1"/>
  <c r="G2602" i="1"/>
  <c r="F2602" i="1"/>
  <c r="E2602" i="1"/>
  <c r="D2602" i="1"/>
  <c r="C2602" i="1"/>
  <c r="V2601" i="1"/>
  <c r="R2601" i="1"/>
  <c r="Q2601" i="1"/>
  <c r="P2601" i="1"/>
  <c r="O2601" i="1"/>
  <c r="N2601" i="1"/>
  <c r="J2601" i="1"/>
  <c r="I2601" i="1"/>
  <c r="H2601" i="1"/>
  <c r="G2601" i="1"/>
  <c r="F2601" i="1"/>
  <c r="E2601" i="1"/>
  <c r="D2601" i="1"/>
  <c r="C2601" i="1"/>
  <c r="V2600" i="1"/>
  <c r="R2600" i="1"/>
  <c r="Q2600" i="1"/>
  <c r="P2600" i="1"/>
  <c r="O2600" i="1"/>
  <c r="N2600" i="1"/>
  <c r="J2600" i="1"/>
  <c r="I2600" i="1"/>
  <c r="H2600" i="1"/>
  <c r="G2600" i="1"/>
  <c r="F2600" i="1"/>
  <c r="E2600" i="1"/>
  <c r="D2600" i="1"/>
  <c r="C2600" i="1"/>
  <c r="V2599" i="1"/>
  <c r="R2599" i="1"/>
  <c r="Q2599" i="1"/>
  <c r="P2599" i="1"/>
  <c r="O2599" i="1"/>
  <c r="N2599" i="1"/>
  <c r="J2599" i="1"/>
  <c r="I2599" i="1"/>
  <c r="H2599" i="1"/>
  <c r="G2599" i="1"/>
  <c r="F2599" i="1"/>
  <c r="E2599" i="1"/>
  <c r="D2599" i="1"/>
  <c r="C2599" i="1"/>
  <c r="V2598" i="1"/>
  <c r="R2598" i="1"/>
  <c r="Q2598" i="1"/>
  <c r="P2598" i="1"/>
  <c r="O2598" i="1"/>
  <c r="N2598" i="1"/>
  <c r="J2598" i="1"/>
  <c r="I2598" i="1"/>
  <c r="H2598" i="1"/>
  <c r="G2598" i="1"/>
  <c r="F2598" i="1"/>
  <c r="E2598" i="1"/>
  <c r="D2598" i="1"/>
  <c r="C2598" i="1"/>
  <c r="V2597" i="1"/>
  <c r="R2597" i="1"/>
  <c r="Q2597" i="1"/>
  <c r="P2597" i="1"/>
  <c r="O2597" i="1"/>
  <c r="N2597" i="1"/>
  <c r="J2597" i="1"/>
  <c r="I2597" i="1"/>
  <c r="H2597" i="1"/>
  <c r="G2597" i="1"/>
  <c r="F2597" i="1"/>
  <c r="E2597" i="1"/>
  <c r="D2597" i="1"/>
  <c r="C2597" i="1"/>
  <c r="V2596" i="1"/>
  <c r="R2596" i="1"/>
  <c r="Q2596" i="1"/>
  <c r="P2596" i="1"/>
  <c r="O2596" i="1"/>
  <c r="N2596" i="1"/>
  <c r="J2596" i="1"/>
  <c r="I2596" i="1"/>
  <c r="H2596" i="1"/>
  <c r="G2596" i="1"/>
  <c r="F2596" i="1"/>
  <c r="E2596" i="1"/>
  <c r="D2596" i="1"/>
  <c r="C2596" i="1"/>
  <c r="V2595" i="1"/>
  <c r="R2595" i="1"/>
  <c r="Q2595" i="1"/>
  <c r="P2595" i="1"/>
  <c r="O2595" i="1"/>
  <c r="N2595" i="1"/>
  <c r="J2595" i="1"/>
  <c r="I2595" i="1"/>
  <c r="H2595" i="1"/>
  <c r="G2595" i="1"/>
  <c r="F2595" i="1"/>
  <c r="E2595" i="1"/>
  <c r="D2595" i="1"/>
  <c r="C2595" i="1"/>
  <c r="V2594" i="1"/>
  <c r="R2594" i="1"/>
  <c r="Q2594" i="1"/>
  <c r="P2594" i="1"/>
  <c r="O2594" i="1"/>
  <c r="N2594" i="1"/>
  <c r="J2594" i="1"/>
  <c r="I2594" i="1"/>
  <c r="H2594" i="1"/>
  <c r="G2594" i="1"/>
  <c r="F2594" i="1"/>
  <c r="E2594" i="1"/>
  <c r="D2594" i="1"/>
  <c r="C2594" i="1"/>
  <c r="V2593" i="1"/>
  <c r="R2593" i="1"/>
  <c r="Q2593" i="1"/>
  <c r="P2593" i="1"/>
  <c r="O2593" i="1"/>
  <c r="N2593" i="1"/>
  <c r="J2593" i="1"/>
  <c r="I2593" i="1"/>
  <c r="H2593" i="1"/>
  <c r="G2593" i="1"/>
  <c r="F2593" i="1"/>
  <c r="E2593" i="1"/>
  <c r="D2593" i="1"/>
  <c r="C2593" i="1"/>
  <c r="V2592" i="1"/>
  <c r="R2592" i="1"/>
  <c r="Q2592" i="1"/>
  <c r="P2592" i="1"/>
  <c r="O2592" i="1"/>
  <c r="N2592" i="1"/>
  <c r="J2592" i="1"/>
  <c r="I2592" i="1"/>
  <c r="H2592" i="1"/>
  <c r="G2592" i="1"/>
  <c r="F2592" i="1"/>
  <c r="E2592" i="1"/>
  <c r="D2592" i="1"/>
  <c r="C2592" i="1"/>
  <c r="V2591" i="1"/>
  <c r="R2591" i="1"/>
  <c r="Q2591" i="1"/>
  <c r="P2591" i="1"/>
  <c r="O2591" i="1"/>
  <c r="N2591" i="1"/>
  <c r="J2591" i="1"/>
  <c r="I2591" i="1"/>
  <c r="H2591" i="1"/>
  <c r="G2591" i="1"/>
  <c r="F2591" i="1"/>
  <c r="E2591" i="1"/>
  <c r="D2591" i="1"/>
  <c r="C2591" i="1"/>
  <c r="V2590" i="1"/>
  <c r="R2590" i="1"/>
  <c r="Q2590" i="1"/>
  <c r="P2590" i="1"/>
  <c r="O2590" i="1"/>
  <c r="N2590" i="1"/>
  <c r="J2590" i="1"/>
  <c r="I2590" i="1"/>
  <c r="H2590" i="1"/>
  <c r="G2590" i="1"/>
  <c r="F2590" i="1"/>
  <c r="E2590" i="1"/>
  <c r="D2590" i="1"/>
  <c r="C2590" i="1"/>
  <c r="V2589" i="1"/>
  <c r="R2589" i="1"/>
  <c r="Q2589" i="1"/>
  <c r="P2589" i="1"/>
  <c r="O2589" i="1"/>
  <c r="N2589" i="1"/>
  <c r="J2589" i="1"/>
  <c r="I2589" i="1"/>
  <c r="H2589" i="1"/>
  <c r="G2589" i="1"/>
  <c r="F2589" i="1"/>
  <c r="E2589" i="1"/>
  <c r="D2589" i="1"/>
  <c r="C2589" i="1"/>
  <c r="V2588" i="1"/>
  <c r="R2588" i="1"/>
  <c r="Q2588" i="1"/>
  <c r="P2588" i="1"/>
  <c r="O2588" i="1"/>
  <c r="N2588" i="1"/>
  <c r="J2588" i="1"/>
  <c r="I2588" i="1"/>
  <c r="H2588" i="1"/>
  <c r="G2588" i="1"/>
  <c r="F2588" i="1"/>
  <c r="E2588" i="1"/>
  <c r="D2588" i="1"/>
  <c r="C2588" i="1"/>
  <c r="V2587" i="1"/>
  <c r="R2587" i="1"/>
  <c r="Q2587" i="1"/>
  <c r="P2587" i="1"/>
  <c r="O2587" i="1"/>
  <c r="N2587" i="1"/>
  <c r="J2587" i="1"/>
  <c r="I2587" i="1"/>
  <c r="H2587" i="1"/>
  <c r="G2587" i="1"/>
  <c r="F2587" i="1"/>
  <c r="E2587" i="1"/>
  <c r="D2587" i="1"/>
  <c r="C2587" i="1"/>
  <c r="V2586" i="1"/>
  <c r="R2586" i="1"/>
  <c r="Q2586" i="1"/>
  <c r="P2586" i="1"/>
  <c r="O2586" i="1"/>
  <c r="N2586" i="1"/>
  <c r="J2586" i="1"/>
  <c r="I2586" i="1"/>
  <c r="H2586" i="1"/>
  <c r="G2586" i="1"/>
  <c r="F2586" i="1"/>
  <c r="E2586" i="1"/>
  <c r="D2586" i="1"/>
  <c r="C2586" i="1"/>
  <c r="V2585" i="1"/>
  <c r="R2585" i="1"/>
  <c r="Q2585" i="1"/>
  <c r="P2585" i="1"/>
  <c r="O2585" i="1"/>
  <c r="N2585" i="1"/>
  <c r="J2585" i="1"/>
  <c r="I2585" i="1"/>
  <c r="H2585" i="1"/>
  <c r="G2585" i="1"/>
  <c r="F2585" i="1"/>
  <c r="E2585" i="1"/>
  <c r="D2585" i="1"/>
  <c r="C2585" i="1"/>
  <c r="V2584" i="1"/>
  <c r="R2584" i="1"/>
  <c r="Q2584" i="1"/>
  <c r="P2584" i="1"/>
  <c r="O2584" i="1"/>
  <c r="N2584" i="1"/>
  <c r="J2584" i="1"/>
  <c r="I2584" i="1"/>
  <c r="H2584" i="1"/>
  <c r="G2584" i="1"/>
  <c r="F2584" i="1"/>
  <c r="E2584" i="1"/>
  <c r="D2584" i="1"/>
  <c r="C2584" i="1"/>
  <c r="V2583" i="1"/>
  <c r="R2583" i="1"/>
  <c r="Q2583" i="1"/>
  <c r="P2583" i="1"/>
  <c r="O2583" i="1"/>
  <c r="N2583" i="1"/>
  <c r="J2583" i="1"/>
  <c r="I2583" i="1"/>
  <c r="H2583" i="1"/>
  <c r="G2583" i="1"/>
  <c r="F2583" i="1"/>
  <c r="E2583" i="1"/>
  <c r="D2583" i="1"/>
  <c r="C2583" i="1"/>
  <c r="V2582" i="1"/>
  <c r="R2582" i="1"/>
  <c r="Q2582" i="1"/>
  <c r="P2582" i="1"/>
  <c r="O2582" i="1"/>
  <c r="N2582" i="1"/>
  <c r="J2582" i="1"/>
  <c r="I2582" i="1"/>
  <c r="H2582" i="1"/>
  <c r="G2582" i="1"/>
  <c r="F2582" i="1"/>
  <c r="E2582" i="1"/>
  <c r="D2582" i="1"/>
  <c r="C2582" i="1"/>
  <c r="V2581" i="1"/>
  <c r="R2581" i="1"/>
  <c r="Q2581" i="1"/>
  <c r="P2581" i="1"/>
  <c r="O2581" i="1"/>
  <c r="N2581" i="1"/>
  <c r="J2581" i="1"/>
  <c r="I2581" i="1"/>
  <c r="H2581" i="1"/>
  <c r="G2581" i="1"/>
  <c r="F2581" i="1"/>
  <c r="E2581" i="1"/>
  <c r="D2581" i="1"/>
  <c r="C2581" i="1"/>
  <c r="V2580" i="1"/>
  <c r="R2580" i="1"/>
  <c r="Q2580" i="1"/>
  <c r="P2580" i="1"/>
  <c r="O2580" i="1"/>
  <c r="N2580" i="1"/>
  <c r="J2580" i="1"/>
  <c r="I2580" i="1"/>
  <c r="H2580" i="1"/>
  <c r="G2580" i="1"/>
  <c r="F2580" i="1"/>
  <c r="E2580" i="1"/>
  <c r="D2580" i="1"/>
  <c r="C2580" i="1"/>
  <c r="V2579" i="1"/>
  <c r="R2579" i="1"/>
  <c r="Q2579" i="1"/>
  <c r="P2579" i="1"/>
  <c r="O2579" i="1"/>
  <c r="N2579" i="1"/>
  <c r="J2579" i="1"/>
  <c r="I2579" i="1"/>
  <c r="H2579" i="1"/>
  <c r="G2579" i="1"/>
  <c r="F2579" i="1"/>
  <c r="E2579" i="1"/>
  <c r="D2579" i="1"/>
  <c r="C2579" i="1"/>
  <c r="V2578" i="1"/>
  <c r="R2578" i="1"/>
  <c r="Q2578" i="1"/>
  <c r="P2578" i="1"/>
  <c r="O2578" i="1"/>
  <c r="N2578" i="1"/>
  <c r="J2578" i="1"/>
  <c r="I2578" i="1"/>
  <c r="H2578" i="1"/>
  <c r="G2578" i="1"/>
  <c r="F2578" i="1"/>
  <c r="E2578" i="1"/>
  <c r="D2578" i="1"/>
  <c r="C2578" i="1"/>
  <c r="V2577" i="1"/>
  <c r="R2577" i="1"/>
  <c r="Q2577" i="1"/>
  <c r="P2577" i="1"/>
  <c r="O2577" i="1"/>
  <c r="N2577" i="1"/>
  <c r="J2577" i="1"/>
  <c r="I2577" i="1"/>
  <c r="H2577" i="1"/>
  <c r="G2577" i="1"/>
  <c r="F2577" i="1"/>
  <c r="E2577" i="1"/>
  <c r="D2577" i="1"/>
  <c r="C2577" i="1"/>
  <c r="V2576" i="1"/>
  <c r="R2576" i="1"/>
  <c r="Q2576" i="1"/>
  <c r="P2576" i="1"/>
  <c r="O2576" i="1"/>
  <c r="N2576" i="1"/>
  <c r="J2576" i="1"/>
  <c r="I2576" i="1"/>
  <c r="H2576" i="1"/>
  <c r="G2576" i="1"/>
  <c r="F2576" i="1"/>
  <c r="E2576" i="1"/>
  <c r="D2576" i="1"/>
  <c r="C2576" i="1"/>
  <c r="V2575" i="1"/>
  <c r="R2575" i="1"/>
  <c r="Q2575" i="1"/>
  <c r="P2575" i="1"/>
  <c r="O2575" i="1"/>
  <c r="N2575" i="1"/>
  <c r="J2575" i="1"/>
  <c r="I2575" i="1"/>
  <c r="H2575" i="1"/>
  <c r="G2575" i="1"/>
  <c r="F2575" i="1"/>
  <c r="E2575" i="1"/>
  <c r="D2575" i="1"/>
  <c r="C2575" i="1"/>
  <c r="V2574" i="1"/>
  <c r="R2574" i="1"/>
  <c r="Q2574" i="1"/>
  <c r="P2574" i="1"/>
  <c r="O2574" i="1"/>
  <c r="N2574" i="1"/>
  <c r="J2574" i="1"/>
  <c r="I2574" i="1"/>
  <c r="H2574" i="1"/>
  <c r="G2574" i="1"/>
  <c r="F2574" i="1"/>
  <c r="E2574" i="1"/>
  <c r="D2574" i="1"/>
  <c r="C2574" i="1"/>
  <c r="V2573" i="1"/>
  <c r="R2573" i="1"/>
  <c r="Q2573" i="1"/>
  <c r="P2573" i="1"/>
  <c r="O2573" i="1"/>
  <c r="N2573" i="1"/>
  <c r="J2573" i="1"/>
  <c r="I2573" i="1"/>
  <c r="H2573" i="1"/>
  <c r="G2573" i="1"/>
  <c r="F2573" i="1"/>
  <c r="E2573" i="1"/>
  <c r="D2573" i="1"/>
  <c r="C2573" i="1"/>
  <c r="V2572" i="1"/>
  <c r="R2572" i="1"/>
  <c r="Q2572" i="1"/>
  <c r="P2572" i="1"/>
  <c r="O2572" i="1"/>
  <c r="N2572" i="1"/>
  <c r="J2572" i="1"/>
  <c r="I2572" i="1"/>
  <c r="H2572" i="1"/>
  <c r="G2572" i="1"/>
  <c r="F2572" i="1"/>
  <c r="E2572" i="1"/>
  <c r="D2572" i="1"/>
  <c r="C2572" i="1"/>
  <c r="V2571" i="1"/>
  <c r="R2571" i="1"/>
  <c r="Q2571" i="1"/>
  <c r="P2571" i="1"/>
  <c r="O2571" i="1"/>
  <c r="N2571" i="1"/>
  <c r="J2571" i="1"/>
  <c r="I2571" i="1"/>
  <c r="H2571" i="1"/>
  <c r="G2571" i="1"/>
  <c r="F2571" i="1"/>
  <c r="E2571" i="1"/>
  <c r="D2571" i="1"/>
  <c r="C2571" i="1"/>
  <c r="V2570" i="1"/>
  <c r="R2570" i="1"/>
  <c r="Q2570" i="1"/>
  <c r="P2570" i="1"/>
  <c r="O2570" i="1"/>
  <c r="N2570" i="1"/>
  <c r="J2570" i="1"/>
  <c r="I2570" i="1"/>
  <c r="H2570" i="1"/>
  <c r="G2570" i="1"/>
  <c r="F2570" i="1"/>
  <c r="E2570" i="1"/>
  <c r="D2570" i="1"/>
  <c r="C2570" i="1"/>
  <c r="V2569" i="1"/>
  <c r="R2569" i="1"/>
  <c r="Q2569" i="1"/>
  <c r="P2569" i="1"/>
  <c r="O2569" i="1"/>
  <c r="N2569" i="1"/>
  <c r="J2569" i="1"/>
  <c r="I2569" i="1"/>
  <c r="H2569" i="1"/>
  <c r="G2569" i="1"/>
  <c r="F2569" i="1"/>
  <c r="E2569" i="1"/>
  <c r="D2569" i="1"/>
  <c r="C2569" i="1"/>
  <c r="V2568" i="1"/>
  <c r="R2568" i="1"/>
  <c r="Q2568" i="1"/>
  <c r="P2568" i="1"/>
  <c r="O2568" i="1"/>
  <c r="N2568" i="1"/>
  <c r="J2568" i="1"/>
  <c r="I2568" i="1"/>
  <c r="H2568" i="1"/>
  <c r="G2568" i="1"/>
  <c r="F2568" i="1"/>
  <c r="E2568" i="1"/>
  <c r="D2568" i="1"/>
  <c r="C2568" i="1"/>
  <c r="V2567" i="1"/>
  <c r="R2567" i="1"/>
  <c r="Q2567" i="1"/>
  <c r="P2567" i="1"/>
  <c r="O2567" i="1"/>
  <c r="N2567" i="1"/>
  <c r="J2567" i="1"/>
  <c r="I2567" i="1"/>
  <c r="H2567" i="1"/>
  <c r="G2567" i="1"/>
  <c r="F2567" i="1"/>
  <c r="E2567" i="1"/>
  <c r="D2567" i="1"/>
  <c r="C2567" i="1"/>
  <c r="V2566" i="1"/>
  <c r="R2566" i="1"/>
  <c r="Q2566" i="1"/>
  <c r="P2566" i="1"/>
  <c r="O2566" i="1"/>
  <c r="N2566" i="1"/>
  <c r="J2566" i="1"/>
  <c r="I2566" i="1"/>
  <c r="H2566" i="1"/>
  <c r="G2566" i="1"/>
  <c r="F2566" i="1"/>
  <c r="E2566" i="1"/>
  <c r="D2566" i="1"/>
  <c r="C2566" i="1"/>
  <c r="V2565" i="1"/>
  <c r="R2565" i="1"/>
  <c r="Q2565" i="1"/>
  <c r="P2565" i="1"/>
  <c r="O2565" i="1"/>
  <c r="N2565" i="1"/>
  <c r="J2565" i="1"/>
  <c r="I2565" i="1"/>
  <c r="H2565" i="1"/>
  <c r="G2565" i="1"/>
  <c r="F2565" i="1"/>
  <c r="E2565" i="1"/>
  <c r="D2565" i="1"/>
  <c r="C2565" i="1"/>
  <c r="V2564" i="1"/>
  <c r="R2564" i="1"/>
  <c r="Q2564" i="1"/>
  <c r="P2564" i="1"/>
  <c r="O2564" i="1"/>
  <c r="N2564" i="1"/>
  <c r="J2564" i="1"/>
  <c r="I2564" i="1"/>
  <c r="H2564" i="1"/>
  <c r="G2564" i="1"/>
  <c r="F2564" i="1"/>
  <c r="E2564" i="1"/>
  <c r="D2564" i="1"/>
  <c r="C2564" i="1"/>
  <c r="V2563" i="1"/>
  <c r="R2563" i="1"/>
  <c r="Q2563" i="1"/>
  <c r="P2563" i="1"/>
  <c r="O2563" i="1"/>
  <c r="N2563" i="1"/>
  <c r="J2563" i="1"/>
  <c r="I2563" i="1"/>
  <c r="H2563" i="1"/>
  <c r="G2563" i="1"/>
  <c r="F2563" i="1"/>
  <c r="E2563" i="1"/>
  <c r="D2563" i="1"/>
  <c r="C2563" i="1"/>
  <c r="V2562" i="1"/>
  <c r="R2562" i="1"/>
  <c r="Q2562" i="1"/>
  <c r="P2562" i="1"/>
  <c r="O2562" i="1"/>
  <c r="N2562" i="1"/>
  <c r="J2562" i="1"/>
  <c r="I2562" i="1"/>
  <c r="H2562" i="1"/>
  <c r="G2562" i="1"/>
  <c r="F2562" i="1"/>
  <c r="E2562" i="1"/>
  <c r="D2562" i="1"/>
  <c r="C2562" i="1"/>
  <c r="V2561" i="1"/>
  <c r="R2561" i="1"/>
  <c r="Q2561" i="1"/>
  <c r="P2561" i="1"/>
  <c r="O2561" i="1"/>
  <c r="N2561" i="1"/>
  <c r="J2561" i="1"/>
  <c r="I2561" i="1"/>
  <c r="H2561" i="1"/>
  <c r="G2561" i="1"/>
  <c r="F2561" i="1"/>
  <c r="E2561" i="1"/>
  <c r="D2561" i="1"/>
  <c r="C2561" i="1"/>
  <c r="V2560" i="1"/>
  <c r="R2560" i="1"/>
  <c r="Q2560" i="1"/>
  <c r="P2560" i="1"/>
  <c r="O2560" i="1"/>
  <c r="N2560" i="1"/>
  <c r="J2560" i="1"/>
  <c r="I2560" i="1"/>
  <c r="H2560" i="1"/>
  <c r="G2560" i="1"/>
  <c r="F2560" i="1"/>
  <c r="E2560" i="1"/>
  <c r="D2560" i="1"/>
  <c r="C2560" i="1"/>
  <c r="V2559" i="1"/>
  <c r="R2559" i="1"/>
  <c r="Q2559" i="1"/>
  <c r="P2559" i="1"/>
  <c r="O2559" i="1"/>
  <c r="N2559" i="1"/>
  <c r="J2559" i="1"/>
  <c r="I2559" i="1"/>
  <c r="H2559" i="1"/>
  <c r="G2559" i="1"/>
  <c r="F2559" i="1"/>
  <c r="E2559" i="1"/>
  <c r="D2559" i="1"/>
  <c r="C2559" i="1"/>
  <c r="V2558" i="1"/>
  <c r="R2558" i="1"/>
  <c r="Q2558" i="1"/>
  <c r="P2558" i="1"/>
  <c r="O2558" i="1"/>
  <c r="N2558" i="1"/>
  <c r="J2558" i="1"/>
  <c r="I2558" i="1"/>
  <c r="H2558" i="1"/>
  <c r="G2558" i="1"/>
  <c r="F2558" i="1"/>
  <c r="E2558" i="1"/>
  <c r="D2558" i="1"/>
  <c r="C2558" i="1"/>
  <c r="V2557" i="1"/>
  <c r="R2557" i="1"/>
  <c r="Q2557" i="1"/>
  <c r="P2557" i="1"/>
  <c r="O2557" i="1"/>
  <c r="N2557" i="1"/>
  <c r="J2557" i="1"/>
  <c r="I2557" i="1"/>
  <c r="H2557" i="1"/>
  <c r="G2557" i="1"/>
  <c r="F2557" i="1"/>
  <c r="E2557" i="1"/>
  <c r="D2557" i="1"/>
  <c r="C2557" i="1"/>
  <c r="V2556" i="1"/>
  <c r="R2556" i="1"/>
  <c r="Q2556" i="1"/>
  <c r="P2556" i="1"/>
  <c r="O2556" i="1"/>
  <c r="N2556" i="1"/>
  <c r="J2556" i="1"/>
  <c r="I2556" i="1"/>
  <c r="H2556" i="1"/>
  <c r="G2556" i="1"/>
  <c r="F2556" i="1"/>
  <c r="E2556" i="1"/>
  <c r="D2556" i="1"/>
  <c r="C2556" i="1"/>
  <c r="V2555" i="1"/>
  <c r="R2555" i="1"/>
  <c r="Q2555" i="1"/>
  <c r="P2555" i="1"/>
  <c r="O2555" i="1"/>
  <c r="N2555" i="1"/>
  <c r="J2555" i="1"/>
  <c r="I2555" i="1"/>
  <c r="H2555" i="1"/>
  <c r="G2555" i="1"/>
  <c r="F2555" i="1"/>
  <c r="E2555" i="1"/>
  <c r="D2555" i="1"/>
  <c r="C2555" i="1"/>
  <c r="V2554" i="1"/>
  <c r="R2554" i="1"/>
  <c r="Q2554" i="1"/>
  <c r="P2554" i="1"/>
  <c r="O2554" i="1"/>
  <c r="N2554" i="1"/>
  <c r="J2554" i="1"/>
  <c r="I2554" i="1"/>
  <c r="H2554" i="1"/>
  <c r="G2554" i="1"/>
  <c r="F2554" i="1"/>
  <c r="E2554" i="1"/>
  <c r="D2554" i="1"/>
  <c r="C2554" i="1"/>
  <c r="V2553" i="1"/>
  <c r="R2553" i="1"/>
  <c r="Q2553" i="1"/>
  <c r="P2553" i="1"/>
  <c r="O2553" i="1"/>
  <c r="N2553" i="1"/>
  <c r="J2553" i="1"/>
  <c r="I2553" i="1"/>
  <c r="H2553" i="1"/>
  <c r="G2553" i="1"/>
  <c r="F2553" i="1"/>
  <c r="E2553" i="1"/>
  <c r="D2553" i="1"/>
  <c r="C2553" i="1"/>
  <c r="V2552" i="1"/>
  <c r="R2552" i="1"/>
  <c r="Q2552" i="1"/>
  <c r="P2552" i="1"/>
  <c r="O2552" i="1"/>
  <c r="N2552" i="1"/>
  <c r="J2552" i="1"/>
  <c r="I2552" i="1"/>
  <c r="H2552" i="1"/>
  <c r="G2552" i="1"/>
  <c r="F2552" i="1"/>
  <c r="E2552" i="1"/>
  <c r="D2552" i="1"/>
  <c r="C2552" i="1"/>
  <c r="V2551" i="1"/>
  <c r="R2551" i="1"/>
  <c r="Q2551" i="1"/>
  <c r="P2551" i="1"/>
  <c r="O2551" i="1"/>
  <c r="N2551" i="1"/>
  <c r="J2551" i="1"/>
  <c r="I2551" i="1"/>
  <c r="H2551" i="1"/>
  <c r="G2551" i="1"/>
  <c r="F2551" i="1"/>
  <c r="E2551" i="1"/>
  <c r="D2551" i="1"/>
  <c r="C2551" i="1"/>
  <c r="V2550" i="1"/>
  <c r="R2550" i="1"/>
  <c r="Q2550" i="1"/>
  <c r="P2550" i="1"/>
  <c r="O2550" i="1"/>
  <c r="N2550" i="1"/>
  <c r="J2550" i="1"/>
  <c r="I2550" i="1"/>
  <c r="H2550" i="1"/>
  <c r="G2550" i="1"/>
  <c r="F2550" i="1"/>
  <c r="E2550" i="1"/>
  <c r="D2550" i="1"/>
  <c r="C2550" i="1"/>
  <c r="V2549" i="1"/>
  <c r="R2549" i="1"/>
  <c r="Q2549" i="1"/>
  <c r="P2549" i="1"/>
  <c r="O2549" i="1"/>
  <c r="N2549" i="1"/>
  <c r="J2549" i="1"/>
  <c r="I2549" i="1"/>
  <c r="H2549" i="1"/>
  <c r="G2549" i="1"/>
  <c r="F2549" i="1"/>
  <c r="E2549" i="1"/>
  <c r="D2549" i="1"/>
  <c r="C2549" i="1"/>
  <c r="V2548" i="1"/>
  <c r="R2548" i="1"/>
  <c r="Q2548" i="1"/>
  <c r="P2548" i="1"/>
  <c r="O2548" i="1"/>
  <c r="N2548" i="1"/>
  <c r="J2548" i="1"/>
  <c r="I2548" i="1"/>
  <c r="H2548" i="1"/>
  <c r="G2548" i="1"/>
  <c r="F2548" i="1"/>
  <c r="E2548" i="1"/>
  <c r="D2548" i="1"/>
  <c r="C2548" i="1"/>
  <c r="V2547" i="1"/>
  <c r="R2547" i="1"/>
  <c r="Q2547" i="1"/>
  <c r="P2547" i="1"/>
  <c r="O2547" i="1"/>
  <c r="N2547" i="1"/>
  <c r="J2547" i="1"/>
  <c r="I2547" i="1"/>
  <c r="H2547" i="1"/>
  <c r="G2547" i="1"/>
  <c r="F2547" i="1"/>
  <c r="E2547" i="1"/>
  <c r="D2547" i="1"/>
  <c r="C2547" i="1"/>
  <c r="V2546" i="1"/>
  <c r="R2546" i="1"/>
  <c r="Q2546" i="1"/>
  <c r="P2546" i="1"/>
  <c r="O2546" i="1"/>
  <c r="N2546" i="1"/>
  <c r="J2546" i="1"/>
  <c r="I2546" i="1"/>
  <c r="H2546" i="1"/>
  <c r="G2546" i="1"/>
  <c r="F2546" i="1"/>
  <c r="E2546" i="1"/>
  <c r="D2546" i="1"/>
  <c r="C2546" i="1"/>
  <c r="V2545" i="1"/>
  <c r="R2545" i="1"/>
  <c r="Q2545" i="1"/>
  <c r="P2545" i="1"/>
  <c r="O2545" i="1"/>
  <c r="N2545" i="1"/>
  <c r="J2545" i="1"/>
  <c r="I2545" i="1"/>
  <c r="H2545" i="1"/>
  <c r="G2545" i="1"/>
  <c r="F2545" i="1"/>
  <c r="E2545" i="1"/>
  <c r="D2545" i="1"/>
  <c r="C2545" i="1"/>
  <c r="V2544" i="1"/>
  <c r="R2544" i="1"/>
  <c r="Q2544" i="1"/>
  <c r="P2544" i="1"/>
  <c r="O2544" i="1"/>
  <c r="N2544" i="1"/>
  <c r="J2544" i="1"/>
  <c r="I2544" i="1"/>
  <c r="H2544" i="1"/>
  <c r="G2544" i="1"/>
  <c r="F2544" i="1"/>
  <c r="E2544" i="1"/>
  <c r="D2544" i="1"/>
  <c r="C2544" i="1"/>
  <c r="V2543" i="1"/>
  <c r="R2543" i="1"/>
  <c r="Q2543" i="1"/>
  <c r="P2543" i="1"/>
  <c r="O2543" i="1"/>
  <c r="N2543" i="1"/>
  <c r="J2543" i="1"/>
  <c r="I2543" i="1"/>
  <c r="H2543" i="1"/>
  <c r="G2543" i="1"/>
  <c r="F2543" i="1"/>
  <c r="E2543" i="1"/>
  <c r="D2543" i="1"/>
  <c r="C2543" i="1"/>
  <c r="V2542" i="1"/>
  <c r="R2542" i="1"/>
  <c r="Q2542" i="1"/>
  <c r="P2542" i="1"/>
  <c r="O2542" i="1"/>
  <c r="N2542" i="1"/>
  <c r="J2542" i="1"/>
  <c r="I2542" i="1"/>
  <c r="H2542" i="1"/>
  <c r="G2542" i="1"/>
  <c r="F2542" i="1"/>
  <c r="E2542" i="1"/>
  <c r="D2542" i="1"/>
  <c r="C2542" i="1"/>
  <c r="V2541" i="1"/>
  <c r="R2541" i="1"/>
  <c r="Q2541" i="1"/>
  <c r="P2541" i="1"/>
  <c r="O2541" i="1"/>
  <c r="N2541" i="1"/>
  <c r="J2541" i="1"/>
  <c r="I2541" i="1"/>
  <c r="H2541" i="1"/>
  <c r="G2541" i="1"/>
  <c r="F2541" i="1"/>
  <c r="E2541" i="1"/>
  <c r="D2541" i="1"/>
  <c r="C2541" i="1"/>
  <c r="V2540" i="1"/>
  <c r="R2540" i="1"/>
  <c r="Q2540" i="1"/>
  <c r="P2540" i="1"/>
  <c r="O2540" i="1"/>
  <c r="N2540" i="1"/>
  <c r="J2540" i="1"/>
  <c r="I2540" i="1"/>
  <c r="H2540" i="1"/>
  <c r="G2540" i="1"/>
  <c r="F2540" i="1"/>
  <c r="E2540" i="1"/>
  <c r="D2540" i="1"/>
  <c r="C2540" i="1"/>
  <c r="V2539" i="1"/>
  <c r="R2539" i="1"/>
  <c r="Q2539" i="1"/>
  <c r="P2539" i="1"/>
  <c r="O2539" i="1"/>
  <c r="N2539" i="1"/>
  <c r="J2539" i="1"/>
  <c r="I2539" i="1"/>
  <c r="H2539" i="1"/>
  <c r="G2539" i="1"/>
  <c r="F2539" i="1"/>
  <c r="E2539" i="1"/>
  <c r="D2539" i="1"/>
  <c r="C2539" i="1"/>
  <c r="V2538" i="1"/>
  <c r="R2538" i="1"/>
  <c r="Q2538" i="1"/>
  <c r="P2538" i="1"/>
  <c r="O2538" i="1"/>
  <c r="N2538" i="1"/>
  <c r="J2538" i="1"/>
  <c r="I2538" i="1"/>
  <c r="H2538" i="1"/>
  <c r="G2538" i="1"/>
  <c r="F2538" i="1"/>
  <c r="E2538" i="1"/>
  <c r="D2538" i="1"/>
  <c r="C2538" i="1"/>
  <c r="V2537" i="1"/>
  <c r="R2537" i="1"/>
  <c r="Q2537" i="1"/>
  <c r="P2537" i="1"/>
  <c r="O2537" i="1"/>
  <c r="N2537" i="1"/>
  <c r="J2537" i="1"/>
  <c r="I2537" i="1"/>
  <c r="H2537" i="1"/>
  <c r="G2537" i="1"/>
  <c r="F2537" i="1"/>
  <c r="E2537" i="1"/>
  <c r="D2537" i="1"/>
  <c r="C2537" i="1"/>
  <c r="V2536" i="1"/>
  <c r="R2536" i="1"/>
  <c r="Q2536" i="1"/>
  <c r="P2536" i="1"/>
  <c r="O2536" i="1"/>
  <c r="N2536" i="1"/>
  <c r="J2536" i="1"/>
  <c r="I2536" i="1"/>
  <c r="H2536" i="1"/>
  <c r="G2536" i="1"/>
  <c r="F2536" i="1"/>
  <c r="E2536" i="1"/>
  <c r="D2536" i="1"/>
  <c r="C2536" i="1"/>
  <c r="V2535" i="1"/>
  <c r="R2535" i="1"/>
  <c r="Q2535" i="1"/>
  <c r="P2535" i="1"/>
  <c r="O2535" i="1"/>
  <c r="N2535" i="1"/>
  <c r="J2535" i="1"/>
  <c r="I2535" i="1"/>
  <c r="H2535" i="1"/>
  <c r="G2535" i="1"/>
  <c r="F2535" i="1"/>
  <c r="E2535" i="1"/>
  <c r="D2535" i="1"/>
  <c r="C2535" i="1"/>
  <c r="V2534" i="1"/>
  <c r="R2534" i="1"/>
  <c r="Q2534" i="1"/>
  <c r="P2534" i="1"/>
  <c r="O2534" i="1"/>
  <c r="N2534" i="1"/>
  <c r="J2534" i="1"/>
  <c r="I2534" i="1"/>
  <c r="H2534" i="1"/>
  <c r="G2534" i="1"/>
  <c r="F2534" i="1"/>
  <c r="E2534" i="1"/>
  <c r="D2534" i="1"/>
  <c r="C2534" i="1"/>
  <c r="V2533" i="1"/>
  <c r="R2533" i="1"/>
  <c r="Q2533" i="1"/>
  <c r="P2533" i="1"/>
  <c r="O2533" i="1"/>
  <c r="N2533" i="1"/>
  <c r="J2533" i="1"/>
  <c r="I2533" i="1"/>
  <c r="H2533" i="1"/>
  <c r="G2533" i="1"/>
  <c r="F2533" i="1"/>
  <c r="E2533" i="1"/>
  <c r="D2533" i="1"/>
  <c r="C2533" i="1"/>
  <c r="V2532" i="1"/>
  <c r="R2532" i="1"/>
  <c r="Q2532" i="1"/>
  <c r="P2532" i="1"/>
  <c r="O2532" i="1"/>
  <c r="N2532" i="1"/>
  <c r="J2532" i="1"/>
  <c r="I2532" i="1"/>
  <c r="H2532" i="1"/>
  <c r="G2532" i="1"/>
  <c r="F2532" i="1"/>
  <c r="E2532" i="1"/>
  <c r="D2532" i="1"/>
  <c r="C2532" i="1"/>
  <c r="V2531" i="1"/>
  <c r="R2531" i="1"/>
  <c r="Q2531" i="1"/>
  <c r="P2531" i="1"/>
  <c r="O2531" i="1"/>
  <c r="N2531" i="1"/>
  <c r="J2531" i="1"/>
  <c r="I2531" i="1"/>
  <c r="H2531" i="1"/>
  <c r="G2531" i="1"/>
  <c r="F2531" i="1"/>
  <c r="E2531" i="1"/>
  <c r="D2531" i="1"/>
  <c r="C2531" i="1"/>
  <c r="V2530" i="1"/>
  <c r="R2530" i="1"/>
  <c r="Q2530" i="1"/>
  <c r="P2530" i="1"/>
  <c r="O2530" i="1"/>
  <c r="N2530" i="1"/>
  <c r="J2530" i="1"/>
  <c r="I2530" i="1"/>
  <c r="H2530" i="1"/>
  <c r="G2530" i="1"/>
  <c r="F2530" i="1"/>
  <c r="E2530" i="1"/>
  <c r="D2530" i="1"/>
  <c r="C2530" i="1"/>
  <c r="V2529" i="1"/>
  <c r="R2529" i="1"/>
  <c r="Q2529" i="1"/>
  <c r="P2529" i="1"/>
  <c r="O2529" i="1"/>
  <c r="N2529" i="1"/>
  <c r="J2529" i="1"/>
  <c r="I2529" i="1"/>
  <c r="H2529" i="1"/>
  <c r="G2529" i="1"/>
  <c r="F2529" i="1"/>
  <c r="E2529" i="1"/>
  <c r="D2529" i="1"/>
  <c r="C2529" i="1"/>
  <c r="V2528" i="1"/>
  <c r="R2528" i="1"/>
  <c r="Q2528" i="1"/>
  <c r="P2528" i="1"/>
  <c r="O2528" i="1"/>
  <c r="N2528" i="1"/>
  <c r="J2528" i="1"/>
  <c r="I2528" i="1"/>
  <c r="H2528" i="1"/>
  <c r="G2528" i="1"/>
  <c r="F2528" i="1"/>
  <c r="E2528" i="1"/>
  <c r="D2528" i="1"/>
  <c r="C2528" i="1"/>
  <c r="V2527" i="1"/>
  <c r="R2527" i="1"/>
  <c r="Q2527" i="1"/>
  <c r="P2527" i="1"/>
  <c r="O2527" i="1"/>
  <c r="N2527" i="1"/>
  <c r="J2527" i="1"/>
  <c r="I2527" i="1"/>
  <c r="H2527" i="1"/>
  <c r="G2527" i="1"/>
  <c r="F2527" i="1"/>
  <c r="E2527" i="1"/>
  <c r="D2527" i="1"/>
  <c r="C2527" i="1"/>
  <c r="V2526" i="1"/>
  <c r="R2526" i="1"/>
  <c r="Q2526" i="1"/>
  <c r="P2526" i="1"/>
  <c r="O2526" i="1"/>
  <c r="N2526" i="1"/>
  <c r="J2526" i="1"/>
  <c r="I2526" i="1"/>
  <c r="H2526" i="1"/>
  <c r="G2526" i="1"/>
  <c r="F2526" i="1"/>
  <c r="E2526" i="1"/>
  <c r="D2526" i="1"/>
  <c r="C2526" i="1"/>
  <c r="V2525" i="1"/>
  <c r="R2525" i="1"/>
  <c r="Q2525" i="1"/>
  <c r="P2525" i="1"/>
  <c r="O2525" i="1"/>
  <c r="N2525" i="1"/>
  <c r="J2525" i="1"/>
  <c r="I2525" i="1"/>
  <c r="H2525" i="1"/>
  <c r="G2525" i="1"/>
  <c r="F2525" i="1"/>
  <c r="E2525" i="1"/>
  <c r="D2525" i="1"/>
  <c r="C2525" i="1"/>
  <c r="V2524" i="1"/>
  <c r="R2524" i="1"/>
  <c r="Q2524" i="1"/>
  <c r="P2524" i="1"/>
  <c r="O2524" i="1"/>
  <c r="N2524" i="1"/>
  <c r="J2524" i="1"/>
  <c r="I2524" i="1"/>
  <c r="H2524" i="1"/>
  <c r="G2524" i="1"/>
  <c r="F2524" i="1"/>
  <c r="E2524" i="1"/>
  <c r="D2524" i="1"/>
  <c r="C2524" i="1"/>
  <c r="V2523" i="1"/>
  <c r="R2523" i="1"/>
  <c r="Q2523" i="1"/>
  <c r="P2523" i="1"/>
  <c r="O2523" i="1"/>
  <c r="N2523" i="1"/>
  <c r="J2523" i="1"/>
  <c r="I2523" i="1"/>
  <c r="H2523" i="1"/>
  <c r="G2523" i="1"/>
  <c r="F2523" i="1"/>
  <c r="E2523" i="1"/>
  <c r="D2523" i="1"/>
  <c r="C2523" i="1"/>
  <c r="V2522" i="1"/>
  <c r="R2522" i="1"/>
  <c r="Q2522" i="1"/>
  <c r="P2522" i="1"/>
  <c r="O2522" i="1"/>
  <c r="N2522" i="1"/>
  <c r="J2522" i="1"/>
  <c r="I2522" i="1"/>
  <c r="H2522" i="1"/>
  <c r="G2522" i="1"/>
  <c r="F2522" i="1"/>
  <c r="E2522" i="1"/>
  <c r="D2522" i="1"/>
  <c r="C2522" i="1"/>
  <c r="V2521" i="1"/>
  <c r="R2521" i="1"/>
  <c r="Q2521" i="1"/>
  <c r="P2521" i="1"/>
  <c r="O2521" i="1"/>
  <c r="N2521" i="1"/>
  <c r="J2521" i="1"/>
  <c r="I2521" i="1"/>
  <c r="H2521" i="1"/>
  <c r="G2521" i="1"/>
  <c r="F2521" i="1"/>
  <c r="E2521" i="1"/>
  <c r="D2521" i="1"/>
  <c r="C2521" i="1"/>
  <c r="V2520" i="1"/>
  <c r="R2520" i="1"/>
  <c r="Q2520" i="1"/>
  <c r="P2520" i="1"/>
  <c r="O2520" i="1"/>
  <c r="N2520" i="1"/>
  <c r="J2520" i="1"/>
  <c r="I2520" i="1"/>
  <c r="H2520" i="1"/>
  <c r="G2520" i="1"/>
  <c r="F2520" i="1"/>
  <c r="E2520" i="1"/>
  <c r="D2520" i="1"/>
  <c r="C2520" i="1"/>
  <c r="V2519" i="1"/>
  <c r="R2519" i="1"/>
  <c r="Q2519" i="1"/>
  <c r="P2519" i="1"/>
  <c r="O2519" i="1"/>
  <c r="N2519" i="1"/>
  <c r="J2519" i="1"/>
  <c r="I2519" i="1"/>
  <c r="H2519" i="1"/>
  <c r="G2519" i="1"/>
  <c r="F2519" i="1"/>
  <c r="E2519" i="1"/>
  <c r="D2519" i="1"/>
  <c r="C2519" i="1"/>
  <c r="V2518" i="1"/>
  <c r="R2518" i="1"/>
  <c r="Q2518" i="1"/>
  <c r="P2518" i="1"/>
  <c r="O2518" i="1"/>
  <c r="N2518" i="1"/>
  <c r="J2518" i="1"/>
  <c r="I2518" i="1"/>
  <c r="H2518" i="1"/>
  <c r="G2518" i="1"/>
  <c r="F2518" i="1"/>
  <c r="E2518" i="1"/>
  <c r="D2518" i="1"/>
  <c r="C2518" i="1"/>
  <c r="V2517" i="1"/>
  <c r="R2517" i="1"/>
  <c r="Q2517" i="1"/>
  <c r="P2517" i="1"/>
  <c r="O2517" i="1"/>
  <c r="N2517" i="1"/>
  <c r="J2517" i="1"/>
  <c r="I2517" i="1"/>
  <c r="H2517" i="1"/>
  <c r="G2517" i="1"/>
  <c r="F2517" i="1"/>
  <c r="E2517" i="1"/>
  <c r="D2517" i="1"/>
  <c r="C2517" i="1"/>
  <c r="V2516" i="1"/>
  <c r="R2516" i="1"/>
  <c r="Q2516" i="1"/>
  <c r="P2516" i="1"/>
  <c r="O2516" i="1"/>
  <c r="N2516" i="1"/>
  <c r="J2516" i="1"/>
  <c r="I2516" i="1"/>
  <c r="H2516" i="1"/>
  <c r="G2516" i="1"/>
  <c r="F2516" i="1"/>
  <c r="E2516" i="1"/>
  <c r="D2516" i="1"/>
  <c r="C2516" i="1"/>
  <c r="V2515" i="1"/>
  <c r="R2515" i="1"/>
  <c r="Q2515" i="1"/>
  <c r="P2515" i="1"/>
  <c r="O2515" i="1"/>
  <c r="N2515" i="1"/>
  <c r="J2515" i="1"/>
  <c r="I2515" i="1"/>
  <c r="H2515" i="1"/>
  <c r="G2515" i="1"/>
  <c r="F2515" i="1"/>
  <c r="E2515" i="1"/>
  <c r="D2515" i="1"/>
  <c r="C2515" i="1"/>
  <c r="V2514" i="1"/>
  <c r="R2514" i="1"/>
  <c r="Q2514" i="1"/>
  <c r="P2514" i="1"/>
  <c r="O2514" i="1"/>
  <c r="N2514" i="1"/>
  <c r="J2514" i="1"/>
  <c r="I2514" i="1"/>
  <c r="H2514" i="1"/>
  <c r="G2514" i="1"/>
  <c r="F2514" i="1"/>
  <c r="E2514" i="1"/>
  <c r="D2514" i="1"/>
  <c r="C2514" i="1"/>
  <c r="V2513" i="1"/>
  <c r="R2513" i="1"/>
  <c r="Q2513" i="1"/>
  <c r="P2513" i="1"/>
  <c r="O2513" i="1"/>
  <c r="N2513" i="1"/>
  <c r="J2513" i="1"/>
  <c r="I2513" i="1"/>
  <c r="H2513" i="1"/>
  <c r="G2513" i="1"/>
  <c r="F2513" i="1"/>
  <c r="E2513" i="1"/>
  <c r="D2513" i="1"/>
  <c r="C2513" i="1"/>
  <c r="V2512" i="1"/>
  <c r="R2512" i="1"/>
  <c r="Q2512" i="1"/>
  <c r="P2512" i="1"/>
  <c r="O2512" i="1"/>
  <c r="N2512" i="1"/>
  <c r="J2512" i="1"/>
  <c r="I2512" i="1"/>
  <c r="H2512" i="1"/>
  <c r="G2512" i="1"/>
  <c r="F2512" i="1"/>
  <c r="E2512" i="1"/>
  <c r="D2512" i="1"/>
  <c r="C2512" i="1"/>
  <c r="V2511" i="1"/>
  <c r="R2511" i="1"/>
  <c r="Q2511" i="1"/>
  <c r="P2511" i="1"/>
  <c r="O2511" i="1"/>
  <c r="N2511" i="1"/>
  <c r="J2511" i="1"/>
  <c r="I2511" i="1"/>
  <c r="H2511" i="1"/>
  <c r="G2511" i="1"/>
  <c r="F2511" i="1"/>
  <c r="E2511" i="1"/>
  <c r="D2511" i="1"/>
  <c r="C2511" i="1"/>
  <c r="V2510" i="1"/>
  <c r="R2510" i="1"/>
  <c r="Q2510" i="1"/>
  <c r="P2510" i="1"/>
  <c r="O2510" i="1"/>
  <c r="N2510" i="1"/>
  <c r="J2510" i="1"/>
  <c r="I2510" i="1"/>
  <c r="H2510" i="1"/>
  <c r="G2510" i="1"/>
  <c r="F2510" i="1"/>
  <c r="E2510" i="1"/>
  <c r="D2510" i="1"/>
  <c r="C2510" i="1"/>
  <c r="V2509" i="1"/>
  <c r="R2509" i="1"/>
  <c r="Q2509" i="1"/>
  <c r="P2509" i="1"/>
  <c r="O2509" i="1"/>
  <c r="N2509" i="1"/>
  <c r="J2509" i="1"/>
  <c r="I2509" i="1"/>
  <c r="H2509" i="1"/>
  <c r="G2509" i="1"/>
  <c r="F2509" i="1"/>
  <c r="E2509" i="1"/>
  <c r="D2509" i="1"/>
  <c r="C2509" i="1"/>
  <c r="V2508" i="1"/>
  <c r="R2508" i="1"/>
  <c r="Q2508" i="1"/>
  <c r="P2508" i="1"/>
  <c r="O2508" i="1"/>
  <c r="N2508" i="1"/>
  <c r="J2508" i="1"/>
  <c r="I2508" i="1"/>
  <c r="H2508" i="1"/>
  <c r="G2508" i="1"/>
  <c r="F2508" i="1"/>
  <c r="E2508" i="1"/>
  <c r="D2508" i="1"/>
  <c r="C2508" i="1"/>
  <c r="V2507" i="1"/>
  <c r="R2507" i="1"/>
  <c r="Q2507" i="1"/>
  <c r="P2507" i="1"/>
  <c r="O2507" i="1"/>
  <c r="N2507" i="1"/>
  <c r="J2507" i="1"/>
  <c r="I2507" i="1"/>
  <c r="H2507" i="1"/>
  <c r="G2507" i="1"/>
  <c r="F2507" i="1"/>
  <c r="E2507" i="1"/>
  <c r="D2507" i="1"/>
  <c r="C2507" i="1"/>
  <c r="V2506" i="1"/>
  <c r="R2506" i="1"/>
  <c r="Q2506" i="1"/>
  <c r="P2506" i="1"/>
  <c r="O2506" i="1"/>
  <c r="N2506" i="1"/>
  <c r="J2506" i="1"/>
  <c r="I2506" i="1"/>
  <c r="H2506" i="1"/>
  <c r="G2506" i="1"/>
  <c r="F2506" i="1"/>
  <c r="E2506" i="1"/>
  <c r="D2506" i="1"/>
  <c r="C2506" i="1"/>
  <c r="V2505" i="1"/>
  <c r="R2505" i="1"/>
  <c r="Q2505" i="1"/>
  <c r="P2505" i="1"/>
  <c r="O2505" i="1"/>
  <c r="N2505" i="1"/>
  <c r="J2505" i="1"/>
  <c r="I2505" i="1"/>
  <c r="H2505" i="1"/>
  <c r="G2505" i="1"/>
  <c r="F2505" i="1"/>
  <c r="E2505" i="1"/>
  <c r="D2505" i="1"/>
  <c r="C2505" i="1"/>
  <c r="V2504" i="1"/>
  <c r="R2504" i="1"/>
  <c r="Q2504" i="1"/>
  <c r="P2504" i="1"/>
  <c r="O2504" i="1"/>
  <c r="N2504" i="1"/>
  <c r="J2504" i="1"/>
  <c r="I2504" i="1"/>
  <c r="H2504" i="1"/>
  <c r="G2504" i="1"/>
  <c r="F2504" i="1"/>
  <c r="E2504" i="1"/>
  <c r="D2504" i="1"/>
  <c r="C2504" i="1"/>
  <c r="V2503" i="1"/>
  <c r="R2503" i="1"/>
  <c r="Q2503" i="1"/>
  <c r="P2503" i="1"/>
  <c r="O2503" i="1"/>
  <c r="N2503" i="1"/>
  <c r="J2503" i="1"/>
  <c r="I2503" i="1"/>
  <c r="H2503" i="1"/>
  <c r="G2503" i="1"/>
  <c r="F2503" i="1"/>
  <c r="E2503" i="1"/>
  <c r="D2503" i="1"/>
  <c r="C2503" i="1"/>
  <c r="V2502" i="1"/>
  <c r="R2502" i="1"/>
  <c r="Q2502" i="1"/>
  <c r="P2502" i="1"/>
  <c r="O2502" i="1"/>
  <c r="N2502" i="1"/>
  <c r="J2502" i="1"/>
  <c r="I2502" i="1"/>
  <c r="H2502" i="1"/>
  <c r="G2502" i="1"/>
  <c r="F2502" i="1"/>
  <c r="E2502" i="1"/>
  <c r="D2502" i="1"/>
  <c r="C2502" i="1"/>
  <c r="V2501" i="1"/>
  <c r="R2501" i="1"/>
  <c r="Q2501" i="1"/>
  <c r="P2501" i="1"/>
  <c r="O2501" i="1"/>
  <c r="N2501" i="1"/>
  <c r="J2501" i="1"/>
  <c r="I2501" i="1"/>
  <c r="H2501" i="1"/>
  <c r="G2501" i="1"/>
  <c r="F2501" i="1"/>
  <c r="E2501" i="1"/>
  <c r="D2501" i="1"/>
  <c r="C2501" i="1"/>
  <c r="V2500" i="1"/>
  <c r="R2500" i="1"/>
  <c r="Q2500" i="1"/>
  <c r="P2500" i="1"/>
  <c r="O2500" i="1"/>
  <c r="N2500" i="1"/>
  <c r="J2500" i="1"/>
  <c r="I2500" i="1"/>
  <c r="H2500" i="1"/>
  <c r="G2500" i="1"/>
  <c r="F2500" i="1"/>
  <c r="E2500" i="1"/>
  <c r="D2500" i="1"/>
  <c r="C2500" i="1"/>
  <c r="V2499" i="1"/>
  <c r="R2499" i="1"/>
  <c r="Q2499" i="1"/>
  <c r="P2499" i="1"/>
  <c r="O2499" i="1"/>
  <c r="N2499" i="1"/>
  <c r="J2499" i="1"/>
  <c r="I2499" i="1"/>
  <c r="H2499" i="1"/>
  <c r="G2499" i="1"/>
  <c r="F2499" i="1"/>
  <c r="E2499" i="1"/>
  <c r="D2499" i="1"/>
  <c r="C2499" i="1"/>
  <c r="V2498" i="1"/>
  <c r="R2498" i="1"/>
  <c r="Q2498" i="1"/>
  <c r="P2498" i="1"/>
  <c r="O2498" i="1"/>
  <c r="N2498" i="1"/>
  <c r="J2498" i="1"/>
  <c r="I2498" i="1"/>
  <c r="H2498" i="1"/>
  <c r="G2498" i="1"/>
  <c r="F2498" i="1"/>
  <c r="E2498" i="1"/>
  <c r="D2498" i="1"/>
  <c r="C2498" i="1"/>
  <c r="V2497" i="1"/>
  <c r="R2497" i="1"/>
  <c r="Q2497" i="1"/>
  <c r="P2497" i="1"/>
  <c r="O2497" i="1"/>
  <c r="N2497" i="1"/>
  <c r="J2497" i="1"/>
  <c r="I2497" i="1"/>
  <c r="H2497" i="1"/>
  <c r="G2497" i="1"/>
  <c r="F2497" i="1"/>
  <c r="E2497" i="1"/>
  <c r="D2497" i="1"/>
  <c r="C2497" i="1"/>
  <c r="V2496" i="1"/>
  <c r="R2496" i="1"/>
  <c r="Q2496" i="1"/>
  <c r="P2496" i="1"/>
  <c r="O2496" i="1"/>
  <c r="N2496" i="1"/>
  <c r="J2496" i="1"/>
  <c r="I2496" i="1"/>
  <c r="H2496" i="1"/>
  <c r="G2496" i="1"/>
  <c r="F2496" i="1"/>
  <c r="E2496" i="1"/>
  <c r="D2496" i="1"/>
  <c r="C2496" i="1"/>
  <c r="V2495" i="1"/>
  <c r="R2495" i="1"/>
  <c r="Q2495" i="1"/>
  <c r="P2495" i="1"/>
  <c r="O2495" i="1"/>
  <c r="N2495" i="1"/>
  <c r="J2495" i="1"/>
  <c r="I2495" i="1"/>
  <c r="H2495" i="1"/>
  <c r="G2495" i="1"/>
  <c r="F2495" i="1"/>
  <c r="E2495" i="1"/>
  <c r="D2495" i="1"/>
  <c r="C2495" i="1"/>
  <c r="V2494" i="1"/>
  <c r="R2494" i="1"/>
  <c r="Q2494" i="1"/>
  <c r="P2494" i="1"/>
  <c r="O2494" i="1"/>
  <c r="N2494" i="1"/>
  <c r="J2494" i="1"/>
  <c r="I2494" i="1"/>
  <c r="H2494" i="1"/>
  <c r="G2494" i="1"/>
  <c r="F2494" i="1"/>
  <c r="E2494" i="1"/>
  <c r="D2494" i="1"/>
  <c r="C2494" i="1"/>
  <c r="V2493" i="1"/>
  <c r="R2493" i="1"/>
  <c r="Q2493" i="1"/>
  <c r="P2493" i="1"/>
  <c r="O2493" i="1"/>
  <c r="N2493" i="1"/>
  <c r="J2493" i="1"/>
  <c r="I2493" i="1"/>
  <c r="H2493" i="1"/>
  <c r="G2493" i="1"/>
  <c r="F2493" i="1"/>
  <c r="E2493" i="1"/>
  <c r="D2493" i="1"/>
  <c r="C2493" i="1"/>
  <c r="V2492" i="1"/>
  <c r="R2492" i="1"/>
  <c r="Q2492" i="1"/>
  <c r="P2492" i="1"/>
  <c r="O2492" i="1"/>
  <c r="N2492" i="1"/>
  <c r="K2492" i="1"/>
  <c r="J2492" i="1"/>
  <c r="I2492" i="1"/>
  <c r="H2492" i="1"/>
  <c r="G2492" i="1"/>
  <c r="F2492" i="1"/>
  <c r="E2492" i="1"/>
  <c r="D2492" i="1"/>
  <c r="C2492" i="1"/>
  <c r="V2491" i="1"/>
  <c r="R2491" i="1"/>
  <c r="Q2491" i="1"/>
  <c r="P2491" i="1"/>
  <c r="O2491" i="1"/>
  <c r="N2491" i="1"/>
  <c r="K2491" i="1"/>
  <c r="J2491" i="1"/>
  <c r="I2491" i="1"/>
  <c r="H2491" i="1"/>
  <c r="G2491" i="1"/>
  <c r="F2491" i="1"/>
  <c r="E2491" i="1"/>
  <c r="D2491" i="1"/>
  <c r="C2491" i="1"/>
  <c r="V2490" i="1"/>
  <c r="R2490" i="1"/>
  <c r="Q2490" i="1"/>
  <c r="P2490" i="1"/>
  <c r="O2490" i="1"/>
  <c r="N2490" i="1"/>
  <c r="K2490" i="1"/>
  <c r="J2490" i="1"/>
  <c r="I2490" i="1"/>
  <c r="H2490" i="1"/>
  <c r="G2490" i="1"/>
  <c r="F2490" i="1"/>
  <c r="E2490" i="1"/>
  <c r="D2490" i="1"/>
  <c r="C2490" i="1"/>
  <c r="V2489" i="1"/>
  <c r="R2489" i="1"/>
  <c r="Q2489" i="1"/>
  <c r="P2489" i="1"/>
  <c r="O2489" i="1"/>
  <c r="N2489" i="1"/>
  <c r="K2489" i="1"/>
  <c r="J2489" i="1"/>
  <c r="I2489" i="1"/>
  <c r="H2489" i="1"/>
  <c r="G2489" i="1"/>
  <c r="F2489" i="1"/>
  <c r="E2489" i="1"/>
  <c r="D2489" i="1"/>
  <c r="C2489" i="1"/>
  <c r="V2488" i="1"/>
  <c r="R2488" i="1"/>
  <c r="Q2488" i="1"/>
  <c r="P2488" i="1"/>
  <c r="O2488" i="1"/>
  <c r="N2488" i="1"/>
  <c r="K2488" i="1"/>
  <c r="J2488" i="1"/>
  <c r="I2488" i="1"/>
  <c r="H2488" i="1"/>
  <c r="G2488" i="1"/>
  <c r="F2488" i="1"/>
  <c r="E2488" i="1"/>
  <c r="D2488" i="1"/>
  <c r="C2488" i="1"/>
  <c r="V2487" i="1"/>
  <c r="R2487" i="1"/>
  <c r="Q2487" i="1"/>
  <c r="P2487" i="1"/>
  <c r="O2487" i="1"/>
  <c r="N2487" i="1"/>
  <c r="K2487" i="1"/>
  <c r="J2487" i="1"/>
  <c r="I2487" i="1"/>
  <c r="H2487" i="1"/>
  <c r="G2487" i="1"/>
  <c r="F2487" i="1"/>
  <c r="E2487" i="1"/>
  <c r="D2487" i="1"/>
  <c r="C2487" i="1"/>
  <c r="V2486" i="1"/>
  <c r="R2486" i="1"/>
  <c r="Q2486" i="1"/>
  <c r="P2486" i="1"/>
  <c r="O2486" i="1"/>
  <c r="N2486" i="1"/>
  <c r="K2486" i="1"/>
  <c r="J2486" i="1"/>
  <c r="I2486" i="1"/>
  <c r="H2486" i="1"/>
  <c r="G2486" i="1"/>
  <c r="F2486" i="1"/>
  <c r="E2486" i="1"/>
  <c r="D2486" i="1"/>
  <c r="C2486" i="1"/>
  <c r="V2485" i="1"/>
  <c r="R2485" i="1"/>
  <c r="Q2485" i="1"/>
  <c r="P2485" i="1"/>
  <c r="O2485" i="1"/>
  <c r="N2485" i="1"/>
  <c r="K2485" i="1"/>
  <c r="J2485" i="1"/>
  <c r="I2485" i="1"/>
  <c r="H2485" i="1"/>
  <c r="G2485" i="1"/>
  <c r="F2485" i="1"/>
  <c r="E2485" i="1"/>
  <c r="D2485" i="1"/>
  <c r="C2485" i="1"/>
  <c r="V2484" i="1"/>
  <c r="R2484" i="1"/>
  <c r="Q2484" i="1"/>
  <c r="P2484" i="1"/>
  <c r="O2484" i="1"/>
  <c r="N2484" i="1"/>
  <c r="K2484" i="1"/>
  <c r="J2484" i="1"/>
  <c r="I2484" i="1"/>
  <c r="H2484" i="1"/>
  <c r="G2484" i="1"/>
  <c r="F2484" i="1"/>
  <c r="E2484" i="1"/>
  <c r="D2484" i="1"/>
  <c r="C2484" i="1"/>
  <c r="V2483" i="1"/>
  <c r="R2483" i="1"/>
  <c r="Q2483" i="1"/>
  <c r="P2483" i="1"/>
  <c r="O2483" i="1"/>
  <c r="N2483" i="1"/>
  <c r="K2483" i="1"/>
  <c r="J2483" i="1"/>
  <c r="I2483" i="1"/>
  <c r="H2483" i="1"/>
  <c r="G2483" i="1"/>
  <c r="F2483" i="1"/>
  <c r="E2483" i="1"/>
  <c r="D2483" i="1"/>
  <c r="C2483" i="1"/>
  <c r="V2482" i="1"/>
  <c r="R2482" i="1"/>
  <c r="Q2482" i="1"/>
  <c r="P2482" i="1"/>
  <c r="O2482" i="1"/>
  <c r="N2482" i="1"/>
  <c r="K2482" i="1"/>
  <c r="J2482" i="1"/>
  <c r="I2482" i="1"/>
  <c r="H2482" i="1"/>
  <c r="G2482" i="1"/>
  <c r="F2482" i="1"/>
  <c r="E2482" i="1"/>
  <c r="D2482" i="1"/>
  <c r="C2482" i="1"/>
  <c r="V2481" i="1"/>
  <c r="R2481" i="1"/>
  <c r="Q2481" i="1"/>
  <c r="P2481" i="1"/>
  <c r="O2481" i="1"/>
  <c r="N2481" i="1"/>
  <c r="K2481" i="1"/>
  <c r="J2481" i="1"/>
  <c r="I2481" i="1"/>
  <c r="H2481" i="1"/>
  <c r="G2481" i="1"/>
  <c r="F2481" i="1"/>
  <c r="E2481" i="1"/>
  <c r="D2481" i="1"/>
  <c r="C2481" i="1"/>
  <c r="V2480" i="1"/>
  <c r="R2480" i="1"/>
  <c r="Q2480" i="1"/>
  <c r="P2480" i="1"/>
  <c r="O2480" i="1"/>
  <c r="N2480" i="1"/>
  <c r="K2480" i="1"/>
  <c r="J2480" i="1"/>
  <c r="I2480" i="1"/>
  <c r="H2480" i="1"/>
  <c r="G2480" i="1"/>
  <c r="F2480" i="1"/>
  <c r="E2480" i="1"/>
  <c r="D2480" i="1"/>
  <c r="C2480" i="1"/>
  <c r="V2479" i="1"/>
  <c r="R2479" i="1"/>
  <c r="Q2479" i="1"/>
  <c r="P2479" i="1"/>
  <c r="O2479" i="1"/>
  <c r="N2479" i="1"/>
  <c r="K2479" i="1"/>
  <c r="J2479" i="1"/>
  <c r="I2479" i="1"/>
  <c r="H2479" i="1"/>
  <c r="G2479" i="1"/>
  <c r="F2479" i="1"/>
  <c r="E2479" i="1"/>
  <c r="D2479" i="1"/>
  <c r="C2479" i="1"/>
  <c r="V2478" i="1"/>
  <c r="R2478" i="1"/>
  <c r="Q2478" i="1"/>
  <c r="P2478" i="1"/>
  <c r="O2478" i="1"/>
  <c r="N2478" i="1"/>
  <c r="K2478" i="1"/>
  <c r="J2478" i="1"/>
  <c r="I2478" i="1"/>
  <c r="H2478" i="1"/>
  <c r="G2478" i="1"/>
  <c r="F2478" i="1"/>
  <c r="E2478" i="1"/>
  <c r="D2478" i="1"/>
  <c r="C2478" i="1"/>
  <c r="V2477" i="1"/>
  <c r="R2477" i="1"/>
  <c r="Q2477" i="1"/>
  <c r="P2477" i="1"/>
  <c r="O2477" i="1"/>
  <c r="N2477" i="1"/>
  <c r="K2477" i="1"/>
  <c r="J2477" i="1"/>
  <c r="I2477" i="1"/>
  <c r="H2477" i="1"/>
  <c r="G2477" i="1"/>
  <c r="F2477" i="1"/>
  <c r="E2477" i="1"/>
  <c r="D2477" i="1"/>
  <c r="C2477" i="1"/>
  <c r="V2476" i="1"/>
  <c r="R2476" i="1"/>
  <c r="Q2476" i="1"/>
  <c r="P2476" i="1"/>
  <c r="O2476" i="1"/>
  <c r="N2476" i="1"/>
  <c r="K2476" i="1"/>
  <c r="J2476" i="1"/>
  <c r="I2476" i="1"/>
  <c r="H2476" i="1"/>
  <c r="G2476" i="1"/>
  <c r="F2476" i="1"/>
  <c r="E2476" i="1"/>
  <c r="D2476" i="1"/>
  <c r="C2476" i="1"/>
  <c r="V2475" i="1"/>
  <c r="R2475" i="1"/>
  <c r="Q2475" i="1"/>
  <c r="P2475" i="1"/>
  <c r="O2475" i="1"/>
  <c r="N2475" i="1"/>
  <c r="K2475" i="1"/>
  <c r="J2475" i="1"/>
  <c r="I2475" i="1"/>
  <c r="H2475" i="1"/>
  <c r="G2475" i="1"/>
  <c r="F2475" i="1"/>
  <c r="E2475" i="1"/>
  <c r="D2475" i="1"/>
  <c r="C2475" i="1"/>
  <c r="V2474" i="1"/>
  <c r="R2474" i="1"/>
  <c r="Q2474" i="1"/>
  <c r="P2474" i="1"/>
  <c r="O2474" i="1"/>
  <c r="N2474" i="1"/>
  <c r="K2474" i="1"/>
  <c r="J2474" i="1"/>
  <c r="I2474" i="1"/>
  <c r="H2474" i="1"/>
  <c r="G2474" i="1"/>
  <c r="F2474" i="1"/>
  <c r="E2474" i="1"/>
  <c r="D2474" i="1"/>
  <c r="C2474" i="1"/>
  <c r="V2473" i="1"/>
  <c r="R2473" i="1"/>
  <c r="Q2473" i="1"/>
  <c r="P2473" i="1"/>
  <c r="O2473" i="1"/>
  <c r="N2473" i="1"/>
  <c r="K2473" i="1"/>
  <c r="J2473" i="1"/>
  <c r="I2473" i="1"/>
  <c r="H2473" i="1"/>
  <c r="G2473" i="1"/>
  <c r="F2473" i="1"/>
  <c r="E2473" i="1"/>
  <c r="D2473" i="1"/>
  <c r="C2473" i="1"/>
  <c r="V2472" i="1"/>
  <c r="R2472" i="1"/>
  <c r="Q2472" i="1"/>
  <c r="P2472" i="1"/>
  <c r="O2472" i="1"/>
  <c r="N2472" i="1"/>
  <c r="K2472" i="1"/>
  <c r="J2472" i="1"/>
  <c r="I2472" i="1"/>
  <c r="H2472" i="1"/>
  <c r="G2472" i="1"/>
  <c r="F2472" i="1"/>
  <c r="E2472" i="1"/>
  <c r="D2472" i="1"/>
  <c r="C2472" i="1"/>
  <c r="V2471" i="1"/>
  <c r="R2471" i="1"/>
  <c r="Q2471" i="1"/>
  <c r="P2471" i="1"/>
  <c r="O2471" i="1"/>
  <c r="N2471" i="1"/>
  <c r="K2471" i="1"/>
  <c r="J2471" i="1"/>
  <c r="I2471" i="1"/>
  <c r="H2471" i="1"/>
  <c r="G2471" i="1"/>
  <c r="F2471" i="1"/>
  <c r="E2471" i="1"/>
  <c r="D2471" i="1"/>
  <c r="C2471" i="1"/>
  <c r="V2470" i="1"/>
  <c r="R2470" i="1"/>
  <c r="Q2470" i="1"/>
  <c r="P2470" i="1"/>
  <c r="O2470" i="1"/>
  <c r="N2470" i="1"/>
  <c r="K2470" i="1"/>
  <c r="J2470" i="1"/>
  <c r="I2470" i="1"/>
  <c r="H2470" i="1"/>
  <c r="G2470" i="1"/>
  <c r="F2470" i="1"/>
  <c r="E2470" i="1"/>
  <c r="D2470" i="1"/>
  <c r="C2470" i="1"/>
  <c r="V2469" i="1"/>
  <c r="R2469" i="1"/>
  <c r="Q2469" i="1"/>
  <c r="P2469" i="1"/>
  <c r="O2469" i="1"/>
  <c r="N2469" i="1"/>
  <c r="K2469" i="1"/>
  <c r="J2469" i="1"/>
  <c r="I2469" i="1"/>
  <c r="H2469" i="1"/>
  <c r="G2469" i="1"/>
  <c r="F2469" i="1"/>
  <c r="E2469" i="1"/>
  <c r="D2469" i="1"/>
  <c r="C2469" i="1"/>
  <c r="V2468" i="1"/>
  <c r="R2468" i="1"/>
  <c r="Q2468" i="1"/>
  <c r="P2468" i="1"/>
  <c r="O2468" i="1"/>
  <c r="N2468" i="1"/>
  <c r="K2468" i="1"/>
  <c r="J2468" i="1"/>
  <c r="I2468" i="1"/>
  <c r="H2468" i="1"/>
  <c r="G2468" i="1"/>
  <c r="F2468" i="1"/>
  <c r="E2468" i="1"/>
  <c r="D2468" i="1"/>
  <c r="C2468" i="1"/>
  <c r="V2467" i="1"/>
  <c r="R2467" i="1"/>
  <c r="Q2467" i="1"/>
  <c r="P2467" i="1"/>
  <c r="O2467" i="1"/>
  <c r="N2467" i="1"/>
  <c r="K2467" i="1"/>
  <c r="J2467" i="1"/>
  <c r="I2467" i="1"/>
  <c r="H2467" i="1"/>
  <c r="G2467" i="1"/>
  <c r="F2467" i="1"/>
  <c r="E2467" i="1"/>
  <c r="D2467" i="1"/>
  <c r="C2467" i="1"/>
  <c r="V2466" i="1"/>
  <c r="R2466" i="1"/>
  <c r="Q2466" i="1"/>
  <c r="P2466" i="1"/>
  <c r="O2466" i="1"/>
  <c r="N2466" i="1"/>
  <c r="K2466" i="1"/>
  <c r="J2466" i="1"/>
  <c r="I2466" i="1"/>
  <c r="H2466" i="1"/>
  <c r="G2466" i="1"/>
  <c r="F2466" i="1"/>
  <c r="E2466" i="1"/>
  <c r="D2466" i="1"/>
  <c r="C2466" i="1"/>
  <c r="V2465" i="1"/>
  <c r="R2465" i="1"/>
  <c r="Q2465" i="1"/>
  <c r="P2465" i="1"/>
  <c r="O2465" i="1"/>
  <c r="N2465" i="1"/>
  <c r="K2465" i="1"/>
  <c r="J2465" i="1"/>
  <c r="I2465" i="1"/>
  <c r="H2465" i="1"/>
  <c r="G2465" i="1"/>
  <c r="F2465" i="1"/>
  <c r="E2465" i="1"/>
  <c r="D2465" i="1"/>
  <c r="C2465" i="1"/>
  <c r="V2464" i="1"/>
  <c r="R2464" i="1"/>
  <c r="Q2464" i="1"/>
  <c r="P2464" i="1"/>
  <c r="O2464" i="1"/>
  <c r="N2464" i="1"/>
  <c r="J2464" i="1"/>
  <c r="I2464" i="1"/>
  <c r="H2464" i="1"/>
  <c r="G2464" i="1"/>
  <c r="F2464" i="1"/>
  <c r="E2464" i="1"/>
  <c r="D2464" i="1"/>
  <c r="C2464" i="1"/>
  <c r="V2463" i="1"/>
  <c r="R2463" i="1"/>
  <c r="Q2463" i="1"/>
  <c r="P2463" i="1"/>
  <c r="O2463" i="1"/>
  <c r="N2463" i="1"/>
  <c r="J2463" i="1"/>
  <c r="I2463" i="1"/>
  <c r="H2463" i="1"/>
  <c r="G2463" i="1"/>
  <c r="F2463" i="1"/>
  <c r="E2463" i="1"/>
  <c r="D2463" i="1"/>
  <c r="C2463" i="1"/>
  <c r="V2462" i="1"/>
  <c r="R2462" i="1"/>
  <c r="Q2462" i="1"/>
  <c r="P2462" i="1"/>
  <c r="O2462" i="1"/>
  <c r="N2462" i="1"/>
  <c r="J2462" i="1"/>
  <c r="I2462" i="1"/>
  <c r="H2462" i="1"/>
  <c r="G2462" i="1"/>
  <c r="F2462" i="1"/>
  <c r="E2462" i="1"/>
  <c r="D2462" i="1"/>
  <c r="C2462" i="1"/>
  <c r="V2461" i="1"/>
  <c r="R2461" i="1"/>
  <c r="Q2461" i="1"/>
  <c r="P2461" i="1"/>
  <c r="O2461" i="1"/>
  <c r="N2461" i="1"/>
  <c r="J2461" i="1"/>
  <c r="I2461" i="1"/>
  <c r="H2461" i="1"/>
  <c r="G2461" i="1"/>
  <c r="F2461" i="1"/>
  <c r="E2461" i="1"/>
  <c r="D2461" i="1"/>
  <c r="C2461" i="1"/>
  <c r="V2460" i="1"/>
  <c r="R2460" i="1"/>
  <c r="Q2460" i="1"/>
  <c r="P2460" i="1"/>
  <c r="O2460" i="1"/>
  <c r="N2460" i="1"/>
  <c r="J2460" i="1"/>
  <c r="I2460" i="1"/>
  <c r="H2460" i="1"/>
  <c r="G2460" i="1"/>
  <c r="F2460" i="1"/>
  <c r="E2460" i="1"/>
  <c r="D2460" i="1"/>
  <c r="C2460" i="1"/>
  <c r="V2459" i="1"/>
  <c r="R2459" i="1"/>
  <c r="Q2459" i="1"/>
  <c r="P2459" i="1"/>
  <c r="O2459" i="1"/>
  <c r="N2459" i="1"/>
  <c r="J2459" i="1"/>
  <c r="I2459" i="1"/>
  <c r="H2459" i="1"/>
  <c r="G2459" i="1"/>
  <c r="F2459" i="1"/>
  <c r="E2459" i="1"/>
  <c r="D2459" i="1"/>
  <c r="C2459" i="1"/>
  <c r="V2458" i="1"/>
  <c r="R2458" i="1"/>
  <c r="Q2458" i="1"/>
  <c r="P2458" i="1"/>
  <c r="O2458" i="1"/>
  <c r="N2458" i="1"/>
  <c r="J2458" i="1"/>
  <c r="I2458" i="1"/>
  <c r="H2458" i="1"/>
  <c r="G2458" i="1"/>
  <c r="F2458" i="1"/>
  <c r="E2458" i="1"/>
  <c r="D2458" i="1"/>
  <c r="C2458" i="1"/>
  <c r="V2457" i="1"/>
  <c r="R2457" i="1"/>
  <c r="Q2457" i="1"/>
  <c r="P2457" i="1"/>
  <c r="O2457" i="1"/>
  <c r="N2457" i="1"/>
  <c r="J2457" i="1"/>
  <c r="I2457" i="1"/>
  <c r="H2457" i="1"/>
  <c r="G2457" i="1"/>
  <c r="F2457" i="1"/>
  <c r="E2457" i="1"/>
  <c r="D2457" i="1"/>
  <c r="C2457" i="1"/>
  <c r="V2456" i="1"/>
  <c r="R2456" i="1"/>
  <c r="Q2456" i="1"/>
  <c r="P2456" i="1"/>
  <c r="O2456" i="1"/>
  <c r="N2456" i="1"/>
  <c r="J2456" i="1"/>
  <c r="I2456" i="1"/>
  <c r="H2456" i="1"/>
  <c r="G2456" i="1"/>
  <c r="F2456" i="1"/>
  <c r="E2456" i="1"/>
  <c r="D2456" i="1"/>
  <c r="C2456" i="1"/>
  <c r="V2455" i="1"/>
  <c r="R2455" i="1"/>
  <c r="Q2455" i="1"/>
  <c r="P2455" i="1"/>
  <c r="O2455" i="1"/>
  <c r="N2455" i="1"/>
  <c r="J2455" i="1"/>
  <c r="I2455" i="1"/>
  <c r="H2455" i="1"/>
  <c r="G2455" i="1"/>
  <c r="F2455" i="1"/>
  <c r="E2455" i="1"/>
  <c r="D2455" i="1"/>
  <c r="C2455" i="1"/>
  <c r="V2454" i="1"/>
  <c r="R2454" i="1"/>
  <c r="Q2454" i="1"/>
  <c r="P2454" i="1"/>
  <c r="O2454" i="1"/>
  <c r="N2454" i="1"/>
  <c r="J2454" i="1"/>
  <c r="I2454" i="1"/>
  <c r="H2454" i="1"/>
  <c r="G2454" i="1"/>
  <c r="F2454" i="1"/>
  <c r="E2454" i="1"/>
  <c r="D2454" i="1"/>
  <c r="C2454" i="1"/>
  <c r="V2453" i="1"/>
  <c r="R2453" i="1"/>
  <c r="Q2453" i="1"/>
  <c r="P2453" i="1"/>
  <c r="O2453" i="1"/>
  <c r="N2453" i="1"/>
  <c r="J2453" i="1"/>
  <c r="I2453" i="1"/>
  <c r="H2453" i="1"/>
  <c r="G2453" i="1"/>
  <c r="F2453" i="1"/>
  <c r="E2453" i="1"/>
  <c r="D2453" i="1"/>
  <c r="C2453" i="1"/>
  <c r="V2452" i="1"/>
  <c r="R2452" i="1"/>
  <c r="Q2452" i="1"/>
  <c r="P2452" i="1"/>
  <c r="O2452" i="1"/>
  <c r="N2452" i="1"/>
  <c r="J2452" i="1"/>
  <c r="I2452" i="1"/>
  <c r="H2452" i="1"/>
  <c r="G2452" i="1"/>
  <c r="F2452" i="1"/>
  <c r="E2452" i="1"/>
  <c r="D2452" i="1"/>
  <c r="C2452" i="1"/>
  <c r="V2451" i="1"/>
  <c r="R2451" i="1"/>
  <c r="Q2451" i="1"/>
  <c r="P2451" i="1"/>
  <c r="O2451" i="1"/>
  <c r="N2451" i="1"/>
  <c r="J2451" i="1"/>
  <c r="I2451" i="1"/>
  <c r="H2451" i="1"/>
  <c r="G2451" i="1"/>
  <c r="F2451" i="1"/>
  <c r="E2451" i="1"/>
  <c r="D2451" i="1"/>
  <c r="C2451" i="1"/>
  <c r="V2450" i="1"/>
  <c r="R2450" i="1"/>
  <c r="Q2450" i="1"/>
  <c r="P2450" i="1"/>
  <c r="O2450" i="1"/>
  <c r="N2450" i="1"/>
  <c r="J2450" i="1"/>
  <c r="I2450" i="1"/>
  <c r="H2450" i="1"/>
  <c r="G2450" i="1"/>
  <c r="F2450" i="1"/>
  <c r="E2450" i="1"/>
  <c r="D2450" i="1"/>
  <c r="C2450" i="1"/>
  <c r="V2449" i="1"/>
  <c r="R2449" i="1"/>
  <c r="Q2449" i="1"/>
  <c r="P2449" i="1"/>
  <c r="O2449" i="1"/>
  <c r="N2449" i="1"/>
  <c r="J2449" i="1"/>
  <c r="I2449" i="1"/>
  <c r="H2449" i="1"/>
  <c r="G2449" i="1"/>
  <c r="F2449" i="1"/>
  <c r="E2449" i="1"/>
  <c r="D2449" i="1"/>
  <c r="C2449" i="1"/>
  <c r="V2448" i="1"/>
  <c r="R2448" i="1"/>
  <c r="Q2448" i="1"/>
  <c r="P2448" i="1"/>
  <c r="O2448" i="1"/>
  <c r="N2448" i="1"/>
  <c r="J2448" i="1"/>
  <c r="I2448" i="1"/>
  <c r="H2448" i="1"/>
  <c r="G2448" i="1"/>
  <c r="F2448" i="1"/>
  <c r="E2448" i="1"/>
  <c r="D2448" i="1"/>
  <c r="C2448" i="1"/>
  <c r="V2447" i="1"/>
  <c r="R2447" i="1"/>
  <c r="Q2447" i="1"/>
  <c r="P2447" i="1"/>
  <c r="O2447" i="1"/>
  <c r="N2447" i="1"/>
  <c r="J2447" i="1"/>
  <c r="I2447" i="1"/>
  <c r="H2447" i="1"/>
  <c r="G2447" i="1"/>
  <c r="F2447" i="1"/>
  <c r="E2447" i="1"/>
  <c r="D2447" i="1"/>
  <c r="C2447" i="1"/>
  <c r="V2446" i="1"/>
  <c r="R2446" i="1"/>
  <c r="Q2446" i="1"/>
  <c r="P2446" i="1"/>
  <c r="O2446" i="1"/>
  <c r="N2446" i="1"/>
  <c r="J2446" i="1"/>
  <c r="I2446" i="1"/>
  <c r="H2446" i="1"/>
  <c r="G2446" i="1"/>
  <c r="F2446" i="1"/>
  <c r="E2446" i="1"/>
  <c r="D2446" i="1"/>
  <c r="C2446" i="1"/>
  <c r="V2445" i="1"/>
  <c r="R2445" i="1"/>
  <c r="Q2445" i="1"/>
  <c r="P2445" i="1"/>
  <c r="O2445" i="1"/>
  <c r="N2445" i="1"/>
  <c r="J2445" i="1"/>
  <c r="I2445" i="1"/>
  <c r="H2445" i="1"/>
  <c r="G2445" i="1"/>
  <c r="F2445" i="1"/>
  <c r="E2445" i="1"/>
  <c r="D2445" i="1"/>
  <c r="C2445" i="1"/>
  <c r="V2444" i="1"/>
  <c r="R2444" i="1"/>
  <c r="Q2444" i="1"/>
  <c r="P2444" i="1"/>
  <c r="O2444" i="1"/>
  <c r="N2444" i="1"/>
  <c r="J2444" i="1"/>
  <c r="I2444" i="1"/>
  <c r="H2444" i="1"/>
  <c r="G2444" i="1"/>
  <c r="F2444" i="1"/>
  <c r="E2444" i="1"/>
  <c r="D2444" i="1"/>
  <c r="C2444" i="1"/>
  <c r="V2443" i="1"/>
  <c r="R2443" i="1"/>
  <c r="Q2443" i="1"/>
  <c r="P2443" i="1"/>
  <c r="O2443" i="1"/>
  <c r="N2443" i="1"/>
  <c r="J2443" i="1"/>
  <c r="I2443" i="1"/>
  <c r="H2443" i="1"/>
  <c r="G2443" i="1"/>
  <c r="F2443" i="1"/>
  <c r="E2443" i="1"/>
  <c r="D2443" i="1"/>
  <c r="C2443" i="1"/>
  <c r="V2442" i="1"/>
  <c r="R2442" i="1"/>
  <c r="Q2442" i="1"/>
  <c r="P2442" i="1"/>
  <c r="O2442" i="1"/>
  <c r="N2442" i="1"/>
  <c r="J2442" i="1"/>
  <c r="I2442" i="1"/>
  <c r="H2442" i="1"/>
  <c r="G2442" i="1"/>
  <c r="F2442" i="1"/>
  <c r="E2442" i="1"/>
  <c r="D2442" i="1"/>
  <c r="C2442" i="1"/>
  <c r="V2441" i="1"/>
  <c r="R2441" i="1"/>
  <c r="Q2441" i="1"/>
  <c r="P2441" i="1"/>
  <c r="O2441" i="1"/>
  <c r="N2441" i="1"/>
  <c r="J2441" i="1"/>
  <c r="I2441" i="1"/>
  <c r="H2441" i="1"/>
  <c r="G2441" i="1"/>
  <c r="F2441" i="1"/>
  <c r="E2441" i="1"/>
  <c r="D2441" i="1"/>
  <c r="C2441" i="1"/>
  <c r="V2440" i="1"/>
  <c r="R2440" i="1"/>
  <c r="Q2440" i="1"/>
  <c r="P2440" i="1"/>
  <c r="O2440" i="1"/>
  <c r="N2440" i="1"/>
  <c r="J2440" i="1"/>
  <c r="I2440" i="1"/>
  <c r="H2440" i="1"/>
  <c r="G2440" i="1"/>
  <c r="F2440" i="1"/>
  <c r="E2440" i="1"/>
  <c r="D2440" i="1"/>
  <c r="C2440" i="1"/>
  <c r="V2439" i="1"/>
  <c r="R2439" i="1"/>
  <c r="Q2439" i="1"/>
  <c r="P2439" i="1"/>
  <c r="O2439" i="1"/>
  <c r="N2439" i="1"/>
  <c r="J2439" i="1"/>
  <c r="I2439" i="1"/>
  <c r="H2439" i="1"/>
  <c r="G2439" i="1"/>
  <c r="F2439" i="1"/>
  <c r="E2439" i="1"/>
  <c r="D2439" i="1"/>
  <c r="C2439" i="1"/>
  <c r="V2438" i="1"/>
  <c r="R2438" i="1"/>
  <c r="Q2438" i="1"/>
  <c r="P2438" i="1"/>
  <c r="O2438" i="1"/>
  <c r="N2438" i="1"/>
  <c r="J2438" i="1"/>
  <c r="I2438" i="1"/>
  <c r="H2438" i="1"/>
  <c r="G2438" i="1"/>
  <c r="F2438" i="1"/>
  <c r="E2438" i="1"/>
  <c r="D2438" i="1"/>
  <c r="C2438" i="1"/>
  <c r="V2437" i="1"/>
  <c r="R2437" i="1"/>
  <c r="Q2437" i="1"/>
  <c r="P2437" i="1"/>
  <c r="O2437" i="1"/>
  <c r="N2437" i="1"/>
  <c r="J2437" i="1"/>
  <c r="I2437" i="1"/>
  <c r="H2437" i="1"/>
  <c r="G2437" i="1"/>
  <c r="F2437" i="1"/>
  <c r="E2437" i="1"/>
  <c r="D2437" i="1"/>
  <c r="C2437" i="1"/>
  <c r="V2436" i="1"/>
  <c r="R2436" i="1"/>
  <c r="Q2436" i="1"/>
  <c r="P2436" i="1"/>
  <c r="O2436" i="1"/>
  <c r="N2436" i="1"/>
  <c r="J2436" i="1"/>
  <c r="I2436" i="1"/>
  <c r="H2436" i="1"/>
  <c r="G2436" i="1"/>
  <c r="F2436" i="1"/>
  <c r="E2436" i="1"/>
  <c r="D2436" i="1"/>
  <c r="C2436" i="1"/>
  <c r="V2435" i="1"/>
  <c r="R2435" i="1"/>
  <c r="Q2435" i="1"/>
  <c r="P2435" i="1"/>
  <c r="O2435" i="1"/>
  <c r="N2435" i="1"/>
  <c r="J2435" i="1"/>
  <c r="I2435" i="1"/>
  <c r="H2435" i="1"/>
  <c r="G2435" i="1"/>
  <c r="F2435" i="1"/>
  <c r="E2435" i="1"/>
  <c r="D2435" i="1"/>
  <c r="C2435" i="1"/>
  <c r="V2434" i="1"/>
  <c r="R2434" i="1"/>
  <c r="Q2434" i="1"/>
  <c r="P2434" i="1"/>
  <c r="O2434" i="1"/>
  <c r="N2434" i="1"/>
  <c r="J2434" i="1"/>
  <c r="I2434" i="1"/>
  <c r="H2434" i="1"/>
  <c r="G2434" i="1"/>
  <c r="F2434" i="1"/>
  <c r="E2434" i="1"/>
  <c r="D2434" i="1"/>
  <c r="C2434" i="1"/>
  <c r="V2433" i="1"/>
  <c r="R2433" i="1"/>
  <c r="Q2433" i="1"/>
  <c r="P2433" i="1"/>
  <c r="O2433" i="1"/>
  <c r="N2433" i="1"/>
  <c r="J2433" i="1"/>
  <c r="I2433" i="1"/>
  <c r="H2433" i="1"/>
  <c r="G2433" i="1"/>
  <c r="F2433" i="1"/>
  <c r="E2433" i="1"/>
  <c r="D2433" i="1"/>
  <c r="C2433" i="1"/>
  <c r="V2432" i="1"/>
  <c r="R2432" i="1"/>
  <c r="Q2432" i="1"/>
  <c r="P2432" i="1"/>
  <c r="O2432" i="1"/>
  <c r="N2432" i="1"/>
  <c r="K2432" i="1"/>
  <c r="J2432" i="1"/>
  <c r="I2432" i="1"/>
  <c r="H2432" i="1"/>
  <c r="G2432" i="1"/>
  <c r="F2432" i="1"/>
  <c r="E2432" i="1"/>
  <c r="D2432" i="1"/>
  <c r="C2432" i="1"/>
  <c r="V2431" i="1"/>
  <c r="R2431" i="1"/>
  <c r="Q2431" i="1"/>
  <c r="P2431" i="1"/>
  <c r="O2431" i="1"/>
  <c r="N2431" i="1"/>
  <c r="K2431" i="1"/>
  <c r="J2431" i="1"/>
  <c r="I2431" i="1"/>
  <c r="H2431" i="1"/>
  <c r="G2431" i="1"/>
  <c r="F2431" i="1"/>
  <c r="E2431" i="1"/>
  <c r="D2431" i="1"/>
  <c r="C2431" i="1"/>
  <c r="V2430" i="1"/>
  <c r="R2430" i="1"/>
  <c r="Q2430" i="1"/>
  <c r="P2430" i="1"/>
  <c r="O2430" i="1"/>
  <c r="N2430" i="1"/>
  <c r="K2430" i="1"/>
  <c r="J2430" i="1"/>
  <c r="I2430" i="1"/>
  <c r="H2430" i="1"/>
  <c r="G2430" i="1"/>
  <c r="F2430" i="1"/>
  <c r="E2430" i="1"/>
  <c r="D2430" i="1"/>
  <c r="C2430" i="1"/>
  <c r="V2429" i="1"/>
  <c r="R2429" i="1"/>
  <c r="Q2429" i="1"/>
  <c r="P2429" i="1"/>
  <c r="O2429" i="1"/>
  <c r="N2429" i="1"/>
  <c r="K2429" i="1"/>
  <c r="J2429" i="1"/>
  <c r="I2429" i="1"/>
  <c r="H2429" i="1"/>
  <c r="G2429" i="1"/>
  <c r="F2429" i="1"/>
  <c r="E2429" i="1"/>
  <c r="D2429" i="1"/>
  <c r="C2429" i="1"/>
  <c r="V2428" i="1"/>
  <c r="R2428" i="1"/>
  <c r="Q2428" i="1"/>
  <c r="P2428" i="1"/>
  <c r="O2428" i="1"/>
  <c r="N2428" i="1"/>
  <c r="K2428" i="1"/>
  <c r="J2428" i="1"/>
  <c r="I2428" i="1"/>
  <c r="H2428" i="1"/>
  <c r="G2428" i="1"/>
  <c r="F2428" i="1"/>
  <c r="E2428" i="1"/>
  <c r="D2428" i="1"/>
  <c r="C2428" i="1"/>
  <c r="V2427" i="1"/>
  <c r="R2427" i="1"/>
  <c r="Q2427" i="1"/>
  <c r="P2427" i="1"/>
  <c r="O2427" i="1"/>
  <c r="N2427" i="1"/>
  <c r="K2427" i="1"/>
  <c r="J2427" i="1"/>
  <c r="I2427" i="1"/>
  <c r="H2427" i="1"/>
  <c r="G2427" i="1"/>
  <c r="F2427" i="1"/>
  <c r="E2427" i="1"/>
  <c r="D2427" i="1"/>
  <c r="C2427" i="1"/>
  <c r="V2426" i="1"/>
  <c r="R2426" i="1"/>
  <c r="Q2426" i="1"/>
  <c r="P2426" i="1"/>
  <c r="O2426" i="1"/>
  <c r="N2426" i="1"/>
  <c r="K2426" i="1"/>
  <c r="J2426" i="1"/>
  <c r="I2426" i="1"/>
  <c r="H2426" i="1"/>
  <c r="G2426" i="1"/>
  <c r="F2426" i="1"/>
  <c r="E2426" i="1"/>
  <c r="D2426" i="1"/>
  <c r="C2426" i="1"/>
  <c r="V2425" i="1"/>
  <c r="R2425" i="1"/>
  <c r="Q2425" i="1"/>
  <c r="P2425" i="1"/>
  <c r="O2425" i="1"/>
  <c r="N2425" i="1"/>
  <c r="K2425" i="1"/>
  <c r="J2425" i="1"/>
  <c r="I2425" i="1"/>
  <c r="H2425" i="1"/>
  <c r="G2425" i="1"/>
  <c r="F2425" i="1"/>
  <c r="E2425" i="1"/>
  <c r="D2425" i="1"/>
  <c r="C2425" i="1"/>
  <c r="V2424" i="1"/>
  <c r="R2424" i="1"/>
  <c r="Q2424" i="1"/>
  <c r="P2424" i="1"/>
  <c r="O2424" i="1"/>
  <c r="N2424" i="1"/>
  <c r="K2424" i="1"/>
  <c r="J2424" i="1"/>
  <c r="I2424" i="1"/>
  <c r="H2424" i="1"/>
  <c r="G2424" i="1"/>
  <c r="F2424" i="1"/>
  <c r="E2424" i="1"/>
  <c r="D2424" i="1"/>
  <c r="C2424" i="1"/>
  <c r="V2423" i="1"/>
  <c r="R2423" i="1"/>
  <c r="Q2423" i="1"/>
  <c r="P2423" i="1"/>
  <c r="O2423" i="1"/>
  <c r="N2423" i="1"/>
  <c r="K2423" i="1"/>
  <c r="J2423" i="1"/>
  <c r="I2423" i="1"/>
  <c r="H2423" i="1"/>
  <c r="G2423" i="1"/>
  <c r="F2423" i="1"/>
  <c r="E2423" i="1"/>
  <c r="D2423" i="1"/>
  <c r="C2423" i="1"/>
  <c r="V2422" i="1"/>
  <c r="R2422" i="1"/>
  <c r="Q2422" i="1"/>
  <c r="P2422" i="1"/>
  <c r="O2422" i="1"/>
  <c r="N2422" i="1"/>
  <c r="K2422" i="1"/>
  <c r="J2422" i="1"/>
  <c r="I2422" i="1"/>
  <c r="H2422" i="1"/>
  <c r="G2422" i="1"/>
  <c r="F2422" i="1"/>
  <c r="E2422" i="1"/>
  <c r="D2422" i="1"/>
  <c r="C2422" i="1"/>
  <c r="V2421" i="1"/>
  <c r="R2421" i="1"/>
  <c r="Q2421" i="1"/>
  <c r="P2421" i="1"/>
  <c r="O2421" i="1"/>
  <c r="N2421" i="1"/>
  <c r="K2421" i="1"/>
  <c r="J2421" i="1"/>
  <c r="I2421" i="1"/>
  <c r="H2421" i="1"/>
  <c r="G2421" i="1"/>
  <c r="F2421" i="1"/>
  <c r="E2421" i="1"/>
  <c r="D2421" i="1"/>
  <c r="C2421" i="1"/>
  <c r="V2420" i="1"/>
  <c r="R2420" i="1"/>
  <c r="Q2420" i="1"/>
  <c r="P2420" i="1"/>
  <c r="O2420" i="1"/>
  <c r="N2420" i="1"/>
  <c r="K2420" i="1"/>
  <c r="J2420" i="1"/>
  <c r="I2420" i="1"/>
  <c r="H2420" i="1"/>
  <c r="G2420" i="1"/>
  <c r="F2420" i="1"/>
  <c r="E2420" i="1"/>
  <c r="D2420" i="1"/>
  <c r="C2420" i="1"/>
  <c r="V2419" i="1"/>
  <c r="R2419" i="1"/>
  <c r="Q2419" i="1"/>
  <c r="P2419" i="1"/>
  <c r="O2419" i="1"/>
  <c r="N2419" i="1"/>
  <c r="K2419" i="1"/>
  <c r="J2419" i="1"/>
  <c r="I2419" i="1"/>
  <c r="H2419" i="1"/>
  <c r="G2419" i="1"/>
  <c r="F2419" i="1"/>
  <c r="E2419" i="1"/>
  <c r="D2419" i="1"/>
  <c r="C2419" i="1"/>
  <c r="V2418" i="1"/>
  <c r="R2418" i="1"/>
  <c r="Q2418" i="1"/>
  <c r="P2418" i="1"/>
  <c r="O2418" i="1"/>
  <c r="N2418" i="1"/>
  <c r="K2418" i="1"/>
  <c r="J2418" i="1"/>
  <c r="I2418" i="1"/>
  <c r="H2418" i="1"/>
  <c r="G2418" i="1"/>
  <c r="F2418" i="1"/>
  <c r="E2418" i="1"/>
  <c r="D2418" i="1"/>
  <c r="C2418" i="1"/>
  <c r="V2417" i="1"/>
  <c r="R2417" i="1"/>
  <c r="Q2417" i="1"/>
  <c r="P2417" i="1"/>
  <c r="O2417" i="1"/>
  <c r="N2417" i="1"/>
  <c r="K2417" i="1"/>
  <c r="J2417" i="1"/>
  <c r="I2417" i="1"/>
  <c r="H2417" i="1"/>
  <c r="G2417" i="1"/>
  <c r="F2417" i="1"/>
  <c r="E2417" i="1"/>
  <c r="D2417" i="1"/>
  <c r="C2417" i="1"/>
  <c r="V2416" i="1"/>
  <c r="R2416" i="1"/>
  <c r="Q2416" i="1"/>
  <c r="P2416" i="1"/>
  <c r="O2416" i="1"/>
  <c r="N2416" i="1"/>
  <c r="K2416" i="1"/>
  <c r="J2416" i="1"/>
  <c r="I2416" i="1"/>
  <c r="H2416" i="1"/>
  <c r="G2416" i="1"/>
  <c r="F2416" i="1"/>
  <c r="E2416" i="1"/>
  <c r="D2416" i="1"/>
  <c r="C2416" i="1"/>
  <c r="V2415" i="1"/>
  <c r="R2415" i="1"/>
  <c r="Q2415" i="1"/>
  <c r="P2415" i="1"/>
  <c r="O2415" i="1"/>
  <c r="N2415" i="1"/>
  <c r="K2415" i="1"/>
  <c r="J2415" i="1"/>
  <c r="I2415" i="1"/>
  <c r="H2415" i="1"/>
  <c r="G2415" i="1"/>
  <c r="F2415" i="1"/>
  <c r="E2415" i="1"/>
  <c r="D2415" i="1"/>
  <c r="C2415" i="1"/>
  <c r="V2414" i="1"/>
  <c r="R2414" i="1"/>
  <c r="Q2414" i="1"/>
  <c r="P2414" i="1"/>
  <c r="O2414" i="1"/>
  <c r="N2414" i="1"/>
  <c r="L2414" i="1"/>
  <c r="K2414" i="1"/>
  <c r="J2414" i="1"/>
  <c r="I2414" i="1"/>
  <c r="H2414" i="1"/>
  <c r="G2414" i="1"/>
  <c r="F2414" i="1"/>
  <c r="E2414" i="1"/>
  <c r="D2414" i="1"/>
  <c r="C2414" i="1"/>
  <c r="V2413" i="1"/>
  <c r="R2413" i="1"/>
  <c r="Q2413" i="1"/>
  <c r="P2413" i="1"/>
  <c r="O2413" i="1"/>
  <c r="N2413" i="1"/>
  <c r="L2413" i="1"/>
  <c r="K2413" i="1"/>
  <c r="J2413" i="1"/>
  <c r="I2413" i="1"/>
  <c r="H2413" i="1"/>
  <c r="G2413" i="1"/>
  <c r="F2413" i="1"/>
  <c r="E2413" i="1"/>
  <c r="D2413" i="1"/>
  <c r="C2413" i="1"/>
  <c r="V2412" i="1"/>
  <c r="R2412" i="1"/>
  <c r="Q2412" i="1"/>
  <c r="P2412" i="1"/>
  <c r="O2412" i="1"/>
  <c r="N2412" i="1"/>
  <c r="L2412" i="1"/>
  <c r="K2412" i="1"/>
  <c r="J2412" i="1"/>
  <c r="I2412" i="1"/>
  <c r="H2412" i="1"/>
  <c r="G2412" i="1"/>
  <c r="F2412" i="1"/>
  <c r="E2412" i="1"/>
  <c r="D2412" i="1"/>
  <c r="C2412" i="1"/>
  <c r="V2411" i="1"/>
  <c r="R2411" i="1"/>
  <c r="Q2411" i="1"/>
  <c r="P2411" i="1"/>
  <c r="O2411" i="1"/>
  <c r="N2411" i="1"/>
  <c r="L2411" i="1"/>
  <c r="K2411" i="1"/>
  <c r="J2411" i="1"/>
  <c r="I2411" i="1"/>
  <c r="H2411" i="1"/>
  <c r="G2411" i="1"/>
  <c r="F2411" i="1"/>
  <c r="E2411" i="1"/>
  <c r="D2411" i="1"/>
  <c r="C2411" i="1"/>
  <c r="V2410" i="1"/>
  <c r="R2410" i="1"/>
  <c r="Q2410" i="1"/>
  <c r="P2410" i="1"/>
  <c r="O2410" i="1"/>
  <c r="N2410" i="1"/>
  <c r="L2410" i="1"/>
  <c r="K2410" i="1"/>
  <c r="J2410" i="1"/>
  <c r="I2410" i="1"/>
  <c r="H2410" i="1"/>
  <c r="G2410" i="1"/>
  <c r="F2410" i="1"/>
  <c r="E2410" i="1"/>
  <c r="D2410" i="1"/>
  <c r="C2410" i="1"/>
  <c r="V2409" i="1"/>
  <c r="R2409" i="1"/>
  <c r="Q2409" i="1"/>
  <c r="P2409" i="1"/>
  <c r="O2409" i="1"/>
  <c r="N2409" i="1"/>
  <c r="L2409" i="1"/>
  <c r="K2409" i="1"/>
  <c r="J2409" i="1"/>
  <c r="I2409" i="1"/>
  <c r="H2409" i="1"/>
  <c r="G2409" i="1"/>
  <c r="F2409" i="1"/>
  <c r="E2409" i="1"/>
  <c r="D2409" i="1"/>
  <c r="C2409" i="1"/>
  <c r="V2408" i="1"/>
  <c r="R2408" i="1"/>
  <c r="Q2408" i="1"/>
  <c r="P2408" i="1"/>
  <c r="O2408" i="1"/>
  <c r="N2408" i="1"/>
  <c r="L2408" i="1"/>
  <c r="K2408" i="1"/>
  <c r="J2408" i="1"/>
  <c r="I2408" i="1"/>
  <c r="H2408" i="1"/>
  <c r="G2408" i="1"/>
  <c r="F2408" i="1"/>
  <c r="E2408" i="1"/>
  <c r="D2408" i="1"/>
  <c r="C2408" i="1"/>
  <c r="V2407" i="1"/>
  <c r="R2407" i="1"/>
  <c r="Q2407" i="1"/>
  <c r="P2407" i="1"/>
  <c r="O2407" i="1"/>
  <c r="N2407" i="1"/>
  <c r="L2407" i="1"/>
  <c r="K2407" i="1"/>
  <c r="J2407" i="1"/>
  <c r="I2407" i="1"/>
  <c r="H2407" i="1"/>
  <c r="G2407" i="1"/>
  <c r="F2407" i="1"/>
  <c r="E2407" i="1"/>
  <c r="D2407" i="1"/>
  <c r="C2407" i="1"/>
  <c r="V2406" i="1"/>
  <c r="R2406" i="1"/>
  <c r="Q2406" i="1"/>
  <c r="P2406" i="1"/>
  <c r="O2406" i="1"/>
  <c r="N2406" i="1"/>
  <c r="L2406" i="1"/>
  <c r="K2406" i="1"/>
  <c r="J2406" i="1"/>
  <c r="I2406" i="1"/>
  <c r="H2406" i="1"/>
  <c r="G2406" i="1"/>
  <c r="F2406" i="1"/>
  <c r="E2406" i="1"/>
  <c r="D2406" i="1"/>
  <c r="C2406" i="1"/>
  <c r="V2405" i="1"/>
  <c r="R2405" i="1"/>
  <c r="Q2405" i="1"/>
  <c r="P2405" i="1"/>
  <c r="O2405" i="1"/>
  <c r="N2405" i="1"/>
  <c r="L2405" i="1"/>
  <c r="K2405" i="1"/>
  <c r="J2405" i="1"/>
  <c r="I2405" i="1"/>
  <c r="H2405" i="1"/>
  <c r="G2405" i="1"/>
  <c r="F2405" i="1"/>
  <c r="E2405" i="1"/>
  <c r="D2405" i="1"/>
  <c r="C2405" i="1"/>
  <c r="V2404" i="1"/>
  <c r="R2404" i="1"/>
  <c r="Q2404" i="1"/>
  <c r="P2404" i="1"/>
  <c r="O2404" i="1"/>
  <c r="N2404" i="1"/>
  <c r="L2404" i="1"/>
  <c r="K2404" i="1"/>
  <c r="J2404" i="1"/>
  <c r="I2404" i="1"/>
  <c r="H2404" i="1"/>
  <c r="G2404" i="1"/>
  <c r="F2404" i="1"/>
  <c r="E2404" i="1"/>
  <c r="D2404" i="1"/>
  <c r="C2404" i="1"/>
  <c r="V2403" i="1"/>
  <c r="R2403" i="1"/>
  <c r="Q2403" i="1"/>
  <c r="P2403" i="1"/>
  <c r="O2403" i="1"/>
  <c r="N2403" i="1"/>
  <c r="L2403" i="1"/>
  <c r="K2403" i="1"/>
  <c r="J2403" i="1"/>
  <c r="I2403" i="1"/>
  <c r="H2403" i="1"/>
  <c r="G2403" i="1"/>
  <c r="F2403" i="1"/>
  <c r="E2403" i="1"/>
  <c r="D2403" i="1"/>
  <c r="C2403" i="1"/>
  <c r="V2402" i="1"/>
  <c r="R2402" i="1"/>
  <c r="Q2402" i="1"/>
  <c r="P2402" i="1"/>
  <c r="O2402" i="1"/>
  <c r="N2402" i="1"/>
  <c r="L2402" i="1"/>
  <c r="K2402" i="1"/>
  <c r="J2402" i="1"/>
  <c r="I2402" i="1"/>
  <c r="H2402" i="1"/>
  <c r="G2402" i="1"/>
  <c r="F2402" i="1"/>
  <c r="E2402" i="1"/>
  <c r="D2402" i="1"/>
  <c r="C2402" i="1"/>
  <c r="V2401" i="1"/>
  <c r="R2401" i="1"/>
  <c r="Q2401" i="1"/>
  <c r="P2401" i="1"/>
  <c r="O2401" i="1"/>
  <c r="N2401" i="1"/>
  <c r="K2401" i="1"/>
  <c r="J2401" i="1"/>
  <c r="I2401" i="1"/>
  <c r="H2401" i="1"/>
  <c r="G2401" i="1"/>
  <c r="F2401" i="1"/>
  <c r="E2401" i="1"/>
  <c r="D2401" i="1"/>
  <c r="C2401" i="1"/>
  <c r="V2400" i="1"/>
  <c r="R2400" i="1"/>
  <c r="Q2400" i="1"/>
  <c r="P2400" i="1"/>
  <c r="O2400" i="1"/>
  <c r="N2400" i="1"/>
  <c r="L2400" i="1"/>
  <c r="K2400" i="1"/>
  <c r="J2400" i="1"/>
  <c r="I2400" i="1"/>
  <c r="H2400" i="1"/>
  <c r="G2400" i="1"/>
  <c r="F2400" i="1"/>
  <c r="E2400" i="1"/>
  <c r="D2400" i="1"/>
  <c r="C2400" i="1"/>
  <c r="V2399" i="1"/>
  <c r="R2399" i="1"/>
  <c r="Q2399" i="1"/>
  <c r="P2399" i="1"/>
  <c r="O2399" i="1"/>
  <c r="N2399" i="1"/>
  <c r="L2399" i="1"/>
  <c r="K2399" i="1"/>
  <c r="J2399" i="1"/>
  <c r="I2399" i="1"/>
  <c r="H2399" i="1"/>
  <c r="G2399" i="1"/>
  <c r="F2399" i="1"/>
  <c r="E2399" i="1"/>
  <c r="D2399" i="1"/>
  <c r="C2399" i="1"/>
  <c r="V2398" i="1"/>
  <c r="R2398" i="1"/>
  <c r="Q2398" i="1"/>
  <c r="P2398" i="1"/>
  <c r="O2398" i="1"/>
  <c r="N2398" i="1"/>
  <c r="L2398" i="1"/>
  <c r="K2398" i="1"/>
  <c r="J2398" i="1"/>
  <c r="I2398" i="1"/>
  <c r="H2398" i="1"/>
  <c r="G2398" i="1"/>
  <c r="F2398" i="1"/>
  <c r="E2398" i="1"/>
  <c r="D2398" i="1"/>
  <c r="C2398" i="1"/>
  <c r="V2397" i="1"/>
  <c r="R2397" i="1"/>
  <c r="Q2397" i="1"/>
  <c r="P2397" i="1"/>
  <c r="O2397" i="1"/>
  <c r="N2397" i="1"/>
  <c r="L2397" i="1"/>
  <c r="K2397" i="1"/>
  <c r="J2397" i="1"/>
  <c r="I2397" i="1"/>
  <c r="H2397" i="1"/>
  <c r="G2397" i="1"/>
  <c r="F2397" i="1"/>
  <c r="E2397" i="1"/>
  <c r="D2397" i="1"/>
  <c r="C2397" i="1"/>
  <c r="V2396" i="1"/>
  <c r="R2396" i="1"/>
  <c r="Q2396" i="1"/>
  <c r="P2396" i="1"/>
  <c r="O2396" i="1"/>
  <c r="N2396" i="1"/>
  <c r="K2396" i="1"/>
  <c r="J2396" i="1"/>
  <c r="I2396" i="1"/>
  <c r="H2396" i="1"/>
  <c r="G2396" i="1"/>
  <c r="F2396" i="1"/>
  <c r="E2396" i="1"/>
  <c r="D2396" i="1"/>
  <c r="C2396" i="1"/>
  <c r="V2395" i="1"/>
  <c r="R2395" i="1"/>
  <c r="Q2395" i="1"/>
  <c r="P2395" i="1"/>
  <c r="O2395" i="1"/>
  <c r="N2395" i="1"/>
  <c r="K2395" i="1"/>
  <c r="J2395" i="1"/>
  <c r="I2395" i="1"/>
  <c r="H2395" i="1"/>
  <c r="G2395" i="1"/>
  <c r="F2395" i="1"/>
  <c r="E2395" i="1"/>
  <c r="D2395" i="1"/>
  <c r="C2395" i="1"/>
  <c r="V2394" i="1"/>
  <c r="R2394" i="1"/>
  <c r="Q2394" i="1"/>
  <c r="P2394" i="1"/>
  <c r="O2394" i="1"/>
  <c r="N2394" i="1"/>
  <c r="K2394" i="1"/>
  <c r="J2394" i="1"/>
  <c r="I2394" i="1"/>
  <c r="H2394" i="1"/>
  <c r="G2394" i="1"/>
  <c r="F2394" i="1"/>
  <c r="E2394" i="1"/>
  <c r="D2394" i="1"/>
  <c r="C2394" i="1"/>
  <c r="V2393" i="1"/>
  <c r="R2393" i="1"/>
  <c r="Q2393" i="1"/>
  <c r="P2393" i="1"/>
  <c r="O2393" i="1"/>
  <c r="N2393" i="1"/>
  <c r="K2393" i="1"/>
  <c r="J2393" i="1"/>
  <c r="I2393" i="1"/>
  <c r="H2393" i="1"/>
  <c r="G2393" i="1"/>
  <c r="F2393" i="1"/>
  <c r="E2393" i="1"/>
  <c r="D2393" i="1"/>
  <c r="C2393" i="1"/>
  <c r="V2392" i="1"/>
  <c r="R2392" i="1"/>
  <c r="Q2392" i="1"/>
  <c r="P2392" i="1"/>
  <c r="O2392" i="1"/>
  <c r="N2392" i="1"/>
  <c r="K2392" i="1"/>
  <c r="J2392" i="1"/>
  <c r="I2392" i="1"/>
  <c r="H2392" i="1"/>
  <c r="G2392" i="1"/>
  <c r="F2392" i="1"/>
  <c r="E2392" i="1"/>
  <c r="D2392" i="1"/>
  <c r="C2392" i="1"/>
  <c r="V2391" i="1"/>
  <c r="R2391" i="1"/>
  <c r="Q2391" i="1"/>
  <c r="P2391" i="1"/>
  <c r="O2391" i="1"/>
  <c r="N2391" i="1"/>
  <c r="J2391" i="1"/>
  <c r="I2391" i="1"/>
  <c r="H2391" i="1"/>
  <c r="G2391" i="1"/>
  <c r="F2391" i="1"/>
  <c r="E2391" i="1"/>
  <c r="D2391" i="1"/>
  <c r="C2391" i="1"/>
  <c r="V2390" i="1"/>
  <c r="R2390" i="1"/>
  <c r="Q2390" i="1"/>
  <c r="P2390" i="1"/>
  <c r="O2390" i="1"/>
  <c r="N2390" i="1"/>
  <c r="J2390" i="1"/>
  <c r="I2390" i="1"/>
  <c r="H2390" i="1"/>
  <c r="G2390" i="1"/>
  <c r="F2390" i="1"/>
  <c r="E2390" i="1"/>
  <c r="D2390" i="1"/>
  <c r="C2390" i="1"/>
  <c r="V2389" i="1"/>
  <c r="R2389" i="1"/>
  <c r="Q2389" i="1"/>
  <c r="P2389" i="1"/>
  <c r="O2389" i="1"/>
  <c r="N2389" i="1"/>
  <c r="J2389" i="1"/>
  <c r="I2389" i="1"/>
  <c r="H2389" i="1"/>
  <c r="G2389" i="1"/>
  <c r="F2389" i="1"/>
  <c r="E2389" i="1"/>
  <c r="D2389" i="1"/>
  <c r="C2389" i="1"/>
  <c r="V2388" i="1"/>
  <c r="R2388" i="1"/>
  <c r="Q2388" i="1"/>
  <c r="P2388" i="1"/>
  <c r="O2388" i="1"/>
  <c r="N2388" i="1"/>
  <c r="J2388" i="1"/>
  <c r="I2388" i="1"/>
  <c r="H2388" i="1"/>
  <c r="G2388" i="1"/>
  <c r="F2388" i="1"/>
  <c r="E2388" i="1"/>
  <c r="D2388" i="1"/>
  <c r="C2388" i="1"/>
  <c r="V2387" i="1"/>
  <c r="R2387" i="1"/>
  <c r="Q2387" i="1"/>
  <c r="P2387" i="1"/>
  <c r="O2387" i="1"/>
  <c r="N2387" i="1"/>
  <c r="J2387" i="1"/>
  <c r="I2387" i="1"/>
  <c r="H2387" i="1"/>
  <c r="G2387" i="1"/>
  <c r="F2387" i="1"/>
  <c r="E2387" i="1"/>
  <c r="D2387" i="1"/>
  <c r="C2387" i="1"/>
  <c r="V2386" i="1"/>
  <c r="R2386" i="1"/>
  <c r="Q2386" i="1"/>
  <c r="P2386" i="1"/>
  <c r="O2386" i="1"/>
  <c r="N2386" i="1"/>
  <c r="J2386" i="1"/>
  <c r="I2386" i="1"/>
  <c r="H2386" i="1"/>
  <c r="G2386" i="1"/>
  <c r="F2386" i="1"/>
  <c r="E2386" i="1"/>
  <c r="D2386" i="1"/>
  <c r="C2386" i="1"/>
  <c r="V2385" i="1"/>
  <c r="R2385" i="1"/>
  <c r="Q2385" i="1"/>
  <c r="P2385" i="1"/>
  <c r="O2385" i="1"/>
  <c r="N2385" i="1"/>
  <c r="J2385" i="1"/>
  <c r="I2385" i="1"/>
  <c r="H2385" i="1"/>
  <c r="G2385" i="1"/>
  <c r="F2385" i="1"/>
  <c r="E2385" i="1"/>
  <c r="D2385" i="1"/>
  <c r="C2385" i="1"/>
  <c r="V2384" i="1"/>
  <c r="R2384" i="1"/>
  <c r="Q2384" i="1"/>
  <c r="P2384" i="1"/>
  <c r="O2384" i="1"/>
  <c r="N2384" i="1"/>
  <c r="J2384" i="1"/>
  <c r="I2384" i="1"/>
  <c r="H2384" i="1"/>
  <c r="G2384" i="1"/>
  <c r="F2384" i="1"/>
  <c r="E2384" i="1"/>
  <c r="D2384" i="1"/>
  <c r="C2384" i="1"/>
  <c r="V2383" i="1"/>
  <c r="R2383" i="1"/>
  <c r="Q2383" i="1"/>
  <c r="P2383" i="1"/>
  <c r="O2383" i="1"/>
  <c r="N2383" i="1"/>
  <c r="J2383" i="1"/>
  <c r="I2383" i="1"/>
  <c r="H2383" i="1"/>
  <c r="G2383" i="1"/>
  <c r="F2383" i="1"/>
  <c r="E2383" i="1"/>
  <c r="D2383" i="1"/>
  <c r="C2383" i="1"/>
  <c r="V2382" i="1"/>
  <c r="R2382" i="1"/>
  <c r="Q2382" i="1"/>
  <c r="P2382" i="1"/>
  <c r="O2382" i="1"/>
  <c r="N2382" i="1"/>
  <c r="J2382" i="1"/>
  <c r="I2382" i="1"/>
  <c r="H2382" i="1"/>
  <c r="G2382" i="1"/>
  <c r="F2382" i="1"/>
  <c r="E2382" i="1"/>
  <c r="D2382" i="1"/>
  <c r="C2382" i="1"/>
  <c r="V2381" i="1"/>
  <c r="R2381" i="1"/>
  <c r="Q2381" i="1"/>
  <c r="P2381" i="1"/>
  <c r="O2381" i="1"/>
  <c r="N2381" i="1"/>
  <c r="J2381" i="1"/>
  <c r="I2381" i="1"/>
  <c r="H2381" i="1"/>
  <c r="G2381" i="1"/>
  <c r="F2381" i="1"/>
  <c r="E2381" i="1"/>
  <c r="D2381" i="1"/>
  <c r="C2381" i="1"/>
  <c r="V2380" i="1"/>
  <c r="R2380" i="1"/>
  <c r="Q2380" i="1"/>
  <c r="P2380" i="1"/>
  <c r="O2380" i="1"/>
  <c r="N2380" i="1"/>
  <c r="J2380" i="1"/>
  <c r="I2380" i="1"/>
  <c r="H2380" i="1"/>
  <c r="G2380" i="1"/>
  <c r="F2380" i="1"/>
  <c r="E2380" i="1"/>
  <c r="D2380" i="1"/>
  <c r="C2380" i="1"/>
  <c r="V2379" i="1"/>
  <c r="R2379" i="1"/>
  <c r="Q2379" i="1"/>
  <c r="P2379" i="1"/>
  <c r="O2379" i="1"/>
  <c r="N2379" i="1"/>
  <c r="J2379" i="1"/>
  <c r="I2379" i="1"/>
  <c r="H2379" i="1"/>
  <c r="G2379" i="1"/>
  <c r="F2379" i="1"/>
  <c r="E2379" i="1"/>
  <c r="D2379" i="1"/>
  <c r="C2379" i="1"/>
  <c r="V2378" i="1"/>
  <c r="R2378" i="1"/>
  <c r="Q2378" i="1"/>
  <c r="P2378" i="1"/>
  <c r="O2378" i="1"/>
  <c r="N2378" i="1"/>
  <c r="J2378" i="1"/>
  <c r="I2378" i="1"/>
  <c r="H2378" i="1"/>
  <c r="G2378" i="1"/>
  <c r="F2378" i="1"/>
  <c r="E2378" i="1"/>
  <c r="D2378" i="1"/>
  <c r="C2378" i="1"/>
  <c r="V2377" i="1"/>
  <c r="R2377" i="1"/>
  <c r="Q2377" i="1"/>
  <c r="P2377" i="1"/>
  <c r="O2377" i="1"/>
  <c r="N2377" i="1"/>
  <c r="J2377" i="1"/>
  <c r="I2377" i="1"/>
  <c r="H2377" i="1"/>
  <c r="G2377" i="1"/>
  <c r="F2377" i="1"/>
  <c r="E2377" i="1"/>
  <c r="D2377" i="1"/>
  <c r="C2377" i="1"/>
  <c r="V2376" i="1"/>
  <c r="R2376" i="1"/>
  <c r="Q2376" i="1"/>
  <c r="P2376" i="1"/>
  <c r="O2376" i="1"/>
  <c r="N2376" i="1"/>
  <c r="J2376" i="1"/>
  <c r="I2376" i="1"/>
  <c r="H2376" i="1"/>
  <c r="G2376" i="1"/>
  <c r="F2376" i="1"/>
  <c r="E2376" i="1"/>
  <c r="D2376" i="1"/>
  <c r="C2376" i="1"/>
  <c r="V2375" i="1"/>
  <c r="R2375" i="1"/>
  <c r="Q2375" i="1"/>
  <c r="P2375" i="1"/>
  <c r="O2375" i="1"/>
  <c r="N2375" i="1"/>
  <c r="J2375" i="1"/>
  <c r="I2375" i="1"/>
  <c r="H2375" i="1"/>
  <c r="G2375" i="1"/>
  <c r="F2375" i="1"/>
  <c r="E2375" i="1"/>
  <c r="D2375" i="1"/>
  <c r="C2375" i="1"/>
  <c r="V2374" i="1"/>
  <c r="R2374" i="1"/>
  <c r="Q2374" i="1"/>
  <c r="P2374" i="1"/>
  <c r="O2374" i="1"/>
  <c r="N2374" i="1"/>
  <c r="J2374" i="1"/>
  <c r="I2374" i="1"/>
  <c r="H2374" i="1"/>
  <c r="G2374" i="1"/>
  <c r="F2374" i="1"/>
  <c r="E2374" i="1"/>
  <c r="D2374" i="1"/>
  <c r="C2374" i="1"/>
  <c r="V2373" i="1"/>
  <c r="R2373" i="1"/>
  <c r="Q2373" i="1"/>
  <c r="P2373" i="1"/>
  <c r="O2373" i="1"/>
  <c r="N2373" i="1"/>
  <c r="J2373" i="1"/>
  <c r="I2373" i="1"/>
  <c r="H2373" i="1"/>
  <c r="G2373" i="1"/>
  <c r="F2373" i="1"/>
  <c r="E2373" i="1"/>
  <c r="D2373" i="1"/>
  <c r="C2373" i="1"/>
  <c r="V2372" i="1"/>
  <c r="R2372" i="1"/>
  <c r="Q2372" i="1"/>
  <c r="P2372" i="1"/>
  <c r="O2372" i="1"/>
  <c r="N2372" i="1"/>
  <c r="J2372" i="1"/>
  <c r="I2372" i="1"/>
  <c r="H2372" i="1"/>
  <c r="G2372" i="1"/>
  <c r="F2372" i="1"/>
  <c r="E2372" i="1"/>
  <c r="D2372" i="1"/>
  <c r="C2372" i="1"/>
  <c r="V2371" i="1"/>
  <c r="R2371" i="1"/>
  <c r="Q2371" i="1"/>
  <c r="P2371" i="1"/>
  <c r="O2371" i="1"/>
  <c r="N2371" i="1"/>
  <c r="J2371" i="1"/>
  <c r="I2371" i="1"/>
  <c r="H2371" i="1"/>
  <c r="G2371" i="1"/>
  <c r="F2371" i="1"/>
  <c r="E2371" i="1"/>
  <c r="D2371" i="1"/>
  <c r="C2371" i="1"/>
  <c r="V2370" i="1"/>
  <c r="R2370" i="1"/>
  <c r="Q2370" i="1"/>
  <c r="P2370" i="1"/>
  <c r="O2370" i="1"/>
  <c r="N2370" i="1"/>
  <c r="J2370" i="1"/>
  <c r="I2370" i="1"/>
  <c r="H2370" i="1"/>
  <c r="G2370" i="1"/>
  <c r="F2370" i="1"/>
  <c r="E2370" i="1"/>
  <c r="D2370" i="1"/>
  <c r="C2370" i="1"/>
  <c r="V2369" i="1"/>
  <c r="R2369" i="1"/>
  <c r="Q2369" i="1"/>
  <c r="P2369" i="1"/>
  <c r="O2369" i="1"/>
  <c r="N2369" i="1"/>
  <c r="J2369" i="1"/>
  <c r="I2369" i="1"/>
  <c r="H2369" i="1"/>
  <c r="G2369" i="1"/>
  <c r="F2369" i="1"/>
  <c r="E2369" i="1"/>
  <c r="D2369" i="1"/>
  <c r="C2369" i="1"/>
  <c r="V2368" i="1"/>
  <c r="R2368" i="1"/>
  <c r="Q2368" i="1"/>
  <c r="P2368" i="1"/>
  <c r="O2368" i="1"/>
  <c r="N2368" i="1"/>
  <c r="K2368" i="1"/>
  <c r="J2368" i="1"/>
  <c r="I2368" i="1"/>
  <c r="H2368" i="1"/>
  <c r="G2368" i="1"/>
  <c r="F2368" i="1"/>
  <c r="E2368" i="1"/>
  <c r="D2368" i="1"/>
  <c r="C2368" i="1"/>
  <c r="V2367" i="1"/>
  <c r="R2367" i="1"/>
  <c r="Q2367" i="1"/>
  <c r="P2367" i="1"/>
  <c r="O2367" i="1"/>
  <c r="N2367" i="1"/>
  <c r="K2367" i="1"/>
  <c r="J2367" i="1"/>
  <c r="I2367" i="1"/>
  <c r="H2367" i="1"/>
  <c r="G2367" i="1"/>
  <c r="F2367" i="1"/>
  <c r="E2367" i="1"/>
  <c r="D2367" i="1"/>
  <c r="C2367" i="1"/>
  <c r="V2366" i="1"/>
  <c r="R2366" i="1"/>
  <c r="Q2366" i="1"/>
  <c r="P2366" i="1"/>
  <c r="O2366" i="1"/>
  <c r="N2366" i="1"/>
  <c r="K2366" i="1"/>
  <c r="J2366" i="1"/>
  <c r="I2366" i="1"/>
  <c r="H2366" i="1"/>
  <c r="G2366" i="1"/>
  <c r="F2366" i="1"/>
  <c r="E2366" i="1"/>
  <c r="D2366" i="1"/>
  <c r="C2366" i="1"/>
  <c r="V2365" i="1"/>
  <c r="R2365" i="1"/>
  <c r="Q2365" i="1"/>
  <c r="P2365" i="1"/>
  <c r="O2365" i="1"/>
  <c r="N2365" i="1"/>
  <c r="K2365" i="1"/>
  <c r="J2365" i="1"/>
  <c r="I2365" i="1"/>
  <c r="H2365" i="1"/>
  <c r="G2365" i="1"/>
  <c r="F2365" i="1"/>
  <c r="E2365" i="1"/>
  <c r="D2365" i="1"/>
  <c r="C2365" i="1"/>
  <c r="V2364" i="1"/>
  <c r="R2364" i="1"/>
  <c r="Q2364" i="1"/>
  <c r="P2364" i="1"/>
  <c r="O2364" i="1"/>
  <c r="N2364" i="1"/>
  <c r="K2364" i="1"/>
  <c r="J2364" i="1"/>
  <c r="I2364" i="1"/>
  <c r="H2364" i="1"/>
  <c r="G2364" i="1"/>
  <c r="F2364" i="1"/>
  <c r="E2364" i="1"/>
  <c r="D2364" i="1"/>
  <c r="C2364" i="1"/>
  <c r="V2363" i="1"/>
  <c r="R2363" i="1"/>
  <c r="Q2363" i="1"/>
  <c r="P2363" i="1"/>
  <c r="O2363" i="1"/>
  <c r="N2363" i="1"/>
  <c r="K2363" i="1"/>
  <c r="J2363" i="1"/>
  <c r="I2363" i="1"/>
  <c r="H2363" i="1"/>
  <c r="G2363" i="1"/>
  <c r="F2363" i="1"/>
  <c r="E2363" i="1"/>
  <c r="D2363" i="1"/>
  <c r="C2363" i="1"/>
  <c r="V2362" i="1"/>
  <c r="R2362" i="1"/>
  <c r="Q2362" i="1"/>
  <c r="P2362" i="1"/>
  <c r="O2362" i="1"/>
  <c r="N2362" i="1"/>
  <c r="K2362" i="1"/>
  <c r="J2362" i="1"/>
  <c r="I2362" i="1"/>
  <c r="H2362" i="1"/>
  <c r="G2362" i="1"/>
  <c r="F2362" i="1"/>
  <c r="E2362" i="1"/>
  <c r="D2362" i="1"/>
  <c r="C2362" i="1"/>
  <c r="V2361" i="1"/>
  <c r="R2361" i="1"/>
  <c r="Q2361" i="1"/>
  <c r="P2361" i="1"/>
  <c r="O2361" i="1"/>
  <c r="N2361" i="1"/>
  <c r="K2361" i="1"/>
  <c r="J2361" i="1"/>
  <c r="I2361" i="1"/>
  <c r="H2361" i="1"/>
  <c r="G2361" i="1"/>
  <c r="F2361" i="1"/>
  <c r="E2361" i="1"/>
  <c r="D2361" i="1"/>
  <c r="C2361" i="1"/>
  <c r="V2360" i="1"/>
  <c r="R2360" i="1"/>
  <c r="Q2360" i="1"/>
  <c r="P2360" i="1"/>
  <c r="O2360" i="1"/>
  <c r="N2360" i="1"/>
  <c r="K2360" i="1"/>
  <c r="J2360" i="1"/>
  <c r="I2360" i="1"/>
  <c r="H2360" i="1"/>
  <c r="G2360" i="1"/>
  <c r="F2360" i="1"/>
  <c r="E2360" i="1"/>
  <c r="D2360" i="1"/>
  <c r="C2360" i="1"/>
  <c r="V2359" i="1"/>
  <c r="R2359" i="1"/>
  <c r="Q2359" i="1"/>
  <c r="P2359" i="1"/>
  <c r="O2359" i="1"/>
  <c r="N2359" i="1"/>
  <c r="K2359" i="1"/>
  <c r="J2359" i="1"/>
  <c r="I2359" i="1"/>
  <c r="H2359" i="1"/>
  <c r="G2359" i="1"/>
  <c r="F2359" i="1"/>
  <c r="E2359" i="1"/>
  <c r="D2359" i="1"/>
  <c r="C2359" i="1"/>
  <c r="V2358" i="1"/>
  <c r="R2358" i="1"/>
  <c r="Q2358" i="1"/>
  <c r="P2358" i="1"/>
  <c r="O2358" i="1"/>
  <c r="N2358" i="1"/>
  <c r="K2358" i="1"/>
  <c r="J2358" i="1"/>
  <c r="I2358" i="1"/>
  <c r="H2358" i="1"/>
  <c r="G2358" i="1"/>
  <c r="F2358" i="1"/>
  <c r="E2358" i="1"/>
  <c r="D2358" i="1"/>
  <c r="C2358" i="1"/>
  <c r="V2357" i="1"/>
  <c r="R2357" i="1"/>
  <c r="Q2357" i="1"/>
  <c r="P2357" i="1"/>
  <c r="O2357" i="1"/>
  <c r="N2357" i="1"/>
  <c r="K2357" i="1"/>
  <c r="J2357" i="1"/>
  <c r="I2357" i="1"/>
  <c r="H2357" i="1"/>
  <c r="G2357" i="1"/>
  <c r="F2357" i="1"/>
  <c r="E2357" i="1"/>
  <c r="D2357" i="1"/>
  <c r="C2357" i="1"/>
  <c r="V2356" i="1"/>
  <c r="R2356" i="1"/>
  <c r="Q2356" i="1"/>
  <c r="P2356" i="1"/>
  <c r="O2356" i="1"/>
  <c r="N2356" i="1"/>
  <c r="K2356" i="1"/>
  <c r="J2356" i="1"/>
  <c r="I2356" i="1"/>
  <c r="H2356" i="1"/>
  <c r="G2356" i="1"/>
  <c r="F2356" i="1"/>
  <c r="E2356" i="1"/>
  <c r="D2356" i="1"/>
  <c r="C2356" i="1"/>
  <c r="V2355" i="1"/>
  <c r="R2355" i="1"/>
  <c r="Q2355" i="1"/>
  <c r="P2355" i="1"/>
  <c r="O2355" i="1"/>
  <c r="N2355" i="1"/>
  <c r="K2355" i="1"/>
  <c r="J2355" i="1"/>
  <c r="I2355" i="1"/>
  <c r="H2355" i="1"/>
  <c r="G2355" i="1"/>
  <c r="F2355" i="1"/>
  <c r="E2355" i="1"/>
  <c r="D2355" i="1"/>
  <c r="C2355" i="1"/>
  <c r="V2354" i="1"/>
  <c r="R2354" i="1"/>
  <c r="Q2354" i="1"/>
  <c r="P2354" i="1"/>
  <c r="O2354" i="1"/>
  <c r="N2354" i="1"/>
  <c r="K2354" i="1"/>
  <c r="J2354" i="1"/>
  <c r="I2354" i="1"/>
  <c r="H2354" i="1"/>
  <c r="G2354" i="1"/>
  <c r="F2354" i="1"/>
  <c r="E2354" i="1"/>
  <c r="D2354" i="1"/>
  <c r="C2354" i="1"/>
  <c r="V2353" i="1"/>
  <c r="R2353" i="1"/>
  <c r="Q2353" i="1"/>
  <c r="P2353" i="1"/>
  <c r="O2353" i="1"/>
  <c r="N2353" i="1"/>
  <c r="K2353" i="1"/>
  <c r="J2353" i="1"/>
  <c r="I2353" i="1"/>
  <c r="H2353" i="1"/>
  <c r="G2353" i="1"/>
  <c r="F2353" i="1"/>
  <c r="E2353" i="1"/>
  <c r="D2353" i="1"/>
  <c r="C2353" i="1"/>
  <c r="V2352" i="1"/>
  <c r="R2352" i="1"/>
  <c r="Q2352" i="1"/>
  <c r="P2352" i="1"/>
  <c r="O2352" i="1"/>
  <c r="N2352" i="1"/>
  <c r="K2352" i="1"/>
  <c r="J2352" i="1"/>
  <c r="I2352" i="1"/>
  <c r="H2352" i="1"/>
  <c r="G2352" i="1"/>
  <c r="F2352" i="1"/>
  <c r="E2352" i="1"/>
  <c r="D2352" i="1"/>
  <c r="C2352" i="1"/>
  <c r="V2351" i="1"/>
  <c r="R2351" i="1"/>
  <c r="Q2351" i="1"/>
  <c r="P2351" i="1"/>
  <c r="O2351" i="1"/>
  <c r="N2351" i="1"/>
  <c r="K2351" i="1"/>
  <c r="J2351" i="1"/>
  <c r="I2351" i="1"/>
  <c r="H2351" i="1"/>
  <c r="G2351" i="1"/>
  <c r="F2351" i="1"/>
  <c r="E2351" i="1"/>
  <c r="D2351" i="1"/>
  <c r="C2351" i="1"/>
  <c r="V2350" i="1"/>
  <c r="R2350" i="1"/>
  <c r="Q2350" i="1"/>
  <c r="P2350" i="1"/>
  <c r="O2350" i="1"/>
  <c r="N2350" i="1"/>
  <c r="K2350" i="1"/>
  <c r="J2350" i="1"/>
  <c r="I2350" i="1"/>
  <c r="H2350" i="1"/>
  <c r="G2350" i="1"/>
  <c r="F2350" i="1"/>
  <c r="E2350" i="1"/>
  <c r="D2350" i="1"/>
  <c r="C2350" i="1"/>
  <c r="V2349" i="1"/>
  <c r="R2349" i="1"/>
  <c r="Q2349" i="1"/>
  <c r="P2349" i="1"/>
  <c r="O2349" i="1"/>
  <c r="N2349" i="1"/>
  <c r="K2349" i="1"/>
  <c r="J2349" i="1"/>
  <c r="I2349" i="1"/>
  <c r="H2349" i="1"/>
  <c r="G2349" i="1"/>
  <c r="F2349" i="1"/>
  <c r="E2349" i="1"/>
  <c r="D2349" i="1"/>
  <c r="C2349" i="1"/>
  <c r="V2348" i="1"/>
  <c r="R2348" i="1"/>
  <c r="Q2348" i="1"/>
  <c r="P2348" i="1"/>
  <c r="O2348" i="1"/>
  <c r="N2348" i="1"/>
  <c r="K2348" i="1"/>
  <c r="J2348" i="1"/>
  <c r="I2348" i="1"/>
  <c r="H2348" i="1"/>
  <c r="G2348" i="1"/>
  <c r="F2348" i="1"/>
  <c r="E2348" i="1"/>
  <c r="D2348" i="1"/>
  <c r="C2348" i="1"/>
  <c r="V2347" i="1"/>
  <c r="R2347" i="1"/>
  <c r="Q2347" i="1"/>
  <c r="P2347" i="1"/>
  <c r="O2347" i="1"/>
  <c r="N2347" i="1"/>
  <c r="K2347" i="1"/>
  <c r="J2347" i="1"/>
  <c r="I2347" i="1"/>
  <c r="H2347" i="1"/>
  <c r="G2347" i="1"/>
  <c r="F2347" i="1"/>
  <c r="E2347" i="1"/>
  <c r="D2347" i="1"/>
  <c r="C2347" i="1"/>
  <c r="V2346" i="1"/>
  <c r="R2346" i="1"/>
  <c r="Q2346" i="1"/>
  <c r="P2346" i="1"/>
  <c r="O2346" i="1"/>
  <c r="N2346" i="1"/>
  <c r="K2346" i="1"/>
  <c r="J2346" i="1"/>
  <c r="I2346" i="1"/>
  <c r="H2346" i="1"/>
  <c r="G2346" i="1"/>
  <c r="F2346" i="1"/>
  <c r="E2346" i="1"/>
  <c r="D2346" i="1"/>
  <c r="C2346" i="1"/>
  <c r="V2345" i="1"/>
  <c r="R2345" i="1"/>
  <c r="Q2345" i="1"/>
  <c r="P2345" i="1"/>
  <c r="O2345" i="1"/>
  <c r="N2345" i="1"/>
  <c r="K2345" i="1"/>
  <c r="J2345" i="1"/>
  <c r="I2345" i="1"/>
  <c r="H2345" i="1"/>
  <c r="G2345" i="1"/>
  <c r="F2345" i="1"/>
  <c r="E2345" i="1"/>
  <c r="D2345" i="1"/>
  <c r="C2345" i="1"/>
  <c r="V2344" i="1"/>
  <c r="R2344" i="1"/>
  <c r="Q2344" i="1"/>
  <c r="P2344" i="1"/>
  <c r="O2344" i="1"/>
  <c r="N2344" i="1"/>
  <c r="K2344" i="1"/>
  <c r="J2344" i="1"/>
  <c r="I2344" i="1"/>
  <c r="H2344" i="1"/>
  <c r="G2344" i="1"/>
  <c r="F2344" i="1"/>
  <c r="E2344" i="1"/>
  <c r="D2344" i="1"/>
  <c r="C2344" i="1"/>
  <c r="V2343" i="1"/>
  <c r="R2343" i="1"/>
  <c r="Q2343" i="1"/>
  <c r="P2343" i="1"/>
  <c r="O2343" i="1"/>
  <c r="N2343" i="1"/>
  <c r="K2343" i="1"/>
  <c r="J2343" i="1"/>
  <c r="I2343" i="1"/>
  <c r="H2343" i="1"/>
  <c r="G2343" i="1"/>
  <c r="F2343" i="1"/>
  <c r="E2343" i="1"/>
  <c r="D2343" i="1"/>
  <c r="C2343" i="1"/>
  <c r="V2342" i="1"/>
  <c r="R2342" i="1"/>
  <c r="Q2342" i="1"/>
  <c r="P2342" i="1"/>
  <c r="O2342" i="1"/>
  <c r="N2342" i="1"/>
  <c r="K2342" i="1"/>
  <c r="J2342" i="1"/>
  <c r="I2342" i="1"/>
  <c r="H2342" i="1"/>
  <c r="G2342" i="1"/>
  <c r="F2342" i="1"/>
  <c r="E2342" i="1"/>
  <c r="D2342" i="1"/>
  <c r="C2342" i="1"/>
  <c r="V2341" i="1"/>
  <c r="R2341" i="1"/>
  <c r="Q2341" i="1"/>
  <c r="P2341" i="1"/>
  <c r="O2341" i="1"/>
  <c r="N2341" i="1"/>
  <c r="K2341" i="1"/>
  <c r="J2341" i="1"/>
  <c r="I2341" i="1"/>
  <c r="H2341" i="1"/>
  <c r="G2341" i="1"/>
  <c r="F2341" i="1"/>
  <c r="E2341" i="1"/>
  <c r="D2341" i="1"/>
  <c r="C2341" i="1"/>
  <c r="V2340" i="1"/>
  <c r="R2340" i="1"/>
  <c r="Q2340" i="1"/>
  <c r="P2340" i="1"/>
  <c r="O2340" i="1"/>
  <c r="N2340" i="1"/>
  <c r="K2340" i="1"/>
  <c r="J2340" i="1"/>
  <c r="I2340" i="1"/>
  <c r="H2340" i="1"/>
  <c r="G2340" i="1"/>
  <c r="F2340" i="1"/>
  <c r="E2340" i="1"/>
  <c r="D2340" i="1"/>
  <c r="C2340" i="1"/>
  <c r="V2339" i="1"/>
  <c r="R2339" i="1"/>
  <c r="Q2339" i="1"/>
  <c r="P2339" i="1"/>
  <c r="O2339" i="1"/>
  <c r="N2339" i="1"/>
  <c r="K2339" i="1"/>
  <c r="J2339" i="1"/>
  <c r="I2339" i="1"/>
  <c r="H2339" i="1"/>
  <c r="G2339" i="1"/>
  <c r="F2339" i="1"/>
  <c r="E2339" i="1"/>
  <c r="D2339" i="1"/>
  <c r="C2339" i="1"/>
  <c r="V2338" i="1"/>
  <c r="R2338" i="1"/>
  <c r="Q2338" i="1"/>
  <c r="P2338" i="1"/>
  <c r="O2338" i="1"/>
  <c r="N2338" i="1"/>
  <c r="K2338" i="1"/>
  <c r="J2338" i="1"/>
  <c r="I2338" i="1"/>
  <c r="H2338" i="1"/>
  <c r="G2338" i="1"/>
  <c r="F2338" i="1"/>
  <c r="E2338" i="1"/>
  <c r="D2338" i="1"/>
  <c r="C2338" i="1"/>
  <c r="V2337" i="1"/>
  <c r="R2337" i="1"/>
  <c r="Q2337" i="1"/>
  <c r="P2337" i="1"/>
  <c r="O2337" i="1"/>
  <c r="N2337" i="1"/>
  <c r="K2337" i="1"/>
  <c r="J2337" i="1"/>
  <c r="I2337" i="1"/>
  <c r="H2337" i="1"/>
  <c r="G2337" i="1"/>
  <c r="F2337" i="1"/>
  <c r="E2337" i="1"/>
  <c r="D2337" i="1"/>
  <c r="C2337" i="1"/>
  <c r="V2336" i="1"/>
  <c r="R2336" i="1"/>
  <c r="Q2336" i="1"/>
  <c r="P2336" i="1"/>
  <c r="O2336" i="1"/>
  <c r="N2336" i="1"/>
  <c r="K2336" i="1"/>
  <c r="J2336" i="1"/>
  <c r="I2336" i="1"/>
  <c r="H2336" i="1"/>
  <c r="G2336" i="1"/>
  <c r="F2336" i="1"/>
  <c r="E2336" i="1"/>
  <c r="D2336" i="1"/>
  <c r="C2336" i="1"/>
  <c r="V2335" i="1"/>
  <c r="R2335" i="1"/>
  <c r="Q2335" i="1"/>
  <c r="P2335" i="1"/>
  <c r="O2335" i="1"/>
  <c r="N2335" i="1"/>
  <c r="K2335" i="1"/>
  <c r="J2335" i="1"/>
  <c r="I2335" i="1"/>
  <c r="H2335" i="1"/>
  <c r="G2335" i="1"/>
  <c r="F2335" i="1"/>
  <c r="E2335" i="1"/>
  <c r="D2335" i="1"/>
  <c r="C2335" i="1"/>
  <c r="V2334" i="1"/>
  <c r="R2334" i="1"/>
  <c r="Q2334" i="1"/>
  <c r="P2334" i="1"/>
  <c r="O2334" i="1"/>
  <c r="N2334" i="1"/>
  <c r="K2334" i="1"/>
  <c r="J2334" i="1"/>
  <c r="I2334" i="1"/>
  <c r="H2334" i="1"/>
  <c r="G2334" i="1"/>
  <c r="F2334" i="1"/>
  <c r="E2334" i="1"/>
  <c r="D2334" i="1"/>
  <c r="C2334" i="1"/>
  <c r="V2333" i="1"/>
  <c r="R2333" i="1"/>
  <c r="Q2333" i="1"/>
  <c r="P2333" i="1"/>
  <c r="O2333" i="1"/>
  <c r="N2333" i="1"/>
  <c r="K2333" i="1"/>
  <c r="J2333" i="1"/>
  <c r="I2333" i="1"/>
  <c r="H2333" i="1"/>
  <c r="G2333" i="1"/>
  <c r="F2333" i="1"/>
  <c r="E2333" i="1"/>
  <c r="D2333" i="1"/>
  <c r="C2333" i="1"/>
  <c r="V2332" i="1"/>
  <c r="R2332" i="1"/>
  <c r="Q2332" i="1"/>
  <c r="P2332" i="1"/>
  <c r="O2332" i="1"/>
  <c r="N2332" i="1"/>
  <c r="K2332" i="1"/>
  <c r="J2332" i="1"/>
  <c r="I2332" i="1"/>
  <c r="H2332" i="1"/>
  <c r="G2332" i="1"/>
  <c r="F2332" i="1"/>
  <c r="E2332" i="1"/>
  <c r="D2332" i="1"/>
  <c r="C2332" i="1"/>
  <c r="V2331" i="1"/>
  <c r="R2331" i="1"/>
  <c r="Q2331" i="1"/>
  <c r="P2331" i="1"/>
  <c r="O2331" i="1"/>
  <c r="N2331" i="1"/>
  <c r="K2331" i="1"/>
  <c r="J2331" i="1"/>
  <c r="I2331" i="1"/>
  <c r="H2331" i="1"/>
  <c r="G2331" i="1"/>
  <c r="F2331" i="1"/>
  <c r="E2331" i="1"/>
  <c r="D2331" i="1"/>
  <c r="C2331" i="1"/>
  <c r="V2330" i="1"/>
  <c r="R2330" i="1"/>
  <c r="Q2330" i="1"/>
  <c r="P2330" i="1"/>
  <c r="O2330" i="1"/>
  <c r="N2330" i="1"/>
  <c r="K2330" i="1"/>
  <c r="J2330" i="1"/>
  <c r="I2330" i="1"/>
  <c r="H2330" i="1"/>
  <c r="G2330" i="1"/>
  <c r="F2330" i="1"/>
  <c r="E2330" i="1"/>
  <c r="D2330" i="1"/>
  <c r="C2330" i="1"/>
  <c r="V2329" i="1"/>
  <c r="R2329" i="1"/>
  <c r="Q2329" i="1"/>
  <c r="P2329" i="1"/>
  <c r="O2329" i="1"/>
  <c r="N2329" i="1"/>
  <c r="K2329" i="1"/>
  <c r="J2329" i="1"/>
  <c r="I2329" i="1"/>
  <c r="H2329" i="1"/>
  <c r="G2329" i="1"/>
  <c r="F2329" i="1"/>
  <c r="E2329" i="1"/>
  <c r="D2329" i="1"/>
  <c r="C2329" i="1"/>
  <c r="V2328" i="1"/>
  <c r="R2328" i="1"/>
  <c r="Q2328" i="1"/>
  <c r="P2328" i="1"/>
  <c r="O2328" i="1"/>
  <c r="N2328" i="1"/>
  <c r="K2328" i="1"/>
  <c r="J2328" i="1"/>
  <c r="I2328" i="1"/>
  <c r="H2328" i="1"/>
  <c r="G2328" i="1"/>
  <c r="F2328" i="1"/>
  <c r="E2328" i="1"/>
  <c r="D2328" i="1"/>
  <c r="C2328" i="1"/>
  <c r="V2327" i="1"/>
  <c r="R2327" i="1"/>
  <c r="Q2327" i="1"/>
  <c r="P2327" i="1"/>
  <c r="O2327" i="1"/>
  <c r="N2327" i="1"/>
  <c r="K2327" i="1"/>
  <c r="J2327" i="1"/>
  <c r="I2327" i="1"/>
  <c r="H2327" i="1"/>
  <c r="G2327" i="1"/>
  <c r="F2327" i="1"/>
  <c r="E2327" i="1"/>
  <c r="D2327" i="1"/>
  <c r="C2327" i="1"/>
  <c r="V2326" i="1"/>
  <c r="R2326" i="1"/>
  <c r="Q2326" i="1"/>
  <c r="P2326" i="1"/>
  <c r="O2326" i="1"/>
  <c r="N2326" i="1"/>
  <c r="K2326" i="1"/>
  <c r="J2326" i="1"/>
  <c r="I2326" i="1"/>
  <c r="H2326" i="1"/>
  <c r="G2326" i="1"/>
  <c r="F2326" i="1"/>
  <c r="E2326" i="1"/>
  <c r="D2326" i="1"/>
  <c r="C2326" i="1"/>
  <c r="V2325" i="1"/>
  <c r="R2325" i="1"/>
  <c r="Q2325" i="1"/>
  <c r="P2325" i="1"/>
  <c r="O2325" i="1"/>
  <c r="N2325" i="1"/>
  <c r="K2325" i="1"/>
  <c r="J2325" i="1"/>
  <c r="I2325" i="1"/>
  <c r="H2325" i="1"/>
  <c r="G2325" i="1"/>
  <c r="F2325" i="1"/>
  <c r="E2325" i="1"/>
  <c r="D2325" i="1"/>
  <c r="C2325" i="1"/>
  <c r="V2324" i="1"/>
  <c r="R2324" i="1"/>
  <c r="Q2324" i="1"/>
  <c r="P2324" i="1"/>
  <c r="O2324" i="1"/>
  <c r="N2324" i="1"/>
  <c r="K2324" i="1"/>
  <c r="J2324" i="1"/>
  <c r="I2324" i="1"/>
  <c r="H2324" i="1"/>
  <c r="G2324" i="1"/>
  <c r="F2324" i="1"/>
  <c r="E2324" i="1"/>
  <c r="D2324" i="1"/>
  <c r="C2324" i="1"/>
  <c r="V2323" i="1"/>
  <c r="R2323" i="1"/>
  <c r="Q2323" i="1"/>
  <c r="P2323" i="1"/>
  <c r="O2323" i="1"/>
  <c r="N2323" i="1"/>
  <c r="K2323" i="1"/>
  <c r="J2323" i="1"/>
  <c r="I2323" i="1"/>
  <c r="H2323" i="1"/>
  <c r="G2323" i="1"/>
  <c r="F2323" i="1"/>
  <c r="E2323" i="1"/>
  <c r="D2323" i="1"/>
  <c r="C2323" i="1"/>
  <c r="V2322" i="1"/>
  <c r="R2322" i="1"/>
  <c r="Q2322" i="1"/>
  <c r="P2322" i="1"/>
  <c r="O2322" i="1"/>
  <c r="N2322" i="1"/>
  <c r="K2322" i="1"/>
  <c r="J2322" i="1"/>
  <c r="I2322" i="1"/>
  <c r="H2322" i="1"/>
  <c r="G2322" i="1"/>
  <c r="F2322" i="1"/>
  <c r="E2322" i="1"/>
  <c r="D2322" i="1"/>
  <c r="C2322" i="1"/>
  <c r="V2321" i="1"/>
  <c r="R2321" i="1"/>
  <c r="Q2321" i="1"/>
  <c r="P2321" i="1"/>
  <c r="O2321" i="1"/>
  <c r="N2321" i="1"/>
  <c r="K2321" i="1"/>
  <c r="J2321" i="1"/>
  <c r="I2321" i="1"/>
  <c r="H2321" i="1"/>
  <c r="G2321" i="1"/>
  <c r="F2321" i="1"/>
  <c r="E2321" i="1"/>
  <c r="D2321" i="1"/>
  <c r="C2321" i="1"/>
  <c r="V2320" i="1"/>
  <c r="R2320" i="1"/>
  <c r="Q2320" i="1"/>
  <c r="P2320" i="1"/>
  <c r="O2320" i="1"/>
  <c r="N2320" i="1"/>
  <c r="K2320" i="1"/>
  <c r="J2320" i="1"/>
  <c r="I2320" i="1"/>
  <c r="H2320" i="1"/>
  <c r="G2320" i="1"/>
  <c r="F2320" i="1"/>
  <c r="E2320" i="1"/>
  <c r="D2320" i="1"/>
  <c r="C2320" i="1"/>
  <c r="V2319" i="1"/>
  <c r="R2319" i="1"/>
  <c r="Q2319" i="1"/>
  <c r="P2319" i="1"/>
  <c r="O2319" i="1"/>
  <c r="N2319" i="1"/>
  <c r="K2319" i="1"/>
  <c r="J2319" i="1"/>
  <c r="I2319" i="1"/>
  <c r="H2319" i="1"/>
  <c r="G2319" i="1"/>
  <c r="F2319" i="1"/>
  <c r="E2319" i="1"/>
  <c r="D2319" i="1"/>
  <c r="C2319" i="1"/>
  <c r="V2318" i="1"/>
  <c r="R2318" i="1"/>
  <c r="Q2318" i="1"/>
  <c r="P2318" i="1"/>
  <c r="O2318" i="1"/>
  <c r="N2318" i="1"/>
  <c r="K2318" i="1"/>
  <c r="J2318" i="1"/>
  <c r="I2318" i="1"/>
  <c r="H2318" i="1"/>
  <c r="G2318" i="1"/>
  <c r="F2318" i="1"/>
  <c r="E2318" i="1"/>
  <c r="D2318" i="1"/>
  <c r="C2318" i="1"/>
  <c r="V2317" i="1"/>
  <c r="R2317" i="1"/>
  <c r="Q2317" i="1"/>
  <c r="P2317" i="1"/>
  <c r="O2317" i="1"/>
  <c r="N2317" i="1"/>
  <c r="K2317" i="1"/>
  <c r="J2317" i="1"/>
  <c r="I2317" i="1"/>
  <c r="H2317" i="1"/>
  <c r="G2317" i="1"/>
  <c r="F2317" i="1"/>
  <c r="E2317" i="1"/>
  <c r="D2317" i="1"/>
  <c r="C2317" i="1"/>
  <c r="V2316" i="1"/>
  <c r="R2316" i="1"/>
  <c r="Q2316" i="1"/>
  <c r="P2316" i="1"/>
  <c r="O2316" i="1"/>
  <c r="N2316" i="1"/>
  <c r="K2316" i="1"/>
  <c r="J2316" i="1"/>
  <c r="I2316" i="1"/>
  <c r="H2316" i="1"/>
  <c r="G2316" i="1"/>
  <c r="F2316" i="1"/>
  <c r="E2316" i="1"/>
  <c r="D2316" i="1"/>
  <c r="C2316" i="1"/>
  <c r="V2315" i="1"/>
  <c r="R2315" i="1"/>
  <c r="Q2315" i="1"/>
  <c r="P2315" i="1"/>
  <c r="O2315" i="1"/>
  <c r="N2315" i="1"/>
  <c r="K2315" i="1"/>
  <c r="J2315" i="1"/>
  <c r="I2315" i="1"/>
  <c r="H2315" i="1"/>
  <c r="G2315" i="1"/>
  <c r="F2315" i="1"/>
  <c r="E2315" i="1"/>
  <c r="D2315" i="1"/>
  <c r="C2315" i="1"/>
  <c r="V2314" i="1"/>
  <c r="R2314" i="1"/>
  <c r="Q2314" i="1"/>
  <c r="P2314" i="1"/>
  <c r="O2314" i="1"/>
  <c r="N2314" i="1"/>
  <c r="K2314" i="1"/>
  <c r="J2314" i="1"/>
  <c r="I2314" i="1"/>
  <c r="H2314" i="1"/>
  <c r="G2314" i="1"/>
  <c r="F2314" i="1"/>
  <c r="E2314" i="1"/>
  <c r="D2314" i="1"/>
  <c r="C2314" i="1"/>
  <c r="V2313" i="1"/>
  <c r="R2313" i="1"/>
  <c r="Q2313" i="1"/>
  <c r="P2313" i="1"/>
  <c r="O2313" i="1"/>
  <c r="N2313" i="1"/>
  <c r="K2313" i="1"/>
  <c r="J2313" i="1"/>
  <c r="I2313" i="1"/>
  <c r="H2313" i="1"/>
  <c r="G2313" i="1"/>
  <c r="F2313" i="1"/>
  <c r="E2313" i="1"/>
  <c r="D2313" i="1"/>
  <c r="C2313" i="1"/>
  <c r="V2312" i="1"/>
  <c r="R2312" i="1"/>
  <c r="Q2312" i="1"/>
  <c r="P2312" i="1"/>
  <c r="O2312" i="1"/>
  <c r="N2312" i="1"/>
  <c r="K2312" i="1"/>
  <c r="J2312" i="1"/>
  <c r="I2312" i="1"/>
  <c r="H2312" i="1"/>
  <c r="G2312" i="1"/>
  <c r="F2312" i="1"/>
  <c r="E2312" i="1"/>
  <c r="D2312" i="1"/>
  <c r="C2312" i="1"/>
  <c r="V2311" i="1"/>
  <c r="R2311" i="1"/>
  <c r="Q2311" i="1"/>
  <c r="P2311" i="1"/>
  <c r="O2311" i="1"/>
  <c r="N2311" i="1"/>
  <c r="K2311" i="1"/>
  <c r="J2311" i="1"/>
  <c r="I2311" i="1"/>
  <c r="H2311" i="1"/>
  <c r="G2311" i="1"/>
  <c r="F2311" i="1"/>
  <c r="E2311" i="1"/>
  <c r="D2311" i="1"/>
  <c r="C2311" i="1"/>
  <c r="V2310" i="1"/>
  <c r="R2310" i="1"/>
  <c r="Q2310" i="1"/>
  <c r="P2310" i="1"/>
  <c r="O2310" i="1"/>
  <c r="N2310" i="1"/>
  <c r="K2310" i="1"/>
  <c r="J2310" i="1"/>
  <c r="I2310" i="1"/>
  <c r="H2310" i="1"/>
  <c r="G2310" i="1"/>
  <c r="F2310" i="1"/>
  <c r="E2310" i="1"/>
  <c r="D2310" i="1"/>
  <c r="C2310" i="1"/>
  <c r="V2309" i="1"/>
  <c r="R2309" i="1"/>
  <c r="Q2309" i="1"/>
  <c r="P2309" i="1"/>
  <c r="O2309" i="1"/>
  <c r="N2309" i="1"/>
  <c r="K2309" i="1"/>
  <c r="J2309" i="1"/>
  <c r="I2309" i="1"/>
  <c r="H2309" i="1"/>
  <c r="G2309" i="1"/>
  <c r="F2309" i="1"/>
  <c r="E2309" i="1"/>
  <c r="D2309" i="1"/>
  <c r="C2309" i="1"/>
  <c r="V2308" i="1"/>
  <c r="R2308" i="1"/>
  <c r="Q2308" i="1"/>
  <c r="P2308" i="1"/>
  <c r="O2308" i="1"/>
  <c r="N2308" i="1"/>
  <c r="K2308" i="1"/>
  <c r="J2308" i="1"/>
  <c r="I2308" i="1"/>
  <c r="H2308" i="1"/>
  <c r="G2308" i="1"/>
  <c r="F2308" i="1"/>
  <c r="E2308" i="1"/>
  <c r="D2308" i="1"/>
  <c r="C2308" i="1"/>
  <c r="V2307" i="1"/>
  <c r="R2307" i="1"/>
  <c r="Q2307" i="1"/>
  <c r="P2307" i="1"/>
  <c r="O2307" i="1"/>
  <c r="N2307" i="1"/>
  <c r="K2307" i="1"/>
  <c r="J2307" i="1"/>
  <c r="I2307" i="1"/>
  <c r="H2307" i="1"/>
  <c r="G2307" i="1"/>
  <c r="F2307" i="1"/>
  <c r="E2307" i="1"/>
  <c r="D2307" i="1"/>
  <c r="C2307" i="1"/>
  <c r="V2306" i="1"/>
  <c r="R2306" i="1"/>
  <c r="Q2306" i="1"/>
  <c r="P2306" i="1"/>
  <c r="O2306" i="1"/>
  <c r="N2306" i="1"/>
  <c r="K2306" i="1"/>
  <c r="J2306" i="1"/>
  <c r="I2306" i="1"/>
  <c r="H2306" i="1"/>
  <c r="G2306" i="1"/>
  <c r="F2306" i="1"/>
  <c r="E2306" i="1"/>
  <c r="D2306" i="1"/>
  <c r="C2306" i="1"/>
  <c r="V2305" i="1"/>
  <c r="R2305" i="1"/>
  <c r="Q2305" i="1"/>
  <c r="P2305" i="1"/>
  <c r="O2305" i="1"/>
  <c r="N2305" i="1"/>
  <c r="K2305" i="1"/>
  <c r="J2305" i="1"/>
  <c r="I2305" i="1"/>
  <c r="H2305" i="1"/>
  <c r="G2305" i="1"/>
  <c r="F2305" i="1"/>
  <c r="E2305" i="1"/>
  <c r="D2305" i="1"/>
  <c r="C2305" i="1"/>
  <c r="V2304" i="1"/>
  <c r="R2304" i="1"/>
  <c r="Q2304" i="1"/>
  <c r="P2304" i="1"/>
  <c r="O2304" i="1"/>
  <c r="N2304" i="1"/>
  <c r="K2304" i="1"/>
  <c r="J2304" i="1"/>
  <c r="I2304" i="1"/>
  <c r="H2304" i="1"/>
  <c r="G2304" i="1"/>
  <c r="F2304" i="1"/>
  <c r="E2304" i="1"/>
  <c r="D2304" i="1"/>
  <c r="C2304" i="1"/>
  <c r="V2303" i="1"/>
  <c r="R2303" i="1"/>
  <c r="Q2303" i="1"/>
  <c r="P2303" i="1"/>
  <c r="O2303" i="1"/>
  <c r="N2303" i="1"/>
  <c r="K2303" i="1"/>
  <c r="J2303" i="1"/>
  <c r="I2303" i="1"/>
  <c r="H2303" i="1"/>
  <c r="G2303" i="1"/>
  <c r="F2303" i="1"/>
  <c r="E2303" i="1"/>
  <c r="D2303" i="1"/>
  <c r="C2303" i="1"/>
  <c r="V2302" i="1"/>
  <c r="R2302" i="1"/>
  <c r="Q2302" i="1"/>
  <c r="P2302" i="1"/>
  <c r="O2302" i="1"/>
  <c r="N2302" i="1"/>
  <c r="K2302" i="1"/>
  <c r="J2302" i="1"/>
  <c r="I2302" i="1"/>
  <c r="H2302" i="1"/>
  <c r="G2302" i="1"/>
  <c r="F2302" i="1"/>
  <c r="E2302" i="1"/>
  <c r="D2302" i="1"/>
  <c r="C2302" i="1"/>
  <c r="V2301" i="1"/>
  <c r="R2301" i="1"/>
  <c r="Q2301" i="1"/>
  <c r="P2301" i="1"/>
  <c r="O2301" i="1"/>
  <c r="N2301" i="1"/>
  <c r="K2301" i="1"/>
  <c r="J2301" i="1"/>
  <c r="I2301" i="1"/>
  <c r="H2301" i="1"/>
  <c r="G2301" i="1"/>
  <c r="F2301" i="1"/>
  <c r="E2301" i="1"/>
  <c r="D2301" i="1"/>
  <c r="C2301" i="1"/>
  <c r="V2300" i="1"/>
  <c r="R2300" i="1"/>
  <c r="Q2300" i="1"/>
  <c r="P2300" i="1"/>
  <c r="O2300" i="1"/>
  <c r="N2300" i="1"/>
  <c r="K2300" i="1"/>
  <c r="J2300" i="1"/>
  <c r="I2300" i="1"/>
  <c r="H2300" i="1"/>
  <c r="G2300" i="1"/>
  <c r="F2300" i="1"/>
  <c r="E2300" i="1"/>
  <c r="D2300" i="1"/>
  <c r="C2300" i="1"/>
  <c r="V2299" i="1"/>
  <c r="R2299" i="1"/>
  <c r="Q2299" i="1"/>
  <c r="P2299" i="1"/>
  <c r="O2299" i="1"/>
  <c r="N2299" i="1"/>
  <c r="K2299" i="1"/>
  <c r="J2299" i="1"/>
  <c r="I2299" i="1"/>
  <c r="H2299" i="1"/>
  <c r="G2299" i="1"/>
  <c r="F2299" i="1"/>
  <c r="E2299" i="1"/>
  <c r="D2299" i="1"/>
  <c r="C2299" i="1"/>
  <c r="V2298" i="1"/>
  <c r="R2298" i="1"/>
  <c r="Q2298" i="1"/>
  <c r="P2298" i="1"/>
  <c r="O2298" i="1"/>
  <c r="N2298" i="1"/>
  <c r="K2298" i="1"/>
  <c r="J2298" i="1"/>
  <c r="I2298" i="1"/>
  <c r="H2298" i="1"/>
  <c r="G2298" i="1"/>
  <c r="F2298" i="1"/>
  <c r="E2298" i="1"/>
  <c r="D2298" i="1"/>
  <c r="C2298" i="1"/>
  <c r="V2297" i="1"/>
  <c r="R2297" i="1"/>
  <c r="Q2297" i="1"/>
  <c r="P2297" i="1"/>
  <c r="O2297" i="1"/>
  <c r="N2297" i="1"/>
  <c r="K2297" i="1"/>
  <c r="J2297" i="1"/>
  <c r="I2297" i="1"/>
  <c r="H2297" i="1"/>
  <c r="G2297" i="1"/>
  <c r="F2297" i="1"/>
  <c r="E2297" i="1"/>
  <c r="D2297" i="1"/>
  <c r="C2297" i="1"/>
  <c r="V2296" i="1"/>
  <c r="R2296" i="1"/>
  <c r="Q2296" i="1"/>
  <c r="P2296" i="1"/>
  <c r="O2296" i="1"/>
  <c r="N2296" i="1"/>
  <c r="K2296" i="1"/>
  <c r="J2296" i="1"/>
  <c r="I2296" i="1"/>
  <c r="H2296" i="1"/>
  <c r="G2296" i="1"/>
  <c r="F2296" i="1"/>
  <c r="E2296" i="1"/>
  <c r="D2296" i="1"/>
  <c r="C2296" i="1"/>
  <c r="V2295" i="1"/>
  <c r="R2295" i="1"/>
  <c r="Q2295" i="1"/>
  <c r="P2295" i="1"/>
  <c r="O2295" i="1"/>
  <c r="N2295" i="1"/>
  <c r="K2295" i="1"/>
  <c r="J2295" i="1"/>
  <c r="I2295" i="1"/>
  <c r="H2295" i="1"/>
  <c r="G2295" i="1"/>
  <c r="F2295" i="1"/>
  <c r="E2295" i="1"/>
  <c r="D2295" i="1"/>
  <c r="C2295" i="1"/>
  <c r="V2294" i="1"/>
  <c r="R2294" i="1"/>
  <c r="Q2294" i="1"/>
  <c r="P2294" i="1"/>
  <c r="O2294" i="1"/>
  <c r="N2294" i="1"/>
  <c r="K2294" i="1"/>
  <c r="J2294" i="1"/>
  <c r="I2294" i="1"/>
  <c r="H2294" i="1"/>
  <c r="G2294" i="1"/>
  <c r="F2294" i="1"/>
  <c r="E2294" i="1"/>
  <c r="D2294" i="1"/>
  <c r="C2294" i="1"/>
  <c r="V2293" i="1"/>
  <c r="R2293" i="1"/>
  <c r="Q2293" i="1"/>
  <c r="P2293" i="1"/>
  <c r="O2293" i="1"/>
  <c r="N2293" i="1"/>
  <c r="K2293" i="1"/>
  <c r="J2293" i="1"/>
  <c r="I2293" i="1"/>
  <c r="H2293" i="1"/>
  <c r="G2293" i="1"/>
  <c r="F2293" i="1"/>
  <c r="E2293" i="1"/>
  <c r="D2293" i="1"/>
  <c r="C2293" i="1"/>
  <c r="V2292" i="1"/>
  <c r="R2292" i="1"/>
  <c r="Q2292" i="1"/>
  <c r="P2292" i="1"/>
  <c r="O2292" i="1"/>
  <c r="N2292" i="1"/>
  <c r="K2292" i="1"/>
  <c r="J2292" i="1"/>
  <c r="I2292" i="1"/>
  <c r="H2292" i="1"/>
  <c r="G2292" i="1"/>
  <c r="F2292" i="1"/>
  <c r="E2292" i="1"/>
  <c r="D2292" i="1"/>
  <c r="C2292" i="1"/>
  <c r="V2291" i="1"/>
  <c r="R2291" i="1"/>
  <c r="Q2291" i="1"/>
  <c r="P2291" i="1"/>
  <c r="O2291" i="1"/>
  <c r="N2291" i="1"/>
  <c r="K2291" i="1"/>
  <c r="J2291" i="1"/>
  <c r="I2291" i="1"/>
  <c r="H2291" i="1"/>
  <c r="G2291" i="1"/>
  <c r="F2291" i="1"/>
  <c r="E2291" i="1"/>
  <c r="D2291" i="1"/>
  <c r="C2291" i="1"/>
  <c r="V2290" i="1"/>
  <c r="R2290" i="1"/>
  <c r="Q2290" i="1"/>
  <c r="P2290" i="1"/>
  <c r="O2290" i="1"/>
  <c r="N2290" i="1"/>
  <c r="K2290" i="1"/>
  <c r="J2290" i="1"/>
  <c r="I2290" i="1"/>
  <c r="H2290" i="1"/>
  <c r="G2290" i="1"/>
  <c r="F2290" i="1"/>
  <c r="E2290" i="1"/>
  <c r="D2290" i="1"/>
  <c r="C2290" i="1"/>
  <c r="V2289" i="1"/>
  <c r="R2289" i="1"/>
  <c r="Q2289" i="1"/>
  <c r="P2289" i="1"/>
  <c r="O2289" i="1"/>
  <c r="N2289" i="1"/>
  <c r="K2289" i="1"/>
  <c r="J2289" i="1"/>
  <c r="I2289" i="1"/>
  <c r="H2289" i="1"/>
  <c r="G2289" i="1"/>
  <c r="F2289" i="1"/>
  <c r="E2289" i="1"/>
  <c r="D2289" i="1"/>
  <c r="C2289" i="1"/>
  <c r="V2288" i="1"/>
  <c r="R2288" i="1"/>
  <c r="Q2288" i="1"/>
  <c r="P2288" i="1"/>
  <c r="O2288" i="1"/>
  <c r="N2288" i="1"/>
  <c r="K2288" i="1"/>
  <c r="J2288" i="1"/>
  <c r="I2288" i="1"/>
  <c r="H2288" i="1"/>
  <c r="G2288" i="1"/>
  <c r="F2288" i="1"/>
  <c r="E2288" i="1"/>
  <c r="D2288" i="1"/>
  <c r="C2288" i="1"/>
  <c r="V2287" i="1"/>
  <c r="R2287" i="1"/>
  <c r="Q2287" i="1"/>
  <c r="P2287" i="1"/>
  <c r="O2287" i="1"/>
  <c r="N2287" i="1"/>
  <c r="K2287" i="1"/>
  <c r="J2287" i="1"/>
  <c r="I2287" i="1"/>
  <c r="H2287" i="1"/>
  <c r="G2287" i="1"/>
  <c r="F2287" i="1"/>
  <c r="E2287" i="1"/>
  <c r="D2287" i="1"/>
  <c r="C2287" i="1"/>
  <c r="V2286" i="1"/>
  <c r="R2286" i="1"/>
  <c r="Q2286" i="1"/>
  <c r="P2286" i="1"/>
  <c r="O2286" i="1"/>
  <c r="N2286" i="1"/>
  <c r="K2286" i="1"/>
  <c r="J2286" i="1"/>
  <c r="I2286" i="1"/>
  <c r="H2286" i="1"/>
  <c r="G2286" i="1"/>
  <c r="F2286" i="1"/>
  <c r="E2286" i="1"/>
  <c r="D2286" i="1"/>
  <c r="C2286" i="1"/>
  <c r="V2285" i="1"/>
  <c r="R2285" i="1"/>
  <c r="Q2285" i="1"/>
  <c r="P2285" i="1"/>
  <c r="O2285" i="1"/>
  <c r="N2285" i="1"/>
  <c r="K2285" i="1"/>
  <c r="J2285" i="1"/>
  <c r="I2285" i="1"/>
  <c r="H2285" i="1"/>
  <c r="G2285" i="1"/>
  <c r="F2285" i="1"/>
  <c r="E2285" i="1"/>
  <c r="D2285" i="1"/>
  <c r="C2285" i="1"/>
  <c r="V2284" i="1"/>
  <c r="R2284" i="1"/>
  <c r="Q2284" i="1"/>
  <c r="P2284" i="1"/>
  <c r="O2284" i="1"/>
  <c r="N2284" i="1"/>
  <c r="K2284" i="1"/>
  <c r="J2284" i="1"/>
  <c r="I2284" i="1"/>
  <c r="H2284" i="1"/>
  <c r="G2284" i="1"/>
  <c r="F2284" i="1"/>
  <c r="E2284" i="1"/>
  <c r="D2284" i="1"/>
  <c r="C2284" i="1"/>
  <c r="V2283" i="1"/>
  <c r="R2283" i="1"/>
  <c r="Q2283" i="1"/>
  <c r="P2283" i="1"/>
  <c r="O2283" i="1"/>
  <c r="N2283" i="1"/>
  <c r="K2283" i="1"/>
  <c r="J2283" i="1"/>
  <c r="I2283" i="1"/>
  <c r="H2283" i="1"/>
  <c r="G2283" i="1"/>
  <c r="F2283" i="1"/>
  <c r="E2283" i="1"/>
  <c r="D2283" i="1"/>
  <c r="C2283" i="1"/>
  <c r="V2282" i="1"/>
  <c r="R2282" i="1"/>
  <c r="Q2282" i="1"/>
  <c r="P2282" i="1"/>
  <c r="O2282" i="1"/>
  <c r="N2282" i="1"/>
  <c r="K2282" i="1"/>
  <c r="J2282" i="1"/>
  <c r="I2282" i="1"/>
  <c r="H2282" i="1"/>
  <c r="G2282" i="1"/>
  <c r="F2282" i="1"/>
  <c r="E2282" i="1"/>
  <c r="D2282" i="1"/>
  <c r="C2282" i="1"/>
  <c r="V2281" i="1"/>
  <c r="R2281" i="1"/>
  <c r="Q2281" i="1"/>
  <c r="P2281" i="1"/>
  <c r="O2281" i="1"/>
  <c r="N2281" i="1"/>
  <c r="K2281" i="1"/>
  <c r="J2281" i="1"/>
  <c r="I2281" i="1"/>
  <c r="H2281" i="1"/>
  <c r="G2281" i="1"/>
  <c r="F2281" i="1"/>
  <c r="E2281" i="1"/>
  <c r="D2281" i="1"/>
  <c r="C2281" i="1"/>
  <c r="V2280" i="1"/>
  <c r="R2280" i="1"/>
  <c r="Q2280" i="1"/>
  <c r="P2280" i="1"/>
  <c r="O2280" i="1"/>
  <c r="N2280" i="1"/>
  <c r="K2280" i="1"/>
  <c r="J2280" i="1"/>
  <c r="I2280" i="1"/>
  <c r="H2280" i="1"/>
  <c r="G2280" i="1"/>
  <c r="F2280" i="1"/>
  <c r="E2280" i="1"/>
  <c r="D2280" i="1"/>
  <c r="C2280" i="1"/>
  <c r="V2279" i="1"/>
  <c r="R2279" i="1"/>
  <c r="Q2279" i="1"/>
  <c r="P2279" i="1"/>
  <c r="O2279" i="1"/>
  <c r="N2279" i="1"/>
  <c r="K2279" i="1"/>
  <c r="J2279" i="1"/>
  <c r="I2279" i="1"/>
  <c r="H2279" i="1"/>
  <c r="G2279" i="1"/>
  <c r="F2279" i="1"/>
  <c r="E2279" i="1"/>
  <c r="D2279" i="1"/>
  <c r="C2279" i="1"/>
  <c r="V2278" i="1"/>
  <c r="R2278" i="1"/>
  <c r="Q2278" i="1"/>
  <c r="P2278" i="1"/>
  <c r="O2278" i="1"/>
  <c r="N2278" i="1"/>
  <c r="K2278" i="1"/>
  <c r="J2278" i="1"/>
  <c r="I2278" i="1"/>
  <c r="H2278" i="1"/>
  <c r="G2278" i="1"/>
  <c r="F2278" i="1"/>
  <c r="E2278" i="1"/>
  <c r="D2278" i="1"/>
  <c r="C2278" i="1"/>
  <c r="V2277" i="1"/>
  <c r="R2277" i="1"/>
  <c r="Q2277" i="1"/>
  <c r="P2277" i="1"/>
  <c r="O2277" i="1"/>
  <c r="N2277" i="1"/>
  <c r="K2277" i="1"/>
  <c r="J2277" i="1"/>
  <c r="I2277" i="1"/>
  <c r="H2277" i="1"/>
  <c r="G2277" i="1"/>
  <c r="F2277" i="1"/>
  <c r="E2277" i="1"/>
  <c r="D2277" i="1"/>
  <c r="C2277" i="1"/>
  <c r="V2276" i="1"/>
  <c r="R2276" i="1"/>
  <c r="Q2276" i="1"/>
  <c r="P2276" i="1"/>
  <c r="O2276" i="1"/>
  <c r="N2276" i="1"/>
  <c r="K2276" i="1"/>
  <c r="J2276" i="1"/>
  <c r="I2276" i="1"/>
  <c r="H2276" i="1"/>
  <c r="G2276" i="1"/>
  <c r="F2276" i="1"/>
  <c r="E2276" i="1"/>
  <c r="D2276" i="1"/>
  <c r="C2276" i="1"/>
  <c r="V2275" i="1"/>
  <c r="R2275" i="1"/>
  <c r="Q2275" i="1"/>
  <c r="P2275" i="1"/>
  <c r="O2275" i="1"/>
  <c r="N2275" i="1"/>
  <c r="K2275" i="1"/>
  <c r="J2275" i="1"/>
  <c r="I2275" i="1"/>
  <c r="H2275" i="1"/>
  <c r="G2275" i="1"/>
  <c r="F2275" i="1"/>
  <c r="E2275" i="1"/>
  <c r="D2275" i="1"/>
  <c r="C2275" i="1"/>
  <c r="V2274" i="1"/>
  <c r="R2274" i="1"/>
  <c r="Q2274" i="1"/>
  <c r="P2274" i="1"/>
  <c r="O2274" i="1"/>
  <c r="N2274" i="1"/>
  <c r="K2274" i="1"/>
  <c r="J2274" i="1"/>
  <c r="I2274" i="1"/>
  <c r="H2274" i="1"/>
  <c r="G2274" i="1"/>
  <c r="F2274" i="1"/>
  <c r="E2274" i="1"/>
  <c r="D2274" i="1"/>
  <c r="C2274" i="1"/>
  <c r="V2273" i="1"/>
  <c r="R2273" i="1"/>
  <c r="Q2273" i="1"/>
  <c r="P2273" i="1"/>
  <c r="O2273" i="1"/>
  <c r="N2273" i="1"/>
  <c r="K2273" i="1"/>
  <c r="J2273" i="1"/>
  <c r="I2273" i="1"/>
  <c r="H2273" i="1"/>
  <c r="G2273" i="1"/>
  <c r="F2273" i="1"/>
  <c r="E2273" i="1"/>
  <c r="D2273" i="1"/>
  <c r="C2273" i="1"/>
  <c r="V2272" i="1"/>
  <c r="R2272" i="1"/>
  <c r="Q2272" i="1"/>
  <c r="P2272" i="1"/>
  <c r="O2272" i="1"/>
  <c r="N2272" i="1"/>
  <c r="K2272" i="1"/>
  <c r="J2272" i="1"/>
  <c r="I2272" i="1"/>
  <c r="H2272" i="1"/>
  <c r="G2272" i="1"/>
  <c r="F2272" i="1"/>
  <c r="E2272" i="1"/>
  <c r="D2272" i="1"/>
  <c r="C2272" i="1"/>
  <c r="V2271" i="1"/>
  <c r="R2271" i="1"/>
  <c r="Q2271" i="1"/>
  <c r="P2271" i="1"/>
  <c r="O2271" i="1"/>
  <c r="N2271" i="1"/>
  <c r="K2271" i="1"/>
  <c r="J2271" i="1"/>
  <c r="I2271" i="1"/>
  <c r="H2271" i="1"/>
  <c r="G2271" i="1"/>
  <c r="F2271" i="1"/>
  <c r="E2271" i="1"/>
  <c r="D2271" i="1"/>
  <c r="C2271" i="1"/>
  <c r="V2270" i="1"/>
  <c r="R2270" i="1"/>
  <c r="Q2270" i="1"/>
  <c r="P2270" i="1"/>
  <c r="O2270" i="1"/>
  <c r="N2270" i="1"/>
  <c r="K2270" i="1"/>
  <c r="J2270" i="1"/>
  <c r="I2270" i="1"/>
  <c r="H2270" i="1"/>
  <c r="G2270" i="1"/>
  <c r="F2270" i="1"/>
  <c r="E2270" i="1"/>
  <c r="D2270" i="1"/>
  <c r="C2270" i="1"/>
  <c r="V2269" i="1"/>
  <c r="R2269" i="1"/>
  <c r="Q2269" i="1"/>
  <c r="P2269" i="1"/>
  <c r="O2269" i="1"/>
  <c r="N2269" i="1"/>
  <c r="K2269" i="1"/>
  <c r="J2269" i="1"/>
  <c r="I2269" i="1"/>
  <c r="H2269" i="1"/>
  <c r="G2269" i="1"/>
  <c r="F2269" i="1"/>
  <c r="E2269" i="1"/>
  <c r="D2269" i="1"/>
  <c r="C2269" i="1"/>
  <c r="V2268" i="1"/>
  <c r="R2268" i="1"/>
  <c r="Q2268" i="1"/>
  <c r="P2268" i="1"/>
  <c r="O2268" i="1"/>
  <c r="N2268" i="1"/>
  <c r="K2268" i="1"/>
  <c r="J2268" i="1"/>
  <c r="I2268" i="1"/>
  <c r="H2268" i="1"/>
  <c r="G2268" i="1"/>
  <c r="F2268" i="1"/>
  <c r="E2268" i="1"/>
  <c r="D2268" i="1"/>
  <c r="C2268" i="1"/>
  <c r="V2267" i="1"/>
  <c r="R2267" i="1"/>
  <c r="Q2267" i="1"/>
  <c r="P2267" i="1"/>
  <c r="O2267" i="1"/>
  <c r="N2267" i="1"/>
  <c r="K2267" i="1"/>
  <c r="J2267" i="1"/>
  <c r="I2267" i="1"/>
  <c r="H2267" i="1"/>
  <c r="G2267" i="1"/>
  <c r="F2267" i="1"/>
  <c r="E2267" i="1"/>
  <c r="D2267" i="1"/>
  <c r="C2267" i="1"/>
  <c r="V2266" i="1"/>
  <c r="R2266" i="1"/>
  <c r="Q2266" i="1"/>
  <c r="P2266" i="1"/>
  <c r="O2266" i="1"/>
  <c r="N2266" i="1"/>
  <c r="K2266" i="1"/>
  <c r="J2266" i="1"/>
  <c r="I2266" i="1"/>
  <c r="H2266" i="1"/>
  <c r="G2266" i="1"/>
  <c r="F2266" i="1"/>
  <c r="E2266" i="1"/>
  <c r="D2266" i="1"/>
  <c r="C2266" i="1"/>
  <c r="V2265" i="1"/>
  <c r="R2265" i="1"/>
  <c r="Q2265" i="1"/>
  <c r="P2265" i="1"/>
  <c r="O2265" i="1"/>
  <c r="N2265" i="1"/>
  <c r="K2265" i="1"/>
  <c r="J2265" i="1"/>
  <c r="I2265" i="1"/>
  <c r="H2265" i="1"/>
  <c r="G2265" i="1"/>
  <c r="F2265" i="1"/>
  <c r="E2265" i="1"/>
  <c r="D2265" i="1"/>
  <c r="C2265" i="1"/>
  <c r="V2264" i="1"/>
  <c r="R2264" i="1"/>
  <c r="Q2264" i="1"/>
  <c r="P2264" i="1"/>
  <c r="O2264" i="1"/>
  <c r="N2264" i="1"/>
  <c r="K2264" i="1"/>
  <c r="J2264" i="1"/>
  <c r="I2264" i="1"/>
  <c r="H2264" i="1"/>
  <c r="G2264" i="1"/>
  <c r="F2264" i="1"/>
  <c r="E2264" i="1"/>
  <c r="D2264" i="1"/>
  <c r="C2264" i="1"/>
  <c r="V2263" i="1"/>
  <c r="R2263" i="1"/>
  <c r="Q2263" i="1"/>
  <c r="P2263" i="1"/>
  <c r="O2263" i="1"/>
  <c r="N2263" i="1"/>
  <c r="K2263" i="1"/>
  <c r="J2263" i="1"/>
  <c r="I2263" i="1"/>
  <c r="H2263" i="1"/>
  <c r="G2263" i="1"/>
  <c r="F2263" i="1"/>
  <c r="E2263" i="1"/>
  <c r="D2263" i="1"/>
  <c r="C2263" i="1"/>
  <c r="V2262" i="1"/>
  <c r="R2262" i="1"/>
  <c r="Q2262" i="1"/>
  <c r="P2262" i="1"/>
  <c r="O2262" i="1"/>
  <c r="N2262" i="1"/>
  <c r="K2262" i="1"/>
  <c r="J2262" i="1"/>
  <c r="I2262" i="1"/>
  <c r="H2262" i="1"/>
  <c r="G2262" i="1"/>
  <c r="F2262" i="1"/>
  <c r="E2262" i="1"/>
  <c r="D2262" i="1"/>
  <c r="C2262" i="1"/>
  <c r="V2261" i="1"/>
  <c r="R2261" i="1"/>
  <c r="Q2261" i="1"/>
  <c r="P2261" i="1"/>
  <c r="O2261" i="1"/>
  <c r="N2261" i="1"/>
  <c r="K2261" i="1"/>
  <c r="J2261" i="1"/>
  <c r="I2261" i="1"/>
  <c r="H2261" i="1"/>
  <c r="G2261" i="1"/>
  <c r="F2261" i="1"/>
  <c r="E2261" i="1"/>
  <c r="D2261" i="1"/>
  <c r="C2261" i="1"/>
  <c r="V2260" i="1"/>
  <c r="R2260" i="1"/>
  <c r="Q2260" i="1"/>
  <c r="P2260" i="1"/>
  <c r="O2260" i="1"/>
  <c r="N2260" i="1"/>
  <c r="K2260" i="1"/>
  <c r="J2260" i="1"/>
  <c r="I2260" i="1"/>
  <c r="H2260" i="1"/>
  <c r="G2260" i="1"/>
  <c r="F2260" i="1"/>
  <c r="E2260" i="1"/>
  <c r="D2260" i="1"/>
  <c r="C2260" i="1"/>
  <c r="V2259" i="1"/>
  <c r="R2259" i="1"/>
  <c r="Q2259" i="1"/>
  <c r="P2259" i="1"/>
  <c r="O2259" i="1"/>
  <c r="N2259" i="1"/>
  <c r="K2259" i="1"/>
  <c r="J2259" i="1"/>
  <c r="I2259" i="1"/>
  <c r="H2259" i="1"/>
  <c r="G2259" i="1"/>
  <c r="F2259" i="1"/>
  <c r="E2259" i="1"/>
  <c r="D2259" i="1"/>
  <c r="C2259" i="1"/>
  <c r="V2258" i="1"/>
  <c r="R2258" i="1"/>
  <c r="Q2258" i="1"/>
  <c r="P2258" i="1"/>
  <c r="O2258" i="1"/>
  <c r="N2258" i="1"/>
  <c r="K2258" i="1"/>
  <c r="J2258" i="1"/>
  <c r="I2258" i="1"/>
  <c r="H2258" i="1"/>
  <c r="G2258" i="1"/>
  <c r="F2258" i="1"/>
  <c r="E2258" i="1"/>
  <c r="D2258" i="1"/>
  <c r="C2258" i="1"/>
  <c r="V2257" i="1"/>
  <c r="R2257" i="1"/>
  <c r="Q2257" i="1"/>
  <c r="P2257" i="1"/>
  <c r="O2257" i="1"/>
  <c r="N2257" i="1"/>
  <c r="K2257" i="1"/>
  <c r="J2257" i="1"/>
  <c r="I2257" i="1"/>
  <c r="H2257" i="1"/>
  <c r="G2257" i="1"/>
  <c r="F2257" i="1"/>
  <c r="E2257" i="1"/>
  <c r="D2257" i="1"/>
  <c r="C2257" i="1"/>
  <c r="V2256" i="1"/>
  <c r="R2256" i="1"/>
  <c r="Q2256" i="1"/>
  <c r="P2256" i="1"/>
  <c r="O2256" i="1"/>
  <c r="N2256" i="1"/>
  <c r="K2256" i="1"/>
  <c r="J2256" i="1"/>
  <c r="I2256" i="1"/>
  <c r="H2256" i="1"/>
  <c r="G2256" i="1"/>
  <c r="F2256" i="1"/>
  <c r="E2256" i="1"/>
  <c r="D2256" i="1"/>
  <c r="C2256" i="1"/>
  <c r="V2255" i="1"/>
  <c r="R2255" i="1"/>
  <c r="Q2255" i="1"/>
  <c r="P2255" i="1"/>
  <c r="O2255" i="1"/>
  <c r="N2255" i="1"/>
  <c r="K2255" i="1"/>
  <c r="J2255" i="1"/>
  <c r="I2255" i="1"/>
  <c r="H2255" i="1"/>
  <c r="G2255" i="1"/>
  <c r="F2255" i="1"/>
  <c r="E2255" i="1"/>
  <c r="D2255" i="1"/>
  <c r="C2255" i="1"/>
  <c r="V2254" i="1"/>
  <c r="R2254" i="1"/>
  <c r="Q2254" i="1"/>
  <c r="P2254" i="1"/>
  <c r="O2254" i="1"/>
  <c r="N2254" i="1"/>
  <c r="K2254" i="1"/>
  <c r="J2254" i="1"/>
  <c r="I2254" i="1"/>
  <c r="H2254" i="1"/>
  <c r="G2254" i="1"/>
  <c r="F2254" i="1"/>
  <c r="E2254" i="1"/>
  <c r="D2254" i="1"/>
  <c r="C2254" i="1"/>
  <c r="V2253" i="1"/>
  <c r="R2253" i="1"/>
  <c r="Q2253" i="1"/>
  <c r="P2253" i="1"/>
  <c r="O2253" i="1"/>
  <c r="N2253" i="1"/>
  <c r="K2253" i="1"/>
  <c r="J2253" i="1"/>
  <c r="I2253" i="1"/>
  <c r="H2253" i="1"/>
  <c r="G2253" i="1"/>
  <c r="F2253" i="1"/>
  <c r="E2253" i="1"/>
  <c r="D2253" i="1"/>
  <c r="C2253" i="1"/>
  <c r="V2252" i="1"/>
  <c r="R2252" i="1"/>
  <c r="Q2252" i="1"/>
  <c r="P2252" i="1"/>
  <c r="O2252" i="1"/>
  <c r="N2252" i="1"/>
  <c r="K2252" i="1"/>
  <c r="J2252" i="1"/>
  <c r="I2252" i="1"/>
  <c r="H2252" i="1"/>
  <c r="G2252" i="1"/>
  <c r="F2252" i="1"/>
  <c r="E2252" i="1"/>
  <c r="D2252" i="1"/>
  <c r="C2252" i="1"/>
  <c r="V2251" i="1"/>
  <c r="R2251" i="1"/>
  <c r="Q2251" i="1"/>
  <c r="P2251" i="1"/>
  <c r="O2251" i="1"/>
  <c r="N2251" i="1"/>
  <c r="K2251" i="1"/>
  <c r="J2251" i="1"/>
  <c r="I2251" i="1"/>
  <c r="H2251" i="1"/>
  <c r="G2251" i="1"/>
  <c r="F2251" i="1"/>
  <c r="E2251" i="1"/>
  <c r="D2251" i="1"/>
  <c r="C2251" i="1"/>
  <c r="V2250" i="1"/>
  <c r="R2250" i="1"/>
  <c r="Q2250" i="1"/>
  <c r="P2250" i="1"/>
  <c r="O2250" i="1"/>
  <c r="N2250" i="1"/>
  <c r="K2250" i="1"/>
  <c r="J2250" i="1"/>
  <c r="I2250" i="1"/>
  <c r="H2250" i="1"/>
  <c r="G2250" i="1"/>
  <c r="F2250" i="1"/>
  <c r="E2250" i="1"/>
  <c r="D2250" i="1"/>
  <c r="C2250" i="1"/>
  <c r="V2249" i="1"/>
  <c r="R2249" i="1"/>
  <c r="Q2249" i="1"/>
  <c r="P2249" i="1"/>
  <c r="O2249" i="1"/>
  <c r="N2249" i="1"/>
  <c r="K2249" i="1"/>
  <c r="J2249" i="1"/>
  <c r="I2249" i="1"/>
  <c r="H2249" i="1"/>
  <c r="G2249" i="1"/>
  <c r="F2249" i="1"/>
  <c r="E2249" i="1"/>
  <c r="D2249" i="1"/>
  <c r="C2249" i="1"/>
  <c r="V2248" i="1"/>
  <c r="R2248" i="1"/>
  <c r="Q2248" i="1"/>
  <c r="P2248" i="1"/>
  <c r="O2248" i="1"/>
  <c r="N2248" i="1"/>
  <c r="L2248" i="1"/>
  <c r="K2248" i="1"/>
  <c r="J2248" i="1"/>
  <c r="I2248" i="1"/>
  <c r="H2248" i="1"/>
  <c r="G2248" i="1"/>
  <c r="F2248" i="1"/>
  <c r="E2248" i="1"/>
  <c r="D2248" i="1"/>
  <c r="C2248" i="1"/>
  <c r="V2247" i="1"/>
  <c r="R2247" i="1"/>
  <c r="Q2247" i="1"/>
  <c r="P2247" i="1"/>
  <c r="O2247" i="1"/>
  <c r="N2247" i="1"/>
  <c r="L2247" i="1"/>
  <c r="K2247" i="1"/>
  <c r="J2247" i="1"/>
  <c r="I2247" i="1"/>
  <c r="H2247" i="1"/>
  <c r="G2247" i="1"/>
  <c r="F2247" i="1"/>
  <c r="E2247" i="1"/>
  <c r="D2247" i="1"/>
  <c r="C2247" i="1"/>
  <c r="V2246" i="1"/>
  <c r="R2246" i="1"/>
  <c r="Q2246" i="1"/>
  <c r="P2246" i="1"/>
  <c r="O2246" i="1"/>
  <c r="N2246" i="1"/>
  <c r="L2246" i="1"/>
  <c r="K2246" i="1"/>
  <c r="J2246" i="1"/>
  <c r="I2246" i="1"/>
  <c r="H2246" i="1"/>
  <c r="G2246" i="1"/>
  <c r="F2246" i="1"/>
  <c r="E2246" i="1"/>
  <c r="D2246" i="1"/>
  <c r="C2246" i="1"/>
  <c r="V2245" i="1"/>
  <c r="R2245" i="1"/>
  <c r="Q2245" i="1"/>
  <c r="P2245" i="1"/>
  <c r="O2245" i="1"/>
  <c r="N2245" i="1"/>
  <c r="L2245" i="1"/>
  <c r="K2245" i="1"/>
  <c r="J2245" i="1"/>
  <c r="I2245" i="1"/>
  <c r="H2245" i="1"/>
  <c r="G2245" i="1"/>
  <c r="F2245" i="1"/>
  <c r="E2245" i="1"/>
  <c r="D2245" i="1"/>
  <c r="C2245" i="1"/>
  <c r="V2244" i="1"/>
  <c r="R2244" i="1"/>
  <c r="Q2244" i="1"/>
  <c r="P2244" i="1"/>
  <c r="O2244" i="1"/>
  <c r="N2244" i="1"/>
  <c r="L2244" i="1"/>
  <c r="K2244" i="1"/>
  <c r="J2244" i="1"/>
  <c r="I2244" i="1"/>
  <c r="H2244" i="1"/>
  <c r="G2244" i="1"/>
  <c r="F2244" i="1"/>
  <c r="E2244" i="1"/>
  <c r="D2244" i="1"/>
  <c r="C2244" i="1"/>
  <c r="V2243" i="1"/>
  <c r="R2243" i="1"/>
  <c r="Q2243" i="1"/>
  <c r="P2243" i="1"/>
  <c r="O2243" i="1"/>
  <c r="N2243" i="1"/>
  <c r="L2243" i="1"/>
  <c r="K2243" i="1"/>
  <c r="J2243" i="1"/>
  <c r="I2243" i="1"/>
  <c r="H2243" i="1"/>
  <c r="G2243" i="1"/>
  <c r="F2243" i="1"/>
  <c r="E2243" i="1"/>
  <c r="D2243" i="1"/>
  <c r="C2243" i="1"/>
  <c r="V2242" i="1"/>
  <c r="R2242" i="1"/>
  <c r="Q2242" i="1"/>
  <c r="P2242" i="1"/>
  <c r="O2242" i="1"/>
  <c r="N2242" i="1"/>
  <c r="L2242" i="1"/>
  <c r="K2242" i="1"/>
  <c r="J2242" i="1"/>
  <c r="I2242" i="1"/>
  <c r="H2242" i="1"/>
  <c r="G2242" i="1"/>
  <c r="F2242" i="1"/>
  <c r="E2242" i="1"/>
  <c r="D2242" i="1"/>
  <c r="C2242" i="1"/>
  <c r="V2241" i="1"/>
  <c r="R2241" i="1"/>
  <c r="Q2241" i="1"/>
  <c r="P2241" i="1"/>
  <c r="O2241" i="1"/>
  <c r="N2241" i="1"/>
  <c r="L2241" i="1"/>
  <c r="K2241" i="1"/>
  <c r="J2241" i="1"/>
  <c r="I2241" i="1"/>
  <c r="H2241" i="1"/>
  <c r="G2241" i="1"/>
  <c r="F2241" i="1"/>
  <c r="E2241" i="1"/>
  <c r="D2241" i="1"/>
  <c r="C2241" i="1"/>
  <c r="V2240" i="1"/>
  <c r="R2240" i="1"/>
  <c r="Q2240" i="1"/>
  <c r="P2240" i="1"/>
  <c r="O2240" i="1"/>
  <c r="N2240" i="1"/>
  <c r="L2240" i="1"/>
  <c r="K2240" i="1"/>
  <c r="J2240" i="1"/>
  <c r="I2240" i="1"/>
  <c r="H2240" i="1"/>
  <c r="G2240" i="1"/>
  <c r="F2240" i="1"/>
  <c r="E2240" i="1"/>
  <c r="D2240" i="1"/>
  <c r="C2240" i="1"/>
  <c r="V2239" i="1"/>
  <c r="R2239" i="1"/>
  <c r="Q2239" i="1"/>
  <c r="P2239" i="1"/>
  <c r="O2239" i="1"/>
  <c r="N2239" i="1"/>
  <c r="L2239" i="1"/>
  <c r="K2239" i="1"/>
  <c r="J2239" i="1"/>
  <c r="I2239" i="1"/>
  <c r="H2239" i="1"/>
  <c r="G2239" i="1"/>
  <c r="F2239" i="1"/>
  <c r="E2239" i="1"/>
  <c r="D2239" i="1"/>
  <c r="C2239" i="1"/>
  <c r="V2238" i="1"/>
  <c r="R2238" i="1"/>
  <c r="Q2238" i="1"/>
  <c r="P2238" i="1"/>
  <c r="O2238" i="1"/>
  <c r="N2238" i="1"/>
  <c r="L2238" i="1"/>
  <c r="K2238" i="1"/>
  <c r="J2238" i="1"/>
  <c r="I2238" i="1"/>
  <c r="H2238" i="1"/>
  <c r="G2238" i="1"/>
  <c r="F2238" i="1"/>
  <c r="E2238" i="1"/>
  <c r="D2238" i="1"/>
  <c r="C2238" i="1"/>
  <c r="V2237" i="1"/>
  <c r="R2237" i="1"/>
  <c r="Q2237" i="1"/>
  <c r="P2237" i="1"/>
  <c r="O2237" i="1"/>
  <c r="N2237" i="1"/>
  <c r="L2237" i="1"/>
  <c r="K2237" i="1"/>
  <c r="J2237" i="1"/>
  <c r="I2237" i="1"/>
  <c r="H2237" i="1"/>
  <c r="G2237" i="1"/>
  <c r="F2237" i="1"/>
  <c r="E2237" i="1"/>
  <c r="D2237" i="1"/>
  <c r="C2237" i="1"/>
  <c r="V2236" i="1"/>
  <c r="R2236" i="1"/>
  <c r="Q2236" i="1"/>
  <c r="P2236" i="1"/>
  <c r="O2236" i="1"/>
  <c r="N2236" i="1"/>
  <c r="L2236" i="1"/>
  <c r="K2236" i="1"/>
  <c r="J2236" i="1"/>
  <c r="I2236" i="1"/>
  <c r="H2236" i="1"/>
  <c r="G2236" i="1"/>
  <c r="F2236" i="1"/>
  <c r="E2236" i="1"/>
  <c r="D2236" i="1"/>
  <c r="C2236" i="1"/>
  <c r="V2235" i="1"/>
  <c r="R2235" i="1"/>
  <c r="Q2235" i="1"/>
  <c r="P2235" i="1"/>
  <c r="O2235" i="1"/>
  <c r="N2235" i="1"/>
  <c r="L2235" i="1"/>
  <c r="K2235" i="1"/>
  <c r="J2235" i="1"/>
  <c r="I2235" i="1"/>
  <c r="H2235" i="1"/>
  <c r="G2235" i="1"/>
  <c r="F2235" i="1"/>
  <c r="E2235" i="1"/>
  <c r="D2235" i="1"/>
  <c r="C2235" i="1"/>
  <c r="V2234" i="1"/>
  <c r="R2234" i="1"/>
  <c r="Q2234" i="1"/>
  <c r="P2234" i="1"/>
  <c r="O2234" i="1"/>
  <c r="N2234" i="1"/>
  <c r="L2234" i="1"/>
  <c r="K2234" i="1"/>
  <c r="J2234" i="1"/>
  <c r="I2234" i="1"/>
  <c r="H2234" i="1"/>
  <c r="G2234" i="1"/>
  <c r="F2234" i="1"/>
  <c r="E2234" i="1"/>
  <c r="D2234" i="1"/>
  <c r="C2234" i="1"/>
  <c r="V2233" i="1"/>
  <c r="R2233" i="1"/>
  <c r="Q2233" i="1"/>
  <c r="P2233" i="1"/>
  <c r="O2233" i="1"/>
  <c r="N2233" i="1"/>
  <c r="L2233" i="1"/>
  <c r="K2233" i="1"/>
  <c r="J2233" i="1"/>
  <c r="I2233" i="1"/>
  <c r="H2233" i="1"/>
  <c r="G2233" i="1"/>
  <c r="F2233" i="1"/>
  <c r="E2233" i="1"/>
  <c r="D2233" i="1"/>
  <c r="C2233" i="1"/>
  <c r="V2232" i="1"/>
  <c r="R2232" i="1"/>
  <c r="Q2232" i="1"/>
  <c r="P2232" i="1"/>
  <c r="O2232" i="1"/>
  <c r="N2232" i="1"/>
  <c r="L2232" i="1"/>
  <c r="K2232" i="1"/>
  <c r="J2232" i="1"/>
  <c r="I2232" i="1"/>
  <c r="H2232" i="1"/>
  <c r="G2232" i="1"/>
  <c r="F2232" i="1"/>
  <c r="E2232" i="1"/>
  <c r="D2232" i="1"/>
  <c r="C2232" i="1"/>
  <c r="V2231" i="1"/>
  <c r="R2231" i="1"/>
  <c r="Q2231" i="1"/>
  <c r="P2231" i="1"/>
  <c r="O2231" i="1"/>
  <c r="N2231" i="1"/>
  <c r="L2231" i="1"/>
  <c r="K2231" i="1"/>
  <c r="J2231" i="1"/>
  <c r="I2231" i="1"/>
  <c r="H2231" i="1"/>
  <c r="G2231" i="1"/>
  <c r="F2231" i="1"/>
  <c r="E2231" i="1"/>
  <c r="D2231" i="1"/>
  <c r="C2231" i="1"/>
  <c r="V2230" i="1"/>
  <c r="R2230" i="1"/>
  <c r="Q2230" i="1"/>
  <c r="P2230" i="1"/>
  <c r="O2230" i="1"/>
  <c r="N2230" i="1"/>
  <c r="K2230" i="1"/>
  <c r="J2230" i="1"/>
  <c r="I2230" i="1"/>
  <c r="H2230" i="1"/>
  <c r="G2230" i="1"/>
  <c r="F2230" i="1"/>
  <c r="E2230" i="1"/>
  <c r="D2230" i="1"/>
  <c r="C2230" i="1"/>
  <c r="V2229" i="1"/>
  <c r="R2229" i="1"/>
  <c r="Q2229" i="1"/>
  <c r="P2229" i="1"/>
  <c r="O2229" i="1"/>
  <c r="N2229" i="1"/>
  <c r="K2229" i="1"/>
  <c r="J2229" i="1"/>
  <c r="I2229" i="1"/>
  <c r="H2229" i="1"/>
  <c r="G2229" i="1"/>
  <c r="F2229" i="1"/>
  <c r="E2229" i="1"/>
  <c r="D2229" i="1"/>
  <c r="C2229" i="1"/>
  <c r="V2228" i="1"/>
  <c r="R2228" i="1"/>
  <c r="Q2228" i="1"/>
  <c r="P2228" i="1"/>
  <c r="O2228" i="1"/>
  <c r="N2228" i="1"/>
  <c r="K2228" i="1"/>
  <c r="J2228" i="1"/>
  <c r="I2228" i="1"/>
  <c r="H2228" i="1"/>
  <c r="G2228" i="1"/>
  <c r="F2228" i="1"/>
  <c r="E2228" i="1"/>
  <c r="D2228" i="1"/>
  <c r="C2228" i="1"/>
  <c r="V2227" i="1"/>
  <c r="R2227" i="1"/>
  <c r="Q2227" i="1"/>
  <c r="P2227" i="1"/>
  <c r="O2227" i="1"/>
  <c r="N2227" i="1"/>
  <c r="K2227" i="1"/>
  <c r="J2227" i="1"/>
  <c r="I2227" i="1"/>
  <c r="H2227" i="1"/>
  <c r="G2227" i="1"/>
  <c r="F2227" i="1"/>
  <c r="E2227" i="1"/>
  <c r="D2227" i="1"/>
  <c r="C2227" i="1"/>
  <c r="V2226" i="1"/>
  <c r="R2226" i="1"/>
  <c r="Q2226" i="1"/>
  <c r="P2226" i="1"/>
  <c r="O2226" i="1"/>
  <c r="N2226" i="1"/>
  <c r="K2226" i="1"/>
  <c r="J2226" i="1"/>
  <c r="I2226" i="1"/>
  <c r="H2226" i="1"/>
  <c r="G2226" i="1"/>
  <c r="F2226" i="1"/>
  <c r="E2226" i="1"/>
  <c r="D2226" i="1"/>
  <c r="C2226" i="1"/>
  <c r="V2225" i="1"/>
  <c r="R2225" i="1"/>
  <c r="Q2225" i="1"/>
  <c r="P2225" i="1"/>
  <c r="O2225" i="1"/>
  <c r="N2225" i="1"/>
  <c r="K2225" i="1"/>
  <c r="J2225" i="1"/>
  <c r="I2225" i="1"/>
  <c r="H2225" i="1"/>
  <c r="G2225" i="1"/>
  <c r="F2225" i="1"/>
  <c r="E2225" i="1"/>
  <c r="D2225" i="1"/>
  <c r="C2225" i="1"/>
  <c r="V2224" i="1"/>
  <c r="R2224" i="1"/>
  <c r="Q2224" i="1"/>
  <c r="P2224" i="1"/>
  <c r="O2224" i="1"/>
  <c r="N2224" i="1"/>
  <c r="K2224" i="1"/>
  <c r="J2224" i="1"/>
  <c r="I2224" i="1"/>
  <c r="H2224" i="1"/>
  <c r="G2224" i="1"/>
  <c r="F2224" i="1"/>
  <c r="E2224" i="1"/>
  <c r="D2224" i="1"/>
  <c r="C2224" i="1"/>
  <c r="V2223" i="1"/>
  <c r="R2223" i="1"/>
  <c r="Q2223" i="1"/>
  <c r="P2223" i="1"/>
  <c r="O2223" i="1"/>
  <c r="N2223" i="1"/>
  <c r="K2223" i="1"/>
  <c r="J2223" i="1"/>
  <c r="I2223" i="1"/>
  <c r="H2223" i="1"/>
  <c r="G2223" i="1"/>
  <c r="F2223" i="1"/>
  <c r="E2223" i="1"/>
  <c r="D2223" i="1"/>
  <c r="C2223" i="1"/>
  <c r="V2222" i="1"/>
  <c r="R2222" i="1"/>
  <c r="Q2222" i="1"/>
  <c r="P2222" i="1"/>
  <c r="O2222" i="1"/>
  <c r="N2222" i="1"/>
  <c r="K2222" i="1"/>
  <c r="J2222" i="1"/>
  <c r="I2222" i="1"/>
  <c r="H2222" i="1"/>
  <c r="G2222" i="1"/>
  <c r="F2222" i="1"/>
  <c r="E2222" i="1"/>
  <c r="D2222" i="1"/>
  <c r="C2222" i="1"/>
  <c r="V2221" i="1"/>
  <c r="R2221" i="1"/>
  <c r="Q2221" i="1"/>
  <c r="P2221" i="1"/>
  <c r="O2221" i="1"/>
  <c r="N2221" i="1"/>
  <c r="K2221" i="1"/>
  <c r="J2221" i="1"/>
  <c r="I2221" i="1"/>
  <c r="H2221" i="1"/>
  <c r="G2221" i="1"/>
  <c r="F2221" i="1"/>
  <c r="E2221" i="1"/>
  <c r="D2221" i="1"/>
  <c r="C2221" i="1"/>
  <c r="V2220" i="1"/>
  <c r="R2220" i="1"/>
  <c r="Q2220" i="1"/>
  <c r="P2220" i="1"/>
  <c r="O2220" i="1"/>
  <c r="N2220" i="1"/>
  <c r="K2220" i="1"/>
  <c r="J2220" i="1"/>
  <c r="I2220" i="1"/>
  <c r="H2220" i="1"/>
  <c r="G2220" i="1"/>
  <c r="F2220" i="1"/>
  <c r="E2220" i="1"/>
  <c r="D2220" i="1"/>
  <c r="C2220" i="1"/>
  <c r="V2219" i="1"/>
  <c r="R2219" i="1"/>
  <c r="Q2219" i="1"/>
  <c r="P2219" i="1"/>
  <c r="O2219" i="1"/>
  <c r="N2219" i="1"/>
  <c r="K2219" i="1"/>
  <c r="J2219" i="1"/>
  <c r="I2219" i="1"/>
  <c r="H2219" i="1"/>
  <c r="G2219" i="1"/>
  <c r="F2219" i="1"/>
  <c r="E2219" i="1"/>
  <c r="D2219" i="1"/>
  <c r="C2219" i="1"/>
  <c r="V2218" i="1"/>
  <c r="R2218" i="1"/>
  <c r="Q2218" i="1"/>
  <c r="P2218" i="1"/>
  <c r="O2218" i="1"/>
  <c r="N2218" i="1"/>
  <c r="L2218" i="1"/>
  <c r="K2218" i="1"/>
  <c r="J2218" i="1"/>
  <c r="I2218" i="1"/>
  <c r="H2218" i="1"/>
  <c r="G2218" i="1"/>
  <c r="F2218" i="1"/>
  <c r="E2218" i="1"/>
  <c r="D2218" i="1"/>
  <c r="C2218" i="1"/>
  <c r="V2217" i="1"/>
  <c r="R2217" i="1"/>
  <c r="Q2217" i="1"/>
  <c r="P2217" i="1"/>
  <c r="O2217" i="1"/>
  <c r="N2217" i="1"/>
  <c r="L2217" i="1"/>
  <c r="K2217" i="1"/>
  <c r="J2217" i="1"/>
  <c r="I2217" i="1"/>
  <c r="H2217" i="1"/>
  <c r="G2217" i="1"/>
  <c r="F2217" i="1"/>
  <c r="E2217" i="1"/>
  <c r="D2217" i="1"/>
  <c r="C2217" i="1"/>
  <c r="V2216" i="1"/>
  <c r="R2216" i="1"/>
  <c r="Q2216" i="1"/>
  <c r="P2216" i="1"/>
  <c r="O2216" i="1"/>
  <c r="N2216" i="1"/>
  <c r="L2216" i="1"/>
  <c r="K2216" i="1"/>
  <c r="J2216" i="1"/>
  <c r="I2216" i="1"/>
  <c r="H2216" i="1"/>
  <c r="G2216" i="1"/>
  <c r="F2216" i="1"/>
  <c r="E2216" i="1"/>
  <c r="D2216" i="1"/>
  <c r="C2216" i="1"/>
  <c r="V2215" i="1"/>
  <c r="R2215" i="1"/>
  <c r="Q2215" i="1"/>
  <c r="P2215" i="1"/>
  <c r="O2215" i="1"/>
  <c r="N2215" i="1"/>
  <c r="L2215" i="1"/>
  <c r="K2215" i="1"/>
  <c r="J2215" i="1"/>
  <c r="I2215" i="1"/>
  <c r="H2215" i="1"/>
  <c r="G2215" i="1"/>
  <c r="F2215" i="1"/>
  <c r="E2215" i="1"/>
  <c r="D2215" i="1"/>
  <c r="C2215" i="1"/>
  <c r="V2214" i="1"/>
  <c r="R2214" i="1"/>
  <c r="Q2214" i="1"/>
  <c r="P2214" i="1"/>
  <c r="O2214" i="1"/>
  <c r="N2214" i="1"/>
  <c r="K2214" i="1"/>
  <c r="J2214" i="1"/>
  <c r="I2214" i="1"/>
  <c r="H2214" i="1"/>
  <c r="G2214" i="1"/>
  <c r="F2214" i="1"/>
  <c r="E2214" i="1"/>
  <c r="D2214" i="1"/>
  <c r="C2214" i="1"/>
  <c r="V2213" i="1"/>
  <c r="R2213" i="1"/>
  <c r="Q2213" i="1"/>
  <c r="P2213" i="1"/>
  <c r="O2213" i="1"/>
  <c r="N2213" i="1"/>
  <c r="K2213" i="1"/>
  <c r="J2213" i="1"/>
  <c r="I2213" i="1"/>
  <c r="H2213" i="1"/>
  <c r="G2213" i="1"/>
  <c r="F2213" i="1"/>
  <c r="E2213" i="1"/>
  <c r="D2213" i="1"/>
  <c r="C2213" i="1"/>
  <c r="V2212" i="1"/>
  <c r="R2212" i="1"/>
  <c r="Q2212" i="1"/>
  <c r="P2212" i="1"/>
  <c r="O2212" i="1"/>
  <c r="N2212" i="1"/>
  <c r="K2212" i="1"/>
  <c r="J2212" i="1"/>
  <c r="I2212" i="1"/>
  <c r="H2212" i="1"/>
  <c r="G2212" i="1"/>
  <c r="F2212" i="1"/>
  <c r="E2212" i="1"/>
  <c r="D2212" i="1"/>
  <c r="C2212" i="1"/>
  <c r="V2211" i="1"/>
  <c r="R2211" i="1"/>
  <c r="Q2211" i="1"/>
  <c r="P2211" i="1"/>
  <c r="O2211" i="1"/>
  <c r="N2211" i="1"/>
  <c r="K2211" i="1"/>
  <c r="J2211" i="1"/>
  <c r="I2211" i="1"/>
  <c r="H2211" i="1"/>
  <c r="G2211" i="1"/>
  <c r="F2211" i="1"/>
  <c r="E2211" i="1"/>
  <c r="D2211" i="1"/>
  <c r="C2211" i="1"/>
  <c r="V2210" i="1"/>
  <c r="R2210" i="1"/>
  <c r="Q2210" i="1"/>
  <c r="P2210" i="1"/>
  <c r="O2210" i="1"/>
  <c r="N2210" i="1"/>
  <c r="K2210" i="1"/>
  <c r="J2210" i="1"/>
  <c r="I2210" i="1"/>
  <c r="H2210" i="1"/>
  <c r="G2210" i="1"/>
  <c r="F2210" i="1"/>
  <c r="E2210" i="1"/>
  <c r="D2210" i="1"/>
  <c r="C2210" i="1"/>
  <c r="V2209" i="1"/>
  <c r="R2209" i="1"/>
  <c r="Q2209" i="1"/>
  <c r="P2209" i="1"/>
  <c r="O2209" i="1"/>
  <c r="N2209" i="1"/>
  <c r="K2209" i="1"/>
  <c r="J2209" i="1"/>
  <c r="I2209" i="1"/>
  <c r="H2209" i="1"/>
  <c r="G2209" i="1"/>
  <c r="F2209" i="1"/>
  <c r="E2209" i="1"/>
  <c r="D2209" i="1"/>
  <c r="C2209" i="1"/>
  <c r="V2208" i="1"/>
  <c r="R2208" i="1"/>
  <c r="Q2208" i="1"/>
  <c r="P2208" i="1"/>
  <c r="O2208" i="1"/>
  <c r="N2208" i="1"/>
  <c r="K2208" i="1"/>
  <c r="J2208" i="1"/>
  <c r="I2208" i="1"/>
  <c r="H2208" i="1"/>
  <c r="G2208" i="1"/>
  <c r="F2208" i="1"/>
  <c r="E2208" i="1"/>
  <c r="D2208" i="1"/>
  <c r="C2208" i="1"/>
  <c r="V2207" i="1"/>
  <c r="R2207" i="1"/>
  <c r="Q2207" i="1"/>
  <c r="P2207" i="1"/>
  <c r="O2207" i="1"/>
  <c r="N2207" i="1"/>
  <c r="K2207" i="1"/>
  <c r="J2207" i="1"/>
  <c r="I2207" i="1"/>
  <c r="H2207" i="1"/>
  <c r="G2207" i="1"/>
  <c r="F2207" i="1"/>
  <c r="E2207" i="1"/>
  <c r="D2207" i="1"/>
  <c r="C2207" i="1"/>
  <c r="V2206" i="1"/>
  <c r="R2206" i="1"/>
  <c r="Q2206" i="1"/>
  <c r="P2206" i="1"/>
  <c r="O2206" i="1"/>
  <c r="N2206" i="1"/>
  <c r="K2206" i="1"/>
  <c r="J2206" i="1"/>
  <c r="I2206" i="1"/>
  <c r="H2206" i="1"/>
  <c r="G2206" i="1"/>
  <c r="F2206" i="1"/>
  <c r="E2206" i="1"/>
  <c r="D2206" i="1"/>
  <c r="C2206" i="1"/>
  <c r="V2205" i="1"/>
  <c r="R2205" i="1"/>
  <c r="Q2205" i="1"/>
  <c r="P2205" i="1"/>
  <c r="O2205" i="1"/>
  <c r="N2205" i="1"/>
  <c r="K2205" i="1"/>
  <c r="J2205" i="1"/>
  <c r="I2205" i="1"/>
  <c r="H2205" i="1"/>
  <c r="G2205" i="1"/>
  <c r="F2205" i="1"/>
  <c r="E2205" i="1"/>
  <c r="D2205" i="1"/>
  <c r="C2205" i="1"/>
  <c r="V2204" i="1"/>
  <c r="R2204" i="1"/>
  <c r="Q2204" i="1"/>
  <c r="P2204" i="1"/>
  <c r="O2204" i="1"/>
  <c r="N2204" i="1"/>
  <c r="K2204" i="1"/>
  <c r="J2204" i="1"/>
  <c r="I2204" i="1"/>
  <c r="H2204" i="1"/>
  <c r="G2204" i="1"/>
  <c r="F2204" i="1"/>
  <c r="E2204" i="1"/>
  <c r="D2204" i="1"/>
  <c r="C2204" i="1"/>
  <c r="V2203" i="1"/>
  <c r="R2203" i="1"/>
  <c r="Q2203" i="1"/>
  <c r="P2203" i="1"/>
  <c r="O2203" i="1"/>
  <c r="N2203" i="1"/>
  <c r="K2203" i="1"/>
  <c r="J2203" i="1"/>
  <c r="I2203" i="1"/>
  <c r="H2203" i="1"/>
  <c r="G2203" i="1"/>
  <c r="F2203" i="1"/>
  <c r="E2203" i="1"/>
  <c r="D2203" i="1"/>
  <c r="C2203" i="1"/>
  <c r="V2202" i="1"/>
  <c r="R2202" i="1"/>
  <c r="Q2202" i="1"/>
  <c r="P2202" i="1"/>
  <c r="O2202" i="1"/>
  <c r="N2202" i="1"/>
  <c r="K2202" i="1"/>
  <c r="J2202" i="1"/>
  <c r="I2202" i="1"/>
  <c r="H2202" i="1"/>
  <c r="G2202" i="1"/>
  <c r="F2202" i="1"/>
  <c r="E2202" i="1"/>
  <c r="D2202" i="1"/>
  <c r="C2202" i="1"/>
  <c r="V2201" i="1"/>
  <c r="R2201" i="1"/>
  <c r="Q2201" i="1"/>
  <c r="P2201" i="1"/>
  <c r="O2201" i="1"/>
  <c r="N2201" i="1"/>
  <c r="K2201" i="1"/>
  <c r="J2201" i="1"/>
  <c r="I2201" i="1"/>
  <c r="H2201" i="1"/>
  <c r="G2201" i="1"/>
  <c r="F2201" i="1"/>
  <c r="E2201" i="1"/>
  <c r="D2201" i="1"/>
  <c r="C2201" i="1"/>
  <c r="V2200" i="1"/>
  <c r="R2200" i="1"/>
  <c r="Q2200" i="1"/>
  <c r="P2200" i="1"/>
  <c r="O2200" i="1"/>
  <c r="N2200" i="1"/>
  <c r="K2200" i="1"/>
  <c r="J2200" i="1"/>
  <c r="I2200" i="1"/>
  <c r="H2200" i="1"/>
  <c r="G2200" i="1"/>
  <c r="F2200" i="1"/>
  <c r="E2200" i="1"/>
  <c r="D2200" i="1"/>
  <c r="C2200" i="1"/>
  <c r="V2199" i="1"/>
  <c r="R2199" i="1"/>
  <c r="Q2199" i="1"/>
  <c r="P2199" i="1"/>
  <c r="O2199" i="1"/>
  <c r="N2199" i="1"/>
  <c r="K2199" i="1"/>
  <c r="J2199" i="1"/>
  <c r="I2199" i="1"/>
  <c r="H2199" i="1"/>
  <c r="G2199" i="1"/>
  <c r="F2199" i="1"/>
  <c r="E2199" i="1"/>
  <c r="D2199" i="1"/>
  <c r="C2199" i="1"/>
  <c r="V2198" i="1"/>
  <c r="R2198" i="1"/>
  <c r="Q2198" i="1"/>
  <c r="P2198" i="1"/>
  <c r="O2198" i="1"/>
  <c r="N2198" i="1"/>
  <c r="K2198" i="1"/>
  <c r="J2198" i="1"/>
  <c r="I2198" i="1"/>
  <c r="H2198" i="1"/>
  <c r="G2198" i="1"/>
  <c r="F2198" i="1"/>
  <c r="E2198" i="1"/>
  <c r="D2198" i="1"/>
  <c r="C2198" i="1"/>
  <c r="V2197" i="1"/>
  <c r="R2197" i="1"/>
  <c r="Q2197" i="1"/>
  <c r="P2197" i="1"/>
  <c r="O2197" i="1"/>
  <c r="N2197" i="1"/>
  <c r="K2197" i="1"/>
  <c r="J2197" i="1"/>
  <c r="I2197" i="1"/>
  <c r="H2197" i="1"/>
  <c r="G2197" i="1"/>
  <c r="F2197" i="1"/>
  <c r="E2197" i="1"/>
  <c r="D2197" i="1"/>
  <c r="C2197" i="1"/>
  <c r="V2196" i="1"/>
  <c r="R2196" i="1"/>
  <c r="Q2196" i="1"/>
  <c r="P2196" i="1"/>
  <c r="O2196" i="1"/>
  <c r="N2196" i="1"/>
  <c r="K2196" i="1"/>
  <c r="J2196" i="1"/>
  <c r="I2196" i="1"/>
  <c r="H2196" i="1"/>
  <c r="G2196" i="1"/>
  <c r="F2196" i="1"/>
  <c r="E2196" i="1"/>
  <c r="D2196" i="1"/>
  <c r="C2196" i="1"/>
  <c r="V2195" i="1"/>
  <c r="R2195" i="1"/>
  <c r="Q2195" i="1"/>
  <c r="P2195" i="1"/>
  <c r="O2195" i="1"/>
  <c r="N2195" i="1"/>
  <c r="K2195" i="1"/>
  <c r="J2195" i="1"/>
  <c r="I2195" i="1"/>
  <c r="H2195" i="1"/>
  <c r="G2195" i="1"/>
  <c r="F2195" i="1"/>
  <c r="E2195" i="1"/>
  <c r="D2195" i="1"/>
  <c r="C2195" i="1"/>
  <c r="V2194" i="1"/>
  <c r="R2194" i="1"/>
  <c r="Q2194" i="1"/>
  <c r="P2194" i="1"/>
  <c r="O2194" i="1"/>
  <c r="N2194" i="1"/>
  <c r="K2194" i="1"/>
  <c r="J2194" i="1"/>
  <c r="I2194" i="1"/>
  <c r="H2194" i="1"/>
  <c r="G2194" i="1"/>
  <c r="F2194" i="1"/>
  <c r="E2194" i="1"/>
  <c r="D2194" i="1"/>
  <c r="C2194" i="1"/>
  <c r="V2193" i="1"/>
  <c r="R2193" i="1"/>
  <c r="Q2193" i="1"/>
  <c r="P2193" i="1"/>
  <c r="O2193" i="1"/>
  <c r="N2193" i="1"/>
  <c r="K2193" i="1"/>
  <c r="J2193" i="1"/>
  <c r="I2193" i="1"/>
  <c r="H2193" i="1"/>
  <c r="G2193" i="1"/>
  <c r="F2193" i="1"/>
  <c r="E2193" i="1"/>
  <c r="D2193" i="1"/>
  <c r="C2193" i="1"/>
  <c r="V2192" i="1"/>
  <c r="R2192" i="1"/>
  <c r="Q2192" i="1"/>
  <c r="P2192" i="1"/>
  <c r="O2192" i="1"/>
  <c r="N2192" i="1"/>
  <c r="K2192" i="1"/>
  <c r="J2192" i="1"/>
  <c r="I2192" i="1"/>
  <c r="H2192" i="1"/>
  <c r="G2192" i="1"/>
  <c r="F2192" i="1"/>
  <c r="E2192" i="1"/>
  <c r="D2192" i="1"/>
  <c r="C2192" i="1"/>
  <c r="V2191" i="1"/>
  <c r="R2191" i="1"/>
  <c r="Q2191" i="1"/>
  <c r="P2191" i="1"/>
  <c r="O2191" i="1"/>
  <c r="N2191" i="1"/>
  <c r="K2191" i="1"/>
  <c r="J2191" i="1"/>
  <c r="I2191" i="1"/>
  <c r="H2191" i="1"/>
  <c r="G2191" i="1"/>
  <c r="F2191" i="1"/>
  <c r="E2191" i="1"/>
  <c r="D2191" i="1"/>
  <c r="C2191" i="1"/>
  <c r="V2190" i="1"/>
  <c r="R2190" i="1"/>
  <c r="Q2190" i="1"/>
  <c r="P2190" i="1"/>
  <c r="O2190" i="1"/>
  <c r="N2190" i="1"/>
  <c r="K2190" i="1"/>
  <c r="J2190" i="1"/>
  <c r="I2190" i="1"/>
  <c r="H2190" i="1"/>
  <c r="G2190" i="1"/>
  <c r="F2190" i="1"/>
  <c r="E2190" i="1"/>
  <c r="D2190" i="1"/>
  <c r="C2190" i="1"/>
  <c r="V2189" i="1"/>
  <c r="R2189" i="1"/>
  <c r="Q2189" i="1"/>
  <c r="P2189" i="1"/>
  <c r="O2189" i="1"/>
  <c r="N2189" i="1"/>
  <c r="K2189" i="1"/>
  <c r="J2189" i="1"/>
  <c r="I2189" i="1"/>
  <c r="H2189" i="1"/>
  <c r="G2189" i="1"/>
  <c r="F2189" i="1"/>
  <c r="E2189" i="1"/>
  <c r="D2189" i="1"/>
  <c r="C2189" i="1"/>
  <c r="V2188" i="1"/>
  <c r="R2188" i="1"/>
  <c r="Q2188" i="1"/>
  <c r="P2188" i="1"/>
  <c r="O2188" i="1"/>
  <c r="N2188" i="1"/>
  <c r="K2188" i="1"/>
  <c r="J2188" i="1"/>
  <c r="I2188" i="1"/>
  <c r="H2188" i="1"/>
  <c r="G2188" i="1"/>
  <c r="F2188" i="1"/>
  <c r="E2188" i="1"/>
  <c r="D2188" i="1"/>
  <c r="C2188" i="1"/>
  <c r="V2187" i="1"/>
  <c r="R2187" i="1"/>
  <c r="Q2187" i="1"/>
  <c r="P2187" i="1"/>
  <c r="O2187" i="1"/>
  <c r="N2187" i="1"/>
  <c r="K2187" i="1"/>
  <c r="J2187" i="1"/>
  <c r="I2187" i="1"/>
  <c r="H2187" i="1"/>
  <c r="G2187" i="1"/>
  <c r="F2187" i="1"/>
  <c r="E2187" i="1"/>
  <c r="D2187" i="1"/>
  <c r="C2187" i="1"/>
  <c r="V2186" i="1"/>
  <c r="R2186" i="1"/>
  <c r="Q2186" i="1"/>
  <c r="P2186" i="1"/>
  <c r="O2186" i="1"/>
  <c r="N2186" i="1"/>
  <c r="K2186" i="1"/>
  <c r="J2186" i="1"/>
  <c r="I2186" i="1"/>
  <c r="H2186" i="1"/>
  <c r="G2186" i="1"/>
  <c r="F2186" i="1"/>
  <c r="E2186" i="1"/>
  <c r="D2186" i="1"/>
  <c r="C2186" i="1"/>
  <c r="V2185" i="1"/>
  <c r="R2185" i="1"/>
  <c r="Q2185" i="1"/>
  <c r="P2185" i="1"/>
  <c r="O2185" i="1"/>
  <c r="N2185" i="1"/>
  <c r="K2185" i="1"/>
  <c r="J2185" i="1"/>
  <c r="I2185" i="1"/>
  <c r="H2185" i="1"/>
  <c r="G2185" i="1"/>
  <c r="F2185" i="1"/>
  <c r="E2185" i="1"/>
  <c r="D2185" i="1"/>
  <c r="C2185" i="1"/>
  <c r="V2184" i="1"/>
  <c r="R2184" i="1"/>
  <c r="Q2184" i="1"/>
  <c r="P2184" i="1"/>
  <c r="O2184" i="1"/>
  <c r="N2184" i="1"/>
  <c r="K2184" i="1"/>
  <c r="J2184" i="1"/>
  <c r="I2184" i="1"/>
  <c r="H2184" i="1"/>
  <c r="G2184" i="1"/>
  <c r="F2184" i="1"/>
  <c r="E2184" i="1"/>
  <c r="D2184" i="1"/>
  <c r="C2184" i="1"/>
  <c r="V2183" i="1"/>
  <c r="R2183" i="1"/>
  <c r="Q2183" i="1"/>
  <c r="P2183" i="1"/>
  <c r="O2183" i="1"/>
  <c r="N2183" i="1"/>
  <c r="K2183" i="1"/>
  <c r="J2183" i="1"/>
  <c r="I2183" i="1"/>
  <c r="H2183" i="1"/>
  <c r="G2183" i="1"/>
  <c r="F2183" i="1"/>
  <c r="E2183" i="1"/>
  <c r="D2183" i="1"/>
  <c r="C2183" i="1"/>
  <c r="V2182" i="1"/>
  <c r="R2182" i="1"/>
  <c r="Q2182" i="1"/>
  <c r="P2182" i="1"/>
  <c r="O2182" i="1"/>
  <c r="N2182" i="1"/>
  <c r="J2182" i="1"/>
  <c r="I2182" i="1"/>
  <c r="H2182" i="1"/>
  <c r="G2182" i="1"/>
  <c r="F2182" i="1"/>
  <c r="E2182" i="1"/>
  <c r="D2182" i="1"/>
  <c r="C2182" i="1"/>
  <c r="V2181" i="1"/>
  <c r="R2181" i="1"/>
  <c r="Q2181" i="1"/>
  <c r="P2181" i="1"/>
  <c r="O2181" i="1"/>
  <c r="N2181" i="1"/>
  <c r="J2181" i="1"/>
  <c r="I2181" i="1"/>
  <c r="H2181" i="1"/>
  <c r="G2181" i="1"/>
  <c r="F2181" i="1"/>
  <c r="E2181" i="1"/>
  <c r="D2181" i="1"/>
  <c r="C2181" i="1"/>
  <c r="V2180" i="1"/>
  <c r="R2180" i="1"/>
  <c r="Q2180" i="1"/>
  <c r="P2180" i="1"/>
  <c r="O2180" i="1"/>
  <c r="N2180" i="1"/>
  <c r="J2180" i="1"/>
  <c r="I2180" i="1"/>
  <c r="H2180" i="1"/>
  <c r="G2180" i="1"/>
  <c r="F2180" i="1"/>
  <c r="E2180" i="1"/>
  <c r="D2180" i="1"/>
  <c r="C2180" i="1"/>
  <c r="V2179" i="1"/>
  <c r="R2179" i="1"/>
  <c r="Q2179" i="1"/>
  <c r="P2179" i="1"/>
  <c r="O2179" i="1"/>
  <c r="N2179" i="1"/>
  <c r="J2179" i="1"/>
  <c r="I2179" i="1"/>
  <c r="H2179" i="1"/>
  <c r="G2179" i="1"/>
  <c r="F2179" i="1"/>
  <c r="E2179" i="1"/>
  <c r="D2179" i="1"/>
  <c r="C2179" i="1"/>
  <c r="V2178" i="1"/>
  <c r="R2178" i="1"/>
  <c r="Q2178" i="1"/>
  <c r="P2178" i="1"/>
  <c r="O2178" i="1"/>
  <c r="N2178" i="1"/>
  <c r="J2178" i="1"/>
  <c r="I2178" i="1"/>
  <c r="H2178" i="1"/>
  <c r="G2178" i="1"/>
  <c r="F2178" i="1"/>
  <c r="E2178" i="1"/>
  <c r="D2178" i="1"/>
  <c r="C2178" i="1"/>
  <c r="V2177" i="1"/>
  <c r="R2177" i="1"/>
  <c r="Q2177" i="1"/>
  <c r="P2177" i="1"/>
  <c r="O2177" i="1"/>
  <c r="N2177" i="1"/>
  <c r="J2177" i="1"/>
  <c r="I2177" i="1"/>
  <c r="H2177" i="1"/>
  <c r="G2177" i="1"/>
  <c r="F2177" i="1"/>
  <c r="E2177" i="1"/>
  <c r="D2177" i="1"/>
  <c r="C2177" i="1"/>
  <c r="V2176" i="1"/>
  <c r="R2176" i="1"/>
  <c r="Q2176" i="1"/>
  <c r="P2176" i="1"/>
  <c r="O2176" i="1"/>
  <c r="N2176" i="1"/>
  <c r="J2176" i="1"/>
  <c r="I2176" i="1"/>
  <c r="H2176" i="1"/>
  <c r="G2176" i="1"/>
  <c r="F2176" i="1"/>
  <c r="E2176" i="1"/>
  <c r="D2176" i="1"/>
  <c r="C2176" i="1"/>
  <c r="V2175" i="1"/>
  <c r="R2175" i="1"/>
  <c r="Q2175" i="1"/>
  <c r="P2175" i="1"/>
  <c r="O2175" i="1"/>
  <c r="N2175" i="1"/>
  <c r="J2175" i="1"/>
  <c r="I2175" i="1"/>
  <c r="H2175" i="1"/>
  <c r="G2175" i="1"/>
  <c r="F2175" i="1"/>
  <c r="E2175" i="1"/>
  <c r="D2175" i="1"/>
  <c r="C2175" i="1"/>
  <c r="V2174" i="1"/>
  <c r="R2174" i="1"/>
  <c r="Q2174" i="1"/>
  <c r="P2174" i="1"/>
  <c r="O2174" i="1"/>
  <c r="N2174" i="1"/>
  <c r="J2174" i="1"/>
  <c r="I2174" i="1"/>
  <c r="H2174" i="1"/>
  <c r="G2174" i="1"/>
  <c r="F2174" i="1"/>
  <c r="E2174" i="1"/>
  <c r="D2174" i="1"/>
  <c r="C2174" i="1"/>
  <c r="V2173" i="1"/>
  <c r="R2173" i="1"/>
  <c r="Q2173" i="1"/>
  <c r="P2173" i="1"/>
  <c r="O2173" i="1"/>
  <c r="N2173" i="1"/>
  <c r="J2173" i="1"/>
  <c r="I2173" i="1"/>
  <c r="H2173" i="1"/>
  <c r="G2173" i="1"/>
  <c r="F2173" i="1"/>
  <c r="E2173" i="1"/>
  <c r="D2173" i="1"/>
  <c r="C2173" i="1"/>
  <c r="V2172" i="1"/>
  <c r="R2172" i="1"/>
  <c r="Q2172" i="1"/>
  <c r="P2172" i="1"/>
  <c r="O2172" i="1"/>
  <c r="N2172" i="1"/>
  <c r="J2172" i="1"/>
  <c r="I2172" i="1"/>
  <c r="H2172" i="1"/>
  <c r="G2172" i="1"/>
  <c r="F2172" i="1"/>
  <c r="E2172" i="1"/>
  <c r="D2172" i="1"/>
  <c r="C2172" i="1"/>
  <c r="V2171" i="1"/>
  <c r="R2171" i="1"/>
  <c r="Q2171" i="1"/>
  <c r="P2171" i="1"/>
  <c r="O2171" i="1"/>
  <c r="N2171" i="1"/>
  <c r="J2171" i="1"/>
  <c r="I2171" i="1"/>
  <c r="H2171" i="1"/>
  <c r="G2171" i="1"/>
  <c r="F2171" i="1"/>
  <c r="E2171" i="1"/>
  <c r="D2171" i="1"/>
  <c r="C2171" i="1"/>
  <c r="V2170" i="1"/>
  <c r="R2170" i="1"/>
  <c r="Q2170" i="1"/>
  <c r="P2170" i="1"/>
  <c r="O2170" i="1"/>
  <c r="N2170" i="1"/>
  <c r="J2170" i="1"/>
  <c r="I2170" i="1"/>
  <c r="H2170" i="1"/>
  <c r="G2170" i="1"/>
  <c r="F2170" i="1"/>
  <c r="E2170" i="1"/>
  <c r="D2170" i="1"/>
  <c r="C2170" i="1"/>
  <c r="V2169" i="1"/>
  <c r="R2169" i="1"/>
  <c r="Q2169" i="1"/>
  <c r="P2169" i="1"/>
  <c r="O2169" i="1"/>
  <c r="N2169" i="1"/>
  <c r="J2169" i="1"/>
  <c r="I2169" i="1"/>
  <c r="H2169" i="1"/>
  <c r="G2169" i="1"/>
  <c r="F2169" i="1"/>
  <c r="E2169" i="1"/>
  <c r="D2169" i="1"/>
  <c r="C2169" i="1"/>
  <c r="V2168" i="1"/>
  <c r="R2168" i="1"/>
  <c r="Q2168" i="1"/>
  <c r="P2168" i="1"/>
  <c r="O2168" i="1"/>
  <c r="N2168" i="1"/>
  <c r="J2168" i="1"/>
  <c r="I2168" i="1"/>
  <c r="H2168" i="1"/>
  <c r="G2168" i="1"/>
  <c r="F2168" i="1"/>
  <c r="E2168" i="1"/>
  <c r="D2168" i="1"/>
  <c r="C2168" i="1"/>
  <c r="V2167" i="1"/>
  <c r="R2167" i="1"/>
  <c r="Q2167" i="1"/>
  <c r="P2167" i="1"/>
  <c r="O2167" i="1"/>
  <c r="N2167" i="1"/>
  <c r="J2167" i="1"/>
  <c r="I2167" i="1"/>
  <c r="H2167" i="1"/>
  <c r="G2167" i="1"/>
  <c r="F2167" i="1"/>
  <c r="E2167" i="1"/>
  <c r="D2167" i="1"/>
  <c r="C2167" i="1"/>
  <c r="V2166" i="1"/>
  <c r="R2166" i="1"/>
  <c r="Q2166" i="1"/>
  <c r="P2166" i="1"/>
  <c r="O2166" i="1"/>
  <c r="N2166" i="1"/>
  <c r="J2166" i="1"/>
  <c r="I2166" i="1"/>
  <c r="H2166" i="1"/>
  <c r="G2166" i="1"/>
  <c r="F2166" i="1"/>
  <c r="E2166" i="1"/>
  <c r="D2166" i="1"/>
  <c r="C2166" i="1"/>
  <c r="V2165" i="1"/>
  <c r="R2165" i="1"/>
  <c r="Q2165" i="1"/>
  <c r="P2165" i="1"/>
  <c r="O2165" i="1"/>
  <c r="N2165" i="1"/>
  <c r="J2165" i="1"/>
  <c r="I2165" i="1"/>
  <c r="H2165" i="1"/>
  <c r="G2165" i="1"/>
  <c r="F2165" i="1"/>
  <c r="E2165" i="1"/>
  <c r="D2165" i="1"/>
  <c r="C2165" i="1"/>
  <c r="V2164" i="1"/>
  <c r="R2164" i="1"/>
  <c r="Q2164" i="1"/>
  <c r="P2164" i="1"/>
  <c r="O2164" i="1"/>
  <c r="N2164" i="1"/>
  <c r="J2164" i="1"/>
  <c r="I2164" i="1"/>
  <c r="H2164" i="1"/>
  <c r="G2164" i="1"/>
  <c r="F2164" i="1"/>
  <c r="E2164" i="1"/>
  <c r="D2164" i="1"/>
  <c r="C2164" i="1"/>
  <c r="V2163" i="1"/>
  <c r="R2163" i="1"/>
  <c r="Q2163" i="1"/>
  <c r="P2163" i="1"/>
  <c r="O2163" i="1"/>
  <c r="N2163" i="1"/>
  <c r="J2163" i="1"/>
  <c r="I2163" i="1"/>
  <c r="H2163" i="1"/>
  <c r="G2163" i="1"/>
  <c r="F2163" i="1"/>
  <c r="E2163" i="1"/>
  <c r="D2163" i="1"/>
  <c r="C2163" i="1"/>
  <c r="V2162" i="1"/>
  <c r="R2162" i="1"/>
  <c r="Q2162" i="1"/>
  <c r="P2162" i="1"/>
  <c r="O2162" i="1"/>
  <c r="N2162" i="1"/>
  <c r="J2162" i="1"/>
  <c r="I2162" i="1"/>
  <c r="H2162" i="1"/>
  <c r="G2162" i="1"/>
  <c r="F2162" i="1"/>
  <c r="E2162" i="1"/>
  <c r="D2162" i="1"/>
  <c r="C2162" i="1"/>
  <c r="V2161" i="1"/>
  <c r="R2161" i="1"/>
  <c r="Q2161" i="1"/>
  <c r="P2161" i="1"/>
  <c r="O2161" i="1"/>
  <c r="N2161" i="1"/>
  <c r="J2161" i="1"/>
  <c r="I2161" i="1"/>
  <c r="H2161" i="1"/>
  <c r="G2161" i="1"/>
  <c r="F2161" i="1"/>
  <c r="E2161" i="1"/>
  <c r="D2161" i="1"/>
  <c r="C2161" i="1"/>
  <c r="V2160" i="1"/>
  <c r="R2160" i="1"/>
  <c r="Q2160" i="1"/>
  <c r="P2160" i="1"/>
  <c r="O2160" i="1"/>
  <c r="N2160" i="1"/>
  <c r="J2160" i="1"/>
  <c r="I2160" i="1"/>
  <c r="H2160" i="1"/>
  <c r="G2160" i="1"/>
  <c r="F2160" i="1"/>
  <c r="E2160" i="1"/>
  <c r="D2160" i="1"/>
  <c r="C2160" i="1"/>
  <c r="V2159" i="1"/>
  <c r="R2159" i="1"/>
  <c r="Q2159" i="1"/>
  <c r="P2159" i="1"/>
  <c r="O2159" i="1"/>
  <c r="N2159" i="1"/>
  <c r="J2159" i="1"/>
  <c r="I2159" i="1"/>
  <c r="H2159" i="1"/>
  <c r="G2159" i="1"/>
  <c r="F2159" i="1"/>
  <c r="E2159" i="1"/>
  <c r="D2159" i="1"/>
  <c r="C2159" i="1"/>
  <c r="V2158" i="1"/>
  <c r="R2158" i="1"/>
  <c r="Q2158" i="1"/>
  <c r="P2158" i="1"/>
  <c r="O2158" i="1"/>
  <c r="N2158" i="1"/>
  <c r="J2158" i="1"/>
  <c r="I2158" i="1"/>
  <c r="H2158" i="1"/>
  <c r="G2158" i="1"/>
  <c r="F2158" i="1"/>
  <c r="E2158" i="1"/>
  <c r="D2158" i="1"/>
  <c r="C2158" i="1"/>
  <c r="V2157" i="1"/>
  <c r="R2157" i="1"/>
  <c r="Q2157" i="1"/>
  <c r="P2157" i="1"/>
  <c r="O2157" i="1"/>
  <c r="N2157" i="1"/>
  <c r="J2157" i="1"/>
  <c r="I2157" i="1"/>
  <c r="H2157" i="1"/>
  <c r="G2157" i="1"/>
  <c r="F2157" i="1"/>
  <c r="E2157" i="1"/>
  <c r="D2157" i="1"/>
  <c r="C2157" i="1"/>
  <c r="V2156" i="1"/>
  <c r="R2156" i="1"/>
  <c r="Q2156" i="1"/>
  <c r="P2156" i="1"/>
  <c r="O2156" i="1"/>
  <c r="N2156" i="1"/>
  <c r="J2156" i="1"/>
  <c r="I2156" i="1"/>
  <c r="H2156" i="1"/>
  <c r="G2156" i="1"/>
  <c r="F2156" i="1"/>
  <c r="E2156" i="1"/>
  <c r="D2156" i="1"/>
  <c r="C2156" i="1"/>
  <c r="V2155" i="1"/>
  <c r="R2155" i="1"/>
  <c r="Q2155" i="1"/>
  <c r="P2155" i="1"/>
  <c r="O2155" i="1"/>
  <c r="N2155" i="1"/>
  <c r="J2155" i="1"/>
  <c r="I2155" i="1"/>
  <c r="H2155" i="1"/>
  <c r="G2155" i="1"/>
  <c r="F2155" i="1"/>
  <c r="E2155" i="1"/>
  <c r="D2155" i="1"/>
  <c r="C2155" i="1"/>
  <c r="V2154" i="1"/>
  <c r="R2154" i="1"/>
  <c r="Q2154" i="1"/>
  <c r="P2154" i="1"/>
  <c r="O2154" i="1"/>
  <c r="N2154" i="1"/>
  <c r="J2154" i="1"/>
  <c r="I2154" i="1"/>
  <c r="H2154" i="1"/>
  <c r="G2154" i="1"/>
  <c r="F2154" i="1"/>
  <c r="E2154" i="1"/>
  <c r="D2154" i="1"/>
  <c r="C2154" i="1"/>
  <c r="V2153" i="1"/>
  <c r="R2153" i="1"/>
  <c r="Q2153" i="1"/>
  <c r="P2153" i="1"/>
  <c r="O2153" i="1"/>
  <c r="N2153" i="1"/>
  <c r="J2153" i="1"/>
  <c r="I2153" i="1"/>
  <c r="H2153" i="1"/>
  <c r="G2153" i="1"/>
  <c r="F2153" i="1"/>
  <c r="E2153" i="1"/>
  <c r="D2153" i="1"/>
  <c r="C2153" i="1"/>
  <c r="V2152" i="1"/>
  <c r="R2152" i="1"/>
  <c r="Q2152" i="1"/>
  <c r="P2152" i="1"/>
  <c r="O2152" i="1"/>
  <c r="N2152" i="1"/>
  <c r="J2152" i="1"/>
  <c r="I2152" i="1"/>
  <c r="H2152" i="1"/>
  <c r="G2152" i="1"/>
  <c r="F2152" i="1"/>
  <c r="E2152" i="1"/>
  <c r="D2152" i="1"/>
  <c r="C2152" i="1"/>
  <c r="V2151" i="1"/>
  <c r="R2151" i="1"/>
  <c r="Q2151" i="1"/>
  <c r="P2151" i="1"/>
  <c r="O2151" i="1"/>
  <c r="N2151" i="1"/>
  <c r="J2151" i="1"/>
  <c r="I2151" i="1"/>
  <c r="H2151" i="1"/>
  <c r="G2151" i="1"/>
  <c r="F2151" i="1"/>
  <c r="E2151" i="1"/>
  <c r="D2151" i="1"/>
  <c r="C2151" i="1"/>
  <c r="V2150" i="1"/>
  <c r="R2150" i="1"/>
  <c r="Q2150" i="1"/>
  <c r="P2150" i="1"/>
  <c r="O2150" i="1"/>
  <c r="N2150" i="1"/>
  <c r="J2150" i="1"/>
  <c r="I2150" i="1"/>
  <c r="H2150" i="1"/>
  <c r="G2150" i="1"/>
  <c r="F2150" i="1"/>
  <c r="E2150" i="1"/>
  <c r="D2150" i="1"/>
  <c r="C2150" i="1"/>
  <c r="V2149" i="1"/>
  <c r="R2149" i="1"/>
  <c r="Q2149" i="1"/>
  <c r="P2149" i="1"/>
  <c r="O2149" i="1"/>
  <c r="N2149" i="1"/>
  <c r="J2149" i="1"/>
  <c r="I2149" i="1"/>
  <c r="H2149" i="1"/>
  <c r="G2149" i="1"/>
  <c r="F2149" i="1"/>
  <c r="E2149" i="1"/>
  <c r="D2149" i="1"/>
  <c r="C2149" i="1"/>
  <c r="V2148" i="1"/>
  <c r="R2148" i="1"/>
  <c r="Q2148" i="1"/>
  <c r="P2148" i="1"/>
  <c r="O2148" i="1"/>
  <c r="N2148" i="1"/>
  <c r="J2148" i="1"/>
  <c r="I2148" i="1"/>
  <c r="H2148" i="1"/>
  <c r="G2148" i="1"/>
  <c r="F2148" i="1"/>
  <c r="E2148" i="1"/>
  <c r="D2148" i="1"/>
  <c r="C2148" i="1"/>
  <c r="V2147" i="1"/>
  <c r="R2147" i="1"/>
  <c r="Q2147" i="1"/>
  <c r="P2147" i="1"/>
  <c r="O2147" i="1"/>
  <c r="N2147" i="1"/>
  <c r="J2147" i="1"/>
  <c r="I2147" i="1"/>
  <c r="H2147" i="1"/>
  <c r="G2147" i="1"/>
  <c r="F2147" i="1"/>
  <c r="E2147" i="1"/>
  <c r="D2147" i="1"/>
  <c r="C2147" i="1"/>
  <c r="V2146" i="1"/>
  <c r="R2146" i="1"/>
  <c r="Q2146" i="1"/>
  <c r="P2146" i="1"/>
  <c r="O2146" i="1"/>
  <c r="N2146" i="1"/>
  <c r="J2146" i="1"/>
  <c r="I2146" i="1"/>
  <c r="H2146" i="1"/>
  <c r="G2146" i="1"/>
  <c r="F2146" i="1"/>
  <c r="E2146" i="1"/>
  <c r="D2146" i="1"/>
  <c r="C2146" i="1"/>
  <c r="V2145" i="1"/>
  <c r="R2145" i="1"/>
  <c r="Q2145" i="1"/>
  <c r="P2145" i="1"/>
  <c r="O2145" i="1"/>
  <c r="N2145" i="1"/>
  <c r="J2145" i="1"/>
  <c r="I2145" i="1"/>
  <c r="H2145" i="1"/>
  <c r="G2145" i="1"/>
  <c r="F2145" i="1"/>
  <c r="E2145" i="1"/>
  <c r="D2145" i="1"/>
  <c r="C2145" i="1"/>
  <c r="V2144" i="1"/>
  <c r="R2144" i="1"/>
  <c r="Q2144" i="1"/>
  <c r="P2144" i="1"/>
  <c r="O2144" i="1"/>
  <c r="N2144" i="1"/>
  <c r="J2144" i="1"/>
  <c r="I2144" i="1"/>
  <c r="H2144" i="1"/>
  <c r="G2144" i="1"/>
  <c r="F2144" i="1"/>
  <c r="E2144" i="1"/>
  <c r="D2144" i="1"/>
  <c r="C2144" i="1"/>
  <c r="V2143" i="1"/>
  <c r="R2143" i="1"/>
  <c r="Q2143" i="1"/>
  <c r="P2143" i="1"/>
  <c r="O2143" i="1"/>
  <c r="N2143" i="1"/>
  <c r="J2143" i="1"/>
  <c r="I2143" i="1"/>
  <c r="H2143" i="1"/>
  <c r="G2143" i="1"/>
  <c r="F2143" i="1"/>
  <c r="E2143" i="1"/>
  <c r="D2143" i="1"/>
  <c r="C2143" i="1"/>
  <c r="V2142" i="1"/>
  <c r="R2142" i="1"/>
  <c r="Q2142" i="1"/>
  <c r="P2142" i="1"/>
  <c r="O2142" i="1"/>
  <c r="N2142" i="1"/>
  <c r="J2142" i="1"/>
  <c r="I2142" i="1"/>
  <c r="H2142" i="1"/>
  <c r="G2142" i="1"/>
  <c r="F2142" i="1"/>
  <c r="E2142" i="1"/>
  <c r="D2142" i="1"/>
  <c r="C2142" i="1"/>
  <c r="V2141" i="1"/>
  <c r="R2141" i="1"/>
  <c r="Q2141" i="1"/>
  <c r="P2141" i="1"/>
  <c r="O2141" i="1"/>
  <c r="N2141" i="1"/>
  <c r="J2141" i="1"/>
  <c r="I2141" i="1"/>
  <c r="H2141" i="1"/>
  <c r="G2141" i="1"/>
  <c r="F2141" i="1"/>
  <c r="E2141" i="1"/>
  <c r="D2141" i="1"/>
  <c r="C2141" i="1"/>
  <c r="V2140" i="1"/>
  <c r="R2140" i="1"/>
  <c r="Q2140" i="1"/>
  <c r="P2140" i="1"/>
  <c r="O2140" i="1"/>
  <c r="N2140" i="1"/>
  <c r="J2140" i="1"/>
  <c r="I2140" i="1"/>
  <c r="H2140" i="1"/>
  <c r="G2140" i="1"/>
  <c r="F2140" i="1"/>
  <c r="E2140" i="1"/>
  <c r="D2140" i="1"/>
  <c r="C2140" i="1"/>
  <c r="V2139" i="1"/>
  <c r="R2139" i="1"/>
  <c r="Q2139" i="1"/>
  <c r="P2139" i="1"/>
  <c r="O2139" i="1"/>
  <c r="N2139" i="1"/>
  <c r="J2139" i="1"/>
  <c r="I2139" i="1"/>
  <c r="H2139" i="1"/>
  <c r="G2139" i="1"/>
  <c r="F2139" i="1"/>
  <c r="E2139" i="1"/>
  <c r="D2139" i="1"/>
  <c r="C2139" i="1"/>
  <c r="V2138" i="1"/>
  <c r="R2138" i="1"/>
  <c r="Q2138" i="1"/>
  <c r="P2138" i="1"/>
  <c r="O2138" i="1"/>
  <c r="N2138" i="1"/>
  <c r="J2138" i="1"/>
  <c r="I2138" i="1"/>
  <c r="H2138" i="1"/>
  <c r="G2138" i="1"/>
  <c r="F2138" i="1"/>
  <c r="E2138" i="1"/>
  <c r="D2138" i="1"/>
  <c r="C2138" i="1"/>
  <c r="V2137" i="1"/>
  <c r="R2137" i="1"/>
  <c r="Q2137" i="1"/>
  <c r="P2137" i="1"/>
  <c r="O2137" i="1"/>
  <c r="N2137" i="1"/>
  <c r="J2137" i="1"/>
  <c r="I2137" i="1"/>
  <c r="H2137" i="1"/>
  <c r="G2137" i="1"/>
  <c r="F2137" i="1"/>
  <c r="E2137" i="1"/>
  <c r="D2137" i="1"/>
  <c r="C2137" i="1"/>
  <c r="V2136" i="1"/>
  <c r="R2136" i="1"/>
  <c r="Q2136" i="1"/>
  <c r="P2136" i="1"/>
  <c r="O2136" i="1"/>
  <c r="N2136" i="1"/>
  <c r="J2136" i="1"/>
  <c r="I2136" i="1"/>
  <c r="H2136" i="1"/>
  <c r="G2136" i="1"/>
  <c r="F2136" i="1"/>
  <c r="E2136" i="1"/>
  <c r="D2136" i="1"/>
  <c r="C2136" i="1"/>
  <c r="V2135" i="1"/>
  <c r="R2135" i="1"/>
  <c r="Q2135" i="1"/>
  <c r="P2135" i="1"/>
  <c r="O2135" i="1"/>
  <c r="N2135" i="1"/>
  <c r="J2135" i="1"/>
  <c r="I2135" i="1"/>
  <c r="H2135" i="1"/>
  <c r="G2135" i="1"/>
  <c r="F2135" i="1"/>
  <c r="E2135" i="1"/>
  <c r="D2135" i="1"/>
  <c r="C2135" i="1"/>
  <c r="V2134" i="1"/>
  <c r="R2134" i="1"/>
  <c r="Q2134" i="1"/>
  <c r="P2134" i="1"/>
  <c r="O2134" i="1"/>
  <c r="N2134" i="1"/>
  <c r="J2134" i="1"/>
  <c r="I2134" i="1"/>
  <c r="H2134" i="1"/>
  <c r="G2134" i="1"/>
  <c r="F2134" i="1"/>
  <c r="E2134" i="1"/>
  <c r="D2134" i="1"/>
  <c r="C2134" i="1"/>
  <c r="V2133" i="1"/>
  <c r="R2133" i="1"/>
  <c r="Q2133" i="1"/>
  <c r="P2133" i="1"/>
  <c r="O2133" i="1"/>
  <c r="N2133" i="1"/>
  <c r="J2133" i="1"/>
  <c r="I2133" i="1"/>
  <c r="H2133" i="1"/>
  <c r="G2133" i="1"/>
  <c r="F2133" i="1"/>
  <c r="E2133" i="1"/>
  <c r="D2133" i="1"/>
  <c r="C2133" i="1"/>
  <c r="V2132" i="1"/>
  <c r="R2132" i="1"/>
  <c r="Q2132" i="1"/>
  <c r="P2132" i="1"/>
  <c r="O2132" i="1"/>
  <c r="N2132" i="1"/>
  <c r="J2132" i="1"/>
  <c r="I2132" i="1"/>
  <c r="H2132" i="1"/>
  <c r="G2132" i="1"/>
  <c r="F2132" i="1"/>
  <c r="E2132" i="1"/>
  <c r="D2132" i="1"/>
  <c r="C2132" i="1"/>
  <c r="V2131" i="1"/>
  <c r="R2131" i="1"/>
  <c r="Q2131" i="1"/>
  <c r="P2131" i="1"/>
  <c r="O2131" i="1"/>
  <c r="N2131" i="1"/>
  <c r="J2131" i="1"/>
  <c r="I2131" i="1"/>
  <c r="H2131" i="1"/>
  <c r="G2131" i="1"/>
  <c r="F2131" i="1"/>
  <c r="E2131" i="1"/>
  <c r="D2131" i="1"/>
  <c r="C2131" i="1"/>
  <c r="V2130" i="1"/>
  <c r="R2130" i="1"/>
  <c r="Q2130" i="1"/>
  <c r="P2130" i="1"/>
  <c r="O2130" i="1"/>
  <c r="N2130" i="1"/>
  <c r="J2130" i="1"/>
  <c r="I2130" i="1"/>
  <c r="H2130" i="1"/>
  <c r="G2130" i="1"/>
  <c r="F2130" i="1"/>
  <c r="E2130" i="1"/>
  <c r="D2130" i="1"/>
  <c r="C2130" i="1"/>
  <c r="V2129" i="1"/>
  <c r="R2129" i="1"/>
  <c r="Q2129" i="1"/>
  <c r="P2129" i="1"/>
  <c r="O2129" i="1"/>
  <c r="N2129" i="1"/>
  <c r="J2129" i="1"/>
  <c r="I2129" i="1"/>
  <c r="H2129" i="1"/>
  <c r="G2129" i="1"/>
  <c r="F2129" i="1"/>
  <c r="E2129" i="1"/>
  <c r="D2129" i="1"/>
  <c r="C2129" i="1"/>
  <c r="V2128" i="1"/>
  <c r="R2128" i="1"/>
  <c r="Q2128" i="1"/>
  <c r="P2128" i="1"/>
  <c r="O2128" i="1"/>
  <c r="N2128" i="1"/>
  <c r="J2128" i="1"/>
  <c r="I2128" i="1"/>
  <c r="H2128" i="1"/>
  <c r="G2128" i="1"/>
  <c r="F2128" i="1"/>
  <c r="E2128" i="1"/>
  <c r="D2128" i="1"/>
  <c r="C2128" i="1"/>
  <c r="V2127" i="1"/>
  <c r="R2127" i="1"/>
  <c r="Q2127" i="1"/>
  <c r="P2127" i="1"/>
  <c r="O2127" i="1"/>
  <c r="N2127" i="1"/>
  <c r="J2127" i="1"/>
  <c r="I2127" i="1"/>
  <c r="H2127" i="1"/>
  <c r="G2127" i="1"/>
  <c r="F2127" i="1"/>
  <c r="E2127" i="1"/>
  <c r="D2127" i="1"/>
  <c r="C2127" i="1"/>
  <c r="V2126" i="1"/>
  <c r="R2126" i="1"/>
  <c r="Q2126" i="1"/>
  <c r="P2126" i="1"/>
  <c r="O2126" i="1"/>
  <c r="N2126" i="1"/>
  <c r="J2126" i="1"/>
  <c r="I2126" i="1"/>
  <c r="H2126" i="1"/>
  <c r="G2126" i="1"/>
  <c r="F2126" i="1"/>
  <c r="E2126" i="1"/>
  <c r="D2126" i="1"/>
  <c r="C2126" i="1"/>
  <c r="V2125" i="1"/>
  <c r="R2125" i="1"/>
  <c r="Q2125" i="1"/>
  <c r="P2125" i="1"/>
  <c r="O2125" i="1"/>
  <c r="N2125" i="1"/>
  <c r="J2125" i="1"/>
  <c r="I2125" i="1"/>
  <c r="H2125" i="1"/>
  <c r="G2125" i="1"/>
  <c r="F2125" i="1"/>
  <c r="E2125" i="1"/>
  <c r="D2125" i="1"/>
  <c r="C2125" i="1"/>
  <c r="V2124" i="1"/>
  <c r="R2124" i="1"/>
  <c r="Q2124" i="1"/>
  <c r="P2124" i="1"/>
  <c r="O2124" i="1"/>
  <c r="N2124" i="1"/>
  <c r="J2124" i="1"/>
  <c r="I2124" i="1"/>
  <c r="H2124" i="1"/>
  <c r="G2124" i="1"/>
  <c r="F2124" i="1"/>
  <c r="E2124" i="1"/>
  <c r="D2124" i="1"/>
  <c r="C2124" i="1"/>
  <c r="V2123" i="1"/>
  <c r="R2123" i="1"/>
  <c r="Q2123" i="1"/>
  <c r="P2123" i="1"/>
  <c r="O2123" i="1"/>
  <c r="N2123" i="1"/>
  <c r="J2123" i="1"/>
  <c r="I2123" i="1"/>
  <c r="H2123" i="1"/>
  <c r="G2123" i="1"/>
  <c r="F2123" i="1"/>
  <c r="E2123" i="1"/>
  <c r="D2123" i="1"/>
  <c r="C2123" i="1"/>
  <c r="V2122" i="1"/>
  <c r="R2122" i="1"/>
  <c r="Q2122" i="1"/>
  <c r="P2122" i="1"/>
  <c r="O2122" i="1"/>
  <c r="N2122" i="1"/>
  <c r="J2122" i="1"/>
  <c r="I2122" i="1"/>
  <c r="H2122" i="1"/>
  <c r="G2122" i="1"/>
  <c r="F2122" i="1"/>
  <c r="E2122" i="1"/>
  <c r="D2122" i="1"/>
  <c r="C2122" i="1"/>
  <c r="V2121" i="1"/>
  <c r="R2121" i="1"/>
  <c r="Q2121" i="1"/>
  <c r="P2121" i="1"/>
  <c r="O2121" i="1"/>
  <c r="N2121" i="1"/>
  <c r="J2121" i="1"/>
  <c r="I2121" i="1"/>
  <c r="H2121" i="1"/>
  <c r="G2121" i="1"/>
  <c r="F2121" i="1"/>
  <c r="E2121" i="1"/>
  <c r="D2121" i="1"/>
  <c r="C2121" i="1"/>
  <c r="V2120" i="1"/>
  <c r="R2120" i="1"/>
  <c r="Q2120" i="1"/>
  <c r="P2120" i="1"/>
  <c r="O2120" i="1"/>
  <c r="N2120" i="1"/>
  <c r="J2120" i="1"/>
  <c r="I2120" i="1"/>
  <c r="H2120" i="1"/>
  <c r="G2120" i="1"/>
  <c r="F2120" i="1"/>
  <c r="E2120" i="1"/>
  <c r="D2120" i="1"/>
  <c r="C2120" i="1"/>
  <c r="V2119" i="1"/>
  <c r="R2119" i="1"/>
  <c r="Q2119" i="1"/>
  <c r="P2119" i="1"/>
  <c r="O2119" i="1"/>
  <c r="N2119" i="1"/>
  <c r="J2119" i="1"/>
  <c r="I2119" i="1"/>
  <c r="H2119" i="1"/>
  <c r="G2119" i="1"/>
  <c r="F2119" i="1"/>
  <c r="E2119" i="1"/>
  <c r="D2119" i="1"/>
  <c r="C2119" i="1"/>
  <c r="V2118" i="1"/>
  <c r="R2118" i="1"/>
  <c r="Q2118" i="1"/>
  <c r="P2118" i="1"/>
  <c r="O2118" i="1"/>
  <c r="N2118" i="1"/>
  <c r="J2118" i="1"/>
  <c r="I2118" i="1"/>
  <c r="H2118" i="1"/>
  <c r="G2118" i="1"/>
  <c r="F2118" i="1"/>
  <c r="E2118" i="1"/>
  <c r="D2118" i="1"/>
  <c r="C2118" i="1"/>
  <c r="V2117" i="1"/>
  <c r="R2117" i="1"/>
  <c r="Q2117" i="1"/>
  <c r="P2117" i="1"/>
  <c r="O2117" i="1"/>
  <c r="N2117" i="1"/>
  <c r="J2117" i="1"/>
  <c r="I2117" i="1"/>
  <c r="H2117" i="1"/>
  <c r="G2117" i="1"/>
  <c r="F2117" i="1"/>
  <c r="E2117" i="1"/>
  <c r="D2117" i="1"/>
  <c r="C2117" i="1"/>
  <c r="V2116" i="1"/>
  <c r="R2116" i="1"/>
  <c r="Q2116" i="1"/>
  <c r="P2116" i="1"/>
  <c r="O2116" i="1"/>
  <c r="N2116" i="1"/>
  <c r="J2116" i="1"/>
  <c r="I2116" i="1"/>
  <c r="H2116" i="1"/>
  <c r="G2116" i="1"/>
  <c r="F2116" i="1"/>
  <c r="E2116" i="1"/>
  <c r="D2116" i="1"/>
  <c r="C2116" i="1"/>
  <c r="V2115" i="1"/>
  <c r="R2115" i="1"/>
  <c r="Q2115" i="1"/>
  <c r="P2115" i="1"/>
  <c r="O2115" i="1"/>
  <c r="N2115" i="1"/>
  <c r="J2115" i="1"/>
  <c r="I2115" i="1"/>
  <c r="H2115" i="1"/>
  <c r="G2115" i="1"/>
  <c r="F2115" i="1"/>
  <c r="E2115" i="1"/>
  <c r="D2115" i="1"/>
  <c r="C2115" i="1"/>
  <c r="V2114" i="1"/>
  <c r="R2114" i="1"/>
  <c r="Q2114" i="1"/>
  <c r="P2114" i="1"/>
  <c r="O2114" i="1"/>
  <c r="N2114" i="1"/>
  <c r="J2114" i="1"/>
  <c r="I2114" i="1"/>
  <c r="H2114" i="1"/>
  <c r="G2114" i="1"/>
  <c r="F2114" i="1"/>
  <c r="E2114" i="1"/>
  <c r="D2114" i="1"/>
  <c r="C2114" i="1"/>
  <c r="V2113" i="1"/>
  <c r="R2113" i="1"/>
  <c r="Q2113" i="1"/>
  <c r="P2113" i="1"/>
  <c r="O2113" i="1"/>
  <c r="N2113" i="1"/>
  <c r="J2113" i="1"/>
  <c r="I2113" i="1"/>
  <c r="H2113" i="1"/>
  <c r="G2113" i="1"/>
  <c r="F2113" i="1"/>
  <c r="E2113" i="1"/>
  <c r="D2113" i="1"/>
  <c r="C2113" i="1"/>
  <c r="V2112" i="1"/>
  <c r="R2112" i="1"/>
  <c r="Q2112" i="1"/>
  <c r="P2112" i="1"/>
  <c r="O2112" i="1"/>
  <c r="N2112" i="1"/>
  <c r="J2112" i="1"/>
  <c r="I2112" i="1"/>
  <c r="H2112" i="1"/>
  <c r="G2112" i="1"/>
  <c r="F2112" i="1"/>
  <c r="E2112" i="1"/>
  <c r="D2112" i="1"/>
  <c r="C2112" i="1"/>
  <c r="V2111" i="1"/>
  <c r="R2111" i="1"/>
  <c r="Q2111" i="1"/>
  <c r="P2111" i="1"/>
  <c r="O2111" i="1"/>
  <c r="N2111" i="1"/>
  <c r="J2111" i="1"/>
  <c r="I2111" i="1"/>
  <c r="H2111" i="1"/>
  <c r="G2111" i="1"/>
  <c r="F2111" i="1"/>
  <c r="E2111" i="1"/>
  <c r="D2111" i="1"/>
  <c r="C2111" i="1"/>
  <c r="V2110" i="1"/>
  <c r="R2110" i="1"/>
  <c r="Q2110" i="1"/>
  <c r="P2110" i="1"/>
  <c r="O2110" i="1"/>
  <c r="N2110" i="1"/>
  <c r="J2110" i="1"/>
  <c r="I2110" i="1"/>
  <c r="H2110" i="1"/>
  <c r="G2110" i="1"/>
  <c r="F2110" i="1"/>
  <c r="E2110" i="1"/>
  <c r="D2110" i="1"/>
  <c r="C2110" i="1"/>
  <c r="V2109" i="1"/>
  <c r="R2109" i="1"/>
  <c r="Q2109" i="1"/>
  <c r="P2109" i="1"/>
  <c r="O2109" i="1"/>
  <c r="N2109" i="1"/>
  <c r="J2109" i="1"/>
  <c r="I2109" i="1"/>
  <c r="H2109" i="1"/>
  <c r="G2109" i="1"/>
  <c r="F2109" i="1"/>
  <c r="E2109" i="1"/>
  <c r="D2109" i="1"/>
  <c r="C2109" i="1"/>
  <c r="V2108" i="1"/>
  <c r="R2108" i="1"/>
  <c r="Q2108" i="1"/>
  <c r="P2108" i="1"/>
  <c r="O2108" i="1"/>
  <c r="N2108" i="1"/>
  <c r="J2108" i="1"/>
  <c r="I2108" i="1"/>
  <c r="H2108" i="1"/>
  <c r="G2108" i="1"/>
  <c r="F2108" i="1"/>
  <c r="E2108" i="1"/>
  <c r="D2108" i="1"/>
  <c r="C2108" i="1"/>
  <c r="V2107" i="1"/>
  <c r="R2107" i="1"/>
  <c r="Q2107" i="1"/>
  <c r="P2107" i="1"/>
  <c r="O2107" i="1"/>
  <c r="N2107" i="1"/>
  <c r="J2107" i="1"/>
  <c r="I2107" i="1"/>
  <c r="H2107" i="1"/>
  <c r="G2107" i="1"/>
  <c r="F2107" i="1"/>
  <c r="E2107" i="1"/>
  <c r="D2107" i="1"/>
  <c r="C2107" i="1"/>
  <c r="V2106" i="1"/>
  <c r="R2106" i="1"/>
  <c r="Q2106" i="1"/>
  <c r="P2106" i="1"/>
  <c r="O2106" i="1"/>
  <c r="N2106" i="1"/>
  <c r="J2106" i="1"/>
  <c r="I2106" i="1"/>
  <c r="H2106" i="1"/>
  <c r="G2106" i="1"/>
  <c r="F2106" i="1"/>
  <c r="E2106" i="1"/>
  <c r="D2106" i="1"/>
  <c r="C2106" i="1"/>
  <c r="V2105" i="1"/>
  <c r="R2105" i="1"/>
  <c r="Q2105" i="1"/>
  <c r="P2105" i="1"/>
  <c r="O2105" i="1"/>
  <c r="N2105" i="1"/>
  <c r="J2105" i="1"/>
  <c r="I2105" i="1"/>
  <c r="H2105" i="1"/>
  <c r="G2105" i="1"/>
  <c r="F2105" i="1"/>
  <c r="E2105" i="1"/>
  <c r="D2105" i="1"/>
  <c r="C2105" i="1"/>
  <c r="V2104" i="1"/>
  <c r="R2104" i="1"/>
  <c r="Q2104" i="1"/>
  <c r="P2104" i="1"/>
  <c r="O2104" i="1"/>
  <c r="N2104" i="1"/>
  <c r="J2104" i="1"/>
  <c r="I2104" i="1"/>
  <c r="H2104" i="1"/>
  <c r="G2104" i="1"/>
  <c r="F2104" i="1"/>
  <c r="E2104" i="1"/>
  <c r="D2104" i="1"/>
  <c r="C2104" i="1"/>
  <c r="V2103" i="1"/>
  <c r="R2103" i="1"/>
  <c r="Q2103" i="1"/>
  <c r="P2103" i="1"/>
  <c r="O2103" i="1"/>
  <c r="N2103" i="1"/>
  <c r="J2103" i="1"/>
  <c r="I2103" i="1"/>
  <c r="H2103" i="1"/>
  <c r="G2103" i="1"/>
  <c r="F2103" i="1"/>
  <c r="E2103" i="1"/>
  <c r="D2103" i="1"/>
  <c r="C2103" i="1"/>
  <c r="V2102" i="1"/>
  <c r="R2102" i="1"/>
  <c r="Q2102" i="1"/>
  <c r="P2102" i="1"/>
  <c r="O2102" i="1"/>
  <c r="N2102" i="1"/>
  <c r="J2102" i="1"/>
  <c r="I2102" i="1"/>
  <c r="H2102" i="1"/>
  <c r="G2102" i="1"/>
  <c r="F2102" i="1"/>
  <c r="E2102" i="1"/>
  <c r="D2102" i="1"/>
  <c r="C2102" i="1"/>
  <c r="V2101" i="1"/>
  <c r="R2101" i="1"/>
  <c r="Q2101" i="1"/>
  <c r="P2101" i="1"/>
  <c r="O2101" i="1"/>
  <c r="N2101" i="1"/>
  <c r="J2101" i="1"/>
  <c r="I2101" i="1"/>
  <c r="H2101" i="1"/>
  <c r="G2101" i="1"/>
  <c r="F2101" i="1"/>
  <c r="E2101" i="1"/>
  <c r="D2101" i="1"/>
  <c r="C2101" i="1"/>
  <c r="V2100" i="1"/>
  <c r="R2100" i="1"/>
  <c r="Q2100" i="1"/>
  <c r="P2100" i="1"/>
  <c r="O2100" i="1"/>
  <c r="N2100" i="1"/>
  <c r="J2100" i="1"/>
  <c r="I2100" i="1"/>
  <c r="H2100" i="1"/>
  <c r="G2100" i="1"/>
  <c r="F2100" i="1"/>
  <c r="E2100" i="1"/>
  <c r="D2100" i="1"/>
  <c r="C2100" i="1"/>
  <c r="V2099" i="1"/>
  <c r="R2099" i="1"/>
  <c r="Q2099" i="1"/>
  <c r="P2099" i="1"/>
  <c r="O2099" i="1"/>
  <c r="N2099" i="1"/>
  <c r="J2099" i="1"/>
  <c r="I2099" i="1"/>
  <c r="H2099" i="1"/>
  <c r="G2099" i="1"/>
  <c r="F2099" i="1"/>
  <c r="E2099" i="1"/>
  <c r="D2099" i="1"/>
  <c r="C2099" i="1"/>
  <c r="V2098" i="1"/>
  <c r="R2098" i="1"/>
  <c r="Q2098" i="1"/>
  <c r="P2098" i="1"/>
  <c r="O2098" i="1"/>
  <c r="N2098" i="1"/>
  <c r="J2098" i="1"/>
  <c r="I2098" i="1"/>
  <c r="H2098" i="1"/>
  <c r="G2098" i="1"/>
  <c r="F2098" i="1"/>
  <c r="E2098" i="1"/>
  <c r="D2098" i="1"/>
  <c r="C2098" i="1"/>
  <c r="V2097" i="1"/>
  <c r="R2097" i="1"/>
  <c r="Q2097" i="1"/>
  <c r="P2097" i="1"/>
  <c r="O2097" i="1"/>
  <c r="N2097" i="1"/>
  <c r="J2097" i="1"/>
  <c r="I2097" i="1"/>
  <c r="H2097" i="1"/>
  <c r="G2097" i="1"/>
  <c r="F2097" i="1"/>
  <c r="E2097" i="1"/>
  <c r="D2097" i="1"/>
  <c r="C2097" i="1"/>
  <c r="V2096" i="1"/>
  <c r="R2096" i="1"/>
  <c r="Q2096" i="1"/>
  <c r="P2096" i="1"/>
  <c r="O2096" i="1"/>
  <c r="N2096" i="1"/>
  <c r="J2096" i="1"/>
  <c r="I2096" i="1"/>
  <c r="H2096" i="1"/>
  <c r="G2096" i="1"/>
  <c r="F2096" i="1"/>
  <c r="E2096" i="1"/>
  <c r="D2096" i="1"/>
  <c r="C2096" i="1"/>
  <c r="V2095" i="1"/>
  <c r="R2095" i="1"/>
  <c r="Q2095" i="1"/>
  <c r="P2095" i="1"/>
  <c r="O2095" i="1"/>
  <c r="N2095" i="1"/>
  <c r="J2095" i="1"/>
  <c r="I2095" i="1"/>
  <c r="H2095" i="1"/>
  <c r="G2095" i="1"/>
  <c r="F2095" i="1"/>
  <c r="E2095" i="1"/>
  <c r="D2095" i="1"/>
  <c r="C2095" i="1"/>
  <c r="V2094" i="1"/>
  <c r="R2094" i="1"/>
  <c r="Q2094" i="1"/>
  <c r="P2094" i="1"/>
  <c r="O2094" i="1"/>
  <c r="N2094" i="1"/>
  <c r="J2094" i="1"/>
  <c r="I2094" i="1"/>
  <c r="H2094" i="1"/>
  <c r="G2094" i="1"/>
  <c r="F2094" i="1"/>
  <c r="E2094" i="1"/>
  <c r="D2094" i="1"/>
  <c r="C2094" i="1"/>
  <c r="V2093" i="1"/>
  <c r="R2093" i="1"/>
  <c r="Q2093" i="1"/>
  <c r="P2093" i="1"/>
  <c r="O2093" i="1"/>
  <c r="N2093" i="1"/>
  <c r="J2093" i="1"/>
  <c r="I2093" i="1"/>
  <c r="H2093" i="1"/>
  <c r="G2093" i="1"/>
  <c r="F2093" i="1"/>
  <c r="E2093" i="1"/>
  <c r="D2093" i="1"/>
  <c r="C2093" i="1"/>
  <c r="V2092" i="1"/>
  <c r="R2092" i="1"/>
  <c r="Q2092" i="1"/>
  <c r="P2092" i="1"/>
  <c r="O2092" i="1"/>
  <c r="N2092" i="1"/>
  <c r="J2092" i="1"/>
  <c r="I2092" i="1"/>
  <c r="H2092" i="1"/>
  <c r="G2092" i="1"/>
  <c r="F2092" i="1"/>
  <c r="E2092" i="1"/>
  <c r="D2092" i="1"/>
  <c r="C2092" i="1"/>
  <c r="V2091" i="1"/>
  <c r="R2091" i="1"/>
  <c r="Q2091" i="1"/>
  <c r="P2091" i="1"/>
  <c r="O2091" i="1"/>
  <c r="N2091" i="1"/>
  <c r="J2091" i="1"/>
  <c r="I2091" i="1"/>
  <c r="H2091" i="1"/>
  <c r="G2091" i="1"/>
  <c r="F2091" i="1"/>
  <c r="E2091" i="1"/>
  <c r="D2091" i="1"/>
  <c r="C2091" i="1"/>
  <c r="V2090" i="1"/>
  <c r="R2090" i="1"/>
  <c r="Q2090" i="1"/>
  <c r="P2090" i="1"/>
  <c r="O2090" i="1"/>
  <c r="N2090" i="1"/>
  <c r="J2090" i="1"/>
  <c r="I2090" i="1"/>
  <c r="H2090" i="1"/>
  <c r="G2090" i="1"/>
  <c r="F2090" i="1"/>
  <c r="E2090" i="1"/>
  <c r="D2090" i="1"/>
  <c r="C2090" i="1"/>
  <c r="V2089" i="1"/>
  <c r="R2089" i="1"/>
  <c r="Q2089" i="1"/>
  <c r="P2089" i="1"/>
  <c r="O2089" i="1"/>
  <c r="N2089" i="1"/>
  <c r="J2089" i="1"/>
  <c r="I2089" i="1"/>
  <c r="H2089" i="1"/>
  <c r="G2089" i="1"/>
  <c r="F2089" i="1"/>
  <c r="E2089" i="1"/>
  <c r="D2089" i="1"/>
  <c r="C2089" i="1"/>
  <c r="V2088" i="1"/>
  <c r="R2088" i="1"/>
  <c r="Q2088" i="1"/>
  <c r="P2088" i="1"/>
  <c r="O2088" i="1"/>
  <c r="N2088" i="1"/>
  <c r="J2088" i="1"/>
  <c r="I2088" i="1"/>
  <c r="H2088" i="1"/>
  <c r="G2088" i="1"/>
  <c r="F2088" i="1"/>
  <c r="E2088" i="1"/>
  <c r="D2088" i="1"/>
  <c r="C2088" i="1"/>
  <c r="V2087" i="1"/>
  <c r="R2087" i="1"/>
  <c r="Q2087" i="1"/>
  <c r="P2087" i="1"/>
  <c r="O2087" i="1"/>
  <c r="N2087" i="1"/>
  <c r="J2087" i="1"/>
  <c r="I2087" i="1"/>
  <c r="H2087" i="1"/>
  <c r="G2087" i="1"/>
  <c r="F2087" i="1"/>
  <c r="E2087" i="1"/>
  <c r="D2087" i="1"/>
  <c r="C2087" i="1"/>
  <c r="V2086" i="1"/>
  <c r="R2086" i="1"/>
  <c r="Q2086" i="1"/>
  <c r="P2086" i="1"/>
  <c r="O2086" i="1"/>
  <c r="N2086" i="1"/>
  <c r="J2086" i="1"/>
  <c r="I2086" i="1"/>
  <c r="H2086" i="1"/>
  <c r="G2086" i="1"/>
  <c r="F2086" i="1"/>
  <c r="E2086" i="1"/>
  <c r="D2086" i="1"/>
  <c r="C2086" i="1"/>
  <c r="V2085" i="1"/>
  <c r="R2085" i="1"/>
  <c r="Q2085" i="1"/>
  <c r="P2085" i="1"/>
  <c r="O2085" i="1"/>
  <c r="N2085" i="1"/>
  <c r="J2085" i="1"/>
  <c r="I2085" i="1"/>
  <c r="H2085" i="1"/>
  <c r="G2085" i="1"/>
  <c r="F2085" i="1"/>
  <c r="E2085" i="1"/>
  <c r="D2085" i="1"/>
  <c r="C2085" i="1"/>
  <c r="V2084" i="1"/>
  <c r="R2084" i="1"/>
  <c r="Q2084" i="1"/>
  <c r="P2084" i="1"/>
  <c r="O2084" i="1"/>
  <c r="N2084" i="1"/>
  <c r="J2084" i="1"/>
  <c r="I2084" i="1"/>
  <c r="H2084" i="1"/>
  <c r="G2084" i="1"/>
  <c r="F2084" i="1"/>
  <c r="E2084" i="1"/>
  <c r="D2084" i="1"/>
  <c r="C2084" i="1"/>
  <c r="V2083" i="1"/>
  <c r="R2083" i="1"/>
  <c r="Q2083" i="1"/>
  <c r="P2083" i="1"/>
  <c r="O2083" i="1"/>
  <c r="N2083" i="1"/>
  <c r="J2083" i="1"/>
  <c r="I2083" i="1"/>
  <c r="H2083" i="1"/>
  <c r="G2083" i="1"/>
  <c r="F2083" i="1"/>
  <c r="E2083" i="1"/>
  <c r="D2083" i="1"/>
  <c r="C2083" i="1"/>
  <c r="V2082" i="1"/>
  <c r="R2082" i="1"/>
  <c r="Q2082" i="1"/>
  <c r="P2082" i="1"/>
  <c r="O2082" i="1"/>
  <c r="N2082" i="1"/>
  <c r="J2082" i="1"/>
  <c r="I2082" i="1"/>
  <c r="H2082" i="1"/>
  <c r="G2082" i="1"/>
  <c r="F2082" i="1"/>
  <c r="E2082" i="1"/>
  <c r="D2082" i="1"/>
  <c r="C2082" i="1"/>
  <c r="V2081" i="1"/>
  <c r="R2081" i="1"/>
  <c r="Q2081" i="1"/>
  <c r="P2081" i="1"/>
  <c r="O2081" i="1"/>
  <c r="N2081" i="1"/>
  <c r="J2081" i="1"/>
  <c r="I2081" i="1"/>
  <c r="H2081" i="1"/>
  <c r="G2081" i="1"/>
  <c r="F2081" i="1"/>
  <c r="E2081" i="1"/>
  <c r="D2081" i="1"/>
  <c r="C2081" i="1"/>
  <c r="V2080" i="1"/>
  <c r="R2080" i="1"/>
  <c r="Q2080" i="1"/>
  <c r="P2080" i="1"/>
  <c r="O2080" i="1"/>
  <c r="N2080" i="1"/>
  <c r="J2080" i="1"/>
  <c r="I2080" i="1"/>
  <c r="H2080" i="1"/>
  <c r="G2080" i="1"/>
  <c r="F2080" i="1"/>
  <c r="E2080" i="1"/>
  <c r="D2080" i="1"/>
  <c r="C2080" i="1"/>
  <c r="V2079" i="1"/>
  <c r="R2079" i="1"/>
  <c r="Q2079" i="1"/>
  <c r="P2079" i="1"/>
  <c r="O2079" i="1"/>
  <c r="N2079" i="1"/>
  <c r="J2079" i="1"/>
  <c r="I2079" i="1"/>
  <c r="H2079" i="1"/>
  <c r="G2079" i="1"/>
  <c r="F2079" i="1"/>
  <c r="E2079" i="1"/>
  <c r="D2079" i="1"/>
  <c r="C2079" i="1"/>
  <c r="V2078" i="1"/>
  <c r="R2078" i="1"/>
  <c r="Q2078" i="1"/>
  <c r="P2078" i="1"/>
  <c r="O2078" i="1"/>
  <c r="N2078" i="1"/>
  <c r="J2078" i="1"/>
  <c r="I2078" i="1"/>
  <c r="H2078" i="1"/>
  <c r="G2078" i="1"/>
  <c r="F2078" i="1"/>
  <c r="E2078" i="1"/>
  <c r="D2078" i="1"/>
  <c r="C2078" i="1"/>
  <c r="V2077" i="1"/>
  <c r="R2077" i="1"/>
  <c r="Q2077" i="1"/>
  <c r="P2077" i="1"/>
  <c r="O2077" i="1"/>
  <c r="N2077" i="1"/>
  <c r="J2077" i="1"/>
  <c r="I2077" i="1"/>
  <c r="H2077" i="1"/>
  <c r="G2077" i="1"/>
  <c r="F2077" i="1"/>
  <c r="E2077" i="1"/>
  <c r="D2077" i="1"/>
  <c r="C2077" i="1"/>
  <c r="V2076" i="1"/>
  <c r="R2076" i="1"/>
  <c r="Q2076" i="1"/>
  <c r="P2076" i="1"/>
  <c r="O2076" i="1"/>
  <c r="N2076" i="1"/>
  <c r="J2076" i="1"/>
  <c r="I2076" i="1"/>
  <c r="H2076" i="1"/>
  <c r="G2076" i="1"/>
  <c r="F2076" i="1"/>
  <c r="E2076" i="1"/>
  <c r="D2076" i="1"/>
  <c r="C2076" i="1"/>
  <c r="V2075" i="1"/>
  <c r="R2075" i="1"/>
  <c r="Q2075" i="1"/>
  <c r="P2075" i="1"/>
  <c r="O2075" i="1"/>
  <c r="N2075" i="1"/>
  <c r="J2075" i="1"/>
  <c r="I2075" i="1"/>
  <c r="H2075" i="1"/>
  <c r="G2075" i="1"/>
  <c r="F2075" i="1"/>
  <c r="E2075" i="1"/>
  <c r="D2075" i="1"/>
  <c r="C2075" i="1"/>
  <c r="V2074" i="1"/>
  <c r="R2074" i="1"/>
  <c r="Q2074" i="1"/>
  <c r="P2074" i="1"/>
  <c r="O2074" i="1"/>
  <c r="N2074" i="1"/>
  <c r="J2074" i="1"/>
  <c r="I2074" i="1"/>
  <c r="H2074" i="1"/>
  <c r="G2074" i="1"/>
  <c r="F2074" i="1"/>
  <c r="E2074" i="1"/>
  <c r="D2074" i="1"/>
  <c r="C2074" i="1"/>
  <c r="V2073" i="1"/>
  <c r="R2073" i="1"/>
  <c r="Q2073" i="1"/>
  <c r="P2073" i="1"/>
  <c r="O2073" i="1"/>
  <c r="N2073" i="1"/>
  <c r="J2073" i="1"/>
  <c r="I2073" i="1"/>
  <c r="H2073" i="1"/>
  <c r="G2073" i="1"/>
  <c r="F2073" i="1"/>
  <c r="E2073" i="1"/>
  <c r="D2073" i="1"/>
  <c r="C2073" i="1"/>
  <c r="V2072" i="1"/>
  <c r="R2072" i="1"/>
  <c r="Q2072" i="1"/>
  <c r="P2072" i="1"/>
  <c r="O2072" i="1"/>
  <c r="N2072" i="1"/>
  <c r="J2072" i="1"/>
  <c r="I2072" i="1"/>
  <c r="H2072" i="1"/>
  <c r="G2072" i="1"/>
  <c r="F2072" i="1"/>
  <c r="E2072" i="1"/>
  <c r="D2072" i="1"/>
  <c r="C2072" i="1"/>
  <c r="V2071" i="1"/>
  <c r="R2071" i="1"/>
  <c r="Q2071" i="1"/>
  <c r="P2071" i="1"/>
  <c r="O2071" i="1"/>
  <c r="N2071" i="1"/>
  <c r="J2071" i="1"/>
  <c r="I2071" i="1"/>
  <c r="H2071" i="1"/>
  <c r="G2071" i="1"/>
  <c r="F2071" i="1"/>
  <c r="E2071" i="1"/>
  <c r="D2071" i="1"/>
  <c r="C2071" i="1"/>
  <c r="V2070" i="1"/>
  <c r="R2070" i="1"/>
  <c r="Q2070" i="1"/>
  <c r="P2070" i="1"/>
  <c r="O2070" i="1"/>
  <c r="N2070" i="1"/>
  <c r="J2070" i="1"/>
  <c r="I2070" i="1"/>
  <c r="H2070" i="1"/>
  <c r="G2070" i="1"/>
  <c r="F2070" i="1"/>
  <c r="E2070" i="1"/>
  <c r="D2070" i="1"/>
  <c r="C2070" i="1"/>
  <c r="V2069" i="1"/>
  <c r="R2069" i="1"/>
  <c r="Q2069" i="1"/>
  <c r="P2069" i="1"/>
  <c r="O2069" i="1"/>
  <c r="N2069" i="1"/>
  <c r="J2069" i="1"/>
  <c r="I2069" i="1"/>
  <c r="H2069" i="1"/>
  <c r="G2069" i="1"/>
  <c r="F2069" i="1"/>
  <c r="E2069" i="1"/>
  <c r="D2069" i="1"/>
  <c r="C2069" i="1"/>
  <c r="V2068" i="1"/>
  <c r="R2068" i="1"/>
  <c r="Q2068" i="1"/>
  <c r="P2068" i="1"/>
  <c r="O2068" i="1"/>
  <c r="N2068" i="1"/>
  <c r="J2068" i="1"/>
  <c r="I2068" i="1"/>
  <c r="H2068" i="1"/>
  <c r="G2068" i="1"/>
  <c r="F2068" i="1"/>
  <c r="E2068" i="1"/>
  <c r="D2068" i="1"/>
  <c r="C2068" i="1"/>
  <c r="V2067" i="1"/>
  <c r="R2067" i="1"/>
  <c r="Q2067" i="1"/>
  <c r="P2067" i="1"/>
  <c r="O2067" i="1"/>
  <c r="N2067" i="1"/>
  <c r="J2067" i="1"/>
  <c r="I2067" i="1"/>
  <c r="H2067" i="1"/>
  <c r="G2067" i="1"/>
  <c r="F2067" i="1"/>
  <c r="E2067" i="1"/>
  <c r="D2067" i="1"/>
  <c r="C2067" i="1"/>
  <c r="V2066" i="1"/>
  <c r="R2066" i="1"/>
  <c r="Q2066" i="1"/>
  <c r="P2066" i="1"/>
  <c r="O2066" i="1"/>
  <c r="N2066" i="1"/>
  <c r="J2066" i="1"/>
  <c r="I2066" i="1"/>
  <c r="H2066" i="1"/>
  <c r="G2066" i="1"/>
  <c r="F2066" i="1"/>
  <c r="E2066" i="1"/>
  <c r="D2066" i="1"/>
  <c r="C2066" i="1"/>
  <c r="V2065" i="1"/>
  <c r="R2065" i="1"/>
  <c r="Q2065" i="1"/>
  <c r="P2065" i="1"/>
  <c r="O2065" i="1"/>
  <c r="N2065" i="1"/>
  <c r="J2065" i="1"/>
  <c r="I2065" i="1"/>
  <c r="H2065" i="1"/>
  <c r="G2065" i="1"/>
  <c r="F2065" i="1"/>
  <c r="E2065" i="1"/>
  <c r="D2065" i="1"/>
  <c r="C2065" i="1"/>
  <c r="V2064" i="1"/>
  <c r="R2064" i="1"/>
  <c r="Q2064" i="1"/>
  <c r="P2064" i="1"/>
  <c r="O2064" i="1"/>
  <c r="N2064" i="1"/>
  <c r="J2064" i="1"/>
  <c r="I2064" i="1"/>
  <c r="H2064" i="1"/>
  <c r="G2064" i="1"/>
  <c r="F2064" i="1"/>
  <c r="E2064" i="1"/>
  <c r="D2064" i="1"/>
  <c r="C2064" i="1"/>
  <c r="V2063" i="1"/>
  <c r="R2063" i="1"/>
  <c r="Q2063" i="1"/>
  <c r="P2063" i="1"/>
  <c r="O2063" i="1"/>
  <c r="N2063" i="1"/>
  <c r="J2063" i="1"/>
  <c r="I2063" i="1"/>
  <c r="H2063" i="1"/>
  <c r="G2063" i="1"/>
  <c r="F2063" i="1"/>
  <c r="E2063" i="1"/>
  <c r="D2063" i="1"/>
  <c r="C2063" i="1"/>
  <c r="V2062" i="1"/>
  <c r="R2062" i="1"/>
  <c r="Q2062" i="1"/>
  <c r="P2062" i="1"/>
  <c r="O2062" i="1"/>
  <c r="N2062" i="1"/>
  <c r="J2062" i="1"/>
  <c r="I2062" i="1"/>
  <c r="H2062" i="1"/>
  <c r="G2062" i="1"/>
  <c r="F2062" i="1"/>
  <c r="E2062" i="1"/>
  <c r="D2062" i="1"/>
  <c r="C2062" i="1"/>
  <c r="V2061" i="1"/>
  <c r="R2061" i="1"/>
  <c r="Q2061" i="1"/>
  <c r="P2061" i="1"/>
  <c r="O2061" i="1"/>
  <c r="N2061" i="1"/>
  <c r="J2061" i="1"/>
  <c r="I2061" i="1"/>
  <c r="H2061" i="1"/>
  <c r="G2061" i="1"/>
  <c r="F2061" i="1"/>
  <c r="E2061" i="1"/>
  <c r="D2061" i="1"/>
  <c r="C2061" i="1"/>
  <c r="V2060" i="1"/>
  <c r="R2060" i="1"/>
  <c r="Q2060" i="1"/>
  <c r="P2060" i="1"/>
  <c r="O2060" i="1"/>
  <c r="N2060" i="1"/>
  <c r="J2060" i="1"/>
  <c r="I2060" i="1"/>
  <c r="H2060" i="1"/>
  <c r="G2060" i="1"/>
  <c r="F2060" i="1"/>
  <c r="E2060" i="1"/>
  <c r="D2060" i="1"/>
  <c r="C2060" i="1"/>
  <c r="V2059" i="1"/>
  <c r="R2059" i="1"/>
  <c r="Q2059" i="1"/>
  <c r="P2059" i="1"/>
  <c r="O2059" i="1"/>
  <c r="N2059" i="1"/>
  <c r="J2059" i="1"/>
  <c r="I2059" i="1"/>
  <c r="H2059" i="1"/>
  <c r="G2059" i="1"/>
  <c r="F2059" i="1"/>
  <c r="E2059" i="1"/>
  <c r="D2059" i="1"/>
  <c r="C2059" i="1"/>
  <c r="V2058" i="1"/>
  <c r="R2058" i="1"/>
  <c r="Q2058" i="1"/>
  <c r="P2058" i="1"/>
  <c r="O2058" i="1"/>
  <c r="N2058" i="1"/>
  <c r="J2058" i="1"/>
  <c r="I2058" i="1"/>
  <c r="H2058" i="1"/>
  <c r="G2058" i="1"/>
  <c r="F2058" i="1"/>
  <c r="E2058" i="1"/>
  <c r="D2058" i="1"/>
  <c r="C2058" i="1"/>
  <c r="V2057" i="1"/>
  <c r="R2057" i="1"/>
  <c r="Q2057" i="1"/>
  <c r="P2057" i="1"/>
  <c r="O2057" i="1"/>
  <c r="N2057" i="1"/>
  <c r="J2057" i="1"/>
  <c r="I2057" i="1"/>
  <c r="H2057" i="1"/>
  <c r="G2057" i="1"/>
  <c r="F2057" i="1"/>
  <c r="E2057" i="1"/>
  <c r="D2057" i="1"/>
  <c r="C2057" i="1"/>
  <c r="V2056" i="1"/>
  <c r="R2056" i="1"/>
  <c r="Q2056" i="1"/>
  <c r="P2056" i="1"/>
  <c r="O2056" i="1"/>
  <c r="N2056" i="1"/>
  <c r="J2056" i="1"/>
  <c r="I2056" i="1"/>
  <c r="H2056" i="1"/>
  <c r="G2056" i="1"/>
  <c r="F2056" i="1"/>
  <c r="E2056" i="1"/>
  <c r="D2056" i="1"/>
  <c r="C2056" i="1"/>
  <c r="V2055" i="1"/>
  <c r="R2055" i="1"/>
  <c r="Q2055" i="1"/>
  <c r="P2055" i="1"/>
  <c r="O2055" i="1"/>
  <c r="N2055" i="1"/>
  <c r="J2055" i="1"/>
  <c r="I2055" i="1"/>
  <c r="H2055" i="1"/>
  <c r="G2055" i="1"/>
  <c r="F2055" i="1"/>
  <c r="E2055" i="1"/>
  <c r="D2055" i="1"/>
  <c r="C2055" i="1"/>
  <c r="V2054" i="1"/>
  <c r="R2054" i="1"/>
  <c r="Q2054" i="1"/>
  <c r="P2054" i="1"/>
  <c r="O2054" i="1"/>
  <c r="N2054" i="1"/>
  <c r="J2054" i="1"/>
  <c r="I2054" i="1"/>
  <c r="H2054" i="1"/>
  <c r="G2054" i="1"/>
  <c r="F2054" i="1"/>
  <c r="E2054" i="1"/>
  <c r="D2054" i="1"/>
  <c r="C2054" i="1"/>
  <c r="V2053" i="1"/>
  <c r="R2053" i="1"/>
  <c r="Q2053" i="1"/>
  <c r="P2053" i="1"/>
  <c r="O2053" i="1"/>
  <c r="N2053" i="1"/>
  <c r="J2053" i="1"/>
  <c r="I2053" i="1"/>
  <c r="H2053" i="1"/>
  <c r="G2053" i="1"/>
  <c r="F2053" i="1"/>
  <c r="E2053" i="1"/>
  <c r="D2053" i="1"/>
  <c r="C2053" i="1"/>
  <c r="V2052" i="1"/>
  <c r="R2052" i="1"/>
  <c r="Q2052" i="1"/>
  <c r="P2052" i="1"/>
  <c r="O2052" i="1"/>
  <c r="N2052" i="1"/>
  <c r="J2052" i="1"/>
  <c r="I2052" i="1"/>
  <c r="H2052" i="1"/>
  <c r="G2052" i="1"/>
  <c r="F2052" i="1"/>
  <c r="E2052" i="1"/>
  <c r="D2052" i="1"/>
  <c r="C2052" i="1"/>
  <c r="V2051" i="1"/>
  <c r="R2051" i="1"/>
  <c r="Q2051" i="1"/>
  <c r="P2051" i="1"/>
  <c r="O2051" i="1"/>
  <c r="N2051" i="1"/>
  <c r="J2051" i="1"/>
  <c r="I2051" i="1"/>
  <c r="H2051" i="1"/>
  <c r="G2051" i="1"/>
  <c r="F2051" i="1"/>
  <c r="E2051" i="1"/>
  <c r="D2051" i="1"/>
  <c r="C2051" i="1"/>
  <c r="V2050" i="1"/>
  <c r="R2050" i="1"/>
  <c r="Q2050" i="1"/>
  <c r="P2050" i="1"/>
  <c r="O2050" i="1"/>
  <c r="N2050" i="1"/>
  <c r="J2050" i="1"/>
  <c r="I2050" i="1"/>
  <c r="H2050" i="1"/>
  <c r="G2050" i="1"/>
  <c r="F2050" i="1"/>
  <c r="E2050" i="1"/>
  <c r="D2050" i="1"/>
  <c r="C2050" i="1"/>
  <c r="V2049" i="1"/>
  <c r="R2049" i="1"/>
  <c r="Q2049" i="1"/>
  <c r="P2049" i="1"/>
  <c r="O2049" i="1"/>
  <c r="N2049" i="1"/>
  <c r="J2049" i="1"/>
  <c r="I2049" i="1"/>
  <c r="H2049" i="1"/>
  <c r="G2049" i="1"/>
  <c r="F2049" i="1"/>
  <c r="E2049" i="1"/>
  <c r="D2049" i="1"/>
  <c r="C2049" i="1"/>
  <c r="V2048" i="1"/>
  <c r="R2048" i="1"/>
  <c r="Q2048" i="1"/>
  <c r="P2048" i="1"/>
  <c r="O2048" i="1"/>
  <c r="N2048" i="1"/>
  <c r="J2048" i="1"/>
  <c r="I2048" i="1"/>
  <c r="H2048" i="1"/>
  <c r="G2048" i="1"/>
  <c r="F2048" i="1"/>
  <c r="E2048" i="1"/>
  <c r="D2048" i="1"/>
  <c r="C2048" i="1"/>
  <c r="V2047" i="1"/>
  <c r="R2047" i="1"/>
  <c r="Q2047" i="1"/>
  <c r="P2047" i="1"/>
  <c r="O2047" i="1"/>
  <c r="N2047" i="1"/>
  <c r="J2047" i="1"/>
  <c r="I2047" i="1"/>
  <c r="H2047" i="1"/>
  <c r="G2047" i="1"/>
  <c r="F2047" i="1"/>
  <c r="E2047" i="1"/>
  <c r="D2047" i="1"/>
  <c r="C2047" i="1"/>
  <c r="V2046" i="1"/>
  <c r="R2046" i="1"/>
  <c r="Q2046" i="1"/>
  <c r="P2046" i="1"/>
  <c r="O2046" i="1"/>
  <c r="N2046" i="1"/>
  <c r="J2046" i="1"/>
  <c r="I2046" i="1"/>
  <c r="H2046" i="1"/>
  <c r="G2046" i="1"/>
  <c r="F2046" i="1"/>
  <c r="E2046" i="1"/>
  <c r="D2046" i="1"/>
  <c r="C2046" i="1"/>
  <c r="V2045" i="1"/>
  <c r="R2045" i="1"/>
  <c r="Q2045" i="1"/>
  <c r="P2045" i="1"/>
  <c r="O2045" i="1"/>
  <c r="N2045" i="1"/>
  <c r="J2045" i="1"/>
  <c r="I2045" i="1"/>
  <c r="H2045" i="1"/>
  <c r="G2045" i="1"/>
  <c r="F2045" i="1"/>
  <c r="E2045" i="1"/>
  <c r="D2045" i="1"/>
  <c r="C2045" i="1"/>
  <c r="V2044" i="1"/>
  <c r="R2044" i="1"/>
  <c r="Q2044" i="1"/>
  <c r="P2044" i="1"/>
  <c r="O2044" i="1"/>
  <c r="N2044" i="1"/>
  <c r="J2044" i="1"/>
  <c r="I2044" i="1"/>
  <c r="H2044" i="1"/>
  <c r="G2044" i="1"/>
  <c r="F2044" i="1"/>
  <c r="E2044" i="1"/>
  <c r="D2044" i="1"/>
  <c r="C2044" i="1"/>
  <c r="V2043" i="1"/>
  <c r="R2043" i="1"/>
  <c r="Q2043" i="1"/>
  <c r="P2043" i="1"/>
  <c r="O2043" i="1"/>
  <c r="N2043" i="1"/>
  <c r="J2043" i="1"/>
  <c r="I2043" i="1"/>
  <c r="H2043" i="1"/>
  <c r="G2043" i="1"/>
  <c r="F2043" i="1"/>
  <c r="E2043" i="1"/>
  <c r="D2043" i="1"/>
  <c r="C2043" i="1"/>
  <c r="V2042" i="1"/>
  <c r="R2042" i="1"/>
  <c r="Q2042" i="1"/>
  <c r="P2042" i="1"/>
  <c r="O2042" i="1"/>
  <c r="N2042" i="1"/>
  <c r="J2042" i="1"/>
  <c r="I2042" i="1"/>
  <c r="H2042" i="1"/>
  <c r="G2042" i="1"/>
  <c r="F2042" i="1"/>
  <c r="E2042" i="1"/>
  <c r="D2042" i="1"/>
  <c r="C2042" i="1"/>
  <c r="V2041" i="1"/>
  <c r="R2041" i="1"/>
  <c r="Q2041" i="1"/>
  <c r="P2041" i="1"/>
  <c r="O2041" i="1"/>
  <c r="N2041" i="1"/>
  <c r="J2041" i="1"/>
  <c r="I2041" i="1"/>
  <c r="H2041" i="1"/>
  <c r="G2041" i="1"/>
  <c r="F2041" i="1"/>
  <c r="E2041" i="1"/>
  <c r="D2041" i="1"/>
  <c r="C2041" i="1"/>
  <c r="V2040" i="1"/>
  <c r="R2040" i="1"/>
  <c r="Q2040" i="1"/>
  <c r="P2040" i="1"/>
  <c r="O2040" i="1"/>
  <c r="N2040" i="1"/>
  <c r="J2040" i="1"/>
  <c r="I2040" i="1"/>
  <c r="H2040" i="1"/>
  <c r="G2040" i="1"/>
  <c r="F2040" i="1"/>
  <c r="E2040" i="1"/>
  <c r="D2040" i="1"/>
  <c r="C2040" i="1"/>
  <c r="V2039" i="1"/>
  <c r="R2039" i="1"/>
  <c r="Q2039" i="1"/>
  <c r="P2039" i="1"/>
  <c r="O2039" i="1"/>
  <c r="N2039" i="1"/>
  <c r="J2039" i="1"/>
  <c r="I2039" i="1"/>
  <c r="H2039" i="1"/>
  <c r="G2039" i="1"/>
  <c r="F2039" i="1"/>
  <c r="E2039" i="1"/>
  <c r="D2039" i="1"/>
  <c r="C2039" i="1"/>
  <c r="V2038" i="1"/>
  <c r="R2038" i="1"/>
  <c r="Q2038" i="1"/>
  <c r="P2038" i="1"/>
  <c r="O2038" i="1"/>
  <c r="N2038" i="1"/>
  <c r="J2038" i="1"/>
  <c r="I2038" i="1"/>
  <c r="H2038" i="1"/>
  <c r="G2038" i="1"/>
  <c r="F2038" i="1"/>
  <c r="E2038" i="1"/>
  <c r="D2038" i="1"/>
  <c r="C2038" i="1"/>
  <c r="V2037" i="1"/>
  <c r="R2037" i="1"/>
  <c r="Q2037" i="1"/>
  <c r="P2037" i="1"/>
  <c r="O2037" i="1"/>
  <c r="N2037" i="1"/>
  <c r="J2037" i="1"/>
  <c r="I2037" i="1"/>
  <c r="H2037" i="1"/>
  <c r="G2037" i="1"/>
  <c r="F2037" i="1"/>
  <c r="E2037" i="1"/>
  <c r="D2037" i="1"/>
  <c r="C2037" i="1"/>
  <c r="V2036" i="1"/>
  <c r="R2036" i="1"/>
  <c r="Q2036" i="1"/>
  <c r="P2036" i="1"/>
  <c r="O2036" i="1"/>
  <c r="N2036" i="1"/>
  <c r="J2036" i="1"/>
  <c r="I2036" i="1"/>
  <c r="H2036" i="1"/>
  <c r="G2036" i="1"/>
  <c r="F2036" i="1"/>
  <c r="E2036" i="1"/>
  <c r="D2036" i="1"/>
  <c r="C2036" i="1"/>
  <c r="V2035" i="1"/>
  <c r="R2035" i="1"/>
  <c r="Q2035" i="1"/>
  <c r="P2035" i="1"/>
  <c r="O2035" i="1"/>
  <c r="N2035" i="1"/>
  <c r="J2035" i="1"/>
  <c r="I2035" i="1"/>
  <c r="H2035" i="1"/>
  <c r="G2035" i="1"/>
  <c r="F2035" i="1"/>
  <c r="E2035" i="1"/>
  <c r="D2035" i="1"/>
  <c r="C2035" i="1"/>
  <c r="V2034" i="1"/>
  <c r="R2034" i="1"/>
  <c r="Q2034" i="1"/>
  <c r="P2034" i="1"/>
  <c r="O2034" i="1"/>
  <c r="N2034" i="1"/>
  <c r="J2034" i="1"/>
  <c r="I2034" i="1"/>
  <c r="H2034" i="1"/>
  <c r="G2034" i="1"/>
  <c r="F2034" i="1"/>
  <c r="E2034" i="1"/>
  <c r="D2034" i="1"/>
  <c r="C2034" i="1"/>
  <c r="V2033" i="1"/>
  <c r="R2033" i="1"/>
  <c r="Q2033" i="1"/>
  <c r="P2033" i="1"/>
  <c r="O2033" i="1"/>
  <c r="N2033" i="1"/>
  <c r="J2033" i="1"/>
  <c r="I2033" i="1"/>
  <c r="H2033" i="1"/>
  <c r="G2033" i="1"/>
  <c r="F2033" i="1"/>
  <c r="E2033" i="1"/>
  <c r="D2033" i="1"/>
  <c r="C2033" i="1"/>
  <c r="V2032" i="1"/>
  <c r="R2032" i="1"/>
  <c r="Q2032" i="1"/>
  <c r="P2032" i="1"/>
  <c r="O2032" i="1"/>
  <c r="N2032" i="1"/>
  <c r="J2032" i="1"/>
  <c r="I2032" i="1"/>
  <c r="H2032" i="1"/>
  <c r="G2032" i="1"/>
  <c r="F2032" i="1"/>
  <c r="E2032" i="1"/>
  <c r="D2032" i="1"/>
  <c r="C2032" i="1"/>
  <c r="V2031" i="1"/>
  <c r="R2031" i="1"/>
  <c r="Q2031" i="1"/>
  <c r="P2031" i="1"/>
  <c r="O2031" i="1"/>
  <c r="N2031" i="1"/>
  <c r="J2031" i="1"/>
  <c r="I2031" i="1"/>
  <c r="H2031" i="1"/>
  <c r="G2031" i="1"/>
  <c r="F2031" i="1"/>
  <c r="E2031" i="1"/>
  <c r="D2031" i="1"/>
  <c r="C2031" i="1"/>
  <c r="V2030" i="1"/>
  <c r="R2030" i="1"/>
  <c r="Q2030" i="1"/>
  <c r="P2030" i="1"/>
  <c r="O2030" i="1"/>
  <c r="N2030" i="1"/>
  <c r="J2030" i="1"/>
  <c r="I2030" i="1"/>
  <c r="H2030" i="1"/>
  <c r="G2030" i="1"/>
  <c r="F2030" i="1"/>
  <c r="E2030" i="1"/>
  <c r="D2030" i="1"/>
  <c r="C2030" i="1"/>
  <c r="V2029" i="1"/>
  <c r="R2029" i="1"/>
  <c r="Q2029" i="1"/>
  <c r="P2029" i="1"/>
  <c r="O2029" i="1"/>
  <c r="N2029" i="1"/>
  <c r="J2029" i="1"/>
  <c r="I2029" i="1"/>
  <c r="H2029" i="1"/>
  <c r="G2029" i="1"/>
  <c r="F2029" i="1"/>
  <c r="E2029" i="1"/>
  <c r="D2029" i="1"/>
  <c r="C2029" i="1"/>
  <c r="V2028" i="1"/>
  <c r="R2028" i="1"/>
  <c r="Q2028" i="1"/>
  <c r="P2028" i="1"/>
  <c r="O2028" i="1"/>
  <c r="N2028" i="1"/>
  <c r="J2028" i="1"/>
  <c r="I2028" i="1"/>
  <c r="H2028" i="1"/>
  <c r="G2028" i="1"/>
  <c r="F2028" i="1"/>
  <c r="E2028" i="1"/>
  <c r="D2028" i="1"/>
  <c r="C2028" i="1"/>
  <c r="V2027" i="1"/>
  <c r="R2027" i="1"/>
  <c r="Q2027" i="1"/>
  <c r="P2027" i="1"/>
  <c r="O2027" i="1"/>
  <c r="N2027" i="1"/>
  <c r="J2027" i="1"/>
  <c r="I2027" i="1"/>
  <c r="H2027" i="1"/>
  <c r="G2027" i="1"/>
  <c r="F2027" i="1"/>
  <c r="E2027" i="1"/>
  <c r="D2027" i="1"/>
  <c r="C2027" i="1"/>
  <c r="V2026" i="1"/>
  <c r="R2026" i="1"/>
  <c r="Q2026" i="1"/>
  <c r="P2026" i="1"/>
  <c r="O2026" i="1"/>
  <c r="N2026" i="1"/>
  <c r="J2026" i="1"/>
  <c r="I2026" i="1"/>
  <c r="H2026" i="1"/>
  <c r="G2026" i="1"/>
  <c r="F2026" i="1"/>
  <c r="E2026" i="1"/>
  <c r="D2026" i="1"/>
  <c r="C2026" i="1"/>
  <c r="V2025" i="1"/>
  <c r="R2025" i="1"/>
  <c r="Q2025" i="1"/>
  <c r="P2025" i="1"/>
  <c r="O2025" i="1"/>
  <c r="N2025" i="1"/>
  <c r="J2025" i="1"/>
  <c r="I2025" i="1"/>
  <c r="H2025" i="1"/>
  <c r="G2025" i="1"/>
  <c r="F2025" i="1"/>
  <c r="E2025" i="1"/>
  <c r="D2025" i="1"/>
  <c r="C2025" i="1"/>
  <c r="V2024" i="1"/>
  <c r="R2024" i="1"/>
  <c r="Q2024" i="1"/>
  <c r="P2024" i="1"/>
  <c r="O2024" i="1"/>
  <c r="N2024" i="1"/>
  <c r="J2024" i="1"/>
  <c r="I2024" i="1"/>
  <c r="H2024" i="1"/>
  <c r="G2024" i="1"/>
  <c r="F2024" i="1"/>
  <c r="E2024" i="1"/>
  <c r="D2024" i="1"/>
  <c r="C2024" i="1"/>
  <c r="V2023" i="1"/>
  <c r="R2023" i="1"/>
  <c r="Q2023" i="1"/>
  <c r="P2023" i="1"/>
  <c r="O2023" i="1"/>
  <c r="N2023" i="1"/>
  <c r="J2023" i="1"/>
  <c r="I2023" i="1"/>
  <c r="H2023" i="1"/>
  <c r="G2023" i="1"/>
  <c r="F2023" i="1"/>
  <c r="E2023" i="1"/>
  <c r="D2023" i="1"/>
  <c r="C2023" i="1"/>
  <c r="V2022" i="1"/>
  <c r="R2022" i="1"/>
  <c r="Q2022" i="1"/>
  <c r="P2022" i="1"/>
  <c r="O2022" i="1"/>
  <c r="N2022" i="1"/>
  <c r="J2022" i="1"/>
  <c r="I2022" i="1"/>
  <c r="H2022" i="1"/>
  <c r="G2022" i="1"/>
  <c r="F2022" i="1"/>
  <c r="E2022" i="1"/>
  <c r="D2022" i="1"/>
  <c r="C2022" i="1"/>
  <c r="V2021" i="1"/>
  <c r="R2021" i="1"/>
  <c r="Q2021" i="1"/>
  <c r="P2021" i="1"/>
  <c r="O2021" i="1"/>
  <c r="N2021" i="1"/>
  <c r="J2021" i="1"/>
  <c r="I2021" i="1"/>
  <c r="H2021" i="1"/>
  <c r="G2021" i="1"/>
  <c r="F2021" i="1"/>
  <c r="E2021" i="1"/>
  <c r="D2021" i="1"/>
  <c r="C2021" i="1"/>
  <c r="V2020" i="1"/>
  <c r="R2020" i="1"/>
  <c r="Q2020" i="1"/>
  <c r="P2020" i="1"/>
  <c r="O2020" i="1"/>
  <c r="N2020" i="1"/>
  <c r="J2020" i="1"/>
  <c r="I2020" i="1"/>
  <c r="H2020" i="1"/>
  <c r="G2020" i="1"/>
  <c r="F2020" i="1"/>
  <c r="E2020" i="1"/>
  <c r="D2020" i="1"/>
  <c r="C2020" i="1"/>
  <c r="V2019" i="1"/>
  <c r="R2019" i="1"/>
  <c r="Q2019" i="1"/>
  <c r="P2019" i="1"/>
  <c r="O2019" i="1"/>
  <c r="N2019" i="1"/>
  <c r="J2019" i="1"/>
  <c r="I2019" i="1"/>
  <c r="H2019" i="1"/>
  <c r="G2019" i="1"/>
  <c r="F2019" i="1"/>
  <c r="E2019" i="1"/>
  <c r="D2019" i="1"/>
  <c r="C2019" i="1"/>
  <c r="V2018" i="1"/>
  <c r="Q2018" i="1"/>
  <c r="P2018" i="1"/>
  <c r="O2018" i="1"/>
  <c r="N2018" i="1"/>
  <c r="J2018" i="1"/>
  <c r="I2018" i="1"/>
  <c r="H2018" i="1"/>
  <c r="G2018" i="1"/>
  <c r="F2018" i="1"/>
  <c r="E2018" i="1"/>
  <c r="D2018" i="1"/>
  <c r="C2018" i="1"/>
  <c r="V2017" i="1"/>
  <c r="Q2017" i="1"/>
  <c r="P2017" i="1"/>
  <c r="O2017" i="1"/>
  <c r="N2017" i="1"/>
  <c r="J2017" i="1"/>
  <c r="I2017" i="1"/>
  <c r="H2017" i="1"/>
  <c r="G2017" i="1"/>
  <c r="F2017" i="1"/>
  <c r="E2017" i="1"/>
  <c r="D2017" i="1"/>
  <c r="C2017" i="1"/>
  <c r="V2016" i="1"/>
  <c r="Q2016" i="1"/>
  <c r="P2016" i="1"/>
  <c r="O2016" i="1"/>
  <c r="N2016" i="1"/>
  <c r="J2016" i="1"/>
  <c r="I2016" i="1"/>
  <c r="H2016" i="1"/>
  <c r="G2016" i="1"/>
  <c r="F2016" i="1"/>
  <c r="E2016" i="1"/>
  <c r="D2016" i="1"/>
  <c r="C2016" i="1"/>
  <c r="V2015" i="1"/>
  <c r="Q2015" i="1"/>
  <c r="P2015" i="1"/>
  <c r="O2015" i="1"/>
  <c r="N2015" i="1"/>
  <c r="J2015" i="1"/>
  <c r="I2015" i="1"/>
  <c r="H2015" i="1"/>
  <c r="G2015" i="1"/>
  <c r="F2015" i="1"/>
  <c r="E2015" i="1"/>
  <c r="D2015" i="1"/>
  <c r="C2015" i="1"/>
  <c r="V2014" i="1"/>
  <c r="Q2014" i="1"/>
  <c r="P2014" i="1"/>
  <c r="O2014" i="1"/>
  <c r="N2014" i="1"/>
  <c r="J2014" i="1"/>
  <c r="I2014" i="1"/>
  <c r="H2014" i="1"/>
  <c r="G2014" i="1"/>
  <c r="F2014" i="1"/>
  <c r="E2014" i="1"/>
  <c r="D2014" i="1"/>
  <c r="C2014" i="1"/>
  <c r="V2013" i="1"/>
  <c r="Q2013" i="1"/>
  <c r="P2013" i="1"/>
  <c r="O2013" i="1"/>
  <c r="N2013" i="1"/>
  <c r="J2013" i="1"/>
  <c r="I2013" i="1"/>
  <c r="H2013" i="1"/>
  <c r="G2013" i="1"/>
  <c r="F2013" i="1"/>
  <c r="E2013" i="1"/>
  <c r="D2013" i="1"/>
  <c r="C2013" i="1"/>
  <c r="V2012" i="1"/>
  <c r="Q2012" i="1"/>
  <c r="P2012" i="1"/>
  <c r="O2012" i="1"/>
  <c r="N2012" i="1"/>
  <c r="J2012" i="1"/>
  <c r="I2012" i="1"/>
  <c r="H2012" i="1"/>
  <c r="G2012" i="1"/>
  <c r="F2012" i="1"/>
  <c r="E2012" i="1"/>
  <c r="D2012" i="1"/>
  <c r="C2012" i="1"/>
  <c r="V2011" i="1"/>
  <c r="Q2011" i="1"/>
  <c r="P2011" i="1"/>
  <c r="O2011" i="1"/>
  <c r="N2011" i="1"/>
  <c r="J2011" i="1"/>
  <c r="I2011" i="1"/>
  <c r="H2011" i="1"/>
  <c r="G2011" i="1"/>
  <c r="F2011" i="1"/>
  <c r="E2011" i="1"/>
  <c r="D2011" i="1"/>
  <c r="C2011" i="1"/>
  <c r="V2010" i="1"/>
  <c r="Q2010" i="1"/>
  <c r="P2010" i="1"/>
  <c r="O2010" i="1"/>
  <c r="N2010" i="1"/>
  <c r="J2010" i="1"/>
  <c r="I2010" i="1"/>
  <c r="H2010" i="1"/>
  <c r="G2010" i="1"/>
  <c r="F2010" i="1"/>
  <c r="E2010" i="1"/>
  <c r="D2010" i="1"/>
  <c r="C2010" i="1"/>
  <c r="V2009" i="1"/>
  <c r="Q2009" i="1"/>
  <c r="P2009" i="1"/>
  <c r="O2009" i="1"/>
  <c r="N2009" i="1"/>
  <c r="J2009" i="1"/>
  <c r="I2009" i="1"/>
  <c r="H2009" i="1"/>
  <c r="G2009" i="1"/>
  <c r="F2009" i="1"/>
  <c r="E2009" i="1"/>
  <c r="D2009" i="1"/>
  <c r="C2009" i="1"/>
  <c r="V2008" i="1"/>
  <c r="Q2008" i="1"/>
  <c r="P2008" i="1"/>
  <c r="O2008" i="1"/>
  <c r="N2008" i="1"/>
  <c r="J2008" i="1"/>
  <c r="I2008" i="1"/>
  <c r="H2008" i="1"/>
  <c r="G2008" i="1"/>
  <c r="F2008" i="1"/>
  <c r="E2008" i="1"/>
  <c r="D2008" i="1"/>
  <c r="C2008" i="1"/>
  <c r="V2007" i="1"/>
  <c r="Q2007" i="1"/>
  <c r="P2007" i="1"/>
  <c r="O2007" i="1"/>
  <c r="N2007" i="1"/>
  <c r="J2007" i="1"/>
  <c r="I2007" i="1"/>
  <c r="H2007" i="1"/>
  <c r="G2007" i="1"/>
  <c r="F2007" i="1"/>
  <c r="E2007" i="1"/>
  <c r="D2007" i="1"/>
  <c r="C2007" i="1"/>
  <c r="V2006" i="1"/>
  <c r="Q2006" i="1"/>
  <c r="P2006" i="1"/>
  <c r="O2006" i="1"/>
  <c r="N2006" i="1"/>
  <c r="J2006" i="1"/>
  <c r="I2006" i="1"/>
  <c r="H2006" i="1"/>
  <c r="G2006" i="1"/>
  <c r="F2006" i="1"/>
  <c r="E2006" i="1"/>
  <c r="D2006" i="1"/>
  <c r="C2006" i="1"/>
  <c r="V2005" i="1"/>
  <c r="Q2005" i="1"/>
  <c r="P2005" i="1"/>
  <c r="O2005" i="1"/>
  <c r="N2005" i="1"/>
  <c r="J2005" i="1"/>
  <c r="I2005" i="1"/>
  <c r="H2005" i="1"/>
  <c r="G2005" i="1"/>
  <c r="F2005" i="1"/>
  <c r="E2005" i="1"/>
  <c r="D2005" i="1"/>
  <c r="C2005" i="1"/>
  <c r="V2004" i="1"/>
  <c r="Q2004" i="1"/>
  <c r="P2004" i="1"/>
  <c r="O2004" i="1"/>
  <c r="N2004" i="1"/>
  <c r="J2004" i="1"/>
  <c r="I2004" i="1"/>
  <c r="H2004" i="1"/>
  <c r="G2004" i="1"/>
  <c r="F2004" i="1"/>
  <c r="E2004" i="1"/>
  <c r="D2004" i="1"/>
  <c r="C2004" i="1"/>
  <c r="V2003" i="1"/>
  <c r="Q2003" i="1"/>
  <c r="P2003" i="1"/>
  <c r="O2003" i="1"/>
  <c r="N2003" i="1"/>
  <c r="J2003" i="1"/>
  <c r="I2003" i="1"/>
  <c r="H2003" i="1"/>
  <c r="G2003" i="1"/>
  <c r="F2003" i="1"/>
  <c r="E2003" i="1"/>
  <c r="D2003" i="1"/>
  <c r="C2003" i="1"/>
  <c r="V2002" i="1"/>
  <c r="Q2002" i="1"/>
  <c r="P2002" i="1"/>
  <c r="O2002" i="1"/>
  <c r="N2002" i="1"/>
  <c r="J2002" i="1"/>
  <c r="I2002" i="1"/>
  <c r="H2002" i="1"/>
  <c r="G2002" i="1"/>
  <c r="F2002" i="1"/>
  <c r="E2002" i="1"/>
  <c r="D2002" i="1"/>
  <c r="C2002" i="1"/>
  <c r="V2001" i="1"/>
  <c r="Q2001" i="1"/>
  <c r="P2001" i="1"/>
  <c r="O2001" i="1"/>
  <c r="N2001" i="1"/>
  <c r="J2001" i="1"/>
  <c r="I2001" i="1"/>
  <c r="H2001" i="1"/>
  <c r="G2001" i="1"/>
  <c r="F2001" i="1"/>
  <c r="E2001" i="1"/>
  <c r="D2001" i="1"/>
  <c r="C2001" i="1"/>
  <c r="V2000" i="1"/>
  <c r="Q2000" i="1"/>
  <c r="P2000" i="1"/>
  <c r="O2000" i="1"/>
  <c r="N2000" i="1"/>
  <c r="J2000" i="1"/>
  <c r="I2000" i="1"/>
  <c r="H2000" i="1"/>
  <c r="G2000" i="1"/>
  <c r="F2000" i="1"/>
  <c r="E2000" i="1"/>
  <c r="D2000" i="1"/>
  <c r="C2000" i="1"/>
  <c r="V1999" i="1"/>
  <c r="Q1999" i="1"/>
  <c r="P1999" i="1"/>
  <c r="O1999" i="1"/>
  <c r="N1999" i="1"/>
  <c r="J1999" i="1"/>
  <c r="I1999" i="1"/>
  <c r="H1999" i="1"/>
  <c r="G1999" i="1"/>
  <c r="F1999" i="1"/>
  <c r="E1999" i="1"/>
  <c r="D1999" i="1"/>
  <c r="C1999" i="1"/>
  <c r="V1998" i="1"/>
  <c r="Q1998" i="1"/>
  <c r="P1998" i="1"/>
  <c r="O1998" i="1"/>
  <c r="N1998" i="1"/>
  <c r="J1998" i="1"/>
  <c r="I1998" i="1"/>
  <c r="H1998" i="1"/>
  <c r="G1998" i="1"/>
  <c r="F1998" i="1"/>
  <c r="E1998" i="1"/>
  <c r="D1998" i="1"/>
  <c r="C1998" i="1"/>
  <c r="V1997" i="1"/>
  <c r="Q1997" i="1"/>
  <c r="P1997" i="1"/>
  <c r="O1997" i="1"/>
  <c r="N1997" i="1"/>
  <c r="J1997" i="1"/>
  <c r="I1997" i="1"/>
  <c r="H1997" i="1"/>
  <c r="G1997" i="1"/>
  <c r="F1997" i="1"/>
  <c r="E1997" i="1"/>
  <c r="D1997" i="1"/>
  <c r="C1997" i="1"/>
  <c r="V1996" i="1"/>
  <c r="Q1996" i="1"/>
  <c r="P1996" i="1"/>
  <c r="O1996" i="1"/>
  <c r="N1996" i="1"/>
  <c r="J1996" i="1"/>
  <c r="I1996" i="1"/>
  <c r="H1996" i="1"/>
  <c r="G1996" i="1"/>
  <c r="F1996" i="1"/>
  <c r="E1996" i="1"/>
  <c r="D1996" i="1"/>
  <c r="C1996" i="1"/>
  <c r="V1995" i="1"/>
  <c r="Q1995" i="1"/>
  <c r="P1995" i="1"/>
  <c r="O1995" i="1"/>
  <c r="N1995" i="1"/>
  <c r="J1995" i="1"/>
  <c r="I1995" i="1"/>
  <c r="H1995" i="1"/>
  <c r="G1995" i="1"/>
  <c r="F1995" i="1"/>
  <c r="E1995" i="1"/>
  <c r="D1995" i="1"/>
  <c r="C1995" i="1"/>
  <c r="V1994" i="1"/>
  <c r="Q1994" i="1"/>
  <c r="P1994" i="1"/>
  <c r="O1994" i="1"/>
  <c r="N1994" i="1"/>
  <c r="J1994" i="1"/>
  <c r="I1994" i="1"/>
  <c r="H1994" i="1"/>
  <c r="G1994" i="1"/>
  <c r="F1994" i="1"/>
  <c r="E1994" i="1"/>
  <c r="D1994" i="1"/>
  <c r="C1994" i="1"/>
  <c r="V1993" i="1"/>
  <c r="Q1993" i="1"/>
  <c r="P1993" i="1"/>
  <c r="O1993" i="1"/>
  <c r="N1993" i="1"/>
  <c r="J1993" i="1"/>
  <c r="I1993" i="1"/>
  <c r="H1993" i="1"/>
  <c r="G1993" i="1"/>
  <c r="F1993" i="1"/>
  <c r="E1993" i="1"/>
  <c r="D1993" i="1"/>
  <c r="C1993" i="1"/>
  <c r="V1992" i="1"/>
  <c r="Q1992" i="1"/>
  <c r="P1992" i="1"/>
  <c r="O1992" i="1"/>
  <c r="N1992" i="1"/>
  <c r="J1992" i="1"/>
  <c r="I1992" i="1"/>
  <c r="H1992" i="1"/>
  <c r="G1992" i="1"/>
  <c r="F1992" i="1"/>
  <c r="E1992" i="1"/>
  <c r="D1992" i="1"/>
  <c r="C1992" i="1"/>
  <c r="V1991" i="1"/>
  <c r="Q1991" i="1"/>
  <c r="P1991" i="1"/>
  <c r="O1991" i="1"/>
  <c r="N1991" i="1"/>
  <c r="J1991" i="1"/>
  <c r="I1991" i="1"/>
  <c r="H1991" i="1"/>
  <c r="G1991" i="1"/>
  <c r="F1991" i="1"/>
  <c r="E1991" i="1"/>
  <c r="D1991" i="1"/>
  <c r="C1991" i="1"/>
  <c r="V1990" i="1"/>
  <c r="Q1990" i="1"/>
  <c r="P1990" i="1"/>
  <c r="O1990" i="1"/>
  <c r="N1990" i="1"/>
  <c r="J1990" i="1"/>
  <c r="I1990" i="1"/>
  <c r="H1990" i="1"/>
  <c r="G1990" i="1"/>
  <c r="F1990" i="1"/>
  <c r="E1990" i="1"/>
  <c r="D1990" i="1"/>
  <c r="C1990" i="1"/>
  <c r="V1989" i="1"/>
  <c r="Q1989" i="1"/>
  <c r="P1989" i="1"/>
  <c r="O1989" i="1"/>
  <c r="N1989" i="1"/>
  <c r="J1989" i="1"/>
  <c r="I1989" i="1"/>
  <c r="H1989" i="1"/>
  <c r="G1989" i="1"/>
  <c r="F1989" i="1"/>
  <c r="E1989" i="1"/>
  <c r="D1989" i="1"/>
  <c r="C1989" i="1"/>
  <c r="V1988" i="1"/>
  <c r="Q1988" i="1"/>
  <c r="P1988" i="1"/>
  <c r="O1988" i="1"/>
  <c r="N1988" i="1"/>
  <c r="J1988" i="1"/>
  <c r="I1988" i="1"/>
  <c r="H1988" i="1"/>
  <c r="G1988" i="1"/>
  <c r="F1988" i="1"/>
  <c r="E1988" i="1"/>
  <c r="D1988" i="1"/>
  <c r="C1988" i="1"/>
  <c r="V1987" i="1"/>
  <c r="Q1987" i="1"/>
  <c r="P1987" i="1"/>
  <c r="O1987" i="1"/>
  <c r="N1987" i="1"/>
  <c r="J1987" i="1"/>
  <c r="I1987" i="1"/>
  <c r="H1987" i="1"/>
  <c r="G1987" i="1"/>
  <c r="F1987" i="1"/>
  <c r="E1987" i="1"/>
  <c r="D1987" i="1"/>
  <c r="C1987" i="1"/>
  <c r="V1986" i="1"/>
  <c r="Q1986" i="1"/>
  <c r="P1986" i="1"/>
  <c r="O1986" i="1"/>
  <c r="N1986" i="1"/>
  <c r="J1986" i="1"/>
  <c r="I1986" i="1"/>
  <c r="H1986" i="1"/>
  <c r="G1986" i="1"/>
  <c r="F1986" i="1"/>
  <c r="E1986" i="1"/>
  <c r="D1986" i="1"/>
  <c r="C1986" i="1"/>
  <c r="V1985" i="1"/>
  <c r="Q1985" i="1"/>
  <c r="P1985" i="1"/>
  <c r="O1985" i="1"/>
  <c r="N1985" i="1"/>
  <c r="J1985" i="1"/>
  <c r="I1985" i="1"/>
  <c r="H1985" i="1"/>
  <c r="G1985" i="1"/>
  <c r="F1985" i="1"/>
  <c r="E1985" i="1"/>
  <c r="D1985" i="1"/>
  <c r="C1985" i="1"/>
  <c r="V1984" i="1"/>
  <c r="Q1984" i="1"/>
  <c r="P1984" i="1"/>
  <c r="O1984" i="1"/>
  <c r="N1984" i="1"/>
  <c r="J1984" i="1"/>
  <c r="I1984" i="1"/>
  <c r="H1984" i="1"/>
  <c r="G1984" i="1"/>
  <c r="F1984" i="1"/>
  <c r="E1984" i="1"/>
  <c r="D1984" i="1"/>
  <c r="C1984" i="1"/>
  <c r="V1983" i="1"/>
  <c r="Q1983" i="1"/>
  <c r="P1983" i="1"/>
  <c r="O1983" i="1"/>
  <c r="N1983" i="1"/>
  <c r="J1983" i="1"/>
  <c r="I1983" i="1"/>
  <c r="H1983" i="1"/>
  <c r="G1983" i="1"/>
  <c r="F1983" i="1"/>
  <c r="E1983" i="1"/>
  <c r="D1983" i="1"/>
  <c r="C1983" i="1"/>
  <c r="V1982" i="1"/>
  <c r="Q1982" i="1"/>
  <c r="P1982" i="1"/>
  <c r="O1982" i="1"/>
  <c r="N1982" i="1"/>
  <c r="J1982" i="1"/>
  <c r="I1982" i="1"/>
  <c r="H1982" i="1"/>
  <c r="G1982" i="1"/>
  <c r="F1982" i="1"/>
  <c r="E1982" i="1"/>
  <c r="D1982" i="1"/>
  <c r="C1982" i="1"/>
  <c r="V1981" i="1"/>
  <c r="Q1981" i="1"/>
  <c r="P1981" i="1"/>
  <c r="O1981" i="1"/>
  <c r="N1981" i="1"/>
  <c r="J1981" i="1"/>
  <c r="I1981" i="1"/>
  <c r="H1981" i="1"/>
  <c r="G1981" i="1"/>
  <c r="F1981" i="1"/>
  <c r="E1981" i="1"/>
  <c r="D1981" i="1"/>
  <c r="C1981" i="1"/>
  <c r="V1980" i="1"/>
  <c r="Q1980" i="1"/>
  <c r="P1980" i="1"/>
  <c r="O1980" i="1"/>
  <c r="N1980" i="1"/>
  <c r="J1980" i="1"/>
  <c r="I1980" i="1"/>
  <c r="H1980" i="1"/>
  <c r="G1980" i="1"/>
  <c r="F1980" i="1"/>
  <c r="E1980" i="1"/>
  <c r="D1980" i="1"/>
  <c r="C1980" i="1"/>
  <c r="V1979" i="1"/>
  <c r="Q1979" i="1"/>
  <c r="P1979" i="1"/>
  <c r="O1979" i="1"/>
  <c r="N1979" i="1"/>
  <c r="J1979" i="1"/>
  <c r="I1979" i="1"/>
  <c r="H1979" i="1"/>
  <c r="G1979" i="1"/>
  <c r="F1979" i="1"/>
  <c r="E1979" i="1"/>
  <c r="D1979" i="1"/>
  <c r="C1979" i="1"/>
  <c r="V1978" i="1"/>
  <c r="Q1978" i="1"/>
  <c r="P1978" i="1"/>
  <c r="O1978" i="1"/>
  <c r="N1978" i="1"/>
  <c r="J1978" i="1"/>
  <c r="I1978" i="1"/>
  <c r="H1978" i="1"/>
  <c r="G1978" i="1"/>
  <c r="F1978" i="1"/>
  <c r="E1978" i="1"/>
  <c r="D1978" i="1"/>
  <c r="C1978" i="1"/>
  <c r="V1977" i="1"/>
  <c r="Q1977" i="1"/>
  <c r="P1977" i="1"/>
  <c r="O1977" i="1"/>
  <c r="N1977" i="1"/>
  <c r="J1977" i="1"/>
  <c r="I1977" i="1"/>
  <c r="H1977" i="1"/>
  <c r="G1977" i="1"/>
  <c r="F1977" i="1"/>
  <c r="E1977" i="1"/>
  <c r="D1977" i="1"/>
  <c r="C1977" i="1"/>
  <c r="V1976" i="1"/>
  <c r="Q1976" i="1"/>
  <c r="P1976" i="1"/>
  <c r="O1976" i="1"/>
  <c r="N1976" i="1"/>
  <c r="J1976" i="1"/>
  <c r="I1976" i="1"/>
  <c r="H1976" i="1"/>
  <c r="G1976" i="1"/>
  <c r="F1976" i="1"/>
  <c r="E1976" i="1"/>
  <c r="D1976" i="1"/>
  <c r="C1976" i="1"/>
  <c r="V1975" i="1"/>
  <c r="Q1975" i="1"/>
  <c r="P1975" i="1"/>
  <c r="O1975" i="1"/>
  <c r="N1975" i="1"/>
  <c r="J1975" i="1"/>
  <c r="I1975" i="1"/>
  <c r="H1975" i="1"/>
  <c r="G1975" i="1"/>
  <c r="F1975" i="1"/>
  <c r="E1975" i="1"/>
  <c r="D1975" i="1"/>
  <c r="C1975" i="1"/>
  <c r="V1974" i="1"/>
  <c r="Q1974" i="1"/>
  <c r="P1974" i="1"/>
  <c r="O1974" i="1"/>
  <c r="N1974" i="1"/>
  <c r="J1974" i="1"/>
  <c r="I1974" i="1"/>
  <c r="H1974" i="1"/>
  <c r="G1974" i="1"/>
  <c r="F1974" i="1"/>
  <c r="E1974" i="1"/>
  <c r="D1974" i="1"/>
  <c r="C1974" i="1"/>
  <c r="V1973" i="1"/>
  <c r="Q1973" i="1"/>
  <c r="P1973" i="1"/>
  <c r="O1973" i="1"/>
  <c r="N1973" i="1"/>
  <c r="J1973" i="1"/>
  <c r="I1973" i="1"/>
  <c r="H1973" i="1"/>
  <c r="G1973" i="1"/>
  <c r="F1973" i="1"/>
  <c r="E1973" i="1"/>
  <c r="D1973" i="1"/>
  <c r="C1973" i="1"/>
  <c r="V1972" i="1"/>
  <c r="Q1972" i="1"/>
  <c r="P1972" i="1"/>
  <c r="O1972" i="1"/>
  <c r="N1972" i="1"/>
  <c r="J1972" i="1"/>
  <c r="I1972" i="1"/>
  <c r="H1972" i="1"/>
  <c r="G1972" i="1"/>
  <c r="F1972" i="1"/>
  <c r="E1972" i="1"/>
  <c r="D1972" i="1"/>
  <c r="C1972" i="1"/>
  <c r="V1971" i="1"/>
  <c r="Q1971" i="1"/>
  <c r="P1971" i="1"/>
  <c r="O1971" i="1"/>
  <c r="N1971" i="1"/>
  <c r="J1971" i="1"/>
  <c r="I1971" i="1"/>
  <c r="H1971" i="1"/>
  <c r="G1971" i="1"/>
  <c r="F1971" i="1"/>
  <c r="E1971" i="1"/>
  <c r="D1971" i="1"/>
  <c r="C1971" i="1"/>
  <c r="V1970" i="1"/>
  <c r="Q1970" i="1"/>
  <c r="P1970" i="1"/>
  <c r="O1970" i="1"/>
  <c r="N1970" i="1"/>
  <c r="J1970" i="1"/>
  <c r="I1970" i="1"/>
  <c r="H1970" i="1"/>
  <c r="G1970" i="1"/>
  <c r="F1970" i="1"/>
  <c r="E1970" i="1"/>
  <c r="D1970" i="1"/>
  <c r="C1970" i="1"/>
  <c r="V1969" i="1"/>
  <c r="Q1969" i="1"/>
  <c r="P1969" i="1"/>
  <c r="O1969" i="1"/>
  <c r="N1969" i="1"/>
  <c r="J1969" i="1"/>
  <c r="I1969" i="1"/>
  <c r="H1969" i="1"/>
  <c r="G1969" i="1"/>
  <c r="F1969" i="1"/>
  <c r="E1969" i="1"/>
  <c r="D1969" i="1"/>
  <c r="C1969" i="1"/>
  <c r="V1968" i="1"/>
  <c r="Q1968" i="1"/>
  <c r="P1968" i="1"/>
  <c r="O1968" i="1"/>
  <c r="N1968" i="1"/>
  <c r="J1968" i="1"/>
  <c r="I1968" i="1"/>
  <c r="H1968" i="1"/>
  <c r="G1968" i="1"/>
  <c r="F1968" i="1"/>
  <c r="E1968" i="1"/>
  <c r="D1968" i="1"/>
  <c r="C1968" i="1"/>
  <c r="V1967" i="1"/>
  <c r="Q1967" i="1"/>
  <c r="P1967" i="1"/>
  <c r="O1967" i="1"/>
  <c r="N1967" i="1"/>
  <c r="J1967" i="1"/>
  <c r="I1967" i="1"/>
  <c r="H1967" i="1"/>
  <c r="G1967" i="1"/>
  <c r="F1967" i="1"/>
  <c r="E1967" i="1"/>
  <c r="D1967" i="1"/>
  <c r="C1967" i="1"/>
  <c r="V1966" i="1"/>
  <c r="Q1966" i="1"/>
  <c r="P1966" i="1"/>
  <c r="O1966" i="1"/>
  <c r="N1966" i="1"/>
  <c r="J1966" i="1"/>
  <c r="I1966" i="1"/>
  <c r="H1966" i="1"/>
  <c r="G1966" i="1"/>
  <c r="F1966" i="1"/>
  <c r="E1966" i="1"/>
  <c r="D1966" i="1"/>
  <c r="C1966" i="1"/>
  <c r="V1965" i="1"/>
  <c r="Q1965" i="1"/>
  <c r="P1965" i="1"/>
  <c r="O1965" i="1"/>
  <c r="N1965" i="1"/>
  <c r="J1965" i="1"/>
  <c r="I1965" i="1"/>
  <c r="H1965" i="1"/>
  <c r="G1965" i="1"/>
  <c r="F1965" i="1"/>
  <c r="E1965" i="1"/>
  <c r="D1965" i="1"/>
  <c r="C1965" i="1"/>
  <c r="V1964" i="1"/>
  <c r="Q1964" i="1"/>
  <c r="P1964" i="1"/>
  <c r="O1964" i="1"/>
  <c r="N1964" i="1"/>
  <c r="J1964" i="1"/>
  <c r="I1964" i="1"/>
  <c r="H1964" i="1"/>
  <c r="G1964" i="1"/>
  <c r="F1964" i="1"/>
  <c r="E1964" i="1"/>
  <c r="D1964" i="1"/>
  <c r="C1964" i="1"/>
  <c r="V1963" i="1"/>
  <c r="Q1963" i="1"/>
  <c r="P1963" i="1"/>
  <c r="O1963" i="1"/>
  <c r="N1963" i="1"/>
  <c r="J1963" i="1"/>
  <c r="I1963" i="1"/>
  <c r="H1963" i="1"/>
  <c r="G1963" i="1"/>
  <c r="F1963" i="1"/>
  <c r="E1963" i="1"/>
  <c r="D1963" i="1"/>
  <c r="C1963" i="1"/>
  <c r="V1962" i="1"/>
  <c r="Q1962" i="1"/>
  <c r="P1962" i="1"/>
  <c r="O1962" i="1"/>
  <c r="N1962" i="1"/>
  <c r="J1962" i="1"/>
  <c r="I1962" i="1"/>
  <c r="H1962" i="1"/>
  <c r="G1962" i="1"/>
  <c r="F1962" i="1"/>
  <c r="E1962" i="1"/>
  <c r="D1962" i="1"/>
  <c r="C1962" i="1"/>
  <c r="V1961" i="1"/>
  <c r="Q1961" i="1"/>
  <c r="P1961" i="1"/>
  <c r="O1961" i="1"/>
  <c r="N1961" i="1"/>
  <c r="J1961" i="1"/>
  <c r="I1961" i="1"/>
  <c r="H1961" i="1"/>
  <c r="G1961" i="1"/>
  <c r="F1961" i="1"/>
  <c r="E1961" i="1"/>
  <c r="D1961" i="1"/>
  <c r="C1961" i="1"/>
  <c r="V1960" i="1"/>
  <c r="Q1960" i="1"/>
  <c r="P1960" i="1"/>
  <c r="O1960" i="1"/>
  <c r="N1960" i="1"/>
  <c r="J1960" i="1"/>
  <c r="I1960" i="1"/>
  <c r="H1960" i="1"/>
  <c r="G1960" i="1"/>
  <c r="F1960" i="1"/>
  <c r="E1960" i="1"/>
  <c r="D1960" i="1"/>
  <c r="C1960" i="1"/>
  <c r="V1959" i="1"/>
  <c r="Q1959" i="1"/>
  <c r="P1959" i="1"/>
  <c r="O1959" i="1"/>
  <c r="N1959" i="1"/>
  <c r="J1959" i="1"/>
  <c r="I1959" i="1"/>
  <c r="H1959" i="1"/>
  <c r="G1959" i="1"/>
  <c r="F1959" i="1"/>
  <c r="E1959" i="1"/>
  <c r="D1959" i="1"/>
  <c r="C1959" i="1"/>
  <c r="V1958" i="1"/>
  <c r="Q1958" i="1"/>
  <c r="P1958" i="1"/>
  <c r="O1958" i="1"/>
  <c r="N1958" i="1"/>
  <c r="J1958" i="1"/>
  <c r="I1958" i="1"/>
  <c r="H1958" i="1"/>
  <c r="G1958" i="1"/>
  <c r="F1958" i="1"/>
  <c r="E1958" i="1"/>
  <c r="D1958" i="1"/>
  <c r="C1958" i="1"/>
  <c r="V1957" i="1"/>
  <c r="Q1957" i="1"/>
  <c r="P1957" i="1"/>
  <c r="O1957" i="1"/>
  <c r="N1957" i="1"/>
  <c r="J1957" i="1"/>
  <c r="I1957" i="1"/>
  <c r="H1957" i="1"/>
  <c r="G1957" i="1"/>
  <c r="F1957" i="1"/>
  <c r="E1957" i="1"/>
  <c r="D1957" i="1"/>
  <c r="C1957" i="1"/>
  <c r="V1956" i="1"/>
  <c r="Q1956" i="1"/>
  <c r="P1956" i="1"/>
  <c r="O1956" i="1"/>
  <c r="N1956" i="1"/>
  <c r="J1956" i="1"/>
  <c r="I1956" i="1"/>
  <c r="H1956" i="1"/>
  <c r="G1956" i="1"/>
  <c r="F1956" i="1"/>
  <c r="E1956" i="1"/>
  <c r="D1956" i="1"/>
  <c r="C1956" i="1"/>
  <c r="V1955" i="1"/>
  <c r="Q1955" i="1"/>
  <c r="P1955" i="1"/>
  <c r="O1955" i="1"/>
  <c r="N1955" i="1"/>
  <c r="J1955" i="1"/>
  <c r="I1955" i="1"/>
  <c r="H1955" i="1"/>
  <c r="G1955" i="1"/>
  <c r="F1955" i="1"/>
  <c r="E1955" i="1"/>
  <c r="D1955" i="1"/>
  <c r="C1955" i="1"/>
  <c r="V1954" i="1"/>
  <c r="Q1954" i="1"/>
  <c r="P1954" i="1"/>
  <c r="O1954" i="1"/>
  <c r="N1954" i="1"/>
  <c r="J1954" i="1"/>
  <c r="I1954" i="1"/>
  <c r="H1954" i="1"/>
  <c r="G1954" i="1"/>
  <c r="F1954" i="1"/>
  <c r="E1954" i="1"/>
  <c r="D1954" i="1"/>
  <c r="C1954" i="1"/>
  <c r="V1953" i="1"/>
  <c r="Q1953" i="1"/>
  <c r="P1953" i="1"/>
  <c r="O1953" i="1"/>
  <c r="N1953" i="1"/>
  <c r="J1953" i="1"/>
  <c r="I1953" i="1"/>
  <c r="H1953" i="1"/>
  <c r="G1953" i="1"/>
  <c r="F1953" i="1"/>
  <c r="E1953" i="1"/>
  <c r="D1953" i="1"/>
  <c r="C1953" i="1"/>
  <c r="V1952" i="1"/>
  <c r="Q1952" i="1"/>
  <c r="P1952" i="1"/>
  <c r="O1952" i="1"/>
  <c r="N1952" i="1"/>
  <c r="J1952" i="1"/>
  <c r="I1952" i="1"/>
  <c r="H1952" i="1"/>
  <c r="G1952" i="1"/>
  <c r="F1952" i="1"/>
  <c r="E1952" i="1"/>
  <c r="D1952" i="1"/>
  <c r="C1952" i="1"/>
  <c r="V1951" i="1"/>
  <c r="Q1951" i="1"/>
  <c r="P1951" i="1"/>
  <c r="O1951" i="1"/>
  <c r="N1951" i="1"/>
  <c r="J1951" i="1"/>
  <c r="I1951" i="1"/>
  <c r="H1951" i="1"/>
  <c r="G1951" i="1"/>
  <c r="F1951" i="1"/>
  <c r="E1951" i="1"/>
  <c r="D1951" i="1"/>
  <c r="C1951" i="1"/>
  <c r="V1950" i="1"/>
  <c r="Q1950" i="1"/>
  <c r="P1950" i="1"/>
  <c r="O1950" i="1"/>
  <c r="N1950" i="1"/>
  <c r="J1950" i="1"/>
  <c r="I1950" i="1"/>
  <c r="H1950" i="1"/>
  <c r="G1950" i="1"/>
  <c r="F1950" i="1"/>
  <c r="E1950" i="1"/>
  <c r="D1950" i="1"/>
  <c r="C1950" i="1"/>
  <c r="V1949" i="1"/>
  <c r="Q1949" i="1"/>
  <c r="P1949" i="1"/>
  <c r="O1949" i="1"/>
  <c r="N1949" i="1"/>
  <c r="J1949" i="1"/>
  <c r="I1949" i="1"/>
  <c r="H1949" i="1"/>
  <c r="G1949" i="1"/>
  <c r="F1949" i="1"/>
  <c r="E1949" i="1"/>
  <c r="D1949" i="1"/>
  <c r="C1949" i="1"/>
  <c r="V1948" i="1"/>
  <c r="Q1948" i="1"/>
  <c r="P1948" i="1"/>
  <c r="O1948" i="1"/>
  <c r="N1948" i="1"/>
  <c r="J1948" i="1"/>
  <c r="I1948" i="1"/>
  <c r="H1948" i="1"/>
  <c r="G1948" i="1"/>
  <c r="F1948" i="1"/>
  <c r="E1948" i="1"/>
  <c r="D1948" i="1"/>
  <c r="C1948" i="1"/>
  <c r="V1947" i="1"/>
  <c r="Q1947" i="1"/>
  <c r="P1947" i="1"/>
  <c r="O1947" i="1"/>
  <c r="N1947" i="1"/>
  <c r="J1947" i="1"/>
  <c r="I1947" i="1"/>
  <c r="H1947" i="1"/>
  <c r="G1947" i="1"/>
  <c r="F1947" i="1"/>
  <c r="E1947" i="1"/>
  <c r="D1947" i="1"/>
  <c r="C1947" i="1"/>
  <c r="V1946" i="1"/>
  <c r="Q1946" i="1"/>
  <c r="P1946" i="1"/>
  <c r="O1946" i="1"/>
  <c r="N1946" i="1"/>
  <c r="J1946" i="1"/>
  <c r="I1946" i="1"/>
  <c r="H1946" i="1"/>
  <c r="G1946" i="1"/>
  <c r="F1946" i="1"/>
  <c r="E1946" i="1"/>
  <c r="D1946" i="1"/>
  <c r="C1946" i="1"/>
  <c r="V1945" i="1"/>
  <c r="Q1945" i="1"/>
  <c r="P1945" i="1"/>
  <c r="O1945" i="1"/>
  <c r="N1945" i="1"/>
  <c r="J1945" i="1"/>
  <c r="I1945" i="1"/>
  <c r="H1945" i="1"/>
  <c r="G1945" i="1"/>
  <c r="F1945" i="1"/>
  <c r="E1945" i="1"/>
  <c r="D1945" i="1"/>
  <c r="C1945" i="1"/>
  <c r="V1944" i="1"/>
  <c r="Q1944" i="1"/>
  <c r="P1944" i="1"/>
  <c r="O1944" i="1"/>
  <c r="N1944" i="1"/>
  <c r="J1944" i="1"/>
  <c r="I1944" i="1"/>
  <c r="H1944" i="1"/>
  <c r="G1944" i="1"/>
  <c r="F1944" i="1"/>
  <c r="E1944" i="1"/>
  <c r="D1944" i="1"/>
  <c r="C1944" i="1"/>
  <c r="V1943" i="1"/>
  <c r="Q1943" i="1"/>
  <c r="P1943" i="1"/>
  <c r="O1943" i="1"/>
  <c r="N1943" i="1"/>
  <c r="J1943" i="1"/>
  <c r="I1943" i="1"/>
  <c r="H1943" i="1"/>
  <c r="G1943" i="1"/>
  <c r="F1943" i="1"/>
  <c r="E1943" i="1"/>
  <c r="D1943" i="1"/>
  <c r="C1943" i="1"/>
  <c r="V1942" i="1"/>
  <c r="Q1942" i="1"/>
  <c r="P1942" i="1"/>
  <c r="O1942" i="1"/>
  <c r="N1942" i="1"/>
  <c r="J1942" i="1"/>
  <c r="I1942" i="1"/>
  <c r="H1942" i="1"/>
  <c r="G1942" i="1"/>
  <c r="F1942" i="1"/>
  <c r="E1942" i="1"/>
  <c r="D1942" i="1"/>
  <c r="C1942" i="1"/>
  <c r="V1941" i="1"/>
  <c r="Q1941" i="1"/>
  <c r="P1941" i="1"/>
  <c r="O1941" i="1"/>
  <c r="N1941" i="1"/>
  <c r="J1941" i="1"/>
  <c r="I1941" i="1"/>
  <c r="H1941" i="1"/>
  <c r="G1941" i="1"/>
  <c r="F1941" i="1"/>
  <c r="E1941" i="1"/>
  <c r="D1941" i="1"/>
  <c r="C1941" i="1"/>
  <c r="V1940" i="1"/>
  <c r="Q1940" i="1"/>
  <c r="P1940" i="1"/>
  <c r="O1940" i="1"/>
  <c r="N1940" i="1"/>
  <c r="J1940" i="1"/>
  <c r="I1940" i="1"/>
  <c r="H1940" i="1"/>
  <c r="G1940" i="1"/>
  <c r="F1940" i="1"/>
  <c r="E1940" i="1"/>
  <c r="D1940" i="1"/>
  <c r="C1940" i="1"/>
  <c r="V1939" i="1"/>
  <c r="Q1939" i="1"/>
  <c r="P1939" i="1"/>
  <c r="O1939" i="1"/>
  <c r="N1939" i="1"/>
  <c r="J1939" i="1"/>
  <c r="I1939" i="1"/>
  <c r="H1939" i="1"/>
  <c r="G1939" i="1"/>
  <c r="F1939" i="1"/>
  <c r="E1939" i="1"/>
  <c r="D1939" i="1"/>
  <c r="C1939" i="1"/>
  <c r="V1938" i="1"/>
  <c r="Q1938" i="1"/>
  <c r="P1938" i="1"/>
  <c r="O1938" i="1"/>
  <c r="N1938" i="1"/>
  <c r="J1938" i="1"/>
  <c r="I1938" i="1"/>
  <c r="H1938" i="1"/>
  <c r="G1938" i="1"/>
  <c r="F1938" i="1"/>
  <c r="E1938" i="1"/>
  <c r="D1938" i="1"/>
  <c r="C1938" i="1"/>
  <c r="V1937" i="1"/>
  <c r="Q1937" i="1"/>
  <c r="P1937" i="1"/>
  <c r="O1937" i="1"/>
  <c r="N1937" i="1"/>
  <c r="J1937" i="1"/>
  <c r="I1937" i="1"/>
  <c r="H1937" i="1"/>
  <c r="G1937" i="1"/>
  <c r="F1937" i="1"/>
  <c r="E1937" i="1"/>
  <c r="D1937" i="1"/>
  <c r="C1937" i="1"/>
  <c r="V1936" i="1"/>
  <c r="Q1936" i="1"/>
  <c r="P1936" i="1"/>
  <c r="O1936" i="1"/>
  <c r="N1936" i="1"/>
  <c r="J1936" i="1"/>
  <c r="I1936" i="1"/>
  <c r="H1936" i="1"/>
  <c r="G1936" i="1"/>
  <c r="F1936" i="1"/>
  <c r="E1936" i="1"/>
  <c r="D1936" i="1"/>
  <c r="C1936" i="1"/>
  <c r="V1935" i="1"/>
  <c r="Q1935" i="1"/>
  <c r="P1935" i="1"/>
  <c r="O1935" i="1"/>
  <c r="N1935" i="1"/>
  <c r="J1935" i="1"/>
  <c r="I1935" i="1"/>
  <c r="H1935" i="1"/>
  <c r="G1935" i="1"/>
  <c r="F1935" i="1"/>
  <c r="E1935" i="1"/>
  <c r="D1935" i="1"/>
  <c r="C1935" i="1"/>
  <c r="V1934" i="1"/>
  <c r="Q1934" i="1"/>
  <c r="P1934" i="1"/>
  <c r="O1934" i="1"/>
  <c r="N1934" i="1"/>
  <c r="J1934" i="1"/>
  <c r="I1934" i="1"/>
  <c r="H1934" i="1"/>
  <c r="G1934" i="1"/>
  <c r="F1934" i="1"/>
  <c r="E1934" i="1"/>
  <c r="D1934" i="1"/>
  <c r="C1934" i="1"/>
  <c r="V1933" i="1"/>
  <c r="Q1933" i="1"/>
  <c r="P1933" i="1"/>
  <c r="O1933" i="1"/>
  <c r="N1933" i="1"/>
  <c r="J1933" i="1"/>
  <c r="I1933" i="1"/>
  <c r="H1933" i="1"/>
  <c r="G1933" i="1"/>
  <c r="F1933" i="1"/>
  <c r="E1933" i="1"/>
  <c r="D1933" i="1"/>
  <c r="C1933" i="1"/>
  <c r="V1932" i="1"/>
  <c r="Q1932" i="1"/>
  <c r="P1932" i="1"/>
  <c r="O1932" i="1"/>
  <c r="N1932" i="1"/>
  <c r="J1932" i="1"/>
  <c r="I1932" i="1"/>
  <c r="H1932" i="1"/>
  <c r="G1932" i="1"/>
  <c r="F1932" i="1"/>
  <c r="E1932" i="1"/>
  <c r="D1932" i="1"/>
  <c r="C1932" i="1"/>
  <c r="V1931" i="1"/>
  <c r="Q1931" i="1"/>
  <c r="P1931" i="1"/>
  <c r="O1931" i="1"/>
  <c r="N1931" i="1"/>
  <c r="J1931" i="1"/>
  <c r="I1931" i="1"/>
  <c r="H1931" i="1"/>
  <c r="G1931" i="1"/>
  <c r="F1931" i="1"/>
  <c r="E1931" i="1"/>
  <c r="D1931" i="1"/>
  <c r="C1931" i="1"/>
  <c r="V1930" i="1"/>
  <c r="Q1930" i="1"/>
  <c r="P1930" i="1"/>
  <c r="O1930" i="1"/>
  <c r="N1930" i="1"/>
  <c r="J1930" i="1"/>
  <c r="I1930" i="1"/>
  <c r="H1930" i="1"/>
  <c r="G1930" i="1"/>
  <c r="F1930" i="1"/>
  <c r="E1930" i="1"/>
  <c r="D1930" i="1"/>
  <c r="C1930" i="1"/>
  <c r="V1929" i="1"/>
  <c r="Q1929" i="1"/>
  <c r="P1929" i="1"/>
  <c r="O1929" i="1"/>
  <c r="N1929" i="1"/>
  <c r="J1929" i="1"/>
  <c r="I1929" i="1"/>
  <c r="H1929" i="1"/>
  <c r="G1929" i="1"/>
  <c r="F1929" i="1"/>
  <c r="E1929" i="1"/>
  <c r="D1929" i="1"/>
  <c r="C1929" i="1"/>
  <c r="V1928" i="1"/>
  <c r="Q1928" i="1"/>
  <c r="P1928" i="1"/>
  <c r="O1928" i="1"/>
  <c r="N1928" i="1"/>
  <c r="J1928" i="1"/>
  <c r="I1928" i="1"/>
  <c r="H1928" i="1"/>
  <c r="G1928" i="1"/>
  <c r="F1928" i="1"/>
  <c r="E1928" i="1"/>
  <c r="D1928" i="1"/>
  <c r="C1928" i="1"/>
  <c r="V1927" i="1"/>
  <c r="Q1927" i="1"/>
  <c r="P1927" i="1"/>
  <c r="O1927" i="1"/>
  <c r="N1927" i="1"/>
  <c r="J1927" i="1"/>
  <c r="I1927" i="1"/>
  <c r="H1927" i="1"/>
  <c r="G1927" i="1"/>
  <c r="F1927" i="1"/>
  <c r="E1927" i="1"/>
  <c r="D1927" i="1"/>
  <c r="C1927" i="1"/>
  <c r="V1926" i="1"/>
  <c r="Q1926" i="1"/>
  <c r="P1926" i="1"/>
  <c r="O1926" i="1"/>
  <c r="N1926" i="1"/>
  <c r="J1926" i="1"/>
  <c r="I1926" i="1"/>
  <c r="H1926" i="1"/>
  <c r="G1926" i="1"/>
  <c r="F1926" i="1"/>
  <c r="E1926" i="1"/>
  <c r="D1926" i="1"/>
  <c r="C1926" i="1"/>
  <c r="V1925" i="1"/>
  <c r="Q1925" i="1"/>
  <c r="P1925" i="1"/>
  <c r="O1925" i="1"/>
  <c r="N1925" i="1"/>
  <c r="J1925" i="1"/>
  <c r="I1925" i="1"/>
  <c r="H1925" i="1"/>
  <c r="G1925" i="1"/>
  <c r="F1925" i="1"/>
  <c r="E1925" i="1"/>
  <c r="D1925" i="1"/>
  <c r="C1925" i="1"/>
  <c r="V1924" i="1"/>
  <c r="Q1924" i="1"/>
  <c r="P1924" i="1"/>
  <c r="O1924" i="1"/>
  <c r="N1924" i="1"/>
  <c r="J1924" i="1"/>
  <c r="I1924" i="1"/>
  <c r="H1924" i="1"/>
  <c r="G1924" i="1"/>
  <c r="F1924" i="1"/>
  <c r="E1924" i="1"/>
  <c r="D1924" i="1"/>
  <c r="C1924" i="1"/>
  <c r="V1923" i="1"/>
  <c r="Q1923" i="1"/>
  <c r="P1923" i="1"/>
  <c r="O1923" i="1"/>
  <c r="N1923" i="1"/>
  <c r="J1923" i="1"/>
  <c r="I1923" i="1"/>
  <c r="H1923" i="1"/>
  <c r="G1923" i="1"/>
  <c r="F1923" i="1"/>
  <c r="E1923" i="1"/>
  <c r="D1923" i="1"/>
  <c r="C1923" i="1"/>
  <c r="V1922" i="1"/>
  <c r="Q1922" i="1"/>
  <c r="P1922" i="1"/>
  <c r="O1922" i="1"/>
  <c r="N1922" i="1"/>
  <c r="J1922" i="1"/>
  <c r="I1922" i="1"/>
  <c r="H1922" i="1"/>
  <c r="G1922" i="1"/>
  <c r="F1922" i="1"/>
  <c r="E1922" i="1"/>
  <c r="D1922" i="1"/>
  <c r="C1922" i="1"/>
  <c r="V1921" i="1"/>
  <c r="Q1921" i="1"/>
  <c r="P1921" i="1"/>
  <c r="O1921" i="1"/>
  <c r="N1921" i="1"/>
  <c r="J1921" i="1"/>
  <c r="I1921" i="1"/>
  <c r="H1921" i="1"/>
  <c r="G1921" i="1"/>
  <c r="F1921" i="1"/>
  <c r="E1921" i="1"/>
  <c r="D1921" i="1"/>
  <c r="C1921" i="1"/>
  <c r="V1920" i="1"/>
  <c r="Q1920" i="1"/>
  <c r="P1920" i="1"/>
  <c r="O1920" i="1"/>
  <c r="N1920" i="1"/>
  <c r="J1920" i="1"/>
  <c r="I1920" i="1"/>
  <c r="H1920" i="1"/>
  <c r="G1920" i="1"/>
  <c r="F1920" i="1"/>
  <c r="E1920" i="1"/>
  <c r="D1920" i="1"/>
  <c r="C1920" i="1"/>
  <c r="V1919" i="1"/>
  <c r="Q1919" i="1"/>
  <c r="P1919" i="1"/>
  <c r="O1919" i="1"/>
  <c r="N1919" i="1"/>
  <c r="J1919" i="1"/>
  <c r="I1919" i="1"/>
  <c r="H1919" i="1"/>
  <c r="G1919" i="1"/>
  <c r="F1919" i="1"/>
  <c r="E1919" i="1"/>
  <c r="D1919" i="1"/>
  <c r="C1919" i="1"/>
  <c r="V1918" i="1"/>
  <c r="Q1918" i="1"/>
  <c r="P1918" i="1"/>
  <c r="O1918" i="1"/>
  <c r="N1918" i="1"/>
  <c r="J1918" i="1"/>
  <c r="I1918" i="1"/>
  <c r="H1918" i="1"/>
  <c r="G1918" i="1"/>
  <c r="F1918" i="1"/>
  <c r="E1918" i="1"/>
  <c r="D1918" i="1"/>
  <c r="C1918" i="1"/>
  <c r="V1917" i="1"/>
  <c r="Q1917" i="1"/>
  <c r="P1917" i="1"/>
  <c r="O1917" i="1"/>
  <c r="N1917" i="1"/>
  <c r="J1917" i="1"/>
  <c r="I1917" i="1"/>
  <c r="H1917" i="1"/>
  <c r="G1917" i="1"/>
  <c r="F1917" i="1"/>
  <c r="E1917" i="1"/>
  <c r="D1917" i="1"/>
  <c r="C1917" i="1"/>
  <c r="V1916" i="1"/>
  <c r="Q1916" i="1"/>
  <c r="P1916" i="1"/>
  <c r="O1916" i="1"/>
  <c r="N1916" i="1"/>
  <c r="J1916" i="1"/>
  <c r="I1916" i="1"/>
  <c r="H1916" i="1"/>
  <c r="G1916" i="1"/>
  <c r="F1916" i="1"/>
  <c r="E1916" i="1"/>
  <c r="D1916" i="1"/>
  <c r="C1916" i="1"/>
  <c r="V1915" i="1"/>
  <c r="Q1915" i="1"/>
  <c r="P1915" i="1"/>
  <c r="O1915" i="1"/>
  <c r="N1915" i="1"/>
  <c r="J1915" i="1"/>
  <c r="I1915" i="1"/>
  <c r="H1915" i="1"/>
  <c r="G1915" i="1"/>
  <c r="F1915" i="1"/>
  <c r="E1915" i="1"/>
  <c r="D1915" i="1"/>
  <c r="C1915" i="1"/>
  <c r="V1914" i="1"/>
  <c r="Q1914" i="1"/>
  <c r="P1914" i="1"/>
  <c r="O1914" i="1"/>
  <c r="N1914" i="1"/>
  <c r="J1914" i="1"/>
  <c r="I1914" i="1"/>
  <c r="H1914" i="1"/>
  <c r="G1914" i="1"/>
  <c r="F1914" i="1"/>
  <c r="E1914" i="1"/>
  <c r="D1914" i="1"/>
  <c r="C1914" i="1"/>
  <c r="V1913" i="1"/>
  <c r="Q1913" i="1"/>
  <c r="P1913" i="1"/>
  <c r="O1913" i="1"/>
  <c r="N1913" i="1"/>
  <c r="J1913" i="1"/>
  <c r="I1913" i="1"/>
  <c r="H1913" i="1"/>
  <c r="G1913" i="1"/>
  <c r="F1913" i="1"/>
  <c r="E1913" i="1"/>
  <c r="D1913" i="1"/>
  <c r="C1913" i="1"/>
  <c r="V1912" i="1"/>
  <c r="Q1912" i="1"/>
  <c r="P1912" i="1"/>
  <c r="O1912" i="1"/>
  <c r="N1912" i="1"/>
  <c r="J1912" i="1"/>
  <c r="I1912" i="1"/>
  <c r="H1912" i="1"/>
  <c r="G1912" i="1"/>
  <c r="F1912" i="1"/>
  <c r="E1912" i="1"/>
  <c r="D1912" i="1"/>
  <c r="C1912" i="1"/>
  <c r="V1911" i="1"/>
  <c r="Q1911" i="1"/>
  <c r="P1911" i="1"/>
  <c r="O1911" i="1"/>
  <c r="N1911" i="1"/>
  <c r="J1911" i="1"/>
  <c r="I1911" i="1"/>
  <c r="H1911" i="1"/>
  <c r="G1911" i="1"/>
  <c r="F1911" i="1"/>
  <c r="E1911" i="1"/>
  <c r="D1911" i="1"/>
  <c r="C1911" i="1"/>
  <c r="V1910" i="1"/>
  <c r="Q1910" i="1"/>
  <c r="P1910" i="1"/>
  <c r="O1910" i="1"/>
  <c r="N1910" i="1"/>
  <c r="J1910" i="1"/>
  <c r="I1910" i="1"/>
  <c r="H1910" i="1"/>
  <c r="G1910" i="1"/>
  <c r="F1910" i="1"/>
  <c r="E1910" i="1"/>
  <c r="D1910" i="1"/>
  <c r="C1910" i="1"/>
  <c r="V1909" i="1"/>
  <c r="Q1909" i="1"/>
  <c r="P1909" i="1"/>
  <c r="O1909" i="1"/>
  <c r="N1909" i="1"/>
  <c r="J1909" i="1"/>
  <c r="I1909" i="1"/>
  <c r="H1909" i="1"/>
  <c r="G1909" i="1"/>
  <c r="F1909" i="1"/>
  <c r="E1909" i="1"/>
  <c r="D1909" i="1"/>
  <c r="C1909" i="1"/>
  <c r="V1908" i="1"/>
  <c r="Q1908" i="1"/>
  <c r="P1908" i="1"/>
  <c r="O1908" i="1"/>
  <c r="N1908" i="1"/>
  <c r="J1908" i="1"/>
  <c r="I1908" i="1"/>
  <c r="H1908" i="1"/>
  <c r="G1908" i="1"/>
  <c r="F1908" i="1"/>
  <c r="E1908" i="1"/>
  <c r="D1908" i="1"/>
  <c r="C1908" i="1"/>
  <c r="V1907" i="1"/>
  <c r="Q1907" i="1"/>
  <c r="P1907" i="1"/>
  <c r="O1907" i="1"/>
  <c r="N1907" i="1"/>
  <c r="J1907" i="1"/>
  <c r="I1907" i="1"/>
  <c r="H1907" i="1"/>
  <c r="G1907" i="1"/>
  <c r="F1907" i="1"/>
  <c r="E1907" i="1"/>
  <c r="D1907" i="1"/>
  <c r="C1907" i="1"/>
  <c r="V1906" i="1"/>
  <c r="Q1906" i="1"/>
  <c r="P1906" i="1"/>
  <c r="O1906" i="1"/>
  <c r="N1906" i="1"/>
  <c r="J1906" i="1"/>
  <c r="I1906" i="1"/>
  <c r="H1906" i="1"/>
  <c r="G1906" i="1"/>
  <c r="F1906" i="1"/>
  <c r="E1906" i="1"/>
  <c r="D1906" i="1"/>
  <c r="C1906" i="1"/>
  <c r="V1905" i="1"/>
  <c r="Q1905" i="1"/>
  <c r="P1905" i="1"/>
  <c r="O1905" i="1"/>
  <c r="N1905" i="1"/>
  <c r="J1905" i="1"/>
  <c r="I1905" i="1"/>
  <c r="H1905" i="1"/>
  <c r="G1905" i="1"/>
  <c r="F1905" i="1"/>
  <c r="E1905" i="1"/>
  <c r="D1905" i="1"/>
  <c r="C1905" i="1"/>
  <c r="V1904" i="1"/>
  <c r="Q1904" i="1"/>
  <c r="P1904" i="1"/>
  <c r="O1904" i="1"/>
  <c r="N1904" i="1"/>
  <c r="J1904" i="1"/>
  <c r="I1904" i="1"/>
  <c r="H1904" i="1"/>
  <c r="G1904" i="1"/>
  <c r="F1904" i="1"/>
  <c r="E1904" i="1"/>
  <c r="D1904" i="1"/>
  <c r="C1904" i="1"/>
  <c r="V1903" i="1"/>
  <c r="Q1903" i="1"/>
  <c r="P1903" i="1"/>
  <c r="O1903" i="1"/>
  <c r="N1903" i="1"/>
  <c r="J1903" i="1"/>
  <c r="I1903" i="1"/>
  <c r="H1903" i="1"/>
  <c r="G1903" i="1"/>
  <c r="F1903" i="1"/>
  <c r="E1903" i="1"/>
  <c r="D1903" i="1"/>
  <c r="C1903" i="1"/>
  <c r="V1902" i="1"/>
  <c r="Q1902" i="1"/>
  <c r="P1902" i="1"/>
  <c r="O1902" i="1"/>
  <c r="N1902" i="1"/>
  <c r="J1902" i="1"/>
  <c r="I1902" i="1"/>
  <c r="H1902" i="1"/>
  <c r="G1902" i="1"/>
  <c r="F1902" i="1"/>
  <c r="E1902" i="1"/>
  <c r="D1902" i="1"/>
  <c r="C1902" i="1"/>
  <c r="V1901" i="1"/>
  <c r="Q1901" i="1"/>
  <c r="P1901" i="1"/>
  <c r="O1901" i="1"/>
  <c r="N1901" i="1"/>
  <c r="J1901" i="1"/>
  <c r="I1901" i="1"/>
  <c r="H1901" i="1"/>
  <c r="G1901" i="1"/>
  <c r="F1901" i="1"/>
  <c r="E1901" i="1"/>
  <c r="D1901" i="1"/>
  <c r="C1901" i="1"/>
  <c r="V1900" i="1"/>
  <c r="Q1900" i="1"/>
  <c r="P1900" i="1"/>
  <c r="O1900" i="1"/>
  <c r="N1900" i="1"/>
  <c r="J1900" i="1"/>
  <c r="I1900" i="1"/>
  <c r="H1900" i="1"/>
  <c r="G1900" i="1"/>
  <c r="F1900" i="1"/>
  <c r="E1900" i="1"/>
  <c r="D1900" i="1"/>
  <c r="C1900" i="1"/>
  <c r="V1899" i="1"/>
  <c r="Q1899" i="1"/>
  <c r="P1899" i="1"/>
  <c r="O1899" i="1"/>
  <c r="N1899" i="1"/>
  <c r="J1899" i="1"/>
  <c r="I1899" i="1"/>
  <c r="H1899" i="1"/>
  <c r="G1899" i="1"/>
  <c r="F1899" i="1"/>
  <c r="E1899" i="1"/>
  <c r="D1899" i="1"/>
  <c r="C1899" i="1"/>
  <c r="V1898" i="1"/>
  <c r="Q1898" i="1"/>
  <c r="P1898" i="1"/>
  <c r="O1898" i="1"/>
  <c r="N1898" i="1"/>
  <c r="J1898" i="1"/>
  <c r="I1898" i="1"/>
  <c r="H1898" i="1"/>
  <c r="G1898" i="1"/>
  <c r="F1898" i="1"/>
  <c r="E1898" i="1"/>
  <c r="D1898" i="1"/>
  <c r="C1898" i="1"/>
  <c r="V1897" i="1"/>
  <c r="Q1897" i="1"/>
  <c r="P1897" i="1"/>
  <c r="O1897" i="1"/>
  <c r="N1897" i="1"/>
  <c r="J1897" i="1"/>
  <c r="I1897" i="1"/>
  <c r="H1897" i="1"/>
  <c r="G1897" i="1"/>
  <c r="F1897" i="1"/>
  <c r="E1897" i="1"/>
  <c r="D1897" i="1"/>
  <c r="C1897" i="1"/>
  <c r="V1896" i="1"/>
  <c r="Q1896" i="1"/>
  <c r="P1896" i="1"/>
  <c r="O1896" i="1"/>
  <c r="N1896" i="1"/>
  <c r="J1896" i="1"/>
  <c r="I1896" i="1"/>
  <c r="H1896" i="1"/>
  <c r="G1896" i="1"/>
  <c r="F1896" i="1"/>
  <c r="E1896" i="1"/>
  <c r="D1896" i="1"/>
  <c r="C1896" i="1"/>
  <c r="V1895" i="1"/>
  <c r="Q1895" i="1"/>
  <c r="P1895" i="1"/>
  <c r="O1895" i="1"/>
  <c r="N1895" i="1"/>
  <c r="J1895" i="1"/>
  <c r="I1895" i="1"/>
  <c r="H1895" i="1"/>
  <c r="G1895" i="1"/>
  <c r="F1895" i="1"/>
  <c r="E1895" i="1"/>
  <c r="D1895" i="1"/>
  <c r="C1895" i="1"/>
  <c r="V1894" i="1"/>
  <c r="Q1894" i="1"/>
  <c r="P1894" i="1"/>
  <c r="O1894" i="1"/>
  <c r="N1894" i="1"/>
  <c r="J1894" i="1"/>
  <c r="I1894" i="1"/>
  <c r="H1894" i="1"/>
  <c r="G1894" i="1"/>
  <c r="F1894" i="1"/>
  <c r="E1894" i="1"/>
  <c r="D1894" i="1"/>
  <c r="C1894" i="1"/>
  <c r="V1893" i="1"/>
  <c r="Q1893" i="1"/>
  <c r="P1893" i="1"/>
  <c r="O1893" i="1"/>
  <c r="N1893" i="1"/>
  <c r="J1893" i="1"/>
  <c r="I1893" i="1"/>
  <c r="H1893" i="1"/>
  <c r="G1893" i="1"/>
  <c r="F1893" i="1"/>
  <c r="E1893" i="1"/>
  <c r="D1893" i="1"/>
  <c r="C1893" i="1"/>
  <c r="V1892" i="1"/>
  <c r="Q1892" i="1"/>
  <c r="P1892" i="1"/>
  <c r="O1892" i="1"/>
  <c r="N1892" i="1"/>
  <c r="J1892" i="1"/>
  <c r="I1892" i="1"/>
  <c r="H1892" i="1"/>
  <c r="G1892" i="1"/>
  <c r="F1892" i="1"/>
  <c r="E1892" i="1"/>
  <c r="D1892" i="1"/>
  <c r="C1892" i="1"/>
  <c r="V1891" i="1"/>
  <c r="Q1891" i="1"/>
  <c r="P1891" i="1"/>
  <c r="O1891" i="1"/>
  <c r="N1891" i="1"/>
  <c r="J1891" i="1"/>
  <c r="I1891" i="1"/>
  <c r="H1891" i="1"/>
  <c r="G1891" i="1"/>
  <c r="F1891" i="1"/>
  <c r="E1891" i="1"/>
  <c r="D1891" i="1"/>
  <c r="C1891" i="1"/>
  <c r="V1890" i="1"/>
  <c r="Q1890" i="1"/>
  <c r="P1890" i="1"/>
  <c r="O1890" i="1"/>
  <c r="N1890" i="1"/>
  <c r="J1890" i="1"/>
  <c r="I1890" i="1"/>
  <c r="H1890" i="1"/>
  <c r="G1890" i="1"/>
  <c r="F1890" i="1"/>
  <c r="E1890" i="1"/>
  <c r="D1890" i="1"/>
  <c r="C1890" i="1"/>
  <c r="V1889" i="1"/>
  <c r="Q1889" i="1"/>
  <c r="P1889" i="1"/>
  <c r="O1889" i="1"/>
  <c r="N1889" i="1"/>
  <c r="J1889" i="1"/>
  <c r="I1889" i="1"/>
  <c r="H1889" i="1"/>
  <c r="G1889" i="1"/>
  <c r="F1889" i="1"/>
  <c r="E1889" i="1"/>
  <c r="D1889" i="1"/>
  <c r="C1889" i="1"/>
  <c r="V1888" i="1"/>
  <c r="Q1888" i="1"/>
  <c r="P1888" i="1"/>
  <c r="O1888" i="1"/>
  <c r="N1888" i="1"/>
  <c r="J1888" i="1"/>
  <c r="I1888" i="1"/>
  <c r="H1888" i="1"/>
  <c r="G1888" i="1"/>
  <c r="F1888" i="1"/>
  <c r="E1888" i="1"/>
  <c r="D1888" i="1"/>
  <c r="C1888" i="1"/>
  <c r="V1887" i="1"/>
  <c r="Q1887" i="1"/>
  <c r="P1887" i="1"/>
  <c r="O1887" i="1"/>
  <c r="N1887" i="1"/>
  <c r="J1887" i="1"/>
  <c r="I1887" i="1"/>
  <c r="H1887" i="1"/>
  <c r="G1887" i="1"/>
  <c r="F1887" i="1"/>
  <c r="E1887" i="1"/>
  <c r="D1887" i="1"/>
  <c r="C1887" i="1"/>
  <c r="V1886" i="1"/>
  <c r="Q1886" i="1"/>
  <c r="P1886" i="1"/>
  <c r="O1886" i="1"/>
  <c r="N1886" i="1"/>
  <c r="J1886" i="1"/>
  <c r="I1886" i="1"/>
  <c r="H1886" i="1"/>
  <c r="G1886" i="1"/>
  <c r="F1886" i="1"/>
  <c r="E1886" i="1"/>
  <c r="D1886" i="1"/>
  <c r="C1886" i="1"/>
  <c r="V1885" i="1"/>
  <c r="Q1885" i="1"/>
  <c r="P1885" i="1"/>
  <c r="O1885" i="1"/>
  <c r="N1885" i="1"/>
  <c r="J1885" i="1"/>
  <c r="I1885" i="1"/>
  <c r="H1885" i="1"/>
  <c r="G1885" i="1"/>
  <c r="F1885" i="1"/>
  <c r="E1885" i="1"/>
  <c r="D1885" i="1"/>
  <c r="C1885" i="1"/>
  <c r="V1884" i="1"/>
  <c r="Q1884" i="1"/>
  <c r="P1884" i="1"/>
  <c r="O1884" i="1"/>
  <c r="N1884" i="1"/>
  <c r="J1884" i="1"/>
  <c r="I1884" i="1"/>
  <c r="H1884" i="1"/>
  <c r="G1884" i="1"/>
  <c r="F1884" i="1"/>
  <c r="E1884" i="1"/>
  <c r="D1884" i="1"/>
  <c r="C1884" i="1"/>
  <c r="V1883" i="1"/>
  <c r="Q1883" i="1"/>
  <c r="P1883" i="1"/>
  <c r="O1883" i="1"/>
  <c r="N1883" i="1"/>
  <c r="J1883" i="1"/>
  <c r="I1883" i="1"/>
  <c r="H1883" i="1"/>
  <c r="G1883" i="1"/>
  <c r="F1883" i="1"/>
  <c r="E1883" i="1"/>
  <c r="D1883" i="1"/>
  <c r="C1883" i="1"/>
  <c r="V1882" i="1"/>
  <c r="Q1882" i="1"/>
  <c r="P1882" i="1"/>
  <c r="O1882" i="1"/>
  <c r="N1882" i="1"/>
  <c r="J1882" i="1"/>
  <c r="I1882" i="1"/>
  <c r="H1882" i="1"/>
  <c r="G1882" i="1"/>
  <c r="F1882" i="1"/>
  <c r="E1882" i="1"/>
  <c r="D1882" i="1"/>
  <c r="C1882" i="1"/>
  <c r="V1881" i="1"/>
  <c r="Q1881" i="1"/>
  <c r="P1881" i="1"/>
  <c r="O1881" i="1"/>
  <c r="N1881" i="1"/>
  <c r="J1881" i="1"/>
  <c r="I1881" i="1"/>
  <c r="H1881" i="1"/>
  <c r="G1881" i="1"/>
  <c r="F1881" i="1"/>
  <c r="E1881" i="1"/>
  <c r="D1881" i="1"/>
  <c r="C1881" i="1"/>
  <c r="V1880" i="1"/>
  <c r="Q1880" i="1"/>
  <c r="P1880" i="1"/>
  <c r="O1880" i="1"/>
  <c r="N1880" i="1"/>
  <c r="J1880" i="1"/>
  <c r="I1880" i="1"/>
  <c r="H1880" i="1"/>
  <c r="G1880" i="1"/>
  <c r="F1880" i="1"/>
  <c r="E1880" i="1"/>
  <c r="D1880" i="1"/>
  <c r="C1880" i="1"/>
  <c r="V1879" i="1"/>
  <c r="Q1879" i="1"/>
  <c r="P1879" i="1"/>
  <c r="O1879" i="1"/>
  <c r="N1879" i="1"/>
  <c r="J1879" i="1"/>
  <c r="I1879" i="1"/>
  <c r="H1879" i="1"/>
  <c r="G1879" i="1"/>
  <c r="F1879" i="1"/>
  <c r="E1879" i="1"/>
  <c r="D1879" i="1"/>
  <c r="C1879" i="1"/>
  <c r="V1878" i="1"/>
  <c r="Q1878" i="1"/>
  <c r="P1878" i="1"/>
  <c r="O1878" i="1"/>
  <c r="N1878" i="1"/>
  <c r="J1878" i="1"/>
  <c r="I1878" i="1"/>
  <c r="H1878" i="1"/>
  <c r="G1878" i="1"/>
  <c r="F1878" i="1"/>
  <c r="E1878" i="1"/>
  <c r="D1878" i="1"/>
  <c r="C1878" i="1"/>
  <c r="V1877" i="1"/>
  <c r="Q1877" i="1"/>
  <c r="P1877" i="1"/>
  <c r="O1877" i="1"/>
  <c r="N1877" i="1"/>
  <c r="J1877" i="1"/>
  <c r="I1877" i="1"/>
  <c r="H1877" i="1"/>
  <c r="G1877" i="1"/>
  <c r="F1877" i="1"/>
  <c r="E1877" i="1"/>
  <c r="D1877" i="1"/>
  <c r="C1877" i="1"/>
  <c r="V1876" i="1"/>
  <c r="Q1876" i="1"/>
  <c r="P1876" i="1"/>
  <c r="O1876" i="1"/>
  <c r="N1876" i="1"/>
  <c r="J1876" i="1"/>
  <c r="I1876" i="1"/>
  <c r="H1876" i="1"/>
  <c r="G1876" i="1"/>
  <c r="F1876" i="1"/>
  <c r="E1876" i="1"/>
  <c r="D1876" i="1"/>
  <c r="C1876" i="1"/>
  <c r="V1875" i="1"/>
  <c r="Q1875" i="1"/>
  <c r="P1875" i="1"/>
  <c r="O1875" i="1"/>
  <c r="N1875" i="1"/>
  <c r="J1875" i="1"/>
  <c r="I1875" i="1"/>
  <c r="H1875" i="1"/>
  <c r="G1875" i="1"/>
  <c r="F1875" i="1"/>
  <c r="E1875" i="1"/>
  <c r="D1875" i="1"/>
  <c r="C1875" i="1"/>
  <c r="V1874" i="1"/>
  <c r="Q1874" i="1"/>
  <c r="P1874" i="1"/>
  <c r="O1874" i="1"/>
  <c r="N1874" i="1"/>
  <c r="J1874" i="1"/>
  <c r="I1874" i="1"/>
  <c r="H1874" i="1"/>
  <c r="G1874" i="1"/>
  <c r="F1874" i="1"/>
  <c r="E1874" i="1"/>
  <c r="D1874" i="1"/>
  <c r="C1874" i="1"/>
  <c r="V1873" i="1"/>
  <c r="Q1873" i="1"/>
  <c r="P1873" i="1"/>
  <c r="O1873" i="1"/>
  <c r="N1873" i="1"/>
  <c r="J1873" i="1"/>
  <c r="I1873" i="1"/>
  <c r="H1873" i="1"/>
  <c r="G1873" i="1"/>
  <c r="F1873" i="1"/>
  <c r="E1873" i="1"/>
  <c r="D1873" i="1"/>
  <c r="C1873" i="1"/>
  <c r="V1872" i="1"/>
  <c r="Q1872" i="1"/>
  <c r="P1872" i="1"/>
  <c r="O1872" i="1"/>
  <c r="N1872" i="1"/>
  <c r="J1872" i="1"/>
  <c r="I1872" i="1"/>
  <c r="H1872" i="1"/>
  <c r="G1872" i="1"/>
  <c r="F1872" i="1"/>
  <c r="E1872" i="1"/>
  <c r="D1872" i="1"/>
  <c r="C1872" i="1"/>
  <c r="V1871" i="1"/>
  <c r="Q1871" i="1"/>
  <c r="P1871" i="1"/>
  <c r="O1871" i="1"/>
  <c r="N1871" i="1"/>
  <c r="J1871" i="1"/>
  <c r="I1871" i="1"/>
  <c r="H1871" i="1"/>
  <c r="G1871" i="1"/>
  <c r="F1871" i="1"/>
  <c r="E1871" i="1"/>
  <c r="D1871" i="1"/>
  <c r="C1871" i="1"/>
  <c r="V1870" i="1"/>
  <c r="Q1870" i="1"/>
  <c r="P1870" i="1"/>
  <c r="O1870" i="1"/>
  <c r="N1870" i="1"/>
  <c r="J1870" i="1"/>
  <c r="I1870" i="1"/>
  <c r="H1870" i="1"/>
  <c r="G1870" i="1"/>
  <c r="F1870" i="1"/>
  <c r="E1870" i="1"/>
  <c r="D1870" i="1"/>
  <c r="C1870" i="1"/>
  <c r="V1869" i="1"/>
  <c r="Q1869" i="1"/>
  <c r="P1869" i="1"/>
  <c r="O1869" i="1"/>
  <c r="N1869" i="1"/>
  <c r="J1869" i="1"/>
  <c r="I1869" i="1"/>
  <c r="H1869" i="1"/>
  <c r="G1869" i="1"/>
  <c r="F1869" i="1"/>
  <c r="E1869" i="1"/>
  <c r="D1869" i="1"/>
  <c r="C1869" i="1"/>
  <c r="V1868" i="1"/>
  <c r="Q1868" i="1"/>
  <c r="P1868" i="1"/>
  <c r="O1868" i="1"/>
  <c r="N1868" i="1"/>
  <c r="J1868" i="1"/>
  <c r="I1868" i="1"/>
  <c r="H1868" i="1"/>
  <c r="G1868" i="1"/>
  <c r="F1868" i="1"/>
  <c r="E1868" i="1"/>
  <c r="D1868" i="1"/>
  <c r="C1868" i="1"/>
  <c r="V1867" i="1"/>
  <c r="Q1867" i="1"/>
  <c r="P1867" i="1"/>
  <c r="O1867" i="1"/>
  <c r="N1867" i="1"/>
  <c r="J1867" i="1"/>
  <c r="I1867" i="1"/>
  <c r="H1867" i="1"/>
  <c r="G1867" i="1"/>
  <c r="F1867" i="1"/>
  <c r="E1867" i="1"/>
  <c r="D1867" i="1"/>
  <c r="C1867" i="1"/>
  <c r="V1866" i="1"/>
  <c r="Q1866" i="1"/>
  <c r="P1866" i="1"/>
  <c r="O1866" i="1"/>
  <c r="N1866" i="1"/>
  <c r="J1866" i="1"/>
  <c r="I1866" i="1"/>
  <c r="H1866" i="1"/>
  <c r="G1866" i="1"/>
  <c r="F1866" i="1"/>
  <c r="E1866" i="1"/>
  <c r="D1866" i="1"/>
  <c r="C1866" i="1"/>
  <c r="V1865" i="1"/>
  <c r="Q1865" i="1"/>
  <c r="P1865" i="1"/>
  <c r="O1865" i="1"/>
  <c r="N1865" i="1"/>
  <c r="J1865" i="1"/>
  <c r="I1865" i="1"/>
  <c r="H1865" i="1"/>
  <c r="G1865" i="1"/>
  <c r="F1865" i="1"/>
  <c r="E1865" i="1"/>
  <c r="D1865" i="1"/>
  <c r="C1865" i="1"/>
  <c r="V1864" i="1"/>
  <c r="Q1864" i="1"/>
  <c r="P1864" i="1"/>
  <c r="O1864" i="1"/>
  <c r="N1864" i="1"/>
  <c r="J1864" i="1"/>
  <c r="I1864" i="1"/>
  <c r="H1864" i="1"/>
  <c r="G1864" i="1"/>
  <c r="F1864" i="1"/>
  <c r="E1864" i="1"/>
  <c r="D1864" i="1"/>
  <c r="C1864" i="1"/>
  <c r="V1863" i="1"/>
  <c r="Q1863" i="1"/>
  <c r="P1863" i="1"/>
  <c r="O1863" i="1"/>
  <c r="N1863" i="1"/>
  <c r="J1863" i="1"/>
  <c r="I1863" i="1"/>
  <c r="H1863" i="1"/>
  <c r="G1863" i="1"/>
  <c r="F1863" i="1"/>
  <c r="E1863" i="1"/>
  <c r="D1863" i="1"/>
  <c r="C1863" i="1"/>
  <c r="V1862" i="1"/>
  <c r="Q1862" i="1"/>
  <c r="P1862" i="1"/>
  <c r="O1862" i="1"/>
  <c r="N1862" i="1"/>
  <c r="J1862" i="1"/>
  <c r="I1862" i="1"/>
  <c r="H1862" i="1"/>
  <c r="G1862" i="1"/>
  <c r="F1862" i="1"/>
  <c r="E1862" i="1"/>
  <c r="D1862" i="1"/>
  <c r="C1862" i="1"/>
  <c r="V1861" i="1"/>
  <c r="Q1861" i="1"/>
  <c r="P1861" i="1"/>
  <c r="O1861" i="1"/>
  <c r="N1861" i="1"/>
  <c r="J1861" i="1"/>
  <c r="I1861" i="1"/>
  <c r="H1861" i="1"/>
  <c r="G1861" i="1"/>
  <c r="F1861" i="1"/>
  <c r="E1861" i="1"/>
  <c r="D1861" i="1"/>
  <c r="C1861" i="1"/>
  <c r="V1860" i="1"/>
  <c r="Q1860" i="1"/>
  <c r="P1860" i="1"/>
  <c r="O1860" i="1"/>
  <c r="N1860" i="1"/>
  <c r="J1860" i="1"/>
  <c r="I1860" i="1"/>
  <c r="H1860" i="1"/>
  <c r="G1860" i="1"/>
  <c r="F1860" i="1"/>
  <c r="E1860" i="1"/>
  <c r="D1860" i="1"/>
  <c r="C1860" i="1"/>
  <c r="V1859" i="1"/>
  <c r="Q1859" i="1"/>
  <c r="P1859" i="1"/>
  <c r="O1859" i="1"/>
  <c r="N1859" i="1"/>
  <c r="J1859" i="1"/>
  <c r="I1859" i="1"/>
  <c r="H1859" i="1"/>
  <c r="G1859" i="1"/>
  <c r="F1859" i="1"/>
  <c r="E1859" i="1"/>
  <c r="D1859" i="1"/>
  <c r="C1859" i="1"/>
  <c r="V1858" i="1"/>
  <c r="Q1858" i="1"/>
  <c r="P1858" i="1"/>
  <c r="O1858" i="1"/>
  <c r="N1858" i="1"/>
  <c r="J1858" i="1"/>
  <c r="I1858" i="1"/>
  <c r="H1858" i="1"/>
  <c r="G1858" i="1"/>
  <c r="F1858" i="1"/>
  <c r="E1858" i="1"/>
  <c r="D1858" i="1"/>
  <c r="C1858" i="1"/>
  <c r="V1857" i="1"/>
  <c r="Q1857" i="1"/>
  <c r="P1857" i="1"/>
  <c r="O1857" i="1"/>
  <c r="N1857" i="1"/>
  <c r="J1857" i="1"/>
  <c r="I1857" i="1"/>
  <c r="H1857" i="1"/>
  <c r="G1857" i="1"/>
  <c r="F1857" i="1"/>
  <c r="E1857" i="1"/>
  <c r="D1857" i="1"/>
  <c r="C1857" i="1"/>
  <c r="V1856" i="1"/>
  <c r="Q1856" i="1"/>
  <c r="P1856" i="1"/>
  <c r="O1856" i="1"/>
  <c r="N1856" i="1"/>
  <c r="J1856" i="1"/>
  <c r="I1856" i="1"/>
  <c r="H1856" i="1"/>
  <c r="G1856" i="1"/>
  <c r="F1856" i="1"/>
  <c r="E1856" i="1"/>
  <c r="D1856" i="1"/>
  <c r="C1856" i="1"/>
  <c r="V1855" i="1"/>
  <c r="Q1855" i="1"/>
  <c r="P1855" i="1"/>
  <c r="O1855" i="1"/>
  <c r="N1855" i="1"/>
  <c r="J1855" i="1"/>
  <c r="I1855" i="1"/>
  <c r="H1855" i="1"/>
  <c r="G1855" i="1"/>
  <c r="F1855" i="1"/>
  <c r="E1855" i="1"/>
  <c r="D1855" i="1"/>
  <c r="C1855" i="1"/>
  <c r="V1854" i="1"/>
  <c r="Q1854" i="1"/>
  <c r="P1854" i="1"/>
  <c r="O1854" i="1"/>
  <c r="N1854" i="1"/>
  <c r="J1854" i="1"/>
  <c r="I1854" i="1"/>
  <c r="H1854" i="1"/>
  <c r="G1854" i="1"/>
  <c r="F1854" i="1"/>
  <c r="E1854" i="1"/>
  <c r="D1854" i="1"/>
  <c r="C1854" i="1"/>
  <c r="V1853" i="1"/>
  <c r="Q1853" i="1"/>
  <c r="P1853" i="1"/>
  <c r="O1853" i="1"/>
  <c r="N1853" i="1"/>
  <c r="J1853" i="1"/>
  <c r="I1853" i="1"/>
  <c r="H1853" i="1"/>
  <c r="G1853" i="1"/>
  <c r="F1853" i="1"/>
  <c r="E1853" i="1"/>
  <c r="D1853" i="1"/>
  <c r="C1853" i="1"/>
  <c r="V1852" i="1"/>
  <c r="Q1852" i="1"/>
  <c r="P1852" i="1"/>
  <c r="O1852" i="1"/>
  <c r="N1852" i="1"/>
  <c r="J1852" i="1"/>
  <c r="I1852" i="1"/>
  <c r="H1852" i="1"/>
  <c r="G1852" i="1"/>
  <c r="F1852" i="1"/>
  <c r="E1852" i="1"/>
  <c r="D1852" i="1"/>
  <c r="C1852" i="1"/>
  <c r="V1851" i="1"/>
  <c r="Q1851" i="1"/>
  <c r="P1851" i="1"/>
  <c r="O1851" i="1"/>
  <c r="N1851" i="1"/>
  <c r="J1851" i="1"/>
  <c r="I1851" i="1"/>
  <c r="H1851" i="1"/>
  <c r="G1851" i="1"/>
  <c r="F1851" i="1"/>
  <c r="E1851" i="1"/>
  <c r="D1851" i="1"/>
  <c r="C1851" i="1"/>
  <c r="V1850" i="1"/>
  <c r="Q1850" i="1"/>
  <c r="P1850" i="1"/>
  <c r="O1850" i="1"/>
  <c r="N1850" i="1"/>
  <c r="J1850" i="1"/>
  <c r="I1850" i="1"/>
  <c r="H1850" i="1"/>
  <c r="G1850" i="1"/>
  <c r="F1850" i="1"/>
  <c r="E1850" i="1"/>
  <c r="D1850" i="1"/>
  <c r="C1850" i="1"/>
  <c r="V1849" i="1"/>
  <c r="Q1849" i="1"/>
  <c r="P1849" i="1"/>
  <c r="O1849" i="1"/>
  <c r="N1849" i="1"/>
  <c r="J1849" i="1"/>
  <c r="I1849" i="1"/>
  <c r="H1849" i="1"/>
  <c r="G1849" i="1"/>
  <c r="F1849" i="1"/>
  <c r="E1849" i="1"/>
  <c r="D1849" i="1"/>
  <c r="C1849" i="1"/>
  <c r="V1848" i="1"/>
  <c r="Q1848" i="1"/>
  <c r="P1848" i="1"/>
  <c r="O1848" i="1"/>
  <c r="N1848" i="1"/>
  <c r="J1848" i="1"/>
  <c r="I1848" i="1"/>
  <c r="H1848" i="1"/>
  <c r="G1848" i="1"/>
  <c r="F1848" i="1"/>
  <c r="E1848" i="1"/>
  <c r="D1848" i="1"/>
  <c r="C1848" i="1"/>
  <c r="V1847" i="1"/>
  <c r="Q1847" i="1"/>
  <c r="P1847" i="1"/>
  <c r="O1847" i="1"/>
  <c r="N1847" i="1"/>
  <c r="J1847" i="1"/>
  <c r="I1847" i="1"/>
  <c r="H1847" i="1"/>
  <c r="G1847" i="1"/>
  <c r="F1847" i="1"/>
  <c r="E1847" i="1"/>
  <c r="D1847" i="1"/>
  <c r="C1847" i="1"/>
  <c r="V1846" i="1"/>
  <c r="Q1846" i="1"/>
  <c r="P1846" i="1"/>
  <c r="O1846" i="1"/>
  <c r="N1846" i="1"/>
  <c r="J1846" i="1"/>
  <c r="I1846" i="1"/>
  <c r="H1846" i="1"/>
  <c r="G1846" i="1"/>
  <c r="F1846" i="1"/>
  <c r="E1846" i="1"/>
  <c r="D1846" i="1"/>
  <c r="C1846" i="1"/>
  <c r="V1845" i="1"/>
  <c r="Q1845" i="1"/>
  <c r="P1845" i="1"/>
  <c r="O1845" i="1"/>
  <c r="N1845" i="1"/>
  <c r="J1845" i="1"/>
  <c r="I1845" i="1"/>
  <c r="H1845" i="1"/>
  <c r="G1845" i="1"/>
  <c r="F1845" i="1"/>
  <c r="E1845" i="1"/>
  <c r="D1845" i="1"/>
  <c r="C1845" i="1"/>
  <c r="V1844" i="1"/>
  <c r="Q1844" i="1"/>
  <c r="P1844" i="1"/>
  <c r="O1844" i="1"/>
  <c r="N1844" i="1"/>
  <c r="J1844" i="1"/>
  <c r="I1844" i="1"/>
  <c r="H1844" i="1"/>
  <c r="G1844" i="1"/>
  <c r="F1844" i="1"/>
  <c r="E1844" i="1"/>
  <c r="D1844" i="1"/>
  <c r="C1844" i="1"/>
  <c r="V1843" i="1"/>
  <c r="Q1843" i="1"/>
  <c r="P1843" i="1"/>
  <c r="O1843" i="1"/>
  <c r="N1843" i="1"/>
  <c r="J1843" i="1"/>
  <c r="I1843" i="1"/>
  <c r="H1843" i="1"/>
  <c r="G1843" i="1"/>
  <c r="F1843" i="1"/>
  <c r="E1843" i="1"/>
  <c r="D1843" i="1"/>
  <c r="C1843" i="1"/>
  <c r="V1842" i="1"/>
  <c r="Q1842" i="1"/>
  <c r="P1842" i="1"/>
  <c r="O1842" i="1"/>
  <c r="N1842" i="1"/>
  <c r="J1842" i="1"/>
  <c r="I1842" i="1"/>
  <c r="H1842" i="1"/>
  <c r="G1842" i="1"/>
  <c r="F1842" i="1"/>
  <c r="E1842" i="1"/>
  <c r="D1842" i="1"/>
  <c r="C1842" i="1"/>
  <c r="V1841" i="1"/>
  <c r="Q1841" i="1"/>
  <c r="P1841" i="1"/>
  <c r="O1841" i="1"/>
  <c r="N1841" i="1"/>
  <c r="J1841" i="1"/>
  <c r="I1841" i="1"/>
  <c r="H1841" i="1"/>
  <c r="G1841" i="1"/>
  <c r="F1841" i="1"/>
  <c r="E1841" i="1"/>
  <c r="D1841" i="1"/>
  <c r="C1841" i="1"/>
  <c r="V1840" i="1"/>
  <c r="Q1840" i="1"/>
  <c r="P1840" i="1"/>
  <c r="O1840" i="1"/>
  <c r="N1840" i="1"/>
  <c r="J1840" i="1"/>
  <c r="I1840" i="1"/>
  <c r="H1840" i="1"/>
  <c r="G1840" i="1"/>
  <c r="F1840" i="1"/>
  <c r="E1840" i="1"/>
  <c r="D1840" i="1"/>
  <c r="C1840" i="1"/>
  <c r="V1839" i="1"/>
  <c r="Q1839" i="1"/>
  <c r="P1839" i="1"/>
  <c r="O1839" i="1"/>
  <c r="N1839" i="1"/>
  <c r="J1839" i="1"/>
  <c r="I1839" i="1"/>
  <c r="H1839" i="1"/>
  <c r="G1839" i="1"/>
  <c r="F1839" i="1"/>
  <c r="E1839" i="1"/>
  <c r="D1839" i="1"/>
  <c r="C1839" i="1"/>
  <c r="V1838" i="1"/>
  <c r="Q1838" i="1"/>
  <c r="P1838" i="1"/>
  <c r="O1838" i="1"/>
  <c r="N1838" i="1"/>
  <c r="J1838" i="1"/>
  <c r="I1838" i="1"/>
  <c r="H1838" i="1"/>
  <c r="G1838" i="1"/>
  <c r="F1838" i="1"/>
  <c r="E1838" i="1"/>
  <c r="D1838" i="1"/>
  <c r="C1838" i="1"/>
  <c r="V1837" i="1"/>
  <c r="Q1837" i="1"/>
  <c r="P1837" i="1"/>
  <c r="O1837" i="1"/>
  <c r="N1837" i="1"/>
  <c r="J1837" i="1"/>
  <c r="I1837" i="1"/>
  <c r="H1837" i="1"/>
  <c r="G1837" i="1"/>
  <c r="F1837" i="1"/>
  <c r="E1837" i="1"/>
  <c r="D1837" i="1"/>
  <c r="C1837" i="1"/>
  <c r="V1836" i="1"/>
  <c r="Q1836" i="1"/>
  <c r="P1836" i="1"/>
  <c r="O1836" i="1"/>
  <c r="N1836" i="1"/>
  <c r="J1836" i="1"/>
  <c r="I1836" i="1"/>
  <c r="H1836" i="1"/>
  <c r="G1836" i="1"/>
  <c r="F1836" i="1"/>
  <c r="E1836" i="1"/>
  <c r="D1836" i="1"/>
  <c r="C1836" i="1"/>
  <c r="V1835" i="1"/>
  <c r="Q1835" i="1"/>
  <c r="P1835" i="1"/>
  <c r="O1835" i="1"/>
  <c r="N1835" i="1"/>
  <c r="J1835" i="1"/>
  <c r="I1835" i="1"/>
  <c r="H1835" i="1"/>
  <c r="G1835" i="1"/>
  <c r="F1835" i="1"/>
  <c r="E1835" i="1"/>
  <c r="D1835" i="1"/>
  <c r="C1835" i="1"/>
  <c r="V1834" i="1"/>
  <c r="Q1834" i="1"/>
  <c r="P1834" i="1"/>
  <c r="O1834" i="1"/>
  <c r="N1834" i="1"/>
  <c r="J1834" i="1"/>
  <c r="I1834" i="1"/>
  <c r="H1834" i="1"/>
  <c r="G1834" i="1"/>
  <c r="F1834" i="1"/>
  <c r="E1834" i="1"/>
  <c r="D1834" i="1"/>
  <c r="C1834" i="1"/>
  <c r="V1833" i="1"/>
  <c r="Q1833" i="1"/>
  <c r="P1833" i="1"/>
  <c r="O1833" i="1"/>
  <c r="N1833" i="1"/>
  <c r="J1833" i="1"/>
  <c r="I1833" i="1"/>
  <c r="H1833" i="1"/>
  <c r="G1833" i="1"/>
  <c r="F1833" i="1"/>
  <c r="E1833" i="1"/>
  <c r="D1833" i="1"/>
  <c r="C1833" i="1"/>
  <c r="V1832" i="1"/>
  <c r="Q1832" i="1"/>
  <c r="P1832" i="1"/>
  <c r="O1832" i="1"/>
  <c r="N1832" i="1"/>
  <c r="J1832" i="1"/>
  <c r="I1832" i="1"/>
  <c r="H1832" i="1"/>
  <c r="G1832" i="1"/>
  <c r="F1832" i="1"/>
  <c r="E1832" i="1"/>
  <c r="D1832" i="1"/>
  <c r="C1832" i="1"/>
  <c r="V1831" i="1"/>
  <c r="Q1831" i="1"/>
  <c r="P1831" i="1"/>
  <c r="O1831" i="1"/>
  <c r="N1831" i="1"/>
  <c r="J1831" i="1"/>
  <c r="I1831" i="1"/>
  <c r="H1831" i="1"/>
  <c r="G1831" i="1"/>
  <c r="F1831" i="1"/>
  <c r="E1831" i="1"/>
  <c r="D1831" i="1"/>
  <c r="C1831" i="1"/>
  <c r="V1830" i="1"/>
  <c r="Q1830" i="1"/>
  <c r="P1830" i="1"/>
  <c r="O1830" i="1"/>
  <c r="N1830" i="1"/>
  <c r="J1830" i="1"/>
  <c r="I1830" i="1"/>
  <c r="H1830" i="1"/>
  <c r="G1830" i="1"/>
  <c r="F1830" i="1"/>
  <c r="E1830" i="1"/>
  <c r="D1830" i="1"/>
  <c r="C1830" i="1"/>
  <c r="V1829" i="1"/>
  <c r="Q1829" i="1"/>
  <c r="P1829" i="1"/>
  <c r="O1829" i="1"/>
  <c r="N1829" i="1"/>
  <c r="J1829" i="1"/>
  <c r="I1829" i="1"/>
  <c r="H1829" i="1"/>
  <c r="G1829" i="1"/>
  <c r="F1829" i="1"/>
  <c r="E1829" i="1"/>
  <c r="D1829" i="1"/>
  <c r="C1829" i="1"/>
  <c r="V1828" i="1"/>
  <c r="Q1828" i="1"/>
  <c r="P1828" i="1"/>
  <c r="O1828" i="1"/>
  <c r="N1828" i="1"/>
  <c r="J1828" i="1"/>
  <c r="I1828" i="1"/>
  <c r="H1828" i="1"/>
  <c r="G1828" i="1"/>
  <c r="F1828" i="1"/>
  <c r="E1828" i="1"/>
  <c r="D1828" i="1"/>
  <c r="C1828" i="1"/>
  <c r="V1827" i="1"/>
  <c r="Q1827" i="1"/>
  <c r="P1827" i="1"/>
  <c r="O1827" i="1"/>
  <c r="N1827" i="1"/>
  <c r="J1827" i="1"/>
  <c r="I1827" i="1"/>
  <c r="H1827" i="1"/>
  <c r="G1827" i="1"/>
  <c r="F1827" i="1"/>
  <c r="E1827" i="1"/>
  <c r="D1827" i="1"/>
  <c r="C1827" i="1"/>
  <c r="V1826" i="1"/>
  <c r="Q1826" i="1"/>
  <c r="P1826" i="1"/>
  <c r="O1826" i="1"/>
  <c r="N1826" i="1"/>
  <c r="J1826" i="1"/>
  <c r="I1826" i="1"/>
  <c r="H1826" i="1"/>
  <c r="G1826" i="1"/>
  <c r="F1826" i="1"/>
  <c r="E1826" i="1"/>
  <c r="D1826" i="1"/>
  <c r="C1826" i="1"/>
  <c r="V1825" i="1"/>
  <c r="Q1825" i="1"/>
  <c r="P1825" i="1"/>
  <c r="O1825" i="1"/>
  <c r="N1825" i="1"/>
  <c r="J1825" i="1"/>
  <c r="I1825" i="1"/>
  <c r="H1825" i="1"/>
  <c r="G1825" i="1"/>
  <c r="F1825" i="1"/>
  <c r="E1825" i="1"/>
  <c r="D1825" i="1"/>
  <c r="C1825" i="1"/>
  <c r="V1824" i="1"/>
  <c r="Q1824" i="1"/>
  <c r="P1824" i="1"/>
  <c r="O1824" i="1"/>
  <c r="N1824" i="1"/>
  <c r="J1824" i="1"/>
  <c r="I1824" i="1"/>
  <c r="H1824" i="1"/>
  <c r="G1824" i="1"/>
  <c r="F1824" i="1"/>
  <c r="E1824" i="1"/>
  <c r="D1824" i="1"/>
  <c r="C1824" i="1"/>
  <c r="V1823" i="1"/>
  <c r="Q1823" i="1"/>
  <c r="P1823" i="1"/>
  <c r="O1823" i="1"/>
  <c r="N1823" i="1"/>
  <c r="J1823" i="1"/>
  <c r="I1823" i="1"/>
  <c r="H1823" i="1"/>
  <c r="G1823" i="1"/>
  <c r="F1823" i="1"/>
  <c r="E1823" i="1"/>
  <c r="D1823" i="1"/>
  <c r="C1823" i="1"/>
  <c r="V1822" i="1"/>
  <c r="Q1822" i="1"/>
  <c r="P1822" i="1"/>
  <c r="O1822" i="1"/>
  <c r="N1822" i="1"/>
  <c r="J1822" i="1"/>
  <c r="I1822" i="1"/>
  <c r="H1822" i="1"/>
  <c r="G1822" i="1"/>
  <c r="F1822" i="1"/>
  <c r="E1822" i="1"/>
  <c r="D1822" i="1"/>
  <c r="C1822" i="1"/>
  <c r="V1821" i="1"/>
  <c r="Q1821" i="1"/>
  <c r="P1821" i="1"/>
  <c r="O1821" i="1"/>
  <c r="N1821" i="1"/>
  <c r="J1821" i="1"/>
  <c r="I1821" i="1"/>
  <c r="H1821" i="1"/>
  <c r="G1821" i="1"/>
  <c r="F1821" i="1"/>
  <c r="E1821" i="1"/>
  <c r="D1821" i="1"/>
  <c r="C1821" i="1"/>
  <c r="V1820" i="1"/>
  <c r="Q1820" i="1"/>
  <c r="P1820" i="1"/>
  <c r="O1820" i="1"/>
  <c r="N1820" i="1"/>
  <c r="J1820" i="1"/>
  <c r="I1820" i="1"/>
  <c r="H1820" i="1"/>
  <c r="G1820" i="1"/>
  <c r="F1820" i="1"/>
  <c r="E1820" i="1"/>
  <c r="D1820" i="1"/>
  <c r="C1820" i="1"/>
  <c r="V1819" i="1"/>
  <c r="Q1819" i="1"/>
  <c r="P1819" i="1"/>
  <c r="O1819" i="1"/>
  <c r="N1819" i="1"/>
  <c r="J1819" i="1"/>
  <c r="I1819" i="1"/>
  <c r="H1819" i="1"/>
  <c r="G1819" i="1"/>
  <c r="F1819" i="1"/>
  <c r="E1819" i="1"/>
  <c r="D1819" i="1"/>
  <c r="C1819" i="1"/>
  <c r="V1818" i="1"/>
  <c r="Q1818" i="1"/>
  <c r="P1818" i="1"/>
  <c r="O1818" i="1"/>
  <c r="N1818" i="1"/>
  <c r="J1818" i="1"/>
  <c r="I1818" i="1"/>
  <c r="H1818" i="1"/>
  <c r="G1818" i="1"/>
  <c r="F1818" i="1"/>
  <c r="E1818" i="1"/>
  <c r="D1818" i="1"/>
  <c r="C1818" i="1"/>
  <c r="V1817" i="1"/>
  <c r="Q1817" i="1"/>
  <c r="P1817" i="1"/>
  <c r="O1817" i="1"/>
  <c r="N1817" i="1"/>
  <c r="J1817" i="1"/>
  <c r="I1817" i="1"/>
  <c r="H1817" i="1"/>
  <c r="G1817" i="1"/>
  <c r="F1817" i="1"/>
  <c r="E1817" i="1"/>
  <c r="D1817" i="1"/>
  <c r="C1817" i="1"/>
  <c r="V1816" i="1"/>
  <c r="Q1816" i="1"/>
  <c r="P1816" i="1"/>
  <c r="O1816" i="1"/>
  <c r="N1816" i="1"/>
  <c r="J1816" i="1"/>
  <c r="I1816" i="1"/>
  <c r="H1816" i="1"/>
  <c r="G1816" i="1"/>
  <c r="F1816" i="1"/>
  <c r="E1816" i="1"/>
  <c r="D1816" i="1"/>
  <c r="C1816" i="1"/>
  <c r="V1815" i="1"/>
  <c r="Q1815" i="1"/>
  <c r="P1815" i="1"/>
  <c r="O1815" i="1"/>
  <c r="N1815" i="1"/>
  <c r="J1815" i="1"/>
  <c r="I1815" i="1"/>
  <c r="H1815" i="1"/>
  <c r="G1815" i="1"/>
  <c r="F1815" i="1"/>
  <c r="E1815" i="1"/>
  <c r="D1815" i="1"/>
  <c r="C1815" i="1"/>
  <c r="V1814" i="1"/>
  <c r="Q1814" i="1"/>
  <c r="P1814" i="1"/>
  <c r="O1814" i="1"/>
  <c r="N1814" i="1"/>
  <c r="J1814" i="1"/>
  <c r="I1814" i="1"/>
  <c r="H1814" i="1"/>
  <c r="G1814" i="1"/>
  <c r="F1814" i="1"/>
  <c r="E1814" i="1"/>
  <c r="D1814" i="1"/>
  <c r="C1814" i="1"/>
  <c r="V1813" i="1"/>
  <c r="Q1813" i="1"/>
  <c r="P1813" i="1"/>
  <c r="O1813" i="1"/>
  <c r="N1813" i="1"/>
  <c r="J1813" i="1"/>
  <c r="I1813" i="1"/>
  <c r="H1813" i="1"/>
  <c r="G1813" i="1"/>
  <c r="F1813" i="1"/>
  <c r="E1813" i="1"/>
  <c r="D1813" i="1"/>
  <c r="C1813" i="1"/>
  <c r="V1812" i="1"/>
  <c r="Q1812" i="1"/>
  <c r="P1812" i="1"/>
  <c r="O1812" i="1"/>
  <c r="N1812" i="1"/>
  <c r="J1812" i="1"/>
  <c r="I1812" i="1"/>
  <c r="H1812" i="1"/>
  <c r="G1812" i="1"/>
  <c r="F1812" i="1"/>
  <c r="E1812" i="1"/>
  <c r="D1812" i="1"/>
  <c r="C1812" i="1"/>
  <c r="V1811" i="1"/>
  <c r="Q1811" i="1"/>
  <c r="P1811" i="1"/>
  <c r="O1811" i="1"/>
  <c r="N1811" i="1"/>
  <c r="J1811" i="1"/>
  <c r="I1811" i="1"/>
  <c r="H1811" i="1"/>
  <c r="G1811" i="1"/>
  <c r="F1811" i="1"/>
  <c r="E1811" i="1"/>
  <c r="D1811" i="1"/>
  <c r="C1811" i="1"/>
  <c r="V1810" i="1"/>
  <c r="Q1810" i="1"/>
  <c r="P1810" i="1"/>
  <c r="O1810" i="1"/>
  <c r="N1810" i="1"/>
  <c r="J1810" i="1"/>
  <c r="I1810" i="1"/>
  <c r="H1810" i="1"/>
  <c r="G1810" i="1"/>
  <c r="F1810" i="1"/>
  <c r="E1810" i="1"/>
  <c r="D1810" i="1"/>
  <c r="C1810" i="1"/>
  <c r="V1809" i="1"/>
  <c r="Q1809" i="1"/>
  <c r="P1809" i="1"/>
  <c r="O1809" i="1"/>
  <c r="N1809" i="1"/>
  <c r="J1809" i="1"/>
  <c r="I1809" i="1"/>
  <c r="H1809" i="1"/>
  <c r="G1809" i="1"/>
  <c r="F1809" i="1"/>
  <c r="E1809" i="1"/>
  <c r="D1809" i="1"/>
  <c r="C1809" i="1"/>
  <c r="V1808" i="1"/>
  <c r="Q1808" i="1"/>
  <c r="P1808" i="1"/>
  <c r="O1808" i="1"/>
  <c r="N1808" i="1"/>
  <c r="J1808" i="1"/>
  <c r="I1808" i="1"/>
  <c r="H1808" i="1"/>
  <c r="G1808" i="1"/>
  <c r="F1808" i="1"/>
  <c r="E1808" i="1"/>
  <c r="D1808" i="1"/>
  <c r="C1808" i="1"/>
  <c r="V1807" i="1"/>
  <c r="Q1807" i="1"/>
  <c r="P1807" i="1"/>
  <c r="O1807" i="1"/>
  <c r="N1807" i="1"/>
  <c r="J1807" i="1"/>
  <c r="I1807" i="1"/>
  <c r="H1807" i="1"/>
  <c r="G1807" i="1"/>
  <c r="F1807" i="1"/>
  <c r="E1807" i="1"/>
  <c r="D1807" i="1"/>
  <c r="C1807" i="1"/>
  <c r="V1806" i="1"/>
  <c r="Q1806" i="1"/>
  <c r="P1806" i="1"/>
  <c r="O1806" i="1"/>
  <c r="N1806" i="1"/>
  <c r="J1806" i="1"/>
  <c r="I1806" i="1"/>
  <c r="H1806" i="1"/>
  <c r="G1806" i="1"/>
  <c r="F1806" i="1"/>
  <c r="E1806" i="1"/>
  <c r="D1806" i="1"/>
  <c r="C1806" i="1"/>
  <c r="V1805" i="1"/>
  <c r="Q1805" i="1"/>
  <c r="P1805" i="1"/>
  <c r="O1805" i="1"/>
  <c r="N1805" i="1"/>
  <c r="J1805" i="1"/>
  <c r="I1805" i="1"/>
  <c r="H1805" i="1"/>
  <c r="G1805" i="1"/>
  <c r="F1805" i="1"/>
  <c r="E1805" i="1"/>
  <c r="D1805" i="1"/>
  <c r="C1805" i="1"/>
  <c r="V1804" i="1"/>
  <c r="Q1804" i="1"/>
  <c r="P1804" i="1"/>
  <c r="O1804" i="1"/>
  <c r="N1804" i="1"/>
  <c r="J1804" i="1"/>
  <c r="I1804" i="1"/>
  <c r="H1804" i="1"/>
  <c r="G1804" i="1"/>
  <c r="F1804" i="1"/>
  <c r="E1804" i="1"/>
  <c r="D1804" i="1"/>
  <c r="C1804" i="1"/>
  <c r="V1803" i="1"/>
  <c r="Q1803" i="1"/>
  <c r="P1803" i="1"/>
  <c r="O1803" i="1"/>
  <c r="N1803" i="1"/>
  <c r="J1803" i="1"/>
  <c r="I1803" i="1"/>
  <c r="H1803" i="1"/>
  <c r="G1803" i="1"/>
  <c r="F1803" i="1"/>
  <c r="E1803" i="1"/>
  <c r="D1803" i="1"/>
  <c r="C1803" i="1"/>
  <c r="V1802" i="1"/>
  <c r="Q1802" i="1"/>
  <c r="P1802" i="1"/>
  <c r="O1802" i="1"/>
  <c r="N1802" i="1"/>
  <c r="J1802" i="1"/>
  <c r="I1802" i="1"/>
  <c r="H1802" i="1"/>
  <c r="G1802" i="1"/>
  <c r="F1802" i="1"/>
  <c r="E1802" i="1"/>
  <c r="D1802" i="1"/>
  <c r="C1802" i="1"/>
  <c r="V1801" i="1"/>
  <c r="Q1801" i="1"/>
  <c r="P1801" i="1"/>
  <c r="O1801" i="1"/>
  <c r="N1801" i="1"/>
  <c r="J1801" i="1"/>
  <c r="I1801" i="1"/>
  <c r="H1801" i="1"/>
  <c r="G1801" i="1"/>
  <c r="F1801" i="1"/>
  <c r="E1801" i="1"/>
  <c r="D1801" i="1"/>
  <c r="C1801" i="1"/>
  <c r="V1800" i="1"/>
  <c r="Q1800" i="1"/>
  <c r="P1800" i="1"/>
  <c r="O1800" i="1"/>
  <c r="N1800" i="1"/>
  <c r="J1800" i="1"/>
  <c r="I1800" i="1"/>
  <c r="H1800" i="1"/>
  <c r="G1800" i="1"/>
  <c r="F1800" i="1"/>
  <c r="E1800" i="1"/>
  <c r="D1800" i="1"/>
  <c r="C1800" i="1"/>
  <c r="V1799" i="1"/>
  <c r="Q1799" i="1"/>
  <c r="P1799" i="1"/>
  <c r="O1799" i="1"/>
  <c r="N1799" i="1"/>
  <c r="J1799" i="1"/>
  <c r="I1799" i="1"/>
  <c r="H1799" i="1"/>
  <c r="G1799" i="1"/>
  <c r="F1799" i="1"/>
  <c r="E1799" i="1"/>
  <c r="D1799" i="1"/>
  <c r="C1799" i="1"/>
  <c r="V1798" i="1"/>
  <c r="Q1798" i="1"/>
  <c r="P1798" i="1"/>
  <c r="O1798" i="1"/>
  <c r="N1798" i="1"/>
  <c r="J1798" i="1"/>
  <c r="I1798" i="1"/>
  <c r="H1798" i="1"/>
  <c r="G1798" i="1"/>
  <c r="F1798" i="1"/>
  <c r="E1798" i="1"/>
  <c r="D1798" i="1"/>
  <c r="C1798" i="1"/>
  <c r="V1797" i="1"/>
  <c r="Q1797" i="1"/>
  <c r="P1797" i="1"/>
  <c r="O1797" i="1"/>
  <c r="N1797" i="1"/>
  <c r="J1797" i="1"/>
  <c r="I1797" i="1"/>
  <c r="H1797" i="1"/>
  <c r="G1797" i="1"/>
  <c r="F1797" i="1"/>
  <c r="E1797" i="1"/>
  <c r="D1797" i="1"/>
  <c r="C1797" i="1"/>
  <c r="V1796" i="1"/>
  <c r="Q1796" i="1"/>
  <c r="P1796" i="1"/>
  <c r="O1796" i="1"/>
  <c r="N1796" i="1"/>
  <c r="J1796" i="1"/>
  <c r="I1796" i="1"/>
  <c r="H1796" i="1"/>
  <c r="G1796" i="1"/>
  <c r="F1796" i="1"/>
  <c r="E1796" i="1"/>
  <c r="D1796" i="1"/>
  <c r="C1796" i="1"/>
  <c r="V1795" i="1"/>
  <c r="Q1795" i="1"/>
  <c r="P1795" i="1"/>
  <c r="O1795" i="1"/>
  <c r="N1795" i="1"/>
  <c r="J1795" i="1"/>
  <c r="I1795" i="1"/>
  <c r="H1795" i="1"/>
  <c r="G1795" i="1"/>
  <c r="F1795" i="1"/>
  <c r="E1795" i="1"/>
  <c r="D1795" i="1"/>
  <c r="C1795" i="1"/>
  <c r="V1794" i="1"/>
  <c r="Q1794" i="1"/>
  <c r="P1794" i="1"/>
  <c r="O1794" i="1"/>
  <c r="N1794" i="1"/>
  <c r="J1794" i="1"/>
  <c r="I1794" i="1"/>
  <c r="H1794" i="1"/>
  <c r="G1794" i="1"/>
  <c r="F1794" i="1"/>
  <c r="E1794" i="1"/>
  <c r="D1794" i="1"/>
  <c r="C1794" i="1"/>
  <c r="V1793" i="1"/>
  <c r="Q1793" i="1"/>
  <c r="P1793" i="1"/>
  <c r="O1793" i="1"/>
  <c r="N1793" i="1"/>
  <c r="J1793" i="1"/>
  <c r="I1793" i="1"/>
  <c r="H1793" i="1"/>
  <c r="G1793" i="1"/>
  <c r="F1793" i="1"/>
  <c r="E1793" i="1"/>
  <c r="D1793" i="1"/>
  <c r="C1793" i="1"/>
  <c r="V1792" i="1"/>
  <c r="Q1792" i="1"/>
  <c r="P1792" i="1"/>
  <c r="O1792" i="1"/>
  <c r="N1792" i="1"/>
  <c r="J1792" i="1"/>
  <c r="I1792" i="1"/>
  <c r="H1792" i="1"/>
  <c r="G1792" i="1"/>
  <c r="F1792" i="1"/>
  <c r="E1792" i="1"/>
  <c r="D1792" i="1"/>
  <c r="C1792" i="1"/>
  <c r="V1791" i="1"/>
  <c r="Q1791" i="1"/>
  <c r="P1791" i="1"/>
  <c r="O1791" i="1"/>
  <c r="N1791" i="1"/>
  <c r="J1791" i="1"/>
  <c r="I1791" i="1"/>
  <c r="H1791" i="1"/>
  <c r="G1791" i="1"/>
  <c r="F1791" i="1"/>
  <c r="E1791" i="1"/>
  <c r="D1791" i="1"/>
  <c r="C1791" i="1"/>
  <c r="V1790" i="1"/>
  <c r="Q1790" i="1"/>
  <c r="P1790" i="1"/>
  <c r="O1790" i="1"/>
  <c r="N1790" i="1"/>
  <c r="J1790" i="1"/>
  <c r="I1790" i="1"/>
  <c r="H1790" i="1"/>
  <c r="G1790" i="1"/>
  <c r="F1790" i="1"/>
  <c r="E1790" i="1"/>
  <c r="D1790" i="1"/>
  <c r="C1790" i="1"/>
  <c r="V1789" i="1"/>
  <c r="Q1789" i="1"/>
  <c r="P1789" i="1"/>
  <c r="O1789" i="1"/>
  <c r="N1789" i="1"/>
  <c r="J1789" i="1"/>
  <c r="I1789" i="1"/>
  <c r="H1789" i="1"/>
  <c r="G1789" i="1"/>
  <c r="F1789" i="1"/>
  <c r="E1789" i="1"/>
  <c r="D1789" i="1"/>
  <c r="C1789" i="1"/>
  <c r="V1788" i="1"/>
  <c r="Q1788" i="1"/>
  <c r="P1788" i="1"/>
  <c r="O1788" i="1"/>
  <c r="N1788" i="1"/>
  <c r="J1788" i="1"/>
  <c r="I1788" i="1"/>
  <c r="H1788" i="1"/>
  <c r="G1788" i="1"/>
  <c r="F1788" i="1"/>
  <c r="E1788" i="1"/>
  <c r="D1788" i="1"/>
  <c r="C1788" i="1"/>
  <c r="V1787" i="1"/>
  <c r="Q1787" i="1"/>
  <c r="P1787" i="1"/>
  <c r="O1787" i="1"/>
  <c r="N1787" i="1"/>
  <c r="J1787" i="1"/>
  <c r="I1787" i="1"/>
  <c r="H1787" i="1"/>
  <c r="G1787" i="1"/>
  <c r="F1787" i="1"/>
  <c r="E1787" i="1"/>
  <c r="D1787" i="1"/>
  <c r="C1787" i="1"/>
  <c r="V1786" i="1"/>
  <c r="Q1786" i="1"/>
  <c r="P1786" i="1"/>
  <c r="O1786" i="1"/>
  <c r="N1786" i="1"/>
  <c r="J1786" i="1"/>
  <c r="I1786" i="1"/>
  <c r="H1786" i="1"/>
  <c r="G1786" i="1"/>
  <c r="F1786" i="1"/>
  <c r="E1786" i="1"/>
  <c r="D1786" i="1"/>
  <c r="C1786" i="1"/>
  <c r="V1785" i="1"/>
  <c r="Q1785" i="1"/>
  <c r="P1785" i="1"/>
  <c r="O1785" i="1"/>
  <c r="N1785" i="1"/>
  <c r="J1785" i="1"/>
  <c r="I1785" i="1"/>
  <c r="H1785" i="1"/>
  <c r="G1785" i="1"/>
  <c r="F1785" i="1"/>
  <c r="E1785" i="1"/>
  <c r="D1785" i="1"/>
  <c r="C1785" i="1"/>
  <c r="V1784" i="1"/>
  <c r="Q1784" i="1"/>
  <c r="P1784" i="1"/>
  <c r="O1784" i="1"/>
  <c r="N1784" i="1"/>
  <c r="J1784" i="1"/>
  <c r="I1784" i="1"/>
  <c r="H1784" i="1"/>
  <c r="G1784" i="1"/>
  <c r="F1784" i="1"/>
  <c r="E1784" i="1"/>
  <c r="D1784" i="1"/>
  <c r="C1784" i="1"/>
  <c r="V1783" i="1"/>
  <c r="Q1783" i="1"/>
  <c r="P1783" i="1"/>
  <c r="O1783" i="1"/>
  <c r="N1783" i="1"/>
  <c r="J1783" i="1"/>
  <c r="I1783" i="1"/>
  <c r="H1783" i="1"/>
  <c r="G1783" i="1"/>
  <c r="F1783" i="1"/>
  <c r="E1783" i="1"/>
  <c r="D1783" i="1"/>
  <c r="C1783" i="1"/>
  <c r="V1782" i="1"/>
  <c r="Q1782" i="1"/>
  <c r="P1782" i="1"/>
  <c r="O1782" i="1"/>
  <c r="N1782" i="1"/>
  <c r="J1782" i="1"/>
  <c r="I1782" i="1"/>
  <c r="H1782" i="1"/>
  <c r="G1782" i="1"/>
  <c r="F1782" i="1"/>
  <c r="E1782" i="1"/>
  <c r="D1782" i="1"/>
  <c r="C1782" i="1"/>
  <c r="V1781" i="1"/>
  <c r="Q1781" i="1"/>
  <c r="P1781" i="1"/>
  <c r="O1781" i="1"/>
  <c r="N1781" i="1"/>
  <c r="J1781" i="1"/>
  <c r="I1781" i="1"/>
  <c r="H1781" i="1"/>
  <c r="G1781" i="1"/>
  <c r="F1781" i="1"/>
  <c r="E1781" i="1"/>
  <c r="D1781" i="1"/>
  <c r="C1781" i="1"/>
  <c r="V1780" i="1"/>
  <c r="Q1780" i="1"/>
  <c r="P1780" i="1"/>
  <c r="O1780" i="1"/>
  <c r="N1780" i="1"/>
  <c r="J1780" i="1"/>
  <c r="I1780" i="1"/>
  <c r="H1780" i="1"/>
  <c r="G1780" i="1"/>
  <c r="F1780" i="1"/>
  <c r="E1780" i="1"/>
  <c r="D1780" i="1"/>
  <c r="C1780" i="1"/>
  <c r="V1779" i="1"/>
  <c r="Q1779" i="1"/>
  <c r="P1779" i="1"/>
  <c r="O1779" i="1"/>
  <c r="N1779" i="1"/>
  <c r="J1779" i="1"/>
  <c r="I1779" i="1"/>
  <c r="H1779" i="1"/>
  <c r="G1779" i="1"/>
  <c r="F1779" i="1"/>
  <c r="E1779" i="1"/>
  <c r="D1779" i="1"/>
  <c r="C1779" i="1"/>
  <c r="V1778" i="1"/>
  <c r="Q1778" i="1"/>
  <c r="P1778" i="1"/>
  <c r="O1778" i="1"/>
  <c r="N1778" i="1"/>
  <c r="J1778" i="1"/>
  <c r="I1778" i="1"/>
  <c r="H1778" i="1"/>
  <c r="G1778" i="1"/>
  <c r="F1778" i="1"/>
  <c r="E1778" i="1"/>
  <c r="D1778" i="1"/>
  <c r="C1778" i="1"/>
  <c r="V1777" i="1"/>
  <c r="Q1777" i="1"/>
  <c r="P1777" i="1"/>
  <c r="O1777" i="1"/>
  <c r="N1777" i="1"/>
  <c r="J1777" i="1"/>
  <c r="I1777" i="1"/>
  <c r="H1777" i="1"/>
  <c r="G1777" i="1"/>
  <c r="F1777" i="1"/>
  <c r="E1777" i="1"/>
  <c r="D1777" i="1"/>
  <c r="C1777" i="1"/>
  <c r="V1776" i="1"/>
  <c r="Q1776" i="1"/>
  <c r="P1776" i="1"/>
  <c r="O1776" i="1"/>
  <c r="N1776" i="1"/>
  <c r="J1776" i="1"/>
  <c r="I1776" i="1"/>
  <c r="H1776" i="1"/>
  <c r="G1776" i="1"/>
  <c r="F1776" i="1"/>
  <c r="E1776" i="1"/>
  <c r="D1776" i="1"/>
  <c r="C1776" i="1"/>
  <c r="V1775" i="1"/>
  <c r="Q1775" i="1"/>
  <c r="P1775" i="1"/>
  <c r="O1775" i="1"/>
  <c r="N1775" i="1"/>
  <c r="J1775" i="1"/>
  <c r="I1775" i="1"/>
  <c r="H1775" i="1"/>
  <c r="G1775" i="1"/>
  <c r="F1775" i="1"/>
  <c r="E1775" i="1"/>
  <c r="D1775" i="1"/>
  <c r="C1775" i="1"/>
  <c r="V1774" i="1"/>
  <c r="Q1774" i="1"/>
  <c r="P1774" i="1"/>
  <c r="O1774" i="1"/>
  <c r="N1774" i="1"/>
  <c r="J1774" i="1"/>
  <c r="I1774" i="1"/>
  <c r="H1774" i="1"/>
  <c r="G1774" i="1"/>
  <c r="F1774" i="1"/>
  <c r="E1774" i="1"/>
  <c r="D1774" i="1"/>
  <c r="C1774" i="1"/>
  <c r="V1773" i="1"/>
  <c r="Q1773" i="1"/>
  <c r="P1773" i="1"/>
  <c r="O1773" i="1"/>
  <c r="N1773" i="1"/>
  <c r="J1773" i="1"/>
  <c r="I1773" i="1"/>
  <c r="H1773" i="1"/>
  <c r="G1773" i="1"/>
  <c r="F1773" i="1"/>
  <c r="E1773" i="1"/>
  <c r="D1773" i="1"/>
  <c r="C1773" i="1"/>
  <c r="V1772" i="1"/>
  <c r="Q1772" i="1"/>
  <c r="P1772" i="1"/>
  <c r="O1772" i="1"/>
  <c r="N1772" i="1"/>
  <c r="J1772" i="1"/>
  <c r="I1772" i="1"/>
  <c r="H1772" i="1"/>
  <c r="G1772" i="1"/>
  <c r="F1772" i="1"/>
  <c r="E1772" i="1"/>
  <c r="D1772" i="1"/>
  <c r="C1772" i="1"/>
  <c r="V1771" i="1"/>
  <c r="Q1771" i="1"/>
  <c r="P1771" i="1"/>
  <c r="O1771" i="1"/>
  <c r="N1771" i="1"/>
  <c r="J1771" i="1"/>
  <c r="I1771" i="1"/>
  <c r="H1771" i="1"/>
  <c r="G1771" i="1"/>
  <c r="F1771" i="1"/>
  <c r="E1771" i="1"/>
  <c r="D1771" i="1"/>
  <c r="C1771" i="1"/>
  <c r="V1770" i="1"/>
  <c r="Q1770" i="1"/>
  <c r="P1770" i="1"/>
  <c r="O1770" i="1"/>
  <c r="N1770" i="1"/>
  <c r="J1770" i="1"/>
  <c r="I1770" i="1"/>
  <c r="H1770" i="1"/>
  <c r="G1770" i="1"/>
  <c r="F1770" i="1"/>
  <c r="E1770" i="1"/>
  <c r="D1770" i="1"/>
  <c r="C1770" i="1"/>
  <c r="V1769" i="1"/>
  <c r="Q1769" i="1"/>
  <c r="P1769" i="1"/>
  <c r="O1769" i="1"/>
  <c r="N1769" i="1"/>
  <c r="J1769" i="1"/>
  <c r="I1769" i="1"/>
  <c r="H1769" i="1"/>
  <c r="G1769" i="1"/>
  <c r="F1769" i="1"/>
  <c r="E1769" i="1"/>
  <c r="D1769" i="1"/>
  <c r="C1769" i="1"/>
  <c r="V1768" i="1"/>
  <c r="Q1768" i="1"/>
  <c r="P1768" i="1"/>
  <c r="O1768" i="1"/>
  <c r="N1768" i="1"/>
  <c r="J1768" i="1"/>
  <c r="I1768" i="1"/>
  <c r="H1768" i="1"/>
  <c r="G1768" i="1"/>
  <c r="F1768" i="1"/>
  <c r="E1768" i="1"/>
  <c r="D1768" i="1"/>
  <c r="C1768" i="1"/>
  <c r="V1767" i="1"/>
  <c r="Q1767" i="1"/>
  <c r="P1767" i="1"/>
  <c r="O1767" i="1"/>
  <c r="N1767" i="1"/>
  <c r="J1767" i="1"/>
  <c r="I1767" i="1"/>
  <c r="H1767" i="1"/>
  <c r="G1767" i="1"/>
  <c r="F1767" i="1"/>
  <c r="E1767" i="1"/>
  <c r="D1767" i="1"/>
  <c r="C1767" i="1"/>
  <c r="V1766" i="1"/>
  <c r="Q1766" i="1"/>
  <c r="P1766" i="1"/>
  <c r="O1766" i="1"/>
  <c r="N1766" i="1"/>
  <c r="J1766" i="1"/>
  <c r="I1766" i="1"/>
  <c r="H1766" i="1"/>
  <c r="G1766" i="1"/>
  <c r="F1766" i="1"/>
  <c r="E1766" i="1"/>
  <c r="D1766" i="1"/>
  <c r="C1766" i="1"/>
  <c r="V1765" i="1"/>
  <c r="Q1765" i="1"/>
  <c r="P1765" i="1"/>
  <c r="O1765" i="1"/>
  <c r="N1765" i="1"/>
  <c r="J1765" i="1"/>
  <c r="I1765" i="1"/>
  <c r="H1765" i="1"/>
  <c r="G1765" i="1"/>
  <c r="F1765" i="1"/>
  <c r="E1765" i="1"/>
  <c r="D1765" i="1"/>
  <c r="C1765" i="1"/>
  <c r="V1764" i="1"/>
  <c r="Q1764" i="1"/>
  <c r="P1764" i="1"/>
  <c r="O1764" i="1"/>
  <c r="N1764" i="1"/>
  <c r="J1764" i="1"/>
  <c r="I1764" i="1"/>
  <c r="H1764" i="1"/>
  <c r="G1764" i="1"/>
  <c r="F1764" i="1"/>
  <c r="E1764" i="1"/>
  <c r="D1764" i="1"/>
  <c r="C1764" i="1"/>
  <c r="V1763" i="1"/>
  <c r="Q1763" i="1"/>
  <c r="P1763" i="1"/>
  <c r="O1763" i="1"/>
  <c r="N1763" i="1"/>
  <c r="J1763" i="1"/>
  <c r="I1763" i="1"/>
  <c r="H1763" i="1"/>
  <c r="G1763" i="1"/>
  <c r="F1763" i="1"/>
  <c r="E1763" i="1"/>
  <c r="D1763" i="1"/>
  <c r="C1763" i="1"/>
  <c r="V1762" i="1"/>
  <c r="Q1762" i="1"/>
  <c r="P1762" i="1"/>
  <c r="O1762" i="1"/>
  <c r="N1762" i="1"/>
  <c r="J1762" i="1"/>
  <c r="I1762" i="1"/>
  <c r="H1762" i="1"/>
  <c r="G1762" i="1"/>
  <c r="F1762" i="1"/>
  <c r="E1762" i="1"/>
  <c r="D1762" i="1"/>
  <c r="C1762" i="1"/>
  <c r="V1761" i="1"/>
  <c r="Q1761" i="1"/>
  <c r="P1761" i="1"/>
  <c r="O1761" i="1"/>
  <c r="N1761" i="1"/>
  <c r="J1761" i="1"/>
  <c r="I1761" i="1"/>
  <c r="H1761" i="1"/>
  <c r="G1761" i="1"/>
  <c r="F1761" i="1"/>
  <c r="E1761" i="1"/>
  <c r="D1761" i="1"/>
  <c r="C1761" i="1"/>
  <c r="V1760" i="1"/>
  <c r="Q1760" i="1"/>
  <c r="P1760" i="1"/>
  <c r="O1760" i="1"/>
  <c r="N1760" i="1"/>
  <c r="J1760" i="1"/>
  <c r="I1760" i="1"/>
  <c r="H1760" i="1"/>
  <c r="G1760" i="1"/>
  <c r="F1760" i="1"/>
  <c r="E1760" i="1"/>
  <c r="D1760" i="1"/>
  <c r="C1760" i="1"/>
  <c r="V1759" i="1"/>
  <c r="Q1759" i="1"/>
  <c r="P1759" i="1"/>
  <c r="O1759" i="1"/>
  <c r="N1759" i="1"/>
  <c r="J1759" i="1"/>
  <c r="I1759" i="1"/>
  <c r="H1759" i="1"/>
  <c r="G1759" i="1"/>
  <c r="F1759" i="1"/>
  <c r="E1759" i="1"/>
  <c r="D1759" i="1"/>
  <c r="C1759" i="1"/>
  <c r="V1758" i="1"/>
  <c r="Q1758" i="1"/>
  <c r="P1758" i="1"/>
  <c r="O1758" i="1"/>
  <c r="N1758" i="1"/>
  <c r="J1758" i="1"/>
  <c r="I1758" i="1"/>
  <c r="H1758" i="1"/>
  <c r="G1758" i="1"/>
  <c r="F1758" i="1"/>
  <c r="E1758" i="1"/>
  <c r="D1758" i="1"/>
  <c r="C1758" i="1"/>
  <c r="V1757" i="1"/>
  <c r="Q1757" i="1"/>
  <c r="P1757" i="1"/>
  <c r="O1757" i="1"/>
  <c r="N1757" i="1"/>
  <c r="J1757" i="1"/>
  <c r="I1757" i="1"/>
  <c r="H1757" i="1"/>
  <c r="G1757" i="1"/>
  <c r="F1757" i="1"/>
  <c r="E1757" i="1"/>
  <c r="D1757" i="1"/>
  <c r="C1757" i="1"/>
  <c r="V1756" i="1"/>
  <c r="Q1756" i="1"/>
  <c r="P1756" i="1"/>
  <c r="O1756" i="1"/>
  <c r="N1756" i="1"/>
  <c r="J1756" i="1"/>
  <c r="I1756" i="1"/>
  <c r="H1756" i="1"/>
  <c r="G1756" i="1"/>
  <c r="F1756" i="1"/>
  <c r="E1756" i="1"/>
  <c r="D1756" i="1"/>
  <c r="C1756" i="1"/>
  <c r="V1755" i="1"/>
  <c r="Q1755" i="1"/>
  <c r="P1755" i="1"/>
  <c r="O1755" i="1"/>
  <c r="N1755" i="1"/>
  <c r="J1755" i="1"/>
  <c r="I1755" i="1"/>
  <c r="H1755" i="1"/>
  <c r="G1755" i="1"/>
  <c r="F1755" i="1"/>
  <c r="E1755" i="1"/>
  <c r="D1755" i="1"/>
  <c r="C1755" i="1"/>
  <c r="V1754" i="1"/>
  <c r="Q1754" i="1"/>
  <c r="P1754" i="1"/>
  <c r="O1754" i="1"/>
  <c r="N1754" i="1"/>
  <c r="J1754" i="1"/>
  <c r="I1754" i="1"/>
  <c r="H1754" i="1"/>
  <c r="G1754" i="1"/>
  <c r="F1754" i="1"/>
  <c r="E1754" i="1"/>
  <c r="D1754" i="1"/>
  <c r="C1754" i="1"/>
  <c r="V1753" i="1"/>
  <c r="Q1753" i="1"/>
  <c r="P1753" i="1"/>
  <c r="O1753" i="1"/>
  <c r="N1753" i="1"/>
  <c r="J1753" i="1"/>
  <c r="I1753" i="1"/>
  <c r="H1753" i="1"/>
  <c r="G1753" i="1"/>
  <c r="F1753" i="1"/>
  <c r="E1753" i="1"/>
  <c r="D1753" i="1"/>
  <c r="C1753" i="1"/>
  <c r="V1752" i="1"/>
  <c r="Q1752" i="1"/>
  <c r="P1752" i="1"/>
  <c r="O1752" i="1"/>
  <c r="N1752" i="1"/>
  <c r="J1752" i="1"/>
  <c r="I1752" i="1"/>
  <c r="H1752" i="1"/>
  <c r="G1752" i="1"/>
  <c r="F1752" i="1"/>
  <c r="E1752" i="1"/>
  <c r="D1752" i="1"/>
  <c r="C1752" i="1"/>
  <c r="V1751" i="1"/>
  <c r="Q1751" i="1"/>
  <c r="P1751" i="1"/>
  <c r="O1751" i="1"/>
  <c r="N1751" i="1"/>
  <c r="J1751" i="1"/>
  <c r="I1751" i="1"/>
  <c r="H1751" i="1"/>
  <c r="G1751" i="1"/>
  <c r="F1751" i="1"/>
  <c r="E1751" i="1"/>
  <c r="D1751" i="1"/>
  <c r="C1751" i="1"/>
  <c r="V1750" i="1"/>
  <c r="Q1750" i="1"/>
  <c r="P1750" i="1"/>
  <c r="O1750" i="1"/>
  <c r="N1750" i="1"/>
  <c r="J1750" i="1"/>
  <c r="I1750" i="1"/>
  <c r="H1750" i="1"/>
  <c r="G1750" i="1"/>
  <c r="F1750" i="1"/>
  <c r="E1750" i="1"/>
  <c r="D1750" i="1"/>
  <c r="C1750" i="1"/>
  <c r="V1749" i="1"/>
  <c r="Q1749" i="1"/>
  <c r="P1749" i="1"/>
  <c r="O1749" i="1"/>
  <c r="N1749" i="1"/>
  <c r="J1749" i="1"/>
  <c r="I1749" i="1"/>
  <c r="H1749" i="1"/>
  <c r="G1749" i="1"/>
  <c r="F1749" i="1"/>
  <c r="E1749" i="1"/>
  <c r="D1749" i="1"/>
  <c r="C1749" i="1"/>
  <c r="V1748" i="1"/>
  <c r="Q1748" i="1"/>
  <c r="P1748" i="1"/>
  <c r="O1748" i="1"/>
  <c r="N1748" i="1"/>
  <c r="J1748" i="1"/>
  <c r="I1748" i="1"/>
  <c r="H1748" i="1"/>
  <c r="G1748" i="1"/>
  <c r="F1748" i="1"/>
  <c r="E1748" i="1"/>
  <c r="D1748" i="1"/>
  <c r="C1748" i="1"/>
  <c r="V1747" i="1"/>
  <c r="Q1747" i="1"/>
  <c r="P1747" i="1"/>
  <c r="O1747" i="1"/>
  <c r="N1747" i="1"/>
  <c r="J1747" i="1"/>
  <c r="I1747" i="1"/>
  <c r="H1747" i="1"/>
  <c r="G1747" i="1"/>
  <c r="F1747" i="1"/>
  <c r="E1747" i="1"/>
  <c r="D1747" i="1"/>
  <c r="C1747" i="1"/>
  <c r="V1746" i="1"/>
  <c r="Q1746" i="1"/>
  <c r="P1746" i="1"/>
  <c r="O1746" i="1"/>
  <c r="N1746" i="1"/>
  <c r="J1746" i="1"/>
  <c r="I1746" i="1"/>
  <c r="H1746" i="1"/>
  <c r="G1746" i="1"/>
  <c r="F1746" i="1"/>
  <c r="E1746" i="1"/>
  <c r="D1746" i="1"/>
  <c r="C1746" i="1"/>
  <c r="V1745" i="1"/>
  <c r="Q1745" i="1"/>
  <c r="P1745" i="1"/>
  <c r="O1745" i="1"/>
  <c r="N1745" i="1"/>
  <c r="J1745" i="1"/>
  <c r="I1745" i="1"/>
  <c r="H1745" i="1"/>
  <c r="G1745" i="1"/>
  <c r="F1745" i="1"/>
  <c r="E1745" i="1"/>
  <c r="D1745" i="1"/>
  <c r="C1745" i="1"/>
  <c r="V1744" i="1"/>
  <c r="Q1744" i="1"/>
  <c r="P1744" i="1"/>
  <c r="O1744" i="1"/>
  <c r="N1744" i="1"/>
  <c r="J1744" i="1"/>
  <c r="I1744" i="1"/>
  <c r="H1744" i="1"/>
  <c r="G1744" i="1"/>
  <c r="F1744" i="1"/>
  <c r="E1744" i="1"/>
  <c r="D1744" i="1"/>
  <c r="C1744" i="1"/>
  <c r="V1743" i="1"/>
  <c r="Q1743" i="1"/>
  <c r="P1743" i="1"/>
  <c r="O1743" i="1"/>
  <c r="N1743" i="1"/>
  <c r="J1743" i="1"/>
  <c r="I1743" i="1"/>
  <c r="H1743" i="1"/>
  <c r="G1743" i="1"/>
  <c r="F1743" i="1"/>
  <c r="E1743" i="1"/>
  <c r="D1743" i="1"/>
  <c r="C1743" i="1"/>
  <c r="V1742" i="1"/>
  <c r="Q1742" i="1"/>
  <c r="P1742" i="1"/>
  <c r="O1742" i="1"/>
  <c r="N1742" i="1"/>
  <c r="J1742" i="1"/>
  <c r="I1742" i="1"/>
  <c r="H1742" i="1"/>
  <c r="G1742" i="1"/>
  <c r="F1742" i="1"/>
  <c r="E1742" i="1"/>
  <c r="D1742" i="1"/>
  <c r="C1742" i="1"/>
  <c r="V1741" i="1"/>
  <c r="Q1741" i="1"/>
  <c r="P1741" i="1"/>
  <c r="O1741" i="1"/>
  <c r="N1741" i="1"/>
  <c r="J1741" i="1"/>
  <c r="I1741" i="1"/>
  <c r="H1741" i="1"/>
  <c r="G1741" i="1"/>
  <c r="F1741" i="1"/>
  <c r="E1741" i="1"/>
  <c r="D1741" i="1"/>
  <c r="C1741" i="1"/>
  <c r="V1740" i="1"/>
  <c r="Q1740" i="1"/>
  <c r="P1740" i="1"/>
  <c r="O1740" i="1"/>
  <c r="N1740" i="1"/>
  <c r="J1740" i="1"/>
  <c r="I1740" i="1"/>
  <c r="H1740" i="1"/>
  <c r="G1740" i="1"/>
  <c r="F1740" i="1"/>
  <c r="E1740" i="1"/>
  <c r="D1740" i="1"/>
  <c r="C1740" i="1"/>
  <c r="V1739" i="1"/>
  <c r="Q1739" i="1"/>
  <c r="P1739" i="1"/>
  <c r="O1739" i="1"/>
  <c r="N1739" i="1"/>
  <c r="J1739" i="1"/>
  <c r="I1739" i="1"/>
  <c r="H1739" i="1"/>
  <c r="G1739" i="1"/>
  <c r="F1739" i="1"/>
  <c r="E1739" i="1"/>
  <c r="D1739" i="1"/>
  <c r="C1739" i="1"/>
  <c r="V1738" i="1"/>
  <c r="Q1738" i="1"/>
  <c r="P1738" i="1"/>
  <c r="O1738" i="1"/>
  <c r="N1738" i="1"/>
  <c r="J1738" i="1"/>
  <c r="I1738" i="1"/>
  <c r="H1738" i="1"/>
  <c r="G1738" i="1"/>
  <c r="F1738" i="1"/>
  <c r="E1738" i="1"/>
  <c r="D1738" i="1"/>
  <c r="C1738" i="1"/>
  <c r="V1737" i="1"/>
  <c r="Q1737" i="1"/>
  <c r="P1737" i="1"/>
  <c r="O1737" i="1"/>
  <c r="N1737" i="1"/>
  <c r="J1737" i="1"/>
  <c r="I1737" i="1"/>
  <c r="H1737" i="1"/>
  <c r="G1737" i="1"/>
  <c r="F1737" i="1"/>
  <c r="E1737" i="1"/>
  <c r="D1737" i="1"/>
  <c r="C1737" i="1"/>
  <c r="V1736" i="1"/>
  <c r="Q1736" i="1"/>
  <c r="P1736" i="1"/>
  <c r="O1736" i="1"/>
  <c r="N1736" i="1"/>
  <c r="J1736" i="1"/>
  <c r="I1736" i="1"/>
  <c r="H1736" i="1"/>
  <c r="G1736" i="1"/>
  <c r="F1736" i="1"/>
  <c r="E1736" i="1"/>
  <c r="D1736" i="1"/>
  <c r="C1736" i="1"/>
  <c r="V1735" i="1"/>
  <c r="Q1735" i="1"/>
  <c r="P1735" i="1"/>
  <c r="O1735" i="1"/>
  <c r="N1735" i="1"/>
  <c r="J1735" i="1"/>
  <c r="I1735" i="1"/>
  <c r="H1735" i="1"/>
  <c r="G1735" i="1"/>
  <c r="F1735" i="1"/>
  <c r="E1735" i="1"/>
  <c r="D1735" i="1"/>
  <c r="C1735" i="1"/>
  <c r="V1734" i="1"/>
  <c r="Q1734" i="1"/>
  <c r="P1734" i="1"/>
  <c r="O1734" i="1"/>
  <c r="N1734" i="1"/>
  <c r="J1734" i="1"/>
  <c r="I1734" i="1"/>
  <c r="H1734" i="1"/>
  <c r="G1734" i="1"/>
  <c r="F1734" i="1"/>
  <c r="E1734" i="1"/>
  <c r="D1734" i="1"/>
  <c r="C1734" i="1"/>
  <c r="V1733" i="1"/>
  <c r="Q1733" i="1"/>
  <c r="P1733" i="1"/>
  <c r="O1733" i="1"/>
  <c r="N1733" i="1"/>
  <c r="J1733" i="1"/>
  <c r="I1733" i="1"/>
  <c r="H1733" i="1"/>
  <c r="G1733" i="1"/>
  <c r="F1733" i="1"/>
  <c r="E1733" i="1"/>
  <c r="D1733" i="1"/>
  <c r="C1733" i="1"/>
  <c r="V1732" i="1"/>
  <c r="Q1732" i="1"/>
  <c r="P1732" i="1"/>
  <c r="O1732" i="1"/>
  <c r="N1732" i="1"/>
  <c r="J1732" i="1"/>
  <c r="I1732" i="1"/>
  <c r="H1732" i="1"/>
  <c r="G1732" i="1"/>
  <c r="F1732" i="1"/>
  <c r="E1732" i="1"/>
  <c r="D1732" i="1"/>
  <c r="C1732" i="1"/>
  <c r="V1731" i="1"/>
  <c r="Q1731" i="1"/>
  <c r="P1731" i="1"/>
  <c r="O1731" i="1"/>
  <c r="N1731" i="1"/>
  <c r="J1731" i="1"/>
  <c r="I1731" i="1"/>
  <c r="H1731" i="1"/>
  <c r="G1731" i="1"/>
  <c r="F1731" i="1"/>
  <c r="E1731" i="1"/>
  <c r="D1731" i="1"/>
  <c r="C1731" i="1"/>
  <c r="V1730" i="1"/>
  <c r="Q1730" i="1"/>
  <c r="P1730" i="1"/>
  <c r="O1730" i="1"/>
  <c r="N1730" i="1"/>
  <c r="J1730" i="1"/>
  <c r="I1730" i="1"/>
  <c r="H1730" i="1"/>
  <c r="G1730" i="1"/>
  <c r="F1730" i="1"/>
  <c r="E1730" i="1"/>
  <c r="D1730" i="1"/>
  <c r="C1730" i="1"/>
  <c r="V1729" i="1"/>
  <c r="Q1729" i="1"/>
  <c r="P1729" i="1"/>
  <c r="O1729" i="1"/>
  <c r="N1729" i="1"/>
  <c r="J1729" i="1"/>
  <c r="I1729" i="1"/>
  <c r="H1729" i="1"/>
  <c r="G1729" i="1"/>
  <c r="F1729" i="1"/>
  <c r="E1729" i="1"/>
  <c r="D1729" i="1"/>
  <c r="C1729" i="1"/>
  <c r="V1728" i="1"/>
  <c r="Q1728" i="1"/>
  <c r="P1728" i="1"/>
  <c r="O1728" i="1"/>
  <c r="N1728" i="1"/>
  <c r="J1728" i="1"/>
  <c r="I1728" i="1"/>
  <c r="H1728" i="1"/>
  <c r="G1728" i="1"/>
  <c r="F1728" i="1"/>
  <c r="E1728" i="1"/>
  <c r="D1728" i="1"/>
  <c r="C1728" i="1"/>
  <c r="V1727" i="1"/>
  <c r="Q1727" i="1"/>
  <c r="P1727" i="1"/>
  <c r="O1727" i="1"/>
  <c r="N1727" i="1"/>
  <c r="J1727" i="1"/>
  <c r="I1727" i="1"/>
  <c r="H1727" i="1"/>
  <c r="G1727" i="1"/>
  <c r="F1727" i="1"/>
  <c r="E1727" i="1"/>
  <c r="D1727" i="1"/>
  <c r="C1727" i="1"/>
  <c r="V1726" i="1"/>
  <c r="Q1726" i="1"/>
  <c r="P1726" i="1"/>
  <c r="O1726" i="1"/>
  <c r="N1726" i="1"/>
  <c r="J1726" i="1"/>
  <c r="I1726" i="1"/>
  <c r="H1726" i="1"/>
  <c r="G1726" i="1"/>
  <c r="F1726" i="1"/>
  <c r="E1726" i="1"/>
  <c r="D1726" i="1"/>
  <c r="C1726" i="1"/>
  <c r="V1725" i="1"/>
  <c r="Q1725" i="1"/>
  <c r="P1725" i="1"/>
  <c r="O1725" i="1"/>
  <c r="N1725" i="1"/>
  <c r="J1725" i="1"/>
  <c r="I1725" i="1"/>
  <c r="H1725" i="1"/>
  <c r="G1725" i="1"/>
  <c r="F1725" i="1"/>
  <c r="E1725" i="1"/>
  <c r="D1725" i="1"/>
  <c r="C1725" i="1"/>
  <c r="V1724" i="1"/>
  <c r="Q1724" i="1"/>
  <c r="P1724" i="1"/>
  <c r="O1724" i="1"/>
  <c r="N1724" i="1"/>
  <c r="J1724" i="1"/>
  <c r="I1724" i="1"/>
  <c r="H1724" i="1"/>
  <c r="G1724" i="1"/>
  <c r="F1724" i="1"/>
  <c r="E1724" i="1"/>
  <c r="D1724" i="1"/>
  <c r="C1724" i="1"/>
  <c r="V1723" i="1"/>
  <c r="Q1723" i="1"/>
  <c r="P1723" i="1"/>
  <c r="O1723" i="1"/>
  <c r="N1723" i="1"/>
  <c r="J1723" i="1"/>
  <c r="I1723" i="1"/>
  <c r="H1723" i="1"/>
  <c r="G1723" i="1"/>
  <c r="F1723" i="1"/>
  <c r="E1723" i="1"/>
  <c r="D1723" i="1"/>
  <c r="C1723" i="1"/>
  <c r="V1722" i="1"/>
  <c r="Q1722" i="1"/>
  <c r="P1722" i="1"/>
  <c r="O1722" i="1"/>
  <c r="N1722" i="1"/>
  <c r="J1722" i="1"/>
  <c r="I1722" i="1"/>
  <c r="H1722" i="1"/>
  <c r="G1722" i="1"/>
  <c r="F1722" i="1"/>
  <c r="E1722" i="1"/>
  <c r="D1722" i="1"/>
  <c r="C1722" i="1"/>
  <c r="V1721" i="1"/>
  <c r="Q1721" i="1"/>
  <c r="P1721" i="1"/>
  <c r="O1721" i="1"/>
  <c r="N1721" i="1"/>
  <c r="J1721" i="1"/>
  <c r="I1721" i="1"/>
  <c r="H1721" i="1"/>
  <c r="G1721" i="1"/>
  <c r="F1721" i="1"/>
  <c r="E1721" i="1"/>
  <c r="D1721" i="1"/>
  <c r="C1721" i="1"/>
  <c r="V1720" i="1"/>
  <c r="Q1720" i="1"/>
  <c r="P1720" i="1"/>
  <c r="O1720" i="1"/>
  <c r="N1720" i="1"/>
  <c r="J1720" i="1"/>
  <c r="I1720" i="1"/>
  <c r="H1720" i="1"/>
  <c r="G1720" i="1"/>
  <c r="F1720" i="1"/>
  <c r="E1720" i="1"/>
  <c r="D1720" i="1"/>
  <c r="C1720" i="1"/>
  <c r="V1719" i="1"/>
  <c r="Q1719" i="1"/>
  <c r="P1719" i="1"/>
  <c r="O1719" i="1"/>
  <c r="N1719" i="1"/>
  <c r="J1719" i="1"/>
  <c r="I1719" i="1"/>
  <c r="H1719" i="1"/>
  <c r="G1719" i="1"/>
  <c r="F1719" i="1"/>
  <c r="E1719" i="1"/>
  <c r="D1719" i="1"/>
  <c r="C1719" i="1"/>
  <c r="V1718" i="1"/>
  <c r="Q1718" i="1"/>
  <c r="P1718" i="1"/>
  <c r="O1718" i="1"/>
  <c r="N1718" i="1"/>
  <c r="J1718" i="1"/>
  <c r="I1718" i="1"/>
  <c r="H1718" i="1"/>
  <c r="G1718" i="1"/>
  <c r="F1718" i="1"/>
  <c r="E1718" i="1"/>
  <c r="D1718" i="1"/>
  <c r="C1718" i="1"/>
  <c r="V1717" i="1"/>
  <c r="Q1717" i="1"/>
  <c r="P1717" i="1"/>
  <c r="O1717" i="1"/>
  <c r="N1717" i="1"/>
  <c r="J1717" i="1"/>
  <c r="I1717" i="1"/>
  <c r="H1717" i="1"/>
  <c r="G1717" i="1"/>
  <c r="F1717" i="1"/>
  <c r="E1717" i="1"/>
  <c r="D1717" i="1"/>
  <c r="C1717" i="1"/>
  <c r="V1716" i="1"/>
  <c r="Q1716" i="1"/>
  <c r="P1716" i="1"/>
  <c r="O1716" i="1"/>
  <c r="N1716" i="1"/>
  <c r="J1716" i="1"/>
  <c r="I1716" i="1"/>
  <c r="H1716" i="1"/>
  <c r="G1716" i="1"/>
  <c r="F1716" i="1"/>
  <c r="E1716" i="1"/>
  <c r="D1716" i="1"/>
  <c r="C1716" i="1"/>
  <c r="V1715" i="1"/>
  <c r="Q1715" i="1"/>
  <c r="P1715" i="1"/>
  <c r="O1715" i="1"/>
  <c r="N1715" i="1"/>
  <c r="J1715" i="1"/>
  <c r="I1715" i="1"/>
  <c r="H1715" i="1"/>
  <c r="G1715" i="1"/>
  <c r="F1715" i="1"/>
  <c r="E1715" i="1"/>
  <c r="D1715" i="1"/>
  <c r="C1715" i="1"/>
  <c r="V1714" i="1"/>
  <c r="Q1714" i="1"/>
  <c r="P1714" i="1"/>
  <c r="O1714" i="1"/>
  <c r="N1714" i="1"/>
  <c r="J1714" i="1"/>
  <c r="I1714" i="1"/>
  <c r="H1714" i="1"/>
  <c r="G1714" i="1"/>
  <c r="F1714" i="1"/>
  <c r="E1714" i="1"/>
  <c r="D1714" i="1"/>
  <c r="C1714" i="1"/>
  <c r="V1713" i="1"/>
  <c r="Q1713" i="1"/>
  <c r="P1713" i="1"/>
  <c r="O1713" i="1"/>
  <c r="N1713" i="1"/>
  <c r="J1713" i="1"/>
  <c r="I1713" i="1"/>
  <c r="H1713" i="1"/>
  <c r="G1713" i="1"/>
  <c r="F1713" i="1"/>
  <c r="E1713" i="1"/>
  <c r="D1713" i="1"/>
  <c r="C1713" i="1"/>
  <c r="V1712" i="1"/>
  <c r="Q1712" i="1"/>
  <c r="P1712" i="1"/>
  <c r="O1712" i="1"/>
  <c r="N1712" i="1"/>
  <c r="J1712" i="1"/>
  <c r="I1712" i="1"/>
  <c r="H1712" i="1"/>
  <c r="G1712" i="1"/>
  <c r="F1712" i="1"/>
  <c r="E1712" i="1"/>
  <c r="D1712" i="1"/>
  <c r="C1712" i="1"/>
  <c r="V1711" i="1"/>
  <c r="Q1711" i="1"/>
  <c r="P1711" i="1"/>
  <c r="O1711" i="1"/>
  <c r="N1711" i="1"/>
  <c r="J1711" i="1"/>
  <c r="I1711" i="1"/>
  <c r="H1711" i="1"/>
  <c r="G1711" i="1"/>
  <c r="F1711" i="1"/>
  <c r="E1711" i="1"/>
  <c r="D1711" i="1"/>
  <c r="C1711" i="1"/>
  <c r="V1710" i="1"/>
  <c r="Q1710" i="1"/>
  <c r="P1710" i="1"/>
  <c r="O1710" i="1"/>
  <c r="N1710" i="1"/>
  <c r="J1710" i="1"/>
  <c r="I1710" i="1"/>
  <c r="H1710" i="1"/>
  <c r="G1710" i="1"/>
  <c r="F1710" i="1"/>
  <c r="E1710" i="1"/>
  <c r="D1710" i="1"/>
  <c r="C1710" i="1"/>
  <c r="V1709" i="1"/>
  <c r="Q1709" i="1"/>
  <c r="P1709" i="1"/>
  <c r="O1709" i="1"/>
  <c r="N1709" i="1"/>
  <c r="J1709" i="1"/>
  <c r="I1709" i="1"/>
  <c r="H1709" i="1"/>
  <c r="G1709" i="1"/>
  <c r="F1709" i="1"/>
  <c r="E1709" i="1"/>
  <c r="D1709" i="1"/>
  <c r="C1709" i="1"/>
  <c r="V1708" i="1"/>
  <c r="Q1708" i="1"/>
  <c r="P1708" i="1"/>
  <c r="O1708" i="1"/>
  <c r="N1708" i="1"/>
  <c r="J1708" i="1"/>
  <c r="I1708" i="1"/>
  <c r="H1708" i="1"/>
  <c r="G1708" i="1"/>
  <c r="F1708" i="1"/>
  <c r="E1708" i="1"/>
  <c r="D1708" i="1"/>
  <c r="C1708" i="1"/>
  <c r="V1707" i="1"/>
  <c r="Q1707" i="1"/>
  <c r="P1707" i="1"/>
  <c r="O1707" i="1"/>
  <c r="N1707" i="1"/>
  <c r="J1707" i="1"/>
  <c r="I1707" i="1"/>
  <c r="H1707" i="1"/>
  <c r="G1707" i="1"/>
  <c r="F1707" i="1"/>
  <c r="E1707" i="1"/>
  <c r="D1707" i="1"/>
  <c r="C1707" i="1"/>
  <c r="V1706" i="1"/>
  <c r="Q1706" i="1"/>
  <c r="P1706" i="1"/>
  <c r="O1706" i="1"/>
  <c r="N1706" i="1"/>
  <c r="J1706" i="1"/>
  <c r="I1706" i="1"/>
  <c r="H1706" i="1"/>
  <c r="G1706" i="1"/>
  <c r="F1706" i="1"/>
  <c r="E1706" i="1"/>
  <c r="D1706" i="1"/>
  <c r="C1706" i="1"/>
  <c r="V1705" i="1"/>
  <c r="Q1705" i="1"/>
  <c r="P1705" i="1"/>
  <c r="O1705" i="1"/>
  <c r="N1705" i="1"/>
  <c r="J1705" i="1"/>
  <c r="I1705" i="1"/>
  <c r="H1705" i="1"/>
  <c r="G1705" i="1"/>
  <c r="F1705" i="1"/>
  <c r="E1705" i="1"/>
  <c r="D1705" i="1"/>
  <c r="C1705" i="1"/>
  <c r="V1704" i="1"/>
  <c r="Q1704" i="1"/>
  <c r="P1704" i="1"/>
  <c r="O1704" i="1"/>
  <c r="N1704" i="1"/>
  <c r="J1704" i="1"/>
  <c r="I1704" i="1"/>
  <c r="H1704" i="1"/>
  <c r="G1704" i="1"/>
  <c r="F1704" i="1"/>
  <c r="E1704" i="1"/>
  <c r="D1704" i="1"/>
  <c r="C1704" i="1"/>
  <c r="V1703" i="1"/>
  <c r="Q1703" i="1"/>
  <c r="P1703" i="1"/>
  <c r="O1703" i="1"/>
  <c r="N1703" i="1"/>
  <c r="J1703" i="1"/>
  <c r="I1703" i="1"/>
  <c r="H1703" i="1"/>
  <c r="G1703" i="1"/>
  <c r="F1703" i="1"/>
  <c r="E1703" i="1"/>
  <c r="D1703" i="1"/>
  <c r="C1703" i="1"/>
  <c r="V1702" i="1"/>
  <c r="Q1702" i="1"/>
  <c r="P1702" i="1"/>
  <c r="O1702" i="1"/>
  <c r="N1702" i="1"/>
  <c r="J1702" i="1"/>
  <c r="I1702" i="1"/>
  <c r="H1702" i="1"/>
  <c r="G1702" i="1"/>
  <c r="F1702" i="1"/>
  <c r="E1702" i="1"/>
  <c r="D1702" i="1"/>
  <c r="C1702" i="1"/>
  <c r="V1701" i="1"/>
  <c r="Q1701" i="1"/>
  <c r="P1701" i="1"/>
  <c r="O1701" i="1"/>
  <c r="N1701" i="1"/>
  <c r="J1701" i="1"/>
  <c r="I1701" i="1"/>
  <c r="H1701" i="1"/>
  <c r="G1701" i="1"/>
  <c r="F1701" i="1"/>
  <c r="E1701" i="1"/>
  <c r="D1701" i="1"/>
  <c r="C1701" i="1"/>
  <c r="V1700" i="1"/>
  <c r="Q1700" i="1"/>
  <c r="P1700" i="1"/>
  <c r="O1700" i="1"/>
  <c r="N1700" i="1"/>
  <c r="J1700" i="1"/>
  <c r="I1700" i="1"/>
  <c r="H1700" i="1"/>
  <c r="G1700" i="1"/>
  <c r="F1700" i="1"/>
  <c r="E1700" i="1"/>
  <c r="D1700" i="1"/>
  <c r="C1700" i="1"/>
  <c r="V1699" i="1"/>
  <c r="Q1699" i="1"/>
  <c r="P1699" i="1"/>
  <c r="O1699" i="1"/>
  <c r="N1699" i="1"/>
  <c r="J1699" i="1"/>
  <c r="I1699" i="1"/>
  <c r="H1699" i="1"/>
  <c r="G1699" i="1"/>
  <c r="F1699" i="1"/>
  <c r="E1699" i="1"/>
  <c r="D1699" i="1"/>
  <c r="C1699" i="1"/>
  <c r="V1698" i="1"/>
  <c r="Q1698" i="1"/>
  <c r="P1698" i="1"/>
  <c r="O1698" i="1"/>
  <c r="N1698" i="1"/>
  <c r="J1698" i="1"/>
  <c r="I1698" i="1"/>
  <c r="H1698" i="1"/>
  <c r="G1698" i="1"/>
  <c r="F1698" i="1"/>
  <c r="E1698" i="1"/>
  <c r="D1698" i="1"/>
  <c r="C1698" i="1"/>
  <c r="V1697" i="1"/>
  <c r="Q1697" i="1"/>
  <c r="P1697" i="1"/>
  <c r="O1697" i="1"/>
  <c r="N1697" i="1"/>
  <c r="J1697" i="1"/>
  <c r="I1697" i="1"/>
  <c r="H1697" i="1"/>
  <c r="G1697" i="1"/>
  <c r="F1697" i="1"/>
  <c r="E1697" i="1"/>
  <c r="D1697" i="1"/>
  <c r="C1697" i="1"/>
  <c r="V1696" i="1"/>
  <c r="Q1696" i="1"/>
  <c r="P1696" i="1"/>
  <c r="O1696" i="1"/>
  <c r="N1696" i="1"/>
  <c r="J1696" i="1"/>
  <c r="I1696" i="1"/>
  <c r="H1696" i="1"/>
  <c r="G1696" i="1"/>
  <c r="F1696" i="1"/>
  <c r="E1696" i="1"/>
  <c r="D1696" i="1"/>
  <c r="C1696" i="1"/>
  <c r="V1695" i="1"/>
  <c r="Q1695" i="1"/>
  <c r="P1695" i="1"/>
  <c r="O1695" i="1"/>
  <c r="N1695" i="1"/>
  <c r="J1695" i="1"/>
  <c r="I1695" i="1"/>
  <c r="H1695" i="1"/>
  <c r="G1695" i="1"/>
  <c r="F1695" i="1"/>
  <c r="E1695" i="1"/>
  <c r="D1695" i="1"/>
  <c r="C1695" i="1"/>
  <c r="V1694" i="1"/>
  <c r="Q1694" i="1"/>
  <c r="P1694" i="1"/>
  <c r="O1694" i="1"/>
  <c r="N1694" i="1"/>
  <c r="J1694" i="1"/>
  <c r="I1694" i="1"/>
  <c r="H1694" i="1"/>
  <c r="G1694" i="1"/>
  <c r="F1694" i="1"/>
  <c r="E1694" i="1"/>
  <c r="D1694" i="1"/>
  <c r="C1694" i="1"/>
  <c r="V1693" i="1"/>
  <c r="Q1693" i="1"/>
  <c r="P1693" i="1"/>
  <c r="O1693" i="1"/>
  <c r="N1693" i="1"/>
  <c r="J1693" i="1"/>
  <c r="I1693" i="1"/>
  <c r="H1693" i="1"/>
  <c r="G1693" i="1"/>
  <c r="F1693" i="1"/>
  <c r="E1693" i="1"/>
  <c r="D1693" i="1"/>
  <c r="C1693" i="1"/>
  <c r="V1692" i="1"/>
  <c r="Q1692" i="1"/>
  <c r="P1692" i="1"/>
  <c r="O1692" i="1"/>
  <c r="N1692" i="1"/>
  <c r="J1692" i="1"/>
  <c r="I1692" i="1"/>
  <c r="H1692" i="1"/>
  <c r="G1692" i="1"/>
  <c r="F1692" i="1"/>
  <c r="E1692" i="1"/>
  <c r="D1692" i="1"/>
  <c r="C1692" i="1"/>
  <c r="V1691" i="1"/>
  <c r="Q1691" i="1"/>
  <c r="P1691" i="1"/>
  <c r="O1691" i="1"/>
  <c r="N1691" i="1"/>
  <c r="J1691" i="1"/>
  <c r="I1691" i="1"/>
  <c r="H1691" i="1"/>
  <c r="G1691" i="1"/>
  <c r="F1691" i="1"/>
  <c r="E1691" i="1"/>
  <c r="D1691" i="1"/>
  <c r="C1691" i="1"/>
  <c r="V1690" i="1"/>
  <c r="Q1690" i="1"/>
  <c r="P1690" i="1"/>
  <c r="O1690" i="1"/>
  <c r="N1690" i="1"/>
  <c r="J1690" i="1"/>
  <c r="I1690" i="1"/>
  <c r="H1690" i="1"/>
  <c r="G1690" i="1"/>
  <c r="F1690" i="1"/>
  <c r="E1690" i="1"/>
  <c r="D1690" i="1"/>
  <c r="C1690" i="1"/>
  <c r="V1689" i="1"/>
  <c r="Q1689" i="1"/>
  <c r="P1689" i="1"/>
  <c r="O1689" i="1"/>
  <c r="N1689" i="1"/>
  <c r="J1689" i="1"/>
  <c r="I1689" i="1"/>
  <c r="H1689" i="1"/>
  <c r="G1689" i="1"/>
  <c r="F1689" i="1"/>
  <c r="E1689" i="1"/>
  <c r="D1689" i="1"/>
  <c r="C1689" i="1"/>
  <c r="V1688" i="1"/>
  <c r="Q1688" i="1"/>
  <c r="P1688" i="1"/>
  <c r="O1688" i="1"/>
  <c r="N1688" i="1"/>
  <c r="J1688" i="1"/>
  <c r="I1688" i="1"/>
  <c r="H1688" i="1"/>
  <c r="G1688" i="1"/>
  <c r="F1688" i="1"/>
  <c r="E1688" i="1"/>
  <c r="D1688" i="1"/>
  <c r="C1688" i="1"/>
  <c r="V1687" i="1"/>
  <c r="Q1687" i="1"/>
  <c r="P1687" i="1"/>
  <c r="O1687" i="1"/>
  <c r="N1687" i="1"/>
  <c r="J1687" i="1"/>
  <c r="I1687" i="1"/>
  <c r="H1687" i="1"/>
  <c r="G1687" i="1"/>
  <c r="F1687" i="1"/>
  <c r="E1687" i="1"/>
  <c r="D1687" i="1"/>
  <c r="C1687" i="1"/>
  <c r="V1686" i="1"/>
  <c r="Q1686" i="1"/>
  <c r="P1686" i="1"/>
  <c r="O1686" i="1"/>
  <c r="N1686" i="1"/>
  <c r="J1686" i="1"/>
  <c r="I1686" i="1"/>
  <c r="H1686" i="1"/>
  <c r="G1686" i="1"/>
  <c r="F1686" i="1"/>
  <c r="E1686" i="1"/>
  <c r="D1686" i="1"/>
  <c r="C1686" i="1"/>
  <c r="V1685" i="1"/>
  <c r="Q1685" i="1"/>
  <c r="P1685" i="1"/>
  <c r="O1685" i="1"/>
  <c r="N1685" i="1"/>
  <c r="J1685" i="1"/>
  <c r="I1685" i="1"/>
  <c r="H1685" i="1"/>
  <c r="G1685" i="1"/>
  <c r="F1685" i="1"/>
  <c r="E1685" i="1"/>
  <c r="D1685" i="1"/>
  <c r="C1685" i="1"/>
  <c r="V1684" i="1"/>
  <c r="Q1684" i="1"/>
  <c r="P1684" i="1"/>
  <c r="O1684" i="1"/>
  <c r="N1684" i="1"/>
  <c r="J1684" i="1"/>
  <c r="I1684" i="1"/>
  <c r="H1684" i="1"/>
  <c r="G1684" i="1"/>
  <c r="F1684" i="1"/>
  <c r="E1684" i="1"/>
  <c r="D1684" i="1"/>
  <c r="C1684" i="1"/>
  <c r="V1683" i="1"/>
  <c r="Q1683" i="1"/>
  <c r="P1683" i="1"/>
  <c r="O1683" i="1"/>
  <c r="N1683" i="1"/>
  <c r="J1683" i="1"/>
  <c r="I1683" i="1"/>
  <c r="H1683" i="1"/>
  <c r="G1683" i="1"/>
  <c r="F1683" i="1"/>
  <c r="E1683" i="1"/>
  <c r="D1683" i="1"/>
  <c r="C1683" i="1"/>
  <c r="V1682" i="1"/>
  <c r="Q1682" i="1"/>
  <c r="P1682" i="1"/>
  <c r="O1682" i="1"/>
  <c r="N1682" i="1"/>
  <c r="J1682" i="1"/>
  <c r="I1682" i="1"/>
  <c r="H1682" i="1"/>
  <c r="G1682" i="1"/>
  <c r="F1682" i="1"/>
  <c r="E1682" i="1"/>
  <c r="D1682" i="1"/>
  <c r="C1682" i="1"/>
  <c r="V1681" i="1"/>
  <c r="Q1681" i="1"/>
  <c r="P1681" i="1"/>
  <c r="O1681" i="1"/>
  <c r="N1681" i="1"/>
  <c r="J1681" i="1"/>
  <c r="I1681" i="1"/>
  <c r="H1681" i="1"/>
  <c r="G1681" i="1"/>
  <c r="F1681" i="1"/>
  <c r="E1681" i="1"/>
  <c r="D1681" i="1"/>
  <c r="C1681" i="1"/>
  <c r="V1680" i="1"/>
  <c r="Q1680" i="1"/>
  <c r="P1680" i="1"/>
  <c r="O1680" i="1"/>
  <c r="N1680" i="1"/>
  <c r="J1680" i="1"/>
  <c r="I1680" i="1"/>
  <c r="H1680" i="1"/>
  <c r="G1680" i="1"/>
  <c r="F1680" i="1"/>
  <c r="E1680" i="1"/>
  <c r="D1680" i="1"/>
  <c r="C1680" i="1"/>
  <c r="V1679" i="1"/>
  <c r="Q1679" i="1"/>
  <c r="P1679" i="1"/>
  <c r="O1679" i="1"/>
  <c r="N1679" i="1"/>
  <c r="J1679" i="1"/>
  <c r="I1679" i="1"/>
  <c r="H1679" i="1"/>
  <c r="G1679" i="1"/>
  <c r="F1679" i="1"/>
  <c r="E1679" i="1"/>
  <c r="D1679" i="1"/>
  <c r="C1679" i="1"/>
  <c r="V1678" i="1"/>
  <c r="Q1678" i="1"/>
  <c r="P1678" i="1"/>
  <c r="O1678" i="1"/>
  <c r="N1678" i="1"/>
  <c r="J1678" i="1"/>
  <c r="I1678" i="1"/>
  <c r="H1678" i="1"/>
  <c r="G1678" i="1"/>
  <c r="F1678" i="1"/>
  <c r="E1678" i="1"/>
  <c r="D1678" i="1"/>
  <c r="C1678" i="1"/>
  <c r="V1677" i="1"/>
  <c r="Q1677" i="1"/>
  <c r="P1677" i="1"/>
  <c r="O1677" i="1"/>
  <c r="N1677" i="1"/>
  <c r="J1677" i="1"/>
  <c r="I1677" i="1"/>
  <c r="H1677" i="1"/>
  <c r="G1677" i="1"/>
  <c r="F1677" i="1"/>
  <c r="E1677" i="1"/>
  <c r="D1677" i="1"/>
  <c r="C1677" i="1"/>
  <c r="V1676" i="1"/>
  <c r="Q1676" i="1"/>
  <c r="P1676" i="1"/>
  <c r="O1676" i="1"/>
  <c r="N1676" i="1"/>
  <c r="J1676" i="1"/>
  <c r="I1676" i="1"/>
  <c r="H1676" i="1"/>
  <c r="G1676" i="1"/>
  <c r="F1676" i="1"/>
  <c r="E1676" i="1"/>
  <c r="D1676" i="1"/>
  <c r="C1676" i="1"/>
  <c r="V1675" i="1"/>
  <c r="Q1675" i="1"/>
  <c r="P1675" i="1"/>
  <c r="O1675" i="1"/>
  <c r="N1675" i="1"/>
  <c r="J1675" i="1"/>
  <c r="I1675" i="1"/>
  <c r="H1675" i="1"/>
  <c r="G1675" i="1"/>
  <c r="F1675" i="1"/>
  <c r="E1675" i="1"/>
  <c r="D1675" i="1"/>
  <c r="C1675" i="1"/>
  <c r="V1674" i="1"/>
  <c r="Q1674" i="1"/>
  <c r="P1674" i="1"/>
  <c r="O1674" i="1"/>
  <c r="N1674" i="1"/>
  <c r="J1674" i="1"/>
  <c r="I1674" i="1"/>
  <c r="H1674" i="1"/>
  <c r="G1674" i="1"/>
  <c r="F1674" i="1"/>
  <c r="E1674" i="1"/>
  <c r="D1674" i="1"/>
  <c r="C1674" i="1"/>
  <c r="V1673" i="1"/>
  <c r="Q1673" i="1"/>
  <c r="P1673" i="1"/>
  <c r="O1673" i="1"/>
  <c r="N1673" i="1"/>
  <c r="J1673" i="1"/>
  <c r="I1673" i="1"/>
  <c r="H1673" i="1"/>
  <c r="G1673" i="1"/>
  <c r="F1673" i="1"/>
  <c r="E1673" i="1"/>
  <c r="D1673" i="1"/>
  <c r="C1673" i="1"/>
  <c r="V1672" i="1"/>
  <c r="Q1672" i="1"/>
  <c r="P1672" i="1"/>
  <c r="O1672" i="1"/>
  <c r="N1672" i="1"/>
  <c r="J1672" i="1"/>
  <c r="I1672" i="1"/>
  <c r="H1672" i="1"/>
  <c r="G1672" i="1"/>
  <c r="F1672" i="1"/>
  <c r="E1672" i="1"/>
  <c r="D1672" i="1"/>
  <c r="C1672" i="1"/>
  <c r="V1671" i="1"/>
  <c r="Q1671" i="1"/>
  <c r="P1671" i="1"/>
  <c r="O1671" i="1"/>
  <c r="N1671" i="1"/>
  <c r="J1671" i="1"/>
  <c r="I1671" i="1"/>
  <c r="H1671" i="1"/>
  <c r="G1671" i="1"/>
  <c r="F1671" i="1"/>
  <c r="E1671" i="1"/>
  <c r="D1671" i="1"/>
  <c r="C1671" i="1"/>
  <c r="V1670" i="1"/>
  <c r="Q1670" i="1"/>
  <c r="P1670" i="1"/>
  <c r="O1670" i="1"/>
  <c r="N1670" i="1"/>
  <c r="J1670" i="1"/>
  <c r="I1670" i="1"/>
  <c r="H1670" i="1"/>
  <c r="G1670" i="1"/>
  <c r="F1670" i="1"/>
  <c r="E1670" i="1"/>
  <c r="D1670" i="1"/>
  <c r="C1670" i="1"/>
  <c r="V1669" i="1"/>
  <c r="Q1669" i="1"/>
  <c r="P1669" i="1"/>
  <c r="O1669" i="1"/>
  <c r="N1669" i="1"/>
  <c r="J1669" i="1"/>
  <c r="I1669" i="1"/>
  <c r="H1669" i="1"/>
  <c r="G1669" i="1"/>
  <c r="F1669" i="1"/>
  <c r="E1669" i="1"/>
  <c r="D1669" i="1"/>
  <c r="C1669" i="1"/>
  <c r="V1668" i="1"/>
  <c r="Q1668" i="1"/>
  <c r="P1668" i="1"/>
  <c r="O1668" i="1"/>
  <c r="N1668" i="1"/>
  <c r="J1668" i="1"/>
  <c r="I1668" i="1"/>
  <c r="H1668" i="1"/>
  <c r="G1668" i="1"/>
  <c r="F1668" i="1"/>
  <c r="E1668" i="1"/>
  <c r="D1668" i="1"/>
  <c r="C1668" i="1"/>
  <c r="V1667" i="1"/>
  <c r="Q1667" i="1"/>
  <c r="P1667" i="1"/>
  <c r="O1667" i="1"/>
  <c r="N1667" i="1"/>
  <c r="J1667" i="1"/>
  <c r="I1667" i="1"/>
  <c r="H1667" i="1"/>
  <c r="G1667" i="1"/>
  <c r="F1667" i="1"/>
  <c r="E1667" i="1"/>
  <c r="D1667" i="1"/>
  <c r="C1667" i="1"/>
  <c r="V1666" i="1"/>
  <c r="Q1666" i="1"/>
  <c r="P1666" i="1"/>
  <c r="O1666" i="1"/>
  <c r="N1666" i="1"/>
  <c r="J1666" i="1"/>
  <c r="I1666" i="1"/>
  <c r="H1666" i="1"/>
  <c r="G1666" i="1"/>
  <c r="F1666" i="1"/>
  <c r="E1666" i="1"/>
  <c r="D1666" i="1"/>
  <c r="C1666" i="1"/>
  <c r="V1665" i="1"/>
  <c r="Q1665" i="1"/>
  <c r="P1665" i="1"/>
  <c r="O1665" i="1"/>
  <c r="N1665" i="1"/>
  <c r="J1665" i="1"/>
  <c r="I1665" i="1"/>
  <c r="H1665" i="1"/>
  <c r="G1665" i="1"/>
  <c r="F1665" i="1"/>
  <c r="E1665" i="1"/>
  <c r="D1665" i="1"/>
  <c r="C1665" i="1"/>
  <c r="V1664" i="1"/>
  <c r="Q1664" i="1"/>
  <c r="P1664" i="1"/>
  <c r="O1664" i="1"/>
  <c r="N1664" i="1"/>
  <c r="J1664" i="1"/>
  <c r="I1664" i="1"/>
  <c r="H1664" i="1"/>
  <c r="G1664" i="1"/>
  <c r="F1664" i="1"/>
  <c r="E1664" i="1"/>
  <c r="D1664" i="1"/>
  <c r="C1664" i="1"/>
  <c r="V1663" i="1"/>
  <c r="Q1663" i="1"/>
  <c r="P1663" i="1"/>
  <c r="O1663" i="1"/>
  <c r="N1663" i="1"/>
  <c r="J1663" i="1"/>
  <c r="I1663" i="1"/>
  <c r="H1663" i="1"/>
  <c r="G1663" i="1"/>
  <c r="F1663" i="1"/>
  <c r="E1663" i="1"/>
  <c r="D1663" i="1"/>
  <c r="C1663" i="1"/>
  <c r="V1662" i="1"/>
  <c r="Q1662" i="1"/>
  <c r="P1662" i="1"/>
  <c r="O1662" i="1"/>
  <c r="N1662" i="1"/>
  <c r="J1662" i="1"/>
  <c r="I1662" i="1"/>
  <c r="H1662" i="1"/>
  <c r="G1662" i="1"/>
  <c r="F1662" i="1"/>
  <c r="E1662" i="1"/>
  <c r="D1662" i="1"/>
  <c r="C1662" i="1"/>
  <c r="V1661" i="1"/>
  <c r="Q1661" i="1"/>
  <c r="P1661" i="1"/>
  <c r="O1661" i="1"/>
  <c r="N1661" i="1"/>
  <c r="J1661" i="1"/>
  <c r="I1661" i="1"/>
  <c r="H1661" i="1"/>
  <c r="G1661" i="1"/>
  <c r="F1661" i="1"/>
  <c r="E1661" i="1"/>
  <c r="D1661" i="1"/>
  <c r="C1661" i="1"/>
  <c r="V1660" i="1"/>
  <c r="Q1660" i="1"/>
  <c r="P1660" i="1"/>
  <c r="O1660" i="1"/>
  <c r="N1660" i="1"/>
  <c r="J1660" i="1"/>
  <c r="I1660" i="1"/>
  <c r="H1660" i="1"/>
  <c r="G1660" i="1"/>
  <c r="F1660" i="1"/>
  <c r="E1660" i="1"/>
  <c r="D1660" i="1"/>
  <c r="C1660" i="1"/>
  <c r="V1659" i="1"/>
  <c r="Q1659" i="1"/>
  <c r="P1659" i="1"/>
  <c r="O1659" i="1"/>
  <c r="N1659" i="1"/>
  <c r="J1659" i="1"/>
  <c r="I1659" i="1"/>
  <c r="H1659" i="1"/>
  <c r="G1659" i="1"/>
  <c r="F1659" i="1"/>
  <c r="E1659" i="1"/>
  <c r="D1659" i="1"/>
  <c r="C1659" i="1"/>
  <c r="V1658" i="1"/>
  <c r="Q1658" i="1"/>
  <c r="P1658" i="1"/>
  <c r="O1658" i="1"/>
  <c r="N1658" i="1"/>
  <c r="J1658" i="1"/>
  <c r="I1658" i="1"/>
  <c r="H1658" i="1"/>
  <c r="G1658" i="1"/>
  <c r="F1658" i="1"/>
  <c r="E1658" i="1"/>
  <c r="D1658" i="1"/>
  <c r="C1658" i="1"/>
  <c r="V1657" i="1"/>
  <c r="Q1657" i="1"/>
  <c r="P1657" i="1"/>
  <c r="O1657" i="1"/>
  <c r="N1657" i="1"/>
  <c r="J1657" i="1"/>
  <c r="I1657" i="1"/>
  <c r="H1657" i="1"/>
  <c r="G1657" i="1"/>
  <c r="F1657" i="1"/>
  <c r="E1657" i="1"/>
  <c r="D1657" i="1"/>
  <c r="C1657" i="1"/>
  <c r="V1656" i="1"/>
  <c r="Q1656" i="1"/>
  <c r="P1656" i="1"/>
  <c r="O1656" i="1"/>
  <c r="N1656" i="1"/>
  <c r="J1656" i="1"/>
  <c r="I1656" i="1"/>
  <c r="H1656" i="1"/>
  <c r="G1656" i="1"/>
  <c r="F1656" i="1"/>
  <c r="E1656" i="1"/>
  <c r="D1656" i="1"/>
  <c r="C1656" i="1"/>
  <c r="V1655" i="1"/>
  <c r="Q1655" i="1"/>
  <c r="P1655" i="1"/>
  <c r="O1655" i="1"/>
  <c r="N1655" i="1"/>
  <c r="J1655" i="1"/>
  <c r="I1655" i="1"/>
  <c r="H1655" i="1"/>
  <c r="G1655" i="1"/>
  <c r="F1655" i="1"/>
  <c r="E1655" i="1"/>
  <c r="D1655" i="1"/>
  <c r="C1655" i="1"/>
  <c r="V1654" i="1"/>
  <c r="Q1654" i="1"/>
  <c r="P1654" i="1"/>
  <c r="O1654" i="1"/>
  <c r="N1654" i="1"/>
  <c r="J1654" i="1"/>
  <c r="I1654" i="1"/>
  <c r="H1654" i="1"/>
  <c r="G1654" i="1"/>
  <c r="F1654" i="1"/>
  <c r="E1654" i="1"/>
  <c r="D1654" i="1"/>
  <c r="C1654" i="1"/>
  <c r="V1653" i="1"/>
  <c r="Q1653" i="1"/>
  <c r="P1653" i="1"/>
  <c r="O1653" i="1"/>
  <c r="N1653" i="1"/>
  <c r="J1653" i="1"/>
  <c r="I1653" i="1"/>
  <c r="H1653" i="1"/>
  <c r="G1653" i="1"/>
  <c r="F1653" i="1"/>
  <c r="E1653" i="1"/>
  <c r="D1653" i="1"/>
  <c r="C1653" i="1"/>
  <c r="V1652" i="1"/>
  <c r="Q1652" i="1"/>
  <c r="P1652" i="1"/>
  <c r="O1652" i="1"/>
  <c r="N1652" i="1"/>
  <c r="J1652" i="1"/>
  <c r="I1652" i="1"/>
  <c r="H1652" i="1"/>
  <c r="G1652" i="1"/>
  <c r="F1652" i="1"/>
  <c r="E1652" i="1"/>
  <c r="D1652" i="1"/>
  <c r="C1652" i="1"/>
  <c r="V1651" i="1"/>
  <c r="Q1651" i="1"/>
  <c r="P1651" i="1"/>
  <c r="O1651" i="1"/>
  <c r="N1651" i="1"/>
  <c r="J1651" i="1"/>
  <c r="I1651" i="1"/>
  <c r="H1651" i="1"/>
  <c r="G1651" i="1"/>
  <c r="F1651" i="1"/>
  <c r="E1651" i="1"/>
  <c r="D1651" i="1"/>
  <c r="C1651" i="1"/>
  <c r="V1650" i="1"/>
  <c r="Q1650" i="1"/>
  <c r="P1650" i="1"/>
  <c r="O1650" i="1"/>
  <c r="N1650" i="1"/>
  <c r="J1650" i="1"/>
  <c r="I1650" i="1"/>
  <c r="H1650" i="1"/>
  <c r="G1650" i="1"/>
  <c r="F1650" i="1"/>
  <c r="E1650" i="1"/>
  <c r="D1650" i="1"/>
  <c r="C1650" i="1"/>
  <c r="V1649" i="1"/>
  <c r="Q1649" i="1"/>
  <c r="P1649" i="1"/>
  <c r="O1649" i="1"/>
  <c r="N1649" i="1"/>
  <c r="J1649" i="1"/>
  <c r="I1649" i="1"/>
  <c r="H1649" i="1"/>
  <c r="G1649" i="1"/>
  <c r="F1649" i="1"/>
  <c r="E1649" i="1"/>
  <c r="D1649" i="1"/>
  <c r="C1649" i="1"/>
  <c r="V1648" i="1"/>
  <c r="Q1648" i="1"/>
  <c r="P1648" i="1"/>
  <c r="O1648" i="1"/>
  <c r="N1648" i="1"/>
  <c r="J1648" i="1"/>
  <c r="I1648" i="1"/>
  <c r="H1648" i="1"/>
  <c r="G1648" i="1"/>
  <c r="F1648" i="1"/>
  <c r="E1648" i="1"/>
  <c r="D1648" i="1"/>
  <c r="C1648" i="1"/>
  <c r="V1647" i="1"/>
  <c r="Q1647" i="1"/>
  <c r="P1647" i="1"/>
  <c r="O1647" i="1"/>
  <c r="N1647" i="1"/>
  <c r="J1647" i="1"/>
  <c r="I1647" i="1"/>
  <c r="H1647" i="1"/>
  <c r="G1647" i="1"/>
  <c r="F1647" i="1"/>
  <c r="E1647" i="1"/>
  <c r="D1647" i="1"/>
  <c r="C1647" i="1"/>
  <c r="V1646" i="1"/>
  <c r="Q1646" i="1"/>
  <c r="P1646" i="1"/>
  <c r="O1646" i="1"/>
  <c r="N1646" i="1"/>
  <c r="J1646" i="1"/>
  <c r="I1646" i="1"/>
  <c r="H1646" i="1"/>
  <c r="G1646" i="1"/>
  <c r="F1646" i="1"/>
  <c r="E1646" i="1"/>
  <c r="D1646" i="1"/>
  <c r="C1646" i="1"/>
  <c r="V1645" i="1"/>
  <c r="Q1645" i="1"/>
  <c r="P1645" i="1"/>
  <c r="O1645" i="1"/>
  <c r="N1645" i="1"/>
  <c r="J1645" i="1"/>
  <c r="I1645" i="1"/>
  <c r="H1645" i="1"/>
  <c r="G1645" i="1"/>
  <c r="F1645" i="1"/>
  <c r="E1645" i="1"/>
  <c r="D1645" i="1"/>
  <c r="C1645" i="1"/>
  <c r="V1644" i="1"/>
  <c r="Q1644" i="1"/>
  <c r="P1644" i="1"/>
  <c r="O1644" i="1"/>
  <c r="N1644" i="1"/>
  <c r="J1644" i="1"/>
  <c r="I1644" i="1"/>
  <c r="H1644" i="1"/>
  <c r="G1644" i="1"/>
  <c r="F1644" i="1"/>
  <c r="E1644" i="1"/>
  <c r="D1644" i="1"/>
  <c r="C1644" i="1"/>
  <c r="V1643" i="1"/>
  <c r="Q1643" i="1"/>
  <c r="P1643" i="1"/>
  <c r="O1643" i="1"/>
  <c r="N1643" i="1"/>
  <c r="J1643" i="1"/>
  <c r="I1643" i="1"/>
  <c r="H1643" i="1"/>
  <c r="G1643" i="1"/>
  <c r="F1643" i="1"/>
  <c r="E1643" i="1"/>
  <c r="D1643" i="1"/>
  <c r="C1643" i="1"/>
  <c r="V1642" i="1"/>
  <c r="Q1642" i="1"/>
  <c r="P1642" i="1"/>
  <c r="O1642" i="1"/>
  <c r="N1642" i="1"/>
  <c r="J1642" i="1"/>
  <c r="I1642" i="1"/>
  <c r="H1642" i="1"/>
  <c r="G1642" i="1"/>
  <c r="F1642" i="1"/>
  <c r="E1642" i="1"/>
  <c r="D1642" i="1"/>
  <c r="C1642" i="1"/>
  <c r="V1641" i="1"/>
  <c r="Q1641" i="1"/>
  <c r="P1641" i="1"/>
  <c r="O1641" i="1"/>
  <c r="N1641" i="1"/>
  <c r="J1641" i="1"/>
  <c r="I1641" i="1"/>
  <c r="H1641" i="1"/>
  <c r="G1641" i="1"/>
  <c r="F1641" i="1"/>
  <c r="E1641" i="1"/>
  <c r="D1641" i="1"/>
  <c r="C1641" i="1"/>
  <c r="V1640" i="1"/>
  <c r="Q1640" i="1"/>
  <c r="P1640" i="1"/>
  <c r="O1640" i="1"/>
  <c r="N1640" i="1"/>
  <c r="J1640" i="1"/>
  <c r="I1640" i="1"/>
  <c r="H1640" i="1"/>
  <c r="G1640" i="1"/>
  <c r="F1640" i="1"/>
  <c r="E1640" i="1"/>
  <c r="D1640" i="1"/>
  <c r="C1640" i="1"/>
  <c r="V1639" i="1"/>
  <c r="Q1639" i="1"/>
  <c r="P1639" i="1"/>
  <c r="O1639" i="1"/>
  <c r="N1639" i="1"/>
  <c r="J1639" i="1"/>
  <c r="I1639" i="1"/>
  <c r="H1639" i="1"/>
  <c r="G1639" i="1"/>
  <c r="F1639" i="1"/>
  <c r="E1639" i="1"/>
  <c r="D1639" i="1"/>
  <c r="C1639" i="1"/>
  <c r="V1638" i="1"/>
  <c r="Q1638" i="1"/>
  <c r="P1638" i="1"/>
  <c r="O1638" i="1"/>
  <c r="N1638" i="1"/>
  <c r="J1638" i="1"/>
  <c r="I1638" i="1"/>
  <c r="H1638" i="1"/>
  <c r="G1638" i="1"/>
  <c r="F1638" i="1"/>
  <c r="E1638" i="1"/>
  <c r="D1638" i="1"/>
  <c r="C1638" i="1"/>
  <c r="V1637" i="1"/>
  <c r="Q1637" i="1"/>
  <c r="P1637" i="1"/>
  <c r="O1637" i="1"/>
  <c r="N1637" i="1"/>
  <c r="J1637" i="1"/>
  <c r="I1637" i="1"/>
  <c r="H1637" i="1"/>
  <c r="G1637" i="1"/>
  <c r="F1637" i="1"/>
  <c r="E1637" i="1"/>
  <c r="D1637" i="1"/>
  <c r="C1637" i="1"/>
  <c r="V1636" i="1"/>
  <c r="Q1636" i="1"/>
  <c r="P1636" i="1"/>
  <c r="O1636" i="1"/>
  <c r="N1636" i="1"/>
  <c r="J1636" i="1"/>
  <c r="I1636" i="1"/>
  <c r="H1636" i="1"/>
  <c r="G1636" i="1"/>
  <c r="F1636" i="1"/>
  <c r="E1636" i="1"/>
  <c r="D1636" i="1"/>
  <c r="C1636" i="1"/>
  <c r="V1635" i="1"/>
  <c r="Q1635" i="1"/>
  <c r="P1635" i="1"/>
  <c r="O1635" i="1"/>
  <c r="N1635" i="1"/>
  <c r="J1635" i="1"/>
  <c r="I1635" i="1"/>
  <c r="H1635" i="1"/>
  <c r="G1635" i="1"/>
  <c r="F1635" i="1"/>
  <c r="E1635" i="1"/>
  <c r="D1635" i="1"/>
  <c r="C1635" i="1"/>
  <c r="V1634" i="1"/>
  <c r="Q1634" i="1"/>
  <c r="P1634" i="1"/>
  <c r="O1634" i="1"/>
  <c r="N1634" i="1"/>
  <c r="J1634" i="1"/>
  <c r="I1634" i="1"/>
  <c r="H1634" i="1"/>
  <c r="G1634" i="1"/>
  <c r="F1634" i="1"/>
  <c r="E1634" i="1"/>
  <c r="D1634" i="1"/>
  <c r="C1634" i="1"/>
  <c r="V1633" i="1"/>
  <c r="Q1633" i="1"/>
  <c r="P1633" i="1"/>
  <c r="O1633" i="1"/>
  <c r="N1633" i="1"/>
  <c r="J1633" i="1"/>
  <c r="I1633" i="1"/>
  <c r="H1633" i="1"/>
  <c r="G1633" i="1"/>
  <c r="F1633" i="1"/>
  <c r="E1633" i="1"/>
  <c r="D1633" i="1"/>
  <c r="C1633" i="1"/>
  <c r="V1632" i="1"/>
  <c r="Q1632" i="1"/>
  <c r="P1632" i="1"/>
  <c r="O1632" i="1"/>
  <c r="N1632" i="1"/>
  <c r="J1632" i="1"/>
  <c r="I1632" i="1"/>
  <c r="H1632" i="1"/>
  <c r="G1632" i="1"/>
  <c r="F1632" i="1"/>
  <c r="E1632" i="1"/>
  <c r="D1632" i="1"/>
  <c r="C1632" i="1"/>
  <c r="V1631" i="1"/>
  <c r="Q1631" i="1"/>
  <c r="P1631" i="1"/>
  <c r="O1631" i="1"/>
  <c r="N1631" i="1"/>
  <c r="J1631" i="1"/>
  <c r="I1631" i="1"/>
  <c r="H1631" i="1"/>
  <c r="G1631" i="1"/>
  <c r="F1631" i="1"/>
  <c r="E1631" i="1"/>
  <c r="D1631" i="1"/>
  <c r="C1631" i="1"/>
  <c r="V1630" i="1"/>
  <c r="Q1630" i="1"/>
  <c r="P1630" i="1"/>
  <c r="O1630" i="1"/>
  <c r="N1630" i="1"/>
  <c r="J1630" i="1"/>
  <c r="I1630" i="1"/>
  <c r="H1630" i="1"/>
  <c r="G1630" i="1"/>
  <c r="F1630" i="1"/>
  <c r="E1630" i="1"/>
  <c r="D1630" i="1"/>
  <c r="C1630" i="1"/>
  <c r="V1629" i="1"/>
  <c r="Q1629" i="1"/>
  <c r="P1629" i="1"/>
  <c r="O1629" i="1"/>
  <c r="N1629" i="1"/>
  <c r="J1629" i="1"/>
  <c r="I1629" i="1"/>
  <c r="H1629" i="1"/>
  <c r="G1629" i="1"/>
  <c r="F1629" i="1"/>
  <c r="E1629" i="1"/>
  <c r="D1629" i="1"/>
  <c r="C1629" i="1"/>
  <c r="V1628" i="1"/>
  <c r="Q1628" i="1"/>
  <c r="P1628" i="1"/>
  <c r="O1628" i="1"/>
  <c r="N1628" i="1"/>
  <c r="J1628" i="1"/>
  <c r="I1628" i="1"/>
  <c r="H1628" i="1"/>
  <c r="G1628" i="1"/>
  <c r="F1628" i="1"/>
  <c r="E1628" i="1"/>
  <c r="D1628" i="1"/>
  <c r="C1628" i="1"/>
  <c r="V1627" i="1"/>
  <c r="Q1627" i="1"/>
  <c r="P1627" i="1"/>
  <c r="O1627" i="1"/>
  <c r="N1627" i="1"/>
  <c r="J1627" i="1"/>
  <c r="I1627" i="1"/>
  <c r="H1627" i="1"/>
  <c r="G1627" i="1"/>
  <c r="F1627" i="1"/>
  <c r="E1627" i="1"/>
  <c r="D1627" i="1"/>
  <c r="C1627" i="1"/>
  <c r="V1626" i="1"/>
  <c r="Q1626" i="1"/>
  <c r="P1626" i="1"/>
  <c r="O1626" i="1"/>
  <c r="N1626" i="1"/>
  <c r="J1626" i="1"/>
  <c r="I1626" i="1"/>
  <c r="H1626" i="1"/>
  <c r="G1626" i="1"/>
  <c r="F1626" i="1"/>
  <c r="E1626" i="1"/>
  <c r="D1626" i="1"/>
  <c r="C1626" i="1"/>
  <c r="V1625" i="1"/>
  <c r="Q1625" i="1"/>
  <c r="P1625" i="1"/>
  <c r="O1625" i="1"/>
  <c r="N1625" i="1"/>
  <c r="J1625" i="1"/>
  <c r="I1625" i="1"/>
  <c r="H1625" i="1"/>
  <c r="G1625" i="1"/>
  <c r="F1625" i="1"/>
  <c r="E1625" i="1"/>
  <c r="D1625" i="1"/>
  <c r="C1625" i="1"/>
  <c r="V1624" i="1"/>
  <c r="Q1624" i="1"/>
  <c r="P1624" i="1"/>
  <c r="O1624" i="1"/>
  <c r="N1624" i="1"/>
  <c r="J1624" i="1"/>
  <c r="I1624" i="1"/>
  <c r="H1624" i="1"/>
  <c r="G1624" i="1"/>
  <c r="F1624" i="1"/>
  <c r="E1624" i="1"/>
  <c r="D1624" i="1"/>
  <c r="C1624" i="1"/>
  <c r="V1623" i="1"/>
  <c r="Q1623" i="1"/>
  <c r="P1623" i="1"/>
  <c r="O1623" i="1"/>
  <c r="N1623" i="1"/>
  <c r="J1623" i="1"/>
  <c r="I1623" i="1"/>
  <c r="H1623" i="1"/>
  <c r="G1623" i="1"/>
  <c r="F1623" i="1"/>
  <c r="E1623" i="1"/>
  <c r="D1623" i="1"/>
  <c r="C1623" i="1"/>
  <c r="V1622" i="1"/>
  <c r="Q1622" i="1"/>
  <c r="P1622" i="1"/>
  <c r="O1622" i="1"/>
  <c r="N1622" i="1"/>
  <c r="J1622" i="1"/>
  <c r="I1622" i="1"/>
  <c r="H1622" i="1"/>
  <c r="G1622" i="1"/>
  <c r="F1622" i="1"/>
  <c r="E1622" i="1"/>
  <c r="D1622" i="1"/>
  <c r="C1622" i="1"/>
  <c r="V1621" i="1"/>
  <c r="Q1621" i="1"/>
  <c r="P1621" i="1"/>
  <c r="O1621" i="1"/>
  <c r="N1621" i="1"/>
  <c r="J1621" i="1"/>
  <c r="I1621" i="1"/>
  <c r="H1621" i="1"/>
  <c r="G1621" i="1"/>
  <c r="F1621" i="1"/>
  <c r="E1621" i="1"/>
  <c r="D1621" i="1"/>
  <c r="C1621" i="1"/>
  <c r="V1620" i="1"/>
  <c r="Q1620" i="1"/>
  <c r="P1620" i="1"/>
  <c r="O1620" i="1"/>
  <c r="N1620" i="1"/>
  <c r="J1620" i="1"/>
  <c r="I1620" i="1"/>
  <c r="H1620" i="1"/>
  <c r="G1620" i="1"/>
  <c r="F1620" i="1"/>
  <c r="E1620" i="1"/>
  <c r="D1620" i="1"/>
  <c r="C1620" i="1"/>
  <c r="V1619" i="1"/>
  <c r="Q1619" i="1"/>
  <c r="P1619" i="1"/>
  <c r="O1619" i="1"/>
  <c r="N1619" i="1"/>
  <c r="J1619" i="1"/>
  <c r="I1619" i="1"/>
  <c r="H1619" i="1"/>
  <c r="G1619" i="1"/>
  <c r="F1619" i="1"/>
  <c r="E1619" i="1"/>
  <c r="D1619" i="1"/>
  <c r="C1619" i="1"/>
  <c r="V1618" i="1"/>
  <c r="Q1618" i="1"/>
  <c r="P1618" i="1"/>
  <c r="O1618" i="1"/>
  <c r="N1618" i="1"/>
  <c r="J1618" i="1"/>
  <c r="I1618" i="1"/>
  <c r="H1618" i="1"/>
  <c r="G1618" i="1"/>
  <c r="F1618" i="1"/>
  <c r="E1618" i="1"/>
  <c r="D1618" i="1"/>
  <c r="C1618" i="1"/>
  <c r="V1617" i="1"/>
  <c r="Q1617" i="1"/>
  <c r="P1617" i="1"/>
  <c r="O1617" i="1"/>
  <c r="N1617" i="1"/>
  <c r="J1617" i="1"/>
  <c r="I1617" i="1"/>
  <c r="H1617" i="1"/>
  <c r="G1617" i="1"/>
  <c r="F1617" i="1"/>
  <c r="E1617" i="1"/>
  <c r="D1617" i="1"/>
  <c r="C1617" i="1"/>
  <c r="V1616" i="1"/>
  <c r="Q1616" i="1"/>
  <c r="P1616" i="1"/>
  <c r="O1616" i="1"/>
  <c r="N1616" i="1"/>
  <c r="J1616" i="1"/>
  <c r="I1616" i="1"/>
  <c r="H1616" i="1"/>
  <c r="G1616" i="1"/>
  <c r="F1616" i="1"/>
  <c r="E1616" i="1"/>
  <c r="D1616" i="1"/>
  <c r="C1616" i="1"/>
  <c r="V1615" i="1"/>
  <c r="Q1615" i="1"/>
  <c r="P1615" i="1"/>
  <c r="O1615" i="1"/>
  <c r="N1615" i="1"/>
  <c r="J1615" i="1"/>
  <c r="I1615" i="1"/>
  <c r="H1615" i="1"/>
  <c r="G1615" i="1"/>
  <c r="F1615" i="1"/>
  <c r="E1615" i="1"/>
  <c r="D1615" i="1"/>
  <c r="C1615" i="1"/>
  <c r="V1614" i="1"/>
  <c r="Q1614" i="1"/>
  <c r="P1614" i="1"/>
  <c r="O1614" i="1"/>
  <c r="N1614" i="1"/>
  <c r="J1614" i="1"/>
  <c r="I1614" i="1"/>
  <c r="H1614" i="1"/>
  <c r="G1614" i="1"/>
  <c r="F1614" i="1"/>
  <c r="E1614" i="1"/>
  <c r="D1614" i="1"/>
  <c r="C1614" i="1"/>
  <c r="V1613" i="1"/>
  <c r="Q1613" i="1"/>
  <c r="P1613" i="1"/>
  <c r="O1613" i="1"/>
  <c r="N1613" i="1"/>
  <c r="J1613" i="1"/>
  <c r="I1613" i="1"/>
  <c r="H1613" i="1"/>
  <c r="G1613" i="1"/>
  <c r="F1613" i="1"/>
  <c r="E1613" i="1"/>
  <c r="D1613" i="1"/>
  <c r="C1613" i="1"/>
  <c r="V1612" i="1"/>
  <c r="Q1612" i="1"/>
  <c r="P1612" i="1"/>
  <c r="O1612" i="1"/>
  <c r="N1612" i="1"/>
  <c r="J1612" i="1"/>
  <c r="I1612" i="1"/>
  <c r="H1612" i="1"/>
  <c r="G1612" i="1"/>
  <c r="F1612" i="1"/>
  <c r="E1612" i="1"/>
  <c r="D1612" i="1"/>
  <c r="C1612" i="1"/>
  <c r="V1611" i="1"/>
  <c r="Q1611" i="1"/>
  <c r="P1611" i="1"/>
  <c r="O1611" i="1"/>
  <c r="N1611" i="1"/>
  <c r="J1611" i="1"/>
  <c r="I1611" i="1"/>
  <c r="H1611" i="1"/>
  <c r="G1611" i="1"/>
  <c r="F1611" i="1"/>
  <c r="E1611" i="1"/>
  <c r="D1611" i="1"/>
  <c r="C1611" i="1"/>
  <c r="V1610" i="1"/>
  <c r="Q1610" i="1"/>
  <c r="P1610" i="1"/>
  <c r="O1610" i="1"/>
  <c r="N1610" i="1"/>
  <c r="J1610" i="1"/>
  <c r="I1610" i="1"/>
  <c r="H1610" i="1"/>
  <c r="G1610" i="1"/>
  <c r="F1610" i="1"/>
  <c r="E1610" i="1"/>
  <c r="D1610" i="1"/>
  <c r="C1610" i="1"/>
  <c r="V1609" i="1"/>
  <c r="Q1609" i="1"/>
  <c r="P1609" i="1"/>
  <c r="O1609" i="1"/>
  <c r="N1609" i="1"/>
  <c r="J1609" i="1"/>
  <c r="I1609" i="1"/>
  <c r="H1609" i="1"/>
  <c r="G1609" i="1"/>
  <c r="F1609" i="1"/>
  <c r="E1609" i="1"/>
  <c r="D1609" i="1"/>
  <c r="C1609" i="1"/>
  <c r="V1608" i="1"/>
  <c r="Q1608" i="1"/>
  <c r="P1608" i="1"/>
  <c r="O1608" i="1"/>
  <c r="N1608" i="1"/>
  <c r="J1608" i="1"/>
  <c r="I1608" i="1"/>
  <c r="H1608" i="1"/>
  <c r="G1608" i="1"/>
  <c r="F1608" i="1"/>
  <c r="E1608" i="1"/>
  <c r="D1608" i="1"/>
  <c r="C1608" i="1"/>
  <c r="V1607" i="1"/>
  <c r="Q1607" i="1"/>
  <c r="P1607" i="1"/>
  <c r="O1607" i="1"/>
  <c r="N1607" i="1"/>
  <c r="J1607" i="1"/>
  <c r="I1607" i="1"/>
  <c r="H1607" i="1"/>
  <c r="G1607" i="1"/>
  <c r="F1607" i="1"/>
  <c r="E1607" i="1"/>
  <c r="D1607" i="1"/>
  <c r="C1607" i="1"/>
  <c r="V1606" i="1"/>
  <c r="Q1606" i="1"/>
  <c r="P1606" i="1"/>
  <c r="O1606" i="1"/>
  <c r="N1606" i="1"/>
  <c r="J1606" i="1"/>
  <c r="I1606" i="1"/>
  <c r="H1606" i="1"/>
  <c r="G1606" i="1"/>
  <c r="F1606" i="1"/>
  <c r="E1606" i="1"/>
  <c r="D1606" i="1"/>
  <c r="C1606" i="1"/>
  <c r="V1605" i="1"/>
  <c r="Q1605" i="1"/>
  <c r="P1605" i="1"/>
  <c r="O1605" i="1"/>
  <c r="N1605" i="1"/>
  <c r="J1605" i="1"/>
  <c r="I1605" i="1"/>
  <c r="H1605" i="1"/>
  <c r="G1605" i="1"/>
  <c r="F1605" i="1"/>
  <c r="E1605" i="1"/>
  <c r="D1605" i="1"/>
  <c r="C1605" i="1"/>
  <c r="V1604" i="1"/>
  <c r="Q1604" i="1"/>
  <c r="P1604" i="1"/>
  <c r="O1604" i="1"/>
  <c r="N1604" i="1"/>
  <c r="J1604" i="1"/>
  <c r="I1604" i="1"/>
  <c r="H1604" i="1"/>
  <c r="G1604" i="1"/>
  <c r="F1604" i="1"/>
  <c r="E1604" i="1"/>
  <c r="D1604" i="1"/>
  <c r="C1604" i="1"/>
  <c r="V1603" i="1"/>
  <c r="Q1603" i="1"/>
  <c r="P1603" i="1"/>
  <c r="O1603" i="1"/>
  <c r="N1603" i="1"/>
  <c r="J1603" i="1"/>
  <c r="I1603" i="1"/>
  <c r="H1603" i="1"/>
  <c r="G1603" i="1"/>
  <c r="F1603" i="1"/>
  <c r="E1603" i="1"/>
  <c r="D1603" i="1"/>
  <c r="C1603" i="1"/>
  <c r="V1602" i="1"/>
  <c r="Q1602" i="1"/>
  <c r="P1602" i="1"/>
  <c r="O1602" i="1"/>
  <c r="N1602" i="1"/>
  <c r="J1602" i="1"/>
  <c r="I1602" i="1"/>
  <c r="H1602" i="1"/>
  <c r="G1602" i="1"/>
  <c r="F1602" i="1"/>
  <c r="E1602" i="1"/>
  <c r="D1602" i="1"/>
  <c r="C1602" i="1"/>
  <c r="V1601" i="1"/>
  <c r="Q1601" i="1"/>
  <c r="P1601" i="1"/>
  <c r="O1601" i="1"/>
  <c r="N1601" i="1"/>
  <c r="J1601" i="1"/>
  <c r="I1601" i="1"/>
  <c r="H1601" i="1"/>
  <c r="G1601" i="1"/>
  <c r="F1601" i="1"/>
  <c r="E1601" i="1"/>
  <c r="D1601" i="1"/>
  <c r="C1601" i="1"/>
  <c r="V1600" i="1"/>
  <c r="Q1600" i="1"/>
  <c r="P1600" i="1"/>
  <c r="O1600" i="1"/>
  <c r="N1600" i="1"/>
  <c r="J1600" i="1"/>
  <c r="I1600" i="1"/>
  <c r="H1600" i="1"/>
  <c r="G1600" i="1"/>
  <c r="F1600" i="1"/>
  <c r="E1600" i="1"/>
  <c r="D1600" i="1"/>
  <c r="C1600" i="1"/>
  <c r="V1599" i="1"/>
  <c r="Q1599" i="1"/>
  <c r="P1599" i="1"/>
  <c r="O1599" i="1"/>
  <c r="N1599" i="1"/>
  <c r="J1599" i="1"/>
  <c r="I1599" i="1"/>
  <c r="H1599" i="1"/>
  <c r="G1599" i="1"/>
  <c r="F1599" i="1"/>
  <c r="E1599" i="1"/>
  <c r="D1599" i="1"/>
  <c r="C1599" i="1"/>
  <c r="V1598" i="1"/>
  <c r="Q1598" i="1"/>
  <c r="P1598" i="1"/>
  <c r="O1598" i="1"/>
  <c r="N1598" i="1"/>
  <c r="J1598" i="1"/>
  <c r="I1598" i="1"/>
  <c r="H1598" i="1"/>
  <c r="G1598" i="1"/>
  <c r="F1598" i="1"/>
  <c r="E1598" i="1"/>
  <c r="D1598" i="1"/>
  <c r="C1598" i="1"/>
  <c r="V1597" i="1"/>
  <c r="Q1597" i="1"/>
  <c r="P1597" i="1"/>
  <c r="O1597" i="1"/>
  <c r="N1597" i="1"/>
  <c r="J1597" i="1"/>
  <c r="I1597" i="1"/>
  <c r="H1597" i="1"/>
  <c r="G1597" i="1"/>
  <c r="F1597" i="1"/>
  <c r="E1597" i="1"/>
  <c r="D1597" i="1"/>
  <c r="C1597" i="1"/>
  <c r="V1596" i="1"/>
  <c r="Q1596" i="1"/>
  <c r="P1596" i="1"/>
  <c r="O1596" i="1"/>
  <c r="N1596" i="1"/>
  <c r="J1596" i="1"/>
  <c r="I1596" i="1"/>
  <c r="H1596" i="1"/>
  <c r="G1596" i="1"/>
  <c r="F1596" i="1"/>
  <c r="E1596" i="1"/>
  <c r="D1596" i="1"/>
  <c r="C1596" i="1"/>
  <c r="V1595" i="1"/>
  <c r="Q1595" i="1"/>
  <c r="P1595" i="1"/>
  <c r="O1595" i="1"/>
  <c r="N1595" i="1"/>
  <c r="J1595" i="1"/>
  <c r="I1595" i="1"/>
  <c r="H1595" i="1"/>
  <c r="G1595" i="1"/>
  <c r="F1595" i="1"/>
  <c r="E1595" i="1"/>
  <c r="D1595" i="1"/>
  <c r="C1595" i="1"/>
  <c r="V1594" i="1"/>
  <c r="Q1594" i="1"/>
  <c r="P1594" i="1"/>
  <c r="O1594" i="1"/>
  <c r="N1594" i="1"/>
  <c r="J1594" i="1"/>
  <c r="I1594" i="1"/>
  <c r="H1594" i="1"/>
  <c r="G1594" i="1"/>
  <c r="F1594" i="1"/>
  <c r="E1594" i="1"/>
  <c r="D1594" i="1"/>
  <c r="C1594" i="1"/>
  <c r="V1593" i="1"/>
  <c r="Q1593" i="1"/>
  <c r="P1593" i="1"/>
  <c r="O1593" i="1"/>
  <c r="N1593" i="1"/>
  <c r="J1593" i="1"/>
  <c r="I1593" i="1"/>
  <c r="H1593" i="1"/>
  <c r="G1593" i="1"/>
  <c r="F1593" i="1"/>
  <c r="E1593" i="1"/>
  <c r="D1593" i="1"/>
  <c r="C1593" i="1"/>
  <c r="V1592" i="1"/>
  <c r="Q1592" i="1"/>
  <c r="P1592" i="1"/>
  <c r="O1592" i="1"/>
  <c r="N1592" i="1"/>
  <c r="J1592" i="1"/>
  <c r="I1592" i="1"/>
  <c r="H1592" i="1"/>
  <c r="G1592" i="1"/>
  <c r="F1592" i="1"/>
  <c r="E1592" i="1"/>
  <c r="D1592" i="1"/>
  <c r="C1592" i="1"/>
  <c r="V1591" i="1"/>
  <c r="Q1591" i="1"/>
  <c r="P1591" i="1"/>
  <c r="O1591" i="1"/>
  <c r="N1591" i="1"/>
  <c r="J1591" i="1"/>
  <c r="I1591" i="1"/>
  <c r="H1591" i="1"/>
  <c r="G1591" i="1"/>
  <c r="F1591" i="1"/>
  <c r="E1591" i="1"/>
  <c r="D1591" i="1"/>
  <c r="C1591" i="1"/>
  <c r="V1590" i="1"/>
  <c r="Q1590" i="1"/>
  <c r="P1590" i="1"/>
  <c r="O1590" i="1"/>
  <c r="N1590" i="1"/>
  <c r="J1590" i="1"/>
  <c r="I1590" i="1"/>
  <c r="H1590" i="1"/>
  <c r="G1590" i="1"/>
  <c r="F1590" i="1"/>
  <c r="E1590" i="1"/>
  <c r="D1590" i="1"/>
  <c r="C1590" i="1"/>
  <c r="V1589" i="1"/>
  <c r="Q1589" i="1"/>
  <c r="P1589" i="1"/>
  <c r="O1589" i="1"/>
  <c r="N1589" i="1"/>
  <c r="J1589" i="1"/>
  <c r="I1589" i="1"/>
  <c r="H1589" i="1"/>
  <c r="G1589" i="1"/>
  <c r="F1589" i="1"/>
  <c r="E1589" i="1"/>
  <c r="D1589" i="1"/>
  <c r="C1589" i="1"/>
  <c r="V1588" i="1"/>
  <c r="Q1588" i="1"/>
  <c r="P1588" i="1"/>
  <c r="O1588" i="1"/>
  <c r="N1588" i="1"/>
  <c r="J1588" i="1"/>
  <c r="I1588" i="1"/>
  <c r="H1588" i="1"/>
  <c r="G1588" i="1"/>
  <c r="F1588" i="1"/>
  <c r="E1588" i="1"/>
  <c r="D1588" i="1"/>
  <c r="C1588" i="1"/>
  <c r="V1587" i="1"/>
  <c r="Q1587" i="1"/>
  <c r="P1587" i="1"/>
  <c r="O1587" i="1"/>
  <c r="N1587" i="1"/>
  <c r="J1587" i="1"/>
  <c r="I1587" i="1"/>
  <c r="H1587" i="1"/>
  <c r="G1587" i="1"/>
  <c r="F1587" i="1"/>
  <c r="E1587" i="1"/>
  <c r="D1587" i="1"/>
  <c r="C1587" i="1"/>
  <c r="V1586" i="1"/>
  <c r="Q1586" i="1"/>
  <c r="P1586" i="1"/>
  <c r="O1586" i="1"/>
  <c r="N1586" i="1"/>
  <c r="J1586" i="1"/>
  <c r="I1586" i="1"/>
  <c r="H1586" i="1"/>
  <c r="G1586" i="1"/>
  <c r="F1586" i="1"/>
  <c r="E1586" i="1"/>
  <c r="D1586" i="1"/>
  <c r="C1586" i="1"/>
  <c r="V1585" i="1"/>
  <c r="Q1585" i="1"/>
  <c r="P1585" i="1"/>
  <c r="O1585" i="1"/>
  <c r="N1585" i="1"/>
  <c r="J1585" i="1"/>
  <c r="I1585" i="1"/>
  <c r="H1585" i="1"/>
  <c r="G1585" i="1"/>
  <c r="F1585" i="1"/>
  <c r="E1585" i="1"/>
  <c r="D1585" i="1"/>
  <c r="C1585" i="1"/>
  <c r="V1584" i="1"/>
  <c r="Q1584" i="1"/>
  <c r="P1584" i="1"/>
  <c r="O1584" i="1"/>
  <c r="N1584" i="1"/>
  <c r="J1584" i="1"/>
  <c r="I1584" i="1"/>
  <c r="H1584" i="1"/>
  <c r="G1584" i="1"/>
  <c r="F1584" i="1"/>
  <c r="E1584" i="1"/>
  <c r="D1584" i="1"/>
  <c r="C1584" i="1"/>
  <c r="V1583" i="1"/>
  <c r="Q1583" i="1"/>
  <c r="P1583" i="1"/>
  <c r="O1583" i="1"/>
  <c r="N1583" i="1"/>
  <c r="J1583" i="1"/>
  <c r="I1583" i="1"/>
  <c r="H1583" i="1"/>
  <c r="G1583" i="1"/>
  <c r="F1583" i="1"/>
  <c r="E1583" i="1"/>
  <c r="D1583" i="1"/>
  <c r="C1583" i="1"/>
  <c r="V1582" i="1"/>
  <c r="Q1582" i="1"/>
  <c r="P1582" i="1"/>
  <c r="O1582" i="1"/>
  <c r="N1582" i="1"/>
  <c r="J1582" i="1"/>
  <c r="I1582" i="1"/>
  <c r="H1582" i="1"/>
  <c r="G1582" i="1"/>
  <c r="F1582" i="1"/>
  <c r="E1582" i="1"/>
  <c r="D1582" i="1"/>
  <c r="C1582" i="1"/>
  <c r="V1581" i="1"/>
  <c r="Q1581" i="1"/>
  <c r="P1581" i="1"/>
  <c r="O1581" i="1"/>
  <c r="N1581" i="1"/>
  <c r="J1581" i="1"/>
  <c r="I1581" i="1"/>
  <c r="H1581" i="1"/>
  <c r="G1581" i="1"/>
  <c r="F1581" i="1"/>
  <c r="E1581" i="1"/>
  <c r="D1581" i="1"/>
  <c r="C1581" i="1"/>
  <c r="V1580" i="1"/>
  <c r="Q1580" i="1"/>
  <c r="P1580" i="1"/>
  <c r="O1580" i="1"/>
  <c r="N1580" i="1"/>
  <c r="J1580" i="1"/>
  <c r="I1580" i="1"/>
  <c r="H1580" i="1"/>
  <c r="G1580" i="1"/>
  <c r="F1580" i="1"/>
  <c r="E1580" i="1"/>
  <c r="D1580" i="1"/>
  <c r="C1580" i="1"/>
  <c r="V1579" i="1"/>
  <c r="Q1579" i="1"/>
  <c r="P1579" i="1"/>
  <c r="O1579" i="1"/>
  <c r="N1579" i="1"/>
  <c r="J1579" i="1"/>
  <c r="I1579" i="1"/>
  <c r="H1579" i="1"/>
  <c r="G1579" i="1"/>
  <c r="F1579" i="1"/>
  <c r="E1579" i="1"/>
  <c r="D1579" i="1"/>
  <c r="C1579" i="1"/>
  <c r="V1578" i="1"/>
  <c r="Q1578" i="1"/>
  <c r="P1578" i="1"/>
  <c r="O1578" i="1"/>
  <c r="N1578" i="1"/>
  <c r="J1578" i="1"/>
  <c r="I1578" i="1"/>
  <c r="H1578" i="1"/>
  <c r="G1578" i="1"/>
  <c r="F1578" i="1"/>
  <c r="E1578" i="1"/>
  <c r="D1578" i="1"/>
  <c r="C1578" i="1"/>
  <c r="V1577" i="1"/>
  <c r="Q1577" i="1"/>
  <c r="P1577" i="1"/>
  <c r="O1577" i="1"/>
  <c r="N1577" i="1"/>
  <c r="J1577" i="1"/>
  <c r="I1577" i="1"/>
  <c r="H1577" i="1"/>
  <c r="G1577" i="1"/>
  <c r="F1577" i="1"/>
  <c r="E1577" i="1"/>
  <c r="D1577" i="1"/>
  <c r="C1577" i="1"/>
  <c r="V1576" i="1"/>
  <c r="Q1576" i="1"/>
  <c r="P1576" i="1"/>
  <c r="O1576" i="1"/>
  <c r="N1576" i="1"/>
  <c r="J1576" i="1"/>
  <c r="I1576" i="1"/>
  <c r="H1576" i="1"/>
  <c r="G1576" i="1"/>
  <c r="F1576" i="1"/>
  <c r="E1576" i="1"/>
  <c r="D1576" i="1"/>
  <c r="C1576" i="1"/>
  <c r="V1575" i="1"/>
  <c r="Q1575" i="1"/>
  <c r="P1575" i="1"/>
  <c r="O1575" i="1"/>
  <c r="N1575" i="1"/>
  <c r="J1575" i="1"/>
  <c r="I1575" i="1"/>
  <c r="H1575" i="1"/>
  <c r="G1575" i="1"/>
  <c r="F1575" i="1"/>
  <c r="E1575" i="1"/>
  <c r="D1575" i="1"/>
  <c r="C1575" i="1"/>
  <c r="V1574" i="1"/>
  <c r="Q1574" i="1"/>
  <c r="P1574" i="1"/>
  <c r="O1574" i="1"/>
  <c r="N1574" i="1"/>
  <c r="J1574" i="1"/>
  <c r="I1574" i="1"/>
  <c r="H1574" i="1"/>
  <c r="G1574" i="1"/>
  <c r="F1574" i="1"/>
  <c r="E1574" i="1"/>
  <c r="D1574" i="1"/>
  <c r="C1574" i="1"/>
  <c r="V1573" i="1"/>
  <c r="Q1573" i="1"/>
  <c r="P1573" i="1"/>
  <c r="O1573" i="1"/>
  <c r="N1573" i="1"/>
  <c r="J1573" i="1"/>
  <c r="I1573" i="1"/>
  <c r="H1573" i="1"/>
  <c r="G1573" i="1"/>
  <c r="F1573" i="1"/>
  <c r="E1573" i="1"/>
  <c r="D1573" i="1"/>
  <c r="C1573" i="1"/>
  <c r="V1572" i="1"/>
  <c r="Q1572" i="1"/>
  <c r="P1572" i="1"/>
  <c r="O1572" i="1"/>
  <c r="N1572" i="1"/>
  <c r="J1572" i="1"/>
  <c r="I1572" i="1"/>
  <c r="H1572" i="1"/>
  <c r="G1572" i="1"/>
  <c r="F1572" i="1"/>
  <c r="E1572" i="1"/>
  <c r="D1572" i="1"/>
  <c r="C1572" i="1"/>
  <c r="V1571" i="1"/>
  <c r="Q1571" i="1"/>
  <c r="P1571" i="1"/>
  <c r="O1571" i="1"/>
  <c r="N1571" i="1"/>
  <c r="J1571" i="1"/>
  <c r="I1571" i="1"/>
  <c r="H1571" i="1"/>
  <c r="G1571" i="1"/>
  <c r="F1571" i="1"/>
  <c r="E1571" i="1"/>
  <c r="D1571" i="1"/>
  <c r="C1571" i="1"/>
  <c r="V1570" i="1"/>
  <c r="Q1570" i="1"/>
  <c r="P1570" i="1"/>
  <c r="O1570" i="1"/>
  <c r="N1570" i="1"/>
  <c r="J1570" i="1"/>
  <c r="I1570" i="1"/>
  <c r="H1570" i="1"/>
  <c r="G1570" i="1"/>
  <c r="F1570" i="1"/>
  <c r="E1570" i="1"/>
  <c r="D1570" i="1"/>
  <c r="C1570" i="1"/>
  <c r="V1569" i="1"/>
  <c r="Q1569" i="1"/>
  <c r="P1569" i="1"/>
  <c r="O1569" i="1"/>
  <c r="N1569" i="1"/>
  <c r="J1569" i="1"/>
  <c r="I1569" i="1"/>
  <c r="H1569" i="1"/>
  <c r="G1569" i="1"/>
  <c r="F1569" i="1"/>
  <c r="E1569" i="1"/>
  <c r="D1569" i="1"/>
  <c r="C1569" i="1"/>
  <c r="V1568" i="1"/>
  <c r="Q1568" i="1"/>
  <c r="P1568" i="1"/>
  <c r="O1568" i="1"/>
  <c r="N1568" i="1"/>
  <c r="J1568" i="1"/>
  <c r="I1568" i="1"/>
  <c r="H1568" i="1"/>
  <c r="G1568" i="1"/>
  <c r="F1568" i="1"/>
  <c r="E1568" i="1"/>
  <c r="D1568" i="1"/>
  <c r="C1568" i="1"/>
  <c r="V1567" i="1"/>
  <c r="Q1567" i="1"/>
  <c r="P1567" i="1"/>
  <c r="O1567" i="1"/>
  <c r="N1567" i="1"/>
  <c r="J1567" i="1"/>
  <c r="I1567" i="1"/>
  <c r="H1567" i="1"/>
  <c r="G1567" i="1"/>
  <c r="F1567" i="1"/>
  <c r="E1567" i="1"/>
  <c r="D1567" i="1"/>
  <c r="C1567" i="1"/>
  <c r="V1566" i="1"/>
  <c r="Q1566" i="1"/>
  <c r="P1566" i="1"/>
  <c r="O1566" i="1"/>
  <c r="N1566" i="1"/>
  <c r="J1566" i="1"/>
  <c r="I1566" i="1"/>
  <c r="H1566" i="1"/>
  <c r="G1566" i="1"/>
  <c r="F1566" i="1"/>
  <c r="E1566" i="1"/>
  <c r="D1566" i="1"/>
  <c r="C1566" i="1"/>
  <c r="V1565" i="1"/>
  <c r="Q1565" i="1"/>
  <c r="P1565" i="1"/>
  <c r="O1565" i="1"/>
  <c r="N1565" i="1"/>
  <c r="J1565" i="1"/>
  <c r="I1565" i="1"/>
  <c r="H1565" i="1"/>
  <c r="G1565" i="1"/>
  <c r="F1565" i="1"/>
  <c r="E1565" i="1"/>
  <c r="D1565" i="1"/>
  <c r="C1565" i="1"/>
  <c r="V1564" i="1"/>
  <c r="Q1564" i="1"/>
  <c r="P1564" i="1"/>
  <c r="O1564" i="1"/>
  <c r="N1564" i="1"/>
  <c r="J1564" i="1"/>
  <c r="I1564" i="1"/>
  <c r="H1564" i="1"/>
  <c r="G1564" i="1"/>
  <c r="F1564" i="1"/>
  <c r="E1564" i="1"/>
  <c r="D1564" i="1"/>
  <c r="C1564" i="1"/>
  <c r="V1563" i="1"/>
  <c r="Q1563" i="1"/>
  <c r="P1563" i="1"/>
  <c r="O1563" i="1"/>
  <c r="N1563" i="1"/>
  <c r="J1563" i="1"/>
  <c r="I1563" i="1"/>
  <c r="H1563" i="1"/>
  <c r="G1563" i="1"/>
  <c r="F1563" i="1"/>
  <c r="E1563" i="1"/>
  <c r="D1563" i="1"/>
  <c r="C1563" i="1"/>
  <c r="V1562" i="1"/>
  <c r="Q1562" i="1"/>
  <c r="P1562" i="1"/>
  <c r="O1562" i="1"/>
  <c r="N1562" i="1"/>
  <c r="J1562" i="1"/>
  <c r="I1562" i="1"/>
  <c r="H1562" i="1"/>
  <c r="G1562" i="1"/>
  <c r="F1562" i="1"/>
  <c r="E1562" i="1"/>
  <c r="D1562" i="1"/>
  <c r="C1562" i="1"/>
  <c r="V1561" i="1"/>
  <c r="Q1561" i="1"/>
  <c r="P1561" i="1"/>
  <c r="O1561" i="1"/>
  <c r="N1561" i="1"/>
  <c r="J1561" i="1"/>
  <c r="I1561" i="1"/>
  <c r="H1561" i="1"/>
  <c r="G1561" i="1"/>
  <c r="F1561" i="1"/>
  <c r="E1561" i="1"/>
  <c r="D1561" i="1"/>
  <c r="C1561" i="1"/>
  <c r="V1560" i="1"/>
  <c r="Q1560" i="1"/>
  <c r="P1560" i="1"/>
  <c r="O1560" i="1"/>
  <c r="N1560" i="1"/>
  <c r="J1560" i="1"/>
  <c r="I1560" i="1"/>
  <c r="H1560" i="1"/>
  <c r="G1560" i="1"/>
  <c r="F1560" i="1"/>
  <c r="E1560" i="1"/>
  <c r="D1560" i="1"/>
  <c r="C1560" i="1"/>
  <c r="V1559" i="1"/>
  <c r="Q1559" i="1"/>
  <c r="P1559" i="1"/>
  <c r="O1559" i="1"/>
  <c r="N1559" i="1"/>
  <c r="J1559" i="1"/>
  <c r="I1559" i="1"/>
  <c r="H1559" i="1"/>
  <c r="G1559" i="1"/>
  <c r="F1559" i="1"/>
  <c r="E1559" i="1"/>
  <c r="D1559" i="1"/>
  <c r="C1559" i="1"/>
  <c r="V1558" i="1"/>
  <c r="Q1558" i="1"/>
  <c r="P1558" i="1"/>
  <c r="O1558" i="1"/>
  <c r="N1558" i="1"/>
  <c r="J1558" i="1"/>
  <c r="I1558" i="1"/>
  <c r="H1558" i="1"/>
  <c r="G1558" i="1"/>
  <c r="F1558" i="1"/>
  <c r="E1558" i="1"/>
  <c r="D1558" i="1"/>
  <c r="C1558" i="1"/>
  <c r="V1557" i="1"/>
  <c r="Q1557" i="1"/>
  <c r="P1557" i="1"/>
  <c r="O1557" i="1"/>
  <c r="N1557" i="1"/>
  <c r="J1557" i="1"/>
  <c r="I1557" i="1"/>
  <c r="H1557" i="1"/>
  <c r="G1557" i="1"/>
  <c r="F1557" i="1"/>
  <c r="E1557" i="1"/>
  <c r="D1557" i="1"/>
  <c r="C1557" i="1"/>
  <c r="V1556" i="1"/>
  <c r="Q1556" i="1"/>
  <c r="P1556" i="1"/>
  <c r="O1556" i="1"/>
  <c r="N1556" i="1"/>
  <c r="J1556" i="1"/>
  <c r="I1556" i="1"/>
  <c r="H1556" i="1"/>
  <c r="G1556" i="1"/>
  <c r="F1556" i="1"/>
  <c r="E1556" i="1"/>
  <c r="D1556" i="1"/>
  <c r="C1556" i="1"/>
  <c r="V1555" i="1"/>
  <c r="Q1555" i="1"/>
  <c r="P1555" i="1"/>
  <c r="O1555" i="1"/>
  <c r="N1555" i="1"/>
  <c r="J1555" i="1"/>
  <c r="I1555" i="1"/>
  <c r="H1555" i="1"/>
  <c r="G1555" i="1"/>
  <c r="F1555" i="1"/>
  <c r="E1555" i="1"/>
  <c r="D1555" i="1"/>
  <c r="C1555" i="1"/>
  <c r="V1554" i="1"/>
  <c r="Q1554" i="1"/>
  <c r="P1554" i="1"/>
  <c r="O1554" i="1"/>
  <c r="N1554" i="1"/>
  <c r="J1554" i="1"/>
  <c r="I1554" i="1"/>
  <c r="H1554" i="1"/>
  <c r="G1554" i="1"/>
  <c r="F1554" i="1"/>
  <c r="E1554" i="1"/>
  <c r="D1554" i="1"/>
  <c r="C1554" i="1"/>
  <c r="V1553" i="1"/>
  <c r="Q1553" i="1"/>
  <c r="P1553" i="1"/>
  <c r="O1553" i="1"/>
  <c r="N1553" i="1"/>
  <c r="J1553" i="1"/>
  <c r="I1553" i="1"/>
  <c r="H1553" i="1"/>
  <c r="G1553" i="1"/>
  <c r="F1553" i="1"/>
  <c r="E1553" i="1"/>
  <c r="D1553" i="1"/>
  <c r="C1553" i="1"/>
  <c r="V1552" i="1"/>
  <c r="Q1552" i="1"/>
  <c r="P1552" i="1"/>
  <c r="O1552" i="1"/>
  <c r="N1552" i="1"/>
  <c r="J1552" i="1"/>
  <c r="I1552" i="1"/>
  <c r="H1552" i="1"/>
  <c r="G1552" i="1"/>
  <c r="F1552" i="1"/>
  <c r="E1552" i="1"/>
  <c r="D1552" i="1"/>
  <c r="C1552" i="1"/>
  <c r="V1551" i="1"/>
  <c r="Q1551" i="1"/>
  <c r="P1551" i="1"/>
  <c r="O1551" i="1"/>
  <c r="N1551" i="1"/>
  <c r="J1551" i="1"/>
  <c r="I1551" i="1"/>
  <c r="H1551" i="1"/>
  <c r="G1551" i="1"/>
  <c r="F1551" i="1"/>
  <c r="E1551" i="1"/>
  <c r="D1551" i="1"/>
  <c r="C1551" i="1"/>
  <c r="V1550" i="1"/>
  <c r="Q1550" i="1"/>
  <c r="P1550" i="1"/>
  <c r="O1550" i="1"/>
  <c r="N1550" i="1"/>
  <c r="J1550" i="1"/>
  <c r="I1550" i="1"/>
  <c r="H1550" i="1"/>
  <c r="G1550" i="1"/>
  <c r="F1550" i="1"/>
  <c r="E1550" i="1"/>
  <c r="D1550" i="1"/>
  <c r="C1550" i="1"/>
  <c r="V1549" i="1"/>
  <c r="Q1549" i="1"/>
  <c r="P1549" i="1"/>
  <c r="O1549" i="1"/>
  <c r="N1549" i="1"/>
  <c r="J1549" i="1"/>
  <c r="I1549" i="1"/>
  <c r="H1549" i="1"/>
  <c r="G1549" i="1"/>
  <c r="F1549" i="1"/>
  <c r="E1549" i="1"/>
  <c r="D1549" i="1"/>
  <c r="C1549" i="1"/>
  <c r="V1548" i="1"/>
  <c r="Q1548" i="1"/>
  <c r="P1548" i="1"/>
  <c r="O1548" i="1"/>
  <c r="N1548" i="1"/>
  <c r="J1548" i="1"/>
  <c r="I1548" i="1"/>
  <c r="H1548" i="1"/>
  <c r="G1548" i="1"/>
  <c r="F1548" i="1"/>
  <c r="E1548" i="1"/>
  <c r="D1548" i="1"/>
  <c r="C1548" i="1"/>
  <c r="V1547" i="1"/>
  <c r="Q1547" i="1"/>
  <c r="P1547" i="1"/>
  <c r="O1547" i="1"/>
  <c r="N1547" i="1"/>
  <c r="J1547" i="1"/>
  <c r="I1547" i="1"/>
  <c r="H1547" i="1"/>
  <c r="G1547" i="1"/>
  <c r="F1547" i="1"/>
  <c r="E1547" i="1"/>
  <c r="D1547" i="1"/>
  <c r="C1547" i="1"/>
  <c r="V1546" i="1"/>
  <c r="Q1546" i="1"/>
  <c r="P1546" i="1"/>
  <c r="O1546" i="1"/>
  <c r="N1546" i="1"/>
  <c r="J1546" i="1"/>
  <c r="I1546" i="1"/>
  <c r="H1546" i="1"/>
  <c r="G1546" i="1"/>
  <c r="F1546" i="1"/>
  <c r="E1546" i="1"/>
  <c r="D1546" i="1"/>
  <c r="C1546" i="1"/>
  <c r="V1545" i="1"/>
  <c r="Q1545" i="1"/>
  <c r="P1545" i="1"/>
  <c r="O1545" i="1"/>
  <c r="N1545" i="1"/>
  <c r="J1545" i="1"/>
  <c r="I1545" i="1"/>
  <c r="H1545" i="1"/>
  <c r="G1545" i="1"/>
  <c r="F1545" i="1"/>
  <c r="E1545" i="1"/>
  <c r="D1545" i="1"/>
  <c r="C1545" i="1"/>
  <c r="V1544" i="1"/>
  <c r="Q1544" i="1"/>
  <c r="P1544" i="1"/>
  <c r="O1544" i="1"/>
  <c r="N1544" i="1"/>
  <c r="J1544" i="1"/>
  <c r="I1544" i="1"/>
  <c r="H1544" i="1"/>
  <c r="G1544" i="1"/>
  <c r="F1544" i="1"/>
  <c r="E1544" i="1"/>
  <c r="D1544" i="1"/>
  <c r="C1544" i="1"/>
  <c r="V1543" i="1"/>
  <c r="Q1543" i="1"/>
  <c r="P1543" i="1"/>
  <c r="O1543" i="1"/>
  <c r="N1543" i="1"/>
  <c r="J1543" i="1"/>
  <c r="I1543" i="1"/>
  <c r="H1543" i="1"/>
  <c r="G1543" i="1"/>
  <c r="F1543" i="1"/>
  <c r="E1543" i="1"/>
  <c r="D1543" i="1"/>
  <c r="C1543" i="1"/>
  <c r="V1542" i="1"/>
  <c r="Q1542" i="1"/>
  <c r="P1542" i="1"/>
  <c r="O1542" i="1"/>
  <c r="N1542" i="1"/>
  <c r="J1542" i="1"/>
  <c r="I1542" i="1"/>
  <c r="H1542" i="1"/>
  <c r="G1542" i="1"/>
  <c r="F1542" i="1"/>
  <c r="E1542" i="1"/>
  <c r="D1542" i="1"/>
  <c r="C1542" i="1"/>
  <c r="V1541" i="1"/>
  <c r="Q1541" i="1"/>
  <c r="P1541" i="1"/>
  <c r="O1541" i="1"/>
  <c r="N1541" i="1"/>
  <c r="J1541" i="1"/>
  <c r="I1541" i="1"/>
  <c r="H1541" i="1"/>
  <c r="G1541" i="1"/>
  <c r="F1541" i="1"/>
  <c r="E1541" i="1"/>
  <c r="D1541" i="1"/>
  <c r="C1541" i="1"/>
  <c r="V1540" i="1"/>
  <c r="Q1540" i="1"/>
  <c r="P1540" i="1"/>
  <c r="O1540" i="1"/>
  <c r="N1540" i="1"/>
  <c r="J1540" i="1"/>
  <c r="I1540" i="1"/>
  <c r="H1540" i="1"/>
  <c r="G1540" i="1"/>
  <c r="F1540" i="1"/>
  <c r="E1540" i="1"/>
  <c r="D1540" i="1"/>
  <c r="C1540" i="1"/>
  <c r="V1539" i="1"/>
  <c r="Q1539" i="1"/>
  <c r="P1539" i="1"/>
  <c r="O1539" i="1"/>
  <c r="N1539" i="1"/>
  <c r="J1539" i="1"/>
  <c r="I1539" i="1"/>
  <c r="H1539" i="1"/>
  <c r="G1539" i="1"/>
  <c r="F1539" i="1"/>
  <c r="E1539" i="1"/>
  <c r="D1539" i="1"/>
  <c r="C1539" i="1"/>
  <c r="V1538" i="1"/>
  <c r="Q1538" i="1"/>
  <c r="P1538" i="1"/>
  <c r="O1538" i="1"/>
  <c r="N1538" i="1"/>
  <c r="J1538" i="1"/>
  <c r="I1538" i="1"/>
  <c r="H1538" i="1"/>
  <c r="G1538" i="1"/>
  <c r="F1538" i="1"/>
  <c r="E1538" i="1"/>
  <c r="D1538" i="1"/>
  <c r="C1538" i="1"/>
  <c r="V1537" i="1"/>
  <c r="Q1537" i="1"/>
  <c r="P1537" i="1"/>
  <c r="O1537" i="1"/>
  <c r="N1537" i="1"/>
  <c r="J1537" i="1"/>
  <c r="I1537" i="1"/>
  <c r="H1537" i="1"/>
  <c r="G1537" i="1"/>
  <c r="F1537" i="1"/>
  <c r="E1537" i="1"/>
  <c r="D1537" i="1"/>
  <c r="C1537" i="1"/>
  <c r="V1536" i="1"/>
  <c r="Q1536" i="1"/>
  <c r="P1536" i="1"/>
  <c r="O1536" i="1"/>
  <c r="N1536" i="1"/>
  <c r="J1536" i="1"/>
  <c r="I1536" i="1"/>
  <c r="H1536" i="1"/>
  <c r="G1536" i="1"/>
  <c r="F1536" i="1"/>
  <c r="E1536" i="1"/>
  <c r="D1536" i="1"/>
  <c r="C1536" i="1"/>
  <c r="V1535" i="1"/>
  <c r="Q1535" i="1"/>
  <c r="P1535" i="1"/>
  <c r="O1535" i="1"/>
  <c r="N1535" i="1"/>
  <c r="J1535" i="1"/>
  <c r="I1535" i="1"/>
  <c r="H1535" i="1"/>
  <c r="G1535" i="1"/>
  <c r="F1535" i="1"/>
  <c r="E1535" i="1"/>
  <c r="D1535" i="1"/>
  <c r="C1535" i="1"/>
  <c r="V1534" i="1"/>
  <c r="Q1534" i="1"/>
  <c r="P1534" i="1"/>
  <c r="O1534" i="1"/>
  <c r="N1534" i="1"/>
  <c r="J1534" i="1"/>
  <c r="I1534" i="1"/>
  <c r="H1534" i="1"/>
  <c r="G1534" i="1"/>
  <c r="F1534" i="1"/>
  <c r="E1534" i="1"/>
  <c r="D1534" i="1"/>
  <c r="C1534" i="1"/>
  <c r="V1533" i="1"/>
  <c r="Q1533" i="1"/>
  <c r="P1533" i="1"/>
  <c r="O1533" i="1"/>
  <c r="N1533" i="1"/>
  <c r="J1533" i="1"/>
  <c r="I1533" i="1"/>
  <c r="H1533" i="1"/>
  <c r="G1533" i="1"/>
  <c r="F1533" i="1"/>
  <c r="E1533" i="1"/>
  <c r="D1533" i="1"/>
  <c r="C1533" i="1"/>
  <c r="V1532" i="1"/>
  <c r="Q1532" i="1"/>
  <c r="P1532" i="1"/>
  <c r="O1532" i="1"/>
  <c r="N1532" i="1"/>
  <c r="J1532" i="1"/>
  <c r="I1532" i="1"/>
  <c r="H1532" i="1"/>
  <c r="G1532" i="1"/>
  <c r="F1532" i="1"/>
  <c r="E1532" i="1"/>
  <c r="D1532" i="1"/>
  <c r="C1532" i="1"/>
  <c r="V1531" i="1"/>
  <c r="Q1531" i="1"/>
  <c r="P1531" i="1"/>
  <c r="O1531" i="1"/>
  <c r="N1531" i="1"/>
  <c r="J1531" i="1"/>
  <c r="I1531" i="1"/>
  <c r="H1531" i="1"/>
  <c r="G1531" i="1"/>
  <c r="F1531" i="1"/>
  <c r="E1531" i="1"/>
  <c r="D1531" i="1"/>
  <c r="C1531" i="1"/>
  <c r="V1530" i="1"/>
  <c r="Q1530" i="1"/>
  <c r="P1530" i="1"/>
  <c r="O1530" i="1"/>
  <c r="N1530" i="1"/>
  <c r="J1530" i="1"/>
  <c r="I1530" i="1"/>
  <c r="H1530" i="1"/>
  <c r="G1530" i="1"/>
  <c r="F1530" i="1"/>
  <c r="E1530" i="1"/>
  <c r="D1530" i="1"/>
  <c r="C1530" i="1"/>
  <c r="V1529" i="1"/>
  <c r="Q1529" i="1"/>
  <c r="P1529" i="1"/>
  <c r="O1529" i="1"/>
  <c r="N1529" i="1"/>
  <c r="J1529" i="1"/>
  <c r="I1529" i="1"/>
  <c r="H1529" i="1"/>
  <c r="G1529" i="1"/>
  <c r="F1529" i="1"/>
  <c r="E1529" i="1"/>
  <c r="D1529" i="1"/>
  <c r="C1529" i="1"/>
  <c r="V1528" i="1"/>
  <c r="Q1528" i="1"/>
  <c r="P1528" i="1"/>
  <c r="O1528" i="1"/>
  <c r="N1528" i="1"/>
  <c r="J1528" i="1"/>
  <c r="I1528" i="1"/>
  <c r="H1528" i="1"/>
  <c r="G1528" i="1"/>
  <c r="F1528" i="1"/>
  <c r="E1528" i="1"/>
  <c r="D1528" i="1"/>
  <c r="C1528" i="1"/>
  <c r="V1527" i="1"/>
  <c r="Q1527" i="1"/>
  <c r="P1527" i="1"/>
  <c r="O1527" i="1"/>
  <c r="N1527" i="1"/>
  <c r="J1527" i="1"/>
  <c r="I1527" i="1"/>
  <c r="H1527" i="1"/>
  <c r="G1527" i="1"/>
  <c r="F1527" i="1"/>
  <c r="E1527" i="1"/>
  <c r="D1527" i="1"/>
  <c r="C1527" i="1"/>
  <c r="V1526" i="1"/>
  <c r="Q1526" i="1"/>
  <c r="P1526" i="1"/>
  <c r="O1526" i="1"/>
  <c r="N1526" i="1"/>
  <c r="J1526" i="1"/>
  <c r="I1526" i="1"/>
  <c r="H1526" i="1"/>
  <c r="G1526" i="1"/>
  <c r="F1526" i="1"/>
  <c r="E1526" i="1"/>
  <c r="D1526" i="1"/>
  <c r="C1526" i="1"/>
  <c r="V1525" i="1"/>
  <c r="Q1525" i="1"/>
  <c r="P1525" i="1"/>
  <c r="O1525" i="1"/>
  <c r="N1525" i="1"/>
  <c r="J1525" i="1"/>
  <c r="I1525" i="1"/>
  <c r="H1525" i="1"/>
  <c r="G1525" i="1"/>
  <c r="F1525" i="1"/>
  <c r="E1525" i="1"/>
  <c r="D1525" i="1"/>
  <c r="C1525" i="1"/>
  <c r="V1524" i="1"/>
  <c r="Q1524" i="1"/>
  <c r="P1524" i="1"/>
  <c r="O1524" i="1"/>
  <c r="N1524" i="1"/>
  <c r="J1524" i="1"/>
  <c r="I1524" i="1"/>
  <c r="H1524" i="1"/>
  <c r="G1524" i="1"/>
  <c r="F1524" i="1"/>
  <c r="E1524" i="1"/>
  <c r="D1524" i="1"/>
  <c r="C1524" i="1"/>
  <c r="V1523" i="1"/>
  <c r="Q1523" i="1"/>
  <c r="P1523" i="1"/>
  <c r="O1523" i="1"/>
  <c r="N1523" i="1"/>
  <c r="J1523" i="1"/>
  <c r="I1523" i="1"/>
  <c r="H1523" i="1"/>
  <c r="G1523" i="1"/>
  <c r="F1523" i="1"/>
  <c r="E1523" i="1"/>
  <c r="D1523" i="1"/>
  <c r="C1523" i="1"/>
  <c r="V1522" i="1"/>
  <c r="Q1522" i="1"/>
  <c r="P1522" i="1"/>
  <c r="O1522" i="1"/>
  <c r="N1522" i="1"/>
  <c r="J1522" i="1"/>
  <c r="I1522" i="1"/>
  <c r="H1522" i="1"/>
  <c r="G1522" i="1"/>
  <c r="F1522" i="1"/>
  <c r="E1522" i="1"/>
  <c r="D1522" i="1"/>
  <c r="C1522" i="1"/>
  <c r="V1521" i="1"/>
  <c r="Q1521" i="1"/>
  <c r="P1521" i="1"/>
  <c r="O1521" i="1"/>
  <c r="N1521" i="1"/>
  <c r="J1521" i="1"/>
  <c r="I1521" i="1"/>
  <c r="H1521" i="1"/>
  <c r="G1521" i="1"/>
  <c r="F1521" i="1"/>
  <c r="E1521" i="1"/>
  <c r="D1521" i="1"/>
  <c r="C1521" i="1"/>
  <c r="V1520" i="1"/>
  <c r="Q1520" i="1"/>
  <c r="P1520" i="1"/>
  <c r="O1520" i="1"/>
  <c r="N1520" i="1"/>
  <c r="J1520" i="1"/>
  <c r="I1520" i="1"/>
  <c r="H1520" i="1"/>
  <c r="G1520" i="1"/>
  <c r="F1520" i="1"/>
  <c r="E1520" i="1"/>
  <c r="D1520" i="1"/>
  <c r="C1520" i="1"/>
  <c r="V1519" i="1"/>
  <c r="Q1519" i="1"/>
  <c r="P1519" i="1"/>
  <c r="O1519" i="1"/>
  <c r="N1519" i="1"/>
  <c r="J1519" i="1"/>
  <c r="I1519" i="1"/>
  <c r="H1519" i="1"/>
  <c r="G1519" i="1"/>
  <c r="F1519" i="1"/>
  <c r="E1519" i="1"/>
  <c r="D1519" i="1"/>
  <c r="C1519" i="1"/>
  <c r="V1518" i="1"/>
  <c r="Q1518" i="1"/>
  <c r="P1518" i="1"/>
  <c r="O1518" i="1"/>
  <c r="N1518" i="1"/>
  <c r="J1518" i="1"/>
  <c r="I1518" i="1"/>
  <c r="H1518" i="1"/>
  <c r="G1518" i="1"/>
  <c r="F1518" i="1"/>
  <c r="E1518" i="1"/>
  <c r="D1518" i="1"/>
  <c r="C1518" i="1"/>
  <c r="V1517" i="1"/>
  <c r="Q1517" i="1"/>
  <c r="P1517" i="1"/>
  <c r="O1517" i="1"/>
  <c r="N1517" i="1"/>
  <c r="J1517" i="1"/>
  <c r="I1517" i="1"/>
  <c r="H1517" i="1"/>
  <c r="G1517" i="1"/>
  <c r="F1517" i="1"/>
  <c r="E1517" i="1"/>
  <c r="D1517" i="1"/>
  <c r="C1517" i="1"/>
  <c r="V1516" i="1"/>
  <c r="Q1516" i="1"/>
  <c r="P1516" i="1"/>
  <c r="O1516" i="1"/>
  <c r="N1516" i="1"/>
  <c r="J1516" i="1"/>
  <c r="I1516" i="1"/>
  <c r="H1516" i="1"/>
  <c r="G1516" i="1"/>
  <c r="F1516" i="1"/>
  <c r="E1516" i="1"/>
  <c r="D1516" i="1"/>
  <c r="C1516" i="1"/>
  <c r="V1515" i="1"/>
  <c r="Q1515" i="1"/>
  <c r="P1515" i="1"/>
  <c r="O1515" i="1"/>
  <c r="N1515" i="1"/>
  <c r="J1515" i="1"/>
  <c r="I1515" i="1"/>
  <c r="H1515" i="1"/>
  <c r="G1515" i="1"/>
  <c r="F1515" i="1"/>
  <c r="E1515" i="1"/>
  <c r="D1515" i="1"/>
  <c r="C1515" i="1"/>
  <c r="V1514" i="1"/>
  <c r="Q1514" i="1"/>
  <c r="P1514" i="1"/>
  <c r="O1514" i="1"/>
  <c r="N1514" i="1"/>
  <c r="J1514" i="1"/>
  <c r="I1514" i="1"/>
  <c r="H1514" i="1"/>
  <c r="G1514" i="1"/>
  <c r="F1514" i="1"/>
  <c r="E1514" i="1"/>
  <c r="D1514" i="1"/>
  <c r="C1514" i="1"/>
  <c r="V1513" i="1"/>
  <c r="Q1513" i="1"/>
  <c r="P1513" i="1"/>
  <c r="O1513" i="1"/>
  <c r="N1513" i="1"/>
  <c r="J1513" i="1"/>
  <c r="I1513" i="1"/>
  <c r="H1513" i="1"/>
  <c r="G1513" i="1"/>
  <c r="F1513" i="1"/>
  <c r="E1513" i="1"/>
  <c r="D1513" i="1"/>
  <c r="C1513" i="1"/>
  <c r="V1512" i="1"/>
  <c r="Q1512" i="1"/>
  <c r="P1512" i="1"/>
  <c r="O1512" i="1"/>
  <c r="N1512" i="1"/>
  <c r="J1512" i="1"/>
  <c r="I1512" i="1"/>
  <c r="H1512" i="1"/>
  <c r="G1512" i="1"/>
  <c r="F1512" i="1"/>
  <c r="E1512" i="1"/>
  <c r="D1512" i="1"/>
  <c r="C1512" i="1"/>
  <c r="V1511" i="1"/>
  <c r="Q1511" i="1"/>
  <c r="P1511" i="1"/>
  <c r="O1511" i="1"/>
  <c r="N1511" i="1"/>
  <c r="J1511" i="1"/>
  <c r="I1511" i="1"/>
  <c r="H1511" i="1"/>
  <c r="G1511" i="1"/>
  <c r="F1511" i="1"/>
  <c r="E1511" i="1"/>
  <c r="D1511" i="1"/>
  <c r="C1511" i="1"/>
  <c r="V1510" i="1"/>
  <c r="Q1510" i="1"/>
  <c r="P1510" i="1"/>
  <c r="O1510" i="1"/>
  <c r="N1510" i="1"/>
  <c r="J1510" i="1"/>
  <c r="I1510" i="1"/>
  <c r="H1510" i="1"/>
  <c r="G1510" i="1"/>
  <c r="F1510" i="1"/>
  <c r="E1510" i="1"/>
  <c r="D1510" i="1"/>
  <c r="C1510" i="1"/>
  <c r="V1509" i="1"/>
  <c r="Q1509" i="1"/>
  <c r="P1509" i="1"/>
  <c r="O1509" i="1"/>
  <c r="N1509" i="1"/>
  <c r="J1509" i="1"/>
  <c r="I1509" i="1"/>
  <c r="H1509" i="1"/>
  <c r="G1509" i="1"/>
  <c r="F1509" i="1"/>
  <c r="E1509" i="1"/>
  <c r="D1509" i="1"/>
  <c r="C1509" i="1"/>
  <c r="V1508" i="1"/>
  <c r="Q1508" i="1"/>
  <c r="P1508" i="1"/>
  <c r="O1508" i="1"/>
  <c r="N1508" i="1"/>
  <c r="J1508" i="1"/>
  <c r="I1508" i="1"/>
  <c r="H1508" i="1"/>
  <c r="G1508" i="1"/>
  <c r="F1508" i="1"/>
  <c r="E1508" i="1"/>
  <c r="D1508" i="1"/>
  <c r="C1508" i="1"/>
  <c r="V1507" i="1"/>
  <c r="Q1507" i="1"/>
  <c r="P1507" i="1"/>
  <c r="O1507" i="1"/>
  <c r="N1507" i="1"/>
  <c r="J1507" i="1"/>
  <c r="I1507" i="1"/>
  <c r="H1507" i="1"/>
  <c r="G1507" i="1"/>
  <c r="F1507" i="1"/>
  <c r="E1507" i="1"/>
  <c r="D1507" i="1"/>
  <c r="C1507" i="1"/>
  <c r="V1506" i="1"/>
  <c r="Q1506" i="1"/>
  <c r="P1506" i="1"/>
  <c r="O1506" i="1"/>
  <c r="N1506" i="1"/>
  <c r="J1506" i="1"/>
  <c r="I1506" i="1"/>
  <c r="H1506" i="1"/>
  <c r="G1506" i="1"/>
  <c r="F1506" i="1"/>
  <c r="E1506" i="1"/>
  <c r="D1506" i="1"/>
  <c r="C1506" i="1"/>
  <c r="V1505" i="1"/>
  <c r="Q1505" i="1"/>
  <c r="P1505" i="1"/>
  <c r="O1505" i="1"/>
  <c r="N1505" i="1"/>
  <c r="J1505" i="1"/>
  <c r="I1505" i="1"/>
  <c r="H1505" i="1"/>
  <c r="G1505" i="1"/>
  <c r="F1505" i="1"/>
  <c r="E1505" i="1"/>
  <c r="D1505" i="1"/>
  <c r="C1505" i="1"/>
  <c r="V1504" i="1"/>
  <c r="Q1504" i="1"/>
  <c r="P1504" i="1"/>
  <c r="O1504" i="1"/>
  <c r="N1504" i="1"/>
  <c r="J1504" i="1"/>
  <c r="I1504" i="1"/>
  <c r="H1504" i="1"/>
  <c r="G1504" i="1"/>
  <c r="F1504" i="1"/>
  <c r="E1504" i="1"/>
  <c r="D1504" i="1"/>
  <c r="C1504" i="1"/>
  <c r="V1503" i="1"/>
  <c r="Q1503" i="1"/>
  <c r="P1503" i="1"/>
  <c r="O1503" i="1"/>
  <c r="N1503" i="1"/>
  <c r="J1503" i="1"/>
  <c r="I1503" i="1"/>
  <c r="H1503" i="1"/>
  <c r="G1503" i="1"/>
  <c r="F1503" i="1"/>
  <c r="E1503" i="1"/>
  <c r="D1503" i="1"/>
  <c r="C1503" i="1"/>
  <c r="V1502" i="1"/>
  <c r="Q1502" i="1"/>
  <c r="P1502" i="1"/>
  <c r="O1502" i="1"/>
  <c r="N1502" i="1"/>
  <c r="J1502" i="1"/>
  <c r="I1502" i="1"/>
  <c r="H1502" i="1"/>
  <c r="G1502" i="1"/>
  <c r="F1502" i="1"/>
  <c r="E1502" i="1"/>
  <c r="D1502" i="1"/>
  <c r="C1502" i="1"/>
  <c r="V1501" i="1"/>
  <c r="Q1501" i="1"/>
  <c r="P1501" i="1"/>
  <c r="O1501" i="1"/>
  <c r="N1501" i="1"/>
  <c r="J1501" i="1"/>
  <c r="I1501" i="1"/>
  <c r="H1501" i="1"/>
  <c r="G1501" i="1"/>
  <c r="F1501" i="1"/>
  <c r="E1501" i="1"/>
  <c r="D1501" i="1"/>
  <c r="C1501" i="1"/>
  <c r="V1500" i="1"/>
  <c r="Q1500" i="1"/>
  <c r="P1500" i="1"/>
  <c r="O1500" i="1"/>
  <c r="N1500" i="1"/>
  <c r="J1500" i="1"/>
  <c r="I1500" i="1"/>
  <c r="H1500" i="1"/>
  <c r="G1500" i="1"/>
  <c r="F1500" i="1"/>
  <c r="E1500" i="1"/>
  <c r="D1500" i="1"/>
  <c r="C1500" i="1"/>
  <c r="V1499" i="1"/>
  <c r="Q1499" i="1"/>
  <c r="P1499" i="1"/>
  <c r="O1499" i="1"/>
  <c r="N1499" i="1"/>
  <c r="J1499" i="1"/>
  <c r="I1499" i="1"/>
  <c r="H1499" i="1"/>
  <c r="G1499" i="1"/>
  <c r="F1499" i="1"/>
  <c r="E1499" i="1"/>
  <c r="D1499" i="1"/>
  <c r="C1499" i="1"/>
  <c r="V1498" i="1"/>
  <c r="Q1498" i="1"/>
  <c r="P1498" i="1"/>
  <c r="O1498" i="1"/>
  <c r="N1498" i="1"/>
  <c r="J1498" i="1"/>
  <c r="I1498" i="1"/>
  <c r="H1498" i="1"/>
  <c r="G1498" i="1"/>
  <c r="F1498" i="1"/>
  <c r="E1498" i="1"/>
  <c r="D1498" i="1"/>
  <c r="C1498" i="1"/>
  <c r="V1497" i="1"/>
  <c r="Q1497" i="1"/>
  <c r="P1497" i="1"/>
  <c r="O1497" i="1"/>
  <c r="N1497" i="1"/>
  <c r="J1497" i="1"/>
  <c r="I1497" i="1"/>
  <c r="H1497" i="1"/>
  <c r="G1497" i="1"/>
  <c r="F1497" i="1"/>
  <c r="E1497" i="1"/>
  <c r="D1497" i="1"/>
  <c r="C1497" i="1"/>
  <c r="V1496" i="1"/>
  <c r="Q1496" i="1"/>
  <c r="P1496" i="1"/>
  <c r="O1496" i="1"/>
  <c r="N1496" i="1"/>
  <c r="J1496" i="1"/>
  <c r="I1496" i="1"/>
  <c r="H1496" i="1"/>
  <c r="G1496" i="1"/>
  <c r="F1496" i="1"/>
  <c r="E1496" i="1"/>
  <c r="D1496" i="1"/>
  <c r="C1496" i="1"/>
  <c r="V1495" i="1"/>
  <c r="Q1495" i="1"/>
  <c r="P1495" i="1"/>
  <c r="O1495" i="1"/>
  <c r="N1495" i="1"/>
  <c r="J1495" i="1"/>
  <c r="I1495" i="1"/>
  <c r="H1495" i="1"/>
  <c r="G1495" i="1"/>
  <c r="F1495" i="1"/>
  <c r="E1495" i="1"/>
  <c r="D1495" i="1"/>
  <c r="C1495" i="1"/>
  <c r="V1494" i="1"/>
  <c r="Q1494" i="1"/>
  <c r="P1494" i="1"/>
  <c r="O1494" i="1"/>
  <c r="N1494" i="1"/>
  <c r="J1494" i="1"/>
  <c r="I1494" i="1"/>
  <c r="H1494" i="1"/>
  <c r="G1494" i="1"/>
  <c r="F1494" i="1"/>
  <c r="E1494" i="1"/>
  <c r="D1494" i="1"/>
  <c r="C1494" i="1"/>
  <c r="V1493" i="1"/>
  <c r="Q1493" i="1"/>
  <c r="P1493" i="1"/>
  <c r="O1493" i="1"/>
  <c r="N1493" i="1"/>
  <c r="J1493" i="1"/>
  <c r="I1493" i="1"/>
  <c r="H1493" i="1"/>
  <c r="G1493" i="1"/>
  <c r="F1493" i="1"/>
  <c r="E1493" i="1"/>
  <c r="D1493" i="1"/>
  <c r="C1493" i="1"/>
  <c r="V1492" i="1"/>
  <c r="Q1492" i="1"/>
  <c r="P1492" i="1"/>
  <c r="O1492" i="1"/>
  <c r="N1492" i="1"/>
  <c r="J1492" i="1"/>
  <c r="I1492" i="1"/>
  <c r="H1492" i="1"/>
  <c r="G1492" i="1"/>
  <c r="F1492" i="1"/>
  <c r="E1492" i="1"/>
  <c r="D1492" i="1"/>
  <c r="C1492" i="1"/>
  <c r="V1491" i="1"/>
  <c r="Q1491" i="1"/>
  <c r="P1491" i="1"/>
  <c r="O1491" i="1"/>
  <c r="N1491" i="1"/>
  <c r="J1491" i="1"/>
  <c r="I1491" i="1"/>
  <c r="H1491" i="1"/>
  <c r="G1491" i="1"/>
  <c r="F1491" i="1"/>
  <c r="E1491" i="1"/>
  <c r="D1491" i="1"/>
  <c r="C1491" i="1"/>
  <c r="V1490" i="1"/>
  <c r="Q1490" i="1"/>
  <c r="P1490" i="1"/>
  <c r="O1490" i="1"/>
  <c r="N1490" i="1"/>
  <c r="J1490" i="1"/>
  <c r="I1490" i="1"/>
  <c r="H1490" i="1"/>
  <c r="G1490" i="1"/>
  <c r="F1490" i="1"/>
  <c r="E1490" i="1"/>
  <c r="D1490" i="1"/>
  <c r="C1490" i="1"/>
  <c r="V1489" i="1"/>
  <c r="Q1489" i="1"/>
  <c r="P1489" i="1"/>
  <c r="O1489" i="1"/>
  <c r="N1489" i="1"/>
  <c r="J1489" i="1"/>
  <c r="I1489" i="1"/>
  <c r="H1489" i="1"/>
  <c r="G1489" i="1"/>
  <c r="F1489" i="1"/>
  <c r="E1489" i="1"/>
  <c r="D1489" i="1"/>
  <c r="C1489" i="1"/>
  <c r="V1488" i="1"/>
  <c r="Q1488" i="1"/>
  <c r="P1488" i="1"/>
  <c r="O1488" i="1"/>
  <c r="N1488" i="1"/>
  <c r="J1488" i="1"/>
  <c r="I1488" i="1"/>
  <c r="H1488" i="1"/>
  <c r="G1488" i="1"/>
  <c r="F1488" i="1"/>
  <c r="E1488" i="1"/>
  <c r="D1488" i="1"/>
  <c r="C1488" i="1"/>
  <c r="V1487" i="1"/>
  <c r="Q1487" i="1"/>
  <c r="P1487" i="1"/>
  <c r="O1487" i="1"/>
  <c r="N1487" i="1"/>
  <c r="J1487" i="1"/>
  <c r="I1487" i="1"/>
  <c r="H1487" i="1"/>
  <c r="G1487" i="1"/>
  <c r="F1487" i="1"/>
  <c r="E1487" i="1"/>
  <c r="D1487" i="1"/>
  <c r="C1487" i="1"/>
  <c r="V1486" i="1"/>
  <c r="Q1486" i="1"/>
  <c r="P1486" i="1"/>
  <c r="O1486" i="1"/>
  <c r="N1486" i="1"/>
  <c r="J1486" i="1"/>
  <c r="I1486" i="1"/>
  <c r="H1486" i="1"/>
  <c r="G1486" i="1"/>
  <c r="F1486" i="1"/>
  <c r="E1486" i="1"/>
  <c r="D1486" i="1"/>
  <c r="C1486" i="1"/>
  <c r="V1485" i="1"/>
  <c r="Q1485" i="1"/>
  <c r="P1485" i="1"/>
  <c r="O1485" i="1"/>
  <c r="N1485" i="1"/>
  <c r="J1485" i="1"/>
  <c r="I1485" i="1"/>
  <c r="H1485" i="1"/>
  <c r="G1485" i="1"/>
  <c r="F1485" i="1"/>
  <c r="E1485" i="1"/>
  <c r="D1485" i="1"/>
  <c r="C1485" i="1"/>
  <c r="V1484" i="1"/>
  <c r="Q1484" i="1"/>
  <c r="P1484" i="1"/>
  <c r="O1484" i="1"/>
  <c r="N1484" i="1"/>
  <c r="J1484" i="1"/>
  <c r="I1484" i="1"/>
  <c r="H1484" i="1"/>
  <c r="G1484" i="1"/>
  <c r="F1484" i="1"/>
  <c r="E1484" i="1"/>
  <c r="D1484" i="1"/>
  <c r="C1484" i="1"/>
  <c r="V1483" i="1"/>
  <c r="Q1483" i="1"/>
  <c r="P1483" i="1"/>
  <c r="O1483" i="1"/>
  <c r="N1483" i="1"/>
  <c r="J1483" i="1"/>
  <c r="I1483" i="1"/>
  <c r="H1483" i="1"/>
  <c r="G1483" i="1"/>
  <c r="F1483" i="1"/>
  <c r="E1483" i="1"/>
  <c r="D1483" i="1"/>
  <c r="C1483" i="1"/>
  <c r="V1482" i="1"/>
  <c r="Q1482" i="1"/>
  <c r="P1482" i="1"/>
  <c r="O1482" i="1"/>
  <c r="N1482" i="1"/>
  <c r="J1482" i="1"/>
  <c r="I1482" i="1"/>
  <c r="H1482" i="1"/>
  <c r="G1482" i="1"/>
  <c r="F1482" i="1"/>
  <c r="E1482" i="1"/>
  <c r="D1482" i="1"/>
  <c r="C1482" i="1"/>
  <c r="V1481" i="1"/>
  <c r="Q1481" i="1"/>
  <c r="P1481" i="1"/>
  <c r="O1481" i="1"/>
  <c r="N1481" i="1"/>
  <c r="J1481" i="1"/>
  <c r="I1481" i="1"/>
  <c r="H1481" i="1"/>
  <c r="G1481" i="1"/>
  <c r="F1481" i="1"/>
  <c r="E1481" i="1"/>
  <c r="D1481" i="1"/>
  <c r="C1481" i="1"/>
  <c r="V1480" i="1"/>
  <c r="Q1480" i="1"/>
  <c r="P1480" i="1"/>
  <c r="O1480" i="1"/>
  <c r="N1480" i="1"/>
  <c r="J1480" i="1"/>
  <c r="I1480" i="1"/>
  <c r="H1480" i="1"/>
  <c r="G1480" i="1"/>
  <c r="F1480" i="1"/>
  <c r="E1480" i="1"/>
  <c r="D1480" i="1"/>
  <c r="C1480" i="1"/>
  <c r="V1479" i="1"/>
  <c r="Q1479" i="1"/>
  <c r="P1479" i="1"/>
  <c r="O1479" i="1"/>
  <c r="N1479" i="1"/>
  <c r="J1479" i="1"/>
  <c r="I1479" i="1"/>
  <c r="H1479" i="1"/>
  <c r="G1479" i="1"/>
  <c r="F1479" i="1"/>
  <c r="E1479" i="1"/>
  <c r="D1479" i="1"/>
  <c r="C1479" i="1"/>
  <c r="V1478" i="1"/>
  <c r="Q1478" i="1"/>
  <c r="P1478" i="1"/>
  <c r="O1478" i="1"/>
  <c r="N1478" i="1"/>
  <c r="J1478" i="1"/>
  <c r="I1478" i="1"/>
  <c r="H1478" i="1"/>
  <c r="G1478" i="1"/>
  <c r="F1478" i="1"/>
  <c r="E1478" i="1"/>
  <c r="D1478" i="1"/>
  <c r="C1478" i="1"/>
  <c r="V1477" i="1"/>
  <c r="Q1477" i="1"/>
  <c r="P1477" i="1"/>
  <c r="O1477" i="1"/>
  <c r="N1477" i="1"/>
  <c r="J1477" i="1"/>
  <c r="I1477" i="1"/>
  <c r="H1477" i="1"/>
  <c r="G1477" i="1"/>
  <c r="F1477" i="1"/>
  <c r="E1477" i="1"/>
  <c r="D1477" i="1"/>
  <c r="C1477" i="1"/>
  <c r="V1476" i="1"/>
  <c r="Q1476" i="1"/>
  <c r="P1476" i="1"/>
  <c r="O1476" i="1"/>
  <c r="N1476" i="1"/>
  <c r="J1476" i="1"/>
  <c r="I1476" i="1"/>
  <c r="H1476" i="1"/>
  <c r="G1476" i="1"/>
  <c r="F1476" i="1"/>
  <c r="E1476" i="1"/>
  <c r="D1476" i="1"/>
  <c r="C1476" i="1"/>
  <c r="V1475" i="1"/>
  <c r="Q1475" i="1"/>
  <c r="P1475" i="1"/>
  <c r="O1475" i="1"/>
  <c r="N1475" i="1"/>
  <c r="J1475" i="1"/>
  <c r="I1475" i="1"/>
  <c r="H1475" i="1"/>
  <c r="G1475" i="1"/>
  <c r="F1475" i="1"/>
  <c r="E1475" i="1"/>
  <c r="D1475" i="1"/>
  <c r="C1475" i="1"/>
  <c r="V1474" i="1"/>
  <c r="Q1474" i="1"/>
  <c r="P1474" i="1"/>
  <c r="O1474" i="1"/>
  <c r="N1474" i="1"/>
  <c r="J1474" i="1"/>
  <c r="I1474" i="1"/>
  <c r="H1474" i="1"/>
  <c r="G1474" i="1"/>
  <c r="F1474" i="1"/>
  <c r="E1474" i="1"/>
  <c r="D1474" i="1"/>
  <c r="C1474" i="1"/>
  <c r="V1473" i="1"/>
  <c r="Q1473" i="1"/>
  <c r="P1473" i="1"/>
  <c r="O1473" i="1"/>
  <c r="N1473" i="1"/>
  <c r="J1473" i="1"/>
  <c r="I1473" i="1"/>
  <c r="H1473" i="1"/>
  <c r="G1473" i="1"/>
  <c r="F1473" i="1"/>
  <c r="E1473" i="1"/>
  <c r="D1473" i="1"/>
  <c r="C1473" i="1"/>
  <c r="V1472" i="1"/>
  <c r="Q1472" i="1"/>
  <c r="P1472" i="1"/>
  <c r="O1472" i="1"/>
  <c r="N1472" i="1"/>
  <c r="J1472" i="1"/>
  <c r="I1472" i="1"/>
  <c r="H1472" i="1"/>
  <c r="G1472" i="1"/>
  <c r="F1472" i="1"/>
  <c r="E1472" i="1"/>
  <c r="D1472" i="1"/>
  <c r="C1472" i="1"/>
  <c r="V1471" i="1"/>
  <c r="Q1471" i="1"/>
  <c r="P1471" i="1"/>
  <c r="O1471" i="1"/>
  <c r="N1471" i="1"/>
  <c r="J1471" i="1"/>
  <c r="I1471" i="1"/>
  <c r="H1471" i="1"/>
  <c r="G1471" i="1"/>
  <c r="F1471" i="1"/>
  <c r="E1471" i="1"/>
  <c r="D1471" i="1"/>
  <c r="C1471" i="1"/>
  <c r="V1470" i="1"/>
  <c r="Q1470" i="1"/>
  <c r="P1470" i="1"/>
  <c r="O1470" i="1"/>
  <c r="N1470" i="1"/>
  <c r="J1470" i="1"/>
  <c r="I1470" i="1"/>
  <c r="H1470" i="1"/>
  <c r="G1470" i="1"/>
  <c r="F1470" i="1"/>
  <c r="E1470" i="1"/>
  <c r="D1470" i="1"/>
  <c r="C1470" i="1"/>
  <c r="V1469" i="1"/>
  <c r="Q1469" i="1"/>
  <c r="P1469" i="1"/>
  <c r="O1469" i="1"/>
  <c r="N1469" i="1"/>
  <c r="J1469" i="1"/>
  <c r="I1469" i="1"/>
  <c r="H1469" i="1"/>
  <c r="G1469" i="1"/>
  <c r="F1469" i="1"/>
  <c r="E1469" i="1"/>
  <c r="D1469" i="1"/>
  <c r="C1469" i="1"/>
  <c r="V1468" i="1"/>
  <c r="Q1468" i="1"/>
  <c r="P1468" i="1"/>
  <c r="O1468" i="1"/>
  <c r="N1468" i="1"/>
  <c r="J1468" i="1"/>
  <c r="I1468" i="1"/>
  <c r="H1468" i="1"/>
  <c r="G1468" i="1"/>
  <c r="F1468" i="1"/>
  <c r="E1468" i="1"/>
  <c r="D1468" i="1"/>
  <c r="C1468" i="1"/>
  <c r="V1467" i="1"/>
  <c r="Q1467" i="1"/>
  <c r="P1467" i="1"/>
  <c r="O1467" i="1"/>
  <c r="N1467" i="1"/>
  <c r="J1467" i="1"/>
  <c r="I1467" i="1"/>
  <c r="H1467" i="1"/>
  <c r="G1467" i="1"/>
  <c r="F1467" i="1"/>
  <c r="E1467" i="1"/>
  <c r="D1467" i="1"/>
  <c r="C1467" i="1"/>
  <c r="V1466" i="1"/>
  <c r="Q1466" i="1"/>
  <c r="P1466" i="1"/>
  <c r="O1466" i="1"/>
  <c r="N1466" i="1"/>
  <c r="J1466" i="1"/>
  <c r="I1466" i="1"/>
  <c r="H1466" i="1"/>
  <c r="G1466" i="1"/>
  <c r="F1466" i="1"/>
  <c r="E1466" i="1"/>
  <c r="D1466" i="1"/>
  <c r="C1466" i="1"/>
  <c r="V1465" i="1"/>
  <c r="Q1465" i="1"/>
  <c r="P1465" i="1"/>
  <c r="O1465" i="1"/>
  <c r="N1465" i="1"/>
  <c r="J1465" i="1"/>
  <c r="I1465" i="1"/>
  <c r="H1465" i="1"/>
  <c r="G1465" i="1"/>
  <c r="F1465" i="1"/>
  <c r="E1465" i="1"/>
  <c r="D1465" i="1"/>
  <c r="C1465" i="1"/>
  <c r="V1464" i="1"/>
  <c r="Q1464" i="1"/>
  <c r="P1464" i="1"/>
  <c r="O1464" i="1"/>
  <c r="N1464" i="1"/>
  <c r="J1464" i="1"/>
  <c r="I1464" i="1"/>
  <c r="H1464" i="1"/>
  <c r="G1464" i="1"/>
  <c r="F1464" i="1"/>
  <c r="E1464" i="1"/>
  <c r="D1464" i="1"/>
  <c r="C1464" i="1"/>
  <c r="V1463" i="1"/>
  <c r="Q1463" i="1"/>
  <c r="P1463" i="1"/>
  <c r="O1463" i="1"/>
  <c r="N1463" i="1"/>
  <c r="J1463" i="1"/>
  <c r="I1463" i="1"/>
  <c r="H1463" i="1"/>
  <c r="G1463" i="1"/>
  <c r="F1463" i="1"/>
  <c r="E1463" i="1"/>
  <c r="D1463" i="1"/>
  <c r="C1463" i="1"/>
  <c r="V1462" i="1"/>
  <c r="Q1462" i="1"/>
  <c r="P1462" i="1"/>
  <c r="O1462" i="1"/>
  <c r="N1462" i="1"/>
  <c r="J1462" i="1"/>
  <c r="I1462" i="1"/>
  <c r="H1462" i="1"/>
  <c r="G1462" i="1"/>
  <c r="F1462" i="1"/>
  <c r="E1462" i="1"/>
  <c r="D1462" i="1"/>
  <c r="C1462" i="1"/>
  <c r="V1461" i="1"/>
  <c r="Q1461" i="1"/>
  <c r="P1461" i="1"/>
  <c r="O1461" i="1"/>
  <c r="N1461" i="1"/>
  <c r="J1461" i="1"/>
  <c r="I1461" i="1"/>
  <c r="H1461" i="1"/>
  <c r="G1461" i="1"/>
  <c r="F1461" i="1"/>
  <c r="E1461" i="1"/>
  <c r="D1461" i="1"/>
  <c r="C1461" i="1"/>
  <c r="V1460" i="1"/>
  <c r="Q1460" i="1"/>
  <c r="P1460" i="1"/>
  <c r="O1460" i="1"/>
  <c r="N1460" i="1"/>
  <c r="J1460" i="1"/>
  <c r="I1460" i="1"/>
  <c r="H1460" i="1"/>
  <c r="G1460" i="1"/>
  <c r="F1460" i="1"/>
  <c r="E1460" i="1"/>
  <c r="D1460" i="1"/>
  <c r="C1460" i="1"/>
  <c r="V1459" i="1"/>
  <c r="Q1459" i="1"/>
  <c r="P1459" i="1"/>
  <c r="O1459" i="1"/>
  <c r="N1459" i="1"/>
  <c r="J1459" i="1"/>
  <c r="I1459" i="1"/>
  <c r="H1459" i="1"/>
  <c r="G1459" i="1"/>
  <c r="F1459" i="1"/>
  <c r="E1459" i="1"/>
  <c r="D1459" i="1"/>
  <c r="C1459" i="1"/>
  <c r="V1458" i="1"/>
  <c r="Q1458" i="1"/>
  <c r="P1458" i="1"/>
  <c r="O1458" i="1"/>
  <c r="N1458" i="1"/>
  <c r="J1458" i="1"/>
  <c r="I1458" i="1"/>
  <c r="H1458" i="1"/>
  <c r="G1458" i="1"/>
  <c r="F1458" i="1"/>
  <c r="E1458" i="1"/>
  <c r="D1458" i="1"/>
  <c r="C1458" i="1"/>
  <c r="V1457" i="1"/>
  <c r="Q1457" i="1"/>
  <c r="P1457" i="1"/>
  <c r="O1457" i="1"/>
  <c r="N1457" i="1"/>
  <c r="J1457" i="1"/>
  <c r="I1457" i="1"/>
  <c r="H1457" i="1"/>
  <c r="G1457" i="1"/>
  <c r="F1457" i="1"/>
  <c r="E1457" i="1"/>
  <c r="D1457" i="1"/>
  <c r="C1457" i="1"/>
  <c r="V1456" i="1"/>
  <c r="Q1456" i="1"/>
  <c r="P1456" i="1"/>
  <c r="O1456" i="1"/>
  <c r="N1456" i="1"/>
  <c r="J1456" i="1"/>
  <c r="I1456" i="1"/>
  <c r="H1456" i="1"/>
  <c r="G1456" i="1"/>
  <c r="F1456" i="1"/>
  <c r="E1456" i="1"/>
  <c r="D1456" i="1"/>
  <c r="C1456" i="1"/>
  <c r="V1455" i="1"/>
  <c r="Q1455" i="1"/>
  <c r="P1455" i="1"/>
  <c r="O1455" i="1"/>
  <c r="N1455" i="1"/>
  <c r="J1455" i="1"/>
  <c r="I1455" i="1"/>
  <c r="H1455" i="1"/>
  <c r="G1455" i="1"/>
  <c r="F1455" i="1"/>
  <c r="E1455" i="1"/>
  <c r="D1455" i="1"/>
  <c r="C1455" i="1"/>
  <c r="V1454" i="1"/>
  <c r="Q1454" i="1"/>
  <c r="P1454" i="1"/>
  <c r="O1454" i="1"/>
  <c r="N1454" i="1"/>
  <c r="J1454" i="1"/>
  <c r="I1454" i="1"/>
  <c r="H1454" i="1"/>
  <c r="G1454" i="1"/>
  <c r="F1454" i="1"/>
  <c r="E1454" i="1"/>
  <c r="D1454" i="1"/>
  <c r="C1454" i="1"/>
  <c r="V1453" i="1"/>
  <c r="Q1453" i="1"/>
  <c r="P1453" i="1"/>
  <c r="O1453" i="1"/>
  <c r="N1453" i="1"/>
  <c r="J1453" i="1"/>
  <c r="I1453" i="1"/>
  <c r="H1453" i="1"/>
  <c r="G1453" i="1"/>
  <c r="F1453" i="1"/>
  <c r="E1453" i="1"/>
  <c r="D1453" i="1"/>
  <c r="C1453" i="1"/>
  <c r="V1452" i="1"/>
  <c r="Q1452" i="1"/>
  <c r="P1452" i="1"/>
  <c r="O1452" i="1"/>
  <c r="N1452" i="1"/>
  <c r="J1452" i="1"/>
  <c r="I1452" i="1"/>
  <c r="H1452" i="1"/>
  <c r="G1452" i="1"/>
  <c r="F1452" i="1"/>
  <c r="E1452" i="1"/>
  <c r="D1452" i="1"/>
  <c r="C1452" i="1"/>
  <c r="V1451" i="1"/>
  <c r="Q1451" i="1"/>
  <c r="P1451" i="1"/>
  <c r="O1451" i="1"/>
  <c r="N1451" i="1"/>
  <c r="J1451" i="1"/>
  <c r="I1451" i="1"/>
  <c r="H1451" i="1"/>
  <c r="G1451" i="1"/>
  <c r="F1451" i="1"/>
  <c r="E1451" i="1"/>
  <c r="D1451" i="1"/>
  <c r="C1451" i="1"/>
  <c r="V1450" i="1"/>
  <c r="Q1450" i="1"/>
  <c r="P1450" i="1"/>
  <c r="O1450" i="1"/>
  <c r="N1450" i="1"/>
  <c r="J1450" i="1"/>
  <c r="I1450" i="1"/>
  <c r="H1450" i="1"/>
  <c r="G1450" i="1"/>
  <c r="F1450" i="1"/>
  <c r="E1450" i="1"/>
  <c r="D1450" i="1"/>
  <c r="C1450" i="1"/>
  <c r="V1449" i="1"/>
  <c r="Q1449" i="1"/>
  <c r="P1449" i="1"/>
  <c r="O1449" i="1"/>
  <c r="N1449" i="1"/>
  <c r="J1449" i="1"/>
  <c r="I1449" i="1"/>
  <c r="H1449" i="1"/>
  <c r="G1449" i="1"/>
  <c r="F1449" i="1"/>
  <c r="E1449" i="1"/>
  <c r="D1449" i="1"/>
  <c r="C1449" i="1"/>
  <c r="V1448" i="1"/>
  <c r="Q1448" i="1"/>
  <c r="P1448" i="1"/>
  <c r="O1448" i="1"/>
  <c r="N1448" i="1"/>
  <c r="J1448" i="1"/>
  <c r="I1448" i="1"/>
  <c r="H1448" i="1"/>
  <c r="G1448" i="1"/>
  <c r="F1448" i="1"/>
  <c r="E1448" i="1"/>
  <c r="D1448" i="1"/>
  <c r="C1448" i="1"/>
  <c r="V1447" i="1"/>
  <c r="Q1447" i="1"/>
  <c r="P1447" i="1"/>
  <c r="O1447" i="1"/>
  <c r="N1447" i="1"/>
  <c r="J1447" i="1"/>
  <c r="I1447" i="1"/>
  <c r="H1447" i="1"/>
  <c r="G1447" i="1"/>
  <c r="F1447" i="1"/>
  <c r="E1447" i="1"/>
  <c r="D1447" i="1"/>
  <c r="C1447" i="1"/>
  <c r="V1446" i="1"/>
  <c r="Q1446" i="1"/>
  <c r="P1446" i="1"/>
  <c r="O1446" i="1"/>
  <c r="N1446" i="1"/>
  <c r="J1446" i="1"/>
  <c r="I1446" i="1"/>
  <c r="H1446" i="1"/>
  <c r="G1446" i="1"/>
  <c r="F1446" i="1"/>
  <c r="E1446" i="1"/>
  <c r="D1446" i="1"/>
  <c r="C1446" i="1"/>
  <c r="V1445" i="1"/>
  <c r="Q1445" i="1"/>
  <c r="P1445" i="1"/>
  <c r="O1445" i="1"/>
  <c r="N1445" i="1"/>
  <c r="J1445" i="1"/>
  <c r="I1445" i="1"/>
  <c r="H1445" i="1"/>
  <c r="G1445" i="1"/>
  <c r="F1445" i="1"/>
  <c r="E1445" i="1"/>
  <c r="D1445" i="1"/>
  <c r="C1445" i="1"/>
  <c r="V1444" i="1"/>
  <c r="Q1444" i="1"/>
  <c r="P1444" i="1"/>
  <c r="O1444" i="1"/>
  <c r="N1444" i="1"/>
  <c r="J1444" i="1"/>
  <c r="I1444" i="1"/>
  <c r="H1444" i="1"/>
  <c r="G1444" i="1"/>
  <c r="F1444" i="1"/>
  <c r="E1444" i="1"/>
  <c r="D1444" i="1"/>
  <c r="C1444" i="1"/>
  <c r="V1443" i="1"/>
  <c r="Q1443" i="1"/>
  <c r="P1443" i="1"/>
  <c r="O1443" i="1"/>
  <c r="N1443" i="1"/>
  <c r="J1443" i="1"/>
  <c r="I1443" i="1"/>
  <c r="H1443" i="1"/>
  <c r="G1443" i="1"/>
  <c r="F1443" i="1"/>
  <c r="E1443" i="1"/>
  <c r="D1443" i="1"/>
  <c r="C1443" i="1"/>
  <c r="V1442" i="1"/>
  <c r="Q1442" i="1"/>
  <c r="P1442" i="1"/>
  <c r="O1442" i="1"/>
  <c r="N1442" i="1"/>
  <c r="J1442" i="1"/>
  <c r="I1442" i="1"/>
  <c r="H1442" i="1"/>
  <c r="G1442" i="1"/>
  <c r="F1442" i="1"/>
  <c r="E1442" i="1"/>
  <c r="D1442" i="1"/>
  <c r="C1442" i="1"/>
  <c r="V1441" i="1"/>
  <c r="Q1441" i="1"/>
  <c r="P1441" i="1"/>
  <c r="O1441" i="1"/>
  <c r="N1441" i="1"/>
  <c r="J1441" i="1"/>
  <c r="I1441" i="1"/>
  <c r="H1441" i="1"/>
  <c r="G1441" i="1"/>
  <c r="F1441" i="1"/>
  <c r="E1441" i="1"/>
  <c r="D1441" i="1"/>
  <c r="C1441" i="1"/>
  <c r="V1440" i="1"/>
  <c r="Q1440" i="1"/>
  <c r="P1440" i="1"/>
  <c r="O1440" i="1"/>
  <c r="N1440" i="1"/>
  <c r="J1440" i="1"/>
  <c r="I1440" i="1"/>
  <c r="H1440" i="1"/>
  <c r="G1440" i="1"/>
  <c r="F1440" i="1"/>
  <c r="E1440" i="1"/>
  <c r="D1440" i="1"/>
  <c r="C1440" i="1"/>
  <c r="V1439" i="1"/>
  <c r="Q1439" i="1"/>
  <c r="P1439" i="1"/>
  <c r="O1439" i="1"/>
  <c r="N1439" i="1"/>
  <c r="J1439" i="1"/>
  <c r="I1439" i="1"/>
  <c r="H1439" i="1"/>
  <c r="G1439" i="1"/>
  <c r="F1439" i="1"/>
  <c r="E1439" i="1"/>
  <c r="D1439" i="1"/>
  <c r="C1439" i="1"/>
  <c r="V1438" i="1"/>
  <c r="Q1438" i="1"/>
  <c r="P1438" i="1"/>
  <c r="O1438" i="1"/>
  <c r="N1438" i="1"/>
  <c r="J1438" i="1"/>
  <c r="I1438" i="1"/>
  <c r="H1438" i="1"/>
  <c r="G1438" i="1"/>
  <c r="F1438" i="1"/>
  <c r="E1438" i="1"/>
  <c r="D1438" i="1"/>
  <c r="C1438" i="1"/>
  <c r="V1437" i="1"/>
  <c r="Q1437" i="1"/>
  <c r="P1437" i="1"/>
  <c r="O1437" i="1"/>
  <c r="N1437" i="1"/>
  <c r="J1437" i="1"/>
  <c r="I1437" i="1"/>
  <c r="H1437" i="1"/>
  <c r="G1437" i="1"/>
  <c r="F1437" i="1"/>
  <c r="E1437" i="1"/>
  <c r="D1437" i="1"/>
  <c r="C1437" i="1"/>
  <c r="V1436" i="1"/>
  <c r="Q1436" i="1"/>
  <c r="P1436" i="1"/>
  <c r="O1436" i="1"/>
  <c r="N1436" i="1"/>
  <c r="J1436" i="1"/>
  <c r="I1436" i="1"/>
  <c r="H1436" i="1"/>
  <c r="G1436" i="1"/>
  <c r="F1436" i="1"/>
  <c r="E1436" i="1"/>
  <c r="D1436" i="1"/>
  <c r="C1436" i="1"/>
  <c r="V1435" i="1"/>
  <c r="Q1435" i="1"/>
  <c r="P1435" i="1"/>
  <c r="O1435" i="1"/>
  <c r="N1435" i="1"/>
  <c r="J1435" i="1"/>
  <c r="I1435" i="1"/>
  <c r="H1435" i="1"/>
  <c r="G1435" i="1"/>
  <c r="F1435" i="1"/>
  <c r="E1435" i="1"/>
  <c r="D1435" i="1"/>
  <c r="C1435" i="1"/>
  <c r="V1434" i="1"/>
  <c r="Q1434" i="1"/>
  <c r="P1434" i="1"/>
  <c r="O1434" i="1"/>
  <c r="N1434" i="1"/>
  <c r="J1434" i="1"/>
  <c r="I1434" i="1"/>
  <c r="H1434" i="1"/>
  <c r="G1434" i="1"/>
  <c r="F1434" i="1"/>
  <c r="E1434" i="1"/>
  <c r="D1434" i="1"/>
  <c r="C1434" i="1"/>
  <c r="V1433" i="1"/>
  <c r="Q1433" i="1"/>
  <c r="P1433" i="1"/>
  <c r="O1433" i="1"/>
  <c r="N1433" i="1"/>
  <c r="J1433" i="1"/>
  <c r="I1433" i="1"/>
  <c r="H1433" i="1"/>
  <c r="G1433" i="1"/>
  <c r="F1433" i="1"/>
  <c r="E1433" i="1"/>
  <c r="D1433" i="1"/>
  <c r="C1433" i="1"/>
  <c r="V1432" i="1"/>
  <c r="Q1432" i="1"/>
  <c r="P1432" i="1"/>
  <c r="O1432" i="1"/>
  <c r="N1432" i="1"/>
  <c r="J1432" i="1"/>
  <c r="I1432" i="1"/>
  <c r="H1432" i="1"/>
  <c r="G1432" i="1"/>
  <c r="F1432" i="1"/>
  <c r="E1432" i="1"/>
  <c r="D1432" i="1"/>
  <c r="C1432" i="1"/>
  <c r="V1431" i="1"/>
  <c r="Q1431" i="1"/>
  <c r="P1431" i="1"/>
  <c r="O1431" i="1"/>
  <c r="N1431" i="1"/>
  <c r="J1431" i="1"/>
  <c r="I1431" i="1"/>
  <c r="H1431" i="1"/>
  <c r="G1431" i="1"/>
  <c r="F1431" i="1"/>
  <c r="E1431" i="1"/>
  <c r="D1431" i="1"/>
  <c r="C1431" i="1"/>
  <c r="V1430" i="1"/>
  <c r="Q1430" i="1"/>
  <c r="P1430" i="1"/>
  <c r="O1430" i="1"/>
  <c r="N1430" i="1"/>
  <c r="J1430" i="1"/>
  <c r="I1430" i="1"/>
  <c r="H1430" i="1"/>
  <c r="G1430" i="1"/>
  <c r="F1430" i="1"/>
  <c r="E1430" i="1"/>
  <c r="D1430" i="1"/>
  <c r="C1430" i="1"/>
  <c r="V1429" i="1"/>
  <c r="Q1429" i="1"/>
  <c r="P1429" i="1"/>
  <c r="O1429" i="1"/>
  <c r="N1429" i="1"/>
  <c r="J1429" i="1"/>
  <c r="I1429" i="1"/>
  <c r="H1429" i="1"/>
  <c r="G1429" i="1"/>
  <c r="F1429" i="1"/>
  <c r="E1429" i="1"/>
  <c r="D1429" i="1"/>
  <c r="C1429" i="1"/>
  <c r="V1428" i="1"/>
  <c r="Q1428" i="1"/>
  <c r="P1428" i="1"/>
  <c r="O1428" i="1"/>
  <c r="N1428" i="1"/>
  <c r="J1428" i="1"/>
  <c r="I1428" i="1"/>
  <c r="H1428" i="1"/>
  <c r="G1428" i="1"/>
  <c r="F1428" i="1"/>
  <c r="E1428" i="1"/>
  <c r="D1428" i="1"/>
  <c r="C1428" i="1"/>
  <c r="V1427" i="1"/>
  <c r="Q1427" i="1"/>
  <c r="P1427" i="1"/>
  <c r="O1427" i="1"/>
  <c r="N1427" i="1"/>
  <c r="J1427" i="1"/>
  <c r="I1427" i="1"/>
  <c r="H1427" i="1"/>
  <c r="G1427" i="1"/>
  <c r="F1427" i="1"/>
  <c r="E1427" i="1"/>
  <c r="D1427" i="1"/>
  <c r="C1427" i="1"/>
  <c r="V1426" i="1"/>
  <c r="Q1426" i="1"/>
  <c r="P1426" i="1"/>
  <c r="O1426" i="1"/>
  <c r="N1426" i="1"/>
  <c r="J1426" i="1"/>
  <c r="I1426" i="1"/>
  <c r="H1426" i="1"/>
  <c r="G1426" i="1"/>
  <c r="F1426" i="1"/>
  <c r="E1426" i="1"/>
  <c r="D1426" i="1"/>
  <c r="C1426" i="1"/>
  <c r="V1425" i="1"/>
  <c r="Q1425" i="1"/>
  <c r="P1425" i="1"/>
  <c r="O1425" i="1"/>
  <c r="N1425" i="1"/>
  <c r="J1425" i="1"/>
  <c r="I1425" i="1"/>
  <c r="H1425" i="1"/>
  <c r="G1425" i="1"/>
  <c r="F1425" i="1"/>
  <c r="E1425" i="1"/>
  <c r="D1425" i="1"/>
  <c r="C1425" i="1"/>
  <c r="V1424" i="1"/>
  <c r="Q1424" i="1"/>
  <c r="P1424" i="1"/>
  <c r="O1424" i="1"/>
  <c r="N1424" i="1"/>
  <c r="J1424" i="1"/>
  <c r="I1424" i="1"/>
  <c r="H1424" i="1"/>
  <c r="G1424" i="1"/>
  <c r="F1424" i="1"/>
  <c r="E1424" i="1"/>
  <c r="D1424" i="1"/>
  <c r="C1424" i="1"/>
  <c r="V1423" i="1"/>
  <c r="Q1423" i="1"/>
  <c r="P1423" i="1"/>
  <c r="O1423" i="1"/>
  <c r="N1423" i="1"/>
  <c r="J1423" i="1"/>
  <c r="I1423" i="1"/>
  <c r="H1423" i="1"/>
  <c r="G1423" i="1"/>
  <c r="F1423" i="1"/>
  <c r="E1423" i="1"/>
  <c r="D1423" i="1"/>
  <c r="C1423" i="1"/>
  <c r="V1422" i="1"/>
  <c r="Q1422" i="1"/>
  <c r="P1422" i="1"/>
  <c r="O1422" i="1"/>
  <c r="N1422" i="1"/>
  <c r="J1422" i="1"/>
  <c r="I1422" i="1"/>
  <c r="H1422" i="1"/>
  <c r="G1422" i="1"/>
  <c r="F1422" i="1"/>
  <c r="E1422" i="1"/>
  <c r="D1422" i="1"/>
  <c r="C1422" i="1"/>
  <c r="V1421" i="1"/>
  <c r="Q1421" i="1"/>
  <c r="P1421" i="1"/>
  <c r="O1421" i="1"/>
  <c r="N1421" i="1"/>
  <c r="J1421" i="1"/>
  <c r="I1421" i="1"/>
  <c r="H1421" i="1"/>
  <c r="G1421" i="1"/>
  <c r="F1421" i="1"/>
  <c r="E1421" i="1"/>
  <c r="D1421" i="1"/>
  <c r="C1421" i="1"/>
  <c r="V1420" i="1"/>
  <c r="Q1420" i="1"/>
  <c r="P1420" i="1"/>
  <c r="O1420" i="1"/>
  <c r="N1420" i="1"/>
  <c r="J1420" i="1"/>
  <c r="I1420" i="1"/>
  <c r="H1420" i="1"/>
  <c r="G1420" i="1"/>
  <c r="F1420" i="1"/>
  <c r="E1420" i="1"/>
  <c r="D1420" i="1"/>
  <c r="C1420" i="1"/>
  <c r="V1419" i="1"/>
  <c r="Q1419" i="1"/>
  <c r="P1419" i="1"/>
  <c r="O1419" i="1"/>
  <c r="N1419" i="1"/>
  <c r="J1419" i="1"/>
  <c r="I1419" i="1"/>
  <c r="H1419" i="1"/>
  <c r="G1419" i="1"/>
  <c r="F1419" i="1"/>
  <c r="E1419" i="1"/>
  <c r="D1419" i="1"/>
  <c r="C1419" i="1"/>
  <c r="V1418" i="1"/>
  <c r="Q1418" i="1"/>
  <c r="P1418" i="1"/>
  <c r="O1418" i="1"/>
  <c r="N1418" i="1"/>
  <c r="J1418" i="1"/>
  <c r="I1418" i="1"/>
  <c r="H1418" i="1"/>
  <c r="G1418" i="1"/>
  <c r="F1418" i="1"/>
  <c r="E1418" i="1"/>
  <c r="D1418" i="1"/>
  <c r="C1418" i="1"/>
  <c r="V1417" i="1"/>
  <c r="Q1417" i="1"/>
  <c r="P1417" i="1"/>
  <c r="O1417" i="1"/>
  <c r="N1417" i="1"/>
  <c r="J1417" i="1"/>
  <c r="I1417" i="1"/>
  <c r="H1417" i="1"/>
  <c r="G1417" i="1"/>
  <c r="F1417" i="1"/>
  <c r="E1417" i="1"/>
  <c r="D1417" i="1"/>
  <c r="C1417" i="1"/>
  <c r="V1416" i="1"/>
  <c r="Q1416" i="1"/>
  <c r="P1416" i="1"/>
  <c r="O1416" i="1"/>
  <c r="N1416" i="1"/>
  <c r="J1416" i="1"/>
  <c r="I1416" i="1"/>
  <c r="H1416" i="1"/>
  <c r="G1416" i="1"/>
  <c r="F1416" i="1"/>
  <c r="E1416" i="1"/>
  <c r="D1416" i="1"/>
  <c r="C1416" i="1"/>
  <c r="V1415" i="1"/>
  <c r="Q1415" i="1"/>
  <c r="P1415" i="1"/>
  <c r="O1415" i="1"/>
  <c r="N1415" i="1"/>
  <c r="J1415" i="1"/>
  <c r="I1415" i="1"/>
  <c r="H1415" i="1"/>
  <c r="G1415" i="1"/>
  <c r="F1415" i="1"/>
  <c r="E1415" i="1"/>
  <c r="D1415" i="1"/>
  <c r="C1415" i="1"/>
  <c r="V1414" i="1"/>
  <c r="Q1414" i="1"/>
  <c r="P1414" i="1"/>
  <c r="O1414" i="1"/>
  <c r="N1414" i="1"/>
  <c r="J1414" i="1"/>
  <c r="I1414" i="1"/>
  <c r="H1414" i="1"/>
  <c r="G1414" i="1"/>
  <c r="F1414" i="1"/>
  <c r="E1414" i="1"/>
  <c r="D1414" i="1"/>
  <c r="C1414" i="1"/>
  <c r="V1413" i="1"/>
  <c r="Q1413" i="1"/>
  <c r="P1413" i="1"/>
  <c r="O1413" i="1"/>
  <c r="N1413" i="1"/>
  <c r="J1413" i="1"/>
  <c r="I1413" i="1"/>
  <c r="H1413" i="1"/>
  <c r="G1413" i="1"/>
  <c r="F1413" i="1"/>
  <c r="E1413" i="1"/>
  <c r="D1413" i="1"/>
  <c r="C1413" i="1"/>
  <c r="V1412" i="1"/>
  <c r="Q1412" i="1"/>
  <c r="P1412" i="1"/>
  <c r="O1412" i="1"/>
  <c r="N1412" i="1"/>
  <c r="J1412" i="1"/>
  <c r="I1412" i="1"/>
  <c r="H1412" i="1"/>
  <c r="G1412" i="1"/>
  <c r="F1412" i="1"/>
  <c r="E1412" i="1"/>
  <c r="D1412" i="1"/>
  <c r="C1412" i="1"/>
  <c r="V1411" i="1"/>
  <c r="Q1411" i="1"/>
  <c r="P1411" i="1"/>
  <c r="O1411" i="1"/>
  <c r="N1411" i="1"/>
  <c r="J1411" i="1"/>
  <c r="I1411" i="1"/>
  <c r="H1411" i="1"/>
  <c r="G1411" i="1"/>
  <c r="F1411" i="1"/>
  <c r="E1411" i="1"/>
  <c r="D1411" i="1"/>
  <c r="C1411" i="1"/>
  <c r="V1410" i="1"/>
  <c r="Q1410" i="1"/>
  <c r="P1410" i="1"/>
  <c r="O1410" i="1"/>
  <c r="N1410" i="1"/>
  <c r="J1410" i="1"/>
  <c r="I1410" i="1"/>
  <c r="H1410" i="1"/>
  <c r="G1410" i="1"/>
  <c r="F1410" i="1"/>
  <c r="E1410" i="1"/>
  <c r="D1410" i="1"/>
  <c r="C1410" i="1"/>
  <c r="V1409" i="1"/>
  <c r="Q1409" i="1"/>
  <c r="P1409" i="1"/>
  <c r="O1409" i="1"/>
  <c r="N1409" i="1"/>
  <c r="J1409" i="1"/>
  <c r="I1409" i="1"/>
  <c r="H1409" i="1"/>
  <c r="G1409" i="1"/>
  <c r="F1409" i="1"/>
  <c r="E1409" i="1"/>
  <c r="D1409" i="1"/>
  <c r="C1409" i="1"/>
  <c r="V1408" i="1"/>
  <c r="Q1408" i="1"/>
  <c r="P1408" i="1"/>
  <c r="O1408" i="1"/>
  <c r="N1408" i="1"/>
  <c r="J1408" i="1"/>
  <c r="I1408" i="1"/>
  <c r="H1408" i="1"/>
  <c r="G1408" i="1"/>
  <c r="F1408" i="1"/>
  <c r="E1408" i="1"/>
  <c r="D1408" i="1"/>
  <c r="C1408" i="1"/>
  <c r="V1407" i="1"/>
  <c r="Q1407" i="1"/>
  <c r="P1407" i="1"/>
  <c r="O1407" i="1"/>
  <c r="N1407" i="1"/>
  <c r="J1407" i="1"/>
  <c r="I1407" i="1"/>
  <c r="H1407" i="1"/>
  <c r="G1407" i="1"/>
  <c r="F1407" i="1"/>
  <c r="E1407" i="1"/>
  <c r="D1407" i="1"/>
  <c r="C1407" i="1"/>
  <c r="V1406" i="1"/>
  <c r="Q1406" i="1"/>
  <c r="P1406" i="1"/>
  <c r="O1406" i="1"/>
  <c r="N1406" i="1"/>
  <c r="J1406" i="1"/>
  <c r="I1406" i="1"/>
  <c r="H1406" i="1"/>
  <c r="G1406" i="1"/>
  <c r="F1406" i="1"/>
  <c r="E1406" i="1"/>
  <c r="D1406" i="1"/>
  <c r="C1406" i="1"/>
  <c r="V1405" i="1"/>
  <c r="Q1405" i="1"/>
  <c r="P1405" i="1"/>
  <c r="O1405" i="1"/>
  <c r="N1405" i="1"/>
  <c r="J1405" i="1"/>
  <c r="I1405" i="1"/>
  <c r="H1405" i="1"/>
  <c r="G1405" i="1"/>
  <c r="F1405" i="1"/>
  <c r="E1405" i="1"/>
  <c r="D1405" i="1"/>
  <c r="C1405" i="1"/>
  <c r="V1404" i="1"/>
  <c r="Q1404" i="1"/>
  <c r="P1404" i="1"/>
  <c r="O1404" i="1"/>
  <c r="N1404" i="1"/>
  <c r="J1404" i="1"/>
  <c r="I1404" i="1"/>
  <c r="H1404" i="1"/>
  <c r="G1404" i="1"/>
  <c r="F1404" i="1"/>
  <c r="E1404" i="1"/>
  <c r="D1404" i="1"/>
  <c r="C1404" i="1"/>
  <c r="V1403" i="1"/>
  <c r="Q1403" i="1"/>
  <c r="P1403" i="1"/>
  <c r="O1403" i="1"/>
  <c r="N1403" i="1"/>
  <c r="J1403" i="1"/>
  <c r="I1403" i="1"/>
  <c r="H1403" i="1"/>
  <c r="G1403" i="1"/>
  <c r="F1403" i="1"/>
  <c r="E1403" i="1"/>
  <c r="D1403" i="1"/>
  <c r="C1403" i="1"/>
  <c r="V1402" i="1"/>
  <c r="Q1402" i="1"/>
  <c r="P1402" i="1"/>
  <c r="O1402" i="1"/>
  <c r="N1402" i="1"/>
  <c r="J1402" i="1"/>
  <c r="I1402" i="1"/>
  <c r="H1402" i="1"/>
  <c r="G1402" i="1"/>
  <c r="F1402" i="1"/>
  <c r="E1402" i="1"/>
  <c r="D1402" i="1"/>
  <c r="C1402" i="1"/>
  <c r="V1401" i="1"/>
  <c r="Q1401" i="1"/>
  <c r="P1401" i="1"/>
  <c r="O1401" i="1"/>
  <c r="N1401" i="1"/>
  <c r="J1401" i="1"/>
  <c r="I1401" i="1"/>
  <c r="H1401" i="1"/>
  <c r="G1401" i="1"/>
  <c r="F1401" i="1"/>
  <c r="E1401" i="1"/>
  <c r="D1401" i="1"/>
  <c r="C1401" i="1"/>
  <c r="V1400" i="1"/>
  <c r="Q1400" i="1"/>
  <c r="P1400" i="1"/>
  <c r="O1400" i="1"/>
  <c r="N1400" i="1"/>
  <c r="J1400" i="1"/>
  <c r="I1400" i="1"/>
  <c r="H1400" i="1"/>
  <c r="G1400" i="1"/>
  <c r="F1400" i="1"/>
  <c r="E1400" i="1"/>
  <c r="D1400" i="1"/>
  <c r="C1400" i="1"/>
  <c r="V1399" i="1"/>
  <c r="Q1399" i="1"/>
  <c r="P1399" i="1"/>
  <c r="O1399" i="1"/>
  <c r="N1399" i="1"/>
  <c r="J1399" i="1"/>
  <c r="I1399" i="1"/>
  <c r="H1399" i="1"/>
  <c r="G1399" i="1"/>
  <c r="F1399" i="1"/>
  <c r="E1399" i="1"/>
  <c r="D1399" i="1"/>
  <c r="C1399" i="1"/>
  <c r="V1398" i="1"/>
  <c r="Q1398" i="1"/>
  <c r="P1398" i="1"/>
  <c r="O1398" i="1"/>
  <c r="N1398" i="1"/>
  <c r="J1398" i="1"/>
  <c r="I1398" i="1"/>
  <c r="H1398" i="1"/>
  <c r="G1398" i="1"/>
  <c r="F1398" i="1"/>
  <c r="E1398" i="1"/>
  <c r="D1398" i="1"/>
  <c r="C1398" i="1"/>
  <c r="V1397" i="1"/>
  <c r="Q1397" i="1"/>
  <c r="P1397" i="1"/>
  <c r="O1397" i="1"/>
  <c r="N1397" i="1"/>
  <c r="J1397" i="1"/>
  <c r="I1397" i="1"/>
  <c r="H1397" i="1"/>
  <c r="G1397" i="1"/>
  <c r="F1397" i="1"/>
  <c r="E1397" i="1"/>
  <c r="D1397" i="1"/>
  <c r="C1397" i="1"/>
  <c r="V1396" i="1"/>
  <c r="Q1396" i="1"/>
  <c r="P1396" i="1"/>
  <c r="O1396" i="1"/>
  <c r="N1396" i="1"/>
  <c r="J1396" i="1"/>
  <c r="I1396" i="1"/>
  <c r="H1396" i="1"/>
  <c r="G1396" i="1"/>
  <c r="F1396" i="1"/>
  <c r="E1396" i="1"/>
  <c r="D1396" i="1"/>
  <c r="C1396" i="1"/>
  <c r="V1395" i="1"/>
  <c r="Q1395" i="1"/>
  <c r="P1395" i="1"/>
  <c r="O1395" i="1"/>
  <c r="N1395" i="1"/>
  <c r="J1395" i="1"/>
  <c r="I1395" i="1"/>
  <c r="H1395" i="1"/>
  <c r="G1395" i="1"/>
  <c r="F1395" i="1"/>
  <c r="E1395" i="1"/>
  <c r="D1395" i="1"/>
  <c r="C1395" i="1"/>
  <c r="V1394" i="1"/>
  <c r="Q1394" i="1"/>
  <c r="P1394" i="1"/>
  <c r="O1394" i="1"/>
  <c r="N1394" i="1"/>
  <c r="J1394" i="1"/>
  <c r="I1394" i="1"/>
  <c r="H1394" i="1"/>
  <c r="G1394" i="1"/>
  <c r="F1394" i="1"/>
  <c r="E1394" i="1"/>
  <c r="D1394" i="1"/>
  <c r="C1394" i="1"/>
  <c r="V1393" i="1"/>
  <c r="Q1393" i="1"/>
  <c r="P1393" i="1"/>
  <c r="O1393" i="1"/>
  <c r="N1393" i="1"/>
  <c r="J1393" i="1"/>
  <c r="I1393" i="1"/>
  <c r="H1393" i="1"/>
  <c r="G1393" i="1"/>
  <c r="F1393" i="1"/>
  <c r="E1393" i="1"/>
  <c r="D1393" i="1"/>
  <c r="C1393" i="1"/>
  <c r="V1392" i="1"/>
  <c r="Q1392" i="1"/>
  <c r="P1392" i="1"/>
  <c r="O1392" i="1"/>
  <c r="N1392" i="1"/>
  <c r="J1392" i="1"/>
  <c r="I1392" i="1"/>
  <c r="H1392" i="1"/>
  <c r="G1392" i="1"/>
  <c r="F1392" i="1"/>
  <c r="E1392" i="1"/>
  <c r="D1392" i="1"/>
  <c r="C1392" i="1"/>
  <c r="V1391" i="1"/>
  <c r="Q1391" i="1"/>
  <c r="P1391" i="1"/>
  <c r="O1391" i="1"/>
  <c r="N1391" i="1"/>
  <c r="I1391" i="1"/>
  <c r="H1391" i="1"/>
  <c r="G1391" i="1"/>
  <c r="F1391" i="1"/>
  <c r="E1391" i="1"/>
  <c r="D1391" i="1"/>
  <c r="C1391" i="1"/>
  <c r="V1390" i="1"/>
  <c r="Q1390" i="1"/>
  <c r="P1390" i="1"/>
  <c r="O1390" i="1"/>
  <c r="N1390" i="1"/>
  <c r="I1390" i="1"/>
  <c r="H1390" i="1"/>
  <c r="G1390" i="1"/>
  <c r="F1390" i="1"/>
  <c r="E1390" i="1"/>
  <c r="D1390" i="1"/>
  <c r="C1390" i="1"/>
  <c r="V1389" i="1"/>
  <c r="Q1389" i="1"/>
  <c r="P1389" i="1"/>
  <c r="O1389" i="1"/>
  <c r="N1389" i="1"/>
  <c r="H1389" i="1"/>
  <c r="G1389" i="1"/>
  <c r="F1389" i="1"/>
  <c r="E1389" i="1"/>
  <c r="D1389" i="1"/>
  <c r="C1389" i="1"/>
  <c r="V1388" i="1"/>
  <c r="Q1388" i="1"/>
  <c r="P1388" i="1"/>
  <c r="O1388" i="1"/>
  <c r="N1388" i="1"/>
  <c r="H1388" i="1"/>
  <c r="G1388" i="1"/>
  <c r="F1388" i="1"/>
  <c r="E1388" i="1"/>
  <c r="D1388" i="1"/>
  <c r="C1388" i="1"/>
  <c r="V1387" i="1"/>
  <c r="Q1387" i="1"/>
  <c r="P1387" i="1"/>
  <c r="O1387" i="1"/>
  <c r="N1387" i="1"/>
  <c r="H1387" i="1"/>
  <c r="G1387" i="1"/>
  <c r="F1387" i="1"/>
  <c r="E1387" i="1"/>
  <c r="D1387" i="1"/>
  <c r="C1387" i="1"/>
  <c r="V1386" i="1"/>
  <c r="Q1386" i="1"/>
  <c r="P1386" i="1"/>
  <c r="O1386" i="1"/>
  <c r="N1386" i="1"/>
  <c r="H1386" i="1"/>
  <c r="G1386" i="1"/>
  <c r="F1386" i="1"/>
  <c r="E1386" i="1"/>
  <c r="D1386" i="1"/>
  <c r="C1386" i="1"/>
  <c r="V1385" i="1"/>
  <c r="Q1385" i="1"/>
  <c r="P1385" i="1"/>
  <c r="O1385" i="1"/>
  <c r="N1385" i="1"/>
  <c r="H1385" i="1"/>
  <c r="G1385" i="1"/>
  <c r="F1385" i="1"/>
  <c r="E1385" i="1"/>
  <c r="D1385" i="1"/>
  <c r="C1385" i="1"/>
  <c r="V1384" i="1"/>
  <c r="Q1384" i="1"/>
  <c r="P1384" i="1"/>
  <c r="O1384" i="1"/>
  <c r="N1384" i="1"/>
  <c r="H1384" i="1"/>
  <c r="G1384" i="1"/>
  <c r="F1384" i="1"/>
  <c r="E1384" i="1"/>
  <c r="D1384" i="1"/>
  <c r="C1384" i="1"/>
  <c r="V1383" i="1"/>
  <c r="Q1383" i="1"/>
  <c r="P1383" i="1"/>
  <c r="O1383" i="1"/>
  <c r="N1383" i="1"/>
  <c r="H1383" i="1"/>
  <c r="G1383" i="1"/>
  <c r="F1383" i="1"/>
  <c r="E1383" i="1"/>
  <c r="D1383" i="1"/>
  <c r="C1383" i="1"/>
  <c r="V1382" i="1"/>
  <c r="Q1382" i="1"/>
  <c r="P1382" i="1"/>
  <c r="O1382" i="1"/>
  <c r="N1382" i="1"/>
  <c r="H1382" i="1"/>
  <c r="G1382" i="1"/>
  <c r="F1382" i="1"/>
  <c r="E1382" i="1"/>
  <c r="D1382" i="1"/>
  <c r="C1382" i="1"/>
  <c r="V1381" i="1"/>
  <c r="Q1381" i="1"/>
  <c r="P1381" i="1"/>
  <c r="O1381" i="1"/>
  <c r="N1381" i="1"/>
  <c r="H1381" i="1"/>
  <c r="G1381" i="1"/>
  <c r="F1381" i="1"/>
  <c r="E1381" i="1"/>
  <c r="D1381" i="1"/>
  <c r="C1381" i="1"/>
  <c r="V1380" i="1"/>
  <c r="Q1380" i="1"/>
  <c r="P1380" i="1"/>
  <c r="O1380" i="1"/>
  <c r="N1380" i="1"/>
  <c r="H1380" i="1"/>
  <c r="G1380" i="1"/>
  <c r="F1380" i="1"/>
  <c r="E1380" i="1"/>
  <c r="D1380" i="1"/>
  <c r="C1380" i="1"/>
  <c r="V1379" i="1"/>
  <c r="Q1379" i="1"/>
  <c r="P1379" i="1"/>
  <c r="O1379" i="1"/>
  <c r="N1379" i="1"/>
  <c r="H1379" i="1"/>
  <c r="G1379" i="1"/>
  <c r="F1379" i="1"/>
  <c r="E1379" i="1"/>
  <c r="D1379" i="1"/>
  <c r="C1379" i="1"/>
  <c r="V1378" i="1"/>
  <c r="Q1378" i="1"/>
  <c r="P1378" i="1"/>
  <c r="O1378" i="1"/>
  <c r="N1378" i="1"/>
  <c r="H1378" i="1"/>
  <c r="G1378" i="1"/>
  <c r="F1378" i="1"/>
  <c r="E1378" i="1"/>
  <c r="D1378" i="1"/>
  <c r="C1378" i="1"/>
  <c r="V1377" i="1"/>
  <c r="Q1377" i="1"/>
  <c r="P1377" i="1"/>
  <c r="O1377" i="1"/>
  <c r="N1377" i="1"/>
  <c r="H1377" i="1"/>
  <c r="G1377" i="1"/>
  <c r="F1377" i="1"/>
  <c r="E1377" i="1"/>
  <c r="D1377" i="1"/>
  <c r="C1377" i="1"/>
  <c r="V1376" i="1"/>
  <c r="Q1376" i="1"/>
  <c r="P1376" i="1"/>
  <c r="O1376" i="1"/>
  <c r="N1376" i="1"/>
  <c r="H1376" i="1"/>
  <c r="G1376" i="1"/>
  <c r="F1376" i="1"/>
  <c r="E1376" i="1"/>
  <c r="D1376" i="1"/>
  <c r="C1376" i="1"/>
  <c r="V1375" i="1"/>
  <c r="Q1375" i="1"/>
  <c r="P1375" i="1"/>
  <c r="O1375" i="1"/>
  <c r="N1375" i="1"/>
  <c r="H1375" i="1"/>
  <c r="G1375" i="1"/>
  <c r="F1375" i="1"/>
  <c r="E1375" i="1"/>
  <c r="D1375" i="1"/>
  <c r="C1375" i="1"/>
  <c r="V1374" i="1"/>
  <c r="Q1374" i="1"/>
  <c r="P1374" i="1"/>
  <c r="O1374" i="1"/>
  <c r="N1374" i="1"/>
  <c r="H1374" i="1"/>
  <c r="G1374" i="1"/>
  <c r="F1374" i="1"/>
  <c r="E1374" i="1"/>
  <c r="D1374" i="1"/>
  <c r="C1374" i="1"/>
  <c r="V1373" i="1"/>
  <c r="Q1373" i="1"/>
  <c r="P1373" i="1"/>
  <c r="O1373" i="1"/>
  <c r="N1373" i="1"/>
  <c r="H1373" i="1"/>
  <c r="G1373" i="1"/>
  <c r="F1373" i="1"/>
  <c r="E1373" i="1"/>
  <c r="D1373" i="1"/>
  <c r="C1373" i="1"/>
  <c r="V1372" i="1"/>
  <c r="Q1372" i="1"/>
  <c r="P1372" i="1"/>
  <c r="O1372" i="1"/>
  <c r="N1372" i="1"/>
  <c r="H1372" i="1"/>
  <c r="G1372" i="1"/>
  <c r="F1372" i="1"/>
  <c r="E1372" i="1"/>
  <c r="D1372" i="1"/>
  <c r="C1372" i="1"/>
  <c r="V1371" i="1"/>
  <c r="Q1371" i="1"/>
  <c r="P1371" i="1"/>
  <c r="O1371" i="1"/>
  <c r="N1371" i="1"/>
  <c r="H1371" i="1"/>
  <c r="G1371" i="1"/>
  <c r="F1371" i="1"/>
  <c r="E1371" i="1"/>
  <c r="D1371" i="1"/>
  <c r="C1371" i="1"/>
  <c r="V1370" i="1"/>
  <c r="Q1370" i="1"/>
  <c r="P1370" i="1"/>
  <c r="O1370" i="1"/>
  <c r="N1370" i="1"/>
  <c r="H1370" i="1"/>
  <c r="G1370" i="1"/>
  <c r="F1370" i="1"/>
  <c r="E1370" i="1"/>
  <c r="D1370" i="1"/>
  <c r="C1370" i="1"/>
  <c r="V1369" i="1"/>
  <c r="Q1369" i="1"/>
  <c r="P1369" i="1"/>
  <c r="O1369" i="1"/>
  <c r="N1369" i="1"/>
  <c r="H1369" i="1"/>
  <c r="G1369" i="1"/>
  <c r="F1369" i="1"/>
  <c r="E1369" i="1"/>
  <c r="D1369" i="1"/>
  <c r="C1369" i="1"/>
  <c r="V1368" i="1"/>
  <c r="Q1368" i="1"/>
  <c r="P1368" i="1"/>
  <c r="O1368" i="1"/>
  <c r="N1368" i="1"/>
  <c r="H1368" i="1"/>
  <c r="G1368" i="1"/>
  <c r="F1368" i="1"/>
  <c r="E1368" i="1"/>
  <c r="D1368" i="1"/>
  <c r="C1368" i="1"/>
  <c r="V1367" i="1"/>
  <c r="Q1367" i="1"/>
  <c r="P1367" i="1"/>
  <c r="O1367" i="1"/>
  <c r="N1367" i="1"/>
  <c r="H1367" i="1"/>
  <c r="G1367" i="1"/>
  <c r="F1367" i="1"/>
  <c r="E1367" i="1"/>
  <c r="D1367" i="1"/>
  <c r="C1367" i="1"/>
  <c r="V1366" i="1"/>
  <c r="Q1366" i="1"/>
  <c r="P1366" i="1"/>
  <c r="O1366" i="1"/>
  <c r="N1366" i="1"/>
  <c r="H1366" i="1"/>
  <c r="G1366" i="1"/>
  <c r="F1366" i="1"/>
  <c r="E1366" i="1"/>
  <c r="D1366" i="1"/>
  <c r="C1366" i="1"/>
  <c r="V1365" i="1"/>
  <c r="Q1365" i="1"/>
  <c r="P1365" i="1"/>
  <c r="O1365" i="1"/>
  <c r="N1365" i="1"/>
  <c r="H1365" i="1"/>
  <c r="G1365" i="1"/>
  <c r="F1365" i="1"/>
  <c r="E1365" i="1"/>
  <c r="D1365" i="1"/>
  <c r="C1365" i="1"/>
  <c r="V1364" i="1"/>
  <c r="Q1364" i="1"/>
  <c r="P1364" i="1"/>
  <c r="O1364" i="1"/>
  <c r="N1364" i="1"/>
  <c r="H1364" i="1"/>
  <c r="G1364" i="1"/>
  <c r="F1364" i="1"/>
  <c r="E1364" i="1"/>
  <c r="D1364" i="1"/>
  <c r="C1364" i="1"/>
  <c r="V1363" i="1"/>
  <c r="Q1363" i="1"/>
  <c r="P1363" i="1"/>
  <c r="O1363" i="1"/>
  <c r="N1363" i="1"/>
  <c r="H1363" i="1"/>
  <c r="G1363" i="1"/>
  <c r="F1363" i="1"/>
  <c r="E1363" i="1"/>
  <c r="D1363" i="1"/>
  <c r="C1363" i="1"/>
  <c r="V1362" i="1"/>
  <c r="Q1362" i="1"/>
  <c r="P1362" i="1"/>
  <c r="O1362" i="1"/>
  <c r="N1362" i="1"/>
  <c r="H1362" i="1"/>
  <c r="G1362" i="1"/>
  <c r="F1362" i="1"/>
  <c r="E1362" i="1"/>
  <c r="D1362" i="1"/>
  <c r="C1362" i="1"/>
  <c r="V1361" i="1"/>
  <c r="Q1361" i="1"/>
  <c r="P1361" i="1"/>
  <c r="O1361" i="1"/>
  <c r="N1361" i="1"/>
  <c r="H1361" i="1"/>
  <c r="G1361" i="1"/>
  <c r="F1361" i="1"/>
  <c r="E1361" i="1"/>
  <c r="D1361" i="1"/>
  <c r="C1361" i="1"/>
  <c r="V1360" i="1"/>
  <c r="Q1360" i="1"/>
  <c r="P1360" i="1"/>
  <c r="O1360" i="1"/>
  <c r="N1360" i="1"/>
  <c r="H1360" i="1"/>
  <c r="G1360" i="1"/>
  <c r="F1360" i="1"/>
  <c r="E1360" i="1"/>
  <c r="D1360" i="1"/>
  <c r="C1360" i="1"/>
  <c r="V1359" i="1"/>
  <c r="Q1359" i="1"/>
  <c r="P1359" i="1"/>
  <c r="O1359" i="1"/>
  <c r="N1359" i="1"/>
  <c r="H1359" i="1"/>
  <c r="G1359" i="1"/>
  <c r="F1359" i="1"/>
  <c r="E1359" i="1"/>
  <c r="D1359" i="1"/>
  <c r="C1359" i="1"/>
  <c r="V1358" i="1"/>
  <c r="Q1358" i="1"/>
  <c r="P1358" i="1"/>
  <c r="O1358" i="1"/>
  <c r="N1358" i="1"/>
  <c r="I1358" i="1"/>
  <c r="H1358" i="1"/>
  <c r="G1358" i="1"/>
  <c r="F1358" i="1"/>
  <c r="E1358" i="1"/>
  <c r="D1358" i="1"/>
  <c r="C1358" i="1"/>
  <c r="V1357" i="1"/>
  <c r="Q1357" i="1"/>
  <c r="P1357" i="1"/>
  <c r="O1357" i="1"/>
  <c r="N1357" i="1"/>
  <c r="I1357" i="1"/>
  <c r="H1357" i="1"/>
  <c r="G1357" i="1"/>
  <c r="F1357" i="1"/>
  <c r="E1357" i="1"/>
  <c r="D1357" i="1"/>
  <c r="C1357" i="1"/>
  <c r="V1356" i="1"/>
  <c r="Q1356" i="1"/>
  <c r="P1356" i="1"/>
  <c r="O1356" i="1"/>
  <c r="N1356" i="1"/>
  <c r="I1356" i="1"/>
  <c r="H1356" i="1"/>
  <c r="G1356" i="1"/>
  <c r="F1356" i="1"/>
  <c r="E1356" i="1"/>
  <c r="D1356" i="1"/>
  <c r="C1356" i="1"/>
  <c r="V1355" i="1"/>
  <c r="Q1355" i="1"/>
  <c r="P1355" i="1"/>
  <c r="O1355" i="1"/>
  <c r="N1355" i="1"/>
  <c r="J1355" i="1"/>
  <c r="I1355" i="1"/>
  <c r="H1355" i="1"/>
  <c r="G1355" i="1"/>
  <c r="F1355" i="1"/>
  <c r="E1355" i="1"/>
  <c r="D1355" i="1"/>
  <c r="C1355" i="1"/>
  <c r="V1354" i="1"/>
  <c r="Q1354" i="1"/>
  <c r="P1354" i="1"/>
  <c r="O1354" i="1"/>
  <c r="N1354" i="1"/>
  <c r="J1354" i="1"/>
  <c r="I1354" i="1"/>
  <c r="H1354" i="1"/>
  <c r="G1354" i="1"/>
  <c r="F1354" i="1"/>
  <c r="E1354" i="1"/>
  <c r="D1354" i="1"/>
  <c r="C1354" i="1"/>
  <c r="V1353" i="1"/>
  <c r="Q1353" i="1"/>
  <c r="P1353" i="1"/>
  <c r="O1353" i="1"/>
  <c r="N1353" i="1"/>
  <c r="J1353" i="1"/>
  <c r="I1353" i="1"/>
  <c r="H1353" i="1"/>
  <c r="G1353" i="1"/>
  <c r="F1353" i="1"/>
  <c r="E1353" i="1"/>
  <c r="D1353" i="1"/>
  <c r="C1353" i="1"/>
  <c r="V1352" i="1"/>
  <c r="Q1352" i="1"/>
  <c r="P1352" i="1"/>
  <c r="O1352" i="1"/>
  <c r="N1352" i="1"/>
  <c r="J1352" i="1"/>
  <c r="I1352" i="1"/>
  <c r="H1352" i="1"/>
  <c r="G1352" i="1"/>
  <c r="F1352" i="1"/>
  <c r="E1352" i="1"/>
  <c r="D1352" i="1"/>
  <c r="C1352" i="1"/>
  <c r="V1351" i="1"/>
  <c r="Q1351" i="1"/>
  <c r="P1351" i="1"/>
  <c r="O1351" i="1"/>
  <c r="N1351" i="1"/>
  <c r="J1351" i="1"/>
  <c r="I1351" i="1"/>
  <c r="H1351" i="1"/>
  <c r="G1351" i="1"/>
  <c r="F1351" i="1"/>
  <c r="E1351" i="1"/>
  <c r="D1351" i="1"/>
  <c r="C1351" i="1"/>
  <c r="V1350" i="1"/>
  <c r="Q1350" i="1"/>
  <c r="P1350" i="1"/>
  <c r="O1350" i="1"/>
  <c r="N1350" i="1"/>
  <c r="J1350" i="1"/>
  <c r="I1350" i="1"/>
  <c r="H1350" i="1"/>
  <c r="G1350" i="1"/>
  <c r="F1350" i="1"/>
  <c r="E1350" i="1"/>
  <c r="D1350" i="1"/>
  <c r="C1350" i="1"/>
  <c r="V1349" i="1"/>
  <c r="Q1349" i="1"/>
  <c r="P1349" i="1"/>
  <c r="O1349" i="1"/>
  <c r="N1349" i="1"/>
  <c r="J1349" i="1"/>
  <c r="I1349" i="1"/>
  <c r="H1349" i="1"/>
  <c r="G1349" i="1"/>
  <c r="F1349" i="1"/>
  <c r="E1349" i="1"/>
  <c r="D1349" i="1"/>
  <c r="C1349" i="1"/>
  <c r="V1348" i="1"/>
  <c r="Q1348" i="1"/>
  <c r="P1348" i="1"/>
  <c r="O1348" i="1"/>
  <c r="N1348" i="1"/>
  <c r="J1348" i="1"/>
  <c r="I1348" i="1"/>
  <c r="H1348" i="1"/>
  <c r="G1348" i="1"/>
  <c r="F1348" i="1"/>
  <c r="E1348" i="1"/>
  <c r="D1348" i="1"/>
  <c r="C1348" i="1"/>
  <c r="V1347" i="1"/>
  <c r="Q1347" i="1"/>
  <c r="P1347" i="1"/>
  <c r="O1347" i="1"/>
  <c r="N1347" i="1"/>
  <c r="J1347" i="1"/>
  <c r="I1347" i="1"/>
  <c r="H1347" i="1"/>
  <c r="G1347" i="1"/>
  <c r="F1347" i="1"/>
  <c r="E1347" i="1"/>
  <c r="D1347" i="1"/>
  <c r="C1347" i="1"/>
  <c r="V1346" i="1"/>
  <c r="Q1346" i="1"/>
  <c r="P1346" i="1"/>
  <c r="O1346" i="1"/>
  <c r="N1346" i="1"/>
  <c r="J1346" i="1"/>
  <c r="I1346" i="1"/>
  <c r="H1346" i="1"/>
  <c r="G1346" i="1"/>
  <c r="F1346" i="1"/>
  <c r="E1346" i="1"/>
  <c r="D1346" i="1"/>
  <c r="C1346" i="1"/>
  <c r="V1345" i="1"/>
  <c r="Q1345" i="1"/>
  <c r="P1345" i="1"/>
  <c r="O1345" i="1"/>
  <c r="N1345" i="1"/>
  <c r="J1345" i="1"/>
  <c r="I1345" i="1"/>
  <c r="H1345" i="1"/>
  <c r="G1345" i="1"/>
  <c r="F1345" i="1"/>
  <c r="E1345" i="1"/>
  <c r="D1345" i="1"/>
  <c r="C1345" i="1"/>
  <c r="V1344" i="1"/>
  <c r="Q1344" i="1"/>
  <c r="P1344" i="1"/>
  <c r="O1344" i="1"/>
  <c r="N1344" i="1"/>
  <c r="J1344" i="1"/>
  <c r="I1344" i="1"/>
  <c r="H1344" i="1"/>
  <c r="G1344" i="1"/>
  <c r="F1344" i="1"/>
  <c r="E1344" i="1"/>
  <c r="D1344" i="1"/>
  <c r="C1344" i="1"/>
  <c r="V1343" i="1"/>
  <c r="Q1343" i="1"/>
  <c r="P1343" i="1"/>
  <c r="O1343" i="1"/>
  <c r="N1343" i="1"/>
  <c r="J1343" i="1"/>
  <c r="I1343" i="1"/>
  <c r="H1343" i="1"/>
  <c r="G1343" i="1"/>
  <c r="F1343" i="1"/>
  <c r="E1343" i="1"/>
  <c r="D1343" i="1"/>
  <c r="C1343" i="1"/>
  <c r="V1342" i="1"/>
  <c r="Q1342" i="1"/>
  <c r="P1342" i="1"/>
  <c r="O1342" i="1"/>
  <c r="N1342" i="1"/>
  <c r="J1342" i="1"/>
  <c r="I1342" i="1"/>
  <c r="H1342" i="1"/>
  <c r="G1342" i="1"/>
  <c r="F1342" i="1"/>
  <c r="E1342" i="1"/>
  <c r="D1342" i="1"/>
  <c r="C1342" i="1"/>
  <c r="V1341" i="1"/>
  <c r="Q1341" i="1"/>
  <c r="P1341" i="1"/>
  <c r="O1341" i="1"/>
  <c r="N1341" i="1"/>
  <c r="J1341" i="1"/>
  <c r="I1341" i="1"/>
  <c r="H1341" i="1"/>
  <c r="G1341" i="1"/>
  <c r="F1341" i="1"/>
  <c r="E1341" i="1"/>
  <c r="D1341" i="1"/>
  <c r="C1341" i="1"/>
  <c r="V1340" i="1"/>
  <c r="Q1340" i="1"/>
  <c r="P1340" i="1"/>
  <c r="O1340" i="1"/>
  <c r="N1340" i="1"/>
  <c r="J1340" i="1"/>
  <c r="I1340" i="1"/>
  <c r="H1340" i="1"/>
  <c r="G1340" i="1"/>
  <c r="F1340" i="1"/>
  <c r="E1340" i="1"/>
  <c r="D1340" i="1"/>
  <c r="C1340" i="1"/>
  <c r="V1339" i="1"/>
  <c r="Q1339" i="1"/>
  <c r="P1339" i="1"/>
  <c r="O1339" i="1"/>
  <c r="N1339" i="1"/>
  <c r="J1339" i="1"/>
  <c r="I1339" i="1"/>
  <c r="H1339" i="1"/>
  <c r="G1339" i="1"/>
  <c r="F1339" i="1"/>
  <c r="E1339" i="1"/>
  <c r="D1339" i="1"/>
  <c r="C1339" i="1"/>
  <c r="V1338" i="1"/>
  <c r="Q1338" i="1"/>
  <c r="P1338" i="1"/>
  <c r="O1338" i="1"/>
  <c r="N1338" i="1"/>
  <c r="J1338" i="1"/>
  <c r="I1338" i="1"/>
  <c r="H1338" i="1"/>
  <c r="G1338" i="1"/>
  <c r="F1338" i="1"/>
  <c r="E1338" i="1"/>
  <c r="D1338" i="1"/>
  <c r="C1338" i="1"/>
  <c r="V1337" i="1"/>
  <c r="Q1337" i="1"/>
  <c r="P1337" i="1"/>
  <c r="O1337" i="1"/>
  <c r="N1337" i="1"/>
  <c r="J1337" i="1"/>
  <c r="I1337" i="1"/>
  <c r="H1337" i="1"/>
  <c r="G1337" i="1"/>
  <c r="F1337" i="1"/>
  <c r="E1337" i="1"/>
  <c r="D1337" i="1"/>
  <c r="C1337" i="1"/>
  <c r="V1336" i="1"/>
  <c r="Q1336" i="1"/>
  <c r="P1336" i="1"/>
  <c r="O1336" i="1"/>
  <c r="N1336" i="1"/>
  <c r="J1336" i="1"/>
  <c r="I1336" i="1"/>
  <c r="H1336" i="1"/>
  <c r="G1336" i="1"/>
  <c r="F1336" i="1"/>
  <c r="E1336" i="1"/>
  <c r="D1336" i="1"/>
  <c r="C1336" i="1"/>
  <c r="V1335" i="1"/>
  <c r="Q1335" i="1"/>
  <c r="P1335" i="1"/>
  <c r="O1335" i="1"/>
  <c r="N1335" i="1"/>
  <c r="J1335" i="1"/>
  <c r="I1335" i="1"/>
  <c r="H1335" i="1"/>
  <c r="G1335" i="1"/>
  <c r="F1335" i="1"/>
  <c r="E1335" i="1"/>
  <c r="D1335" i="1"/>
  <c r="C1335" i="1"/>
  <c r="V1334" i="1"/>
  <c r="Q1334" i="1"/>
  <c r="P1334" i="1"/>
  <c r="O1334" i="1"/>
  <c r="N1334" i="1"/>
  <c r="J1334" i="1"/>
  <c r="I1334" i="1"/>
  <c r="H1334" i="1"/>
  <c r="G1334" i="1"/>
  <c r="F1334" i="1"/>
  <c r="E1334" i="1"/>
  <c r="D1334" i="1"/>
  <c r="C1334" i="1"/>
  <c r="V1333" i="1"/>
  <c r="Q1333" i="1"/>
  <c r="P1333" i="1"/>
  <c r="O1333" i="1"/>
  <c r="N1333" i="1"/>
  <c r="J1333" i="1"/>
  <c r="I1333" i="1"/>
  <c r="H1333" i="1"/>
  <c r="G1333" i="1"/>
  <c r="F1333" i="1"/>
  <c r="E1333" i="1"/>
  <c r="D1333" i="1"/>
  <c r="C1333" i="1"/>
  <c r="V1332" i="1"/>
  <c r="Q1332" i="1"/>
  <c r="P1332" i="1"/>
  <c r="O1332" i="1"/>
  <c r="N1332" i="1"/>
  <c r="J1332" i="1"/>
  <c r="I1332" i="1"/>
  <c r="H1332" i="1"/>
  <c r="G1332" i="1"/>
  <c r="F1332" i="1"/>
  <c r="E1332" i="1"/>
  <c r="D1332" i="1"/>
  <c r="C1332" i="1"/>
  <c r="V1331" i="1"/>
  <c r="Q1331" i="1"/>
  <c r="P1331" i="1"/>
  <c r="O1331" i="1"/>
  <c r="N1331" i="1"/>
  <c r="J1331" i="1"/>
  <c r="I1331" i="1"/>
  <c r="H1331" i="1"/>
  <c r="G1331" i="1"/>
  <c r="F1331" i="1"/>
  <c r="E1331" i="1"/>
  <c r="D1331" i="1"/>
  <c r="C1331" i="1"/>
  <c r="V1330" i="1"/>
  <c r="Q1330" i="1"/>
  <c r="P1330" i="1"/>
  <c r="O1330" i="1"/>
  <c r="N1330" i="1"/>
  <c r="J1330" i="1"/>
  <c r="I1330" i="1"/>
  <c r="H1330" i="1"/>
  <c r="G1330" i="1"/>
  <c r="F1330" i="1"/>
  <c r="E1330" i="1"/>
  <c r="D1330" i="1"/>
  <c r="C1330" i="1"/>
  <c r="V1329" i="1"/>
  <c r="Q1329" i="1"/>
  <c r="P1329" i="1"/>
  <c r="O1329" i="1"/>
  <c r="N1329" i="1"/>
  <c r="J1329" i="1"/>
  <c r="I1329" i="1"/>
  <c r="H1329" i="1"/>
  <c r="G1329" i="1"/>
  <c r="F1329" i="1"/>
  <c r="E1329" i="1"/>
  <c r="D1329" i="1"/>
  <c r="C1329" i="1"/>
  <c r="V1328" i="1"/>
  <c r="Q1328" i="1"/>
  <c r="P1328" i="1"/>
  <c r="O1328" i="1"/>
  <c r="N1328" i="1"/>
  <c r="J1328" i="1"/>
  <c r="I1328" i="1"/>
  <c r="H1328" i="1"/>
  <c r="G1328" i="1"/>
  <c r="F1328" i="1"/>
  <c r="E1328" i="1"/>
  <c r="D1328" i="1"/>
  <c r="C1328" i="1"/>
  <c r="V1327" i="1"/>
  <c r="Q1327" i="1"/>
  <c r="P1327" i="1"/>
  <c r="O1327" i="1"/>
  <c r="N1327" i="1"/>
  <c r="J1327" i="1"/>
  <c r="I1327" i="1"/>
  <c r="H1327" i="1"/>
  <c r="G1327" i="1"/>
  <c r="F1327" i="1"/>
  <c r="E1327" i="1"/>
  <c r="D1327" i="1"/>
  <c r="C1327" i="1"/>
  <c r="V1326" i="1"/>
  <c r="Q1326" i="1"/>
  <c r="P1326" i="1"/>
  <c r="O1326" i="1"/>
  <c r="N1326" i="1"/>
  <c r="J1326" i="1"/>
  <c r="I1326" i="1"/>
  <c r="H1326" i="1"/>
  <c r="G1326" i="1"/>
  <c r="F1326" i="1"/>
  <c r="E1326" i="1"/>
  <c r="D1326" i="1"/>
  <c r="C1326" i="1"/>
  <c r="V1325" i="1"/>
  <c r="Q1325" i="1"/>
  <c r="P1325" i="1"/>
  <c r="O1325" i="1"/>
  <c r="N1325" i="1"/>
  <c r="J1325" i="1"/>
  <c r="I1325" i="1"/>
  <c r="H1325" i="1"/>
  <c r="G1325" i="1"/>
  <c r="F1325" i="1"/>
  <c r="E1325" i="1"/>
  <c r="D1325" i="1"/>
  <c r="C1325" i="1"/>
  <c r="V1324" i="1"/>
  <c r="Q1324" i="1"/>
  <c r="P1324" i="1"/>
  <c r="O1324" i="1"/>
  <c r="N1324" i="1"/>
  <c r="J1324" i="1"/>
  <c r="I1324" i="1"/>
  <c r="H1324" i="1"/>
  <c r="G1324" i="1"/>
  <c r="F1324" i="1"/>
  <c r="E1324" i="1"/>
  <c r="D1324" i="1"/>
  <c r="C1324" i="1"/>
  <c r="V1323" i="1"/>
  <c r="Q1323" i="1"/>
  <c r="P1323" i="1"/>
  <c r="O1323" i="1"/>
  <c r="N1323" i="1"/>
  <c r="J1323" i="1"/>
  <c r="I1323" i="1"/>
  <c r="H1323" i="1"/>
  <c r="G1323" i="1"/>
  <c r="F1323" i="1"/>
  <c r="E1323" i="1"/>
  <c r="D1323" i="1"/>
  <c r="C1323" i="1"/>
  <c r="V1322" i="1"/>
  <c r="Q1322" i="1"/>
  <c r="P1322" i="1"/>
  <c r="O1322" i="1"/>
  <c r="N1322" i="1"/>
  <c r="J1322" i="1"/>
  <c r="I1322" i="1"/>
  <c r="H1322" i="1"/>
  <c r="G1322" i="1"/>
  <c r="F1322" i="1"/>
  <c r="E1322" i="1"/>
  <c r="D1322" i="1"/>
  <c r="C1322" i="1"/>
  <c r="V1321" i="1"/>
  <c r="Q1321" i="1"/>
  <c r="P1321" i="1"/>
  <c r="O1321" i="1"/>
  <c r="N1321" i="1"/>
  <c r="J1321" i="1"/>
  <c r="I1321" i="1"/>
  <c r="H1321" i="1"/>
  <c r="G1321" i="1"/>
  <c r="F1321" i="1"/>
  <c r="E1321" i="1"/>
  <c r="D1321" i="1"/>
  <c r="C1321" i="1"/>
  <c r="V1320" i="1"/>
  <c r="Q1320" i="1"/>
  <c r="P1320" i="1"/>
  <c r="O1320" i="1"/>
  <c r="N1320" i="1"/>
  <c r="J1320" i="1"/>
  <c r="I1320" i="1"/>
  <c r="H1320" i="1"/>
  <c r="G1320" i="1"/>
  <c r="F1320" i="1"/>
  <c r="E1320" i="1"/>
  <c r="D1320" i="1"/>
  <c r="C1320" i="1"/>
  <c r="V1319" i="1"/>
  <c r="Q1319" i="1"/>
  <c r="P1319" i="1"/>
  <c r="O1319" i="1"/>
  <c r="N1319" i="1"/>
  <c r="J1319" i="1"/>
  <c r="I1319" i="1"/>
  <c r="H1319" i="1"/>
  <c r="G1319" i="1"/>
  <c r="F1319" i="1"/>
  <c r="E1319" i="1"/>
  <c r="D1319" i="1"/>
  <c r="C1319" i="1"/>
  <c r="V1318" i="1"/>
  <c r="Q1318" i="1"/>
  <c r="P1318" i="1"/>
  <c r="O1318" i="1"/>
  <c r="N1318" i="1"/>
  <c r="J1318" i="1"/>
  <c r="I1318" i="1"/>
  <c r="H1318" i="1"/>
  <c r="G1318" i="1"/>
  <c r="F1318" i="1"/>
  <c r="E1318" i="1"/>
  <c r="D1318" i="1"/>
  <c r="C1318" i="1"/>
  <c r="V1317" i="1"/>
  <c r="Q1317" i="1"/>
  <c r="P1317" i="1"/>
  <c r="O1317" i="1"/>
  <c r="N1317" i="1"/>
  <c r="J1317" i="1"/>
  <c r="I1317" i="1"/>
  <c r="H1317" i="1"/>
  <c r="G1317" i="1"/>
  <c r="F1317" i="1"/>
  <c r="E1317" i="1"/>
  <c r="D1317" i="1"/>
  <c r="C1317" i="1"/>
  <c r="V1316" i="1"/>
  <c r="Q1316" i="1"/>
  <c r="P1316" i="1"/>
  <c r="O1316" i="1"/>
  <c r="N1316" i="1"/>
  <c r="J1316" i="1"/>
  <c r="I1316" i="1"/>
  <c r="H1316" i="1"/>
  <c r="G1316" i="1"/>
  <c r="F1316" i="1"/>
  <c r="E1316" i="1"/>
  <c r="D1316" i="1"/>
  <c r="C1316" i="1"/>
  <c r="V1315" i="1"/>
  <c r="Q1315" i="1"/>
  <c r="P1315" i="1"/>
  <c r="O1315" i="1"/>
  <c r="N1315" i="1"/>
  <c r="J1315" i="1"/>
  <c r="I1315" i="1"/>
  <c r="H1315" i="1"/>
  <c r="G1315" i="1"/>
  <c r="F1315" i="1"/>
  <c r="E1315" i="1"/>
  <c r="D1315" i="1"/>
  <c r="C1315" i="1"/>
  <c r="V1314" i="1"/>
  <c r="Q1314" i="1"/>
  <c r="P1314" i="1"/>
  <c r="O1314" i="1"/>
  <c r="N1314" i="1"/>
  <c r="J1314" i="1"/>
  <c r="I1314" i="1"/>
  <c r="H1314" i="1"/>
  <c r="G1314" i="1"/>
  <c r="F1314" i="1"/>
  <c r="E1314" i="1"/>
  <c r="D1314" i="1"/>
  <c r="C1314" i="1"/>
  <c r="V1313" i="1"/>
  <c r="Q1313" i="1"/>
  <c r="P1313" i="1"/>
  <c r="O1313" i="1"/>
  <c r="N1313" i="1"/>
  <c r="J1313" i="1"/>
  <c r="I1313" i="1"/>
  <c r="H1313" i="1"/>
  <c r="G1313" i="1"/>
  <c r="F1313" i="1"/>
  <c r="E1313" i="1"/>
  <c r="D1313" i="1"/>
  <c r="C1313" i="1"/>
  <c r="V1312" i="1"/>
  <c r="Q1312" i="1"/>
  <c r="P1312" i="1"/>
  <c r="O1312" i="1"/>
  <c r="N1312" i="1"/>
  <c r="J1312" i="1"/>
  <c r="I1312" i="1"/>
  <c r="H1312" i="1"/>
  <c r="G1312" i="1"/>
  <c r="F1312" i="1"/>
  <c r="E1312" i="1"/>
  <c r="D1312" i="1"/>
  <c r="C1312" i="1"/>
  <c r="V1311" i="1"/>
  <c r="Q1311" i="1"/>
  <c r="P1311" i="1"/>
  <c r="O1311" i="1"/>
  <c r="N1311" i="1"/>
  <c r="J1311" i="1"/>
  <c r="I1311" i="1"/>
  <c r="H1311" i="1"/>
  <c r="G1311" i="1"/>
  <c r="F1311" i="1"/>
  <c r="E1311" i="1"/>
  <c r="D1311" i="1"/>
  <c r="C1311" i="1"/>
  <c r="V1310" i="1"/>
  <c r="Q1310" i="1"/>
  <c r="P1310" i="1"/>
  <c r="O1310" i="1"/>
  <c r="N1310" i="1"/>
  <c r="J1310" i="1"/>
  <c r="I1310" i="1"/>
  <c r="H1310" i="1"/>
  <c r="G1310" i="1"/>
  <c r="F1310" i="1"/>
  <c r="E1310" i="1"/>
  <c r="D1310" i="1"/>
  <c r="C1310" i="1"/>
  <c r="V1309" i="1"/>
  <c r="Q1309" i="1"/>
  <c r="P1309" i="1"/>
  <c r="O1309" i="1"/>
  <c r="N1309" i="1"/>
  <c r="J1309" i="1"/>
  <c r="I1309" i="1"/>
  <c r="H1309" i="1"/>
  <c r="G1309" i="1"/>
  <c r="F1309" i="1"/>
  <c r="E1309" i="1"/>
  <c r="D1309" i="1"/>
  <c r="C1309" i="1"/>
  <c r="V1308" i="1"/>
  <c r="Q1308" i="1"/>
  <c r="P1308" i="1"/>
  <c r="O1308" i="1"/>
  <c r="N1308" i="1"/>
  <c r="J1308" i="1"/>
  <c r="I1308" i="1"/>
  <c r="H1308" i="1"/>
  <c r="G1308" i="1"/>
  <c r="F1308" i="1"/>
  <c r="E1308" i="1"/>
  <c r="D1308" i="1"/>
  <c r="C1308" i="1"/>
  <c r="V1307" i="1"/>
  <c r="Q1307" i="1"/>
  <c r="P1307" i="1"/>
  <c r="O1307" i="1"/>
  <c r="N1307" i="1"/>
  <c r="J1307" i="1"/>
  <c r="I1307" i="1"/>
  <c r="H1307" i="1"/>
  <c r="G1307" i="1"/>
  <c r="F1307" i="1"/>
  <c r="E1307" i="1"/>
  <c r="D1307" i="1"/>
  <c r="C1307" i="1"/>
  <c r="V1306" i="1"/>
  <c r="Q1306" i="1"/>
  <c r="P1306" i="1"/>
  <c r="O1306" i="1"/>
  <c r="N1306" i="1"/>
  <c r="J1306" i="1"/>
  <c r="I1306" i="1"/>
  <c r="H1306" i="1"/>
  <c r="G1306" i="1"/>
  <c r="F1306" i="1"/>
  <c r="E1306" i="1"/>
  <c r="D1306" i="1"/>
  <c r="C1306" i="1"/>
  <c r="V1305" i="1"/>
  <c r="Q1305" i="1"/>
  <c r="P1305" i="1"/>
  <c r="O1305" i="1"/>
  <c r="N1305" i="1"/>
  <c r="J1305" i="1"/>
  <c r="I1305" i="1"/>
  <c r="H1305" i="1"/>
  <c r="G1305" i="1"/>
  <c r="F1305" i="1"/>
  <c r="E1305" i="1"/>
  <c r="D1305" i="1"/>
  <c r="C1305" i="1"/>
  <c r="V1304" i="1"/>
  <c r="Q1304" i="1"/>
  <c r="P1304" i="1"/>
  <c r="O1304" i="1"/>
  <c r="N1304" i="1"/>
  <c r="J1304" i="1"/>
  <c r="I1304" i="1"/>
  <c r="H1304" i="1"/>
  <c r="G1304" i="1"/>
  <c r="F1304" i="1"/>
  <c r="E1304" i="1"/>
  <c r="D1304" i="1"/>
  <c r="C1304" i="1"/>
  <c r="V1303" i="1"/>
  <c r="Q1303" i="1"/>
  <c r="P1303" i="1"/>
  <c r="O1303" i="1"/>
  <c r="N1303" i="1"/>
  <c r="J1303" i="1"/>
  <c r="I1303" i="1"/>
  <c r="H1303" i="1"/>
  <c r="G1303" i="1"/>
  <c r="F1303" i="1"/>
  <c r="E1303" i="1"/>
  <c r="D1303" i="1"/>
  <c r="C1303" i="1"/>
  <c r="V1302" i="1"/>
  <c r="Q1302" i="1"/>
  <c r="P1302" i="1"/>
  <c r="O1302" i="1"/>
  <c r="N1302" i="1"/>
  <c r="J1302" i="1"/>
  <c r="I1302" i="1"/>
  <c r="H1302" i="1"/>
  <c r="G1302" i="1"/>
  <c r="F1302" i="1"/>
  <c r="E1302" i="1"/>
  <c r="D1302" i="1"/>
  <c r="C1302" i="1"/>
  <c r="V1301" i="1"/>
  <c r="Q1301" i="1"/>
  <c r="P1301" i="1"/>
  <c r="O1301" i="1"/>
  <c r="N1301" i="1"/>
  <c r="J1301" i="1"/>
  <c r="I1301" i="1"/>
  <c r="H1301" i="1"/>
  <c r="G1301" i="1"/>
  <c r="F1301" i="1"/>
  <c r="E1301" i="1"/>
  <c r="D1301" i="1"/>
  <c r="C1301" i="1"/>
  <c r="V1300" i="1"/>
  <c r="Q1300" i="1"/>
  <c r="P1300" i="1"/>
  <c r="O1300" i="1"/>
  <c r="N1300" i="1"/>
  <c r="J1300" i="1"/>
  <c r="I1300" i="1"/>
  <c r="H1300" i="1"/>
  <c r="G1300" i="1"/>
  <c r="F1300" i="1"/>
  <c r="E1300" i="1"/>
  <c r="D1300" i="1"/>
  <c r="C1300" i="1"/>
  <c r="V1299" i="1"/>
  <c r="Q1299" i="1"/>
  <c r="P1299" i="1"/>
  <c r="O1299" i="1"/>
  <c r="N1299" i="1"/>
  <c r="J1299" i="1"/>
  <c r="I1299" i="1"/>
  <c r="H1299" i="1"/>
  <c r="G1299" i="1"/>
  <c r="F1299" i="1"/>
  <c r="E1299" i="1"/>
  <c r="D1299" i="1"/>
  <c r="C1299" i="1"/>
  <c r="V1298" i="1"/>
  <c r="Q1298" i="1"/>
  <c r="P1298" i="1"/>
  <c r="O1298" i="1"/>
  <c r="N1298" i="1"/>
  <c r="J1298" i="1"/>
  <c r="I1298" i="1"/>
  <c r="H1298" i="1"/>
  <c r="G1298" i="1"/>
  <c r="F1298" i="1"/>
  <c r="E1298" i="1"/>
  <c r="D1298" i="1"/>
  <c r="C1298" i="1"/>
  <c r="V1297" i="1"/>
  <c r="Q1297" i="1"/>
  <c r="P1297" i="1"/>
  <c r="O1297" i="1"/>
  <c r="N1297" i="1"/>
  <c r="J1297" i="1"/>
  <c r="I1297" i="1"/>
  <c r="H1297" i="1"/>
  <c r="G1297" i="1"/>
  <c r="F1297" i="1"/>
  <c r="E1297" i="1"/>
  <c r="D1297" i="1"/>
  <c r="C1297" i="1"/>
  <c r="V1296" i="1"/>
  <c r="Q1296" i="1"/>
  <c r="P1296" i="1"/>
  <c r="O1296" i="1"/>
  <c r="N1296" i="1"/>
  <c r="J1296" i="1"/>
  <c r="I1296" i="1"/>
  <c r="H1296" i="1"/>
  <c r="G1296" i="1"/>
  <c r="F1296" i="1"/>
  <c r="E1296" i="1"/>
  <c r="D1296" i="1"/>
  <c r="C1296" i="1"/>
  <c r="V1295" i="1"/>
  <c r="Q1295" i="1"/>
  <c r="P1295" i="1"/>
  <c r="O1295" i="1"/>
  <c r="N1295" i="1"/>
  <c r="J1295" i="1"/>
  <c r="I1295" i="1"/>
  <c r="H1295" i="1"/>
  <c r="G1295" i="1"/>
  <c r="F1295" i="1"/>
  <c r="E1295" i="1"/>
  <c r="D1295" i="1"/>
  <c r="C1295" i="1"/>
  <c r="V1294" i="1"/>
  <c r="Q1294" i="1"/>
  <c r="P1294" i="1"/>
  <c r="O1294" i="1"/>
  <c r="N1294" i="1"/>
  <c r="J1294" i="1"/>
  <c r="I1294" i="1"/>
  <c r="H1294" i="1"/>
  <c r="G1294" i="1"/>
  <c r="F1294" i="1"/>
  <c r="E1294" i="1"/>
  <c r="D1294" i="1"/>
  <c r="C1294" i="1"/>
  <c r="V1293" i="1"/>
  <c r="Q1293" i="1"/>
  <c r="P1293" i="1"/>
  <c r="O1293" i="1"/>
  <c r="N1293" i="1"/>
  <c r="J1293" i="1"/>
  <c r="I1293" i="1"/>
  <c r="H1293" i="1"/>
  <c r="G1293" i="1"/>
  <c r="F1293" i="1"/>
  <c r="E1293" i="1"/>
  <c r="D1293" i="1"/>
  <c r="C1293" i="1"/>
  <c r="V1292" i="1"/>
  <c r="Q1292" i="1"/>
  <c r="P1292" i="1"/>
  <c r="O1292" i="1"/>
  <c r="N1292" i="1"/>
  <c r="J1292" i="1"/>
  <c r="I1292" i="1"/>
  <c r="H1292" i="1"/>
  <c r="G1292" i="1"/>
  <c r="F1292" i="1"/>
  <c r="E1292" i="1"/>
  <c r="D1292" i="1"/>
  <c r="C1292" i="1"/>
  <c r="V1291" i="1"/>
  <c r="Q1291" i="1"/>
  <c r="P1291" i="1"/>
  <c r="O1291" i="1"/>
  <c r="N1291" i="1"/>
  <c r="J1291" i="1"/>
  <c r="I1291" i="1"/>
  <c r="H1291" i="1"/>
  <c r="G1291" i="1"/>
  <c r="F1291" i="1"/>
  <c r="E1291" i="1"/>
  <c r="D1291" i="1"/>
  <c r="C1291" i="1"/>
  <c r="V1290" i="1"/>
  <c r="Q1290" i="1"/>
  <c r="P1290" i="1"/>
  <c r="O1290" i="1"/>
  <c r="N1290" i="1"/>
  <c r="J1290" i="1"/>
  <c r="I1290" i="1"/>
  <c r="H1290" i="1"/>
  <c r="G1290" i="1"/>
  <c r="F1290" i="1"/>
  <c r="E1290" i="1"/>
  <c r="D1290" i="1"/>
  <c r="C1290" i="1"/>
  <c r="V1289" i="1"/>
  <c r="Q1289" i="1"/>
  <c r="P1289" i="1"/>
  <c r="O1289" i="1"/>
  <c r="N1289" i="1"/>
  <c r="J1289" i="1"/>
  <c r="I1289" i="1"/>
  <c r="H1289" i="1"/>
  <c r="G1289" i="1"/>
  <c r="F1289" i="1"/>
  <c r="E1289" i="1"/>
  <c r="D1289" i="1"/>
  <c r="C1289" i="1"/>
  <c r="V1288" i="1"/>
  <c r="Q1288" i="1"/>
  <c r="P1288" i="1"/>
  <c r="O1288" i="1"/>
  <c r="N1288" i="1"/>
  <c r="J1288" i="1"/>
  <c r="I1288" i="1"/>
  <c r="H1288" i="1"/>
  <c r="G1288" i="1"/>
  <c r="F1288" i="1"/>
  <c r="E1288" i="1"/>
  <c r="D1288" i="1"/>
  <c r="C1288" i="1"/>
  <c r="V1287" i="1"/>
  <c r="Q1287" i="1"/>
  <c r="P1287" i="1"/>
  <c r="O1287" i="1"/>
  <c r="N1287" i="1"/>
  <c r="J1287" i="1"/>
  <c r="I1287" i="1"/>
  <c r="H1287" i="1"/>
  <c r="G1287" i="1"/>
  <c r="F1287" i="1"/>
  <c r="E1287" i="1"/>
  <c r="D1287" i="1"/>
  <c r="C1287" i="1"/>
  <c r="V1286" i="1"/>
  <c r="Q1286" i="1"/>
  <c r="P1286" i="1"/>
  <c r="O1286" i="1"/>
  <c r="N1286" i="1"/>
  <c r="J1286" i="1"/>
  <c r="I1286" i="1"/>
  <c r="H1286" i="1"/>
  <c r="G1286" i="1"/>
  <c r="F1286" i="1"/>
  <c r="E1286" i="1"/>
  <c r="D1286" i="1"/>
  <c r="C1286" i="1"/>
  <c r="V1285" i="1"/>
  <c r="Q1285" i="1"/>
  <c r="P1285" i="1"/>
  <c r="O1285" i="1"/>
  <c r="N1285" i="1"/>
  <c r="J1285" i="1"/>
  <c r="I1285" i="1"/>
  <c r="H1285" i="1"/>
  <c r="G1285" i="1"/>
  <c r="F1285" i="1"/>
  <c r="E1285" i="1"/>
  <c r="D1285" i="1"/>
  <c r="C1285" i="1"/>
  <c r="V1284" i="1"/>
  <c r="Q1284" i="1"/>
  <c r="P1284" i="1"/>
  <c r="O1284" i="1"/>
  <c r="N1284" i="1"/>
  <c r="J1284" i="1"/>
  <c r="I1284" i="1"/>
  <c r="H1284" i="1"/>
  <c r="G1284" i="1"/>
  <c r="F1284" i="1"/>
  <c r="E1284" i="1"/>
  <c r="D1284" i="1"/>
  <c r="C1284" i="1"/>
  <c r="V1283" i="1"/>
  <c r="Q1283" i="1"/>
  <c r="P1283" i="1"/>
  <c r="O1283" i="1"/>
  <c r="N1283" i="1"/>
  <c r="J1283" i="1"/>
  <c r="I1283" i="1"/>
  <c r="H1283" i="1"/>
  <c r="G1283" i="1"/>
  <c r="F1283" i="1"/>
  <c r="E1283" i="1"/>
  <c r="D1283" i="1"/>
  <c r="C1283" i="1"/>
  <c r="V1282" i="1"/>
  <c r="Q1282" i="1"/>
  <c r="P1282" i="1"/>
  <c r="O1282" i="1"/>
  <c r="N1282" i="1"/>
  <c r="I1282" i="1"/>
  <c r="H1282" i="1"/>
  <c r="G1282" i="1"/>
  <c r="F1282" i="1"/>
  <c r="E1282" i="1"/>
  <c r="D1282" i="1"/>
  <c r="C1282" i="1"/>
  <c r="V1281" i="1"/>
  <c r="Q1281" i="1"/>
  <c r="P1281" i="1"/>
  <c r="O1281" i="1"/>
  <c r="N1281" i="1"/>
  <c r="I1281" i="1"/>
  <c r="H1281" i="1"/>
  <c r="G1281" i="1"/>
  <c r="F1281" i="1"/>
  <c r="E1281" i="1"/>
  <c r="D1281" i="1"/>
  <c r="C1281" i="1"/>
  <c r="V1280" i="1"/>
  <c r="Q1280" i="1"/>
  <c r="P1280" i="1"/>
  <c r="O1280" i="1"/>
  <c r="N1280" i="1"/>
  <c r="I1280" i="1"/>
  <c r="H1280" i="1"/>
  <c r="G1280" i="1"/>
  <c r="F1280" i="1"/>
  <c r="E1280" i="1"/>
  <c r="D1280" i="1"/>
  <c r="C1280" i="1"/>
  <c r="V1279" i="1"/>
  <c r="Q1279" i="1"/>
  <c r="P1279" i="1"/>
  <c r="O1279" i="1"/>
  <c r="N1279" i="1"/>
  <c r="I1279" i="1"/>
  <c r="H1279" i="1"/>
  <c r="G1279" i="1"/>
  <c r="F1279" i="1"/>
  <c r="E1279" i="1"/>
  <c r="D1279" i="1"/>
  <c r="C1279" i="1"/>
  <c r="V1278" i="1"/>
  <c r="Q1278" i="1"/>
  <c r="P1278" i="1"/>
  <c r="O1278" i="1"/>
  <c r="N1278" i="1"/>
  <c r="I1278" i="1"/>
  <c r="H1278" i="1"/>
  <c r="G1278" i="1"/>
  <c r="F1278" i="1"/>
  <c r="E1278" i="1"/>
  <c r="D1278" i="1"/>
  <c r="C1278" i="1"/>
  <c r="V1277" i="1"/>
  <c r="Q1277" i="1"/>
  <c r="P1277" i="1"/>
  <c r="O1277" i="1"/>
  <c r="N1277" i="1"/>
  <c r="I1277" i="1"/>
  <c r="H1277" i="1"/>
  <c r="G1277" i="1"/>
  <c r="F1277" i="1"/>
  <c r="E1277" i="1"/>
  <c r="D1277" i="1"/>
  <c r="C1277" i="1"/>
  <c r="V1276" i="1"/>
  <c r="Q1276" i="1"/>
  <c r="P1276" i="1"/>
  <c r="O1276" i="1"/>
  <c r="N1276" i="1"/>
  <c r="I1276" i="1"/>
  <c r="H1276" i="1"/>
  <c r="G1276" i="1"/>
  <c r="F1276" i="1"/>
  <c r="E1276" i="1"/>
  <c r="D1276" i="1"/>
  <c r="C1276" i="1"/>
  <c r="V1275" i="1"/>
  <c r="Q1275" i="1"/>
  <c r="P1275" i="1"/>
  <c r="O1275" i="1"/>
  <c r="N1275" i="1"/>
  <c r="I1275" i="1"/>
  <c r="H1275" i="1"/>
  <c r="G1275" i="1"/>
  <c r="F1275" i="1"/>
  <c r="E1275" i="1"/>
  <c r="D1275" i="1"/>
  <c r="C1275" i="1"/>
  <c r="V1274" i="1"/>
  <c r="Q1274" i="1"/>
  <c r="P1274" i="1"/>
  <c r="O1274" i="1"/>
  <c r="N1274" i="1"/>
  <c r="I1274" i="1"/>
  <c r="H1274" i="1"/>
  <c r="G1274" i="1"/>
  <c r="F1274" i="1"/>
  <c r="E1274" i="1"/>
  <c r="D1274" i="1"/>
  <c r="C1274" i="1"/>
  <c r="V1273" i="1"/>
  <c r="Q1273" i="1"/>
  <c r="P1273" i="1"/>
  <c r="O1273" i="1"/>
  <c r="N1273" i="1"/>
  <c r="I1273" i="1"/>
  <c r="H1273" i="1"/>
  <c r="G1273" i="1"/>
  <c r="F1273" i="1"/>
  <c r="E1273" i="1"/>
  <c r="D1273" i="1"/>
  <c r="C1273" i="1"/>
  <c r="V1272" i="1"/>
  <c r="Q1272" i="1"/>
  <c r="P1272" i="1"/>
  <c r="O1272" i="1"/>
  <c r="N1272" i="1"/>
  <c r="I1272" i="1"/>
  <c r="H1272" i="1"/>
  <c r="G1272" i="1"/>
  <c r="F1272" i="1"/>
  <c r="E1272" i="1"/>
  <c r="D1272" i="1"/>
  <c r="C1272" i="1"/>
  <c r="V1271" i="1"/>
  <c r="Q1271" i="1"/>
  <c r="P1271" i="1"/>
  <c r="O1271" i="1"/>
  <c r="N1271" i="1"/>
  <c r="I1271" i="1"/>
  <c r="H1271" i="1"/>
  <c r="G1271" i="1"/>
  <c r="F1271" i="1"/>
  <c r="E1271" i="1"/>
  <c r="D1271" i="1"/>
  <c r="C1271" i="1"/>
  <c r="V1270" i="1"/>
  <c r="Q1270" i="1"/>
  <c r="P1270" i="1"/>
  <c r="O1270" i="1"/>
  <c r="N1270" i="1"/>
  <c r="I1270" i="1"/>
  <c r="H1270" i="1"/>
  <c r="G1270" i="1"/>
  <c r="F1270" i="1"/>
  <c r="E1270" i="1"/>
  <c r="D1270" i="1"/>
  <c r="C1270" i="1"/>
  <c r="V1269" i="1"/>
  <c r="Q1269" i="1"/>
  <c r="P1269" i="1"/>
  <c r="O1269" i="1"/>
  <c r="N1269" i="1"/>
  <c r="I1269" i="1"/>
  <c r="H1269" i="1"/>
  <c r="G1269" i="1"/>
  <c r="F1269" i="1"/>
  <c r="E1269" i="1"/>
  <c r="D1269" i="1"/>
  <c r="C1269" i="1"/>
  <c r="V1268" i="1"/>
  <c r="Q1268" i="1"/>
  <c r="P1268" i="1"/>
  <c r="O1268" i="1"/>
  <c r="N1268" i="1"/>
  <c r="I1268" i="1"/>
  <c r="H1268" i="1"/>
  <c r="G1268" i="1"/>
  <c r="F1268" i="1"/>
  <c r="E1268" i="1"/>
  <c r="D1268" i="1"/>
  <c r="C1268" i="1"/>
  <c r="V1267" i="1"/>
  <c r="Q1267" i="1"/>
  <c r="P1267" i="1"/>
  <c r="O1267" i="1"/>
  <c r="N1267" i="1"/>
  <c r="I1267" i="1"/>
  <c r="H1267" i="1"/>
  <c r="G1267" i="1"/>
  <c r="F1267" i="1"/>
  <c r="E1267" i="1"/>
  <c r="D1267" i="1"/>
  <c r="C1267" i="1"/>
  <c r="V1266" i="1"/>
  <c r="Q1266" i="1"/>
  <c r="P1266" i="1"/>
  <c r="O1266" i="1"/>
  <c r="N1266" i="1"/>
  <c r="I1266" i="1"/>
  <c r="H1266" i="1"/>
  <c r="G1266" i="1"/>
  <c r="F1266" i="1"/>
  <c r="E1266" i="1"/>
  <c r="D1266" i="1"/>
  <c r="C1266" i="1"/>
  <c r="V1265" i="1"/>
  <c r="Q1265" i="1"/>
  <c r="P1265" i="1"/>
  <c r="O1265" i="1"/>
  <c r="N1265" i="1"/>
  <c r="I1265" i="1"/>
  <c r="H1265" i="1"/>
  <c r="G1265" i="1"/>
  <c r="F1265" i="1"/>
  <c r="E1265" i="1"/>
  <c r="D1265" i="1"/>
  <c r="C1265" i="1"/>
  <c r="V1264" i="1"/>
  <c r="Q1264" i="1"/>
  <c r="P1264" i="1"/>
  <c r="O1264" i="1"/>
  <c r="N1264" i="1"/>
  <c r="I1264" i="1"/>
  <c r="H1264" i="1"/>
  <c r="G1264" i="1"/>
  <c r="F1264" i="1"/>
  <c r="E1264" i="1"/>
  <c r="D1264" i="1"/>
  <c r="C1264" i="1"/>
  <c r="V1263" i="1"/>
  <c r="Q1263" i="1"/>
  <c r="P1263" i="1"/>
  <c r="O1263" i="1"/>
  <c r="N1263" i="1"/>
  <c r="I1263" i="1"/>
  <c r="H1263" i="1"/>
  <c r="G1263" i="1"/>
  <c r="F1263" i="1"/>
  <c r="E1263" i="1"/>
  <c r="D1263" i="1"/>
  <c r="C1263" i="1"/>
  <c r="V1262" i="1"/>
  <c r="Q1262" i="1"/>
  <c r="P1262" i="1"/>
  <c r="O1262" i="1"/>
  <c r="N1262" i="1"/>
  <c r="J1262" i="1"/>
  <c r="I1262" i="1"/>
  <c r="H1262" i="1"/>
  <c r="G1262" i="1"/>
  <c r="F1262" i="1"/>
  <c r="E1262" i="1"/>
  <c r="D1262" i="1"/>
  <c r="C1262" i="1"/>
  <c r="V1261" i="1"/>
  <c r="Q1261" i="1"/>
  <c r="P1261" i="1"/>
  <c r="O1261" i="1"/>
  <c r="N1261" i="1"/>
  <c r="J1261" i="1"/>
  <c r="I1261" i="1"/>
  <c r="H1261" i="1"/>
  <c r="G1261" i="1"/>
  <c r="F1261" i="1"/>
  <c r="E1261" i="1"/>
  <c r="D1261" i="1"/>
  <c r="C1261" i="1"/>
  <c r="V1260" i="1"/>
  <c r="Q1260" i="1"/>
  <c r="P1260" i="1"/>
  <c r="O1260" i="1"/>
  <c r="N1260" i="1"/>
  <c r="J1260" i="1"/>
  <c r="I1260" i="1"/>
  <c r="H1260" i="1"/>
  <c r="G1260" i="1"/>
  <c r="F1260" i="1"/>
  <c r="E1260" i="1"/>
  <c r="D1260" i="1"/>
  <c r="C1260" i="1"/>
  <c r="V1259" i="1"/>
  <c r="Q1259" i="1"/>
  <c r="P1259" i="1"/>
  <c r="O1259" i="1"/>
  <c r="N1259" i="1"/>
  <c r="J1259" i="1"/>
  <c r="I1259" i="1"/>
  <c r="H1259" i="1"/>
  <c r="G1259" i="1"/>
  <c r="F1259" i="1"/>
  <c r="E1259" i="1"/>
  <c r="D1259" i="1"/>
  <c r="C1259" i="1"/>
  <c r="V1258" i="1"/>
  <c r="Q1258" i="1"/>
  <c r="P1258" i="1"/>
  <c r="O1258" i="1"/>
  <c r="N1258" i="1"/>
  <c r="J1258" i="1"/>
  <c r="I1258" i="1"/>
  <c r="H1258" i="1"/>
  <c r="G1258" i="1"/>
  <c r="F1258" i="1"/>
  <c r="E1258" i="1"/>
  <c r="D1258" i="1"/>
  <c r="C1258" i="1"/>
  <c r="V1257" i="1"/>
  <c r="Q1257" i="1"/>
  <c r="P1257" i="1"/>
  <c r="O1257" i="1"/>
  <c r="N1257" i="1"/>
  <c r="J1257" i="1"/>
  <c r="I1257" i="1"/>
  <c r="H1257" i="1"/>
  <c r="G1257" i="1"/>
  <c r="F1257" i="1"/>
  <c r="E1257" i="1"/>
  <c r="D1257" i="1"/>
  <c r="C1257" i="1"/>
  <c r="V1256" i="1"/>
  <c r="Q1256" i="1"/>
  <c r="P1256" i="1"/>
  <c r="O1256" i="1"/>
  <c r="N1256" i="1"/>
  <c r="J1256" i="1"/>
  <c r="I1256" i="1"/>
  <c r="H1256" i="1"/>
  <c r="G1256" i="1"/>
  <c r="F1256" i="1"/>
  <c r="E1256" i="1"/>
  <c r="D1256" i="1"/>
  <c r="C1256" i="1"/>
  <c r="V1255" i="1"/>
  <c r="Q1255" i="1"/>
  <c r="P1255" i="1"/>
  <c r="O1255" i="1"/>
  <c r="N1255" i="1"/>
  <c r="J1255" i="1"/>
  <c r="I1255" i="1"/>
  <c r="H1255" i="1"/>
  <c r="G1255" i="1"/>
  <c r="F1255" i="1"/>
  <c r="E1255" i="1"/>
  <c r="D1255" i="1"/>
  <c r="C1255" i="1"/>
  <c r="V1254" i="1"/>
  <c r="Q1254" i="1"/>
  <c r="P1254" i="1"/>
  <c r="O1254" i="1"/>
  <c r="N1254" i="1"/>
  <c r="J1254" i="1"/>
  <c r="I1254" i="1"/>
  <c r="H1254" i="1"/>
  <c r="G1254" i="1"/>
  <c r="F1254" i="1"/>
  <c r="E1254" i="1"/>
  <c r="D1254" i="1"/>
  <c r="C1254" i="1"/>
  <c r="V1253" i="1"/>
  <c r="Q1253" i="1"/>
  <c r="P1253" i="1"/>
  <c r="O1253" i="1"/>
  <c r="N1253" i="1"/>
  <c r="J1253" i="1"/>
  <c r="I1253" i="1"/>
  <c r="H1253" i="1"/>
  <c r="G1253" i="1"/>
  <c r="F1253" i="1"/>
  <c r="E1253" i="1"/>
  <c r="D1253" i="1"/>
  <c r="C1253" i="1"/>
  <c r="V1252" i="1"/>
  <c r="Q1252" i="1"/>
  <c r="P1252" i="1"/>
  <c r="O1252" i="1"/>
  <c r="N1252" i="1"/>
  <c r="J1252" i="1"/>
  <c r="I1252" i="1"/>
  <c r="H1252" i="1"/>
  <c r="G1252" i="1"/>
  <c r="F1252" i="1"/>
  <c r="E1252" i="1"/>
  <c r="D1252" i="1"/>
  <c r="C1252" i="1"/>
  <c r="V1251" i="1"/>
  <c r="Q1251" i="1"/>
  <c r="P1251" i="1"/>
  <c r="O1251" i="1"/>
  <c r="N1251" i="1"/>
  <c r="J1251" i="1"/>
  <c r="I1251" i="1"/>
  <c r="H1251" i="1"/>
  <c r="G1251" i="1"/>
  <c r="F1251" i="1"/>
  <c r="E1251" i="1"/>
  <c r="D1251" i="1"/>
  <c r="C1251" i="1"/>
  <c r="V1250" i="1"/>
  <c r="Q1250" i="1"/>
  <c r="P1250" i="1"/>
  <c r="O1250" i="1"/>
  <c r="N1250" i="1"/>
  <c r="J1250" i="1"/>
  <c r="I1250" i="1"/>
  <c r="H1250" i="1"/>
  <c r="G1250" i="1"/>
  <c r="F1250" i="1"/>
  <c r="E1250" i="1"/>
  <c r="D1250" i="1"/>
  <c r="C1250" i="1"/>
  <c r="V1249" i="1"/>
  <c r="Q1249" i="1"/>
  <c r="P1249" i="1"/>
  <c r="O1249" i="1"/>
  <c r="N1249" i="1"/>
  <c r="J1249" i="1"/>
  <c r="I1249" i="1"/>
  <c r="H1249" i="1"/>
  <c r="G1249" i="1"/>
  <c r="F1249" i="1"/>
  <c r="E1249" i="1"/>
  <c r="D1249" i="1"/>
  <c r="C1249" i="1"/>
  <c r="V1248" i="1"/>
  <c r="Q1248" i="1"/>
  <c r="P1248" i="1"/>
  <c r="O1248" i="1"/>
  <c r="N1248" i="1"/>
  <c r="J1248" i="1"/>
  <c r="I1248" i="1"/>
  <c r="H1248" i="1"/>
  <c r="G1248" i="1"/>
  <c r="F1248" i="1"/>
  <c r="E1248" i="1"/>
  <c r="D1248" i="1"/>
  <c r="C1248" i="1"/>
  <c r="V1247" i="1"/>
  <c r="Q1247" i="1"/>
  <c r="P1247" i="1"/>
  <c r="O1247" i="1"/>
  <c r="N1247" i="1"/>
  <c r="J1247" i="1"/>
  <c r="I1247" i="1"/>
  <c r="H1247" i="1"/>
  <c r="G1247" i="1"/>
  <c r="F1247" i="1"/>
  <c r="E1247" i="1"/>
  <c r="D1247" i="1"/>
  <c r="C1247" i="1"/>
  <c r="V1246" i="1"/>
  <c r="Q1246" i="1"/>
  <c r="P1246" i="1"/>
  <c r="O1246" i="1"/>
  <c r="N1246" i="1"/>
  <c r="J1246" i="1"/>
  <c r="I1246" i="1"/>
  <c r="H1246" i="1"/>
  <c r="G1246" i="1"/>
  <c r="F1246" i="1"/>
  <c r="E1246" i="1"/>
  <c r="D1246" i="1"/>
  <c r="C1246" i="1"/>
  <c r="V1245" i="1"/>
  <c r="Q1245" i="1"/>
  <c r="P1245" i="1"/>
  <c r="O1245" i="1"/>
  <c r="N1245" i="1"/>
  <c r="J1245" i="1"/>
  <c r="I1245" i="1"/>
  <c r="H1245" i="1"/>
  <c r="G1245" i="1"/>
  <c r="F1245" i="1"/>
  <c r="E1245" i="1"/>
  <c r="D1245" i="1"/>
  <c r="C1245" i="1"/>
  <c r="V1244" i="1"/>
  <c r="Q1244" i="1"/>
  <c r="P1244" i="1"/>
  <c r="O1244" i="1"/>
  <c r="N1244" i="1"/>
  <c r="J1244" i="1"/>
  <c r="I1244" i="1"/>
  <c r="H1244" i="1"/>
  <c r="G1244" i="1"/>
  <c r="F1244" i="1"/>
  <c r="E1244" i="1"/>
  <c r="D1244" i="1"/>
  <c r="C1244" i="1"/>
  <c r="V1243" i="1"/>
  <c r="Q1243" i="1"/>
  <c r="P1243" i="1"/>
  <c r="O1243" i="1"/>
  <c r="N1243" i="1"/>
  <c r="J1243" i="1"/>
  <c r="I1243" i="1"/>
  <c r="H1243" i="1"/>
  <c r="G1243" i="1"/>
  <c r="F1243" i="1"/>
  <c r="E1243" i="1"/>
  <c r="D1243" i="1"/>
  <c r="C1243" i="1"/>
  <c r="V1242" i="1"/>
  <c r="Q1242" i="1"/>
  <c r="P1242" i="1"/>
  <c r="O1242" i="1"/>
  <c r="N1242" i="1"/>
  <c r="J1242" i="1"/>
  <c r="I1242" i="1"/>
  <c r="H1242" i="1"/>
  <c r="G1242" i="1"/>
  <c r="F1242" i="1"/>
  <c r="E1242" i="1"/>
  <c r="D1242" i="1"/>
  <c r="C1242" i="1"/>
  <c r="V1241" i="1"/>
  <c r="Q1241" i="1"/>
  <c r="P1241" i="1"/>
  <c r="O1241" i="1"/>
  <c r="N1241" i="1"/>
  <c r="J1241" i="1"/>
  <c r="I1241" i="1"/>
  <c r="H1241" i="1"/>
  <c r="G1241" i="1"/>
  <c r="F1241" i="1"/>
  <c r="E1241" i="1"/>
  <c r="D1241" i="1"/>
  <c r="C1241" i="1"/>
  <c r="V1240" i="1"/>
  <c r="Q1240" i="1"/>
  <c r="P1240" i="1"/>
  <c r="O1240" i="1"/>
  <c r="N1240" i="1"/>
  <c r="J1240" i="1"/>
  <c r="I1240" i="1"/>
  <c r="H1240" i="1"/>
  <c r="G1240" i="1"/>
  <c r="F1240" i="1"/>
  <c r="E1240" i="1"/>
  <c r="D1240" i="1"/>
  <c r="C1240" i="1"/>
  <c r="V1239" i="1"/>
  <c r="Q1239" i="1"/>
  <c r="P1239" i="1"/>
  <c r="O1239" i="1"/>
  <c r="N1239" i="1"/>
  <c r="J1239" i="1"/>
  <c r="I1239" i="1"/>
  <c r="H1239" i="1"/>
  <c r="G1239" i="1"/>
  <c r="F1239" i="1"/>
  <c r="E1239" i="1"/>
  <c r="D1239" i="1"/>
  <c r="C1239" i="1"/>
  <c r="V1238" i="1"/>
  <c r="Q1238" i="1"/>
  <c r="P1238" i="1"/>
  <c r="O1238" i="1"/>
  <c r="N1238" i="1"/>
  <c r="J1238" i="1"/>
  <c r="I1238" i="1"/>
  <c r="H1238" i="1"/>
  <c r="G1238" i="1"/>
  <c r="F1238" i="1"/>
  <c r="E1238" i="1"/>
  <c r="D1238" i="1"/>
  <c r="C1238" i="1"/>
  <c r="V1237" i="1"/>
  <c r="Q1237" i="1"/>
  <c r="P1237" i="1"/>
  <c r="O1237" i="1"/>
  <c r="N1237" i="1"/>
  <c r="J1237" i="1"/>
  <c r="I1237" i="1"/>
  <c r="H1237" i="1"/>
  <c r="G1237" i="1"/>
  <c r="F1237" i="1"/>
  <c r="E1237" i="1"/>
  <c r="D1237" i="1"/>
  <c r="C1237" i="1"/>
  <c r="V1236" i="1"/>
  <c r="Q1236" i="1"/>
  <c r="P1236" i="1"/>
  <c r="O1236" i="1"/>
  <c r="N1236" i="1"/>
  <c r="J1236" i="1"/>
  <c r="I1236" i="1"/>
  <c r="H1236" i="1"/>
  <c r="G1236" i="1"/>
  <c r="F1236" i="1"/>
  <c r="E1236" i="1"/>
  <c r="D1236" i="1"/>
  <c r="C1236" i="1"/>
  <c r="V1235" i="1"/>
  <c r="Q1235" i="1"/>
  <c r="P1235" i="1"/>
  <c r="O1235" i="1"/>
  <c r="N1235" i="1"/>
  <c r="J1235" i="1"/>
  <c r="I1235" i="1"/>
  <c r="H1235" i="1"/>
  <c r="G1235" i="1"/>
  <c r="F1235" i="1"/>
  <c r="E1235" i="1"/>
  <c r="D1235" i="1"/>
  <c r="C1235" i="1"/>
  <c r="V1234" i="1"/>
  <c r="Q1234" i="1"/>
  <c r="P1234" i="1"/>
  <c r="O1234" i="1"/>
  <c r="N1234" i="1"/>
  <c r="J1234" i="1"/>
  <c r="I1234" i="1"/>
  <c r="H1234" i="1"/>
  <c r="G1234" i="1"/>
  <c r="F1234" i="1"/>
  <c r="E1234" i="1"/>
  <c r="D1234" i="1"/>
  <c r="C1234" i="1"/>
  <c r="V1233" i="1"/>
  <c r="Q1233" i="1"/>
  <c r="P1233" i="1"/>
  <c r="O1233" i="1"/>
  <c r="N1233" i="1"/>
  <c r="J1233" i="1"/>
  <c r="I1233" i="1"/>
  <c r="H1233" i="1"/>
  <c r="G1233" i="1"/>
  <c r="F1233" i="1"/>
  <c r="E1233" i="1"/>
  <c r="D1233" i="1"/>
  <c r="C1233" i="1"/>
  <c r="V1232" i="1"/>
  <c r="Q1232" i="1"/>
  <c r="P1232" i="1"/>
  <c r="O1232" i="1"/>
  <c r="N1232" i="1"/>
  <c r="J1232" i="1"/>
  <c r="I1232" i="1"/>
  <c r="H1232" i="1"/>
  <c r="G1232" i="1"/>
  <c r="F1232" i="1"/>
  <c r="E1232" i="1"/>
  <c r="D1232" i="1"/>
  <c r="C1232" i="1"/>
  <c r="V1231" i="1"/>
  <c r="Q1231" i="1"/>
  <c r="P1231" i="1"/>
  <c r="O1231" i="1"/>
  <c r="N1231" i="1"/>
  <c r="J1231" i="1"/>
  <c r="I1231" i="1"/>
  <c r="H1231" i="1"/>
  <c r="G1231" i="1"/>
  <c r="F1231" i="1"/>
  <c r="E1231" i="1"/>
  <c r="D1231" i="1"/>
  <c r="C1231" i="1"/>
  <c r="V1230" i="1"/>
  <c r="Q1230" i="1"/>
  <c r="P1230" i="1"/>
  <c r="O1230" i="1"/>
  <c r="N1230" i="1"/>
  <c r="J1230" i="1"/>
  <c r="I1230" i="1"/>
  <c r="H1230" i="1"/>
  <c r="G1230" i="1"/>
  <c r="F1230" i="1"/>
  <c r="E1230" i="1"/>
  <c r="D1230" i="1"/>
  <c r="C1230" i="1"/>
  <c r="V1229" i="1"/>
  <c r="Q1229" i="1"/>
  <c r="P1229" i="1"/>
  <c r="O1229" i="1"/>
  <c r="N1229" i="1"/>
  <c r="J1229" i="1"/>
  <c r="I1229" i="1"/>
  <c r="H1229" i="1"/>
  <c r="G1229" i="1"/>
  <c r="F1229" i="1"/>
  <c r="E1229" i="1"/>
  <c r="D1229" i="1"/>
  <c r="C1229" i="1"/>
  <c r="V1228" i="1"/>
  <c r="Q1228" i="1"/>
  <c r="P1228" i="1"/>
  <c r="O1228" i="1"/>
  <c r="N1228" i="1"/>
  <c r="J1228" i="1"/>
  <c r="I1228" i="1"/>
  <c r="H1228" i="1"/>
  <c r="G1228" i="1"/>
  <c r="F1228" i="1"/>
  <c r="E1228" i="1"/>
  <c r="D1228" i="1"/>
  <c r="C1228" i="1"/>
  <c r="V1227" i="1"/>
  <c r="Q1227" i="1"/>
  <c r="P1227" i="1"/>
  <c r="O1227" i="1"/>
  <c r="N1227" i="1"/>
  <c r="I1227" i="1"/>
  <c r="H1227" i="1"/>
  <c r="G1227" i="1"/>
  <c r="F1227" i="1"/>
  <c r="E1227" i="1"/>
  <c r="D1227" i="1"/>
  <c r="C1227" i="1"/>
  <c r="V1226" i="1"/>
  <c r="Q1226" i="1"/>
  <c r="P1226" i="1"/>
  <c r="O1226" i="1"/>
  <c r="N1226" i="1"/>
  <c r="I1226" i="1"/>
  <c r="H1226" i="1"/>
  <c r="G1226" i="1"/>
  <c r="F1226" i="1"/>
  <c r="E1226" i="1"/>
  <c r="D1226" i="1"/>
  <c r="C1226" i="1"/>
  <c r="V1225" i="1"/>
  <c r="Q1225" i="1"/>
  <c r="P1225" i="1"/>
  <c r="O1225" i="1"/>
  <c r="N1225" i="1"/>
  <c r="I1225" i="1"/>
  <c r="H1225" i="1"/>
  <c r="G1225" i="1"/>
  <c r="F1225" i="1"/>
  <c r="E1225" i="1"/>
  <c r="D1225" i="1"/>
  <c r="C1225" i="1"/>
  <c r="V1224" i="1"/>
  <c r="Q1224" i="1"/>
  <c r="P1224" i="1"/>
  <c r="O1224" i="1"/>
  <c r="N1224" i="1"/>
  <c r="I1224" i="1"/>
  <c r="H1224" i="1"/>
  <c r="G1224" i="1"/>
  <c r="F1224" i="1"/>
  <c r="E1224" i="1"/>
  <c r="D1224" i="1"/>
  <c r="C1224" i="1"/>
  <c r="V1223" i="1"/>
  <c r="Q1223" i="1"/>
  <c r="P1223" i="1"/>
  <c r="O1223" i="1"/>
  <c r="N1223" i="1"/>
  <c r="I1223" i="1"/>
  <c r="H1223" i="1"/>
  <c r="G1223" i="1"/>
  <c r="F1223" i="1"/>
  <c r="E1223" i="1"/>
  <c r="D1223" i="1"/>
  <c r="C1223" i="1"/>
  <c r="V1222" i="1"/>
  <c r="Q1222" i="1"/>
  <c r="P1222" i="1"/>
  <c r="O1222" i="1"/>
  <c r="N1222" i="1"/>
  <c r="I1222" i="1"/>
  <c r="H1222" i="1"/>
  <c r="G1222" i="1"/>
  <c r="F1222" i="1"/>
  <c r="E1222" i="1"/>
  <c r="D1222" i="1"/>
  <c r="C1222" i="1"/>
  <c r="V1221" i="1"/>
  <c r="Q1221" i="1"/>
  <c r="P1221" i="1"/>
  <c r="O1221" i="1"/>
  <c r="N1221" i="1"/>
  <c r="I1221" i="1"/>
  <c r="H1221" i="1"/>
  <c r="G1221" i="1"/>
  <c r="F1221" i="1"/>
  <c r="E1221" i="1"/>
  <c r="D1221" i="1"/>
  <c r="C1221" i="1"/>
  <c r="V1220" i="1"/>
  <c r="Q1220" i="1"/>
  <c r="P1220" i="1"/>
  <c r="O1220" i="1"/>
  <c r="N1220" i="1"/>
  <c r="I1220" i="1"/>
  <c r="H1220" i="1"/>
  <c r="G1220" i="1"/>
  <c r="F1220" i="1"/>
  <c r="E1220" i="1"/>
  <c r="D1220" i="1"/>
  <c r="C1220" i="1"/>
  <c r="V1219" i="1"/>
  <c r="Q1219" i="1"/>
  <c r="P1219" i="1"/>
  <c r="O1219" i="1"/>
  <c r="N1219" i="1"/>
  <c r="I1219" i="1"/>
  <c r="H1219" i="1"/>
  <c r="G1219" i="1"/>
  <c r="F1219" i="1"/>
  <c r="E1219" i="1"/>
  <c r="D1219" i="1"/>
  <c r="C1219" i="1"/>
  <c r="V1218" i="1"/>
  <c r="Q1218" i="1"/>
  <c r="P1218" i="1"/>
  <c r="O1218" i="1"/>
  <c r="N1218" i="1"/>
  <c r="I1218" i="1"/>
  <c r="H1218" i="1"/>
  <c r="G1218" i="1"/>
  <c r="F1218" i="1"/>
  <c r="E1218" i="1"/>
  <c r="D1218" i="1"/>
  <c r="C1218" i="1"/>
  <c r="V1217" i="1"/>
  <c r="Q1217" i="1"/>
  <c r="P1217" i="1"/>
  <c r="O1217" i="1"/>
  <c r="N1217" i="1"/>
  <c r="I1217" i="1"/>
  <c r="H1217" i="1"/>
  <c r="G1217" i="1"/>
  <c r="F1217" i="1"/>
  <c r="E1217" i="1"/>
  <c r="D1217" i="1"/>
  <c r="C1217" i="1"/>
  <c r="V1216" i="1"/>
  <c r="Q1216" i="1"/>
  <c r="P1216" i="1"/>
  <c r="O1216" i="1"/>
  <c r="N1216" i="1"/>
  <c r="I1216" i="1"/>
  <c r="H1216" i="1"/>
  <c r="G1216" i="1"/>
  <c r="F1216" i="1"/>
  <c r="E1216" i="1"/>
  <c r="D1216" i="1"/>
  <c r="C1216" i="1"/>
  <c r="V1215" i="1"/>
  <c r="Q1215" i="1"/>
  <c r="P1215" i="1"/>
  <c r="O1215" i="1"/>
  <c r="N1215" i="1"/>
  <c r="I1215" i="1"/>
  <c r="H1215" i="1"/>
  <c r="G1215" i="1"/>
  <c r="F1215" i="1"/>
  <c r="E1215" i="1"/>
  <c r="D1215" i="1"/>
  <c r="C1215" i="1"/>
  <c r="V1214" i="1"/>
  <c r="Q1214" i="1"/>
  <c r="P1214" i="1"/>
  <c r="O1214" i="1"/>
  <c r="N1214" i="1"/>
  <c r="I1214" i="1"/>
  <c r="H1214" i="1"/>
  <c r="G1214" i="1"/>
  <c r="F1214" i="1"/>
  <c r="E1214" i="1"/>
  <c r="D1214" i="1"/>
  <c r="C1214" i="1"/>
  <c r="V1213" i="1"/>
  <c r="Q1213" i="1"/>
  <c r="P1213" i="1"/>
  <c r="O1213" i="1"/>
  <c r="N1213" i="1"/>
  <c r="I1213" i="1"/>
  <c r="H1213" i="1"/>
  <c r="G1213" i="1"/>
  <c r="F1213" i="1"/>
  <c r="E1213" i="1"/>
  <c r="D1213" i="1"/>
  <c r="C1213" i="1"/>
  <c r="V1212" i="1"/>
  <c r="Q1212" i="1"/>
  <c r="P1212" i="1"/>
  <c r="O1212" i="1"/>
  <c r="N1212" i="1"/>
  <c r="I1212" i="1"/>
  <c r="H1212" i="1"/>
  <c r="G1212" i="1"/>
  <c r="F1212" i="1"/>
  <c r="E1212" i="1"/>
  <c r="D1212" i="1"/>
  <c r="C1212" i="1"/>
  <c r="V1211" i="1"/>
  <c r="Q1211" i="1"/>
  <c r="P1211" i="1"/>
  <c r="O1211" i="1"/>
  <c r="N1211" i="1"/>
  <c r="I1211" i="1"/>
  <c r="H1211" i="1"/>
  <c r="G1211" i="1"/>
  <c r="F1211" i="1"/>
  <c r="E1211" i="1"/>
  <c r="D1211" i="1"/>
  <c r="C1211" i="1"/>
  <c r="V1210" i="1"/>
  <c r="Q1210" i="1"/>
  <c r="P1210" i="1"/>
  <c r="O1210" i="1"/>
  <c r="N1210" i="1"/>
  <c r="I1210" i="1"/>
  <c r="H1210" i="1"/>
  <c r="G1210" i="1"/>
  <c r="F1210" i="1"/>
  <c r="E1210" i="1"/>
  <c r="D1210" i="1"/>
  <c r="C1210" i="1"/>
  <c r="V1209" i="1"/>
  <c r="Q1209" i="1"/>
  <c r="P1209" i="1"/>
  <c r="O1209" i="1"/>
  <c r="N1209" i="1"/>
  <c r="I1209" i="1"/>
  <c r="H1209" i="1"/>
  <c r="G1209" i="1"/>
  <c r="F1209" i="1"/>
  <c r="E1209" i="1"/>
  <c r="D1209" i="1"/>
  <c r="C1209" i="1"/>
  <c r="V1208" i="1"/>
  <c r="Q1208" i="1"/>
  <c r="P1208" i="1"/>
  <c r="O1208" i="1"/>
  <c r="N1208" i="1"/>
  <c r="I1208" i="1"/>
  <c r="H1208" i="1"/>
  <c r="G1208" i="1"/>
  <c r="F1208" i="1"/>
  <c r="E1208" i="1"/>
  <c r="D1208" i="1"/>
  <c r="C1208" i="1"/>
  <c r="V1207" i="1"/>
  <c r="Q1207" i="1"/>
  <c r="P1207" i="1"/>
  <c r="O1207" i="1"/>
  <c r="N1207" i="1"/>
  <c r="J1207" i="1"/>
  <c r="I1207" i="1"/>
  <c r="H1207" i="1"/>
  <c r="G1207" i="1"/>
  <c r="F1207" i="1"/>
  <c r="E1207" i="1"/>
  <c r="D1207" i="1"/>
  <c r="C1207" i="1"/>
  <c r="V1206" i="1"/>
  <c r="Q1206" i="1"/>
  <c r="P1206" i="1"/>
  <c r="O1206" i="1"/>
  <c r="N1206" i="1"/>
  <c r="J1206" i="1"/>
  <c r="I1206" i="1"/>
  <c r="H1206" i="1"/>
  <c r="G1206" i="1"/>
  <c r="F1206" i="1"/>
  <c r="E1206" i="1"/>
  <c r="D1206" i="1"/>
  <c r="C1206" i="1"/>
  <c r="V1205" i="1"/>
  <c r="Q1205" i="1"/>
  <c r="P1205" i="1"/>
  <c r="O1205" i="1"/>
  <c r="N1205" i="1"/>
  <c r="J1205" i="1"/>
  <c r="I1205" i="1"/>
  <c r="H1205" i="1"/>
  <c r="G1205" i="1"/>
  <c r="F1205" i="1"/>
  <c r="E1205" i="1"/>
  <c r="D1205" i="1"/>
  <c r="C1205" i="1"/>
  <c r="V1204" i="1"/>
  <c r="Q1204" i="1"/>
  <c r="P1204" i="1"/>
  <c r="O1204" i="1"/>
  <c r="N1204" i="1"/>
  <c r="J1204" i="1"/>
  <c r="I1204" i="1"/>
  <c r="H1204" i="1"/>
  <c r="G1204" i="1"/>
  <c r="F1204" i="1"/>
  <c r="E1204" i="1"/>
  <c r="D1204" i="1"/>
  <c r="C1204" i="1"/>
  <c r="V1203" i="1"/>
  <c r="Q1203" i="1"/>
  <c r="P1203" i="1"/>
  <c r="O1203" i="1"/>
  <c r="N1203" i="1"/>
  <c r="J1203" i="1"/>
  <c r="I1203" i="1"/>
  <c r="H1203" i="1"/>
  <c r="G1203" i="1"/>
  <c r="F1203" i="1"/>
  <c r="E1203" i="1"/>
  <c r="D1203" i="1"/>
  <c r="C1203" i="1"/>
  <c r="V1202" i="1"/>
  <c r="Q1202" i="1"/>
  <c r="P1202" i="1"/>
  <c r="O1202" i="1"/>
  <c r="N1202" i="1"/>
  <c r="J1202" i="1"/>
  <c r="I1202" i="1"/>
  <c r="H1202" i="1"/>
  <c r="G1202" i="1"/>
  <c r="F1202" i="1"/>
  <c r="E1202" i="1"/>
  <c r="D1202" i="1"/>
  <c r="C1202" i="1"/>
  <c r="V1201" i="1"/>
  <c r="Q1201" i="1"/>
  <c r="P1201" i="1"/>
  <c r="O1201" i="1"/>
  <c r="N1201" i="1"/>
  <c r="J1201" i="1"/>
  <c r="I1201" i="1"/>
  <c r="H1201" i="1"/>
  <c r="G1201" i="1"/>
  <c r="F1201" i="1"/>
  <c r="E1201" i="1"/>
  <c r="D1201" i="1"/>
  <c r="C1201" i="1"/>
  <c r="V1200" i="1"/>
  <c r="Q1200" i="1"/>
  <c r="P1200" i="1"/>
  <c r="O1200" i="1"/>
  <c r="N1200" i="1"/>
  <c r="J1200" i="1"/>
  <c r="I1200" i="1"/>
  <c r="H1200" i="1"/>
  <c r="G1200" i="1"/>
  <c r="F1200" i="1"/>
  <c r="E1200" i="1"/>
  <c r="D1200" i="1"/>
  <c r="C1200" i="1"/>
  <c r="V1199" i="1"/>
  <c r="Q1199" i="1"/>
  <c r="P1199" i="1"/>
  <c r="O1199" i="1"/>
  <c r="N1199" i="1"/>
  <c r="J1199" i="1"/>
  <c r="I1199" i="1"/>
  <c r="H1199" i="1"/>
  <c r="G1199" i="1"/>
  <c r="F1199" i="1"/>
  <c r="E1199" i="1"/>
  <c r="D1199" i="1"/>
  <c r="C1199" i="1"/>
  <c r="V1198" i="1"/>
  <c r="Q1198" i="1"/>
  <c r="P1198" i="1"/>
  <c r="O1198" i="1"/>
  <c r="N1198" i="1"/>
  <c r="J1198" i="1"/>
  <c r="I1198" i="1"/>
  <c r="H1198" i="1"/>
  <c r="G1198" i="1"/>
  <c r="F1198" i="1"/>
  <c r="E1198" i="1"/>
  <c r="D1198" i="1"/>
  <c r="C1198" i="1"/>
  <c r="V1197" i="1"/>
  <c r="Q1197" i="1"/>
  <c r="P1197" i="1"/>
  <c r="O1197" i="1"/>
  <c r="N1197" i="1"/>
  <c r="J1197" i="1"/>
  <c r="I1197" i="1"/>
  <c r="H1197" i="1"/>
  <c r="G1197" i="1"/>
  <c r="F1197" i="1"/>
  <c r="E1197" i="1"/>
  <c r="D1197" i="1"/>
  <c r="C1197" i="1"/>
  <c r="V1196" i="1"/>
  <c r="Q1196" i="1"/>
  <c r="P1196" i="1"/>
  <c r="O1196" i="1"/>
  <c r="N1196" i="1"/>
  <c r="J1196" i="1"/>
  <c r="I1196" i="1"/>
  <c r="H1196" i="1"/>
  <c r="G1196" i="1"/>
  <c r="F1196" i="1"/>
  <c r="E1196" i="1"/>
  <c r="D1196" i="1"/>
  <c r="C1196" i="1"/>
  <c r="V1195" i="1"/>
  <c r="Q1195" i="1"/>
  <c r="P1195" i="1"/>
  <c r="O1195" i="1"/>
  <c r="N1195" i="1"/>
  <c r="J1195" i="1"/>
  <c r="I1195" i="1"/>
  <c r="H1195" i="1"/>
  <c r="G1195" i="1"/>
  <c r="F1195" i="1"/>
  <c r="E1195" i="1"/>
  <c r="D1195" i="1"/>
  <c r="C1195" i="1"/>
  <c r="V1194" i="1"/>
  <c r="Q1194" i="1"/>
  <c r="P1194" i="1"/>
  <c r="O1194" i="1"/>
  <c r="N1194" i="1"/>
  <c r="J1194" i="1"/>
  <c r="I1194" i="1"/>
  <c r="H1194" i="1"/>
  <c r="G1194" i="1"/>
  <c r="F1194" i="1"/>
  <c r="E1194" i="1"/>
  <c r="D1194" i="1"/>
  <c r="C1194" i="1"/>
  <c r="V1193" i="1"/>
  <c r="Q1193" i="1"/>
  <c r="P1193" i="1"/>
  <c r="O1193" i="1"/>
  <c r="N1193" i="1"/>
  <c r="J1193" i="1"/>
  <c r="I1193" i="1"/>
  <c r="H1193" i="1"/>
  <c r="G1193" i="1"/>
  <c r="F1193" i="1"/>
  <c r="E1193" i="1"/>
  <c r="D1193" i="1"/>
  <c r="C1193" i="1"/>
  <c r="V1192" i="1"/>
  <c r="Q1192" i="1"/>
  <c r="P1192" i="1"/>
  <c r="O1192" i="1"/>
  <c r="N1192" i="1"/>
  <c r="J1192" i="1"/>
  <c r="I1192" i="1"/>
  <c r="H1192" i="1"/>
  <c r="G1192" i="1"/>
  <c r="F1192" i="1"/>
  <c r="E1192" i="1"/>
  <c r="D1192" i="1"/>
  <c r="C1192" i="1"/>
  <c r="V1191" i="1"/>
  <c r="Q1191" i="1"/>
  <c r="P1191" i="1"/>
  <c r="O1191" i="1"/>
  <c r="N1191" i="1"/>
  <c r="J1191" i="1"/>
  <c r="I1191" i="1"/>
  <c r="H1191" i="1"/>
  <c r="G1191" i="1"/>
  <c r="F1191" i="1"/>
  <c r="E1191" i="1"/>
  <c r="D1191" i="1"/>
  <c r="C1191" i="1"/>
  <c r="V1190" i="1"/>
  <c r="Q1190" i="1"/>
  <c r="P1190" i="1"/>
  <c r="O1190" i="1"/>
  <c r="N1190" i="1"/>
  <c r="J1190" i="1"/>
  <c r="I1190" i="1"/>
  <c r="H1190" i="1"/>
  <c r="G1190" i="1"/>
  <c r="F1190" i="1"/>
  <c r="E1190" i="1"/>
  <c r="D1190" i="1"/>
  <c r="C1190" i="1"/>
  <c r="V1189" i="1"/>
  <c r="Q1189" i="1"/>
  <c r="P1189" i="1"/>
  <c r="O1189" i="1"/>
  <c r="N1189" i="1"/>
  <c r="J1189" i="1"/>
  <c r="I1189" i="1"/>
  <c r="H1189" i="1"/>
  <c r="G1189" i="1"/>
  <c r="F1189" i="1"/>
  <c r="E1189" i="1"/>
  <c r="D1189" i="1"/>
  <c r="C1189" i="1"/>
  <c r="V1188" i="1"/>
  <c r="Q1188" i="1"/>
  <c r="P1188" i="1"/>
  <c r="O1188" i="1"/>
  <c r="N1188" i="1"/>
  <c r="J1188" i="1"/>
  <c r="I1188" i="1"/>
  <c r="H1188" i="1"/>
  <c r="G1188" i="1"/>
  <c r="F1188" i="1"/>
  <c r="E1188" i="1"/>
  <c r="D1188" i="1"/>
  <c r="C1188" i="1"/>
  <c r="V1187" i="1"/>
  <c r="Q1187" i="1"/>
  <c r="P1187" i="1"/>
  <c r="O1187" i="1"/>
  <c r="N1187" i="1"/>
  <c r="J1187" i="1"/>
  <c r="I1187" i="1"/>
  <c r="H1187" i="1"/>
  <c r="G1187" i="1"/>
  <c r="F1187" i="1"/>
  <c r="E1187" i="1"/>
  <c r="D1187" i="1"/>
  <c r="C1187" i="1"/>
  <c r="V1186" i="1"/>
  <c r="Q1186" i="1"/>
  <c r="P1186" i="1"/>
  <c r="O1186" i="1"/>
  <c r="N1186" i="1"/>
  <c r="J1186" i="1"/>
  <c r="I1186" i="1"/>
  <c r="H1186" i="1"/>
  <c r="G1186" i="1"/>
  <c r="F1186" i="1"/>
  <c r="E1186" i="1"/>
  <c r="D1186" i="1"/>
  <c r="C1186" i="1"/>
  <c r="V1185" i="1"/>
  <c r="Q1185" i="1"/>
  <c r="P1185" i="1"/>
  <c r="O1185" i="1"/>
  <c r="N1185" i="1"/>
  <c r="J1185" i="1"/>
  <c r="I1185" i="1"/>
  <c r="H1185" i="1"/>
  <c r="G1185" i="1"/>
  <c r="F1185" i="1"/>
  <c r="E1185" i="1"/>
  <c r="D1185" i="1"/>
  <c r="C1185" i="1"/>
  <c r="V1184" i="1"/>
  <c r="Q1184" i="1"/>
  <c r="P1184" i="1"/>
  <c r="O1184" i="1"/>
  <c r="N1184" i="1"/>
  <c r="J1184" i="1"/>
  <c r="I1184" i="1"/>
  <c r="H1184" i="1"/>
  <c r="G1184" i="1"/>
  <c r="F1184" i="1"/>
  <c r="E1184" i="1"/>
  <c r="D1184" i="1"/>
  <c r="C1184" i="1"/>
  <c r="V1183" i="1"/>
  <c r="Q1183" i="1"/>
  <c r="P1183" i="1"/>
  <c r="O1183" i="1"/>
  <c r="N1183" i="1"/>
  <c r="J1183" i="1"/>
  <c r="I1183" i="1"/>
  <c r="H1183" i="1"/>
  <c r="G1183" i="1"/>
  <c r="F1183" i="1"/>
  <c r="E1183" i="1"/>
  <c r="D1183" i="1"/>
  <c r="C1183" i="1"/>
  <c r="V1182" i="1"/>
  <c r="Q1182" i="1"/>
  <c r="P1182" i="1"/>
  <c r="O1182" i="1"/>
  <c r="N1182" i="1"/>
  <c r="J1182" i="1"/>
  <c r="I1182" i="1"/>
  <c r="H1182" i="1"/>
  <c r="G1182" i="1"/>
  <c r="F1182" i="1"/>
  <c r="E1182" i="1"/>
  <c r="D1182" i="1"/>
  <c r="C1182" i="1"/>
  <c r="V1181" i="1"/>
  <c r="Q1181" i="1"/>
  <c r="P1181" i="1"/>
  <c r="O1181" i="1"/>
  <c r="N1181" i="1"/>
  <c r="J1181" i="1"/>
  <c r="I1181" i="1"/>
  <c r="H1181" i="1"/>
  <c r="G1181" i="1"/>
  <c r="F1181" i="1"/>
  <c r="E1181" i="1"/>
  <c r="D1181" i="1"/>
  <c r="C1181" i="1"/>
  <c r="V1180" i="1"/>
  <c r="Q1180" i="1"/>
  <c r="P1180" i="1"/>
  <c r="O1180" i="1"/>
  <c r="N1180" i="1"/>
  <c r="J1180" i="1"/>
  <c r="I1180" i="1"/>
  <c r="H1180" i="1"/>
  <c r="G1180" i="1"/>
  <c r="F1180" i="1"/>
  <c r="E1180" i="1"/>
  <c r="D1180" i="1"/>
  <c r="C1180" i="1"/>
  <c r="V1179" i="1"/>
  <c r="Q1179" i="1"/>
  <c r="P1179" i="1"/>
  <c r="O1179" i="1"/>
  <c r="N1179" i="1"/>
  <c r="J1179" i="1"/>
  <c r="I1179" i="1"/>
  <c r="H1179" i="1"/>
  <c r="G1179" i="1"/>
  <c r="F1179" i="1"/>
  <c r="E1179" i="1"/>
  <c r="D1179" i="1"/>
  <c r="C1179" i="1"/>
  <c r="V1178" i="1"/>
  <c r="Q1178" i="1"/>
  <c r="P1178" i="1"/>
  <c r="O1178" i="1"/>
  <c r="N1178" i="1"/>
  <c r="J1178" i="1"/>
  <c r="I1178" i="1"/>
  <c r="H1178" i="1"/>
  <c r="G1178" i="1"/>
  <c r="F1178" i="1"/>
  <c r="E1178" i="1"/>
  <c r="D1178" i="1"/>
  <c r="C1178" i="1"/>
  <c r="V1177" i="1"/>
  <c r="Q1177" i="1"/>
  <c r="P1177" i="1"/>
  <c r="O1177" i="1"/>
  <c r="N1177" i="1"/>
  <c r="J1177" i="1"/>
  <c r="I1177" i="1"/>
  <c r="H1177" i="1"/>
  <c r="G1177" i="1"/>
  <c r="F1177" i="1"/>
  <c r="E1177" i="1"/>
  <c r="D1177" i="1"/>
  <c r="C1177" i="1"/>
  <c r="V1176" i="1"/>
  <c r="Q1176" i="1"/>
  <c r="P1176" i="1"/>
  <c r="O1176" i="1"/>
  <c r="N1176" i="1"/>
  <c r="J1176" i="1"/>
  <c r="I1176" i="1"/>
  <c r="H1176" i="1"/>
  <c r="G1176" i="1"/>
  <c r="F1176" i="1"/>
  <c r="E1176" i="1"/>
  <c r="D1176" i="1"/>
  <c r="C1176" i="1"/>
  <c r="V1175" i="1"/>
  <c r="Q1175" i="1"/>
  <c r="P1175" i="1"/>
  <c r="O1175" i="1"/>
  <c r="N1175" i="1"/>
  <c r="J1175" i="1"/>
  <c r="I1175" i="1"/>
  <c r="H1175" i="1"/>
  <c r="G1175" i="1"/>
  <c r="F1175" i="1"/>
  <c r="E1175" i="1"/>
  <c r="D1175" i="1"/>
  <c r="C1175" i="1"/>
  <c r="V1174" i="1"/>
  <c r="Q1174" i="1"/>
  <c r="P1174" i="1"/>
  <c r="O1174" i="1"/>
  <c r="N1174" i="1"/>
  <c r="J1174" i="1"/>
  <c r="I1174" i="1"/>
  <c r="H1174" i="1"/>
  <c r="G1174" i="1"/>
  <c r="F1174" i="1"/>
  <c r="E1174" i="1"/>
  <c r="D1174" i="1"/>
  <c r="C1174" i="1"/>
  <c r="V1173" i="1"/>
  <c r="Q1173" i="1"/>
  <c r="P1173" i="1"/>
  <c r="O1173" i="1"/>
  <c r="N1173" i="1"/>
  <c r="J1173" i="1"/>
  <c r="I1173" i="1"/>
  <c r="H1173" i="1"/>
  <c r="G1173" i="1"/>
  <c r="F1173" i="1"/>
  <c r="E1173" i="1"/>
  <c r="D1173" i="1"/>
  <c r="C1173" i="1"/>
  <c r="V1172" i="1"/>
  <c r="Q1172" i="1"/>
  <c r="P1172" i="1"/>
  <c r="O1172" i="1"/>
  <c r="N1172" i="1"/>
  <c r="J1172" i="1"/>
  <c r="I1172" i="1"/>
  <c r="H1172" i="1"/>
  <c r="G1172" i="1"/>
  <c r="F1172" i="1"/>
  <c r="E1172" i="1"/>
  <c r="D1172" i="1"/>
  <c r="C1172" i="1"/>
  <c r="V1171" i="1"/>
  <c r="Q1171" i="1"/>
  <c r="P1171" i="1"/>
  <c r="O1171" i="1"/>
  <c r="N1171" i="1"/>
  <c r="J1171" i="1"/>
  <c r="I1171" i="1"/>
  <c r="H1171" i="1"/>
  <c r="G1171" i="1"/>
  <c r="F1171" i="1"/>
  <c r="E1171" i="1"/>
  <c r="D1171" i="1"/>
  <c r="C1171" i="1"/>
  <c r="V1170" i="1"/>
  <c r="Q1170" i="1"/>
  <c r="P1170" i="1"/>
  <c r="O1170" i="1"/>
  <c r="N1170" i="1"/>
  <c r="J1170" i="1"/>
  <c r="I1170" i="1"/>
  <c r="H1170" i="1"/>
  <c r="G1170" i="1"/>
  <c r="F1170" i="1"/>
  <c r="E1170" i="1"/>
  <c r="D1170" i="1"/>
  <c r="C1170" i="1"/>
  <c r="V1169" i="1"/>
  <c r="Q1169" i="1"/>
  <c r="P1169" i="1"/>
  <c r="O1169" i="1"/>
  <c r="N1169" i="1"/>
  <c r="J1169" i="1"/>
  <c r="I1169" i="1"/>
  <c r="H1169" i="1"/>
  <c r="G1169" i="1"/>
  <c r="F1169" i="1"/>
  <c r="E1169" i="1"/>
  <c r="D1169" i="1"/>
  <c r="C1169" i="1"/>
  <c r="V1168" i="1"/>
  <c r="Q1168" i="1"/>
  <c r="P1168" i="1"/>
  <c r="O1168" i="1"/>
  <c r="N1168" i="1"/>
  <c r="J1168" i="1"/>
  <c r="I1168" i="1"/>
  <c r="H1168" i="1"/>
  <c r="G1168" i="1"/>
  <c r="F1168" i="1"/>
  <c r="E1168" i="1"/>
  <c r="D1168" i="1"/>
  <c r="C1168" i="1"/>
  <c r="V1167" i="1"/>
  <c r="Q1167" i="1"/>
  <c r="P1167" i="1"/>
  <c r="O1167" i="1"/>
  <c r="N1167" i="1"/>
  <c r="J1167" i="1"/>
  <c r="I1167" i="1"/>
  <c r="H1167" i="1"/>
  <c r="G1167" i="1"/>
  <c r="F1167" i="1"/>
  <c r="E1167" i="1"/>
  <c r="D1167" i="1"/>
  <c r="C1167" i="1"/>
  <c r="V1166" i="1"/>
  <c r="Q1166" i="1"/>
  <c r="P1166" i="1"/>
  <c r="O1166" i="1"/>
  <c r="N1166" i="1"/>
  <c r="J1166" i="1"/>
  <c r="I1166" i="1"/>
  <c r="H1166" i="1"/>
  <c r="G1166" i="1"/>
  <c r="F1166" i="1"/>
  <c r="E1166" i="1"/>
  <c r="D1166" i="1"/>
  <c r="C1166" i="1"/>
  <c r="V1165" i="1"/>
  <c r="Q1165" i="1"/>
  <c r="P1165" i="1"/>
  <c r="O1165" i="1"/>
  <c r="N1165" i="1"/>
  <c r="I1165" i="1"/>
  <c r="H1165" i="1"/>
  <c r="G1165" i="1"/>
  <c r="F1165" i="1"/>
  <c r="E1165" i="1"/>
  <c r="D1165" i="1"/>
  <c r="C1165" i="1"/>
  <c r="V1164" i="1"/>
  <c r="Q1164" i="1"/>
  <c r="P1164" i="1"/>
  <c r="O1164" i="1"/>
  <c r="N1164" i="1"/>
  <c r="I1164" i="1"/>
  <c r="H1164" i="1"/>
  <c r="G1164" i="1"/>
  <c r="F1164" i="1"/>
  <c r="E1164" i="1"/>
  <c r="D1164" i="1"/>
  <c r="C1164" i="1"/>
  <c r="V1163" i="1"/>
  <c r="Q1163" i="1"/>
  <c r="P1163" i="1"/>
  <c r="O1163" i="1"/>
  <c r="N1163" i="1"/>
  <c r="I1163" i="1"/>
  <c r="H1163" i="1"/>
  <c r="G1163" i="1"/>
  <c r="F1163" i="1"/>
  <c r="E1163" i="1"/>
  <c r="D1163" i="1"/>
  <c r="C1163" i="1"/>
  <c r="V1162" i="1"/>
  <c r="Q1162" i="1"/>
  <c r="P1162" i="1"/>
  <c r="O1162" i="1"/>
  <c r="N1162" i="1"/>
  <c r="I1162" i="1"/>
  <c r="H1162" i="1"/>
  <c r="G1162" i="1"/>
  <c r="F1162" i="1"/>
  <c r="E1162" i="1"/>
  <c r="D1162" i="1"/>
  <c r="C1162" i="1"/>
  <c r="V1161" i="1"/>
  <c r="Q1161" i="1"/>
  <c r="P1161" i="1"/>
  <c r="O1161" i="1"/>
  <c r="N1161" i="1"/>
  <c r="I1161" i="1"/>
  <c r="H1161" i="1"/>
  <c r="G1161" i="1"/>
  <c r="F1161" i="1"/>
  <c r="E1161" i="1"/>
  <c r="D1161" i="1"/>
  <c r="C1161" i="1"/>
  <c r="V1160" i="1"/>
  <c r="Q1160" i="1"/>
  <c r="P1160" i="1"/>
  <c r="O1160" i="1"/>
  <c r="N1160" i="1"/>
  <c r="I1160" i="1"/>
  <c r="H1160" i="1"/>
  <c r="G1160" i="1"/>
  <c r="F1160" i="1"/>
  <c r="E1160" i="1"/>
  <c r="D1160" i="1"/>
  <c r="C1160" i="1"/>
  <c r="V1159" i="1"/>
  <c r="Q1159" i="1"/>
  <c r="P1159" i="1"/>
  <c r="O1159" i="1"/>
  <c r="N1159" i="1"/>
  <c r="I1159" i="1"/>
  <c r="H1159" i="1"/>
  <c r="G1159" i="1"/>
  <c r="F1159" i="1"/>
  <c r="E1159" i="1"/>
  <c r="D1159" i="1"/>
  <c r="C1159" i="1"/>
  <c r="V1158" i="1"/>
  <c r="Q1158" i="1"/>
  <c r="P1158" i="1"/>
  <c r="O1158" i="1"/>
  <c r="N1158" i="1"/>
  <c r="I1158" i="1"/>
  <c r="H1158" i="1"/>
  <c r="G1158" i="1"/>
  <c r="F1158" i="1"/>
  <c r="E1158" i="1"/>
  <c r="D1158" i="1"/>
  <c r="C1158" i="1"/>
  <c r="V1157" i="1"/>
  <c r="Q1157" i="1"/>
  <c r="P1157" i="1"/>
  <c r="O1157" i="1"/>
  <c r="N1157" i="1"/>
  <c r="I1157" i="1"/>
  <c r="H1157" i="1"/>
  <c r="G1157" i="1"/>
  <c r="F1157" i="1"/>
  <c r="E1157" i="1"/>
  <c r="D1157" i="1"/>
  <c r="C1157" i="1"/>
  <c r="V1156" i="1"/>
  <c r="Q1156" i="1"/>
  <c r="P1156" i="1"/>
  <c r="O1156" i="1"/>
  <c r="N1156" i="1"/>
  <c r="J1156" i="1"/>
  <c r="I1156" i="1"/>
  <c r="H1156" i="1"/>
  <c r="G1156" i="1"/>
  <c r="F1156" i="1"/>
  <c r="E1156" i="1"/>
  <c r="D1156" i="1"/>
  <c r="C1156" i="1"/>
  <c r="V1155" i="1"/>
  <c r="Q1155" i="1"/>
  <c r="P1155" i="1"/>
  <c r="O1155" i="1"/>
  <c r="N1155" i="1"/>
  <c r="J1155" i="1"/>
  <c r="I1155" i="1"/>
  <c r="H1155" i="1"/>
  <c r="G1155" i="1"/>
  <c r="F1155" i="1"/>
  <c r="E1155" i="1"/>
  <c r="D1155" i="1"/>
  <c r="C1155" i="1"/>
  <c r="V1154" i="1"/>
  <c r="Q1154" i="1"/>
  <c r="P1154" i="1"/>
  <c r="O1154" i="1"/>
  <c r="N1154" i="1"/>
  <c r="J1154" i="1"/>
  <c r="I1154" i="1"/>
  <c r="H1154" i="1"/>
  <c r="G1154" i="1"/>
  <c r="F1154" i="1"/>
  <c r="E1154" i="1"/>
  <c r="D1154" i="1"/>
  <c r="C1154" i="1"/>
  <c r="V1153" i="1"/>
  <c r="Q1153" i="1"/>
  <c r="P1153" i="1"/>
  <c r="O1153" i="1"/>
  <c r="N1153" i="1"/>
  <c r="J1153" i="1"/>
  <c r="I1153" i="1"/>
  <c r="H1153" i="1"/>
  <c r="G1153" i="1"/>
  <c r="F1153" i="1"/>
  <c r="E1153" i="1"/>
  <c r="D1153" i="1"/>
  <c r="C1153" i="1"/>
  <c r="V1152" i="1"/>
  <c r="Q1152" i="1"/>
  <c r="P1152" i="1"/>
  <c r="O1152" i="1"/>
  <c r="N1152" i="1"/>
  <c r="J1152" i="1"/>
  <c r="I1152" i="1"/>
  <c r="H1152" i="1"/>
  <c r="G1152" i="1"/>
  <c r="F1152" i="1"/>
  <c r="E1152" i="1"/>
  <c r="D1152" i="1"/>
  <c r="C1152" i="1"/>
  <c r="V1151" i="1"/>
  <c r="Q1151" i="1"/>
  <c r="P1151" i="1"/>
  <c r="O1151" i="1"/>
  <c r="N1151" i="1"/>
  <c r="J1151" i="1"/>
  <c r="I1151" i="1"/>
  <c r="H1151" i="1"/>
  <c r="G1151" i="1"/>
  <c r="F1151" i="1"/>
  <c r="E1151" i="1"/>
  <c r="D1151" i="1"/>
  <c r="C1151" i="1"/>
  <c r="V1150" i="1"/>
  <c r="Q1150" i="1"/>
  <c r="P1150" i="1"/>
  <c r="O1150" i="1"/>
  <c r="N1150" i="1"/>
  <c r="J1150" i="1"/>
  <c r="I1150" i="1"/>
  <c r="H1150" i="1"/>
  <c r="G1150" i="1"/>
  <c r="F1150" i="1"/>
  <c r="E1150" i="1"/>
  <c r="D1150" i="1"/>
  <c r="C1150" i="1"/>
  <c r="V1149" i="1"/>
  <c r="Q1149" i="1"/>
  <c r="P1149" i="1"/>
  <c r="O1149" i="1"/>
  <c r="N1149" i="1"/>
  <c r="J1149" i="1"/>
  <c r="I1149" i="1"/>
  <c r="H1149" i="1"/>
  <c r="G1149" i="1"/>
  <c r="F1149" i="1"/>
  <c r="E1149" i="1"/>
  <c r="D1149" i="1"/>
  <c r="C1149" i="1"/>
  <c r="V1148" i="1"/>
  <c r="Q1148" i="1"/>
  <c r="P1148" i="1"/>
  <c r="O1148" i="1"/>
  <c r="N1148" i="1"/>
  <c r="J1148" i="1"/>
  <c r="I1148" i="1"/>
  <c r="H1148" i="1"/>
  <c r="G1148" i="1"/>
  <c r="F1148" i="1"/>
  <c r="E1148" i="1"/>
  <c r="D1148" i="1"/>
  <c r="C1148" i="1"/>
  <c r="V1147" i="1"/>
  <c r="Q1147" i="1"/>
  <c r="P1147" i="1"/>
  <c r="O1147" i="1"/>
  <c r="N1147" i="1"/>
  <c r="J1147" i="1"/>
  <c r="I1147" i="1"/>
  <c r="H1147" i="1"/>
  <c r="G1147" i="1"/>
  <c r="F1147" i="1"/>
  <c r="E1147" i="1"/>
  <c r="D1147" i="1"/>
  <c r="C1147" i="1"/>
  <c r="V1146" i="1"/>
  <c r="Q1146" i="1"/>
  <c r="P1146" i="1"/>
  <c r="O1146" i="1"/>
  <c r="N1146" i="1"/>
  <c r="J1146" i="1"/>
  <c r="I1146" i="1"/>
  <c r="H1146" i="1"/>
  <c r="G1146" i="1"/>
  <c r="F1146" i="1"/>
  <c r="E1146" i="1"/>
  <c r="D1146" i="1"/>
  <c r="C1146" i="1"/>
  <c r="V1145" i="1"/>
  <c r="Q1145" i="1"/>
  <c r="P1145" i="1"/>
  <c r="O1145" i="1"/>
  <c r="N1145" i="1"/>
  <c r="J1145" i="1"/>
  <c r="I1145" i="1"/>
  <c r="H1145" i="1"/>
  <c r="G1145" i="1"/>
  <c r="F1145" i="1"/>
  <c r="E1145" i="1"/>
  <c r="D1145" i="1"/>
  <c r="C1145" i="1"/>
  <c r="V1144" i="1"/>
  <c r="Q1144" i="1"/>
  <c r="P1144" i="1"/>
  <c r="O1144" i="1"/>
  <c r="N1144" i="1"/>
  <c r="J1144" i="1"/>
  <c r="I1144" i="1"/>
  <c r="H1144" i="1"/>
  <c r="G1144" i="1"/>
  <c r="F1144" i="1"/>
  <c r="E1144" i="1"/>
  <c r="D1144" i="1"/>
  <c r="C1144" i="1"/>
  <c r="V1143" i="1"/>
  <c r="Q1143" i="1"/>
  <c r="P1143" i="1"/>
  <c r="O1143" i="1"/>
  <c r="N1143" i="1"/>
  <c r="J1143" i="1"/>
  <c r="I1143" i="1"/>
  <c r="H1143" i="1"/>
  <c r="G1143" i="1"/>
  <c r="F1143" i="1"/>
  <c r="E1143" i="1"/>
  <c r="D1143" i="1"/>
  <c r="C1143" i="1"/>
  <c r="V1142" i="1"/>
  <c r="Q1142" i="1"/>
  <c r="P1142" i="1"/>
  <c r="O1142" i="1"/>
  <c r="N1142" i="1"/>
  <c r="J1142" i="1"/>
  <c r="I1142" i="1"/>
  <c r="H1142" i="1"/>
  <c r="G1142" i="1"/>
  <c r="F1142" i="1"/>
  <c r="E1142" i="1"/>
  <c r="D1142" i="1"/>
  <c r="C1142" i="1"/>
  <c r="V1141" i="1"/>
  <c r="Q1141" i="1"/>
  <c r="P1141" i="1"/>
  <c r="O1141" i="1"/>
  <c r="N1141" i="1"/>
  <c r="J1141" i="1"/>
  <c r="I1141" i="1"/>
  <c r="H1141" i="1"/>
  <c r="G1141" i="1"/>
  <c r="F1141" i="1"/>
  <c r="E1141" i="1"/>
  <c r="D1141" i="1"/>
  <c r="C1141" i="1"/>
  <c r="V1140" i="1"/>
  <c r="Q1140" i="1"/>
  <c r="P1140" i="1"/>
  <c r="O1140" i="1"/>
  <c r="N1140" i="1"/>
  <c r="J1140" i="1"/>
  <c r="I1140" i="1"/>
  <c r="H1140" i="1"/>
  <c r="G1140" i="1"/>
  <c r="F1140" i="1"/>
  <c r="E1140" i="1"/>
  <c r="D1140" i="1"/>
  <c r="C1140" i="1"/>
  <c r="V1139" i="1"/>
  <c r="Q1139" i="1"/>
  <c r="P1139" i="1"/>
  <c r="O1139" i="1"/>
  <c r="N1139" i="1"/>
  <c r="J1139" i="1"/>
  <c r="I1139" i="1"/>
  <c r="H1139" i="1"/>
  <c r="G1139" i="1"/>
  <c r="F1139" i="1"/>
  <c r="E1139" i="1"/>
  <c r="D1139" i="1"/>
  <c r="C1139" i="1"/>
  <c r="V1138" i="1"/>
  <c r="Q1138" i="1"/>
  <c r="P1138" i="1"/>
  <c r="O1138" i="1"/>
  <c r="N1138" i="1"/>
  <c r="J1138" i="1"/>
  <c r="I1138" i="1"/>
  <c r="H1138" i="1"/>
  <c r="G1138" i="1"/>
  <c r="F1138" i="1"/>
  <c r="E1138" i="1"/>
  <c r="D1138" i="1"/>
  <c r="C1138" i="1"/>
  <c r="V1137" i="1"/>
  <c r="Q1137" i="1"/>
  <c r="P1137" i="1"/>
  <c r="O1137" i="1"/>
  <c r="N1137" i="1"/>
  <c r="J1137" i="1"/>
  <c r="I1137" i="1"/>
  <c r="H1137" i="1"/>
  <c r="G1137" i="1"/>
  <c r="F1137" i="1"/>
  <c r="E1137" i="1"/>
  <c r="D1137" i="1"/>
  <c r="C1137" i="1"/>
  <c r="V1136" i="1"/>
  <c r="Q1136" i="1"/>
  <c r="P1136" i="1"/>
  <c r="O1136" i="1"/>
  <c r="N1136" i="1"/>
  <c r="J1136" i="1"/>
  <c r="I1136" i="1"/>
  <c r="H1136" i="1"/>
  <c r="G1136" i="1"/>
  <c r="F1136" i="1"/>
  <c r="E1136" i="1"/>
  <c r="D1136" i="1"/>
  <c r="C1136" i="1"/>
  <c r="V1135" i="1"/>
  <c r="Q1135" i="1"/>
  <c r="P1135" i="1"/>
  <c r="O1135" i="1"/>
  <c r="N1135" i="1"/>
  <c r="J1135" i="1"/>
  <c r="I1135" i="1"/>
  <c r="H1135" i="1"/>
  <c r="G1135" i="1"/>
  <c r="F1135" i="1"/>
  <c r="E1135" i="1"/>
  <c r="D1135" i="1"/>
  <c r="C1135" i="1"/>
  <c r="V1134" i="1"/>
  <c r="Q1134" i="1"/>
  <c r="P1134" i="1"/>
  <c r="O1134" i="1"/>
  <c r="N1134" i="1"/>
  <c r="J1134" i="1"/>
  <c r="I1134" i="1"/>
  <c r="H1134" i="1"/>
  <c r="G1134" i="1"/>
  <c r="F1134" i="1"/>
  <c r="E1134" i="1"/>
  <c r="D1134" i="1"/>
  <c r="C1134" i="1"/>
  <c r="V1133" i="1"/>
  <c r="Q1133" i="1"/>
  <c r="P1133" i="1"/>
  <c r="O1133" i="1"/>
  <c r="N1133" i="1"/>
  <c r="J1133" i="1"/>
  <c r="I1133" i="1"/>
  <c r="H1133" i="1"/>
  <c r="G1133" i="1"/>
  <c r="F1133" i="1"/>
  <c r="E1133" i="1"/>
  <c r="D1133" i="1"/>
  <c r="C1133" i="1"/>
  <c r="V1132" i="1"/>
  <c r="Q1132" i="1"/>
  <c r="P1132" i="1"/>
  <c r="O1132" i="1"/>
  <c r="N1132" i="1"/>
  <c r="J1132" i="1"/>
  <c r="I1132" i="1"/>
  <c r="H1132" i="1"/>
  <c r="G1132" i="1"/>
  <c r="F1132" i="1"/>
  <c r="E1132" i="1"/>
  <c r="D1132" i="1"/>
  <c r="C1132" i="1"/>
  <c r="V1131" i="1"/>
  <c r="Q1131" i="1"/>
  <c r="P1131" i="1"/>
  <c r="O1131" i="1"/>
  <c r="N1131" i="1"/>
  <c r="J1131" i="1"/>
  <c r="I1131" i="1"/>
  <c r="H1131" i="1"/>
  <c r="G1131" i="1"/>
  <c r="F1131" i="1"/>
  <c r="E1131" i="1"/>
  <c r="D1131" i="1"/>
  <c r="C1131" i="1"/>
  <c r="V1130" i="1"/>
  <c r="Q1130" i="1"/>
  <c r="P1130" i="1"/>
  <c r="O1130" i="1"/>
  <c r="N1130" i="1"/>
  <c r="J1130" i="1"/>
  <c r="I1130" i="1"/>
  <c r="H1130" i="1"/>
  <c r="G1130" i="1"/>
  <c r="F1130" i="1"/>
  <c r="E1130" i="1"/>
  <c r="D1130" i="1"/>
  <c r="C1130" i="1"/>
  <c r="V1129" i="1"/>
  <c r="Q1129" i="1"/>
  <c r="P1129" i="1"/>
  <c r="O1129" i="1"/>
  <c r="N1129" i="1"/>
  <c r="J1129" i="1"/>
  <c r="I1129" i="1"/>
  <c r="H1129" i="1"/>
  <c r="G1129" i="1"/>
  <c r="F1129" i="1"/>
  <c r="E1129" i="1"/>
  <c r="D1129" i="1"/>
  <c r="C1129" i="1"/>
  <c r="V1128" i="1"/>
  <c r="Q1128" i="1"/>
  <c r="P1128" i="1"/>
  <c r="O1128" i="1"/>
  <c r="N1128" i="1"/>
  <c r="J1128" i="1"/>
  <c r="I1128" i="1"/>
  <c r="H1128" i="1"/>
  <c r="G1128" i="1"/>
  <c r="F1128" i="1"/>
  <c r="E1128" i="1"/>
  <c r="D1128" i="1"/>
  <c r="C1128" i="1"/>
  <c r="V1127" i="1"/>
  <c r="Q1127" i="1"/>
  <c r="P1127" i="1"/>
  <c r="O1127" i="1"/>
  <c r="N1127" i="1"/>
  <c r="J1127" i="1"/>
  <c r="I1127" i="1"/>
  <c r="H1127" i="1"/>
  <c r="G1127" i="1"/>
  <c r="F1127" i="1"/>
  <c r="E1127" i="1"/>
  <c r="D1127" i="1"/>
  <c r="C1127" i="1"/>
  <c r="V1126" i="1"/>
  <c r="Q1126" i="1"/>
  <c r="P1126" i="1"/>
  <c r="O1126" i="1"/>
  <c r="N1126" i="1"/>
  <c r="J1126" i="1"/>
  <c r="I1126" i="1"/>
  <c r="H1126" i="1"/>
  <c r="G1126" i="1"/>
  <c r="F1126" i="1"/>
  <c r="E1126" i="1"/>
  <c r="D1126" i="1"/>
  <c r="C1126" i="1"/>
  <c r="V1125" i="1"/>
  <c r="Q1125" i="1"/>
  <c r="P1125" i="1"/>
  <c r="O1125" i="1"/>
  <c r="N1125" i="1"/>
  <c r="J1125" i="1"/>
  <c r="I1125" i="1"/>
  <c r="H1125" i="1"/>
  <c r="G1125" i="1"/>
  <c r="F1125" i="1"/>
  <c r="E1125" i="1"/>
  <c r="D1125" i="1"/>
  <c r="C1125" i="1"/>
  <c r="V1124" i="1"/>
  <c r="Q1124" i="1"/>
  <c r="P1124" i="1"/>
  <c r="O1124" i="1"/>
  <c r="N1124" i="1"/>
  <c r="J1124" i="1"/>
  <c r="I1124" i="1"/>
  <c r="H1124" i="1"/>
  <c r="G1124" i="1"/>
  <c r="F1124" i="1"/>
  <c r="E1124" i="1"/>
  <c r="D1124" i="1"/>
  <c r="C1124" i="1"/>
  <c r="V1123" i="1"/>
  <c r="Q1123" i="1"/>
  <c r="P1123" i="1"/>
  <c r="O1123" i="1"/>
  <c r="N1123" i="1"/>
  <c r="J1123" i="1"/>
  <c r="I1123" i="1"/>
  <c r="H1123" i="1"/>
  <c r="G1123" i="1"/>
  <c r="F1123" i="1"/>
  <c r="E1123" i="1"/>
  <c r="D1123" i="1"/>
  <c r="C1123" i="1"/>
  <c r="V1122" i="1"/>
  <c r="Q1122" i="1"/>
  <c r="P1122" i="1"/>
  <c r="O1122" i="1"/>
  <c r="N1122" i="1"/>
  <c r="J1122" i="1"/>
  <c r="I1122" i="1"/>
  <c r="H1122" i="1"/>
  <c r="G1122" i="1"/>
  <c r="F1122" i="1"/>
  <c r="E1122" i="1"/>
  <c r="D1122" i="1"/>
  <c r="C1122" i="1"/>
  <c r="V1121" i="1"/>
  <c r="Q1121" i="1"/>
  <c r="P1121" i="1"/>
  <c r="O1121" i="1"/>
  <c r="N1121" i="1"/>
  <c r="J1121" i="1"/>
  <c r="I1121" i="1"/>
  <c r="H1121" i="1"/>
  <c r="G1121" i="1"/>
  <c r="F1121" i="1"/>
  <c r="E1121" i="1"/>
  <c r="D1121" i="1"/>
  <c r="C1121" i="1"/>
  <c r="V1120" i="1"/>
  <c r="Q1120" i="1"/>
  <c r="P1120" i="1"/>
  <c r="O1120" i="1"/>
  <c r="N1120" i="1"/>
  <c r="J1120" i="1"/>
  <c r="I1120" i="1"/>
  <c r="H1120" i="1"/>
  <c r="G1120" i="1"/>
  <c r="F1120" i="1"/>
  <c r="E1120" i="1"/>
  <c r="D1120" i="1"/>
  <c r="C1120" i="1"/>
  <c r="V1119" i="1"/>
  <c r="Q1119" i="1"/>
  <c r="P1119" i="1"/>
  <c r="O1119" i="1"/>
  <c r="N1119" i="1"/>
  <c r="J1119" i="1"/>
  <c r="I1119" i="1"/>
  <c r="H1119" i="1"/>
  <c r="G1119" i="1"/>
  <c r="F1119" i="1"/>
  <c r="E1119" i="1"/>
  <c r="D1119" i="1"/>
  <c r="C1119" i="1"/>
  <c r="V1118" i="1"/>
  <c r="Q1118" i="1"/>
  <c r="P1118" i="1"/>
  <c r="O1118" i="1"/>
  <c r="N1118" i="1"/>
  <c r="J1118" i="1"/>
  <c r="I1118" i="1"/>
  <c r="H1118" i="1"/>
  <c r="G1118" i="1"/>
  <c r="F1118" i="1"/>
  <c r="E1118" i="1"/>
  <c r="D1118" i="1"/>
  <c r="C1118" i="1"/>
  <c r="V1117" i="1"/>
  <c r="Q1117" i="1"/>
  <c r="P1117" i="1"/>
  <c r="O1117" i="1"/>
  <c r="N1117" i="1"/>
  <c r="J1117" i="1"/>
  <c r="I1117" i="1"/>
  <c r="H1117" i="1"/>
  <c r="G1117" i="1"/>
  <c r="F1117" i="1"/>
  <c r="E1117" i="1"/>
  <c r="D1117" i="1"/>
  <c r="C1117" i="1"/>
  <c r="V1116" i="1"/>
  <c r="Q1116" i="1"/>
  <c r="P1116" i="1"/>
  <c r="O1116" i="1"/>
  <c r="N1116" i="1"/>
  <c r="J1116" i="1"/>
  <c r="I1116" i="1"/>
  <c r="H1116" i="1"/>
  <c r="G1116" i="1"/>
  <c r="F1116" i="1"/>
  <c r="E1116" i="1"/>
  <c r="D1116" i="1"/>
  <c r="C1116" i="1"/>
  <c r="V1115" i="1"/>
  <c r="Q1115" i="1"/>
  <c r="P1115" i="1"/>
  <c r="O1115" i="1"/>
  <c r="N1115" i="1"/>
  <c r="J1115" i="1"/>
  <c r="I1115" i="1"/>
  <c r="H1115" i="1"/>
  <c r="G1115" i="1"/>
  <c r="F1115" i="1"/>
  <c r="E1115" i="1"/>
  <c r="D1115" i="1"/>
  <c r="C1115" i="1"/>
  <c r="V1114" i="1"/>
  <c r="Q1114" i="1"/>
  <c r="P1114" i="1"/>
  <c r="O1114" i="1"/>
  <c r="N1114" i="1"/>
  <c r="J1114" i="1"/>
  <c r="I1114" i="1"/>
  <c r="H1114" i="1"/>
  <c r="G1114" i="1"/>
  <c r="F1114" i="1"/>
  <c r="E1114" i="1"/>
  <c r="D1114" i="1"/>
  <c r="C1114" i="1"/>
  <c r="V1113" i="1"/>
  <c r="Q1113" i="1"/>
  <c r="P1113" i="1"/>
  <c r="O1113" i="1"/>
  <c r="N1113" i="1"/>
  <c r="J1113" i="1"/>
  <c r="I1113" i="1"/>
  <c r="H1113" i="1"/>
  <c r="G1113" i="1"/>
  <c r="F1113" i="1"/>
  <c r="E1113" i="1"/>
  <c r="D1113" i="1"/>
  <c r="C1113" i="1"/>
  <c r="V1112" i="1"/>
  <c r="Q1112" i="1"/>
  <c r="P1112" i="1"/>
  <c r="O1112" i="1"/>
  <c r="N1112" i="1"/>
  <c r="J1112" i="1"/>
  <c r="I1112" i="1"/>
  <c r="H1112" i="1"/>
  <c r="G1112" i="1"/>
  <c r="F1112" i="1"/>
  <c r="E1112" i="1"/>
  <c r="D1112" i="1"/>
  <c r="C1112" i="1"/>
  <c r="V1111" i="1"/>
  <c r="Q1111" i="1"/>
  <c r="P1111" i="1"/>
  <c r="O1111" i="1"/>
  <c r="N1111" i="1"/>
  <c r="J1111" i="1"/>
  <c r="I1111" i="1"/>
  <c r="H1111" i="1"/>
  <c r="G1111" i="1"/>
  <c r="F1111" i="1"/>
  <c r="E1111" i="1"/>
  <c r="D1111" i="1"/>
  <c r="C1111" i="1"/>
  <c r="V1110" i="1"/>
  <c r="Q1110" i="1"/>
  <c r="P1110" i="1"/>
  <c r="O1110" i="1"/>
  <c r="N1110" i="1"/>
  <c r="J1110" i="1"/>
  <c r="I1110" i="1"/>
  <c r="H1110" i="1"/>
  <c r="G1110" i="1"/>
  <c r="F1110" i="1"/>
  <c r="E1110" i="1"/>
  <c r="D1110" i="1"/>
  <c r="C1110" i="1"/>
  <c r="V1109" i="1"/>
  <c r="Q1109" i="1"/>
  <c r="P1109" i="1"/>
  <c r="O1109" i="1"/>
  <c r="N1109" i="1"/>
  <c r="J1109" i="1"/>
  <c r="I1109" i="1"/>
  <c r="H1109" i="1"/>
  <c r="G1109" i="1"/>
  <c r="F1109" i="1"/>
  <c r="E1109" i="1"/>
  <c r="D1109" i="1"/>
  <c r="C1109" i="1"/>
  <c r="V1108" i="1"/>
  <c r="Q1108" i="1"/>
  <c r="P1108" i="1"/>
  <c r="O1108" i="1"/>
  <c r="N1108" i="1"/>
  <c r="J1108" i="1"/>
  <c r="I1108" i="1"/>
  <c r="H1108" i="1"/>
  <c r="G1108" i="1"/>
  <c r="F1108" i="1"/>
  <c r="E1108" i="1"/>
  <c r="D1108" i="1"/>
  <c r="C1108" i="1"/>
  <c r="V1107" i="1"/>
  <c r="Q1107" i="1"/>
  <c r="P1107" i="1"/>
  <c r="O1107" i="1"/>
  <c r="N1107" i="1"/>
  <c r="J1107" i="1"/>
  <c r="I1107" i="1"/>
  <c r="H1107" i="1"/>
  <c r="G1107" i="1"/>
  <c r="F1107" i="1"/>
  <c r="E1107" i="1"/>
  <c r="D1107" i="1"/>
  <c r="C1107" i="1"/>
  <c r="V1106" i="1"/>
  <c r="Q1106" i="1"/>
  <c r="P1106" i="1"/>
  <c r="O1106" i="1"/>
  <c r="N1106" i="1"/>
  <c r="J1106" i="1"/>
  <c r="I1106" i="1"/>
  <c r="H1106" i="1"/>
  <c r="G1106" i="1"/>
  <c r="F1106" i="1"/>
  <c r="E1106" i="1"/>
  <c r="D1106" i="1"/>
  <c r="C1106" i="1"/>
  <c r="V1105" i="1"/>
  <c r="Q1105" i="1"/>
  <c r="P1105" i="1"/>
  <c r="O1105" i="1"/>
  <c r="N1105" i="1"/>
  <c r="J1105" i="1"/>
  <c r="I1105" i="1"/>
  <c r="H1105" i="1"/>
  <c r="G1105" i="1"/>
  <c r="F1105" i="1"/>
  <c r="E1105" i="1"/>
  <c r="D1105" i="1"/>
  <c r="C1105" i="1"/>
  <c r="V1104" i="1"/>
  <c r="Q1104" i="1"/>
  <c r="P1104" i="1"/>
  <c r="O1104" i="1"/>
  <c r="N1104" i="1"/>
  <c r="J1104" i="1"/>
  <c r="I1104" i="1"/>
  <c r="H1104" i="1"/>
  <c r="G1104" i="1"/>
  <c r="F1104" i="1"/>
  <c r="E1104" i="1"/>
  <c r="D1104" i="1"/>
  <c r="C1104" i="1"/>
  <c r="V1103" i="1"/>
  <c r="Q1103" i="1"/>
  <c r="P1103" i="1"/>
  <c r="O1103" i="1"/>
  <c r="N1103" i="1"/>
  <c r="J1103" i="1"/>
  <c r="I1103" i="1"/>
  <c r="H1103" i="1"/>
  <c r="G1103" i="1"/>
  <c r="F1103" i="1"/>
  <c r="E1103" i="1"/>
  <c r="D1103" i="1"/>
  <c r="C1103" i="1"/>
  <c r="V1102" i="1"/>
  <c r="Q1102" i="1"/>
  <c r="P1102" i="1"/>
  <c r="O1102" i="1"/>
  <c r="N1102" i="1"/>
  <c r="J1102" i="1"/>
  <c r="I1102" i="1"/>
  <c r="H1102" i="1"/>
  <c r="G1102" i="1"/>
  <c r="F1102" i="1"/>
  <c r="E1102" i="1"/>
  <c r="D1102" i="1"/>
  <c r="C1102" i="1"/>
  <c r="V1101" i="1"/>
  <c r="Q1101" i="1"/>
  <c r="P1101" i="1"/>
  <c r="O1101" i="1"/>
  <c r="N1101" i="1"/>
  <c r="J1101" i="1"/>
  <c r="I1101" i="1"/>
  <c r="H1101" i="1"/>
  <c r="G1101" i="1"/>
  <c r="F1101" i="1"/>
  <c r="E1101" i="1"/>
  <c r="D1101" i="1"/>
  <c r="C1101" i="1"/>
  <c r="V1100" i="1"/>
  <c r="Q1100" i="1"/>
  <c r="P1100" i="1"/>
  <c r="O1100" i="1"/>
  <c r="N1100" i="1"/>
  <c r="J1100" i="1"/>
  <c r="I1100" i="1"/>
  <c r="H1100" i="1"/>
  <c r="G1100" i="1"/>
  <c r="F1100" i="1"/>
  <c r="E1100" i="1"/>
  <c r="D1100" i="1"/>
  <c r="C1100" i="1"/>
  <c r="V1099" i="1"/>
  <c r="Q1099" i="1"/>
  <c r="P1099" i="1"/>
  <c r="O1099" i="1"/>
  <c r="N1099" i="1"/>
  <c r="J1099" i="1"/>
  <c r="I1099" i="1"/>
  <c r="H1099" i="1"/>
  <c r="G1099" i="1"/>
  <c r="F1099" i="1"/>
  <c r="E1099" i="1"/>
  <c r="D1099" i="1"/>
  <c r="C1099" i="1"/>
  <c r="V1098" i="1"/>
  <c r="Q1098" i="1"/>
  <c r="P1098" i="1"/>
  <c r="O1098" i="1"/>
  <c r="N1098" i="1"/>
  <c r="J1098" i="1"/>
  <c r="I1098" i="1"/>
  <c r="H1098" i="1"/>
  <c r="G1098" i="1"/>
  <c r="F1098" i="1"/>
  <c r="E1098" i="1"/>
  <c r="D1098" i="1"/>
  <c r="C1098" i="1"/>
  <c r="V1097" i="1"/>
  <c r="Q1097" i="1"/>
  <c r="P1097" i="1"/>
  <c r="O1097" i="1"/>
  <c r="N1097" i="1"/>
  <c r="J1097" i="1"/>
  <c r="I1097" i="1"/>
  <c r="H1097" i="1"/>
  <c r="G1097" i="1"/>
  <c r="F1097" i="1"/>
  <c r="E1097" i="1"/>
  <c r="D1097" i="1"/>
  <c r="C1097" i="1"/>
  <c r="V1096" i="1"/>
  <c r="Q1096" i="1"/>
  <c r="P1096" i="1"/>
  <c r="O1096" i="1"/>
  <c r="N1096" i="1"/>
  <c r="J1096" i="1"/>
  <c r="I1096" i="1"/>
  <c r="H1096" i="1"/>
  <c r="G1096" i="1"/>
  <c r="F1096" i="1"/>
  <c r="E1096" i="1"/>
  <c r="D1096" i="1"/>
  <c r="C1096" i="1"/>
  <c r="V1095" i="1"/>
  <c r="Q1095" i="1"/>
  <c r="P1095" i="1"/>
  <c r="O1095" i="1"/>
  <c r="N1095" i="1"/>
  <c r="J1095" i="1"/>
  <c r="I1095" i="1"/>
  <c r="H1095" i="1"/>
  <c r="G1095" i="1"/>
  <c r="F1095" i="1"/>
  <c r="E1095" i="1"/>
  <c r="D1095" i="1"/>
  <c r="C1095" i="1"/>
  <c r="V1094" i="1"/>
  <c r="Q1094" i="1"/>
  <c r="P1094" i="1"/>
  <c r="O1094" i="1"/>
  <c r="N1094" i="1"/>
  <c r="J1094" i="1"/>
  <c r="I1094" i="1"/>
  <c r="H1094" i="1"/>
  <c r="G1094" i="1"/>
  <c r="F1094" i="1"/>
  <c r="E1094" i="1"/>
  <c r="D1094" i="1"/>
  <c r="C1094" i="1"/>
  <c r="V1093" i="1"/>
  <c r="Q1093" i="1"/>
  <c r="P1093" i="1"/>
  <c r="O1093" i="1"/>
  <c r="N1093" i="1"/>
  <c r="J1093" i="1"/>
  <c r="I1093" i="1"/>
  <c r="H1093" i="1"/>
  <c r="G1093" i="1"/>
  <c r="F1093" i="1"/>
  <c r="E1093" i="1"/>
  <c r="D1093" i="1"/>
  <c r="C1093" i="1"/>
  <c r="V1092" i="1"/>
  <c r="Q1092" i="1"/>
  <c r="P1092" i="1"/>
  <c r="O1092" i="1"/>
  <c r="N1092" i="1"/>
  <c r="J1092" i="1"/>
  <c r="I1092" i="1"/>
  <c r="H1092" i="1"/>
  <c r="G1092" i="1"/>
  <c r="F1092" i="1"/>
  <c r="E1092" i="1"/>
  <c r="D1092" i="1"/>
  <c r="C1092" i="1"/>
  <c r="V1091" i="1"/>
  <c r="Q1091" i="1"/>
  <c r="P1091" i="1"/>
  <c r="O1091" i="1"/>
  <c r="N1091" i="1"/>
  <c r="J1091" i="1"/>
  <c r="I1091" i="1"/>
  <c r="H1091" i="1"/>
  <c r="G1091" i="1"/>
  <c r="F1091" i="1"/>
  <c r="E1091" i="1"/>
  <c r="D1091" i="1"/>
  <c r="C1091" i="1"/>
  <c r="V1090" i="1"/>
  <c r="Q1090" i="1"/>
  <c r="P1090" i="1"/>
  <c r="O1090" i="1"/>
  <c r="N1090" i="1"/>
  <c r="J1090" i="1"/>
  <c r="I1090" i="1"/>
  <c r="H1090" i="1"/>
  <c r="G1090" i="1"/>
  <c r="F1090" i="1"/>
  <c r="E1090" i="1"/>
  <c r="D1090" i="1"/>
  <c r="C1090" i="1"/>
  <c r="V1089" i="1"/>
  <c r="Q1089" i="1"/>
  <c r="P1089" i="1"/>
  <c r="O1089" i="1"/>
  <c r="N1089" i="1"/>
  <c r="J1089" i="1"/>
  <c r="I1089" i="1"/>
  <c r="H1089" i="1"/>
  <c r="G1089" i="1"/>
  <c r="F1089" i="1"/>
  <c r="E1089" i="1"/>
  <c r="D1089" i="1"/>
  <c r="C1089" i="1"/>
  <c r="V1088" i="1"/>
  <c r="Q1088" i="1"/>
  <c r="P1088" i="1"/>
  <c r="O1088" i="1"/>
  <c r="N1088" i="1"/>
  <c r="J1088" i="1"/>
  <c r="I1088" i="1"/>
  <c r="H1088" i="1"/>
  <c r="G1088" i="1"/>
  <c r="F1088" i="1"/>
  <c r="E1088" i="1"/>
  <c r="D1088" i="1"/>
  <c r="C1088" i="1"/>
  <c r="V1087" i="1"/>
  <c r="Q1087" i="1"/>
  <c r="P1087" i="1"/>
  <c r="O1087" i="1"/>
  <c r="N1087" i="1"/>
  <c r="J1087" i="1"/>
  <c r="I1087" i="1"/>
  <c r="H1087" i="1"/>
  <c r="G1087" i="1"/>
  <c r="F1087" i="1"/>
  <c r="E1087" i="1"/>
  <c r="D1087" i="1"/>
  <c r="C1087" i="1"/>
  <c r="V1086" i="1"/>
  <c r="Q1086" i="1"/>
  <c r="P1086" i="1"/>
  <c r="O1086" i="1"/>
  <c r="N1086" i="1"/>
  <c r="J1086" i="1"/>
  <c r="I1086" i="1"/>
  <c r="H1086" i="1"/>
  <c r="G1086" i="1"/>
  <c r="F1086" i="1"/>
  <c r="E1086" i="1"/>
  <c r="D1086" i="1"/>
  <c r="C1086" i="1"/>
  <c r="V1085" i="1"/>
  <c r="Q1085" i="1"/>
  <c r="P1085" i="1"/>
  <c r="O1085" i="1"/>
  <c r="N1085" i="1"/>
  <c r="J1085" i="1"/>
  <c r="I1085" i="1"/>
  <c r="H1085" i="1"/>
  <c r="G1085" i="1"/>
  <c r="F1085" i="1"/>
  <c r="E1085" i="1"/>
  <c r="D1085" i="1"/>
  <c r="C1085" i="1"/>
  <c r="V1084" i="1"/>
  <c r="Q1084" i="1"/>
  <c r="P1084" i="1"/>
  <c r="O1084" i="1"/>
  <c r="N1084" i="1"/>
  <c r="J1084" i="1"/>
  <c r="I1084" i="1"/>
  <c r="H1084" i="1"/>
  <c r="G1084" i="1"/>
  <c r="F1084" i="1"/>
  <c r="E1084" i="1"/>
  <c r="D1084" i="1"/>
  <c r="C1084" i="1"/>
  <c r="V1083" i="1"/>
  <c r="Q1083" i="1"/>
  <c r="P1083" i="1"/>
  <c r="O1083" i="1"/>
  <c r="N1083" i="1"/>
  <c r="J1083" i="1"/>
  <c r="I1083" i="1"/>
  <c r="H1083" i="1"/>
  <c r="G1083" i="1"/>
  <c r="F1083" i="1"/>
  <c r="E1083" i="1"/>
  <c r="D1083" i="1"/>
  <c r="C1083" i="1"/>
  <c r="V1082" i="1"/>
  <c r="Q1082" i="1"/>
  <c r="P1082" i="1"/>
  <c r="O1082" i="1"/>
  <c r="N1082" i="1"/>
  <c r="J1082" i="1"/>
  <c r="I1082" i="1"/>
  <c r="H1082" i="1"/>
  <c r="G1082" i="1"/>
  <c r="F1082" i="1"/>
  <c r="E1082" i="1"/>
  <c r="D1082" i="1"/>
  <c r="C1082" i="1"/>
  <c r="V1081" i="1"/>
  <c r="Q1081" i="1"/>
  <c r="P1081" i="1"/>
  <c r="O1081" i="1"/>
  <c r="N1081" i="1"/>
  <c r="J1081" i="1"/>
  <c r="I1081" i="1"/>
  <c r="H1081" i="1"/>
  <c r="G1081" i="1"/>
  <c r="F1081" i="1"/>
  <c r="E1081" i="1"/>
  <c r="D1081" i="1"/>
  <c r="C1081" i="1"/>
  <c r="V1080" i="1"/>
  <c r="Q1080" i="1"/>
  <c r="P1080" i="1"/>
  <c r="O1080" i="1"/>
  <c r="N1080" i="1"/>
  <c r="J1080" i="1"/>
  <c r="I1080" i="1"/>
  <c r="H1080" i="1"/>
  <c r="G1080" i="1"/>
  <c r="F1080" i="1"/>
  <c r="E1080" i="1"/>
  <c r="D1080" i="1"/>
  <c r="C1080" i="1"/>
  <c r="V1079" i="1"/>
  <c r="Q1079" i="1"/>
  <c r="P1079" i="1"/>
  <c r="O1079" i="1"/>
  <c r="N1079" i="1"/>
  <c r="J1079" i="1"/>
  <c r="I1079" i="1"/>
  <c r="H1079" i="1"/>
  <c r="G1079" i="1"/>
  <c r="F1079" i="1"/>
  <c r="E1079" i="1"/>
  <c r="D1079" i="1"/>
  <c r="C1079" i="1"/>
  <c r="V1078" i="1"/>
  <c r="Q1078" i="1"/>
  <c r="P1078" i="1"/>
  <c r="O1078" i="1"/>
  <c r="N1078" i="1"/>
  <c r="J1078" i="1"/>
  <c r="I1078" i="1"/>
  <c r="H1078" i="1"/>
  <c r="G1078" i="1"/>
  <c r="F1078" i="1"/>
  <c r="E1078" i="1"/>
  <c r="D1078" i="1"/>
  <c r="C1078" i="1"/>
  <c r="V1077" i="1"/>
  <c r="Q1077" i="1"/>
  <c r="P1077" i="1"/>
  <c r="O1077" i="1"/>
  <c r="N1077" i="1"/>
  <c r="J1077" i="1"/>
  <c r="I1077" i="1"/>
  <c r="H1077" i="1"/>
  <c r="G1077" i="1"/>
  <c r="F1077" i="1"/>
  <c r="E1077" i="1"/>
  <c r="D1077" i="1"/>
  <c r="C1077" i="1"/>
  <c r="V1076" i="1"/>
  <c r="Q1076" i="1"/>
  <c r="P1076" i="1"/>
  <c r="O1076" i="1"/>
  <c r="N1076" i="1"/>
  <c r="J1076" i="1"/>
  <c r="I1076" i="1"/>
  <c r="H1076" i="1"/>
  <c r="G1076" i="1"/>
  <c r="F1076" i="1"/>
  <c r="E1076" i="1"/>
  <c r="D1076" i="1"/>
  <c r="C1076" i="1"/>
  <c r="V1075" i="1"/>
  <c r="Q1075" i="1"/>
  <c r="P1075" i="1"/>
  <c r="O1075" i="1"/>
  <c r="N1075" i="1"/>
  <c r="J1075" i="1"/>
  <c r="I1075" i="1"/>
  <c r="H1075" i="1"/>
  <c r="G1075" i="1"/>
  <c r="F1075" i="1"/>
  <c r="E1075" i="1"/>
  <c r="D1075" i="1"/>
  <c r="C1075" i="1"/>
  <c r="V1074" i="1"/>
  <c r="Q1074" i="1"/>
  <c r="P1074" i="1"/>
  <c r="O1074" i="1"/>
  <c r="N1074" i="1"/>
  <c r="J1074" i="1"/>
  <c r="I1074" i="1"/>
  <c r="H1074" i="1"/>
  <c r="G1074" i="1"/>
  <c r="F1074" i="1"/>
  <c r="E1074" i="1"/>
  <c r="D1074" i="1"/>
  <c r="C1074" i="1"/>
  <c r="V1073" i="1"/>
  <c r="Q1073" i="1"/>
  <c r="P1073" i="1"/>
  <c r="O1073" i="1"/>
  <c r="N1073" i="1"/>
  <c r="J1073" i="1"/>
  <c r="I1073" i="1"/>
  <c r="H1073" i="1"/>
  <c r="G1073" i="1"/>
  <c r="F1073" i="1"/>
  <c r="E1073" i="1"/>
  <c r="D1073" i="1"/>
  <c r="C1073" i="1"/>
  <c r="V1072" i="1"/>
  <c r="Q1072" i="1"/>
  <c r="P1072" i="1"/>
  <c r="O1072" i="1"/>
  <c r="N1072" i="1"/>
  <c r="J1072" i="1"/>
  <c r="I1072" i="1"/>
  <c r="H1072" i="1"/>
  <c r="G1072" i="1"/>
  <c r="F1072" i="1"/>
  <c r="E1072" i="1"/>
  <c r="D1072" i="1"/>
  <c r="C1072" i="1"/>
  <c r="V1071" i="1"/>
  <c r="Q1071" i="1"/>
  <c r="P1071" i="1"/>
  <c r="O1071" i="1"/>
  <c r="N1071" i="1"/>
  <c r="J1071" i="1"/>
  <c r="I1071" i="1"/>
  <c r="H1071" i="1"/>
  <c r="G1071" i="1"/>
  <c r="F1071" i="1"/>
  <c r="E1071" i="1"/>
  <c r="D1071" i="1"/>
  <c r="C1071" i="1"/>
  <c r="V1070" i="1"/>
  <c r="Q1070" i="1"/>
  <c r="P1070" i="1"/>
  <c r="O1070" i="1"/>
  <c r="N1070" i="1"/>
  <c r="J1070" i="1"/>
  <c r="I1070" i="1"/>
  <c r="H1070" i="1"/>
  <c r="G1070" i="1"/>
  <c r="F1070" i="1"/>
  <c r="E1070" i="1"/>
  <c r="D1070" i="1"/>
  <c r="C1070" i="1"/>
  <c r="V1069" i="1"/>
  <c r="Q1069" i="1"/>
  <c r="P1069" i="1"/>
  <c r="O1069" i="1"/>
  <c r="N1069" i="1"/>
  <c r="J1069" i="1"/>
  <c r="I1069" i="1"/>
  <c r="H1069" i="1"/>
  <c r="G1069" i="1"/>
  <c r="F1069" i="1"/>
  <c r="E1069" i="1"/>
  <c r="D1069" i="1"/>
  <c r="C1069" i="1"/>
  <c r="V1068" i="1"/>
  <c r="Q1068" i="1"/>
  <c r="P1068" i="1"/>
  <c r="O1068" i="1"/>
  <c r="N1068" i="1"/>
  <c r="J1068" i="1"/>
  <c r="I1068" i="1"/>
  <c r="H1068" i="1"/>
  <c r="G1068" i="1"/>
  <c r="F1068" i="1"/>
  <c r="E1068" i="1"/>
  <c r="D1068" i="1"/>
  <c r="C1068" i="1"/>
  <c r="V1067" i="1"/>
  <c r="Q1067" i="1"/>
  <c r="P1067" i="1"/>
  <c r="O1067" i="1"/>
  <c r="N1067" i="1"/>
  <c r="J1067" i="1"/>
  <c r="I1067" i="1"/>
  <c r="H1067" i="1"/>
  <c r="G1067" i="1"/>
  <c r="F1067" i="1"/>
  <c r="E1067" i="1"/>
  <c r="D1067" i="1"/>
  <c r="C1067" i="1"/>
  <c r="V1066" i="1"/>
  <c r="Q1066" i="1"/>
  <c r="P1066" i="1"/>
  <c r="O1066" i="1"/>
  <c r="N1066" i="1"/>
  <c r="J1066" i="1"/>
  <c r="I1066" i="1"/>
  <c r="H1066" i="1"/>
  <c r="G1066" i="1"/>
  <c r="F1066" i="1"/>
  <c r="E1066" i="1"/>
  <c r="D1066" i="1"/>
  <c r="C1066" i="1"/>
  <c r="V1065" i="1"/>
  <c r="Q1065" i="1"/>
  <c r="P1065" i="1"/>
  <c r="O1065" i="1"/>
  <c r="N1065" i="1"/>
  <c r="J1065" i="1"/>
  <c r="I1065" i="1"/>
  <c r="H1065" i="1"/>
  <c r="G1065" i="1"/>
  <c r="F1065" i="1"/>
  <c r="E1065" i="1"/>
  <c r="D1065" i="1"/>
  <c r="C1065" i="1"/>
  <c r="V1064" i="1"/>
  <c r="Q1064" i="1"/>
  <c r="P1064" i="1"/>
  <c r="O1064" i="1"/>
  <c r="N1064" i="1"/>
  <c r="J1064" i="1"/>
  <c r="I1064" i="1"/>
  <c r="H1064" i="1"/>
  <c r="G1064" i="1"/>
  <c r="F1064" i="1"/>
  <c r="E1064" i="1"/>
  <c r="D1064" i="1"/>
  <c r="C1064" i="1"/>
  <c r="V1063" i="1"/>
  <c r="Q1063" i="1"/>
  <c r="P1063" i="1"/>
  <c r="O1063" i="1"/>
  <c r="N1063" i="1"/>
  <c r="J1063" i="1"/>
  <c r="I1063" i="1"/>
  <c r="H1063" i="1"/>
  <c r="G1063" i="1"/>
  <c r="F1063" i="1"/>
  <c r="E1063" i="1"/>
  <c r="D1063" i="1"/>
  <c r="C1063" i="1"/>
  <c r="V1062" i="1"/>
  <c r="Q1062" i="1"/>
  <c r="P1062" i="1"/>
  <c r="O1062" i="1"/>
  <c r="N1062" i="1"/>
  <c r="J1062" i="1"/>
  <c r="I1062" i="1"/>
  <c r="H1062" i="1"/>
  <c r="G1062" i="1"/>
  <c r="F1062" i="1"/>
  <c r="E1062" i="1"/>
  <c r="D1062" i="1"/>
  <c r="C1062" i="1"/>
  <c r="V1061" i="1"/>
  <c r="Q1061" i="1"/>
  <c r="P1061" i="1"/>
  <c r="O1061" i="1"/>
  <c r="N1061" i="1"/>
  <c r="J1061" i="1"/>
  <c r="I1061" i="1"/>
  <c r="H1061" i="1"/>
  <c r="G1061" i="1"/>
  <c r="F1061" i="1"/>
  <c r="E1061" i="1"/>
  <c r="D1061" i="1"/>
  <c r="C1061" i="1"/>
  <c r="V1060" i="1"/>
  <c r="Q1060" i="1"/>
  <c r="P1060" i="1"/>
  <c r="O1060" i="1"/>
  <c r="N1060" i="1"/>
  <c r="J1060" i="1"/>
  <c r="I1060" i="1"/>
  <c r="H1060" i="1"/>
  <c r="G1060" i="1"/>
  <c r="F1060" i="1"/>
  <c r="E1060" i="1"/>
  <c r="D1060" i="1"/>
  <c r="C1060" i="1"/>
  <c r="V1059" i="1"/>
  <c r="Q1059" i="1"/>
  <c r="P1059" i="1"/>
  <c r="O1059" i="1"/>
  <c r="N1059" i="1"/>
  <c r="J1059" i="1"/>
  <c r="I1059" i="1"/>
  <c r="H1059" i="1"/>
  <c r="G1059" i="1"/>
  <c r="F1059" i="1"/>
  <c r="E1059" i="1"/>
  <c r="D1059" i="1"/>
  <c r="C1059" i="1"/>
  <c r="V1058" i="1"/>
  <c r="Q1058" i="1"/>
  <c r="P1058" i="1"/>
  <c r="O1058" i="1"/>
  <c r="N1058" i="1"/>
  <c r="J1058" i="1"/>
  <c r="I1058" i="1"/>
  <c r="H1058" i="1"/>
  <c r="G1058" i="1"/>
  <c r="F1058" i="1"/>
  <c r="E1058" i="1"/>
  <c r="D1058" i="1"/>
  <c r="C1058" i="1"/>
  <c r="V1057" i="1"/>
  <c r="Q1057" i="1"/>
  <c r="P1057" i="1"/>
  <c r="O1057" i="1"/>
  <c r="N1057" i="1"/>
  <c r="J1057" i="1"/>
  <c r="I1057" i="1"/>
  <c r="H1057" i="1"/>
  <c r="G1057" i="1"/>
  <c r="F1057" i="1"/>
  <c r="E1057" i="1"/>
  <c r="D1057" i="1"/>
  <c r="C1057" i="1"/>
  <c r="V1056" i="1"/>
  <c r="Q1056" i="1"/>
  <c r="P1056" i="1"/>
  <c r="O1056" i="1"/>
  <c r="N1056" i="1"/>
  <c r="J1056" i="1"/>
  <c r="I1056" i="1"/>
  <c r="H1056" i="1"/>
  <c r="G1056" i="1"/>
  <c r="F1056" i="1"/>
  <c r="E1056" i="1"/>
  <c r="D1056" i="1"/>
  <c r="C1056" i="1"/>
  <c r="V1055" i="1"/>
  <c r="Q1055" i="1"/>
  <c r="P1055" i="1"/>
  <c r="O1055" i="1"/>
  <c r="N1055" i="1"/>
  <c r="J1055" i="1"/>
  <c r="I1055" i="1"/>
  <c r="H1055" i="1"/>
  <c r="G1055" i="1"/>
  <c r="F1055" i="1"/>
  <c r="E1055" i="1"/>
  <c r="D1055" i="1"/>
  <c r="C1055" i="1"/>
  <c r="V1054" i="1"/>
  <c r="Q1054" i="1"/>
  <c r="P1054" i="1"/>
  <c r="O1054" i="1"/>
  <c r="N1054" i="1"/>
  <c r="J1054" i="1"/>
  <c r="I1054" i="1"/>
  <c r="H1054" i="1"/>
  <c r="G1054" i="1"/>
  <c r="F1054" i="1"/>
  <c r="E1054" i="1"/>
  <c r="D1054" i="1"/>
  <c r="C1054" i="1"/>
  <c r="V1053" i="1"/>
  <c r="Q1053" i="1"/>
  <c r="P1053" i="1"/>
  <c r="O1053" i="1"/>
  <c r="N1053" i="1"/>
  <c r="J1053" i="1"/>
  <c r="I1053" i="1"/>
  <c r="H1053" i="1"/>
  <c r="G1053" i="1"/>
  <c r="F1053" i="1"/>
  <c r="E1053" i="1"/>
  <c r="D1053" i="1"/>
  <c r="C1053" i="1"/>
  <c r="V1052" i="1"/>
  <c r="Q1052" i="1"/>
  <c r="P1052" i="1"/>
  <c r="O1052" i="1"/>
  <c r="N1052" i="1"/>
  <c r="J1052" i="1"/>
  <c r="I1052" i="1"/>
  <c r="H1052" i="1"/>
  <c r="G1052" i="1"/>
  <c r="F1052" i="1"/>
  <c r="E1052" i="1"/>
  <c r="D1052" i="1"/>
  <c r="C1052" i="1"/>
  <c r="V1051" i="1"/>
  <c r="Q1051" i="1"/>
  <c r="P1051" i="1"/>
  <c r="O1051" i="1"/>
  <c r="N1051" i="1"/>
  <c r="J1051" i="1"/>
  <c r="I1051" i="1"/>
  <c r="H1051" i="1"/>
  <c r="G1051" i="1"/>
  <c r="F1051" i="1"/>
  <c r="E1051" i="1"/>
  <c r="D1051" i="1"/>
  <c r="C1051" i="1"/>
  <c r="V1050" i="1"/>
  <c r="Q1050" i="1"/>
  <c r="P1050" i="1"/>
  <c r="O1050" i="1"/>
  <c r="N1050" i="1"/>
  <c r="J1050" i="1"/>
  <c r="I1050" i="1"/>
  <c r="H1050" i="1"/>
  <c r="G1050" i="1"/>
  <c r="F1050" i="1"/>
  <c r="E1050" i="1"/>
  <c r="D1050" i="1"/>
  <c r="C1050" i="1"/>
  <c r="V1049" i="1"/>
  <c r="Q1049" i="1"/>
  <c r="P1049" i="1"/>
  <c r="O1049" i="1"/>
  <c r="N1049" i="1"/>
  <c r="J1049" i="1"/>
  <c r="I1049" i="1"/>
  <c r="H1049" i="1"/>
  <c r="G1049" i="1"/>
  <c r="F1049" i="1"/>
  <c r="E1049" i="1"/>
  <c r="D1049" i="1"/>
  <c r="C1049" i="1"/>
  <c r="V1048" i="1"/>
  <c r="Q1048" i="1"/>
  <c r="P1048" i="1"/>
  <c r="O1048" i="1"/>
  <c r="N1048" i="1"/>
  <c r="J1048" i="1"/>
  <c r="I1048" i="1"/>
  <c r="H1048" i="1"/>
  <c r="G1048" i="1"/>
  <c r="F1048" i="1"/>
  <c r="E1048" i="1"/>
  <c r="D1048" i="1"/>
  <c r="C1048" i="1"/>
  <c r="V1047" i="1"/>
  <c r="Q1047" i="1"/>
  <c r="P1047" i="1"/>
  <c r="O1047" i="1"/>
  <c r="N1047" i="1"/>
  <c r="J1047" i="1"/>
  <c r="I1047" i="1"/>
  <c r="H1047" i="1"/>
  <c r="G1047" i="1"/>
  <c r="F1047" i="1"/>
  <c r="E1047" i="1"/>
  <c r="D1047" i="1"/>
  <c r="C1047" i="1"/>
  <c r="V1046" i="1"/>
  <c r="Q1046" i="1"/>
  <c r="P1046" i="1"/>
  <c r="O1046" i="1"/>
  <c r="N1046" i="1"/>
  <c r="J1046" i="1"/>
  <c r="I1046" i="1"/>
  <c r="H1046" i="1"/>
  <c r="G1046" i="1"/>
  <c r="F1046" i="1"/>
  <c r="E1046" i="1"/>
  <c r="D1046" i="1"/>
  <c r="C1046" i="1"/>
  <c r="V1045" i="1"/>
  <c r="Q1045" i="1"/>
  <c r="P1045" i="1"/>
  <c r="O1045" i="1"/>
  <c r="N1045" i="1"/>
  <c r="J1045" i="1"/>
  <c r="I1045" i="1"/>
  <c r="H1045" i="1"/>
  <c r="G1045" i="1"/>
  <c r="F1045" i="1"/>
  <c r="E1045" i="1"/>
  <c r="D1045" i="1"/>
  <c r="C1045" i="1"/>
  <c r="V1044" i="1"/>
  <c r="Q1044" i="1"/>
  <c r="P1044" i="1"/>
  <c r="O1044" i="1"/>
  <c r="N1044" i="1"/>
  <c r="J1044" i="1"/>
  <c r="I1044" i="1"/>
  <c r="H1044" i="1"/>
  <c r="G1044" i="1"/>
  <c r="F1044" i="1"/>
  <c r="E1044" i="1"/>
  <c r="D1044" i="1"/>
  <c r="C1044" i="1"/>
  <c r="V1043" i="1"/>
  <c r="Q1043" i="1"/>
  <c r="P1043" i="1"/>
  <c r="O1043" i="1"/>
  <c r="N1043" i="1"/>
  <c r="J1043" i="1"/>
  <c r="I1043" i="1"/>
  <c r="H1043" i="1"/>
  <c r="G1043" i="1"/>
  <c r="F1043" i="1"/>
  <c r="E1043" i="1"/>
  <c r="D1043" i="1"/>
  <c r="C1043" i="1"/>
  <c r="V1042" i="1"/>
  <c r="Q1042" i="1"/>
  <c r="P1042" i="1"/>
  <c r="O1042" i="1"/>
  <c r="N1042" i="1"/>
  <c r="J1042" i="1"/>
  <c r="I1042" i="1"/>
  <c r="H1042" i="1"/>
  <c r="G1042" i="1"/>
  <c r="F1042" i="1"/>
  <c r="E1042" i="1"/>
  <c r="D1042" i="1"/>
  <c r="C1042" i="1"/>
  <c r="V1041" i="1"/>
  <c r="Q1041" i="1"/>
  <c r="P1041" i="1"/>
  <c r="O1041" i="1"/>
  <c r="N1041" i="1"/>
  <c r="J1041" i="1"/>
  <c r="I1041" i="1"/>
  <c r="H1041" i="1"/>
  <c r="G1041" i="1"/>
  <c r="F1041" i="1"/>
  <c r="E1041" i="1"/>
  <c r="D1041" i="1"/>
  <c r="C1041" i="1"/>
  <c r="V1040" i="1"/>
  <c r="Q1040" i="1"/>
  <c r="P1040" i="1"/>
  <c r="O1040" i="1"/>
  <c r="N1040" i="1"/>
  <c r="J1040" i="1"/>
  <c r="I1040" i="1"/>
  <c r="H1040" i="1"/>
  <c r="G1040" i="1"/>
  <c r="F1040" i="1"/>
  <c r="E1040" i="1"/>
  <c r="D1040" i="1"/>
  <c r="C1040" i="1"/>
  <c r="V1039" i="1"/>
  <c r="Q1039" i="1"/>
  <c r="P1039" i="1"/>
  <c r="O1039" i="1"/>
  <c r="N1039" i="1"/>
  <c r="J1039" i="1"/>
  <c r="I1039" i="1"/>
  <c r="H1039" i="1"/>
  <c r="G1039" i="1"/>
  <c r="F1039" i="1"/>
  <c r="E1039" i="1"/>
  <c r="D1039" i="1"/>
  <c r="C1039" i="1"/>
  <c r="V1038" i="1"/>
  <c r="Q1038" i="1"/>
  <c r="P1038" i="1"/>
  <c r="O1038" i="1"/>
  <c r="N1038" i="1"/>
  <c r="J1038" i="1"/>
  <c r="I1038" i="1"/>
  <c r="H1038" i="1"/>
  <c r="G1038" i="1"/>
  <c r="F1038" i="1"/>
  <c r="E1038" i="1"/>
  <c r="D1038" i="1"/>
  <c r="C1038" i="1"/>
  <c r="V1037" i="1"/>
  <c r="Q1037" i="1"/>
  <c r="P1037" i="1"/>
  <c r="O1037" i="1"/>
  <c r="N1037" i="1"/>
  <c r="J1037" i="1"/>
  <c r="I1037" i="1"/>
  <c r="H1037" i="1"/>
  <c r="G1037" i="1"/>
  <c r="F1037" i="1"/>
  <c r="E1037" i="1"/>
  <c r="D1037" i="1"/>
  <c r="C1037" i="1"/>
  <c r="V1036" i="1"/>
  <c r="Q1036" i="1"/>
  <c r="P1036" i="1"/>
  <c r="O1036" i="1"/>
  <c r="N1036" i="1"/>
  <c r="J1036" i="1"/>
  <c r="I1036" i="1"/>
  <c r="H1036" i="1"/>
  <c r="G1036" i="1"/>
  <c r="F1036" i="1"/>
  <c r="E1036" i="1"/>
  <c r="D1036" i="1"/>
  <c r="C1036" i="1"/>
  <c r="V1035" i="1"/>
  <c r="Q1035" i="1"/>
  <c r="P1035" i="1"/>
  <c r="O1035" i="1"/>
  <c r="N1035" i="1"/>
  <c r="J1035" i="1"/>
  <c r="I1035" i="1"/>
  <c r="H1035" i="1"/>
  <c r="G1035" i="1"/>
  <c r="F1035" i="1"/>
  <c r="E1035" i="1"/>
  <c r="D1035" i="1"/>
  <c r="C1035" i="1"/>
  <c r="V1034" i="1"/>
  <c r="Q1034" i="1"/>
  <c r="P1034" i="1"/>
  <c r="O1034" i="1"/>
  <c r="N1034" i="1"/>
  <c r="I1034" i="1"/>
  <c r="H1034" i="1"/>
  <c r="G1034" i="1"/>
  <c r="F1034" i="1"/>
  <c r="E1034" i="1"/>
  <c r="D1034" i="1"/>
  <c r="C1034" i="1"/>
  <c r="V1033" i="1"/>
  <c r="Q1033" i="1"/>
  <c r="P1033" i="1"/>
  <c r="O1033" i="1"/>
  <c r="N1033" i="1"/>
  <c r="J1033" i="1"/>
  <c r="I1033" i="1"/>
  <c r="H1033" i="1"/>
  <c r="G1033" i="1"/>
  <c r="F1033" i="1"/>
  <c r="E1033" i="1"/>
  <c r="D1033" i="1"/>
  <c r="C1033" i="1"/>
  <c r="V1032" i="1"/>
  <c r="Q1032" i="1"/>
  <c r="P1032" i="1"/>
  <c r="O1032" i="1"/>
  <c r="N1032" i="1"/>
  <c r="J1032" i="1"/>
  <c r="I1032" i="1"/>
  <c r="H1032" i="1"/>
  <c r="G1032" i="1"/>
  <c r="F1032" i="1"/>
  <c r="E1032" i="1"/>
  <c r="D1032" i="1"/>
  <c r="C1032" i="1"/>
  <c r="V1031" i="1"/>
  <c r="Q1031" i="1"/>
  <c r="P1031" i="1"/>
  <c r="O1031" i="1"/>
  <c r="N1031" i="1"/>
  <c r="J1031" i="1"/>
  <c r="I1031" i="1"/>
  <c r="H1031" i="1"/>
  <c r="G1031" i="1"/>
  <c r="F1031" i="1"/>
  <c r="E1031" i="1"/>
  <c r="D1031" i="1"/>
  <c r="C1031" i="1"/>
  <c r="V1030" i="1"/>
  <c r="Q1030" i="1"/>
  <c r="P1030" i="1"/>
  <c r="O1030" i="1"/>
  <c r="N1030" i="1"/>
  <c r="J1030" i="1"/>
  <c r="I1030" i="1"/>
  <c r="H1030" i="1"/>
  <c r="G1030" i="1"/>
  <c r="F1030" i="1"/>
  <c r="E1030" i="1"/>
  <c r="D1030" i="1"/>
  <c r="C1030" i="1"/>
  <c r="V1029" i="1"/>
  <c r="Q1029" i="1"/>
  <c r="P1029" i="1"/>
  <c r="O1029" i="1"/>
  <c r="N1029" i="1"/>
  <c r="I1029" i="1"/>
  <c r="H1029" i="1"/>
  <c r="G1029" i="1"/>
  <c r="F1029" i="1"/>
  <c r="E1029" i="1"/>
  <c r="D1029" i="1"/>
  <c r="C1029" i="1"/>
  <c r="V1028" i="1"/>
  <c r="Q1028" i="1"/>
  <c r="P1028" i="1"/>
  <c r="O1028" i="1"/>
  <c r="N1028" i="1"/>
  <c r="J1028" i="1"/>
  <c r="I1028" i="1"/>
  <c r="H1028" i="1"/>
  <c r="G1028" i="1"/>
  <c r="F1028" i="1"/>
  <c r="E1028" i="1"/>
  <c r="D1028" i="1"/>
  <c r="C1028" i="1"/>
  <c r="V1027" i="1"/>
  <c r="Q1027" i="1"/>
  <c r="P1027" i="1"/>
  <c r="O1027" i="1"/>
  <c r="N1027" i="1"/>
  <c r="J1027" i="1"/>
  <c r="I1027" i="1"/>
  <c r="H1027" i="1"/>
  <c r="G1027" i="1"/>
  <c r="F1027" i="1"/>
  <c r="E1027" i="1"/>
  <c r="D1027" i="1"/>
  <c r="C1027" i="1"/>
  <c r="V1026" i="1"/>
  <c r="Q1026" i="1"/>
  <c r="P1026" i="1"/>
  <c r="O1026" i="1"/>
  <c r="N1026" i="1"/>
  <c r="J1026" i="1"/>
  <c r="I1026" i="1"/>
  <c r="H1026" i="1"/>
  <c r="G1026" i="1"/>
  <c r="F1026" i="1"/>
  <c r="E1026" i="1"/>
  <c r="D1026" i="1"/>
  <c r="C1026" i="1"/>
  <c r="V1025" i="1"/>
  <c r="Q1025" i="1"/>
  <c r="P1025" i="1"/>
  <c r="O1025" i="1"/>
  <c r="N1025" i="1"/>
  <c r="J1025" i="1"/>
  <c r="I1025" i="1"/>
  <c r="H1025" i="1"/>
  <c r="G1025" i="1"/>
  <c r="F1025" i="1"/>
  <c r="E1025" i="1"/>
  <c r="D1025" i="1"/>
  <c r="C1025" i="1"/>
  <c r="V1024" i="1"/>
  <c r="Q1024" i="1"/>
  <c r="P1024" i="1"/>
  <c r="O1024" i="1"/>
  <c r="N1024" i="1"/>
  <c r="I1024" i="1"/>
  <c r="H1024" i="1"/>
  <c r="G1024" i="1"/>
  <c r="F1024" i="1"/>
  <c r="E1024" i="1"/>
  <c r="D1024" i="1"/>
  <c r="C1024" i="1"/>
  <c r="V1023" i="1"/>
  <c r="Q1023" i="1"/>
  <c r="P1023" i="1"/>
  <c r="O1023" i="1"/>
  <c r="N1023" i="1"/>
  <c r="I1023" i="1"/>
  <c r="H1023" i="1"/>
  <c r="G1023" i="1"/>
  <c r="F1023" i="1"/>
  <c r="E1023" i="1"/>
  <c r="D1023" i="1"/>
  <c r="C1023" i="1"/>
  <c r="V1022" i="1"/>
  <c r="Q1022" i="1"/>
  <c r="P1022" i="1"/>
  <c r="O1022" i="1"/>
  <c r="N1022" i="1"/>
  <c r="I1022" i="1"/>
  <c r="H1022" i="1"/>
  <c r="G1022" i="1"/>
  <c r="F1022" i="1"/>
  <c r="E1022" i="1"/>
  <c r="D1022" i="1"/>
  <c r="C1022" i="1"/>
  <c r="V1021" i="1"/>
  <c r="Q1021" i="1"/>
  <c r="P1021" i="1"/>
  <c r="O1021" i="1"/>
  <c r="N1021" i="1"/>
  <c r="I1021" i="1"/>
  <c r="H1021" i="1"/>
  <c r="G1021" i="1"/>
  <c r="F1021" i="1"/>
  <c r="E1021" i="1"/>
  <c r="D1021" i="1"/>
  <c r="C1021" i="1"/>
  <c r="V1020" i="1"/>
  <c r="Q1020" i="1"/>
  <c r="P1020" i="1"/>
  <c r="O1020" i="1"/>
  <c r="N1020" i="1"/>
  <c r="I1020" i="1"/>
  <c r="H1020" i="1"/>
  <c r="G1020" i="1"/>
  <c r="F1020" i="1"/>
  <c r="E1020" i="1"/>
  <c r="D1020" i="1"/>
  <c r="C1020" i="1"/>
  <c r="V1019" i="1"/>
  <c r="Q1019" i="1"/>
  <c r="P1019" i="1"/>
  <c r="O1019" i="1"/>
  <c r="N1019" i="1"/>
  <c r="I1019" i="1"/>
  <c r="H1019" i="1"/>
  <c r="G1019" i="1"/>
  <c r="F1019" i="1"/>
  <c r="E1019" i="1"/>
  <c r="D1019" i="1"/>
  <c r="C1019" i="1"/>
  <c r="V1018" i="1"/>
  <c r="Q1018" i="1"/>
  <c r="P1018" i="1"/>
  <c r="O1018" i="1"/>
  <c r="N1018" i="1"/>
  <c r="I1018" i="1"/>
  <c r="H1018" i="1"/>
  <c r="G1018" i="1"/>
  <c r="F1018" i="1"/>
  <c r="E1018" i="1"/>
  <c r="D1018" i="1"/>
  <c r="C1018" i="1"/>
  <c r="V1017" i="1"/>
  <c r="Q1017" i="1"/>
  <c r="P1017" i="1"/>
  <c r="O1017" i="1"/>
  <c r="N1017" i="1"/>
  <c r="I1017" i="1"/>
  <c r="H1017" i="1"/>
  <c r="G1017" i="1"/>
  <c r="F1017" i="1"/>
  <c r="E1017" i="1"/>
  <c r="D1017" i="1"/>
  <c r="C1017" i="1"/>
  <c r="V1016" i="1"/>
  <c r="Q1016" i="1"/>
  <c r="P1016" i="1"/>
  <c r="O1016" i="1"/>
  <c r="N1016" i="1"/>
  <c r="I1016" i="1"/>
  <c r="H1016" i="1"/>
  <c r="G1016" i="1"/>
  <c r="F1016" i="1"/>
  <c r="E1016" i="1"/>
  <c r="D1016" i="1"/>
  <c r="C1016" i="1"/>
  <c r="V1015" i="1"/>
  <c r="Q1015" i="1"/>
  <c r="P1015" i="1"/>
  <c r="O1015" i="1"/>
  <c r="N1015" i="1"/>
  <c r="I1015" i="1"/>
  <c r="H1015" i="1"/>
  <c r="G1015" i="1"/>
  <c r="F1015" i="1"/>
  <c r="E1015" i="1"/>
  <c r="D1015" i="1"/>
  <c r="C1015" i="1"/>
  <c r="V1014" i="1"/>
  <c r="Q1014" i="1"/>
  <c r="P1014" i="1"/>
  <c r="O1014" i="1"/>
  <c r="N1014" i="1"/>
  <c r="I1014" i="1"/>
  <c r="H1014" i="1"/>
  <c r="G1014" i="1"/>
  <c r="F1014" i="1"/>
  <c r="E1014" i="1"/>
  <c r="D1014" i="1"/>
  <c r="C1014" i="1"/>
  <c r="V1013" i="1"/>
  <c r="Q1013" i="1"/>
  <c r="P1013" i="1"/>
  <c r="O1013" i="1"/>
  <c r="N1013" i="1"/>
  <c r="I1013" i="1"/>
  <c r="H1013" i="1"/>
  <c r="G1013" i="1"/>
  <c r="F1013" i="1"/>
  <c r="E1013" i="1"/>
  <c r="D1013" i="1"/>
  <c r="C1013" i="1"/>
  <c r="V1012" i="1"/>
  <c r="Q1012" i="1"/>
  <c r="P1012" i="1"/>
  <c r="O1012" i="1"/>
  <c r="N1012" i="1"/>
  <c r="I1012" i="1"/>
  <c r="H1012" i="1"/>
  <c r="G1012" i="1"/>
  <c r="F1012" i="1"/>
  <c r="E1012" i="1"/>
  <c r="D1012" i="1"/>
  <c r="C1012" i="1"/>
  <c r="V1011" i="1"/>
  <c r="Q1011" i="1"/>
  <c r="P1011" i="1"/>
  <c r="O1011" i="1"/>
  <c r="N1011" i="1"/>
  <c r="I1011" i="1"/>
  <c r="H1011" i="1"/>
  <c r="G1011" i="1"/>
  <c r="F1011" i="1"/>
  <c r="E1011" i="1"/>
  <c r="D1011" i="1"/>
  <c r="C1011" i="1"/>
  <c r="V1010" i="1"/>
  <c r="Q1010" i="1"/>
  <c r="P1010" i="1"/>
  <c r="O1010" i="1"/>
  <c r="N1010" i="1"/>
  <c r="H1010" i="1"/>
  <c r="G1010" i="1"/>
  <c r="F1010" i="1"/>
  <c r="E1010" i="1"/>
  <c r="D1010" i="1"/>
  <c r="C1010" i="1"/>
  <c r="V1009" i="1"/>
  <c r="Q1009" i="1"/>
  <c r="P1009" i="1"/>
  <c r="O1009" i="1"/>
  <c r="N1009" i="1"/>
  <c r="H1009" i="1"/>
  <c r="G1009" i="1"/>
  <c r="F1009" i="1"/>
  <c r="E1009" i="1"/>
  <c r="D1009" i="1"/>
  <c r="C1009" i="1"/>
  <c r="V1008" i="1"/>
  <c r="Q1008" i="1"/>
  <c r="P1008" i="1"/>
  <c r="O1008" i="1"/>
  <c r="N1008" i="1"/>
  <c r="H1008" i="1"/>
  <c r="G1008" i="1"/>
  <c r="F1008" i="1"/>
  <c r="E1008" i="1"/>
  <c r="D1008" i="1"/>
  <c r="C1008" i="1"/>
  <c r="V1007" i="1"/>
  <c r="Q1007" i="1"/>
  <c r="P1007" i="1"/>
  <c r="O1007" i="1"/>
  <c r="N1007" i="1"/>
  <c r="H1007" i="1"/>
  <c r="G1007" i="1"/>
  <c r="F1007" i="1"/>
  <c r="E1007" i="1"/>
  <c r="D1007" i="1"/>
  <c r="C1007" i="1"/>
  <c r="V1006" i="1"/>
  <c r="Q1006" i="1"/>
  <c r="P1006" i="1"/>
  <c r="O1006" i="1"/>
  <c r="N1006" i="1"/>
  <c r="H1006" i="1"/>
  <c r="G1006" i="1"/>
  <c r="F1006" i="1"/>
  <c r="E1006" i="1"/>
  <c r="D1006" i="1"/>
  <c r="C1006" i="1"/>
  <c r="V1005" i="1"/>
  <c r="Q1005" i="1"/>
  <c r="P1005" i="1"/>
  <c r="O1005" i="1"/>
  <c r="N1005" i="1"/>
  <c r="H1005" i="1"/>
  <c r="G1005" i="1"/>
  <c r="F1005" i="1"/>
  <c r="E1005" i="1"/>
  <c r="D1005" i="1"/>
  <c r="C1005" i="1"/>
  <c r="V1004" i="1"/>
  <c r="Q1004" i="1"/>
  <c r="P1004" i="1"/>
  <c r="O1004" i="1"/>
  <c r="N1004" i="1"/>
  <c r="I1004" i="1"/>
  <c r="H1004" i="1"/>
  <c r="G1004" i="1"/>
  <c r="F1004" i="1"/>
  <c r="E1004" i="1"/>
  <c r="D1004" i="1"/>
  <c r="C1004" i="1"/>
  <c r="V1003" i="1"/>
  <c r="Q1003" i="1"/>
  <c r="P1003" i="1"/>
  <c r="O1003" i="1"/>
  <c r="N1003" i="1"/>
  <c r="I1003" i="1"/>
  <c r="H1003" i="1"/>
  <c r="G1003" i="1"/>
  <c r="F1003" i="1"/>
  <c r="E1003" i="1"/>
  <c r="D1003" i="1"/>
  <c r="C1003" i="1"/>
  <c r="V1002" i="1"/>
  <c r="Q1002" i="1"/>
  <c r="P1002" i="1"/>
  <c r="O1002" i="1"/>
  <c r="N1002" i="1"/>
  <c r="I1002" i="1"/>
  <c r="H1002" i="1"/>
  <c r="G1002" i="1"/>
  <c r="F1002" i="1"/>
  <c r="E1002" i="1"/>
  <c r="D1002" i="1"/>
  <c r="C1002" i="1"/>
  <c r="V1001" i="1"/>
  <c r="Q1001" i="1"/>
  <c r="P1001" i="1"/>
  <c r="O1001" i="1"/>
  <c r="N1001" i="1"/>
  <c r="I1001" i="1"/>
  <c r="H1001" i="1"/>
  <c r="G1001" i="1"/>
  <c r="F1001" i="1"/>
  <c r="E1001" i="1"/>
  <c r="D1001" i="1"/>
  <c r="C1001" i="1"/>
  <c r="V1000" i="1"/>
  <c r="Q1000" i="1"/>
  <c r="P1000" i="1"/>
  <c r="O1000" i="1"/>
  <c r="N1000" i="1"/>
  <c r="I1000" i="1"/>
  <c r="H1000" i="1"/>
  <c r="G1000" i="1"/>
  <c r="F1000" i="1"/>
  <c r="E1000" i="1"/>
  <c r="D1000" i="1"/>
  <c r="C1000" i="1"/>
  <c r="V999" i="1"/>
  <c r="Q999" i="1"/>
  <c r="P999" i="1"/>
  <c r="O999" i="1"/>
  <c r="N999" i="1"/>
  <c r="I999" i="1"/>
  <c r="H999" i="1"/>
  <c r="G999" i="1"/>
  <c r="F999" i="1"/>
  <c r="E999" i="1"/>
  <c r="D999" i="1"/>
  <c r="C999" i="1"/>
  <c r="V998" i="1"/>
  <c r="Q998" i="1"/>
  <c r="P998" i="1"/>
  <c r="O998" i="1"/>
  <c r="N998" i="1"/>
  <c r="I998" i="1"/>
  <c r="H998" i="1"/>
  <c r="G998" i="1"/>
  <c r="F998" i="1"/>
  <c r="E998" i="1"/>
  <c r="D998" i="1"/>
  <c r="C998" i="1"/>
  <c r="V997" i="1"/>
  <c r="Q997" i="1"/>
  <c r="P997" i="1"/>
  <c r="O997" i="1"/>
  <c r="N997" i="1"/>
  <c r="I997" i="1"/>
  <c r="H997" i="1"/>
  <c r="G997" i="1"/>
  <c r="F997" i="1"/>
  <c r="E997" i="1"/>
  <c r="D997" i="1"/>
  <c r="C997" i="1"/>
  <c r="V996" i="1"/>
  <c r="Q996" i="1"/>
  <c r="P996" i="1"/>
  <c r="O996" i="1"/>
  <c r="N996" i="1"/>
  <c r="I996" i="1"/>
  <c r="H996" i="1"/>
  <c r="G996" i="1"/>
  <c r="F996" i="1"/>
  <c r="E996" i="1"/>
  <c r="D996" i="1"/>
  <c r="C996" i="1"/>
  <c r="V995" i="1"/>
  <c r="Q995" i="1"/>
  <c r="P995" i="1"/>
  <c r="O995" i="1"/>
  <c r="N995" i="1"/>
  <c r="I995" i="1"/>
  <c r="H995" i="1"/>
  <c r="G995" i="1"/>
  <c r="F995" i="1"/>
  <c r="E995" i="1"/>
  <c r="D995" i="1"/>
  <c r="C995" i="1"/>
  <c r="V994" i="1"/>
  <c r="Q994" i="1"/>
  <c r="P994" i="1"/>
  <c r="O994" i="1"/>
  <c r="N994" i="1"/>
  <c r="I994" i="1"/>
  <c r="H994" i="1"/>
  <c r="G994" i="1"/>
  <c r="F994" i="1"/>
  <c r="E994" i="1"/>
  <c r="D994" i="1"/>
  <c r="C994" i="1"/>
  <c r="V993" i="1"/>
  <c r="Q993" i="1"/>
  <c r="P993" i="1"/>
  <c r="O993" i="1"/>
  <c r="N993" i="1"/>
  <c r="I993" i="1"/>
  <c r="H993" i="1"/>
  <c r="G993" i="1"/>
  <c r="F993" i="1"/>
  <c r="E993" i="1"/>
  <c r="D993" i="1"/>
  <c r="C993" i="1"/>
  <c r="V992" i="1"/>
  <c r="Q992" i="1"/>
  <c r="P992" i="1"/>
  <c r="O992" i="1"/>
  <c r="N992" i="1"/>
  <c r="I992" i="1"/>
  <c r="H992" i="1"/>
  <c r="G992" i="1"/>
  <c r="F992" i="1"/>
  <c r="E992" i="1"/>
  <c r="D992" i="1"/>
  <c r="C992" i="1"/>
  <c r="V991" i="1"/>
  <c r="Q991" i="1"/>
  <c r="P991" i="1"/>
  <c r="O991" i="1"/>
  <c r="N991" i="1"/>
  <c r="I991" i="1"/>
  <c r="H991" i="1"/>
  <c r="G991" i="1"/>
  <c r="F991" i="1"/>
  <c r="E991" i="1"/>
  <c r="D991" i="1"/>
  <c r="C991" i="1"/>
  <c r="V990" i="1"/>
  <c r="Q990" i="1"/>
  <c r="P990" i="1"/>
  <c r="O990" i="1"/>
  <c r="N990" i="1"/>
  <c r="I990" i="1"/>
  <c r="H990" i="1"/>
  <c r="G990" i="1"/>
  <c r="F990" i="1"/>
  <c r="E990" i="1"/>
  <c r="D990" i="1"/>
  <c r="C990" i="1"/>
  <c r="V989" i="1"/>
  <c r="Q989" i="1"/>
  <c r="P989" i="1"/>
  <c r="O989" i="1"/>
  <c r="N989" i="1"/>
  <c r="I989" i="1"/>
  <c r="H989" i="1"/>
  <c r="G989" i="1"/>
  <c r="F989" i="1"/>
  <c r="E989" i="1"/>
  <c r="D989" i="1"/>
  <c r="C989" i="1"/>
  <c r="V988" i="1"/>
  <c r="Q988" i="1"/>
  <c r="P988" i="1"/>
  <c r="O988" i="1"/>
  <c r="N988" i="1"/>
  <c r="I988" i="1"/>
  <c r="H988" i="1"/>
  <c r="G988" i="1"/>
  <c r="F988" i="1"/>
  <c r="E988" i="1"/>
  <c r="D988" i="1"/>
  <c r="C988" i="1"/>
  <c r="V987" i="1"/>
  <c r="Q987" i="1"/>
  <c r="P987" i="1"/>
  <c r="O987" i="1"/>
  <c r="N987" i="1"/>
  <c r="I987" i="1"/>
  <c r="H987" i="1"/>
  <c r="G987" i="1"/>
  <c r="F987" i="1"/>
  <c r="E987" i="1"/>
  <c r="D987" i="1"/>
  <c r="C987" i="1"/>
  <c r="V986" i="1"/>
  <c r="Q986" i="1"/>
  <c r="P986" i="1"/>
  <c r="O986" i="1"/>
  <c r="N986" i="1"/>
  <c r="I986" i="1"/>
  <c r="H986" i="1"/>
  <c r="G986" i="1"/>
  <c r="F986" i="1"/>
  <c r="E986" i="1"/>
  <c r="D986" i="1"/>
  <c r="C986" i="1"/>
  <c r="V985" i="1"/>
  <c r="Q985" i="1"/>
  <c r="P985" i="1"/>
  <c r="O985" i="1"/>
  <c r="N985" i="1"/>
  <c r="I985" i="1"/>
  <c r="H985" i="1"/>
  <c r="G985" i="1"/>
  <c r="F985" i="1"/>
  <c r="E985" i="1"/>
  <c r="D985" i="1"/>
  <c r="C985" i="1"/>
  <c r="V984" i="1"/>
  <c r="Q984" i="1"/>
  <c r="P984" i="1"/>
  <c r="O984" i="1"/>
  <c r="N984" i="1"/>
  <c r="I984" i="1"/>
  <c r="H984" i="1"/>
  <c r="G984" i="1"/>
  <c r="F984" i="1"/>
  <c r="E984" i="1"/>
  <c r="D984" i="1"/>
  <c r="C984" i="1"/>
  <c r="V983" i="1"/>
  <c r="Q983" i="1"/>
  <c r="P983" i="1"/>
  <c r="O983" i="1"/>
  <c r="N983" i="1"/>
  <c r="I983" i="1"/>
  <c r="H983" i="1"/>
  <c r="G983" i="1"/>
  <c r="F983" i="1"/>
  <c r="E983" i="1"/>
  <c r="D983" i="1"/>
  <c r="C983" i="1"/>
  <c r="V982" i="1"/>
  <c r="Q982" i="1"/>
  <c r="P982" i="1"/>
  <c r="O982" i="1"/>
  <c r="N982" i="1"/>
  <c r="I982" i="1"/>
  <c r="H982" i="1"/>
  <c r="G982" i="1"/>
  <c r="F982" i="1"/>
  <c r="E982" i="1"/>
  <c r="D982" i="1"/>
  <c r="C982" i="1"/>
  <c r="V981" i="1"/>
  <c r="Q981" i="1"/>
  <c r="P981" i="1"/>
  <c r="O981" i="1"/>
  <c r="N981" i="1"/>
  <c r="I981" i="1"/>
  <c r="H981" i="1"/>
  <c r="G981" i="1"/>
  <c r="F981" i="1"/>
  <c r="E981" i="1"/>
  <c r="D981" i="1"/>
  <c r="C981" i="1"/>
  <c r="V980" i="1"/>
  <c r="Q980" i="1"/>
  <c r="P980" i="1"/>
  <c r="O980" i="1"/>
  <c r="N980" i="1"/>
  <c r="I980" i="1"/>
  <c r="H980" i="1"/>
  <c r="G980" i="1"/>
  <c r="F980" i="1"/>
  <c r="E980" i="1"/>
  <c r="D980" i="1"/>
  <c r="C980" i="1"/>
  <c r="V979" i="1"/>
  <c r="Q979" i="1"/>
  <c r="P979" i="1"/>
  <c r="O979" i="1"/>
  <c r="N979" i="1"/>
  <c r="I979" i="1"/>
  <c r="H979" i="1"/>
  <c r="G979" i="1"/>
  <c r="F979" i="1"/>
  <c r="E979" i="1"/>
  <c r="D979" i="1"/>
  <c r="C979" i="1"/>
  <c r="V978" i="1"/>
  <c r="Q978" i="1"/>
  <c r="P978" i="1"/>
  <c r="O978" i="1"/>
  <c r="N978" i="1"/>
  <c r="I978" i="1"/>
  <c r="H978" i="1"/>
  <c r="G978" i="1"/>
  <c r="F978" i="1"/>
  <c r="E978" i="1"/>
  <c r="D978" i="1"/>
  <c r="C978" i="1"/>
  <c r="V977" i="1"/>
  <c r="Q977" i="1"/>
  <c r="P977" i="1"/>
  <c r="O977" i="1"/>
  <c r="N977" i="1"/>
  <c r="I977" i="1"/>
  <c r="H977" i="1"/>
  <c r="G977" i="1"/>
  <c r="F977" i="1"/>
  <c r="E977" i="1"/>
  <c r="D977" i="1"/>
  <c r="C977" i="1"/>
  <c r="V976" i="1"/>
  <c r="Q976" i="1"/>
  <c r="P976" i="1"/>
  <c r="O976" i="1"/>
  <c r="N976" i="1"/>
  <c r="I976" i="1"/>
  <c r="H976" i="1"/>
  <c r="G976" i="1"/>
  <c r="F976" i="1"/>
  <c r="E976" i="1"/>
  <c r="D976" i="1"/>
  <c r="C976" i="1"/>
  <c r="V975" i="1"/>
  <c r="Q975" i="1"/>
  <c r="P975" i="1"/>
  <c r="O975" i="1"/>
  <c r="N975" i="1"/>
  <c r="I975" i="1"/>
  <c r="H975" i="1"/>
  <c r="G975" i="1"/>
  <c r="F975" i="1"/>
  <c r="E975" i="1"/>
  <c r="D975" i="1"/>
  <c r="C975" i="1"/>
  <c r="V974" i="1"/>
  <c r="Q974" i="1"/>
  <c r="P974" i="1"/>
  <c r="O974" i="1"/>
  <c r="N974" i="1"/>
  <c r="I974" i="1"/>
  <c r="H974" i="1"/>
  <c r="G974" i="1"/>
  <c r="F974" i="1"/>
  <c r="E974" i="1"/>
  <c r="D974" i="1"/>
  <c r="C974" i="1"/>
  <c r="V973" i="1"/>
  <c r="Q973" i="1"/>
  <c r="P973" i="1"/>
  <c r="O973" i="1"/>
  <c r="N973" i="1"/>
  <c r="I973" i="1"/>
  <c r="H973" i="1"/>
  <c r="G973" i="1"/>
  <c r="F973" i="1"/>
  <c r="E973" i="1"/>
  <c r="D973" i="1"/>
  <c r="C973" i="1"/>
  <c r="V972" i="1"/>
  <c r="Q972" i="1"/>
  <c r="P972" i="1"/>
  <c r="O972" i="1"/>
  <c r="N972" i="1"/>
  <c r="I972" i="1"/>
  <c r="H972" i="1"/>
  <c r="G972" i="1"/>
  <c r="F972" i="1"/>
  <c r="E972" i="1"/>
  <c r="D972" i="1"/>
  <c r="C972" i="1"/>
  <c r="V971" i="1"/>
  <c r="Q971" i="1"/>
  <c r="P971" i="1"/>
  <c r="O971" i="1"/>
  <c r="N971" i="1"/>
  <c r="I971" i="1"/>
  <c r="H971" i="1"/>
  <c r="G971" i="1"/>
  <c r="F971" i="1"/>
  <c r="E971" i="1"/>
  <c r="D971" i="1"/>
  <c r="C971" i="1"/>
  <c r="V970" i="1"/>
  <c r="Q970" i="1"/>
  <c r="P970" i="1"/>
  <c r="O970" i="1"/>
  <c r="N970" i="1"/>
  <c r="I970" i="1"/>
  <c r="H970" i="1"/>
  <c r="G970" i="1"/>
  <c r="F970" i="1"/>
  <c r="E970" i="1"/>
  <c r="D970" i="1"/>
  <c r="C970" i="1"/>
  <c r="V969" i="1"/>
  <c r="Q969" i="1"/>
  <c r="P969" i="1"/>
  <c r="O969" i="1"/>
  <c r="N969" i="1"/>
  <c r="I969" i="1"/>
  <c r="H969" i="1"/>
  <c r="G969" i="1"/>
  <c r="F969" i="1"/>
  <c r="E969" i="1"/>
  <c r="D969" i="1"/>
  <c r="C969" i="1"/>
  <c r="V968" i="1"/>
  <c r="Q968" i="1"/>
  <c r="P968" i="1"/>
  <c r="O968" i="1"/>
  <c r="N968" i="1"/>
  <c r="I968" i="1"/>
  <c r="H968" i="1"/>
  <c r="G968" i="1"/>
  <c r="F968" i="1"/>
  <c r="E968" i="1"/>
  <c r="D968" i="1"/>
  <c r="C968" i="1"/>
  <c r="V967" i="1"/>
  <c r="Q967" i="1"/>
  <c r="P967" i="1"/>
  <c r="O967" i="1"/>
  <c r="N967" i="1"/>
  <c r="I967" i="1"/>
  <c r="H967" i="1"/>
  <c r="G967" i="1"/>
  <c r="F967" i="1"/>
  <c r="E967" i="1"/>
  <c r="D967" i="1"/>
  <c r="C967" i="1"/>
  <c r="V966" i="1"/>
  <c r="Q966" i="1"/>
  <c r="P966" i="1"/>
  <c r="O966" i="1"/>
  <c r="N966" i="1"/>
  <c r="I966" i="1"/>
  <c r="H966" i="1"/>
  <c r="G966" i="1"/>
  <c r="F966" i="1"/>
  <c r="E966" i="1"/>
  <c r="D966" i="1"/>
  <c r="C966" i="1"/>
  <c r="V965" i="1"/>
  <c r="Q965" i="1"/>
  <c r="P965" i="1"/>
  <c r="O965" i="1"/>
  <c r="N965" i="1"/>
  <c r="I965" i="1"/>
  <c r="H965" i="1"/>
  <c r="G965" i="1"/>
  <c r="F965" i="1"/>
  <c r="E965" i="1"/>
  <c r="D965" i="1"/>
  <c r="C965" i="1"/>
  <c r="V964" i="1"/>
  <c r="Q964" i="1"/>
  <c r="P964" i="1"/>
  <c r="O964" i="1"/>
  <c r="N964" i="1"/>
  <c r="I964" i="1"/>
  <c r="H964" i="1"/>
  <c r="G964" i="1"/>
  <c r="F964" i="1"/>
  <c r="E964" i="1"/>
  <c r="D964" i="1"/>
  <c r="C964" i="1"/>
  <c r="V963" i="1"/>
  <c r="Q963" i="1"/>
  <c r="P963" i="1"/>
  <c r="O963" i="1"/>
  <c r="N963" i="1"/>
  <c r="I963" i="1"/>
  <c r="H963" i="1"/>
  <c r="G963" i="1"/>
  <c r="F963" i="1"/>
  <c r="E963" i="1"/>
  <c r="D963" i="1"/>
  <c r="C963" i="1"/>
  <c r="V962" i="1"/>
  <c r="Q962" i="1"/>
  <c r="P962" i="1"/>
  <c r="O962" i="1"/>
  <c r="N962" i="1"/>
  <c r="I962" i="1"/>
  <c r="H962" i="1"/>
  <c r="G962" i="1"/>
  <c r="F962" i="1"/>
  <c r="E962" i="1"/>
  <c r="D962" i="1"/>
  <c r="C962" i="1"/>
  <c r="V961" i="1"/>
  <c r="Q961" i="1"/>
  <c r="P961" i="1"/>
  <c r="O961" i="1"/>
  <c r="N961" i="1"/>
  <c r="I961" i="1"/>
  <c r="H961" i="1"/>
  <c r="G961" i="1"/>
  <c r="F961" i="1"/>
  <c r="E961" i="1"/>
  <c r="D961" i="1"/>
  <c r="C961" i="1"/>
  <c r="V960" i="1"/>
  <c r="Q960" i="1"/>
  <c r="P960" i="1"/>
  <c r="O960" i="1"/>
  <c r="N960" i="1"/>
  <c r="I960" i="1"/>
  <c r="H960" i="1"/>
  <c r="G960" i="1"/>
  <c r="F960" i="1"/>
  <c r="E960" i="1"/>
  <c r="D960" i="1"/>
  <c r="C960" i="1"/>
  <c r="V959" i="1"/>
  <c r="Q959" i="1"/>
  <c r="P959" i="1"/>
  <c r="O959" i="1"/>
  <c r="N959" i="1"/>
  <c r="I959" i="1"/>
  <c r="H959" i="1"/>
  <c r="G959" i="1"/>
  <c r="F959" i="1"/>
  <c r="E959" i="1"/>
  <c r="D959" i="1"/>
  <c r="C959" i="1"/>
  <c r="V958" i="1"/>
  <c r="Q958" i="1"/>
  <c r="P958" i="1"/>
  <c r="O958" i="1"/>
  <c r="N958" i="1"/>
  <c r="I958" i="1"/>
  <c r="H958" i="1"/>
  <c r="G958" i="1"/>
  <c r="F958" i="1"/>
  <c r="E958" i="1"/>
  <c r="D958" i="1"/>
  <c r="C958" i="1"/>
  <c r="V957" i="1"/>
  <c r="Q957" i="1"/>
  <c r="P957" i="1"/>
  <c r="O957" i="1"/>
  <c r="N957" i="1"/>
  <c r="I957" i="1"/>
  <c r="H957" i="1"/>
  <c r="G957" i="1"/>
  <c r="F957" i="1"/>
  <c r="E957" i="1"/>
  <c r="D957" i="1"/>
  <c r="C957" i="1"/>
  <c r="V956" i="1"/>
  <c r="Q956" i="1"/>
  <c r="P956" i="1"/>
  <c r="O956" i="1"/>
  <c r="N956" i="1"/>
  <c r="I956" i="1"/>
  <c r="H956" i="1"/>
  <c r="G956" i="1"/>
  <c r="F956" i="1"/>
  <c r="E956" i="1"/>
  <c r="D956" i="1"/>
  <c r="C956" i="1"/>
  <c r="V955" i="1"/>
  <c r="Q955" i="1"/>
  <c r="P955" i="1"/>
  <c r="O955" i="1"/>
  <c r="N955" i="1"/>
  <c r="I955" i="1"/>
  <c r="H955" i="1"/>
  <c r="G955" i="1"/>
  <c r="F955" i="1"/>
  <c r="E955" i="1"/>
  <c r="D955" i="1"/>
  <c r="C955" i="1"/>
  <c r="V954" i="1"/>
  <c r="Q954" i="1"/>
  <c r="P954" i="1"/>
  <c r="O954" i="1"/>
  <c r="N954" i="1"/>
  <c r="I954" i="1"/>
  <c r="H954" i="1"/>
  <c r="G954" i="1"/>
  <c r="F954" i="1"/>
  <c r="E954" i="1"/>
  <c r="D954" i="1"/>
  <c r="C954" i="1"/>
  <c r="V953" i="1"/>
  <c r="Q953" i="1"/>
  <c r="P953" i="1"/>
  <c r="O953" i="1"/>
  <c r="N953" i="1"/>
  <c r="I953" i="1"/>
  <c r="H953" i="1"/>
  <c r="G953" i="1"/>
  <c r="F953" i="1"/>
  <c r="E953" i="1"/>
  <c r="D953" i="1"/>
  <c r="C953" i="1"/>
  <c r="V952" i="1"/>
  <c r="Q952" i="1"/>
  <c r="P952" i="1"/>
  <c r="O952" i="1"/>
  <c r="N952" i="1"/>
  <c r="I952" i="1"/>
  <c r="H952" i="1"/>
  <c r="G952" i="1"/>
  <c r="F952" i="1"/>
  <c r="E952" i="1"/>
  <c r="D952" i="1"/>
  <c r="C952" i="1"/>
  <c r="V951" i="1"/>
  <c r="Q951" i="1"/>
  <c r="P951" i="1"/>
  <c r="O951" i="1"/>
  <c r="N951" i="1"/>
  <c r="I951" i="1"/>
  <c r="H951" i="1"/>
  <c r="G951" i="1"/>
  <c r="F951" i="1"/>
  <c r="E951" i="1"/>
  <c r="D951" i="1"/>
  <c r="C951" i="1"/>
  <c r="V950" i="1"/>
  <c r="Q950" i="1"/>
  <c r="P950" i="1"/>
  <c r="O950" i="1"/>
  <c r="N950" i="1"/>
  <c r="J950" i="1"/>
  <c r="I950" i="1"/>
  <c r="H950" i="1"/>
  <c r="G950" i="1"/>
  <c r="F950" i="1"/>
  <c r="E950" i="1"/>
  <c r="D950" i="1"/>
  <c r="C950" i="1"/>
  <c r="V949" i="1"/>
  <c r="Q949" i="1"/>
  <c r="P949" i="1"/>
  <c r="O949" i="1"/>
  <c r="N949" i="1"/>
  <c r="J949" i="1"/>
  <c r="I949" i="1"/>
  <c r="H949" i="1"/>
  <c r="G949" i="1"/>
  <c r="F949" i="1"/>
  <c r="E949" i="1"/>
  <c r="D949" i="1"/>
  <c r="C949" i="1"/>
  <c r="V948" i="1"/>
  <c r="Q948" i="1"/>
  <c r="P948" i="1"/>
  <c r="O948" i="1"/>
  <c r="N948" i="1"/>
  <c r="J948" i="1"/>
  <c r="I948" i="1"/>
  <c r="H948" i="1"/>
  <c r="G948" i="1"/>
  <c r="F948" i="1"/>
  <c r="E948" i="1"/>
  <c r="D948" i="1"/>
  <c r="C948" i="1"/>
  <c r="V947" i="1"/>
  <c r="Q947" i="1"/>
  <c r="P947" i="1"/>
  <c r="O947" i="1"/>
  <c r="N947" i="1"/>
  <c r="J947" i="1"/>
  <c r="I947" i="1"/>
  <c r="H947" i="1"/>
  <c r="G947" i="1"/>
  <c r="F947" i="1"/>
  <c r="E947" i="1"/>
  <c r="D947" i="1"/>
  <c r="C947" i="1"/>
  <c r="V946" i="1"/>
  <c r="Q946" i="1"/>
  <c r="P946" i="1"/>
  <c r="O946" i="1"/>
  <c r="N946" i="1"/>
  <c r="J946" i="1"/>
  <c r="I946" i="1"/>
  <c r="H946" i="1"/>
  <c r="G946" i="1"/>
  <c r="F946" i="1"/>
  <c r="E946" i="1"/>
  <c r="D946" i="1"/>
  <c r="C946" i="1"/>
  <c r="V945" i="1"/>
  <c r="Q945" i="1"/>
  <c r="P945" i="1"/>
  <c r="O945" i="1"/>
  <c r="N945" i="1"/>
  <c r="J945" i="1"/>
  <c r="I945" i="1"/>
  <c r="H945" i="1"/>
  <c r="G945" i="1"/>
  <c r="F945" i="1"/>
  <c r="E945" i="1"/>
  <c r="D945" i="1"/>
  <c r="C945" i="1"/>
  <c r="V944" i="1"/>
  <c r="Q944" i="1"/>
  <c r="P944" i="1"/>
  <c r="O944" i="1"/>
  <c r="N944" i="1"/>
  <c r="J944" i="1"/>
  <c r="I944" i="1"/>
  <c r="H944" i="1"/>
  <c r="G944" i="1"/>
  <c r="F944" i="1"/>
  <c r="E944" i="1"/>
  <c r="D944" i="1"/>
  <c r="C944" i="1"/>
  <c r="V943" i="1"/>
  <c r="Q943" i="1"/>
  <c r="P943" i="1"/>
  <c r="O943" i="1"/>
  <c r="N943" i="1"/>
  <c r="J943" i="1"/>
  <c r="I943" i="1"/>
  <c r="H943" i="1"/>
  <c r="G943" i="1"/>
  <c r="F943" i="1"/>
  <c r="E943" i="1"/>
  <c r="D943" i="1"/>
  <c r="C943" i="1"/>
  <c r="V942" i="1"/>
  <c r="Q942" i="1"/>
  <c r="P942" i="1"/>
  <c r="O942" i="1"/>
  <c r="N942" i="1"/>
  <c r="J942" i="1"/>
  <c r="I942" i="1"/>
  <c r="H942" i="1"/>
  <c r="G942" i="1"/>
  <c r="F942" i="1"/>
  <c r="E942" i="1"/>
  <c r="D942" i="1"/>
  <c r="C942" i="1"/>
  <c r="V941" i="1"/>
  <c r="Q941" i="1"/>
  <c r="P941" i="1"/>
  <c r="O941" i="1"/>
  <c r="N941" i="1"/>
  <c r="J941" i="1"/>
  <c r="I941" i="1"/>
  <c r="H941" i="1"/>
  <c r="G941" i="1"/>
  <c r="F941" i="1"/>
  <c r="E941" i="1"/>
  <c r="D941" i="1"/>
  <c r="C941" i="1"/>
  <c r="V940" i="1"/>
  <c r="Q940" i="1"/>
  <c r="P940" i="1"/>
  <c r="O940" i="1"/>
  <c r="N940" i="1"/>
  <c r="J940" i="1"/>
  <c r="I940" i="1"/>
  <c r="H940" i="1"/>
  <c r="G940" i="1"/>
  <c r="F940" i="1"/>
  <c r="E940" i="1"/>
  <c r="D940" i="1"/>
  <c r="C940" i="1"/>
  <c r="V939" i="1"/>
  <c r="Q939" i="1"/>
  <c r="P939" i="1"/>
  <c r="O939" i="1"/>
  <c r="N939" i="1"/>
  <c r="J939" i="1"/>
  <c r="I939" i="1"/>
  <c r="H939" i="1"/>
  <c r="G939" i="1"/>
  <c r="F939" i="1"/>
  <c r="E939" i="1"/>
  <c r="D939" i="1"/>
  <c r="C939" i="1"/>
  <c r="V938" i="1"/>
  <c r="Q938" i="1"/>
  <c r="P938" i="1"/>
  <c r="O938" i="1"/>
  <c r="N938" i="1"/>
  <c r="J938" i="1"/>
  <c r="I938" i="1"/>
  <c r="H938" i="1"/>
  <c r="G938" i="1"/>
  <c r="F938" i="1"/>
  <c r="E938" i="1"/>
  <c r="D938" i="1"/>
  <c r="C938" i="1"/>
  <c r="V937" i="1"/>
  <c r="Q937" i="1"/>
  <c r="P937" i="1"/>
  <c r="O937" i="1"/>
  <c r="N937" i="1"/>
  <c r="J937" i="1"/>
  <c r="I937" i="1"/>
  <c r="H937" i="1"/>
  <c r="G937" i="1"/>
  <c r="F937" i="1"/>
  <c r="E937" i="1"/>
  <c r="D937" i="1"/>
  <c r="C937" i="1"/>
  <c r="V936" i="1"/>
  <c r="Q936" i="1"/>
  <c r="P936" i="1"/>
  <c r="O936" i="1"/>
  <c r="N936" i="1"/>
  <c r="J936" i="1"/>
  <c r="I936" i="1"/>
  <c r="H936" i="1"/>
  <c r="G936" i="1"/>
  <c r="F936" i="1"/>
  <c r="E936" i="1"/>
  <c r="D936" i="1"/>
  <c r="C936" i="1"/>
  <c r="V935" i="1"/>
  <c r="Q935" i="1"/>
  <c r="P935" i="1"/>
  <c r="O935" i="1"/>
  <c r="N935" i="1"/>
  <c r="J935" i="1"/>
  <c r="I935" i="1"/>
  <c r="H935" i="1"/>
  <c r="G935" i="1"/>
  <c r="F935" i="1"/>
  <c r="E935" i="1"/>
  <c r="D935" i="1"/>
  <c r="C935" i="1"/>
  <c r="V934" i="1"/>
  <c r="Q934" i="1"/>
  <c r="P934" i="1"/>
  <c r="O934" i="1"/>
  <c r="N934" i="1"/>
  <c r="J934" i="1"/>
  <c r="I934" i="1"/>
  <c r="H934" i="1"/>
  <c r="G934" i="1"/>
  <c r="F934" i="1"/>
  <c r="E934" i="1"/>
  <c r="D934" i="1"/>
  <c r="C934" i="1"/>
  <c r="V933" i="1"/>
  <c r="Q933" i="1"/>
  <c r="P933" i="1"/>
  <c r="O933" i="1"/>
  <c r="N933" i="1"/>
  <c r="J933" i="1"/>
  <c r="I933" i="1"/>
  <c r="H933" i="1"/>
  <c r="G933" i="1"/>
  <c r="F933" i="1"/>
  <c r="E933" i="1"/>
  <c r="D933" i="1"/>
  <c r="C933" i="1"/>
  <c r="V932" i="1"/>
  <c r="Q932" i="1"/>
  <c r="P932" i="1"/>
  <c r="O932" i="1"/>
  <c r="N932" i="1"/>
  <c r="J932" i="1"/>
  <c r="I932" i="1"/>
  <c r="H932" i="1"/>
  <c r="G932" i="1"/>
  <c r="F932" i="1"/>
  <c r="E932" i="1"/>
  <c r="D932" i="1"/>
  <c r="C932" i="1"/>
  <c r="V931" i="1"/>
  <c r="Q931" i="1"/>
  <c r="P931" i="1"/>
  <c r="O931" i="1"/>
  <c r="N931" i="1"/>
  <c r="J931" i="1"/>
  <c r="I931" i="1"/>
  <c r="H931" i="1"/>
  <c r="G931" i="1"/>
  <c r="F931" i="1"/>
  <c r="E931" i="1"/>
  <c r="D931" i="1"/>
  <c r="C931" i="1"/>
  <c r="V930" i="1"/>
  <c r="Q930" i="1"/>
  <c r="P930" i="1"/>
  <c r="O930" i="1"/>
  <c r="N930" i="1"/>
  <c r="J930" i="1"/>
  <c r="I930" i="1"/>
  <c r="H930" i="1"/>
  <c r="G930" i="1"/>
  <c r="F930" i="1"/>
  <c r="E930" i="1"/>
  <c r="D930" i="1"/>
  <c r="C930" i="1"/>
  <c r="V929" i="1"/>
  <c r="Q929" i="1"/>
  <c r="P929" i="1"/>
  <c r="O929" i="1"/>
  <c r="N929" i="1"/>
  <c r="J929" i="1"/>
  <c r="I929" i="1"/>
  <c r="H929" i="1"/>
  <c r="G929" i="1"/>
  <c r="F929" i="1"/>
  <c r="E929" i="1"/>
  <c r="D929" i="1"/>
  <c r="C929" i="1"/>
  <c r="V928" i="1"/>
  <c r="Q928" i="1"/>
  <c r="P928" i="1"/>
  <c r="O928" i="1"/>
  <c r="N928" i="1"/>
  <c r="J928" i="1"/>
  <c r="I928" i="1"/>
  <c r="H928" i="1"/>
  <c r="G928" i="1"/>
  <c r="F928" i="1"/>
  <c r="E928" i="1"/>
  <c r="D928" i="1"/>
  <c r="C928" i="1"/>
  <c r="V927" i="1"/>
  <c r="Q927" i="1"/>
  <c r="P927" i="1"/>
  <c r="O927" i="1"/>
  <c r="N927" i="1"/>
  <c r="J927" i="1"/>
  <c r="I927" i="1"/>
  <c r="H927" i="1"/>
  <c r="G927" i="1"/>
  <c r="F927" i="1"/>
  <c r="E927" i="1"/>
  <c r="D927" i="1"/>
  <c r="C927" i="1"/>
  <c r="V926" i="1"/>
  <c r="Q926" i="1"/>
  <c r="P926" i="1"/>
  <c r="O926" i="1"/>
  <c r="N926" i="1"/>
  <c r="J926" i="1"/>
  <c r="I926" i="1"/>
  <c r="H926" i="1"/>
  <c r="G926" i="1"/>
  <c r="F926" i="1"/>
  <c r="E926" i="1"/>
  <c r="D926" i="1"/>
  <c r="C926" i="1"/>
  <c r="V925" i="1"/>
  <c r="Q925" i="1"/>
  <c r="P925" i="1"/>
  <c r="O925" i="1"/>
  <c r="N925" i="1"/>
  <c r="J925" i="1"/>
  <c r="I925" i="1"/>
  <c r="H925" i="1"/>
  <c r="G925" i="1"/>
  <c r="F925" i="1"/>
  <c r="E925" i="1"/>
  <c r="D925" i="1"/>
  <c r="C925" i="1"/>
  <c r="V924" i="1"/>
  <c r="Q924" i="1"/>
  <c r="P924" i="1"/>
  <c r="O924" i="1"/>
  <c r="N924" i="1"/>
  <c r="J924" i="1"/>
  <c r="I924" i="1"/>
  <c r="H924" i="1"/>
  <c r="G924" i="1"/>
  <c r="F924" i="1"/>
  <c r="E924" i="1"/>
  <c r="D924" i="1"/>
  <c r="C924" i="1"/>
  <c r="V923" i="1"/>
  <c r="Q923" i="1"/>
  <c r="P923" i="1"/>
  <c r="O923" i="1"/>
  <c r="N923" i="1"/>
  <c r="J923" i="1"/>
  <c r="I923" i="1"/>
  <c r="H923" i="1"/>
  <c r="G923" i="1"/>
  <c r="F923" i="1"/>
  <c r="E923" i="1"/>
  <c r="D923" i="1"/>
  <c r="C923" i="1"/>
  <c r="V922" i="1"/>
  <c r="Q922" i="1"/>
  <c r="P922" i="1"/>
  <c r="O922" i="1"/>
  <c r="N922" i="1"/>
  <c r="J922" i="1"/>
  <c r="I922" i="1"/>
  <c r="H922" i="1"/>
  <c r="G922" i="1"/>
  <c r="F922" i="1"/>
  <c r="E922" i="1"/>
  <c r="D922" i="1"/>
  <c r="C922" i="1"/>
  <c r="V921" i="1"/>
  <c r="Q921" i="1"/>
  <c r="P921" i="1"/>
  <c r="O921" i="1"/>
  <c r="N921" i="1"/>
  <c r="J921" i="1"/>
  <c r="I921" i="1"/>
  <c r="H921" i="1"/>
  <c r="G921" i="1"/>
  <c r="F921" i="1"/>
  <c r="E921" i="1"/>
  <c r="D921" i="1"/>
  <c r="C921" i="1"/>
  <c r="V920" i="1"/>
  <c r="Q920" i="1"/>
  <c r="P920" i="1"/>
  <c r="O920" i="1"/>
  <c r="N920" i="1"/>
  <c r="J920" i="1"/>
  <c r="I920" i="1"/>
  <c r="H920" i="1"/>
  <c r="G920" i="1"/>
  <c r="F920" i="1"/>
  <c r="E920" i="1"/>
  <c r="D920" i="1"/>
  <c r="C920" i="1"/>
  <c r="V919" i="1"/>
  <c r="Q919" i="1"/>
  <c r="P919" i="1"/>
  <c r="O919" i="1"/>
  <c r="N919" i="1"/>
  <c r="J919" i="1"/>
  <c r="I919" i="1"/>
  <c r="H919" i="1"/>
  <c r="G919" i="1"/>
  <c r="F919" i="1"/>
  <c r="E919" i="1"/>
  <c r="D919" i="1"/>
  <c r="C919" i="1"/>
  <c r="V918" i="1"/>
  <c r="Q918" i="1"/>
  <c r="P918" i="1"/>
  <c r="O918" i="1"/>
  <c r="N918" i="1"/>
  <c r="J918" i="1"/>
  <c r="I918" i="1"/>
  <c r="H918" i="1"/>
  <c r="G918" i="1"/>
  <c r="F918" i="1"/>
  <c r="E918" i="1"/>
  <c r="D918" i="1"/>
  <c r="C918" i="1"/>
  <c r="V917" i="1"/>
  <c r="Q917" i="1"/>
  <c r="P917" i="1"/>
  <c r="O917" i="1"/>
  <c r="N917" i="1"/>
  <c r="J917" i="1"/>
  <c r="I917" i="1"/>
  <c r="H917" i="1"/>
  <c r="G917" i="1"/>
  <c r="F917" i="1"/>
  <c r="E917" i="1"/>
  <c r="D917" i="1"/>
  <c r="C917" i="1"/>
  <c r="V916" i="1"/>
  <c r="Q916" i="1"/>
  <c r="P916" i="1"/>
  <c r="O916" i="1"/>
  <c r="N916" i="1"/>
  <c r="J916" i="1"/>
  <c r="I916" i="1"/>
  <c r="H916" i="1"/>
  <c r="G916" i="1"/>
  <c r="F916" i="1"/>
  <c r="E916" i="1"/>
  <c r="D916" i="1"/>
  <c r="C916" i="1"/>
  <c r="V915" i="1"/>
  <c r="Q915" i="1"/>
  <c r="P915" i="1"/>
  <c r="O915" i="1"/>
  <c r="N915" i="1"/>
  <c r="J915" i="1"/>
  <c r="I915" i="1"/>
  <c r="H915" i="1"/>
  <c r="G915" i="1"/>
  <c r="F915" i="1"/>
  <c r="E915" i="1"/>
  <c r="D915" i="1"/>
  <c r="C915" i="1"/>
  <c r="V914" i="1"/>
  <c r="Q914" i="1"/>
  <c r="P914" i="1"/>
  <c r="O914" i="1"/>
  <c r="N914" i="1"/>
  <c r="J914" i="1"/>
  <c r="I914" i="1"/>
  <c r="H914" i="1"/>
  <c r="G914" i="1"/>
  <c r="F914" i="1"/>
  <c r="E914" i="1"/>
  <c r="D914" i="1"/>
  <c r="C914" i="1"/>
  <c r="V913" i="1"/>
  <c r="Q913" i="1"/>
  <c r="P913" i="1"/>
  <c r="O913" i="1"/>
  <c r="N913" i="1"/>
  <c r="J913" i="1"/>
  <c r="I913" i="1"/>
  <c r="H913" i="1"/>
  <c r="G913" i="1"/>
  <c r="F913" i="1"/>
  <c r="E913" i="1"/>
  <c r="D913" i="1"/>
  <c r="C913" i="1"/>
  <c r="V912" i="1"/>
  <c r="Q912" i="1"/>
  <c r="P912" i="1"/>
  <c r="O912" i="1"/>
  <c r="N912" i="1"/>
  <c r="J912" i="1"/>
  <c r="I912" i="1"/>
  <c r="H912" i="1"/>
  <c r="G912" i="1"/>
  <c r="F912" i="1"/>
  <c r="E912" i="1"/>
  <c r="D912" i="1"/>
  <c r="C912" i="1"/>
  <c r="V911" i="1"/>
  <c r="Q911" i="1"/>
  <c r="P911" i="1"/>
  <c r="O911" i="1"/>
  <c r="N911" i="1"/>
  <c r="J911" i="1"/>
  <c r="I911" i="1"/>
  <c r="H911" i="1"/>
  <c r="G911" i="1"/>
  <c r="F911" i="1"/>
  <c r="E911" i="1"/>
  <c r="D911" i="1"/>
  <c r="C911" i="1"/>
  <c r="V910" i="1"/>
  <c r="Q910" i="1"/>
  <c r="P910" i="1"/>
  <c r="O910" i="1"/>
  <c r="N910" i="1"/>
  <c r="J910" i="1"/>
  <c r="I910" i="1"/>
  <c r="H910" i="1"/>
  <c r="G910" i="1"/>
  <c r="F910" i="1"/>
  <c r="E910" i="1"/>
  <c r="D910" i="1"/>
  <c r="C910" i="1"/>
  <c r="V909" i="1"/>
  <c r="Q909" i="1"/>
  <c r="P909" i="1"/>
  <c r="O909" i="1"/>
  <c r="N909" i="1"/>
  <c r="J909" i="1"/>
  <c r="I909" i="1"/>
  <c r="H909" i="1"/>
  <c r="G909" i="1"/>
  <c r="F909" i="1"/>
  <c r="E909" i="1"/>
  <c r="D909" i="1"/>
  <c r="C909" i="1"/>
  <c r="V908" i="1"/>
  <c r="Q908" i="1"/>
  <c r="P908" i="1"/>
  <c r="O908" i="1"/>
  <c r="N908" i="1"/>
  <c r="J908" i="1"/>
  <c r="I908" i="1"/>
  <c r="H908" i="1"/>
  <c r="G908" i="1"/>
  <c r="F908" i="1"/>
  <c r="E908" i="1"/>
  <c r="D908" i="1"/>
  <c r="C908" i="1"/>
  <c r="V907" i="1"/>
  <c r="Q907" i="1"/>
  <c r="P907" i="1"/>
  <c r="O907" i="1"/>
  <c r="N907" i="1"/>
  <c r="J907" i="1"/>
  <c r="I907" i="1"/>
  <c r="H907" i="1"/>
  <c r="G907" i="1"/>
  <c r="F907" i="1"/>
  <c r="E907" i="1"/>
  <c r="D907" i="1"/>
  <c r="C907" i="1"/>
  <c r="V906" i="1"/>
  <c r="Q906" i="1"/>
  <c r="P906" i="1"/>
  <c r="O906" i="1"/>
  <c r="N906" i="1"/>
  <c r="J906" i="1"/>
  <c r="I906" i="1"/>
  <c r="H906" i="1"/>
  <c r="G906" i="1"/>
  <c r="F906" i="1"/>
  <c r="E906" i="1"/>
  <c r="D906" i="1"/>
  <c r="C906" i="1"/>
  <c r="V905" i="1"/>
  <c r="Q905" i="1"/>
  <c r="P905" i="1"/>
  <c r="O905" i="1"/>
  <c r="N905" i="1"/>
  <c r="J905" i="1"/>
  <c r="I905" i="1"/>
  <c r="H905" i="1"/>
  <c r="G905" i="1"/>
  <c r="F905" i="1"/>
  <c r="E905" i="1"/>
  <c r="D905" i="1"/>
  <c r="C905" i="1"/>
  <c r="V904" i="1"/>
  <c r="Q904" i="1"/>
  <c r="P904" i="1"/>
  <c r="O904" i="1"/>
  <c r="N904" i="1"/>
  <c r="J904" i="1"/>
  <c r="I904" i="1"/>
  <c r="H904" i="1"/>
  <c r="G904" i="1"/>
  <c r="F904" i="1"/>
  <c r="E904" i="1"/>
  <c r="D904" i="1"/>
  <c r="C904" i="1"/>
  <c r="V903" i="1"/>
  <c r="Q903" i="1"/>
  <c r="P903" i="1"/>
  <c r="O903" i="1"/>
  <c r="N903" i="1"/>
  <c r="J903" i="1"/>
  <c r="I903" i="1"/>
  <c r="H903" i="1"/>
  <c r="G903" i="1"/>
  <c r="F903" i="1"/>
  <c r="E903" i="1"/>
  <c r="D903" i="1"/>
  <c r="C903" i="1"/>
  <c r="V902" i="1"/>
  <c r="Q902" i="1"/>
  <c r="P902" i="1"/>
  <c r="O902" i="1"/>
  <c r="N902" i="1"/>
  <c r="J902" i="1"/>
  <c r="I902" i="1"/>
  <c r="H902" i="1"/>
  <c r="G902" i="1"/>
  <c r="F902" i="1"/>
  <c r="E902" i="1"/>
  <c r="D902" i="1"/>
  <c r="C902" i="1"/>
  <c r="V901" i="1"/>
  <c r="Q901" i="1"/>
  <c r="P901" i="1"/>
  <c r="O901" i="1"/>
  <c r="N901" i="1"/>
  <c r="J901" i="1"/>
  <c r="I901" i="1"/>
  <c r="H901" i="1"/>
  <c r="G901" i="1"/>
  <c r="F901" i="1"/>
  <c r="E901" i="1"/>
  <c r="D901" i="1"/>
  <c r="C901" i="1"/>
  <c r="V900" i="1"/>
  <c r="Q900" i="1"/>
  <c r="P900" i="1"/>
  <c r="O900" i="1"/>
  <c r="N900" i="1"/>
  <c r="J900" i="1"/>
  <c r="I900" i="1"/>
  <c r="H900" i="1"/>
  <c r="G900" i="1"/>
  <c r="F900" i="1"/>
  <c r="E900" i="1"/>
  <c r="D900" i="1"/>
  <c r="C900" i="1"/>
  <c r="V899" i="1"/>
  <c r="Q899" i="1"/>
  <c r="P899" i="1"/>
  <c r="O899" i="1"/>
  <c r="N899" i="1"/>
  <c r="J899" i="1"/>
  <c r="I899" i="1"/>
  <c r="H899" i="1"/>
  <c r="G899" i="1"/>
  <c r="F899" i="1"/>
  <c r="E899" i="1"/>
  <c r="D899" i="1"/>
  <c r="C899" i="1"/>
  <c r="V898" i="1"/>
  <c r="Q898" i="1"/>
  <c r="P898" i="1"/>
  <c r="O898" i="1"/>
  <c r="N898" i="1"/>
  <c r="J898" i="1"/>
  <c r="I898" i="1"/>
  <c r="H898" i="1"/>
  <c r="G898" i="1"/>
  <c r="F898" i="1"/>
  <c r="E898" i="1"/>
  <c r="D898" i="1"/>
  <c r="C898" i="1"/>
  <c r="V897" i="1"/>
  <c r="Q897" i="1"/>
  <c r="P897" i="1"/>
  <c r="O897" i="1"/>
  <c r="N897" i="1"/>
  <c r="J897" i="1"/>
  <c r="I897" i="1"/>
  <c r="H897" i="1"/>
  <c r="G897" i="1"/>
  <c r="F897" i="1"/>
  <c r="E897" i="1"/>
  <c r="D897" i="1"/>
  <c r="C897" i="1"/>
  <c r="V896" i="1"/>
  <c r="Q896" i="1"/>
  <c r="P896" i="1"/>
  <c r="O896" i="1"/>
  <c r="N896" i="1"/>
  <c r="J896" i="1"/>
  <c r="I896" i="1"/>
  <c r="H896" i="1"/>
  <c r="G896" i="1"/>
  <c r="F896" i="1"/>
  <c r="E896" i="1"/>
  <c r="D896" i="1"/>
  <c r="C896" i="1"/>
  <c r="V895" i="1"/>
  <c r="Q895" i="1"/>
  <c r="P895" i="1"/>
  <c r="O895" i="1"/>
  <c r="N895" i="1"/>
  <c r="J895" i="1"/>
  <c r="I895" i="1"/>
  <c r="H895" i="1"/>
  <c r="G895" i="1"/>
  <c r="F895" i="1"/>
  <c r="E895" i="1"/>
  <c r="D895" i="1"/>
  <c r="C895" i="1"/>
  <c r="V894" i="1"/>
  <c r="Q894" i="1"/>
  <c r="P894" i="1"/>
  <c r="O894" i="1"/>
  <c r="N894" i="1"/>
  <c r="J894" i="1"/>
  <c r="I894" i="1"/>
  <c r="H894" i="1"/>
  <c r="G894" i="1"/>
  <c r="F894" i="1"/>
  <c r="E894" i="1"/>
  <c r="D894" i="1"/>
  <c r="C894" i="1"/>
  <c r="V893" i="1"/>
  <c r="Q893" i="1"/>
  <c r="P893" i="1"/>
  <c r="O893" i="1"/>
  <c r="N893" i="1"/>
  <c r="J893" i="1"/>
  <c r="I893" i="1"/>
  <c r="H893" i="1"/>
  <c r="G893" i="1"/>
  <c r="F893" i="1"/>
  <c r="E893" i="1"/>
  <c r="D893" i="1"/>
  <c r="C893" i="1"/>
  <c r="V892" i="1"/>
  <c r="Q892" i="1"/>
  <c r="P892" i="1"/>
  <c r="O892" i="1"/>
  <c r="N892" i="1"/>
  <c r="J892" i="1"/>
  <c r="I892" i="1"/>
  <c r="H892" i="1"/>
  <c r="G892" i="1"/>
  <c r="F892" i="1"/>
  <c r="E892" i="1"/>
  <c r="D892" i="1"/>
  <c r="C892" i="1"/>
  <c r="V891" i="1"/>
  <c r="Q891" i="1"/>
  <c r="P891" i="1"/>
  <c r="O891" i="1"/>
  <c r="N891" i="1"/>
  <c r="J891" i="1"/>
  <c r="I891" i="1"/>
  <c r="H891" i="1"/>
  <c r="G891" i="1"/>
  <c r="F891" i="1"/>
  <c r="E891" i="1"/>
  <c r="D891" i="1"/>
  <c r="C891" i="1"/>
  <c r="V890" i="1"/>
  <c r="Q890" i="1"/>
  <c r="P890" i="1"/>
  <c r="O890" i="1"/>
  <c r="N890" i="1"/>
  <c r="J890" i="1"/>
  <c r="I890" i="1"/>
  <c r="H890" i="1"/>
  <c r="G890" i="1"/>
  <c r="F890" i="1"/>
  <c r="E890" i="1"/>
  <c r="D890" i="1"/>
  <c r="C890" i="1"/>
  <c r="V889" i="1"/>
  <c r="Q889" i="1"/>
  <c r="P889" i="1"/>
  <c r="O889" i="1"/>
  <c r="N889" i="1"/>
  <c r="J889" i="1"/>
  <c r="I889" i="1"/>
  <c r="H889" i="1"/>
  <c r="G889" i="1"/>
  <c r="F889" i="1"/>
  <c r="E889" i="1"/>
  <c r="D889" i="1"/>
  <c r="C889" i="1"/>
  <c r="V888" i="1"/>
  <c r="Q888" i="1"/>
  <c r="P888" i="1"/>
  <c r="O888" i="1"/>
  <c r="N888" i="1"/>
  <c r="J888" i="1"/>
  <c r="I888" i="1"/>
  <c r="H888" i="1"/>
  <c r="G888" i="1"/>
  <c r="F888" i="1"/>
  <c r="E888" i="1"/>
  <c r="D888" i="1"/>
  <c r="C888" i="1"/>
  <c r="V887" i="1"/>
  <c r="Q887" i="1"/>
  <c r="P887" i="1"/>
  <c r="O887" i="1"/>
  <c r="N887" i="1"/>
  <c r="J887" i="1"/>
  <c r="I887" i="1"/>
  <c r="H887" i="1"/>
  <c r="G887" i="1"/>
  <c r="F887" i="1"/>
  <c r="E887" i="1"/>
  <c r="D887" i="1"/>
  <c r="C887" i="1"/>
  <c r="V886" i="1"/>
  <c r="Q886" i="1"/>
  <c r="P886" i="1"/>
  <c r="O886" i="1"/>
  <c r="N886" i="1"/>
  <c r="J886" i="1"/>
  <c r="I886" i="1"/>
  <c r="H886" i="1"/>
  <c r="G886" i="1"/>
  <c r="F886" i="1"/>
  <c r="E886" i="1"/>
  <c r="D886" i="1"/>
  <c r="C886" i="1"/>
  <c r="V885" i="1"/>
  <c r="Q885" i="1"/>
  <c r="P885" i="1"/>
  <c r="O885" i="1"/>
  <c r="N885" i="1"/>
  <c r="J885" i="1"/>
  <c r="I885" i="1"/>
  <c r="H885" i="1"/>
  <c r="G885" i="1"/>
  <c r="F885" i="1"/>
  <c r="E885" i="1"/>
  <c r="D885" i="1"/>
  <c r="C885" i="1"/>
  <c r="V884" i="1"/>
  <c r="Q884" i="1"/>
  <c r="P884" i="1"/>
  <c r="O884" i="1"/>
  <c r="N884" i="1"/>
  <c r="J884" i="1"/>
  <c r="I884" i="1"/>
  <c r="H884" i="1"/>
  <c r="G884" i="1"/>
  <c r="F884" i="1"/>
  <c r="E884" i="1"/>
  <c r="D884" i="1"/>
  <c r="C884" i="1"/>
  <c r="V883" i="1"/>
  <c r="Q883" i="1"/>
  <c r="P883" i="1"/>
  <c r="O883" i="1"/>
  <c r="N883" i="1"/>
  <c r="J883" i="1"/>
  <c r="I883" i="1"/>
  <c r="H883" i="1"/>
  <c r="G883" i="1"/>
  <c r="F883" i="1"/>
  <c r="E883" i="1"/>
  <c r="D883" i="1"/>
  <c r="C883" i="1"/>
  <c r="V882" i="1"/>
  <c r="Q882" i="1"/>
  <c r="P882" i="1"/>
  <c r="O882" i="1"/>
  <c r="N882" i="1"/>
  <c r="J882" i="1"/>
  <c r="I882" i="1"/>
  <c r="H882" i="1"/>
  <c r="G882" i="1"/>
  <c r="F882" i="1"/>
  <c r="E882" i="1"/>
  <c r="D882" i="1"/>
  <c r="C882" i="1"/>
  <c r="V881" i="1"/>
  <c r="Q881" i="1"/>
  <c r="P881" i="1"/>
  <c r="O881" i="1"/>
  <c r="N881" i="1"/>
  <c r="J881" i="1"/>
  <c r="I881" i="1"/>
  <c r="H881" i="1"/>
  <c r="G881" i="1"/>
  <c r="F881" i="1"/>
  <c r="E881" i="1"/>
  <c r="D881" i="1"/>
  <c r="C881" i="1"/>
  <c r="V880" i="1"/>
  <c r="Q880" i="1"/>
  <c r="P880" i="1"/>
  <c r="O880" i="1"/>
  <c r="N880" i="1"/>
  <c r="J880" i="1"/>
  <c r="I880" i="1"/>
  <c r="H880" i="1"/>
  <c r="G880" i="1"/>
  <c r="F880" i="1"/>
  <c r="E880" i="1"/>
  <c r="D880" i="1"/>
  <c r="C880" i="1"/>
  <c r="V879" i="1"/>
  <c r="Q879" i="1"/>
  <c r="P879" i="1"/>
  <c r="O879" i="1"/>
  <c r="N879" i="1"/>
  <c r="J879" i="1"/>
  <c r="I879" i="1"/>
  <c r="H879" i="1"/>
  <c r="G879" i="1"/>
  <c r="F879" i="1"/>
  <c r="E879" i="1"/>
  <c r="D879" i="1"/>
  <c r="C879" i="1"/>
  <c r="V878" i="1"/>
  <c r="Q878" i="1"/>
  <c r="P878" i="1"/>
  <c r="O878" i="1"/>
  <c r="N878" i="1"/>
  <c r="J878" i="1"/>
  <c r="I878" i="1"/>
  <c r="H878" i="1"/>
  <c r="G878" i="1"/>
  <c r="F878" i="1"/>
  <c r="E878" i="1"/>
  <c r="D878" i="1"/>
  <c r="C878" i="1"/>
  <c r="V877" i="1"/>
  <c r="Q877" i="1"/>
  <c r="P877" i="1"/>
  <c r="O877" i="1"/>
  <c r="N877" i="1"/>
  <c r="J877" i="1"/>
  <c r="I877" i="1"/>
  <c r="H877" i="1"/>
  <c r="G877" i="1"/>
  <c r="F877" i="1"/>
  <c r="E877" i="1"/>
  <c r="D877" i="1"/>
  <c r="C877" i="1"/>
  <c r="V876" i="1"/>
  <c r="Q876" i="1"/>
  <c r="P876" i="1"/>
  <c r="O876" i="1"/>
  <c r="N876" i="1"/>
  <c r="J876" i="1"/>
  <c r="I876" i="1"/>
  <c r="H876" i="1"/>
  <c r="G876" i="1"/>
  <c r="F876" i="1"/>
  <c r="E876" i="1"/>
  <c r="D876" i="1"/>
  <c r="C876" i="1"/>
  <c r="V875" i="1"/>
  <c r="Q875" i="1"/>
  <c r="P875" i="1"/>
  <c r="O875" i="1"/>
  <c r="N875" i="1"/>
  <c r="J875" i="1"/>
  <c r="I875" i="1"/>
  <c r="H875" i="1"/>
  <c r="G875" i="1"/>
  <c r="F875" i="1"/>
  <c r="E875" i="1"/>
  <c r="D875" i="1"/>
  <c r="C875" i="1"/>
  <c r="V874" i="1"/>
  <c r="Q874" i="1"/>
  <c r="P874" i="1"/>
  <c r="O874" i="1"/>
  <c r="N874" i="1"/>
  <c r="J874" i="1"/>
  <c r="I874" i="1"/>
  <c r="H874" i="1"/>
  <c r="G874" i="1"/>
  <c r="F874" i="1"/>
  <c r="E874" i="1"/>
  <c r="D874" i="1"/>
  <c r="C874" i="1"/>
  <c r="V873" i="1"/>
  <c r="Q873" i="1"/>
  <c r="P873" i="1"/>
  <c r="O873" i="1"/>
  <c r="N873" i="1"/>
  <c r="J873" i="1"/>
  <c r="I873" i="1"/>
  <c r="H873" i="1"/>
  <c r="G873" i="1"/>
  <c r="F873" i="1"/>
  <c r="E873" i="1"/>
  <c r="D873" i="1"/>
  <c r="C873" i="1"/>
  <c r="V872" i="1"/>
  <c r="Q872" i="1"/>
  <c r="P872" i="1"/>
  <c r="O872" i="1"/>
  <c r="N872" i="1"/>
  <c r="J872" i="1"/>
  <c r="I872" i="1"/>
  <c r="H872" i="1"/>
  <c r="G872" i="1"/>
  <c r="F872" i="1"/>
  <c r="E872" i="1"/>
  <c r="D872" i="1"/>
  <c r="C872" i="1"/>
  <c r="V871" i="1"/>
  <c r="Q871" i="1"/>
  <c r="P871" i="1"/>
  <c r="O871" i="1"/>
  <c r="N871" i="1"/>
  <c r="J871" i="1"/>
  <c r="I871" i="1"/>
  <c r="H871" i="1"/>
  <c r="G871" i="1"/>
  <c r="F871" i="1"/>
  <c r="E871" i="1"/>
  <c r="D871" i="1"/>
  <c r="C871" i="1"/>
  <c r="V870" i="1"/>
  <c r="Q870" i="1"/>
  <c r="P870" i="1"/>
  <c r="O870" i="1"/>
  <c r="N870" i="1"/>
  <c r="J870" i="1"/>
  <c r="I870" i="1"/>
  <c r="H870" i="1"/>
  <c r="G870" i="1"/>
  <c r="F870" i="1"/>
  <c r="E870" i="1"/>
  <c r="D870" i="1"/>
  <c r="C870" i="1"/>
  <c r="V869" i="1"/>
  <c r="Q869" i="1"/>
  <c r="P869" i="1"/>
  <c r="O869" i="1"/>
  <c r="N869" i="1"/>
  <c r="J869" i="1"/>
  <c r="I869" i="1"/>
  <c r="H869" i="1"/>
  <c r="G869" i="1"/>
  <c r="F869" i="1"/>
  <c r="E869" i="1"/>
  <c r="D869" i="1"/>
  <c r="C869" i="1"/>
  <c r="V868" i="1"/>
  <c r="Q868" i="1"/>
  <c r="P868" i="1"/>
  <c r="O868" i="1"/>
  <c r="N868" i="1"/>
  <c r="J868" i="1"/>
  <c r="I868" i="1"/>
  <c r="H868" i="1"/>
  <c r="G868" i="1"/>
  <c r="F868" i="1"/>
  <c r="E868" i="1"/>
  <c r="D868" i="1"/>
  <c r="C868" i="1"/>
  <c r="V867" i="1"/>
  <c r="Q867" i="1"/>
  <c r="P867" i="1"/>
  <c r="O867" i="1"/>
  <c r="N867" i="1"/>
  <c r="J867" i="1"/>
  <c r="I867" i="1"/>
  <c r="H867" i="1"/>
  <c r="G867" i="1"/>
  <c r="F867" i="1"/>
  <c r="E867" i="1"/>
  <c r="D867" i="1"/>
  <c r="C867" i="1"/>
  <c r="V866" i="1"/>
  <c r="Q866" i="1"/>
  <c r="P866" i="1"/>
  <c r="O866" i="1"/>
  <c r="N866" i="1"/>
  <c r="J866" i="1"/>
  <c r="I866" i="1"/>
  <c r="H866" i="1"/>
  <c r="G866" i="1"/>
  <c r="F866" i="1"/>
  <c r="E866" i="1"/>
  <c r="D866" i="1"/>
  <c r="C866" i="1"/>
  <c r="V865" i="1"/>
  <c r="Q865" i="1"/>
  <c r="P865" i="1"/>
  <c r="O865" i="1"/>
  <c r="N865" i="1"/>
  <c r="J865" i="1"/>
  <c r="I865" i="1"/>
  <c r="H865" i="1"/>
  <c r="G865" i="1"/>
  <c r="F865" i="1"/>
  <c r="E865" i="1"/>
  <c r="D865" i="1"/>
  <c r="C865" i="1"/>
  <c r="V864" i="1"/>
  <c r="Q864" i="1"/>
  <c r="P864" i="1"/>
  <c r="O864" i="1"/>
  <c r="N864" i="1"/>
  <c r="J864" i="1"/>
  <c r="I864" i="1"/>
  <c r="H864" i="1"/>
  <c r="G864" i="1"/>
  <c r="F864" i="1"/>
  <c r="E864" i="1"/>
  <c r="D864" i="1"/>
  <c r="C864" i="1"/>
  <c r="V863" i="1"/>
  <c r="Q863" i="1"/>
  <c r="P863" i="1"/>
  <c r="O863" i="1"/>
  <c r="N863" i="1"/>
  <c r="J863" i="1"/>
  <c r="I863" i="1"/>
  <c r="H863" i="1"/>
  <c r="G863" i="1"/>
  <c r="F863" i="1"/>
  <c r="E863" i="1"/>
  <c r="D863" i="1"/>
  <c r="C863" i="1"/>
  <c r="V862" i="1"/>
  <c r="Q862" i="1"/>
  <c r="P862" i="1"/>
  <c r="O862" i="1"/>
  <c r="N862" i="1"/>
  <c r="J862" i="1"/>
  <c r="I862" i="1"/>
  <c r="H862" i="1"/>
  <c r="G862" i="1"/>
  <c r="F862" i="1"/>
  <c r="E862" i="1"/>
  <c r="D862" i="1"/>
  <c r="C862" i="1"/>
  <c r="V861" i="1"/>
  <c r="Q861" i="1"/>
  <c r="P861" i="1"/>
  <c r="O861" i="1"/>
  <c r="N861" i="1"/>
  <c r="J861" i="1"/>
  <c r="I861" i="1"/>
  <c r="H861" i="1"/>
  <c r="G861" i="1"/>
  <c r="F861" i="1"/>
  <c r="E861" i="1"/>
  <c r="D861" i="1"/>
  <c r="C861" i="1"/>
  <c r="V860" i="1"/>
  <c r="Q860" i="1"/>
  <c r="P860" i="1"/>
  <c r="O860" i="1"/>
  <c r="N860" i="1"/>
  <c r="J860" i="1"/>
  <c r="I860" i="1"/>
  <c r="H860" i="1"/>
  <c r="G860" i="1"/>
  <c r="F860" i="1"/>
  <c r="E860" i="1"/>
  <c r="D860" i="1"/>
  <c r="C860" i="1"/>
  <c r="V859" i="1"/>
  <c r="Q859" i="1"/>
  <c r="P859" i="1"/>
  <c r="O859" i="1"/>
  <c r="N859" i="1"/>
  <c r="J859" i="1"/>
  <c r="I859" i="1"/>
  <c r="H859" i="1"/>
  <c r="G859" i="1"/>
  <c r="F859" i="1"/>
  <c r="E859" i="1"/>
  <c r="D859" i="1"/>
  <c r="C859" i="1"/>
  <c r="V858" i="1"/>
  <c r="Q858" i="1"/>
  <c r="P858" i="1"/>
  <c r="O858" i="1"/>
  <c r="N858" i="1"/>
  <c r="J858" i="1"/>
  <c r="I858" i="1"/>
  <c r="H858" i="1"/>
  <c r="G858" i="1"/>
  <c r="F858" i="1"/>
  <c r="E858" i="1"/>
  <c r="D858" i="1"/>
  <c r="C858" i="1"/>
  <c r="V857" i="1"/>
  <c r="Q857" i="1"/>
  <c r="P857" i="1"/>
  <c r="O857" i="1"/>
  <c r="N857" i="1"/>
  <c r="J857" i="1"/>
  <c r="I857" i="1"/>
  <c r="H857" i="1"/>
  <c r="G857" i="1"/>
  <c r="F857" i="1"/>
  <c r="E857" i="1"/>
  <c r="D857" i="1"/>
  <c r="C857" i="1"/>
  <c r="V856" i="1"/>
  <c r="Q856" i="1"/>
  <c r="P856" i="1"/>
  <c r="O856" i="1"/>
  <c r="N856" i="1"/>
  <c r="J856" i="1"/>
  <c r="I856" i="1"/>
  <c r="H856" i="1"/>
  <c r="G856" i="1"/>
  <c r="F856" i="1"/>
  <c r="E856" i="1"/>
  <c r="D856" i="1"/>
  <c r="C856" i="1"/>
  <c r="V855" i="1"/>
  <c r="Q855" i="1"/>
  <c r="P855" i="1"/>
  <c r="O855" i="1"/>
  <c r="N855" i="1"/>
  <c r="J855" i="1"/>
  <c r="I855" i="1"/>
  <c r="H855" i="1"/>
  <c r="G855" i="1"/>
  <c r="F855" i="1"/>
  <c r="E855" i="1"/>
  <c r="D855" i="1"/>
  <c r="C855" i="1"/>
  <c r="V854" i="1"/>
  <c r="Q854" i="1"/>
  <c r="P854" i="1"/>
  <c r="O854" i="1"/>
  <c r="N854" i="1"/>
  <c r="J854" i="1"/>
  <c r="I854" i="1"/>
  <c r="H854" i="1"/>
  <c r="G854" i="1"/>
  <c r="F854" i="1"/>
  <c r="E854" i="1"/>
  <c r="D854" i="1"/>
  <c r="C854" i="1"/>
  <c r="V853" i="1"/>
  <c r="Q853" i="1"/>
  <c r="P853" i="1"/>
  <c r="O853" i="1"/>
  <c r="N853" i="1"/>
  <c r="J853" i="1"/>
  <c r="I853" i="1"/>
  <c r="H853" i="1"/>
  <c r="G853" i="1"/>
  <c r="F853" i="1"/>
  <c r="E853" i="1"/>
  <c r="D853" i="1"/>
  <c r="C853" i="1"/>
  <c r="V852" i="1"/>
  <c r="Q852" i="1"/>
  <c r="P852" i="1"/>
  <c r="O852" i="1"/>
  <c r="N852" i="1"/>
  <c r="J852" i="1"/>
  <c r="I852" i="1"/>
  <c r="H852" i="1"/>
  <c r="G852" i="1"/>
  <c r="F852" i="1"/>
  <c r="E852" i="1"/>
  <c r="D852" i="1"/>
  <c r="C852" i="1"/>
  <c r="V851" i="1"/>
  <c r="Q851" i="1"/>
  <c r="P851" i="1"/>
  <c r="O851" i="1"/>
  <c r="N851" i="1"/>
  <c r="J851" i="1"/>
  <c r="I851" i="1"/>
  <c r="H851" i="1"/>
  <c r="G851" i="1"/>
  <c r="F851" i="1"/>
  <c r="E851" i="1"/>
  <c r="D851" i="1"/>
  <c r="C851" i="1"/>
  <c r="V850" i="1"/>
  <c r="Q850" i="1"/>
  <c r="P850" i="1"/>
  <c r="O850" i="1"/>
  <c r="N850" i="1"/>
  <c r="J850" i="1"/>
  <c r="I850" i="1"/>
  <c r="H850" i="1"/>
  <c r="G850" i="1"/>
  <c r="F850" i="1"/>
  <c r="E850" i="1"/>
  <c r="D850" i="1"/>
  <c r="C850" i="1"/>
  <c r="V849" i="1"/>
  <c r="Q849" i="1"/>
  <c r="P849" i="1"/>
  <c r="O849" i="1"/>
  <c r="N849" i="1"/>
  <c r="J849" i="1"/>
  <c r="I849" i="1"/>
  <c r="H849" i="1"/>
  <c r="G849" i="1"/>
  <c r="F849" i="1"/>
  <c r="E849" i="1"/>
  <c r="D849" i="1"/>
  <c r="C849" i="1"/>
  <c r="V848" i="1"/>
  <c r="Q848" i="1"/>
  <c r="P848" i="1"/>
  <c r="O848" i="1"/>
  <c r="N848" i="1"/>
  <c r="J848" i="1"/>
  <c r="I848" i="1"/>
  <c r="H848" i="1"/>
  <c r="G848" i="1"/>
  <c r="F848" i="1"/>
  <c r="E848" i="1"/>
  <c r="D848" i="1"/>
  <c r="C848" i="1"/>
  <c r="V847" i="1"/>
  <c r="Q847" i="1"/>
  <c r="P847" i="1"/>
  <c r="O847" i="1"/>
  <c r="N847" i="1"/>
  <c r="J847" i="1"/>
  <c r="I847" i="1"/>
  <c r="H847" i="1"/>
  <c r="G847" i="1"/>
  <c r="F847" i="1"/>
  <c r="E847" i="1"/>
  <c r="D847" i="1"/>
  <c r="C847" i="1"/>
  <c r="V846" i="1"/>
  <c r="Q846" i="1"/>
  <c r="P846" i="1"/>
  <c r="O846" i="1"/>
  <c r="N846" i="1"/>
  <c r="J846" i="1"/>
  <c r="I846" i="1"/>
  <c r="H846" i="1"/>
  <c r="G846" i="1"/>
  <c r="F846" i="1"/>
  <c r="E846" i="1"/>
  <c r="D846" i="1"/>
  <c r="C846" i="1"/>
  <c r="V845" i="1"/>
  <c r="Q845" i="1"/>
  <c r="P845" i="1"/>
  <c r="O845" i="1"/>
  <c r="N845" i="1"/>
  <c r="J845" i="1"/>
  <c r="I845" i="1"/>
  <c r="H845" i="1"/>
  <c r="G845" i="1"/>
  <c r="F845" i="1"/>
  <c r="E845" i="1"/>
  <c r="D845" i="1"/>
  <c r="C845" i="1"/>
  <c r="V844" i="1"/>
  <c r="Q844" i="1"/>
  <c r="P844" i="1"/>
  <c r="O844" i="1"/>
  <c r="N844" i="1"/>
  <c r="J844" i="1"/>
  <c r="I844" i="1"/>
  <c r="H844" i="1"/>
  <c r="G844" i="1"/>
  <c r="F844" i="1"/>
  <c r="E844" i="1"/>
  <c r="D844" i="1"/>
  <c r="C844" i="1"/>
  <c r="V843" i="1"/>
  <c r="Q843" i="1"/>
  <c r="P843" i="1"/>
  <c r="O843" i="1"/>
  <c r="N843" i="1"/>
  <c r="J843" i="1"/>
  <c r="I843" i="1"/>
  <c r="H843" i="1"/>
  <c r="G843" i="1"/>
  <c r="F843" i="1"/>
  <c r="E843" i="1"/>
  <c r="D843" i="1"/>
  <c r="C843" i="1"/>
  <c r="V842" i="1"/>
  <c r="Q842" i="1"/>
  <c r="P842" i="1"/>
  <c r="O842" i="1"/>
  <c r="N842" i="1"/>
  <c r="J842" i="1"/>
  <c r="I842" i="1"/>
  <c r="H842" i="1"/>
  <c r="G842" i="1"/>
  <c r="F842" i="1"/>
  <c r="E842" i="1"/>
  <c r="D842" i="1"/>
  <c r="C842" i="1"/>
  <c r="V841" i="1"/>
  <c r="Q841" i="1"/>
  <c r="P841" i="1"/>
  <c r="O841" i="1"/>
  <c r="N841" i="1"/>
  <c r="J841" i="1"/>
  <c r="I841" i="1"/>
  <c r="H841" i="1"/>
  <c r="G841" i="1"/>
  <c r="F841" i="1"/>
  <c r="E841" i="1"/>
  <c r="D841" i="1"/>
  <c r="C841" i="1"/>
  <c r="V840" i="1"/>
  <c r="Q840" i="1"/>
  <c r="P840" i="1"/>
  <c r="O840" i="1"/>
  <c r="N840" i="1"/>
  <c r="J840" i="1"/>
  <c r="I840" i="1"/>
  <c r="H840" i="1"/>
  <c r="G840" i="1"/>
  <c r="F840" i="1"/>
  <c r="E840" i="1"/>
  <c r="D840" i="1"/>
  <c r="C840" i="1"/>
  <c r="V839" i="1"/>
  <c r="Q839" i="1"/>
  <c r="P839" i="1"/>
  <c r="O839" i="1"/>
  <c r="N839" i="1"/>
  <c r="J839" i="1"/>
  <c r="I839" i="1"/>
  <c r="H839" i="1"/>
  <c r="G839" i="1"/>
  <c r="F839" i="1"/>
  <c r="E839" i="1"/>
  <c r="D839" i="1"/>
  <c r="C839" i="1"/>
  <c r="V838" i="1"/>
  <c r="Q838" i="1"/>
  <c r="P838" i="1"/>
  <c r="O838" i="1"/>
  <c r="N838" i="1"/>
  <c r="J838" i="1"/>
  <c r="I838" i="1"/>
  <c r="H838" i="1"/>
  <c r="G838" i="1"/>
  <c r="F838" i="1"/>
  <c r="E838" i="1"/>
  <c r="D838" i="1"/>
  <c r="C838" i="1"/>
  <c r="V837" i="1"/>
  <c r="Q837" i="1"/>
  <c r="P837" i="1"/>
  <c r="O837" i="1"/>
  <c r="N837" i="1"/>
  <c r="J837" i="1"/>
  <c r="I837" i="1"/>
  <c r="H837" i="1"/>
  <c r="G837" i="1"/>
  <c r="F837" i="1"/>
  <c r="E837" i="1"/>
  <c r="D837" i="1"/>
  <c r="C837" i="1"/>
  <c r="V836" i="1"/>
  <c r="Q836" i="1"/>
  <c r="P836" i="1"/>
  <c r="O836" i="1"/>
  <c r="N836" i="1"/>
  <c r="J836" i="1"/>
  <c r="I836" i="1"/>
  <c r="H836" i="1"/>
  <c r="G836" i="1"/>
  <c r="F836" i="1"/>
  <c r="E836" i="1"/>
  <c r="D836" i="1"/>
  <c r="C836" i="1"/>
  <c r="V835" i="1"/>
  <c r="Q835" i="1"/>
  <c r="P835" i="1"/>
  <c r="O835" i="1"/>
  <c r="N835" i="1"/>
  <c r="J835" i="1"/>
  <c r="I835" i="1"/>
  <c r="H835" i="1"/>
  <c r="G835" i="1"/>
  <c r="F835" i="1"/>
  <c r="E835" i="1"/>
  <c r="D835" i="1"/>
  <c r="C835" i="1"/>
  <c r="V834" i="1"/>
  <c r="Q834" i="1"/>
  <c r="P834" i="1"/>
  <c r="O834" i="1"/>
  <c r="N834" i="1"/>
  <c r="J834" i="1"/>
  <c r="I834" i="1"/>
  <c r="H834" i="1"/>
  <c r="G834" i="1"/>
  <c r="F834" i="1"/>
  <c r="E834" i="1"/>
  <c r="D834" i="1"/>
  <c r="C834" i="1"/>
  <c r="V833" i="1"/>
  <c r="Q833" i="1"/>
  <c r="P833" i="1"/>
  <c r="O833" i="1"/>
  <c r="N833" i="1"/>
  <c r="J833" i="1"/>
  <c r="I833" i="1"/>
  <c r="H833" i="1"/>
  <c r="G833" i="1"/>
  <c r="F833" i="1"/>
  <c r="E833" i="1"/>
  <c r="D833" i="1"/>
  <c r="C833" i="1"/>
  <c r="V832" i="1"/>
  <c r="Q832" i="1"/>
  <c r="P832" i="1"/>
  <c r="O832" i="1"/>
  <c r="N832" i="1"/>
  <c r="J832" i="1"/>
  <c r="I832" i="1"/>
  <c r="H832" i="1"/>
  <c r="G832" i="1"/>
  <c r="F832" i="1"/>
  <c r="E832" i="1"/>
  <c r="D832" i="1"/>
  <c r="C832" i="1"/>
  <c r="V831" i="1"/>
  <c r="Q831" i="1"/>
  <c r="P831" i="1"/>
  <c r="O831" i="1"/>
  <c r="N831" i="1"/>
  <c r="J831" i="1"/>
  <c r="I831" i="1"/>
  <c r="H831" i="1"/>
  <c r="G831" i="1"/>
  <c r="F831" i="1"/>
  <c r="E831" i="1"/>
  <c r="D831" i="1"/>
  <c r="C831" i="1"/>
  <c r="V830" i="1"/>
  <c r="Q830" i="1"/>
  <c r="P830" i="1"/>
  <c r="O830" i="1"/>
  <c r="N830" i="1"/>
  <c r="J830" i="1"/>
  <c r="I830" i="1"/>
  <c r="H830" i="1"/>
  <c r="G830" i="1"/>
  <c r="F830" i="1"/>
  <c r="E830" i="1"/>
  <c r="D830" i="1"/>
  <c r="C830" i="1"/>
  <c r="V829" i="1"/>
  <c r="Q829" i="1"/>
  <c r="P829" i="1"/>
  <c r="O829" i="1"/>
  <c r="N829" i="1"/>
  <c r="J829" i="1"/>
  <c r="I829" i="1"/>
  <c r="H829" i="1"/>
  <c r="G829" i="1"/>
  <c r="F829" i="1"/>
  <c r="E829" i="1"/>
  <c r="D829" i="1"/>
  <c r="C829" i="1"/>
  <c r="V828" i="1"/>
  <c r="Q828" i="1"/>
  <c r="P828" i="1"/>
  <c r="O828" i="1"/>
  <c r="N828" i="1"/>
  <c r="J828" i="1"/>
  <c r="I828" i="1"/>
  <c r="H828" i="1"/>
  <c r="G828" i="1"/>
  <c r="F828" i="1"/>
  <c r="E828" i="1"/>
  <c r="D828" i="1"/>
  <c r="C828" i="1"/>
  <c r="V827" i="1"/>
  <c r="Q827" i="1"/>
  <c r="P827" i="1"/>
  <c r="O827" i="1"/>
  <c r="N827" i="1"/>
  <c r="J827" i="1"/>
  <c r="I827" i="1"/>
  <c r="H827" i="1"/>
  <c r="G827" i="1"/>
  <c r="F827" i="1"/>
  <c r="E827" i="1"/>
  <c r="D827" i="1"/>
  <c r="C827" i="1"/>
  <c r="V826" i="1"/>
  <c r="Q826" i="1"/>
  <c r="P826" i="1"/>
  <c r="O826" i="1"/>
  <c r="N826" i="1"/>
  <c r="J826" i="1"/>
  <c r="I826" i="1"/>
  <c r="H826" i="1"/>
  <c r="G826" i="1"/>
  <c r="F826" i="1"/>
  <c r="E826" i="1"/>
  <c r="D826" i="1"/>
  <c r="C826" i="1"/>
  <c r="V825" i="1"/>
  <c r="Q825" i="1"/>
  <c r="P825" i="1"/>
  <c r="O825" i="1"/>
  <c r="N825" i="1"/>
  <c r="J825" i="1"/>
  <c r="I825" i="1"/>
  <c r="H825" i="1"/>
  <c r="G825" i="1"/>
  <c r="F825" i="1"/>
  <c r="E825" i="1"/>
  <c r="D825" i="1"/>
  <c r="C825" i="1"/>
  <c r="V824" i="1"/>
  <c r="Q824" i="1"/>
  <c r="P824" i="1"/>
  <c r="O824" i="1"/>
  <c r="N824" i="1"/>
  <c r="J824" i="1"/>
  <c r="I824" i="1"/>
  <c r="H824" i="1"/>
  <c r="G824" i="1"/>
  <c r="F824" i="1"/>
  <c r="E824" i="1"/>
  <c r="D824" i="1"/>
  <c r="C824" i="1"/>
  <c r="V823" i="1"/>
  <c r="Q823" i="1"/>
  <c r="P823" i="1"/>
  <c r="O823" i="1"/>
  <c r="N823" i="1"/>
  <c r="J823" i="1"/>
  <c r="I823" i="1"/>
  <c r="H823" i="1"/>
  <c r="G823" i="1"/>
  <c r="F823" i="1"/>
  <c r="E823" i="1"/>
  <c r="D823" i="1"/>
  <c r="C823" i="1"/>
  <c r="V822" i="1"/>
  <c r="Q822" i="1"/>
  <c r="P822" i="1"/>
  <c r="O822" i="1"/>
  <c r="N822" i="1"/>
  <c r="J822" i="1"/>
  <c r="I822" i="1"/>
  <c r="H822" i="1"/>
  <c r="G822" i="1"/>
  <c r="F822" i="1"/>
  <c r="E822" i="1"/>
  <c r="D822" i="1"/>
  <c r="C822" i="1"/>
  <c r="V821" i="1"/>
  <c r="Q821" i="1"/>
  <c r="P821" i="1"/>
  <c r="O821" i="1"/>
  <c r="N821" i="1"/>
  <c r="J821" i="1"/>
  <c r="I821" i="1"/>
  <c r="H821" i="1"/>
  <c r="G821" i="1"/>
  <c r="F821" i="1"/>
  <c r="E821" i="1"/>
  <c r="D821" i="1"/>
  <c r="C821" i="1"/>
  <c r="V820" i="1"/>
  <c r="Q820" i="1"/>
  <c r="P820" i="1"/>
  <c r="O820" i="1"/>
  <c r="N820" i="1"/>
  <c r="J820" i="1"/>
  <c r="I820" i="1"/>
  <c r="H820" i="1"/>
  <c r="G820" i="1"/>
  <c r="F820" i="1"/>
  <c r="E820" i="1"/>
  <c r="D820" i="1"/>
  <c r="C820" i="1"/>
  <c r="V819" i="1"/>
  <c r="Q819" i="1"/>
  <c r="P819" i="1"/>
  <c r="O819" i="1"/>
  <c r="N819" i="1"/>
  <c r="J819" i="1"/>
  <c r="I819" i="1"/>
  <c r="H819" i="1"/>
  <c r="G819" i="1"/>
  <c r="F819" i="1"/>
  <c r="E819" i="1"/>
  <c r="D819" i="1"/>
  <c r="C819" i="1"/>
  <c r="V818" i="1"/>
  <c r="Q818" i="1"/>
  <c r="P818" i="1"/>
  <c r="O818" i="1"/>
  <c r="N818" i="1"/>
  <c r="J818" i="1"/>
  <c r="I818" i="1"/>
  <c r="H818" i="1"/>
  <c r="G818" i="1"/>
  <c r="F818" i="1"/>
  <c r="E818" i="1"/>
  <c r="D818" i="1"/>
  <c r="C818" i="1"/>
  <c r="V817" i="1"/>
  <c r="Q817" i="1"/>
  <c r="P817" i="1"/>
  <c r="O817" i="1"/>
  <c r="N817" i="1"/>
  <c r="J817" i="1"/>
  <c r="I817" i="1"/>
  <c r="H817" i="1"/>
  <c r="G817" i="1"/>
  <c r="F817" i="1"/>
  <c r="E817" i="1"/>
  <c r="D817" i="1"/>
  <c r="C817" i="1"/>
  <c r="V816" i="1"/>
  <c r="Q816" i="1"/>
  <c r="P816" i="1"/>
  <c r="O816" i="1"/>
  <c r="N816" i="1"/>
  <c r="J816" i="1"/>
  <c r="I816" i="1"/>
  <c r="H816" i="1"/>
  <c r="G816" i="1"/>
  <c r="F816" i="1"/>
  <c r="E816" i="1"/>
  <c r="D816" i="1"/>
  <c r="C816" i="1"/>
  <c r="V815" i="1"/>
  <c r="Q815" i="1"/>
  <c r="P815" i="1"/>
  <c r="O815" i="1"/>
  <c r="N815" i="1"/>
  <c r="J815" i="1"/>
  <c r="I815" i="1"/>
  <c r="H815" i="1"/>
  <c r="G815" i="1"/>
  <c r="F815" i="1"/>
  <c r="E815" i="1"/>
  <c r="D815" i="1"/>
  <c r="C815" i="1"/>
  <c r="V814" i="1"/>
  <c r="Q814" i="1"/>
  <c r="P814" i="1"/>
  <c r="O814" i="1"/>
  <c r="N814" i="1"/>
  <c r="J814" i="1"/>
  <c r="I814" i="1"/>
  <c r="H814" i="1"/>
  <c r="G814" i="1"/>
  <c r="F814" i="1"/>
  <c r="E814" i="1"/>
  <c r="D814" i="1"/>
  <c r="C814" i="1"/>
  <c r="V813" i="1"/>
  <c r="Q813" i="1"/>
  <c r="P813" i="1"/>
  <c r="O813" i="1"/>
  <c r="N813" i="1"/>
  <c r="J813" i="1"/>
  <c r="I813" i="1"/>
  <c r="H813" i="1"/>
  <c r="G813" i="1"/>
  <c r="F813" i="1"/>
  <c r="E813" i="1"/>
  <c r="D813" i="1"/>
  <c r="C813" i="1"/>
  <c r="V812" i="1"/>
  <c r="Q812" i="1"/>
  <c r="P812" i="1"/>
  <c r="O812" i="1"/>
  <c r="N812" i="1"/>
  <c r="J812" i="1"/>
  <c r="I812" i="1"/>
  <c r="H812" i="1"/>
  <c r="G812" i="1"/>
  <c r="F812" i="1"/>
  <c r="E812" i="1"/>
  <c r="D812" i="1"/>
  <c r="C812" i="1"/>
  <c r="V811" i="1"/>
  <c r="Q811" i="1"/>
  <c r="P811" i="1"/>
  <c r="O811" i="1"/>
  <c r="N811" i="1"/>
  <c r="J811" i="1"/>
  <c r="I811" i="1"/>
  <c r="H811" i="1"/>
  <c r="G811" i="1"/>
  <c r="F811" i="1"/>
  <c r="E811" i="1"/>
  <c r="D811" i="1"/>
  <c r="C811" i="1"/>
  <c r="V810" i="1"/>
  <c r="Q810" i="1"/>
  <c r="P810" i="1"/>
  <c r="O810" i="1"/>
  <c r="N810" i="1"/>
  <c r="J810" i="1"/>
  <c r="I810" i="1"/>
  <c r="H810" i="1"/>
  <c r="G810" i="1"/>
  <c r="F810" i="1"/>
  <c r="E810" i="1"/>
  <c r="D810" i="1"/>
  <c r="C810" i="1"/>
  <c r="V809" i="1"/>
  <c r="Q809" i="1"/>
  <c r="P809" i="1"/>
  <c r="O809" i="1"/>
  <c r="N809" i="1"/>
  <c r="J809" i="1"/>
  <c r="I809" i="1"/>
  <c r="H809" i="1"/>
  <c r="G809" i="1"/>
  <c r="F809" i="1"/>
  <c r="E809" i="1"/>
  <c r="D809" i="1"/>
  <c r="C809" i="1"/>
  <c r="V808" i="1"/>
  <c r="Q808" i="1"/>
  <c r="P808" i="1"/>
  <c r="O808" i="1"/>
  <c r="N808" i="1"/>
  <c r="J808" i="1"/>
  <c r="I808" i="1"/>
  <c r="H808" i="1"/>
  <c r="G808" i="1"/>
  <c r="F808" i="1"/>
  <c r="E808" i="1"/>
  <c r="D808" i="1"/>
  <c r="C808" i="1"/>
  <c r="V807" i="1"/>
  <c r="Q807" i="1"/>
  <c r="P807" i="1"/>
  <c r="O807" i="1"/>
  <c r="N807" i="1"/>
  <c r="J807" i="1"/>
  <c r="I807" i="1"/>
  <c r="H807" i="1"/>
  <c r="G807" i="1"/>
  <c r="F807" i="1"/>
  <c r="E807" i="1"/>
  <c r="D807" i="1"/>
  <c r="C807" i="1"/>
  <c r="V806" i="1"/>
  <c r="Q806" i="1"/>
  <c r="P806" i="1"/>
  <c r="O806" i="1"/>
  <c r="N806" i="1"/>
  <c r="J806" i="1"/>
  <c r="I806" i="1"/>
  <c r="H806" i="1"/>
  <c r="G806" i="1"/>
  <c r="F806" i="1"/>
  <c r="E806" i="1"/>
  <c r="D806" i="1"/>
  <c r="C806" i="1"/>
  <c r="V805" i="1"/>
  <c r="Q805" i="1"/>
  <c r="P805" i="1"/>
  <c r="O805" i="1"/>
  <c r="N805" i="1"/>
  <c r="J805" i="1"/>
  <c r="I805" i="1"/>
  <c r="H805" i="1"/>
  <c r="G805" i="1"/>
  <c r="F805" i="1"/>
  <c r="E805" i="1"/>
  <c r="D805" i="1"/>
  <c r="C805" i="1"/>
  <c r="V804" i="1"/>
  <c r="Q804" i="1"/>
  <c r="P804" i="1"/>
  <c r="O804" i="1"/>
  <c r="N804" i="1"/>
  <c r="J804" i="1"/>
  <c r="I804" i="1"/>
  <c r="H804" i="1"/>
  <c r="G804" i="1"/>
  <c r="F804" i="1"/>
  <c r="E804" i="1"/>
  <c r="D804" i="1"/>
  <c r="C804" i="1"/>
  <c r="V803" i="1"/>
  <c r="Q803" i="1"/>
  <c r="P803" i="1"/>
  <c r="O803" i="1"/>
  <c r="N803" i="1"/>
  <c r="J803" i="1"/>
  <c r="I803" i="1"/>
  <c r="H803" i="1"/>
  <c r="G803" i="1"/>
  <c r="F803" i="1"/>
  <c r="E803" i="1"/>
  <c r="D803" i="1"/>
  <c r="C803" i="1"/>
  <c r="V802" i="1"/>
  <c r="Q802" i="1"/>
  <c r="P802" i="1"/>
  <c r="O802" i="1"/>
  <c r="N802" i="1"/>
  <c r="J802" i="1"/>
  <c r="I802" i="1"/>
  <c r="H802" i="1"/>
  <c r="G802" i="1"/>
  <c r="F802" i="1"/>
  <c r="E802" i="1"/>
  <c r="D802" i="1"/>
  <c r="C802" i="1"/>
  <c r="V801" i="1"/>
  <c r="Q801" i="1"/>
  <c r="P801" i="1"/>
  <c r="O801" i="1"/>
  <c r="N801" i="1"/>
  <c r="J801" i="1"/>
  <c r="I801" i="1"/>
  <c r="H801" i="1"/>
  <c r="G801" i="1"/>
  <c r="F801" i="1"/>
  <c r="E801" i="1"/>
  <c r="D801" i="1"/>
  <c r="C801" i="1"/>
  <c r="V800" i="1"/>
  <c r="Q800" i="1"/>
  <c r="P800" i="1"/>
  <c r="O800" i="1"/>
  <c r="N800" i="1"/>
  <c r="J800" i="1"/>
  <c r="I800" i="1"/>
  <c r="H800" i="1"/>
  <c r="G800" i="1"/>
  <c r="F800" i="1"/>
  <c r="E800" i="1"/>
  <c r="D800" i="1"/>
  <c r="C800" i="1"/>
  <c r="V799" i="1"/>
  <c r="Q799" i="1"/>
  <c r="P799" i="1"/>
  <c r="O799" i="1"/>
  <c r="N799" i="1"/>
  <c r="J799" i="1"/>
  <c r="I799" i="1"/>
  <c r="H799" i="1"/>
  <c r="G799" i="1"/>
  <c r="F799" i="1"/>
  <c r="E799" i="1"/>
  <c r="D799" i="1"/>
  <c r="C799" i="1"/>
  <c r="V798" i="1"/>
  <c r="Q798" i="1"/>
  <c r="P798" i="1"/>
  <c r="O798" i="1"/>
  <c r="N798" i="1"/>
  <c r="J798" i="1"/>
  <c r="I798" i="1"/>
  <c r="H798" i="1"/>
  <c r="G798" i="1"/>
  <c r="F798" i="1"/>
  <c r="E798" i="1"/>
  <c r="D798" i="1"/>
  <c r="C798" i="1"/>
  <c r="V797" i="1"/>
  <c r="Q797" i="1"/>
  <c r="P797" i="1"/>
  <c r="O797" i="1"/>
  <c r="N797" i="1"/>
  <c r="J797" i="1"/>
  <c r="I797" i="1"/>
  <c r="H797" i="1"/>
  <c r="G797" i="1"/>
  <c r="F797" i="1"/>
  <c r="E797" i="1"/>
  <c r="D797" i="1"/>
  <c r="C797" i="1"/>
  <c r="V796" i="1"/>
  <c r="Q796" i="1"/>
  <c r="P796" i="1"/>
  <c r="O796" i="1"/>
  <c r="N796" i="1"/>
  <c r="J796" i="1"/>
  <c r="I796" i="1"/>
  <c r="H796" i="1"/>
  <c r="G796" i="1"/>
  <c r="F796" i="1"/>
  <c r="E796" i="1"/>
  <c r="D796" i="1"/>
  <c r="C796" i="1"/>
  <c r="V795" i="1"/>
  <c r="Q795" i="1"/>
  <c r="P795" i="1"/>
  <c r="O795" i="1"/>
  <c r="N795" i="1"/>
  <c r="J795" i="1"/>
  <c r="I795" i="1"/>
  <c r="H795" i="1"/>
  <c r="G795" i="1"/>
  <c r="F795" i="1"/>
  <c r="E795" i="1"/>
  <c r="D795" i="1"/>
  <c r="C795" i="1"/>
  <c r="V794" i="1"/>
  <c r="Q794" i="1"/>
  <c r="P794" i="1"/>
  <c r="O794" i="1"/>
  <c r="N794" i="1"/>
  <c r="J794" i="1"/>
  <c r="I794" i="1"/>
  <c r="H794" i="1"/>
  <c r="G794" i="1"/>
  <c r="F794" i="1"/>
  <c r="E794" i="1"/>
  <c r="D794" i="1"/>
  <c r="C794" i="1"/>
  <c r="V793" i="1"/>
  <c r="Q793" i="1"/>
  <c r="P793" i="1"/>
  <c r="O793" i="1"/>
  <c r="N793" i="1"/>
  <c r="J793" i="1"/>
  <c r="I793" i="1"/>
  <c r="H793" i="1"/>
  <c r="G793" i="1"/>
  <c r="F793" i="1"/>
  <c r="E793" i="1"/>
  <c r="D793" i="1"/>
  <c r="C793" i="1"/>
  <c r="V792" i="1"/>
  <c r="Q792" i="1"/>
  <c r="P792" i="1"/>
  <c r="O792" i="1"/>
  <c r="N792" i="1"/>
  <c r="J792" i="1"/>
  <c r="I792" i="1"/>
  <c r="H792" i="1"/>
  <c r="G792" i="1"/>
  <c r="F792" i="1"/>
  <c r="E792" i="1"/>
  <c r="D792" i="1"/>
  <c r="C792" i="1"/>
  <c r="V791" i="1"/>
  <c r="Q791" i="1"/>
  <c r="P791" i="1"/>
  <c r="O791" i="1"/>
  <c r="N791" i="1"/>
  <c r="J791" i="1"/>
  <c r="I791" i="1"/>
  <c r="H791" i="1"/>
  <c r="G791" i="1"/>
  <c r="F791" i="1"/>
  <c r="E791" i="1"/>
  <c r="D791" i="1"/>
  <c r="C791" i="1"/>
  <c r="V790" i="1"/>
  <c r="Q790" i="1"/>
  <c r="P790" i="1"/>
  <c r="O790" i="1"/>
  <c r="N790" i="1"/>
  <c r="J790" i="1"/>
  <c r="I790" i="1"/>
  <c r="H790" i="1"/>
  <c r="G790" i="1"/>
  <c r="F790" i="1"/>
  <c r="E790" i="1"/>
  <c r="D790" i="1"/>
  <c r="C790" i="1"/>
  <c r="V789" i="1"/>
  <c r="Q789" i="1"/>
  <c r="P789" i="1"/>
  <c r="O789" i="1"/>
  <c r="N789" i="1"/>
  <c r="J789" i="1"/>
  <c r="I789" i="1"/>
  <c r="H789" i="1"/>
  <c r="G789" i="1"/>
  <c r="F789" i="1"/>
  <c r="E789" i="1"/>
  <c r="D789" i="1"/>
  <c r="C789" i="1"/>
  <c r="V788" i="1"/>
  <c r="Q788" i="1"/>
  <c r="P788" i="1"/>
  <c r="O788" i="1"/>
  <c r="N788" i="1"/>
  <c r="J788" i="1"/>
  <c r="I788" i="1"/>
  <c r="H788" i="1"/>
  <c r="G788" i="1"/>
  <c r="F788" i="1"/>
  <c r="E788" i="1"/>
  <c r="D788" i="1"/>
  <c r="C788" i="1"/>
  <c r="V787" i="1"/>
  <c r="Q787" i="1"/>
  <c r="P787" i="1"/>
  <c r="O787" i="1"/>
  <c r="N787" i="1"/>
  <c r="J787" i="1"/>
  <c r="I787" i="1"/>
  <c r="H787" i="1"/>
  <c r="G787" i="1"/>
  <c r="F787" i="1"/>
  <c r="E787" i="1"/>
  <c r="D787" i="1"/>
  <c r="C787" i="1"/>
  <c r="V786" i="1"/>
  <c r="Q786" i="1"/>
  <c r="P786" i="1"/>
  <c r="O786" i="1"/>
  <c r="N786" i="1"/>
  <c r="J786" i="1"/>
  <c r="I786" i="1"/>
  <c r="H786" i="1"/>
  <c r="G786" i="1"/>
  <c r="F786" i="1"/>
  <c r="E786" i="1"/>
  <c r="D786" i="1"/>
  <c r="C786" i="1"/>
  <c r="V785" i="1"/>
  <c r="Q785" i="1"/>
  <c r="P785" i="1"/>
  <c r="O785" i="1"/>
  <c r="N785" i="1"/>
  <c r="J785" i="1"/>
  <c r="I785" i="1"/>
  <c r="H785" i="1"/>
  <c r="G785" i="1"/>
  <c r="F785" i="1"/>
  <c r="E785" i="1"/>
  <c r="D785" i="1"/>
  <c r="C785" i="1"/>
  <c r="V784" i="1"/>
  <c r="Q784" i="1"/>
  <c r="P784" i="1"/>
  <c r="O784" i="1"/>
  <c r="N784" i="1"/>
  <c r="J784" i="1"/>
  <c r="I784" i="1"/>
  <c r="H784" i="1"/>
  <c r="G784" i="1"/>
  <c r="F784" i="1"/>
  <c r="E784" i="1"/>
  <c r="D784" i="1"/>
  <c r="C784" i="1"/>
  <c r="V783" i="1"/>
  <c r="Q783" i="1"/>
  <c r="P783" i="1"/>
  <c r="O783" i="1"/>
  <c r="N783" i="1"/>
  <c r="J783" i="1"/>
  <c r="I783" i="1"/>
  <c r="H783" i="1"/>
  <c r="G783" i="1"/>
  <c r="F783" i="1"/>
  <c r="E783" i="1"/>
  <c r="D783" i="1"/>
  <c r="C783" i="1"/>
  <c r="V782" i="1"/>
  <c r="Q782" i="1"/>
  <c r="P782" i="1"/>
  <c r="O782" i="1"/>
  <c r="N782" i="1"/>
  <c r="J782" i="1"/>
  <c r="I782" i="1"/>
  <c r="H782" i="1"/>
  <c r="G782" i="1"/>
  <c r="F782" i="1"/>
  <c r="E782" i="1"/>
  <c r="D782" i="1"/>
  <c r="C782" i="1"/>
  <c r="V781" i="1"/>
  <c r="Q781" i="1"/>
  <c r="P781" i="1"/>
  <c r="O781" i="1"/>
  <c r="N781" i="1"/>
  <c r="J781" i="1"/>
  <c r="I781" i="1"/>
  <c r="H781" i="1"/>
  <c r="G781" i="1"/>
  <c r="F781" i="1"/>
  <c r="E781" i="1"/>
  <c r="D781" i="1"/>
  <c r="C781" i="1"/>
  <c r="V780" i="1"/>
  <c r="Q780" i="1"/>
  <c r="P780" i="1"/>
  <c r="O780" i="1"/>
  <c r="N780" i="1"/>
  <c r="J780" i="1"/>
  <c r="I780" i="1"/>
  <c r="H780" i="1"/>
  <c r="G780" i="1"/>
  <c r="F780" i="1"/>
  <c r="E780" i="1"/>
  <c r="D780" i="1"/>
  <c r="C780" i="1"/>
  <c r="V779" i="1"/>
  <c r="Q779" i="1"/>
  <c r="P779" i="1"/>
  <c r="O779" i="1"/>
  <c r="N779" i="1"/>
  <c r="J779" i="1"/>
  <c r="I779" i="1"/>
  <c r="H779" i="1"/>
  <c r="G779" i="1"/>
  <c r="F779" i="1"/>
  <c r="E779" i="1"/>
  <c r="D779" i="1"/>
  <c r="C779" i="1"/>
  <c r="V778" i="1"/>
  <c r="Q778" i="1"/>
  <c r="P778" i="1"/>
  <c r="O778" i="1"/>
  <c r="N778" i="1"/>
  <c r="J778" i="1"/>
  <c r="I778" i="1"/>
  <c r="H778" i="1"/>
  <c r="G778" i="1"/>
  <c r="F778" i="1"/>
  <c r="E778" i="1"/>
  <c r="D778" i="1"/>
  <c r="C778" i="1"/>
  <c r="V777" i="1"/>
  <c r="Q777" i="1"/>
  <c r="P777" i="1"/>
  <c r="O777" i="1"/>
  <c r="N777" i="1"/>
  <c r="J777" i="1"/>
  <c r="I777" i="1"/>
  <c r="H777" i="1"/>
  <c r="G777" i="1"/>
  <c r="F777" i="1"/>
  <c r="E777" i="1"/>
  <c r="D777" i="1"/>
  <c r="C777" i="1"/>
  <c r="V776" i="1"/>
  <c r="Q776" i="1"/>
  <c r="P776" i="1"/>
  <c r="O776" i="1"/>
  <c r="N776" i="1"/>
  <c r="J776" i="1"/>
  <c r="I776" i="1"/>
  <c r="H776" i="1"/>
  <c r="G776" i="1"/>
  <c r="F776" i="1"/>
  <c r="E776" i="1"/>
  <c r="D776" i="1"/>
  <c r="C776" i="1"/>
  <c r="V775" i="1"/>
  <c r="Q775" i="1"/>
  <c r="P775" i="1"/>
  <c r="O775" i="1"/>
  <c r="N775" i="1"/>
  <c r="J775" i="1"/>
  <c r="I775" i="1"/>
  <c r="H775" i="1"/>
  <c r="G775" i="1"/>
  <c r="F775" i="1"/>
  <c r="E775" i="1"/>
  <c r="D775" i="1"/>
  <c r="C775" i="1"/>
  <c r="V774" i="1"/>
  <c r="Q774" i="1"/>
  <c r="P774" i="1"/>
  <c r="O774" i="1"/>
  <c r="N774" i="1"/>
  <c r="J774" i="1"/>
  <c r="I774" i="1"/>
  <c r="H774" i="1"/>
  <c r="G774" i="1"/>
  <c r="F774" i="1"/>
  <c r="E774" i="1"/>
  <c r="D774" i="1"/>
  <c r="C774" i="1"/>
  <c r="V773" i="1"/>
  <c r="Q773" i="1"/>
  <c r="P773" i="1"/>
  <c r="O773" i="1"/>
  <c r="N773" i="1"/>
  <c r="J773" i="1"/>
  <c r="I773" i="1"/>
  <c r="H773" i="1"/>
  <c r="G773" i="1"/>
  <c r="F773" i="1"/>
  <c r="E773" i="1"/>
  <c r="D773" i="1"/>
  <c r="C773" i="1"/>
  <c r="V772" i="1"/>
  <c r="Q772" i="1"/>
  <c r="P772" i="1"/>
  <c r="O772" i="1"/>
  <c r="N772" i="1"/>
  <c r="J772" i="1"/>
  <c r="I772" i="1"/>
  <c r="H772" i="1"/>
  <c r="G772" i="1"/>
  <c r="F772" i="1"/>
  <c r="E772" i="1"/>
  <c r="D772" i="1"/>
  <c r="C772" i="1"/>
  <c r="V771" i="1"/>
  <c r="Q771" i="1"/>
  <c r="P771" i="1"/>
  <c r="O771" i="1"/>
  <c r="N771" i="1"/>
  <c r="J771" i="1"/>
  <c r="I771" i="1"/>
  <c r="H771" i="1"/>
  <c r="G771" i="1"/>
  <c r="F771" i="1"/>
  <c r="E771" i="1"/>
  <c r="D771" i="1"/>
  <c r="C771" i="1"/>
  <c r="V770" i="1"/>
  <c r="Q770" i="1"/>
  <c r="P770" i="1"/>
  <c r="O770" i="1"/>
  <c r="N770" i="1"/>
  <c r="J770" i="1"/>
  <c r="I770" i="1"/>
  <c r="H770" i="1"/>
  <c r="G770" i="1"/>
  <c r="F770" i="1"/>
  <c r="E770" i="1"/>
  <c r="D770" i="1"/>
  <c r="C770" i="1"/>
  <c r="V769" i="1"/>
  <c r="Q769" i="1"/>
  <c r="P769" i="1"/>
  <c r="O769" i="1"/>
  <c r="N769" i="1"/>
  <c r="J769" i="1"/>
  <c r="I769" i="1"/>
  <c r="H769" i="1"/>
  <c r="G769" i="1"/>
  <c r="F769" i="1"/>
  <c r="E769" i="1"/>
  <c r="D769" i="1"/>
  <c r="C769" i="1"/>
  <c r="V768" i="1"/>
  <c r="Q768" i="1"/>
  <c r="P768" i="1"/>
  <c r="O768" i="1"/>
  <c r="N768" i="1"/>
  <c r="J768" i="1"/>
  <c r="I768" i="1"/>
  <c r="H768" i="1"/>
  <c r="G768" i="1"/>
  <c r="F768" i="1"/>
  <c r="E768" i="1"/>
  <c r="D768" i="1"/>
  <c r="C768" i="1"/>
  <c r="V767" i="1"/>
  <c r="Q767" i="1"/>
  <c r="P767" i="1"/>
  <c r="O767" i="1"/>
  <c r="N767" i="1"/>
  <c r="J767" i="1"/>
  <c r="I767" i="1"/>
  <c r="H767" i="1"/>
  <c r="G767" i="1"/>
  <c r="F767" i="1"/>
  <c r="E767" i="1"/>
  <c r="D767" i="1"/>
  <c r="C767" i="1"/>
  <c r="V766" i="1"/>
  <c r="Q766" i="1"/>
  <c r="P766" i="1"/>
  <c r="O766" i="1"/>
  <c r="N766" i="1"/>
  <c r="J766" i="1"/>
  <c r="I766" i="1"/>
  <c r="H766" i="1"/>
  <c r="G766" i="1"/>
  <c r="F766" i="1"/>
  <c r="E766" i="1"/>
  <c r="D766" i="1"/>
  <c r="C766" i="1"/>
  <c r="V765" i="1"/>
  <c r="Q765" i="1"/>
  <c r="P765" i="1"/>
  <c r="O765" i="1"/>
  <c r="N765" i="1"/>
  <c r="J765" i="1"/>
  <c r="I765" i="1"/>
  <c r="H765" i="1"/>
  <c r="G765" i="1"/>
  <c r="F765" i="1"/>
  <c r="E765" i="1"/>
  <c r="D765" i="1"/>
  <c r="C765" i="1"/>
  <c r="V764" i="1"/>
  <c r="Q764" i="1"/>
  <c r="P764" i="1"/>
  <c r="O764" i="1"/>
  <c r="N764" i="1"/>
  <c r="J764" i="1"/>
  <c r="I764" i="1"/>
  <c r="H764" i="1"/>
  <c r="G764" i="1"/>
  <c r="F764" i="1"/>
  <c r="E764" i="1"/>
  <c r="D764" i="1"/>
  <c r="C764" i="1"/>
  <c r="V763" i="1"/>
  <c r="Q763" i="1"/>
  <c r="P763" i="1"/>
  <c r="O763" i="1"/>
  <c r="N763" i="1"/>
  <c r="J763" i="1"/>
  <c r="I763" i="1"/>
  <c r="H763" i="1"/>
  <c r="G763" i="1"/>
  <c r="F763" i="1"/>
  <c r="E763" i="1"/>
  <c r="D763" i="1"/>
  <c r="C763" i="1"/>
  <c r="V762" i="1"/>
  <c r="Q762" i="1"/>
  <c r="P762" i="1"/>
  <c r="O762" i="1"/>
  <c r="N762" i="1"/>
  <c r="J762" i="1"/>
  <c r="I762" i="1"/>
  <c r="H762" i="1"/>
  <c r="G762" i="1"/>
  <c r="F762" i="1"/>
  <c r="E762" i="1"/>
  <c r="D762" i="1"/>
  <c r="C762" i="1"/>
  <c r="V761" i="1"/>
  <c r="Q761" i="1"/>
  <c r="P761" i="1"/>
  <c r="O761" i="1"/>
  <c r="N761" i="1"/>
  <c r="J761" i="1"/>
  <c r="I761" i="1"/>
  <c r="H761" i="1"/>
  <c r="G761" i="1"/>
  <c r="F761" i="1"/>
  <c r="E761" i="1"/>
  <c r="D761" i="1"/>
  <c r="C761" i="1"/>
  <c r="V760" i="1"/>
  <c r="Q760" i="1"/>
  <c r="P760" i="1"/>
  <c r="O760" i="1"/>
  <c r="N760" i="1"/>
  <c r="J760" i="1"/>
  <c r="I760" i="1"/>
  <c r="H760" i="1"/>
  <c r="G760" i="1"/>
  <c r="F760" i="1"/>
  <c r="E760" i="1"/>
  <c r="D760" i="1"/>
  <c r="C760" i="1"/>
  <c r="V759" i="1"/>
  <c r="Q759" i="1"/>
  <c r="P759" i="1"/>
  <c r="O759" i="1"/>
  <c r="N759" i="1"/>
  <c r="J759" i="1"/>
  <c r="I759" i="1"/>
  <c r="H759" i="1"/>
  <c r="G759" i="1"/>
  <c r="F759" i="1"/>
  <c r="E759" i="1"/>
  <c r="D759" i="1"/>
  <c r="C759" i="1"/>
  <c r="V758" i="1"/>
  <c r="Q758" i="1"/>
  <c r="P758" i="1"/>
  <c r="O758" i="1"/>
  <c r="N758" i="1"/>
  <c r="J758" i="1"/>
  <c r="I758" i="1"/>
  <c r="H758" i="1"/>
  <c r="G758" i="1"/>
  <c r="F758" i="1"/>
  <c r="E758" i="1"/>
  <c r="D758" i="1"/>
  <c r="C758" i="1"/>
  <c r="V757" i="1"/>
  <c r="Q757" i="1"/>
  <c r="P757" i="1"/>
  <c r="O757" i="1"/>
  <c r="N757" i="1"/>
  <c r="J757" i="1"/>
  <c r="I757" i="1"/>
  <c r="H757" i="1"/>
  <c r="G757" i="1"/>
  <c r="F757" i="1"/>
  <c r="E757" i="1"/>
  <c r="D757" i="1"/>
  <c r="C757" i="1"/>
  <c r="V756" i="1"/>
  <c r="Q756" i="1"/>
  <c r="P756" i="1"/>
  <c r="O756" i="1"/>
  <c r="N756" i="1"/>
  <c r="J756" i="1"/>
  <c r="I756" i="1"/>
  <c r="H756" i="1"/>
  <c r="G756" i="1"/>
  <c r="F756" i="1"/>
  <c r="E756" i="1"/>
  <c r="D756" i="1"/>
  <c r="C756" i="1"/>
  <c r="V755" i="1"/>
  <c r="Q755" i="1"/>
  <c r="P755" i="1"/>
  <c r="O755" i="1"/>
  <c r="N755" i="1"/>
  <c r="J755" i="1"/>
  <c r="I755" i="1"/>
  <c r="H755" i="1"/>
  <c r="G755" i="1"/>
  <c r="F755" i="1"/>
  <c r="E755" i="1"/>
  <c r="D755" i="1"/>
  <c r="C755" i="1"/>
  <c r="V754" i="1"/>
  <c r="Q754" i="1"/>
  <c r="P754" i="1"/>
  <c r="O754" i="1"/>
  <c r="N754" i="1"/>
  <c r="J754" i="1"/>
  <c r="I754" i="1"/>
  <c r="H754" i="1"/>
  <c r="G754" i="1"/>
  <c r="F754" i="1"/>
  <c r="E754" i="1"/>
  <c r="D754" i="1"/>
  <c r="C754" i="1"/>
  <c r="V753" i="1"/>
  <c r="Q753" i="1"/>
  <c r="P753" i="1"/>
  <c r="O753" i="1"/>
  <c r="N753" i="1"/>
  <c r="J753" i="1"/>
  <c r="I753" i="1"/>
  <c r="H753" i="1"/>
  <c r="G753" i="1"/>
  <c r="F753" i="1"/>
  <c r="E753" i="1"/>
  <c r="D753" i="1"/>
  <c r="C753" i="1"/>
  <c r="V752" i="1"/>
  <c r="Q752" i="1"/>
  <c r="P752" i="1"/>
  <c r="O752" i="1"/>
  <c r="N752" i="1"/>
  <c r="J752" i="1"/>
  <c r="I752" i="1"/>
  <c r="H752" i="1"/>
  <c r="G752" i="1"/>
  <c r="F752" i="1"/>
  <c r="E752" i="1"/>
  <c r="D752" i="1"/>
  <c r="C752" i="1"/>
  <c r="V751" i="1"/>
  <c r="Q751" i="1"/>
  <c r="P751" i="1"/>
  <c r="O751" i="1"/>
  <c r="N751" i="1"/>
  <c r="J751" i="1"/>
  <c r="I751" i="1"/>
  <c r="H751" i="1"/>
  <c r="G751" i="1"/>
  <c r="F751" i="1"/>
  <c r="E751" i="1"/>
  <c r="D751" i="1"/>
  <c r="C751" i="1"/>
  <c r="V750" i="1"/>
  <c r="Q750" i="1"/>
  <c r="P750" i="1"/>
  <c r="O750" i="1"/>
  <c r="N750" i="1"/>
  <c r="J750" i="1"/>
  <c r="I750" i="1"/>
  <c r="H750" i="1"/>
  <c r="G750" i="1"/>
  <c r="F750" i="1"/>
  <c r="E750" i="1"/>
  <c r="D750" i="1"/>
  <c r="C750" i="1"/>
  <c r="V749" i="1"/>
  <c r="Q749" i="1"/>
  <c r="P749" i="1"/>
  <c r="O749" i="1"/>
  <c r="N749" i="1"/>
  <c r="J749" i="1"/>
  <c r="I749" i="1"/>
  <c r="H749" i="1"/>
  <c r="G749" i="1"/>
  <c r="F749" i="1"/>
  <c r="E749" i="1"/>
  <c r="D749" i="1"/>
  <c r="C749" i="1"/>
  <c r="V748" i="1"/>
  <c r="Q748" i="1"/>
  <c r="P748" i="1"/>
  <c r="O748" i="1"/>
  <c r="N748" i="1"/>
  <c r="J748" i="1"/>
  <c r="I748" i="1"/>
  <c r="H748" i="1"/>
  <c r="G748" i="1"/>
  <c r="F748" i="1"/>
  <c r="E748" i="1"/>
  <c r="D748" i="1"/>
  <c r="C748" i="1"/>
  <c r="V747" i="1"/>
  <c r="Q747" i="1"/>
  <c r="P747" i="1"/>
  <c r="O747" i="1"/>
  <c r="N747" i="1"/>
  <c r="J747" i="1"/>
  <c r="I747" i="1"/>
  <c r="H747" i="1"/>
  <c r="G747" i="1"/>
  <c r="F747" i="1"/>
  <c r="E747" i="1"/>
  <c r="D747" i="1"/>
  <c r="C747" i="1"/>
  <c r="V746" i="1"/>
  <c r="Q746" i="1"/>
  <c r="P746" i="1"/>
  <c r="O746" i="1"/>
  <c r="N746" i="1"/>
  <c r="J746" i="1"/>
  <c r="I746" i="1"/>
  <c r="H746" i="1"/>
  <c r="G746" i="1"/>
  <c r="F746" i="1"/>
  <c r="E746" i="1"/>
  <c r="D746" i="1"/>
  <c r="C746" i="1"/>
  <c r="V745" i="1"/>
  <c r="Q745" i="1"/>
  <c r="P745" i="1"/>
  <c r="O745" i="1"/>
  <c r="N745" i="1"/>
  <c r="J745" i="1"/>
  <c r="I745" i="1"/>
  <c r="H745" i="1"/>
  <c r="G745" i="1"/>
  <c r="F745" i="1"/>
  <c r="E745" i="1"/>
  <c r="D745" i="1"/>
  <c r="C745" i="1"/>
  <c r="V744" i="1"/>
  <c r="Q744" i="1"/>
  <c r="P744" i="1"/>
  <c r="O744" i="1"/>
  <c r="N744" i="1"/>
  <c r="J744" i="1"/>
  <c r="I744" i="1"/>
  <c r="H744" i="1"/>
  <c r="G744" i="1"/>
  <c r="F744" i="1"/>
  <c r="E744" i="1"/>
  <c r="D744" i="1"/>
  <c r="C744" i="1"/>
  <c r="V743" i="1"/>
  <c r="Q743" i="1"/>
  <c r="P743" i="1"/>
  <c r="O743" i="1"/>
  <c r="N743" i="1"/>
  <c r="J743" i="1"/>
  <c r="I743" i="1"/>
  <c r="H743" i="1"/>
  <c r="G743" i="1"/>
  <c r="F743" i="1"/>
  <c r="E743" i="1"/>
  <c r="D743" i="1"/>
  <c r="C743" i="1"/>
  <c r="V742" i="1"/>
  <c r="Q742" i="1"/>
  <c r="P742" i="1"/>
  <c r="O742" i="1"/>
  <c r="N742" i="1"/>
  <c r="J742" i="1"/>
  <c r="I742" i="1"/>
  <c r="H742" i="1"/>
  <c r="G742" i="1"/>
  <c r="F742" i="1"/>
  <c r="E742" i="1"/>
  <c r="D742" i="1"/>
  <c r="C742" i="1"/>
  <c r="V741" i="1"/>
  <c r="Q741" i="1"/>
  <c r="P741" i="1"/>
  <c r="O741" i="1"/>
  <c r="N741" i="1"/>
  <c r="J741" i="1"/>
  <c r="I741" i="1"/>
  <c r="H741" i="1"/>
  <c r="G741" i="1"/>
  <c r="F741" i="1"/>
  <c r="E741" i="1"/>
  <c r="D741" i="1"/>
  <c r="C741" i="1"/>
  <c r="V740" i="1"/>
  <c r="Q740" i="1"/>
  <c r="P740" i="1"/>
  <c r="O740" i="1"/>
  <c r="N740" i="1"/>
  <c r="J740" i="1"/>
  <c r="I740" i="1"/>
  <c r="H740" i="1"/>
  <c r="G740" i="1"/>
  <c r="F740" i="1"/>
  <c r="E740" i="1"/>
  <c r="D740" i="1"/>
  <c r="C740" i="1"/>
  <c r="V739" i="1"/>
  <c r="Q739" i="1"/>
  <c r="P739" i="1"/>
  <c r="O739" i="1"/>
  <c r="N739" i="1"/>
  <c r="J739" i="1"/>
  <c r="I739" i="1"/>
  <c r="H739" i="1"/>
  <c r="G739" i="1"/>
  <c r="F739" i="1"/>
  <c r="E739" i="1"/>
  <c r="D739" i="1"/>
  <c r="C739" i="1"/>
  <c r="V738" i="1"/>
  <c r="Q738" i="1"/>
  <c r="P738" i="1"/>
  <c r="O738" i="1"/>
  <c r="N738" i="1"/>
  <c r="J738" i="1"/>
  <c r="I738" i="1"/>
  <c r="H738" i="1"/>
  <c r="G738" i="1"/>
  <c r="F738" i="1"/>
  <c r="E738" i="1"/>
  <c r="D738" i="1"/>
  <c r="C738" i="1"/>
  <c r="V737" i="1"/>
  <c r="Q737" i="1"/>
  <c r="P737" i="1"/>
  <c r="O737" i="1"/>
  <c r="N737" i="1"/>
  <c r="J737" i="1"/>
  <c r="I737" i="1"/>
  <c r="H737" i="1"/>
  <c r="G737" i="1"/>
  <c r="F737" i="1"/>
  <c r="E737" i="1"/>
  <c r="D737" i="1"/>
  <c r="C737" i="1"/>
  <c r="V736" i="1"/>
  <c r="Q736" i="1"/>
  <c r="P736" i="1"/>
  <c r="O736" i="1"/>
  <c r="N736" i="1"/>
  <c r="J736" i="1"/>
  <c r="I736" i="1"/>
  <c r="H736" i="1"/>
  <c r="G736" i="1"/>
  <c r="F736" i="1"/>
  <c r="E736" i="1"/>
  <c r="D736" i="1"/>
  <c r="C736" i="1"/>
  <c r="V735" i="1"/>
  <c r="Q735" i="1"/>
  <c r="P735" i="1"/>
  <c r="O735" i="1"/>
  <c r="N735" i="1"/>
  <c r="J735" i="1"/>
  <c r="I735" i="1"/>
  <c r="H735" i="1"/>
  <c r="G735" i="1"/>
  <c r="F735" i="1"/>
  <c r="E735" i="1"/>
  <c r="D735" i="1"/>
  <c r="C735" i="1"/>
  <c r="V734" i="1"/>
  <c r="Q734" i="1"/>
  <c r="P734" i="1"/>
  <c r="O734" i="1"/>
  <c r="N734" i="1"/>
  <c r="J734" i="1"/>
  <c r="I734" i="1"/>
  <c r="H734" i="1"/>
  <c r="G734" i="1"/>
  <c r="F734" i="1"/>
  <c r="E734" i="1"/>
  <c r="D734" i="1"/>
  <c r="C734" i="1"/>
  <c r="V733" i="1"/>
  <c r="Q733" i="1"/>
  <c r="P733" i="1"/>
  <c r="O733" i="1"/>
  <c r="N733" i="1"/>
  <c r="J733" i="1"/>
  <c r="I733" i="1"/>
  <c r="H733" i="1"/>
  <c r="G733" i="1"/>
  <c r="F733" i="1"/>
  <c r="E733" i="1"/>
  <c r="D733" i="1"/>
  <c r="C733" i="1"/>
  <c r="V732" i="1"/>
  <c r="Q732" i="1"/>
  <c r="P732" i="1"/>
  <c r="O732" i="1"/>
  <c r="N732" i="1"/>
  <c r="J732" i="1"/>
  <c r="I732" i="1"/>
  <c r="H732" i="1"/>
  <c r="G732" i="1"/>
  <c r="F732" i="1"/>
  <c r="E732" i="1"/>
  <c r="D732" i="1"/>
  <c r="C732" i="1"/>
  <c r="V731" i="1"/>
  <c r="Q731" i="1"/>
  <c r="P731" i="1"/>
  <c r="O731" i="1"/>
  <c r="N731" i="1"/>
  <c r="J731" i="1"/>
  <c r="I731" i="1"/>
  <c r="H731" i="1"/>
  <c r="G731" i="1"/>
  <c r="F731" i="1"/>
  <c r="E731" i="1"/>
  <c r="D731" i="1"/>
  <c r="C731" i="1"/>
  <c r="V730" i="1"/>
  <c r="Q730" i="1"/>
  <c r="P730" i="1"/>
  <c r="O730" i="1"/>
  <c r="N730" i="1"/>
  <c r="J730" i="1"/>
  <c r="I730" i="1"/>
  <c r="H730" i="1"/>
  <c r="G730" i="1"/>
  <c r="F730" i="1"/>
  <c r="E730" i="1"/>
  <c r="D730" i="1"/>
  <c r="C730" i="1"/>
  <c r="V729" i="1"/>
  <c r="Q729" i="1"/>
  <c r="P729" i="1"/>
  <c r="O729" i="1"/>
  <c r="N729" i="1"/>
  <c r="J729" i="1"/>
  <c r="I729" i="1"/>
  <c r="H729" i="1"/>
  <c r="G729" i="1"/>
  <c r="F729" i="1"/>
  <c r="E729" i="1"/>
  <c r="D729" i="1"/>
  <c r="C729" i="1"/>
  <c r="V728" i="1"/>
  <c r="Q728" i="1"/>
  <c r="P728" i="1"/>
  <c r="O728" i="1"/>
  <c r="N728" i="1"/>
  <c r="J728" i="1"/>
  <c r="I728" i="1"/>
  <c r="H728" i="1"/>
  <c r="G728" i="1"/>
  <c r="F728" i="1"/>
  <c r="E728" i="1"/>
  <c r="D728" i="1"/>
  <c r="C728" i="1"/>
  <c r="V727" i="1"/>
  <c r="Q727" i="1"/>
  <c r="P727" i="1"/>
  <c r="O727" i="1"/>
  <c r="N727" i="1"/>
  <c r="J727" i="1"/>
  <c r="I727" i="1"/>
  <c r="H727" i="1"/>
  <c r="G727" i="1"/>
  <c r="F727" i="1"/>
  <c r="E727" i="1"/>
  <c r="D727" i="1"/>
  <c r="C727" i="1"/>
  <c r="V726" i="1"/>
  <c r="Q726" i="1"/>
  <c r="P726" i="1"/>
  <c r="O726" i="1"/>
  <c r="N726" i="1"/>
  <c r="J726" i="1"/>
  <c r="I726" i="1"/>
  <c r="H726" i="1"/>
  <c r="G726" i="1"/>
  <c r="F726" i="1"/>
  <c r="E726" i="1"/>
  <c r="D726" i="1"/>
  <c r="C726" i="1"/>
  <c r="V725" i="1"/>
  <c r="Q725" i="1"/>
  <c r="P725" i="1"/>
  <c r="O725" i="1"/>
  <c r="N725" i="1"/>
  <c r="J725" i="1"/>
  <c r="I725" i="1"/>
  <c r="H725" i="1"/>
  <c r="G725" i="1"/>
  <c r="F725" i="1"/>
  <c r="E725" i="1"/>
  <c r="D725" i="1"/>
  <c r="C725" i="1"/>
  <c r="V724" i="1"/>
  <c r="Q724" i="1"/>
  <c r="P724" i="1"/>
  <c r="O724" i="1"/>
  <c r="N724" i="1"/>
  <c r="J724" i="1"/>
  <c r="I724" i="1"/>
  <c r="H724" i="1"/>
  <c r="G724" i="1"/>
  <c r="F724" i="1"/>
  <c r="E724" i="1"/>
  <c r="D724" i="1"/>
  <c r="C724" i="1"/>
  <c r="V723" i="1"/>
  <c r="Q723" i="1"/>
  <c r="P723" i="1"/>
  <c r="O723" i="1"/>
  <c r="N723" i="1"/>
  <c r="J723" i="1"/>
  <c r="I723" i="1"/>
  <c r="H723" i="1"/>
  <c r="G723" i="1"/>
  <c r="F723" i="1"/>
  <c r="E723" i="1"/>
  <c r="D723" i="1"/>
  <c r="C723" i="1"/>
  <c r="V722" i="1"/>
  <c r="Q722" i="1"/>
  <c r="P722" i="1"/>
  <c r="O722" i="1"/>
  <c r="N722" i="1"/>
  <c r="J722" i="1"/>
  <c r="I722" i="1"/>
  <c r="H722" i="1"/>
  <c r="G722" i="1"/>
  <c r="F722" i="1"/>
  <c r="E722" i="1"/>
  <c r="D722" i="1"/>
  <c r="C722" i="1"/>
  <c r="V721" i="1"/>
  <c r="Q721" i="1"/>
  <c r="P721" i="1"/>
  <c r="O721" i="1"/>
  <c r="N721" i="1"/>
  <c r="J721" i="1"/>
  <c r="I721" i="1"/>
  <c r="H721" i="1"/>
  <c r="G721" i="1"/>
  <c r="F721" i="1"/>
  <c r="E721" i="1"/>
  <c r="D721" i="1"/>
  <c r="C721" i="1"/>
  <c r="V720" i="1"/>
  <c r="Q720" i="1"/>
  <c r="P720" i="1"/>
  <c r="O720" i="1"/>
  <c r="N720" i="1"/>
  <c r="J720" i="1"/>
  <c r="I720" i="1"/>
  <c r="H720" i="1"/>
  <c r="G720" i="1"/>
  <c r="F720" i="1"/>
  <c r="E720" i="1"/>
  <c r="D720" i="1"/>
  <c r="C720" i="1"/>
  <c r="V719" i="1"/>
  <c r="Q719" i="1"/>
  <c r="P719" i="1"/>
  <c r="O719" i="1"/>
  <c r="N719" i="1"/>
  <c r="J719" i="1"/>
  <c r="I719" i="1"/>
  <c r="H719" i="1"/>
  <c r="G719" i="1"/>
  <c r="F719" i="1"/>
  <c r="E719" i="1"/>
  <c r="D719" i="1"/>
  <c r="C719" i="1"/>
  <c r="V718" i="1"/>
  <c r="Q718" i="1"/>
  <c r="P718" i="1"/>
  <c r="O718" i="1"/>
  <c r="N718" i="1"/>
  <c r="J718" i="1"/>
  <c r="I718" i="1"/>
  <c r="H718" i="1"/>
  <c r="G718" i="1"/>
  <c r="F718" i="1"/>
  <c r="E718" i="1"/>
  <c r="D718" i="1"/>
  <c r="C718" i="1"/>
  <c r="V717" i="1"/>
  <c r="Q717" i="1"/>
  <c r="P717" i="1"/>
  <c r="O717" i="1"/>
  <c r="N717" i="1"/>
  <c r="J717" i="1"/>
  <c r="I717" i="1"/>
  <c r="H717" i="1"/>
  <c r="G717" i="1"/>
  <c r="F717" i="1"/>
  <c r="E717" i="1"/>
  <c r="D717" i="1"/>
  <c r="C717" i="1"/>
  <c r="V716" i="1"/>
  <c r="Q716" i="1"/>
  <c r="P716" i="1"/>
  <c r="O716" i="1"/>
  <c r="N716" i="1"/>
  <c r="J716" i="1"/>
  <c r="I716" i="1"/>
  <c r="H716" i="1"/>
  <c r="G716" i="1"/>
  <c r="F716" i="1"/>
  <c r="E716" i="1"/>
  <c r="D716" i="1"/>
  <c r="C716" i="1"/>
  <c r="V715" i="1"/>
  <c r="Q715" i="1"/>
  <c r="P715" i="1"/>
  <c r="O715" i="1"/>
  <c r="N715" i="1"/>
  <c r="J715" i="1"/>
  <c r="I715" i="1"/>
  <c r="H715" i="1"/>
  <c r="G715" i="1"/>
  <c r="F715" i="1"/>
  <c r="E715" i="1"/>
  <c r="D715" i="1"/>
  <c r="C715" i="1"/>
  <c r="V714" i="1"/>
  <c r="Q714" i="1"/>
  <c r="P714" i="1"/>
  <c r="O714" i="1"/>
  <c r="N714" i="1"/>
  <c r="J714" i="1"/>
  <c r="I714" i="1"/>
  <c r="H714" i="1"/>
  <c r="G714" i="1"/>
  <c r="F714" i="1"/>
  <c r="E714" i="1"/>
  <c r="D714" i="1"/>
  <c r="C714" i="1"/>
  <c r="V713" i="1"/>
  <c r="Q713" i="1"/>
  <c r="P713" i="1"/>
  <c r="O713" i="1"/>
  <c r="N713" i="1"/>
  <c r="J713" i="1"/>
  <c r="I713" i="1"/>
  <c r="H713" i="1"/>
  <c r="G713" i="1"/>
  <c r="F713" i="1"/>
  <c r="E713" i="1"/>
  <c r="D713" i="1"/>
  <c r="C713" i="1"/>
  <c r="V712" i="1"/>
  <c r="Q712" i="1"/>
  <c r="P712" i="1"/>
  <c r="O712" i="1"/>
  <c r="N712" i="1"/>
  <c r="J712" i="1"/>
  <c r="I712" i="1"/>
  <c r="H712" i="1"/>
  <c r="G712" i="1"/>
  <c r="F712" i="1"/>
  <c r="E712" i="1"/>
  <c r="D712" i="1"/>
  <c r="C712" i="1"/>
  <c r="V711" i="1"/>
  <c r="Q711" i="1"/>
  <c r="P711" i="1"/>
  <c r="O711" i="1"/>
  <c r="N711" i="1"/>
  <c r="J711" i="1"/>
  <c r="I711" i="1"/>
  <c r="H711" i="1"/>
  <c r="G711" i="1"/>
  <c r="F711" i="1"/>
  <c r="E711" i="1"/>
  <c r="D711" i="1"/>
  <c r="C711" i="1"/>
  <c r="V710" i="1"/>
  <c r="Q710" i="1"/>
  <c r="P710" i="1"/>
  <c r="O710" i="1"/>
  <c r="N710" i="1"/>
  <c r="J710" i="1"/>
  <c r="I710" i="1"/>
  <c r="H710" i="1"/>
  <c r="G710" i="1"/>
  <c r="F710" i="1"/>
  <c r="E710" i="1"/>
  <c r="D710" i="1"/>
  <c r="C710" i="1"/>
  <c r="V709" i="1"/>
  <c r="Q709" i="1"/>
  <c r="P709" i="1"/>
  <c r="O709" i="1"/>
  <c r="N709" i="1"/>
  <c r="J709" i="1"/>
  <c r="I709" i="1"/>
  <c r="H709" i="1"/>
  <c r="G709" i="1"/>
  <c r="F709" i="1"/>
  <c r="E709" i="1"/>
  <c r="D709" i="1"/>
  <c r="C709" i="1"/>
  <c r="V708" i="1"/>
  <c r="Q708" i="1"/>
  <c r="P708" i="1"/>
  <c r="O708" i="1"/>
  <c r="N708" i="1"/>
  <c r="J708" i="1"/>
  <c r="I708" i="1"/>
  <c r="H708" i="1"/>
  <c r="G708" i="1"/>
  <c r="F708" i="1"/>
  <c r="E708" i="1"/>
  <c r="D708" i="1"/>
  <c r="C708" i="1"/>
  <c r="V707" i="1"/>
  <c r="Q707" i="1"/>
  <c r="P707" i="1"/>
  <c r="O707" i="1"/>
  <c r="N707" i="1"/>
  <c r="J707" i="1"/>
  <c r="I707" i="1"/>
  <c r="H707" i="1"/>
  <c r="G707" i="1"/>
  <c r="F707" i="1"/>
  <c r="E707" i="1"/>
  <c r="D707" i="1"/>
  <c r="C707" i="1"/>
  <c r="V706" i="1"/>
  <c r="Q706" i="1"/>
  <c r="P706" i="1"/>
  <c r="O706" i="1"/>
  <c r="N706" i="1"/>
  <c r="J706" i="1"/>
  <c r="I706" i="1"/>
  <c r="H706" i="1"/>
  <c r="G706" i="1"/>
  <c r="F706" i="1"/>
  <c r="E706" i="1"/>
  <c r="D706" i="1"/>
  <c r="C706" i="1"/>
  <c r="V705" i="1"/>
  <c r="Q705" i="1"/>
  <c r="P705" i="1"/>
  <c r="O705" i="1"/>
  <c r="N705" i="1"/>
  <c r="J705" i="1"/>
  <c r="I705" i="1"/>
  <c r="H705" i="1"/>
  <c r="G705" i="1"/>
  <c r="F705" i="1"/>
  <c r="E705" i="1"/>
  <c r="D705" i="1"/>
  <c r="C705" i="1"/>
  <c r="V704" i="1"/>
  <c r="Q704" i="1"/>
  <c r="P704" i="1"/>
  <c r="O704" i="1"/>
  <c r="N704" i="1"/>
  <c r="J704" i="1"/>
  <c r="I704" i="1"/>
  <c r="H704" i="1"/>
  <c r="G704" i="1"/>
  <c r="F704" i="1"/>
  <c r="E704" i="1"/>
  <c r="D704" i="1"/>
  <c r="C704" i="1"/>
  <c r="V703" i="1"/>
  <c r="Q703" i="1"/>
  <c r="P703" i="1"/>
  <c r="O703" i="1"/>
  <c r="N703" i="1"/>
  <c r="J703" i="1"/>
  <c r="I703" i="1"/>
  <c r="H703" i="1"/>
  <c r="G703" i="1"/>
  <c r="F703" i="1"/>
  <c r="E703" i="1"/>
  <c r="D703" i="1"/>
  <c r="C703" i="1"/>
  <c r="V702" i="1"/>
  <c r="Q702" i="1"/>
  <c r="P702" i="1"/>
  <c r="O702" i="1"/>
  <c r="N702" i="1"/>
  <c r="J702" i="1"/>
  <c r="I702" i="1"/>
  <c r="H702" i="1"/>
  <c r="G702" i="1"/>
  <c r="F702" i="1"/>
  <c r="E702" i="1"/>
  <c r="D702" i="1"/>
  <c r="C702" i="1"/>
  <c r="V701" i="1"/>
  <c r="Q701" i="1"/>
  <c r="P701" i="1"/>
  <c r="O701" i="1"/>
  <c r="N701" i="1"/>
  <c r="J701" i="1"/>
  <c r="I701" i="1"/>
  <c r="H701" i="1"/>
  <c r="G701" i="1"/>
  <c r="F701" i="1"/>
  <c r="E701" i="1"/>
  <c r="D701" i="1"/>
  <c r="C701" i="1"/>
  <c r="V700" i="1"/>
  <c r="Q700" i="1"/>
  <c r="P700" i="1"/>
  <c r="O700" i="1"/>
  <c r="N700" i="1"/>
  <c r="J700" i="1"/>
  <c r="I700" i="1"/>
  <c r="H700" i="1"/>
  <c r="G700" i="1"/>
  <c r="F700" i="1"/>
  <c r="E700" i="1"/>
  <c r="D700" i="1"/>
  <c r="C700" i="1"/>
  <c r="V699" i="1"/>
  <c r="Q699" i="1"/>
  <c r="P699" i="1"/>
  <c r="O699" i="1"/>
  <c r="N699" i="1"/>
  <c r="J699" i="1"/>
  <c r="I699" i="1"/>
  <c r="H699" i="1"/>
  <c r="G699" i="1"/>
  <c r="F699" i="1"/>
  <c r="E699" i="1"/>
  <c r="D699" i="1"/>
  <c r="C699" i="1"/>
  <c r="V698" i="1"/>
  <c r="Q698" i="1"/>
  <c r="P698" i="1"/>
  <c r="O698" i="1"/>
  <c r="N698" i="1"/>
  <c r="J698" i="1"/>
  <c r="I698" i="1"/>
  <c r="H698" i="1"/>
  <c r="G698" i="1"/>
  <c r="F698" i="1"/>
  <c r="E698" i="1"/>
  <c r="D698" i="1"/>
  <c r="C698" i="1"/>
  <c r="V697" i="1"/>
  <c r="Q697" i="1"/>
  <c r="P697" i="1"/>
  <c r="O697" i="1"/>
  <c r="N697" i="1"/>
  <c r="J697" i="1"/>
  <c r="I697" i="1"/>
  <c r="H697" i="1"/>
  <c r="G697" i="1"/>
  <c r="F697" i="1"/>
  <c r="E697" i="1"/>
  <c r="D697" i="1"/>
  <c r="C697" i="1"/>
  <c r="V696" i="1"/>
  <c r="Q696" i="1"/>
  <c r="P696" i="1"/>
  <c r="O696" i="1"/>
  <c r="N696" i="1"/>
  <c r="J696" i="1"/>
  <c r="I696" i="1"/>
  <c r="H696" i="1"/>
  <c r="G696" i="1"/>
  <c r="F696" i="1"/>
  <c r="E696" i="1"/>
  <c r="D696" i="1"/>
  <c r="C696" i="1"/>
  <c r="V695" i="1"/>
  <c r="Q695" i="1"/>
  <c r="P695" i="1"/>
  <c r="O695" i="1"/>
  <c r="N695" i="1"/>
  <c r="J695" i="1"/>
  <c r="I695" i="1"/>
  <c r="H695" i="1"/>
  <c r="G695" i="1"/>
  <c r="F695" i="1"/>
  <c r="E695" i="1"/>
  <c r="D695" i="1"/>
  <c r="C695" i="1"/>
  <c r="V694" i="1"/>
  <c r="Q694" i="1"/>
  <c r="P694" i="1"/>
  <c r="O694" i="1"/>
  <c r="N694" i="1"/>
  <c r="J694" i="1"/>
  <c r="I694" i="1"/>
  <c r="H694" i="1"/>
  <c r="G694" i="1"/>
  <c r="F694" i="1"/>
  <c r="E694" i="1"/>
  <c r="D694" i="1"/>
  <c r="C694" i="1"/>
  <c r="V693" i="1"/>
  <c r="Q693" i="1"/>
  <c r="P693" i="1"/>
  <c r="O693" i="1"/>
  <c r="N693" i="1"/>
  <c r="J693" i="1"/>
  <c r="I693" i="1"/>
  <c r="H693" i="1"/>
  <c r="G693" i="1"/>
  <c r="F693" i="1"/>
  <c r="E693" i="1"/>
  <c r="D693" i="1"/>
  <c r="C693" i="1"/>
  <c r="V692" i="1"/>
  <c r="Q692" i="1"/>
  <c r="P692" i="1"/>
  <c r="O692" i="1"/>
  <c r="N692" i="1"/>
  <c r="J692" i="1"/>
  <c r="I692" i="1"/>
  <c r="H692" i="1"/>
  <c r="G692" i="1"/>
  <c r="F692" i="1"/>
  <c r="E692" i="1"/>
  <c r="D692" i="1"/>
  <c r="C692" i="1"/>
  <c r="V691" i="1"/>
  <c r="Q691" i="1"/>
  <c r="P691" i="1"/>
  <c r="O691" i="1"/>
  <c r="N691" i="1"/>
  <c r="J691" i="1"/>
  <c r="I691" i="1"/>
  <c r="H691" i="1"/>
  <c r="G691" i="1"/>
  <c r="F691" i="1"/>
  <c r="E691" i="1"/>
  <c r="D691" i="1"/>
  <c r="C691" i="1"/>
  <c r="V690" i="1"/>
  <c r="Q690" i="1"/>
  <c r="P690" i="1"/>
  <c r="O690" i="1"/>
  <c r="N690" i="1"/>
  <c r="J690" i="1"/>
  <c r="I690" i="1"/>
  <c r="H690" i="1"/>
  <c r="G690" i="1"/>
  <c r="F690" i="1"/>
  <c r="E690" i="1"/>
  <c r="D690" i="1"/>
  <c r="C690" i="1"/>
  <c r="V689" i="1"/>
  <c r="Q689" i="1"/>
  <c r="P689" i="1"/>
  <c r="O689" i="1"/>
  <c r="N689" i="1"/>
  <c r="J689" i="1"/>
  <c r="I689" i="1"/>
  <c r="H689" i="1"/>
  <c r="G689" i="1"/>
  <c r="F689" i="1"/>
  <c r="E689" i="1"/>
  <c r="D689" i="1"/>
  <c r="C689" i="1"/>
  <c r="V688" i="1"/>
  <c r="Q688" i="1"/>
  <c r="P688" i="1"/>
  <c r="O688" i="1"/>
  <c r="N688" i="1"/>
  <c r="J688" i="1"/>
  <c r="I688" i="1"/>
  <c r="H688" i="1"/>
  <c r="G688" i="1"/>
  <c r="F688" i="1"/>
  <c r="E688" i="1"/>
  <c r="D688" i="1"/>
  <c r="C688" i="1"/>
  <c r="V687" i="1"/>
  <c r="Q687" i="1"/>
  <c r="P687" i="1"/>
  <c r="O687" i="1"/>
  <c r="N687" i="1"/>
  <c r="J687" i="1"/>
  <c r="I687" i="1"/>
  <c r="H687" i="1"/>
  <c r="G687" i="1"/>
  <c r="F687" i="1"/>
  <c r="E687" i="1"/>
  <c r="D687" i="1"/>
  <c r="C687" i="1"/>
  <c r="V686" i="1"/>
  <c r="Q686" i="1"/>
  <c r="P686" i="1"/>
  <c r="O686" i="1"/>
  <c r="N686" i="1"/>
  <c r="J686" i="1"/>
  <c r="I686" i="1"/>
  <c r="H686" i="1"/>
  <c r="G686" i="1"/>
  <c r="F686" i="1"/>
  <c r="E686" i="1"/>
  <c r="D686" i="1"/>
  <c r="C686" i="1"/>
  <c r="V685" i="1"/>
  <c r="Q685" i="1"/>
  <c r="P685" i="1"/>
  <c r="O685" i="1"/>
  <c r="N685" i="1"/>
  <c r="J685" i="1"/>
  <c r="I685" i="1"/>
  <c r="H685" i="1"/>
  <c r="G685" i="1"/>
  <c r="F685" i="1"/>
  <c r="E685" i="1"/>
  <c r="D685" i="1"/>
  <c r="C685" i="1"/>
  <c r="V684" i="1"/>
  <c r="Q684" i="1"/>
  <c r="P684" i="1"/>
  <c r="O684" i="1"/>
  <c r="N684" i="1"/>
  <c r="J684" i="1"/>
  <c r="I684" i="1"/>
  <c r="H684" i="1"/>
  <c r="G684" i="1"/>
  <c r="F684" i="1"/>
  <c r="E684" i="1"/>
  <c r="D684" i="1"/>
  <c r="C684" i="1"/>
  <c r="V683" i="1"/>
  <c r="Q683" i="1"/>
  <c r="P683" i="1"/>
  <c r="O683" i="1"/>
  <c r="N683" i="1"/>
  <c r="J683" i="1"/>
  <c r="I683" i="1"/>
  <c r="H683" i="1"/>
  <c r="G683" i="1"/>
  <c r="F683" i="1"/>
  <c r="E683" i="1"/>
  <c r="D683" i="1"/>
  <c r="C683" i="1"/>
  <c r="V682" i="1"/>
  <c r="Q682" i="1"/>
  <c r="P682" i="1"/>
  <c r="O682" i="1"/>
  <c r="N682" i="1"/>
  <c r="J682" i="1"/>
  <c r="I682" i="1"/>
  <c r="H682" i="1"/>
  <c r="G682" i="1"/>
  <c r="F682" i="1"/>
  <c r="E682" i="1"/>
  <c r="D682" i="1"/>
  <c r="C682" i="1"/>
  <c r="V681" i="1"/>
  <c r="Q681" i="1"/>
  <c r="P681" i="1"/>
  <c r="O681" i="1"/>
  <c r="N681" i="1"/>
  <c r="J681" i="1"/>
  <c r="I681" i="1"/>
  <c r="H681" i="1"/>
  <c r="G681" i="1"/>
  <c r="F681" i="1"/>
  <c r="E681" i="1"/>
  <c r="D681" i="1"/>
  <c r="C681" i="1"/>
  <c r="V680" i="1"/>
  <c r="Q680" i="1"/>
  <c r="P680" i="1"/>
  <c r="O680" i="1"/>
  <c r="N680" i="1"/>
  <c r="J680" i="1"/>
  <c r="I680" i="1"/>
  <c r="H680" i="1"/>
  <c r="G680" i="1"/>
  <c r="F680" i="1"/>
  <c r="E680" i="1"/>
  <c r="D680" i="1"/>
  <c r="C680" i="1"/>
  <c r="V679" i="1"/>
  <c r="Q679" i="1"/>
  <c r="P679" i="1"/>
  <c r="O679" i="1"/>
  <c r="N679" i="1"/>
  <c r="J679" i="1"/>
  <c r="I679" i="1"/>
  <c r="H679" i="1"/>
  <c r="G679" i="1"/>
  <c r="F679" i="1"/>
  <c r="E679" i="1"/>
  <c r="D679" i="1"/>
  <c r="C679" i="1"/>
  <c r="V678" i="1"/>
  <c r="Q678" i="1"/>
  <c r="P678" i="1"/>
  <c r="O678" i="1"/>
  <c r="N678" i="1"/>
  <c r="J678" i="1"/>
  <c r="I678" i="1"/>
  <c r="H678" i="1"/>
  <c r="G678" i="1"/>
  <c r="F678" i="1"/>
  <c r="E678" i="1"/>
  <c r="D678" i="1"/>
  <c r="C678" i="1"/>
  <c r="V677" i="1"/>
  <c r="Q677" i="1"/>
  <c r="P677" i="1"/>
  <c r="O677" i="1"/>
  <c r="N677" i="1"/>
  <c r="J677" i="1"/>
  <c r="I677" i="1"/>
  <c r="H677" i="1"/>
  <c r="G677" i="1"/>
  <c r="F677" i="1"/>
  <c r="E677" i="1"/>
  <c r="D677" i="1"/>
  <c r="C677" i="1"/>
  <c r="V676" i="1"/>
  <c r="Q676" i="1"/>
  <c r="P676" i="1"/>
  <c r="O676" i="1"/>
  <c r="N676" i="1"/>
  <c r="J676" i="1"/>
  <c r="I676" i="1"/>
  <c r="H676" i="1"/>
  <c r="G676" i="1"/>
  <c r="F676" i="1"/>
  <c r="E676" i="1"/>
  <c r="D676" i="1"/>
  <c r="C676" i="1"/>
  <c r="V675" i="1"/>
  <c r="Q675" i="1"/>
  <c r="P675" i="1"/>
  <c r="O675" i="1"/>
  <c r="N675" i="1"/>
  <c r="J675" i="1"/>
  <c r="I675" i="1"/>
  <c r="H675" i="1"/>
  <c r="G675" i="1"/>
  <c r="F675" i="1"/>
  <c r="E675" i="1"/>
  <c r="D675" i="1"/>
  <c r="C675" i="1"/>
  <c r="V674" i="1"/>
  <c r="Q674" i="1"/>
  <c r="P674" i="1"/>
  <c r="O674" i="1"/>
  <c r="N674" i="1"/>
  <c r="J674" i="1"/>
  <c r="I674" i="1"/>
  <c r="H674" i="1"/>
  <c r="G674" i="1"/>
  <c r="F674" i="1"/>
  <c r="E674" i="1"/>
  <c r="D674" i="1"/>
  <c r="C674" i="1"/>
  <c r="V673" i="1"/>
  <c r="Q673" i="1"/>
  <c r="P673" i="1"/>
  <c r="O673" i="1"/>
  <c r="N673" i="1"/>
  <c r="J673" i="1"/>
  <c r="I673" i="1"/>
  <c r="H673" i="1"/>
  <c r="G673" i="1"/>
  <c r="F673" i="1"/>
  <c r="E673" i="1"/>
  <c r="D673" i="1"/>
  <c r="C673" i="1"/>
  <c r="V672" i="1"/>
  <c r="Q672" i="1"/>
  <c r="P672" i="1"/>
  <c r="O672" i="1"/>
  <c r="N672" i="1"/>
  <c r="J672" i="1"/>
  <c r="I672" i="1"/>
  <c r="H672" i="1"/>
  <c r="G672" i="1"/>
  <c r="F672" i="1"/>
  <c r="E672" i="1"/>
  <c r="D672" i="1"/>
  <c r="C672" i="1"/>
  <c r="V671" i="1"/>
  <c r="Q671" i="1"/>
  <c r="P671" i="1"/>
  <c r="O671" i="1"/>
  <c r="N671" i="1"/>
  <c r="J671" i="1"/>
  <c r="I671" i="1"/>
  <c r="H671" i="1"/>
  <c r="G671" i="1"/>
  <c r="F671" i="1"/>
  <c r="E671" i="1"/>
  <c r="D671" i="1"/>
  <c r="C671" i="1"/>
  <c r="V670" i="1"/>
  <c r="Q670" i="1"/>
  <c r="P670" i="1"/>
  <c r="O670" i="1"/>
  <c r="N670" i="1"/>
  <c r="J670" i="1"/>
  <c r="I670" i="1"/>
  <c r="H670" i="1"/>
  <c r="G670" i="1"/>
  <c r="F670" i="1"/>
  <c r="E670" i="1"/>
  <c r="D670" i="1"/>
  <c r="C670" i="1"/>
  <c r="V669" i="1"/>
  <c r="Q669" i="1"/>
  <c r="P669" i="1"/>
  <c r="O669" i="1"/>
  <c r="N669" i="1"/>
  <c r="J669" i="1"/>
  <c r="I669" i="1"/>
  <c r="H669" i="1"/>
  <c r="G669" i="1"/>
  <c r="F669" i="1"/>
  <c r="E669" i="1"/>
  <c r="D669" i="1"/>
  <c r="C669" i="1"/>
  <c r="V668" i="1"/>
  <c r="Q668" i="1"/>
  <c r="P668" i="1"/>
  <c r="O668" i="1"/>
  <c r="N668" i="1"/>
  <c r="J668" i="1"/>
  <c r="I668" i="1"/>
  <c r="H668" i="1"/>
  <c r="G668" i="1"/>
  <c r="F668" i="1"/>
  <c r="E668" i="1"/>
  <c r="D668" i="1"/>
  <c r="C668" i="1"/>
  <c r="V667" i="1"/>
  <c r="Q667" i="1"/>
  <c r="P667" i="1"/>
  <c r="O667" i="1"/>
  <c r="N667" i="1"/>
  <c r="J667" i="1"/>
  <c r="I667" i="1"/>
  <c r="H667" i="1"/>
  <c r="G667" i="1"/>
  <c r="F667" i="1"/>
  <c r="E667" i="1"/>
  <c r="D667" i="1"/>
  <c r="C667" i="1"/>
  <c r="V666" i="1"/>
  <c r="Q666" i="1"/>
  <c r="P666" i="1"/>
  <c r="O666" i="1"/>
  <c r="N666" i="1"/>
  <c r="J666" i="1"/>
  <c r="I666" i="1"/>
  <c r="H666" i="1"/>
  <c r="G666" i="1"/>
  <c r="F666" i="1"/>
  <c r="E666" i="1"/>
  <c r="D666" i="1"/>
  <c r="C666" i="1"/>
  <c r="V665" i="1"/>
  <c r="Q665" i="1"/>
  <c r="P665" i="1"/>
  <c r="O665" i="1"/>
  <c r="N665" i="1"/>
  <c r="J665" i="1"/>
  <c r="I665" i="1"/>
  <c r="H665" i="1"/>
  <c r="G665" i="1"/>
  <c r="F665" i="1"/>
  <c r="E665" i="1"/>
  <c r="D665" i="1"/>
  <c r="C665" i="1"/>
  <c r="V664" i="1"/>
  <c r="Q664" i="1"/>
  <c r="P664" i="1"/>
  <c r="O664" i="1"/>
  <c r="N664" i="1"/>
  <c r="J664" i="1"/>
  <c r="I664" i="1"/>
  <c r="H664" i="1"/>
  <c r="G664" i="1"/>
  <c r="F664" i="1"/>
  <c r="E664" i="1"/>
  <c r="D664" i="1"/>
  <c r="C664" i="1"/>
  <c r="V663" i="1"/>
  <c r="Q663" i="1"/>
  <c r="P663" i="1"/>
  <c r="O663" i="1"/>
  <c r="N663" i="1"/>
  <c r="J663" i="1"/>
  <c r="I663" i="1"/>
  <c r="H663" i="1"/>
  <c r="G663" i="1"/>
  <c r="F663" i="1"/>
  <c r="E663" i="1"/>
  <c r="D663" i="1"/>
  <c r="C663" i="1"/>
  <c r="V662" i="1"/>
  <c r="Q662" i="1"/>
  <c r="P662" i="1"/>
  <c r="O662" i="1"/>
  <c r="N662" i="1"/>
  <c r="J662" i="1"/>
  <c r="I662" i="1"/>
  <c r="H662" i="1"/>
  <c r="G662" i="1"/>
  <c r="F662" i="1"/>
  <c r="E662" i="1"/>
  <c r="D662" i="1"/>
  <c r="C662" i="1"/>
  <c r="V661" i="1"/>
  <c r="Q661" i="1"/>
  <c r="P661" i="1"/>
  <c r="O661" i="1"/>
  <c r="N661" i="1"/>
  <c r="J661" i="1"/>
  <c r="I661" i="1"/>
  <c r="H661" i="1"/>
  <c r="G661" i="1"/>
  <c r="F661" i="1"/>
  <c r="E661" i="1"/>
  <c r="D661" i="1"/>
  <c r="C661" i="1"/>
  <c r="V660" i="1"/>
  <c r="Q660" i="1"/>
  <c r="P660" i="1"/>
  <c r="O660" i="1"/>
  <c r="N660" i="1"/>
  <c r="J660" i="1"/>
  <c r="I660" i="1"/>
  <c r="H660" i="1"/>
  <c r="G660" i="1"/>
  <c r="F660" i="1"/>
  <c r="E660" i="1"/>
  <c r="D660" i="1"/>
  <c r="C660" i="1"/>
  <c r="V659" i="1"/>
  <c r="Q659" i="1"/>
  <c r="P659" i="1"/>
  <c r="O659" i="1"/>
  <c r="N659" i="1"/>
  <c r="J659" i="1"/>
  <c r="I659" i="1"/>
  <c r="H659" i="1"/>
  <c r="G659" i="1"/>
  <c r="F659" i="1"/>
  <c r="E659" i="1"/>
  <c r="D659" i="1"/>
  <c r="C659" i="1"/>
  <c r="V658" i="1"/>
  <c r="Q658" i="1"/>
  <c r="P658" i="1"/>
  <c r="O658" i="1"/>
  <c r="N658" i="1"/>
  <c r="J658" i="1"/>
  <c r="I658" i="1"/>
  <c r="H658" i="1"/>
  <c r="G658" i="1"/>
  <c r="F658" i="1"/>
  <c r="E658" i="1"/>
  <c r="D658" i="1"/>
  <c r="C658" i="1"/>
  <c r="V657" i="1"/>
  <c r="Q657" i="1"/>
  <c r="P657" i="1"/>
  <c r="O657" i="1"/>
  <c r="N657" i="1"/>
  <c r="J657" i="1"/>
  <c r="I657" i="1"/>
  <c r="H657" i="1"/>
  <c r="G657" i="1"/>
  <c r="F657" i="1"/>
  <c r="E657" i="1"/>
  <c r="D657" i="1"/>
  <c r="C657" i="1"/>
  <c r="V656" i="1"/>
  <c r="Q656" i="1"/>
  <c r="P656" i="1"/>
  <c r="O656" i="1"/>
  <c r="N656" i="1"/>
  <c r="J656" i="1"/>
  <c r="I656" i="1"/>
  <c r="H656" i="1"/>
  <c r="G656" i="1"/>
  <c r="F656" i="1"/>
  <c r="E656" i="1"/>
  <c r="D656" i="1"/>
  <c r="C656" i="1"/>
  <c r="V655" i="1"/>
  <c r="Q655" i="1"/>
  <c r="P655" i="1"/>
  <c r="O655" i="1"/>
  <c r="N655" i="1"/>
  <c r="J655" i="1"/>
  <c r="I655" i="1"/>
  <c r="H655" i="1"/>
  <c r="G655" i="1"/>
  <c r="F655" i="1"/>
  <c r="E655" i="1"/>
  <c r="D655" i="1"/>
  <c r="C655" i="1"/>
  <c r="V654" i="1"/>
  <c r="Q654" i="1"/>
  <c r="P654" i="1"/>
  <c r="O654" i="1"/>
  <c r="N654" i="1"/>
  <c r="J654" i="1"/>
  <c r="I654" i="1"/>
  <c r="H654" i="1"/>
  <c r="G654" i="1"/>
  <c r="F654" i="1"/>
  <c r="E654" i="1"/>
  <c r="D654" i="1"/>
  <c r="C654" i="1"/>
  <c r="V653" i="1"/>
  <c r="Q653" i="1"/>
  <c r="P653" i="1"/>
  <c r="O653" i="1"/>
  <c r="N653" i="1"/>
  <c r="J653" i="1"/>
  <c r="I653" i="1"/>
  <c r="H653" i="1"/>
  <c r="G653" i="1"/>
  <c r="F653" i="1"/>
  <c r="E653" i="1"/>
  <c r="D653" i="1"/>
  <c r="C653" i="1"/>
  <c r="V652" i="1"/>
  <c r="Q652" i="1"/>
  <c r="P652" i="1"/>
  <c r="O652" i="1"/>
  <c r="N652" i="1"/>
  <c r="J652" i="1"/>
  <c r="I652" i="1"/>
  <c r="H652" i="1"/>
  <c r="G652" i="1"/>
  <c r="F652" i="1"/>
  <c r="E652" i="1"/>
  <c r="D652" i="1"/>
  <c r="C652" i="1"/>
  <c r="V651" i="1"/>
  <c r="Q651" i="1"/>
  <c r="P651" i="1"/>
  <c r="O651" i="1"/>
  <c r="N651" i="1"/>
  <c r="J651" i="1"/>
  <c r="I651" i="1"/>
  <c r="H651" i="1"/>
  <c r="G651" i="1"/>
  <c r="F651" i="1"/>
  <c r="E651" i="1"/>
  <c r="D651" i="1"/>
  <c r="C651" i="1"/>
  <c r="V650" i="1"/>
  <c r="Q650" i="1"/>
  <c r="P650" i="1"/>
  <c r="O650" i="1"/>
  <c r="N650" i="1"/>
  <c r="J650" i="1"/>
  <c r="I650" i="1"/>
  <c r="H650" i="1"/>
  <c r="G650" i="1"/>
  <c r="F650" i="1"/>
  <c r="E650" i="1"/>
  <c r="D650" i="1"/>
  <c r="C650" i="1"/>
  <c r="V649" i="1"/>
  <c r="Q649" i="1"/>
  <c r="P649" i="1"/>
  <c r="O649" i="1"/>
  <c r="N649" i="1"/>
  <c r="J649" i="1"/>
  <c r="I649" i="1"/>
  <c r="H649" i="1"/>
  <c r="G649" i="1"/>
  <c r="F649" i="1"/>
  <c r="E649" i="1"/>
  <c r="D649" i="1"/>
  <c r="C649" i="1"/>
  <c r="V648" i="1"/>
  <c r="Q648" i="1"/>
  <c r="P648" i="1"/>
  <c r="O648" i="1"/>
  <c r="N648" i="1"/>
  <c r="J648" i="1"/>
  <c r="I648" i="1"/>
  <c r="H648" i="1"/>
  <c r="G648" i="1"/>
  <c r="F648" i="1"/>
  <c r="E648" i="1"/>
  <c r="D648" i="1"/>
  <c r="C648" i="1"/>
  <c r="V647" i="1"/>
  <c r="Q647" i="1"/>
  <c r="P647" i="1"/>
  <c r="O647" i="1"/>
  <c r="N647" i="1"/>
  <c r="J647" i="1"/>
  <c r="I647" i="1"/>
  <c r="H647" i="1"/>
  <c r="G647" i="1"/>
  <c r="F647" i="1"/>
  <c r="E647" i="1"/>
  <c r="D647" i="1"/>
  <c r="C647" i="1"/>
  <c r="V646" i="1"/>
  <c r="Q646" i="1"/>
  <c r="P646" i="1"/>
  <c r="O646" i="1"/>
  <c r="N646" i="1"/>
  <c r="J646" i="1"/>
  <c r="I646" i="1"/>
  <c r="H646" i="1"/>
  <c r="G646" i="1"/>
  <c r="F646" i="1"/>
  <c r="E646" i="1"/>
  <c r="D646" i="1"/>
  <c r="C646" i="1"/>
  <c r="V645" i="1"/>
  <c r="Q645" i="1"/>
  <c r="P645" i="1"/>
  <c r="O645" i="1"/>
  <c r="N645" i="1"/>
  <c r="J645" i="1"/>
  <c r="I645" i="1"/>
  <c r="H645" i="1"/>
  <c r="G645" i="1"/>
  <c r="F645" i="1"/>
  <c r="E645" i="1"/>
  <c r="D645" i="1"/>
  <c r="C645" i="1"/>
  <c r="V644" i="1"/>
  <c r="Q644" i="1"/>
  <c r="P644" i="1"/>
  <c r="O644" i="1"/>
  <c r="N644" i="1"/>
  <c r="J644" i="1"/>
  <c r="I644" i="1"/>
  <c r="H644" i="1"/>
  <c r="G644" i="1"/>
  <c r="F644" i="1"/>
  <c r="E644" i="1"/>
  <c r="D644" i="1"/>
  <c r="C644" i="1"/>
  <c r="V643" i="1"/>
  <c r="Q643" i="1"/>
  <c r="P643" i="1"/>
  <c r="O643" i="1"/>
  <c r="N643" i="1"/>
  <c r="J643" i="1"/>
  <c r="I643" i="1"/>
  <c r="H643" i="1"/>
  <c r="G643" i="1"/>
  <c r="F643" i="1"/>
  <c r="E643" i="1"/>
  <c r="D643" i="1"/>
  <c r="C643" i="1"/>
  <c r="V642" i="1"/>
  <c r="Q642" i="1"/>
  <c r="P642" i="1"/>
  <c r="O642" i="1"/>
  <c r="N642" i="1"/>
  <c r="J642" i="1"/>
  <c r="I642" i="1"/>
  <c r="H642" i="1"/>
  <c r="G642" i="1"/>
  <c r="F642" i="1"/>
  <c r="E642" i="1"/>
  <c r="D642" i="1"/>
  <c r="C642" i="1"/>
  <c r="V641" i="1"/>
  <c r="Q641" i="1"/>
  <c r="P641" i="1"/>
  <c r="O641" i="1"/>
  <c r="N641" i="1"/>
  <c r="J641" i="1"/>
  <c r="I641" i="1"/>
  <c r="H641" i="1"/>
  <c r="G641" i="1"/>
  <c r="F641" i="1"/>
  <c r="E641" i="1"/>
  <c r="D641" i="1"/>
  <c r="C641" i="1"/>
  <c r="V640" i="1"/>
  <c r="Q640" i="1"/>
  <c r="P640" i="1"/>
  <c r="O640" i="1"/>
  <c r="N640" i="1"/>
  <c r="J640" i="1"/>
  <c r="I640" i="1"/>
  <c r="H640" i="1"/>
  <c r="G640" i="1"/>
  <c r="F640" i="1"/>
  <c r="E640" i="1"/>
  <c r="D640" i="1"/>
  <c r="C640" i="1"/>
  <c r="V639" i="1"/>
  <c r="Q639" i="1"/>
  <c r="P639" i="1"/>
  <c r="O639" i="1"/>
  <c r="N639" i="1"/>
  <c r="J639" i="1"/>
  <c r="I639" i="1"/>
  <c r="H639" i="1"/>
  <c r="G639" i="1"/>
  <c r="F639" i="1"/>
  <c r="E639" i="1"/>
  <c r="D639" i="1"/>
  <c r="C639" i="1"/>
  <c r="V638" i="1"/>
  <c r="Q638" i="1"/>
  <c r="P638" i="1"/>
  <c r="O638" i="1"/>
  <c r="N638" i="1"/>
  <c r="J638" i="1"/>
  <c r="I638" i="1"/>
  <c r="H638" i="1"/>
  <c r="G638" i="1"/>
  <c r="F638" i="1"/>
  <c r="E638" i="1"/>
  <c r="D638" i="1"/>
  <c r="C638" i="1"/>
  <c r="V637" i="1"/>
  <c r="Q637" i="1"/>
  <c r="P637" i="1"/>
  <c r="O637" i="1"/>
  <c r="N637" i="1"/>
  <c r="J637" i="1"/>
  <c r="I637" i="1"/>
  <c r="H637" i="1"/>
  <c r="G637" i="1"/>
  <c r="F637" i="1"/>
  <c r="E637" i="1"/>
  <c r="D637" i="1"/>
  <c r="C637" i="1"/>
  <c r="V636" i="1"/>
  <c r="Q636" i="1"/>
  <c r="P636" i="1"/>
  <c r="O636" i="1"/>
  <c r="N636" i="1"/>
  <c r="J636" i="1"/>
  <c r="I636" i="1"/>
  <c r="H636" i="1"/>
  <c r="G636" i="1"/>
  <c r="F636" i="1"/>
  <c r="E636" i="1"/>
  <c r="D636" i="1"/>
  <c r="C636" i="1"/>
  <c r="V635" i="1"/>
  <c r="Q635" i="1"/>
  <c r="P635" i="1"/>
  <c r="O635" i="1"/>
  <c r="N635" i="1"/>
  <c r="J635" i="1"/>
  <c r="I635" i="1"/>
  <c r="H635" i="1"/>
  <c r="G635" i="1"/>
  <c r="F635" i="1"/>
  <c r="E635" i="1"/>
  <c r="D635" i="1"/>
  <c r="C635" i="1"/>
  <c r="V634" i="1"/>
  <c r="Q634" i="1"/>
  <c r="P634" i="1"/>
  <c r="O634" i="1"/>
  <c r="N634" i="1"/>
  <c r="J634" i="1"/>
  <c r="I634" i="1"/>
  <c r="H634" i="1"/>
  <c r="G634" i="1"/>
  <c r="F634" i="1"/>
  <c r="E634" i="1"/>
  <c r="D634" i="1"/>
  <c r="C634" i="1"/>
  <c r="V633" i="1"/>
  <c r="Q633" i="1"/>
  <c r="P633" i="1"/>
  <c r="O633" i="1"/>
  <c r="N633" i="1"/>
  <c r="J633" i="1"/>
  <c r="I633" i="1"/>
  <c r="H633" i="1"/>
  <c r="G633" i="1"/>
  <c r="F633" i="1"/>
  <c r="E633" i="1"/>
  <c r="D633" i="1"/>
  <c r="C633" i="1"/>
  <c r="V632" i="1"/>
  <c r="Q632" i="1"/>
  <c r="P632" i="1"/>
  <c r="O632" i="1"/>
  <c r="N632" i="1"/>
  <c r="J632" i="1"/>
  <c r="I632" i="1"/>
  <c r="H632" i="1"/>
  <c r="G632" i="1"/>
  <c r="F632" i="1"/>
  <c r="E632" i="1"/>
  <c r="D632" i="1"/>
  <c r="C632" i="1"/>
  <c r="V631" i="1"/>
  <c r="Q631" i="1"/>
  <c r="P631" i="1"/>
  <c r="O631" i="1"/>
  <c r="N631" i="1"/>
  <c r="J631" i="1"/>
  <c r="I631" i="1"/>
  <c r="H631" i="1"/>
  <c r="G631" i="1"/>
  <c r="F631" i="1"/>
  <c r="E631" i="1"/>
  <c r="D631" i="1"/>
  <c r="C631" i="1"/>
  <c r="V630" i="1"/>
  <c r="Q630" i="1"/>
  <c r="P630" i="1"/>
  <c r="O630" i="1"/>
  <c r="N630" i="1"/>
  <c r="J630" i="1"/>
  <c r="I630" i="1"/>
  <c r="H630" i="1"/>
  <c r="G630" i="1"/>
  <c r="F630" i="1"/>
  <c r="E630" i="1"/>
  <c r="D630" i="1"/>
  <c r="C630" i="1"/>
  <c r="V629" i="1"/>
  <c r="Q629" i="1"/>
  <c r="P629" i="1"/>
  <c r="O629" i="1"/>
  <c r="N629" i="1"/>
  <c r="J629" i="1"/>
  <c r="I629" i="1"/>
  <c r="H629" i="1"/>
  <c r="G629" i="1"/>
  <c r="F629" i="1"/>
  <c r="E629" i="1"/>
  <c r="D629" i="1"/>
  <c r="C629" i="1"/>
  <c r="V628" i="1"/>
  <c r="Q628" i="1"/>
  <c r="P628" i="1"/>
  <c r="O628" i="1"/>
  <c r="N628" i="1"/>
  <c r="J628" i="1"/>
  <c r="I628" i="1"/>
  <c r="H628" i="1"/>
  <c r="G628" i="1"/>
  <c r="F628" i="1"/>
  <c r="E628" i="1"/>
  <c r="D628" i="1"/>
  <c r="C628" i="1"/>
  <c r="V627" i="1"/>
  <c r="Q627" i="1"/>
  <c r="P627" i="1"/>
  <c r="O627" i="1"/>
  <c r="N627" i="1"/>
  <c r="J627" i="1"/>
  <c r="I627" i="1"/>
  <c r="H627" i="1"/>
  <c r="G627" i="1"/>
  <c r="F627" i="1"/>
  <c r="E627" i="1"/>
  <c r="D627" i="1"/>
  <c r="C627" i="1"/>
  <c r="V626" i="1"/>
  <c r="Q626" i="1"/>
  <c r="P626" i="1"/>
  <c r="O626" i="1"/>
  <c r="N626" i="1"/>
  <c r="J626" i="1"/>
  <c r="I626" i="1"/>
  <c r="H626" i="1"/>
  <c r="G626" i="1"/>
  <c r="F626" i="1"/>
  <c r="E626" i="1"/>
  <c r="D626" i="1"/>
  <c r="C626" i="1"/>
  <c r="V625" i="1"/>
  <c r="Q625" i="1"/>
  <c r="P625" i="1"/>
  <c r="O625" i="1"/>
  <c r="N625" i="1"/>
  <c r="J625" i="1"/>
  <c r="I625" i="1"/>
  <c r="H625" i="1"/>
  <c r="G625" i="1"/>
  <c r="F625" i="1"/>
  <c r="E625" i="1"/>
  <c r="D625" i="1"/>
  <c r="C625" i="1"/>
  <c r="V624" i="1"/>
  <c r="Q624" i="1"/>
  <c r="P624" i="1"/>
  <c r="O624" i="1"/>
  <c r="N624" i="1"/>
  <c r="J624" i="1"/>
  <c r="I624" i="1"/>
  <c r="H624" i="1"/>
  <c r="G624" i="1"/>
  <c r="F624" i="1"/>
  <c r="E624" i="1"/>
  <c r="D624" i="1"/>
  <c r="C624" i="1"/>
  <c r="V623" i="1"/>
  <c r="Q623" i="1"/>
  <c r="P623" i="1"/>
  <c r="O623" i="1"/>
  <c r="N623" i="1"/>
  <c r="J623" i="1"/>
  <c r="I623" i="1"/>
  <c r="H623" i="1"/>
  <c r="G623" i="1"/>
  <c r="F623" i="1"/>
  <c r="E623" i="1"/>
  <c r="D623" i="1"/>
  <c r="C623" i="1"/>
  <c r="V622" i="1"/>
  <c r="Q622" i="1"/>
  <c r="P622" i="1"/>
  <c r="O622" i="1"/>
  <c r="N622" i="1"/>
  <c r="J622" i="1"/>
  <c r="I622" i="1"/>
  <c r="H622" i="1"/>
  <c r="G622" i="1"/>
  <c r="F622" i="1"/>
  <c r="E622" i="1"/>
  <c r="D622" i="1"/>
  <c r="C622" i="1"/>
  <c r="V621" i="1"/>
  <c r="Q621" i="1"/>
  <c r="P621" i="1"/>
  <c r="O621" i="1"/>
  <c r="N621" i="1"/>
  <c r="J621" i="1"/>
  <c r="I621" i="1"/>
  <c r="H621" i="1"/>
  <c r="G621" i="1"/>
  <c r="F621" i="1"/>
  <c r="E621" i="1"/>
  <c r="D621" i="1"/>
  <c r="C621" i="1"/>
  <c r="V620" i="1"/>
  <c r="Q620" i="1"/>
  <c r="P620" i="1"/>
  <c r="O620" i="1"/>
  <c r="N620" i="1"/>
  <c r="J620" i="1"/>
  <c r="I620" i="1"/>
  <c r="H620" i="1"/>
  <c r="G620" i="1"/>
  <c r="F620" i="1"/>
  <c r="E620" i="1"/>
  <c r="D620" i="1"/>
  <c r="C620" i="1"/>
  <c r="V619" i="1"/>
  <c r="Q619" i="1"/>
  <c r="P619" i="1"/>
  <c r="O619" i="1"/>
  <c r="N619" i="1"/>
  <c r="J619" i="1"/>
  <c r="I619" i="1"/>
  <c r="H619" i="1"/>
  <c r="G619" i="1"/>
  <c r="F619" i="1"/>
  <c r="E619" i="1"/>
  <c r="D619" i="1"/>
  <c r="C619" i="1"/>
  <c r="V618" i="1"/>
  <c r="Q618" i="1"/>
  <c r="P618" i="1"/>
  <c r="O618" i="1"/>
  <c r="N618" i="1"/>
  <c r="J618" i="1"/>
  <c r="I618" i="1"/>
  <c r="H618" i="1"/>
  <c r="G618" i="1"/>
  <c r="F618" i="1"/>
  <c r="E618" i="1"/>
  <c r="D618" i="1"/>
  <c r="C618" i="1"/>
  <c r="V617" i="1"/>
  <c r="Q617" i="1"/>
  <c r="P617" i="1"/>
  <c r="O617" i="1"/>
  <c r="N617" i="1"/>
  <c r="J617" i="1"/>
  <c r="I617" i="1"/>
  <c r="H617" i="1"/>
  <c r="G617" i="1"/>
  <c r="F617" i="1"/>
  <c r="E617" i="1"/>
  <c r="D617" i="1"/>
  <c r="C617" i="1"/>
  <c r="V616" i="1"/>
  <c r="Q616" i="1"/>
  <c r="P616" i="1"/>
  <c r="O616" i="1"/>
  <c r="N616" i="1"/>
  <c r="J616" i="1"/>
  <c r="I616" i="1"/>
  <c r="H616" i="1"/>
  <c r="G616" i="1"/>
  <c r="F616" i="1"/>
  <c r="E616" i="1"/>
  <c r="D616" i="1"/>
  <c r="C616" i="1"/>
  <c r="V615" i="1"/>
  <c r="Q615" i="1"/>
  <c r="P615" i="1"/>
  <c r="O615" i="1"/>
  <c r="N615" i="1"/>
  <c r="J615" i="1"/>
  <c r="I615" i="1"/>
  <c r="H615" i="1"/>
  <c r="G615" i="1"/>
  <c r="F615" i="1"/>
  <c r="E615" i="1"/>
  <c r="D615" i="1"/>
  <c r="C615" i="1"/>
  <c r="V614" i="1"/>
  <c r="Q614" i="1"/>
  <c r="P614" i="1"/>
  <c r="O614" i="1"/>
  <c r="N614" i="1"/>
  <c r="J614" i="1"/>
  <c r="I614" i="1"/>
  <c r="H614" i="1"/>
  <c r="G614" i="1"/>
  <c r="F614" i="1"/>
  <c r="E614" i="1"/>
  <c r="D614" i="1"/>
  <c r="C614" i="1"/>
  <c r="V613" i="1"/>
  <c r="Q613" i="1"/>
  <c r="P613" i="1"/>
  <c r="O613" i="1"/>
  <c r="N613" i="1"/>
  <c r="J613" i="1"/>
  <c r="I613" i="1"/>
  <c r="H613" i="1"/>
  <c r="G613" i="1"/>
  <c r="F613" i="1"/>
  <c r="E613" i="1"/>
  <c r="D613" i="1"/>
  <c r="C613" i="1"/>
  <c r="V612" i="1"/>
  <c r="Q612" i="1"/>
  <c r="P612" i="1"/>
  <c r="O612" i="1"/>
  <c r="N612" i="1"/>
  <c r="J612" i="1"/>
  <c r="I612" i="1"/>
  <c r="H612" i="1"/>
  <c r="G612" i="1"/>
  <c r="F612" i="1"/>
  <c r="E612" i="1"/>
  <c r="D612" i="1"/>
  <c r="C612" i="1"/>
  <c r="V611" i="1"/>
  <c r="Q611" i="1"/>
  <c r="P611" i="1"/>
  <c r="O611" i="1"/>
  <c r="N611" i="1"/>
  <c r="J611" i="1"/>
  <c r="I611" i="1"/>
  <c r="H611" i="1"/>
  <c r="G611" i="1"/>
  <c r="F611" i="1"/>
  <c r="E611" i="1"/>
  <c r="D611" i="1"/>
  <c r="C611" i="1"/>
  <c r="V610" i="1"/>
  <c r="Q610" i="1"/>
  <c r="P610" i="1"/>
  <c r="O610" i="1"/>
  <c r="N610" i="1"/>
  <c r="J610" i="1"/>
  <c r="I610" i="1"/>
  <c r="H610" i="1"/>
  <c r="G610" i="1"/>
  <c r="F610" i="1"/>
  <c r="E610" i="1"/>
  <c r="D610" i="1"/>
  <c r="C610" i="1"/>
  <c r="V609" i="1"/>
  <c r="Q609" i="1"/>
  <c r="P609" i="1"/>
  <c r="O609" i="1"/>
  <c r="N609" i="1"/>
  <c r="J609" i="1"/>
  <c r="I609" i="1"/>
  <c r="H609" i="1"/>
  <c r="G609" i="1"/>
  <c r="F609" i="1"/>
  <c r="E609" i="1"/>
  <c r="D609" i="1"/>
  <c r="C609" i="1"/>
  <c r="V608" i="1"/>
  <c r="Q608" i="1"/>
  <c r="P608" i="1"/>
  <c r="O608" i="1"/>
  <c r="N608" i="1"/>
  <c r="J608" i="1"/>
  <c r="I608" i="1"/>
  <c r="H608" i="1"/>
  <c r="G608" i="1"/>
  <c r="F608" i="1"/>
  <c r="E608" i="1"/>
  <c r="D608" i="1"/>
  <c r="C608" i="1"/>
  <c r="V607" i="1"/>
  <c r="Q607" i="1"/>
  <c r="P607" i="1"/>
  <c r="O607" i="1"/>
  <c r="N607" i="1"/>
  <c r="J607" i="1"/>
  <c r="I607" i="1"/>
  <c r="H607" i="1"/>
  <c r="G607" i="1"/>
  <c r="F607" i="1"/>
  <c r="E607" i="1"/>
  <c r="D607" i="1"/>
  <c r="C607" i="1"/>
  <c r="V606" i="1"/>
  <c r="Q606" i="1"/>
  <c r="P606" i="1"/>
  <c r="O606" i="1"/>
  <c r="N606" i="1"/>
  <c r="J606" i="1"/>
  <c r="I606" i="1"/>
  <c r="H606" i="1"/>
  <c r="G606" i="1"/>
  <c r="F606" i="1"/>
  <c r="E606" i="1"/>
  <c r="D606" i="1"/>
  <c r="C606" i="1"/>
  <c r="V605" i="1"/>
  <c r="Q605" i="1"/>
  <c r="P605" i="1"/>
  <c r="O605" i="1"/>
  <c r="N605" i="1"/>
  <c r="J605" i="1"/>
  <c r="I605" i="1"/>
  <c r="H605" i="1"/>
  <c r="G605" i="1"/>
  <c r="F605" i="1"/>
  <c r="E605" i="1"/>
  <c r="D605" i="1"/>
  <c r="C605" i="1"/>
  <c r="V604" i="1"/>
  <c r="Q604" i="1"/>
  <c r="P604" i="1"/>
  <c r="O604" i="1"/>
  <c r="N604" i="1"/>
  <c r="J604" i="1"/>
  <c r="I604" i="1"/>
  <c r="H604" i="1"/>
  <c r="G604" i="1"/>
  <c r="F604" i="1"/>
  <c r="E604" i="1"/>
  <c r="D604" i="1"/>
  <c r="C604" i="1"/>
  <c r="V603" i="1"/>
  <c r="Q603" i="1"/>
  <c r="P603" i="1"/>
  <c r="O603" i="1"/>
  <c r="N603" i="1"/>
  <c r="J603" i="1"/>
  <c r="I603" i="1"/>
  <c r="H603" i="1"/>
  <c r="G603" i="1"/>
  <c r="F603" i="1"/>
  <c r="E603" i="1"/>
  <c r="D603" i="1"/>
  <c r="C603" i="1"/>
  <c r="V602" i="1"/>
  <c r="Q602" i="1"/>
  <c r="P602" i="1"/>
  <c r="O602" i="1"/>
  <c r="N602" i="1"/>
  <c r="J602" i="1"/>
  <c r="I602" i="1"/>
  <c r="H602" i="1"/>
  <c r="G602" i="1"/>
  <c r="F602" i="1"/>
  <c r="E602" i="1"/>
  <c r="D602" i="1"/>
  <c r="C602" i="1"/>
  <c r="V601" i="1"/>
  <c r="Q601" i="1"/>
  <c r="P601" i="1"/>
  <c r="O601" i="1"/>
  <c r="N601" i="1"/>
  <c r="J601" i="1"/>
  <c r="I601" i="1"/>
  <c r="H601" i="1"/>
  <c r="G601" i="1"/>
  <c r="F601" i="1"/>
  <c r="E601" i="1"/>
  <c r="D601" i="1"/>
  <c r="C601" i="1"/>
  <c r="V600" i="1"/>
  <c r="Q600" i="1"/>
  <c r="P600" i="1"/>
  <c r="O600" i="1"/>
  <c r="N600" i="1"/>
  <c r="J600" i="1"/>
  <c r="I600" i="1"/>
  <c r="H600" i="1"/>
  <c r="G600" i="1"/>
  <c r="F600" i="1"/>
  <c r="E600" i="1"/>
  <c r="D600" i="1"/>
  <c r="C600" i="1"/>
  <c r="V599" i="1"/>
  <c r="Q599" i="1"/>
  <c r="P599" i="1"/>
  <c r="O599" i="1"/>
  <c r="N599" i="1"/>
  <c r="J599" i="1"/>
  <c r="I599" i="1"/>
  <c r="H599" i="1"/>
  <c r="G599" i="1"/>
  <c r="F599" i="1"/>
  <c r="E599" i="1"/>
  <c r="D599" i="1"/>
  <c r="C599" i="1"/>
  <c r="V598" i="1"/>
  <c r="Q598" i="1"/>
  <c r="P598" i="1"/>
  <c r="O598" i="1"/>
  <c r="N598" i="1"/>
  <c r="J598" i="1"/>
  <c r="I598" i="1"/>
  <c r="H598" i="1"/>
  <c r="G598" i="1"/>
  <c r="F598" i="1"/>
  <c r="E598" i="1"/>
  <c r="D598" i="1"/>
  <c r="C598" i="1"/>
  <c r="V597" i="1"/>
  <c r="Q597" i="1"/>
  <c r="P597" i="1"/>
  <c r="O597" i="1"/>
  <c r="N597" i="1"/>
  <c r="J597" i="1"/>
  <c r="I597" i="1"/>
  <c r="H597" i="1"/>
  <c r="G597" i="1"/>
  <c r="F597" i="1"/>
  <c r="E597" i="1"/>
  <c r="D597" i="1"/>
  <c r="C597" i="1"/>
  <c r="V596" i="1"/>
  <c r="Q596" i="1"/>
  <c r="P596" i="1"/>
  <c r="O596" i="1"/>
  <c r="N596" i="1"/>
  <c r="J596" i="1"/>
  <c r="I596" i="1"/>
  <c r="H596" i="1"/>
  <c r="G596" i="1"/>
  <c r="F596" i="1"/>
  <c r="E596" i="1"/>
  <c r="D596" i="1"/>
  <c r="C596" i="1"/>
  <c r="V595" i="1"/>
  <c r="Q595" i="1"/>
  <c r="P595" i="1"/>
  <c r="O595" i="1"/>
  <c r="N595" i="1"/>
  <c r="J595" i="1"/>
  <c r="I595" i="1"/>
  <c r="H595" i="1"/>
  <c r="G595" i="1"/>
  <c r="F595" i="1"/>
  <c r="E595" i="1"/>
  <c r="D595" i="1"/>
  <c r="C595" i="1"/>
  <c r="V594" i="1"/>
  <c r="Q594" i="1"/>
  <c r="P594" i="1"/>
  <c r="O594" i="1"/>
  <c r="N594" i="1"/>
  <c r="J594" i="1"/>
  <c r="I594" i="1"/>
  <c r="H594" i="1"/>
  <c r="G594" i="1"/>
  <c r="F594" i="1"/>
  <c r="E594" i="1"/>
  <c r="D594" i="1"/>
  <c r="C594" i="1"/>
  <c r="V593" i="1"/>
  <c r="Q593" i="1"/>
  <c r="P593" i="1"/>
  <c r="O593" i="1"/>
  <c r="N593" i="1"/>
  <c r="J593" i="1"/>
  <c r="I593" i="1"/>
  <c r="H593" i="1"/>
  <c r="G593" i="1"/>
  <c r="F593" i="1"/>
  <c r="E593" i="1"/>
  <c r="D593" i="1"/>
  <c r="C593" i="1"/>
  <c r="V592" i="1"/>
  <c r="Q592" i="1"/>
  <c r="P592" i="1"/>
  <c r="O592" i="1"/>
  <c r="N592" i="1"/>
  <c r="J592" i="1"/>
  <c r="I592" i="1"/>
  <c r="H592" i="1"/>
  <c r="G592" i="1"/>
  <c r="F592" i="1"/>
  <c r="E592" i="1"/>
  <c r="D592" i="1"/>
  <c r="C592" i="1"/>
  <c r="V591" i="1"/>
  <c r="Q591" i="1"/>
  <c r="P591" i="1"/>
  <c r="O591" i="1"/>
  <c r="N591" i="1"/>
  <c r="J591" i="1"/>
  <c r="I591" i="1"/>
  <c r="H591" i="1"/>
  <c r="G591" i="1"/>
  <c r="F591" i="1"/>
  <c r="E591" i="1"/>
  <c r="D591" i="1"/>
  <c r="C591" i="1"/>
  <c r="V590" i="1"/>
  <c r="Q590" i="1"/>
  <c r="P590" i="1"/>
  <c r="O590" i="1"/>
  <c r="N590" i="1"/>
  <c r="J590" i="1"/>
  <c r="I590" i="1"/>
  <c r="H590" i="1"/>
  <c r="G590" i="1"/>
  <c r="F590" i="1"/>
  <c r="E590" i="1"/>
  <c r="D590" i="1"/>
  <c r="C590" i="1"/>
  <c r="V589" i="1"/>
  <c r="Q589" i="1"/>
  <c r="P589" i="1"/>
  <c r="O589" i="1"/>
  <c r="N589" i="1"/>
  <c r="J589" i="1"/>
  <c r="I589" i="1"/>
  <c r="H589" i="1"/>
  <c r="G589" i="1"/>
  <c r="F589" i="1"/>
  <c r="E589" i="1"/>
  <c r="D589" i="1"/>
  <c r="C589" i="1"/>
  <c r="V588" i="1"/>
  <c r="Q588" i="1"/>
  <c r="P588" i="1"/>
  <c r="O588" i="1"/>
  <c r="N588" i="1"/>
  <c r="J588" i="1"/>
  <c r="I588" i="1"/>
  <c r="H588" i="1"/>
  <c r="G588" i="1"/>
  <c r="F588" i="1"/>
  <c r="E588" i="1"/>
  <c r="D588" i="1"/>
  <c r="C588" i="1"/>
  <c r="V587" i="1"/>
  <c r="Q587" i="1"/>
  <c r="P587" i="1"/>
  <c r="O587" i="1"/>
  <c r="N587" i="1"/>
  <c r="J587" i="1"/>
  <c r="I587" i="1"/>
  <c r="H587" i="1"/>
  <c r="G587" i="1"/>
  <c r="F587" i="1"/>
  <c r="E587" i="1"/>
  <c r="D587" i="1"/>
  <c r="C587" i="1"/>
  <c r="V586" i="1"/>
  <c r="Q586" i="1"/>
  <c r="P586" i="1"/>
  <c r="O586" i="1"/>
  <c r="N586" i="1"/>
  <c r="J586" i="1"/>
  <c r="I586" i="1"/>
  <c r="H586" i="1"/>
  <c r="G586" i="1"/>
  <c r="F586" i="1"/>
  <c r="E586" i="1"/>
  <c r="D586" i="1"/>
  <c r="C586" i="1"/>
  <c r="V585" i="1"/>
  <c r="Q585" i="1"/>
  <c r="P585" i="1"/>
  <c r="O585" i="1"/>
  <c r="N585" i="1"/>
  <c r="J585" i="1"/>
  <c r="I585" i="1"/>
  <c r="H585" i="1"/>
  <c r="G585" i="1"/>
  <c r="F585" i="1"/>
  <c r="E585" i="1"/>
  <c r="D585" i="1"/>
  <c r="C585" i="1"/>
  <c r="V584" i="1"/>
  <c r="Q584" i="1"/>
  <c r="P584" i="1"/>
  <c r="O584" i="1"/>
  <c r="N584" i="1"/>
  <c r="J584" i="1"/>
  <c r="I584" i="1"/>
  <c r="H584" i="1"/>
  <c r="G584" i="1"/>
  <c r="F584" i="1"/>
  <c r="E584" i="1"/>
  <c r="D584" i="1"/>
  <c r="C584" i="1"/>
  <c r="V583" i="1"/>
  <c r="Q583" i="1"/>
  <c r="P583" i="1"/>
  <c r="O583" i="1"/>
  <c r="N583" i="1"/>
  <c r="J583" i="1"/>
  <c r="I583" i="1"/>
  <c r="H583" i="1"/>
  <c r="G583" i="1"/>
  <c r="F583" i="1"/>
  <c r="E583" i="1"/>
  <c r="D583" i="1"/>
  <c r="C583" i="1"/>
  <c r="V582" i="1"/>
  <c r="Q582" i="1"/>
  <c r="P582" i="1"/>
  <c r="O582" i="1"/>
  <c r="N582" i="1"/>
  <c r="J582" i="1"/>
  <c r="I582" i="1"/>
  <c r="H582" i="1"/>
  <c r="G582" i="1"/>
  <c r="F582" i="1"/>
  <c r="E582" i="1"/>
  <c r="D582" i="1"/>
  <c r="C582" i="1"/>
  <c r="V581" i="1"/>
  <c r="Q581" i="1"/>
  <c r="P581" i="1"/>
  <c r="O581" i="1"/>
  <c r="N581" i="1"/>
  <c r="J581" i="1"/>
  <c r="I581" i="1"/>
  <c r="H581" i="1"/>
  <c r="G581" i="1"/>
  <c r="F581" i="1"/>
  <c r="E581" i="1"/>
  <c r="D581" i="1"/>
  <c r="C581" i="1"/>
  <c r="V580" i="1"/>
  <c r="Q580" i="1"/>
  <c r="P580" i="1"/>
  <c r="O580" i="1"/>
  <c r="N580" i="1"/>
  <c r="J580" i="1"/>
  <c r="I580" i="1"/>
  <c r="H580" i="1"/>
  <c r="G580" i="1"/>
  <c r="F580" i="1"/>
  <c r="E580" i="1"/>
  <c r="D580" i="1"/>
  <c r="C580" i="1"/>
  <c r="V579" i="1"/>
  <c r="Q579" i="1"/>
  <c r="P579" i="1"/>
  <c r="O579" i="1"/>
  <c r="N579" i="1"/>
  <c r="J579" i="1"/>
  <c r="I579" i="1"/>
  <c r="H579" i="1"/>
  <c r="G579" i="1"/>
  <c r="F579" i="1"/>
  <c r="E579" i="1"/>
  <c r="D579" i="1"/>
  <c r="C579" i="1"/>
  <c r="V578" i="1"/>
  <c r="Q578" i="1"/>
  <c r="P578" i="1"/>
  <c r="O578" i="1"/>
  <c r="N578" i="1"/>
  <c r="J578" i="1"/>
  <c r="I578" i="1"/>
  <c r="H578" i="1"/>
  <c r="G578" i="1"/>
  <c r="F578" i="1"/>
  <c r="E578" i="1"/>
  <c r="D578" i="1"/>
  <c r="C578" i="1"/>
  <c r="V577" i="1"/>
  <c r="Q577" i="1"/>
  <c r="P577" i="1"/>
  <c r="O577" i="1"/>
  <c r="N577" i="1"/>
  <c r="J577" i="1"/>
  <c r="I577" i="1"/>
  <c r="H577" i="1"/>
  <c r="G577" i="1"/>
  <c r="F577" i="1"/>
  <c r="E577" i="1"/>
  <c r="D577" i="1"/>
  <c r="C577" i="1"/>
  <c r="V576" i="1"/>
  <c r="Q576" i="1"/>
  <c r="P576" i="1"/>
  <c r="O576" i="1"/>
  <c r="N576" i="1"/>
  <c r="J576" i="1"/>
  <c r="I576" i="1"/>
  <c r="H576" i="1"/>
  <c r="G576" i="1"/>
  <c r="F576" i="1"/>
  <c r="E576" i="1"/>
  <c r="D576" i="1"/>
  <c r="C576" i="1"/>
  <c r="V575" i="1"/>
  <c r="Q575" i="1"/>
  <c r="P575" i="1"/>
  <c r="O575" i="1"/>
  <c r="N575" i="1"/>
  <c r="J575" i="1"/>
  <c r="I575" i="1"/>
  <c r="H575" i="1"/>
  <c r="G575" i="1"/>
  <c r="F575" i="1"/>
  <c r="E575" i="1"/>
  <c r="D575" i="1"/>
  <c r="C575" i="1"/>
  <c r="V574" i="1"/>
  <c r="Q574" i="1"/>
  <c r="P574" i="1"/>
  <c r="O574" i="1"/>
  <c r="N574" i="1"/>
  <c r="J574" i="1"/>
  <c r="I574" i="1"/>
  <c r="H574" i="1"/>
  <c r="G574" i="1"/>
  <c r="F574" i="1"/>
  <c r="E574" i="1"/>
  <c r="D574" i="1"/>
  <c r="C574" i="1"/>
  <c r="V573" i="1"/>
  <c r="Q573" i="1"/>
  <c r="P573" i="1"/>
  <c r="O573" i="1"/>
  <c r="N573" i="1"/>
  <c r="J573" i="1"/>
  <c r="I573" i="1"/>
  <c r="H573" i="1"/>
  <c r="G573" i="1"/>
  <c r="F573" i="1"/>
  <c r="E573" i="1"/>
  <c r="D573" i="1"/>
  <c r="C573" i="1"/>
  <c r="V572" i="1"/>
  <c r="Q572" i="1"/>
  <c r="P572" i="1"/>
  <c r="O572" i="1"/>
  <c r="N572" i="1"/>
  <c r="J572" i="1"/>
  <c r="I572" i="1"/>
  <c r="H572" i="1"/>
  <c r="G572" i="1"/>
  <c r="F572" i="1"/>
  <c r="E572" i="1"/>
  <c r="D572" i="1"/>
  <c r="C572" i="1"/>
  <c r="V571" i="1"/>
  <c r="Q571" i="1"/>
  <c r="P571" i="1"/>
  <c r="O571" i="1"/>
  <c r="N571" i="1"/>
  <c r="J571" i="1"/>
  <c r="I571" i="1"/>
  <c r="H571" i="1"/>
  <c r="G571" i="1"/>
  <c r="F571" i="1"/>
  <c r="E571" i="1"/>
  <c r="D571" i="1"/>
  <c r="C571" i="1"/>
  <c r="V570" i="1"/>
  <c r="Q570" i="1"/>
  <c r="P570" i="1"/>
  <c r="O570" i="1"/>
  <c r="N570" i="1"/>
  <c r="J570" i="1"/>
  <c r="I570" i="1"/>
  <c r="H570" i="1"/>
  <c r="G570" i="1"/>
  <c r="F570" i="1"/>
  <c r="E570" i="1"/>
  <c r="D570" i="1"/>
  <c r="C570" i="1"/>
  <c r="V569" i="1"/>
  <c r="Q569" i="1"/>
  <c r="P569" i="1"/>
  <c r="O569" i="1"/>
  <c r="N569" i="1"/>
  <c r="J569" i="1"/>
  <c r="I569" i="1"/>
  <c r="H569" i="1"/>
  <c r="G569" i="1"/>
  <c r="F569" i="1"/>
  <c r="E569" i="1"/>
  <c r="D569" i="1"/>
  <c r="C569" i="1"/>
  <c r="V568" i="1"/>
  <c r="Q568" i="1"/>
  <c r="P568" i="1"/>
  <c r="O568" i="1"/>
  <c r="N568" i="1"/>
  <c r="J568" i="1"/>
  <c r="I568" i="1"/>
  <c r="H568" i="1"/>
  <c r="G568" i="1"/>
  <c r="F568" i="1"/>
  <c r="E568" i="1"/>
  <c r="D568" i="1"/>
  <c r="C568" i="1"/>
  <c r="V567" i="1"/>
  <c r="Q567" i="1"/>
  <c r="P567" i="1"/>
  <c r="O567" i="1"/>
  <c r="N567" i="1"/>
  <c r="J567" i="1"/>
  <c r="I567" i="1"/>
  <c r="H567" i="1"/>
  <c r="G567" i="1"/>
  <c r="F567" i="1"/>
  <c r="E567" i="1"/>
  <c r="D567" i="1"/>
  <c r="C567" i="1"/>
  <c r="V566" i="1"/>
  <c r="Q566" i="1"/>
  <c r="P566" i="1"/>
  <c r="O566" i="1"/>
  <c r="N566" i="1"/>
  <c r="J566" i="1"/>
  <c r="I566" i="1"/>
  <c r="H566" i="1"/>
  <c r="G566" i="1"/>
  <c r="F566" i="1"/>
  <c r="E566" i="1"/>
  <c r="D566" i="1"/>
  <c r="C566" i="1"/>
  <c r="V565" i="1"/>
  <c r="Q565" i="1"/>
  <c r="P565" i="1"/>
  <c r="O565" i="1"/>
  <c r="N565" i="1"/>
  <c r="J565" i="1"/>
  <c r="I565" i="1"/>
  <c r="H565" i="1"/>
  <c r="G565" i="1"/>
  <c r="F565" i="1"/>
  <c r="E565" i="1"/>
  <c r="D565" i="1"/>
  <c r="C565" i="1"/>
  <c r="V564" i="1"/>
  <c r="Q564" i="1"/>
  <c r="P564" i="1"/>
  <c r="O564" i="1"/>
  <c r="N564" i="1"/>
  <c r="J564" i="1"/>
  <c r="I564" i="1"/>
  <c r="H564" i="1"/>
  <c r="G564" i="1"/>
  <c r="F564" i="1"/>
  <c r="E564" i="1"/>
  <c r="D564" i="1"/>
  <c r="C564" i="1"/>
  <c r="V563" i="1"/>
  <c r="Q563" i="1"/>
  <c r="P563" i="1"/>
  <c r="O563" i="1"/>
  <c r="N563" i="1"/>
  <c r="J563" i="1"/>
  <c r="I563" i="1"/>
  <c r="H563" i="1"/>
  <c r="G563" i="1"/>
  <c r="F563" i="1"/>
  <c r="E563" i="1"/>
  <c r="D563" i="1"/>
  <c r="C563" i="1"/>
  <c r="V562" i="1"/>
  <c r="Q562" i="1"/>
  <c r="P562" i="1"/>
  <c r="O562" i="1"/>
  <c r="N562" i="1"/>
  <c r="J562" i="1"/>
  <c r="I562" i="1"/>
  <c r="H562" i="1"/>
  <c r="G562" i="1"/>
  <c r="F562" i="1"/>
  <c r="E562" i="1"/>
  <c r="D562" i="1"/>
  <c r="C562" i="1"/>
  <c r="V561" i="1"/>
  <c r="Q561" i="1"/>
  <c r="P561" i="1"/>
  <c r="O561" i="1"/>
  <c r="N561" i="1"/>
  <c r="J561" i="1"/>
  <c r="I561" i="1"/>
  <c r="H561" i="1"/>
  <c r="G561" i="1"/>
  <c r="F561" i="1"/>
  <c r="E561" i="1"/>
  <c r="D561" i="1"/>
  <c r="C561" i="1"/>
  <c r="V560" i="1"/>
  <c r="Q560" i="1"/>
  <c r="P560" i="1"/>
  <c r="O560" i="1"/>
  <c r="N560" i="1"/>
  <c r="J560" i="1"/>
  <c r="I560" i="1"/>
  <c r="H560" i="1"/>
  <c r="G560" i="1"/>
  <c r="F560" i="1"/>
  <c r="E560" i="1"/>
  <c r="D560" i="1"/>
  <c r="C560" i="1"/>
  <c r="V559" i="1"/>
  <c r="Q559" i="1"/>
  <c r="P559" i="1"/>
  <c r="O559" i="1"/>
  <c r="N559" i="1"/>
  <c r="J559" i="1"/>
  <c r="I559" i="1"/>
  <c r="H559" i="1"/>
  <c r="G559" i="1"/>
  <c r="F559" i="1"/>
  <c r="E559" i="1"/>
  <c r="D559" i="1"/>
  <c r="C559" i="1"/>
  <c r="V558" i="1"/>
  <c r="Q558" i="1"/>
  <c r="P558" i="1"/>
  <c r="O558" i="1"/>
  <c r="N558" i="1"/>
  <c r="J558" i="1"/>
  <c r="I558" i="1"/>
  <c r="H558" i="1"/>
  <c r="G558" i="1"/>
  <c r="F558" i="1"/>
  <c r="E558" i="1"/>
  <c r="D558" i="1"/>
  <c r="C558" i="1"/>
  <c r="V557" i="1"/>
  <c r="Q557" i="1"/>
  <c r="P557" i="1"/>
  <c r="O557" i="1"/>
  <c r="N557" i="1"/>
  <c r="J557" i="1"/>
  <c r="I557" i="1"/>
  <c r="H557" i="1"/>
  <c r="G557" i="1"/>
  <c r="F557" i="1"/>
  <c r="E557" i="1"/>
  <c r="D557" i="1"/>
  <c r="C557" i="1"/>
  <c r="V556" i="1"/>
  <c r="Q556" i="1"/>
  <c r="P556" i="1"/>
  <c r="O556" i="1"/>
  <c r="N556" i="1"/>
  <c r="J556" i="1"/>
  <c r="I556" i="1"/>
  <c r="H556" i="1"/>
  <c r="G556" i="1"/>
  <c r="F556" i="1"/>
  <c r="E556" i="1"/>
  <c r="D556" i="1"/>
  <c r="C556" i="1"/>
  <c r="V555" i="1"/>
  <c r="Q555" i="1"/>
  <c r="P555" i="1"/>
  <c r="O555" i="1"/>
  <c r="N555" i="1"/>
  <c r="J555" i="1"/>
  <c r="I555" i="1"/>
  <c r="H555" i="1"/>
  <c r="G555" i="1"/>
  <c r="F555" i="1"/>
  <c r="E555" i="1"/>
  <c r="D555" i="1"/>
  <c r="C555" i="1"/>
  <c r="V554" i="1"/>
  <c r="Q554" i="1"/>
  <c r="P554" i="1"/>
  <c r="O554" i="1"/>
  <c r="N554" i="1"/>
  <c r="J554" i="1"/>
  <c r="I554" i="1"/>
  <c r="H554" i="1"/>
  <c r="G554" i="1"/>
  <c r="F554" i="1"/>
  <c r="E554" i="1"/>
  <c r="D554" i="1"/>
  <c r="C554" i="1"/>
  <c r="V553" i="1"/>
  <c r="Q553" i="1"/>
  <c r="P553" i="1"/>
  <c r="O553" i="1"/>
  <c r="N553" i="1"/>
  <c r="J553" i="1"/>
  <c r="I553" i="1"/>
  <c r="H553" i="1"/>
  <c r="G553" i="1"/>
  <c r="F553" i="1"/>
  <c r="E553" i="1"/>
  <c r="D553" i="1"/>
  <c r="C553" i="1"/>
  <c r="V552" i="1"/>
  <c r="Q552" i="1"/>
  <c r="P552" i="1"/>
  <c r="O552" i="1"/>
  <c r="N552" i="1"/>
  <c r="J552" i="1"/>
  <c r="I552" i="1"/>
  <c r="H552" i="1"/>
  <c r="G552" i="1"/>
  <c r="F552" i="1"/>
  <c r="E552" i="1"/>
  <c r="D552" i="1"/>
  <c r="C552" i="1"/>
  <c r="V551" i="1"/>
  <c r="Q551" i="1"/>
  <c r="P551" i="1"/>
  <c r="O551" i="1"/>
  <c r="N551" i="1"/>
  <c r="J551" i="1"/>
  <c r="I551" i="1"/>
  <c r="H551" i="1"/>
  <c r="G551" i="1"/>
  <c r="F551" i="1"/>
  <c r="E551" i="1"/>
  <c r="D551" i="1"/>
  <c r="C551" i="1"/>
  <c r="V550" i="1"/>
  <c r="Q550" i="1"/>
  <c r="P550" i="1"/>
  <c r="O550" i="1"/>
  <c r="N550" i="1"/>
  <c r="J550" i="1"/>
  <c r="I550" i="1"/>
  <c r="H550" i="1"/>
  <c r="G550" i="1"/>
  <c r="F550" i="1"/>
  <c r="E550" i="1"/>
  <c r="D550" i="1"/>
  <c r="C550" i="1"/>
  <c r="V549" i="1"/>
  <c r="Q549" i="1"/>
  <c r="P549" i="1"/>
  <c r="O549" i="1"/>
  <c r="N549" i="1"/>
  <c r="J549" i="1"/>
  <c r="I549" i="1"/>
  <c r="H549" i="1"/>
  <c r="G549" i="1"/>
  <c r="F549" i="1"/>
  <c r="E549" i="1"/>
  <c r="D549" i="1"/>
  <c r="C549" i="1"/>
  <c r="V548" i="1"/>
  <c r="Q548" i="1"/>
  <c r="P548" i="1"/>
  <c r="O548" i="1"/>
  <c r="N548" i="1"/>
  <c r="J548" i="1"/>
  <c r="I548" i="1"/>
  <c r="H548" i="1"/>
  <c r="G548" i="1"/>
  <c r="F548" i="1"/>
  <c r="E548" i="1"/>
  <c r="D548" i="1"/>
  <c r="C548" i="1"/>
  <c r="V547" i="1"/>
  <c r="Q547" i="1"/>
  <c r="P547" i="1"/>
  <c r="O547" i="1"/>
  <c r="N547" i="1"/>
  <c r="J547" i="1"/>
  <c r="I547" i="1"/>
  <c r="H547" i="1"/>
  <c r="G547" i="1"/>
  <c r="F547" i="1"/>
  <c r="E547" i="1"/>
  <c r="D547" i="1"/>
  <c r="C547" i="1"/>
  <c r="V546" i="1"/>
  <c r="Q546" i="1"/>
  <c r="P546" i="1"/>
  <c r="O546" i="1"/>
  <c r="N546" i="1"/>
  <c r="J546" i="1"/>
  <c r="I546" i="1"/>
  <c r="H546" i="1"/>
  <c r="G546" i="1"/>
  <c r="F546" i="1"/>
  <c r="E546" i="1"/>
  <c r="D546" i="1"/>
  <c r="C546" i="1"/>
  <c r="V545" i="1"/>
  <c r="Q545" i="1"/>
  <c r="P545" i="1"/>
  <c r="O545" i="1"/>
  <c r="N545" i="1"/>
  <c r="J545" i="1"/>
  <c r="I545" i="1"/>
  <c r="H545" i="1"/>
  <c r="G545" i="1"/>
  <c r="F545" i="1"/>
  <c r="E545" i="1"/>
  <c r="D545" i="1"/>
  <c r="C545" i="1"/>
  <c r="V544" i="1"/>
  <c r="Q544" i="1"/>
  <c r="P544" i="1"/>
  <c r="O544" i="1"/>
  <c r="N544" i="1"/>
  <c r="J544" i="1"/>
  <c r="I544" i="1"/>
  <c r="H544" i="1"/>
  <c r="G544" i="1"/>
  <c r="F544" i="1"/>
  <c r="E544" i="1"/>
  <c r="D544" i="1"/>
  <c r="C544" i="1"/>
  <c r="V543" i="1"/>
  <c r="Q543" i="1"/>
  <c r="P543" i="1"/>
  <c r="O543" i="1"/>
  <c r="N543" i="1"/>
  <c r="J543" i="1"/>
  <c r="I543" i="1"/>
  <c r="H543" i="1"/>
  <c r="G543" i="1"/>
  <c r="F543" i="1"/>
  <c r="E543" i="1"/>
  <c r="D543" i="1"/>
  <c r="C543" i="1"/>
  <c r="V542" i="1"/>
  <c r="Q542" i="1"/>
  <c r="P542" i="1"/>
  <c r="O542" i="1"/>
  <c r="N542" i="1"/>
  <c r="J542" i="1"/>
  <c r="I542" i="1"/>
  <c r="H542" i="1"/>
  <c r="G542" i="1"/>
  <c r="F542" i="1"/>
  <c r="E542" i="1"/>
  <c r="D542" i="1"/>
  <c r="C542" i="1"/>
  <c r="V541" i="1"/>
  <c r="Q541" i="1"/>
  <c r="P541" i="1"/>
  <c r="O541" i="1"/>
  <c r="N541" i="1"/>
  <c r="J541" i="1"/>
  <c r="I541" i="1"/>
  <c r="H541" i="1"/>
  <c r="G541" i="1"/>
  <c r="F541" i="1"/>
  <c r="E541" i="1"/>
  <c r="D541" i="1"/>
  <c r="C541" i="1"/>
  <c r="V540" i="1"/>
  <c r="Q540" i="1"/>
  <c r="P540" i="1"/>
  <c r="O540" i="1"/>
  <c r="N540" i="1"/>
  <c r="J540" i="1"/>
  <c r="I540" i="1"/>
  <c r="H540" i="1"/>
  <c r="G540" i="1"/>
  <c r="F540" i="1"/>
  <c r="E540" i="1"/>
  <c r="D540" i="1"/>
  <c r="C540" i="1"/>
  <c r="V539" i="1"/>
  <c r="Q539" i="1"/>
  <c r="P539" i="1"/>
  <c r="O539" i="1"/>
  <c r="N539" i="1"/>
  <c r="J539" i="1"/>
  <c r="I539" i="1"/>
  <c r="H539" i="1"/>
  <c r="G539" i="1"/>
  <c r="F539" i="1"/>
  <c r="E539" i="1"/>
  <c r="D539" i="1"/>
  <c r="C539" i="1"/>
  <c r="V538" i="1"/>
  <c r="Q538" i="1"/>
  <c r="P538" i="1"/>
  <c r="O538" i="1"/>
  <c r="N538" i="1"/>
  <c r="J538" i="1"/>
  <c r="I538" i="1"/>
  <c r="H538" i="1"/>
  <c r="G538" i="1"/>
  <c r="F538" i="1"/>
  <c r="E538" i="1"/>
  <c r="D538" i="1"/>
  <c r="C538" i="1"/>
  <c r="V537" i="1"/>
  <c r="Q537" i="1"/>
  <c r="P537" i="1"/>
  <c r="O537" i="1"/>
  <c r="N537" i="1"/>
  <c r="J537" i="1"/>
  <c r="I537" i="1"/>
  <c r="H537" i="1"/>
  <c r="G537" i="1"/>
  <c r="F537" i="1"/>
  <c r="E537" i="1"/>
  <c r="D537" i="1"/>
  <c r="C537" i="1"/>
  <c r="V536" i="1"/>
  <c r="Q536" i="1"/>
  <c r="P536" i="1"/>
  <c r="O536" i="1"/>
  <c r="N536" i="1"/>
  <c r="J536" i="1"/>
  <c r="I536" i="1"/>
  <c r="H536" i="1"/>
  <c r="G536" i="1"/>
  <c r="F536" i="1"/>
  <c r="E536" i="1"/>
  <c r="D536" i="1"/>
  <c r="C536" i="1"/>
  <c r="V535" i="1"/>
  <c r="Q535" i="1"/>
  <c r="P535" i="1"/>
  <c r="O535" i="1"/>
  <c r="N535" i="1"/>
  <c r="J535" i="1"/>
  <c r="I535" i="1"/>
  <c r="H535" i="1"/>
  <c r="G535" i="1"/>
  <c r="F535" i="1"/>
  <c r="E535" i="1"/>
  <c r="D535" i="1"/>
  <c r="C535" i="1"/>
  <c r="V534" i="1"/>
  <c r="Q534" i="1"/>
  <c r="P534" i="1"/>
  <c r="O534" i="1"/>
  <c r="N534" i="1"/>
  <c r="J534" i="1"/>
  <c r="I534" i="1"/>
  <c r="H534" i="1"/>
  <c r="G534" i="1"/>
  <c r="F534" i="1"/>
  <c r="E534" i="1"/>
  <c r="D534" i="1"/>
  <c r="C534" i="1"/>
  <c r="V533" i="1"/>
  <c r="Q533" i="1"/>
  <c r="P533" i="1"/>
  <c r="O533" i="1"/>
  <c r="N533" i="1"/>
  <c r="J533" i="1"/>
  <c r="I533" i="1"/>
  <c r="H533" i="1"/>
  <c r="G533" i="1"/>
  <c r="F533" i="1"/>
  <c r="E533" i="1"/>
  <c r="D533" i="1"/>
  <c r="C533" i="1"/>
  <c r="V532" i="1"/>
  <c r="Q532" i="1"/>
  <c r="P532" i="1"/>
  <c r="O532" i="1"/>
  <c r="N532" i="1"/>
  <c r="J532" i="1"/>
  <c r="I532" i="1"/>
  <c r="H532" i="1"/>
  <c r="G532" i="1"/>
  <c r="F532" i="1"/>
  <c r="E532" i="1"/>
  <c r="D532" i="1"/>
  <c r="C532" i="1"/>
  <c r="V531" i="1"/>
  <c r="Q531" i="1"/>
  <c r="P531" i="1"/>
  <c r="O531" i="1"/>
  <c r="N531" i="1"/>
  <c r="J531" i="1"/>
  <c r="I531" i="1"/>
  <c r="H531" i="1"/>
  <c r="G531" i="1"/>
  <c r="F531" i="1"/>
  <c r="E531" i="1"/>
  <c r="D531" i="1"/>
  <c r="C531" i="1"/>
  <c r="V530" i="1"/>
  <c r="Q530" i="1"/>
  <c r="P530" i="1"/>
  <c r="O530" i="1"/>
  <c r="N530" i="1"/>
  <c r="J530" i="1"/>
  <c r="I530" i="1"/>
  <c r="H530" i="1"/>
  <c r="G530" i="1"/>
  <c r="F530" i="1"/>
  <c r="E530" i="1"/>
  <c r="D530" i="1"/>
  <c r="C530" i="1"/>
  <c r="V529" i="1"/>
  <c r="Q529" i="1"/>
  <c r="P529" i="1"/>
  <c r="O529" i="1"/>
  <c r="N529" i="1"/>
  <c r="J529" i="1"/>
  <c r="I529" i="1"/>
  <c r="H529" i="1"/>
  <c r="G529" i="1"/>
  <c r="F529" i="1"/>
  <c r="E529" i="1"/>
  <c r="D529" i="1"/>
  <c r="C529" i="1"/>
  <c r="V528" i="1"/>
  <c r="Q528" i="1"/>
  <c r="P528" i="1"/>
  <c r="O528" i="1"/>
  <c r="N528" i="1"/>
  <c r="J528" i="1"/>
  <c r="I528" i="1"/>
  <c r="H528" i="1"/>
  <c r="G528" i="1"/>
  <c r="F528" i="1"/>
  <c r="E528" i="1"/>
  <c r="D528" i="1"/>
  <c r="C528" i="1"/>
  <c r="V527" i="1"/>
  <c r="Q527" i="1"/>
  <c r="P527" i="1"/>
  <c r="O527" i="1"/>
  <c r="N527" i="1"/>
  <c r="J527" i="1"/>
  <c r="I527" i="1"/>
  <c r="H527" i="1"/>
  <c r="G527" i="1"/>
  <c r="F527" i="1"/>
  <c r="E527" i="1"/>
  <c r="D527" i="1"/>
  <c r="C527" i="1"/>
  <c r="V526" i="1"/>
  <c r="Q526" i="1"/>
  <c r="P526" i="1"/>
  <c r="O526" i="1"/>
  <c r="N526" i="1"/>
  <c r="J526" i="1"/>
  <c r="I526" i="1"/>
  <c r="H526" i="1"/>
  <c r="G526" i="1"/>
  <c r="F526" i="1"/>
  <c r="E526" i="1"/>
  <c r="D526" i="1"/>
  <c r="C526" i="1"/>
  <c r="V525" i="1"/>
  <c r="Q525" i="1"/>
  <c r="P525" i="1"/>
  <c r="O525" i="1"/>
  <c r="N525" i="1"/>
  <c r="J525" i="1"/>
  <c r="I525" i="1"/>
  <c r="H525" i="1"/>
  <c r="G525" i="1"/>
  <c r="F525" i="1"/>
  <c r="E525" i="1"/>
  <c r="D525" i="1"/>
  <c r="C525" i="1"/>
  <c r="V524" i="1"/>
  <c r="Q524" i="1"/>
  <c r="P524" i="1"/>
  <c r="O524" i="1"/>
  <c r="N524" i="1"/>
  <c r="J524" i="1"/>
  <c r="I524" i="1"/>
  <c r="H524" i="1"/>
  <c r="G524" i="1"/>
  <c r="F524" i="1"/>
  <c r="E524" i="1"/>
  <c r="D524" i="1"/>
  <c r="C524" i="1"/>
  <c r="V523" i="1"/>
  <c r="Q523" i="1"/>
  <c r="P523" i="1"/>
  <c r="O523" i="1"/>
  <c r="N523" i="1"/>
  <c r="J523" i="1"/>
  <c r="I523" i="1"/>
  <c r="H523" i="1"/>
  <c r="G523" i="1"/>
  <c r="F523" i="1"/>
  <c r="E523" i="1"/>
  <c r="D523" i="1"/>
  <c r="C523" i="1"/>
  <c r="V522" i="1"/>
  <c r="Q522" i="1"/>
  <c r="P522" i="1"/>
  <c r="O522" i="1"/>
  <c r="N522" i="1"/>
  <c r="J522" i="1"/>
  <c r="I522" i="1"/>
  <c r="H522" i="1"/>
  <c r="G522" i="1"/>
  <c r="F522" i="1"/>
  <c r="E522" i="1"/>
  <c r="D522" i="1"/>
  <c r="C522" i="1"/>
  <c r="V521" i="1"/>
  <c r="Q521" i="1"/>
  <c r="P521" i="1"/>
  <c r="O521" i="1"/>
  <c r="N521" i="1"/>
  <c r="J521" i="1"/>
  <c r="I521" i="1"/>
  <c r="H521" i="1"/>
  <c r="G521" i="1"/>
  <c r="F521" i="1"/>
  <c r="E521" i="1"/>
  <c r="D521" i="1"/>
  <c r="C521" i="1"/>
  <c r="V520" i="1"/>
  <c r="Q520" i="1"/>
  <c r="P520" i="1"/>
  <c r="O520" i="1"/>
  <c r="N520" i="1"/>
  <c r="J520" i="1"/>
  <c r="I520" i="1"/>
  <c r="H520" i="1"/>
  <c r="G520" i="1"/>
  <c r="F520" i="1"/>
  <c r="E520" i="1"/>
  <c r="D520" i="1"/>
  <c r="C520" i="1"/>
  <c r="V519" i="1"/>
  <c r="Q519" i="1"/>
  <c r="P519" i="1"/>
  <c r="O519" i="1"/>
  <c r="N519" i="1"/>
  <c r="J519" i="1"/>
  <c r="I519" i="1"/>
  <c r="H519" i="1"/>
  <c r="G519" i="1"/>
  <c r="F519" i="1"/>
  <c r="E519" i="1"/>
  <c r="D519" i="1"/>
  <c r="C519" i="1"/>
  <c r="V518" i="1"/>
  <c r="Q518" i="1"/>
  <c r="P518" i="1"/>
  <c r="O518" i="1"/>
  <c r="N518" i="1"/>
  <c r="J518" i="1"/>
  <c r="I518" i="1"/>
  <c r="H518" i="1"/>
  <c r="G518" i="1"/>
  <c r="F518" i="1"/>
  <c r="E518" i="1"/>
  <c r="D518" i="1"/>
  <c r="C518" i="1"/>
  <c r="V517" i="1"/>
  <c r="Q517" i="1"/>
  <c r="P517" i="1"/>
  <c r="O517" i="1"/>
  <c r="N517" i="1"/>
  <c r="J517" i="1"/>
  <c r="I517" i="1"/>
  <c r="H517" i="1"/>
  <c r="G517" i="1"/>
  <c r="F517" i="1"/>
  <c r="E517" i="1"/>
  <c r="D517" i="1"/>
  <c r="C517" i="1"/>
  <c r="V516" i="1"/>
  <c r="Q516" i="1"/>
  <c r="P516" i="1"/>
  <c r="O516" i="1"/>
  <c r="N516" i="1"/>
  <c r="J516" i="1"/>
  <c r="I516" i="1"/>
  <c r="H516" i="1"/>
  <c r="G516" i="1"/>
  <c r="F516" i="1"/>
  <c r="E516" i="1"/>
  <c r="D516" i="1"/>
  <c r="C516" i="1"/>
  <c r="V515" i="1"/>
  <c r="Q515" i="1"/>
  <c r="P515" i="1"/>
  <c r="O515" i="1"/>
  <c r="N515" i="1"/>
  <c r="J515" i="1"/>
  <c r="I515" i="1"/>
  <c r="H515" i="1"/>
  <c r="G515" i="1"/>
  <c r="F515" i="1"/>
  <c r="E515" i="1"/>
  <c r="D515" i="1"/>
  <c r="C515" i="1"/>
  <c r="V514" i="1"/>
  <c r="Q514" i="1"/>
  <c r="P514" i="1"/>
  <c r="O514" i="1"/>
  <c r="N514" i="1"/>
  <c r="J514" i="1"/>
  <c r="I514" i="1"/>
  <c r="H514" i="1"/>
  <c r="G514" i="1"/>
  <c r="F514" i="1"/>
  <c r="E514" i="1"/>
  <c r="D514" i="1"/>
  <c r="C514" i="1"/>
  <c r="V513" i="1"/>
  <c r="Q513" i="1"/>
  <c r="P513" i="1"/>
  <c r="O513" i="1"/>
  <c r="N513" i="1"/>
  <c r="J513" i="1"/>
  <c r="I513" i="1"/>
  <c r="H513" i="1"/>
  <c r="G513" i="1"/>
  <c r="F513" i="1"/>
  <c r="E513" i="1"/>
  <c r="D513" i="1"/>
  <c r="C513" i="1"/>
  <c r="V512" i="1"/>
  <c r="Q512" i="1"/>
  <c r="P512" i="1"/>
  <c r="O512" i="1"/>
  <c r="N512" i="1"/>
  <c r="J512" i="1"/>
  <c r="I512" i="1"/>
  <c r="H512" i="1"/>
  <c r="G512" i="1"/>
  <c r="F512" i="1"/>
  <c r="E512" i="1"/>
  <c r="D512" i="1"/>
  <c r="C512" i="1"/>
  <c r="V511" i="1"/>
  <c r="Q511" i="1"/>
  <c r="P511" i="1"/>
  <c r="O511" i="1"/>
  <c r="N511" i="1"/>
  <c r="J511" i="1"/>
  <c r="I511" i="1"/>
  <c r="H511" i="1"/>
  <c r="G511" i="1"/>
  <c r="F511" i="1"/>
  <c r="E511" i="1"/>
  <c r="D511" i="1"/>
  <c r="C511" i="1"/>
  <c r="V510" i="1"/>
  <c r="Q510" i="1"/>
  <c r="P510" i="1"/>
  <c r="O510" i="1"/>
  <c r="N510" i="1"/>
  <c r="J510" i="1"/>
  <c r="I510" i="1"/>
  <c r="H510" i="1"/>
  <c r="G510" i="1"/>
  <c r="F510" i="1"/>
  <c r="E510" i="1"/>
  <c r="D510" i="1"/>
  <c r="C510" i="1"/>
  <c r="V509" i="1"/>
  <c r="Q509" i="1"/>
  <c r="P509" i="1"/>
  <c r="O509" i="1"/>
  <c r="N509" i="1"/>
  <c r="J509" i="1"/>
  <c r="I509" i="1"/>
  <c r="H509" i="1"/>
  <c r="G509" i="1"/>
  <c r="F509" i="1"/>
  <c r="E509" i="1"/>
  <c r="D509" i="1"/>
  <c r="C509" i="1"/>
  <c r="V508" i="1"/>
  <c r="Q508" i="1"/>
  <c r="P508" i="1"/>
  <c r="O508" i="1"/>
  <c r="N508" i="1"/>
  <c r="J508" i="1"/>
  <c r="I508" i="1"/>
  <c r="H508" i="1"/>
  <c r="G508" i="1"/>
  <c r="F508" i="1"/>
  <c r="E508" i="1"/>
  <c r="D508" i="1"/>
  <c r="C508" i="1"/>
  <c r="V507" i="1"/>
  <c r="Q507" i="1"/>
  <c r="P507" i="1"/>
  <c r="O507" i="1"/>
  <c r="N507" i="1"/>
  <c r="J507" i="1"/>
  <c r="I507" i="1"/>
  <c r="H507" i="1"/>
  <c r="G507" i="1"/>
  <c r="F507" i="1"/>
  <c r="E507" i="1"/>
  <c r="D507" i="1"/>
  <c r="C507" i="1"/>
  <c r="V506" i="1"/>
  <c r="Q506" i="1"/>
  <c r="P506" i="1"/>
  <c r="O506" i="1"/>
  <c r="N506" i="1"/>
  <c r="J506" i="1"/>
  <c r="I506" i="1"/>
  <c r="H506" i="1"/>
  <c r="G506" i="1"/>
  <c r="F506" i="1"/>
  <c r="E506" i="1"/>
  <c r="D506" i="1"/>
  <c r="C506" i="1"/>
  <c r="V505" i="1"/>
  <c r="Q505" i="1"/>
  <c r="P505" i="1"/>
  <c r="O505" i="1"/>
  <c r="N505" i="1"/>
  <c r="J505" i="1"/>
  <c r="I505" i="1"/>
  <c r="H505" i="1"/>
  <c r="G505" i="1"/>
  <c r="F505" i="1"/>
  <c r="E505" i="1"/>
  <c r="D505" i="1"/>
  <c r="C505" i="1"/>
  <c r="V504" i="1"/>
  <c r="Q504" i="1"/>
  <c r="P504" i="1"/>
  <c r="O504" i="1"/>
  <c r="N504" i="1"/>
  <c r="J504" i="1"/>
  <c r="I504" i="1"/>
  <c r="H504" i="1"/>
  <c r="G504" i="1"/>
  <c r="F504" i="1"/>
  <c r="E504" i="1"/>
  <c r="D504" i="1"/>
  <c r="C504" i="1"/>
  <c r="V503" i="1"/>
  <c r="Q503" i="1"/>
  <c r="P503" i="1"/>
  <c r="O503" i="1"/>
  <c r="N503" i="1"/>
  <c r="J503" i="1"/>
  <c r="I503" i="1"/>
  <c r="H503" i="1"/>
  <c r="G503" i="1"/>
  <c r="F503" i="1"/>
  <c r="E503" i="1"/>
  <c r="D503" i="1"/>
  <c r="C503" i="1"/>
  <c r="V502" i="1"/>
  <c r="Q502" i="1"/>
  <c r="P502" i="1"/>
  <c r="O502" i="1"/>
  <c r="N502" i="1"/>
  <c r="J502" i="1"/>
  <c r="I502" i="1"/>
  <c r="H502" i="1"/>
  <c r="G502" i="1"/>
  <c r="F502" i="1"/>
  <c r="E502" i="1"/>
  <c r="D502" i="1"/>
  <c r="C502" i="1"/>
  <c r="V501" i="1"/>
  <c r="Q501" i="1"/>
  <c r="P501" i="1"/>
  <c r="O501" i="1"/>
  <c r="N501" i="1"/>
  <c r="J501" i="1"/>
  <c r="I501" i="1"/>
  <c r="H501" i="1"/>
  <c r="G501" i="1"/>
  <c r="F501" i="1"/>
  <c r="E501" i="1"/>
  <c r="D501" i="1"/>
  <c r="C501" i="1"/>
  <c r="V500" i="1"/>
  <c r="Q500" i="1"/>
  <c r="P500" i="1"/>
  <c r="O500" i="1"/>
  <c r="N500" i="1"/>
  <c r="J500" i="1"/>
  <c r="I500" i="1"/>
  <c r="H500" i="1"/>
  <c r="G500" i="1"/>
  <c r="F500" i="1"/>
  <c r="E500" i="1"/>
  <c r="D500" i="1"/>
  <c r="C500" i="1"/>
  <c r="V499" i="1"/>
  <c r="Q499" i="1"/>
  <c r="P499" i="1"/>
  <c r="O499" i="1"/>
  <c r="N499" i="1"/>
  <c r="J499" i="1"/>
  <c r="I499" i="1"/>
  <c r="H499" i="1"/>
  <c r="G499" i="1"/>
  <c r="F499" i="1"/>
  <c r="E499" i="1"/>
  <c r="D499" i="1"/>
  <c r="C499" i="1"/>
  <c r="V498" i="1"/>
  <c r="Q498" i="1"/>
  <c r="P498" i="1"/>
  <c r="O498" i="1"/>
  <c r="N498" i="1"/>
  <c r="J498" i="1"/>
  <c r="I498" i="1"/>
  <c r="H498" i="1"/>
  <c r="G498" i="1"/>
  <c r="F498" i="1"/>
  <c r="E498" i="1"/>
  <c r="D498" i="1"/>
  <c r="C498" i="1"/>
  <c r="V497" i="1"/>
  <c r="Q497" i="1"/>
  <c r="P497" i="1"/>
  <c r="O497" i="1"/>
  <c r="N497" i="1"/>
  <c r="J497" i="1"/>
  <c r="I497" i="1"/>
  <c r="H497" i="1"/>
  <c r="G497" i="1"/>
  <c r="F497" i="1"/>
  <c r="E497" i="1"/>
  <c r="D497" i="1"/>
  <c r="C497" i="1"/>
  <c r="V496" i="1"/>
  <c r="Q496" i="1"/>
  <c r="P496" i="1"/>
  <c r="O496" i="1"/>
  <c r="N496" i="1"/>
  <c r="J496" i="1"/>
  <c r="I496" i="1"/>
  <c r="H496" i="1"/>
  <c r="G496" i="1"/>
  <c r="F496" i="1"/>
  <c r="E496" i="1"/>
  <c r="D496" i="1"/>
  <c r="C496" i="1"/>
  <c r="V495" i="1"/>
  <c r="Q495" i="1"/>
  <c r="P495" i="1"/>
  <c r="O495" i="1"/>
  <c r="N495" i="1"/>
  <c r="J495" i="1"/>
  <c r="I495" i="1"/>
  <c r="H495" i="1"/>
  <c r="G495" i="1"/>
  <c r="F495" i="1"/>
  <c r="E495" i="1"/>
  <c r="D495" i="1"/>
  <c r="C495" i="1"/>
  <c r="V494" i="1"/>
  <c r="Q494" i="1"/>
  <c r="P494" i="1"/>
  <c r="O494" i="1"/>
  <c r="N494" i="1"/>
  <c r="J494" i="1"/>
  <c r="I494" i="1"/>
  <c r="H494" i="1"/>
  <c r="G494" i="1"/>
  <c r="F494" i="1"/>
  <c r="E494" i="1"/>
  <c r="D494" i="1"/>
  <c r="C494" i="1"/>
  <c r="V493" i="1"/>
  <c r="Q493" i="1"/>
  <c r="P493" i="1"/>
  <c r="O493" i="1"/>
  <c r="N493" i="1"/>
  <c r="J493" i="1"/>
  <c r="I493" i="1"/>
  <c r="H493" i="1"/>
  <c r="G493" i="1"/>
  <c r="F493" i="1"/>
  <c r="E493" i="1"/>
  <c r="D493" i="1"/>
  <c r="C493" i="1"/>
  <c r="V492" i="1"/>
  <c r="Q492" i="1"/>
  <c r="P492" i="1"/>
  <c r="O492" i="1"/>
  <c r="N492" i="1"/>
  <c r="J492" i="1"/>
  <c r="I492" i="1"/>
  <c r="H492" i="1"/>
  <c r="G492" i="1"/>
  <c r="F492" i="1"/>
  <c r="E492" i="1"/>
  <c r="D492" i="1"/>
  <c r="C492" i="1"/>
  <c r="V491" i="1"/>
  <c r="Q491" i="1"/>
  <c r="P491" i="1"/>
  <c r="O491" i="1"/>
  <c r="N491" i="1"/>
  <c r="J491" i="1"/>
  <c r="I491" i="1"/>
  <c r="H491" i="1"/>
  <c r="G491" i="1"/>
  <c r="F491" i="1"/>
  <c r="E491" i="1"/>
  <c r="D491" i="1"/>
  <c r="C491" i="1"/>
  <c r="V490" i="1"/>
  <c r="Q490" i="1"/>
  <c r="P490" i="1"/>
  <c r="O490" i="1"/>
  <c r="N490" i="1"/>
  <c r="J490" i="1"/>
  <c r="I490" i="1"/>
  <c r="H490" i="1"/>
  <c r="G490" i="1"/>
  <c r="F490" i="1"/>
  <c r="E490" i="1"/>
  <c r="D490" i="1"/>
  <c r="C490" i="1"/>
  <c r="V489" i="1"/>
  <c r="Q489" i="1"/>
  <c r="P489" i="1"/>
  <c r="O489" i="1"/>
  <c r="N489" i="1"/>
  <c r="J489" i="1"/>
  <c r="I489" i="1"/>
  <c r="H489" i="1"/>
  <c r="G489" i="1"/>
  <c r="F489" i="1"/>
  <c r="E489" i="1"/>
  <c r="D489" i="1"/>
  <c r="C489" i="1"/>
  <c r="V488" i="1"/>
  <c r="Q488" i="1"/>
  <c r="P488" i="1"/>
  <c r="O488" i="1"/>
  <c r="N488" i="1"/>
  <c r="J488" i="1"/>
  <c r="I488" i="1"/>
  <c r="H488" i="1"/>
  <c r="G488" i="1"/>
  <c r="F488" i="1"/>
  <c r="E488" i="1"/>
  <c r="D488" i="1"/>
  <c r="C488" i="1"/>
  <c r="V487" i="1"/>
  <c r="Q487" i="1"/>
  <c r="P487" i="1"/>
  <c r="O487" i="1"/>
  <c r="N487" i="1"/>
  <c r="J487" i="1"/>
  <c r="I487" i="1"/>
  <c r="H487" i="1"/>
  <c r="G487" i="1"/>
  <c r="F487" i="1"/>
  <c r="E487" i="1"/>
  <c r="D487" i="1"/>
  <c r="C487" i="1"/>
  <c r="V486" i="1"/>
  <c r="Q486" i="1"/>
  <c r="P486" i="1"/>
  <c r="O486" i="1"/>
  <c r="N486" i="1"/>
  <c r="J486" i="1"/>
  <c r="I486" i="1"/>
  <c r="H486" i="1"/>
  <c r="G486" i="1"/>
  <c r="F486" i="1"/>
  <c r="E486" i="1"/>
  <c r="D486" i="1"/>
  <c r="C486" i="1"/>
  <c r="V485" i="1"/>
  <c r="Q485" i="1"/>
  <c r="P485" i="1"/>
  <c r="O485" i="1"/>
  <c r="N485" i="1"/>
  <c r="J485" i="1"/>
  <c r="I485" i="1"/>
  <c r="H485" i="1"/>
  <c r="G485" i="1"/>
  <c r="F485" i="1"/>
  <c r="E485" i="1"/>
  <c r="D485" i="1"/>
  <c r="C485" i="1"/>
  <c r="V484" i="1"/>
  <c r="Q484" i="1"/>
  <c r="P484" i="1"/>
  <c r="O484" i="1"/>
  <c r="N484" i="1"/>
  <c r="J484" i="1"/>
  <c r="I484" i="1"/>
  <c r="H484" i="1"/>
  <c r="G484" i="1"/>
  <c r="F484" i="1"/>
  <c r="E484" i="1"/>
  <c r="D484" i="1"/>
  <c r="C484" i="1"/>
  <c r="V483" i="1"/>
  <c r="Q483" i="1"/>
  <c r="P483" i="1"/>
  <c r="O483" i="1"/>
  <c r="N483" i="1"/>
  <c r="J483" i="1"/>
  <c r="I483" i="1"/>
  <c r="H483" i="1"/>
  <c r="G483" i="1"/>
  <c r="F483" i="1"/>
  <c r="E483" i="1"/>
  <c r="D483" i="1"/>
  <c r="C483" i="1"/>
  <c r="V482" i="1"/>
  <c r="Q482" i="1"/>
  <c r="P482" i="1"/>
  <c r="O482" i="1"/>
  <c r="N482" i="1"/>
  <c r="J482" i="1"/>
  <c r="I482" i="1"/>
  <c r="H482" i="1"/>
  <c r="G482" i="1"/>
  <c r="F482" i="1"/>
  <c r="E482" i="1"/>
  <c r="D482" i="1"/>
  <c r="C482" i="1"/>
  <c r="V481" i="1"/>
  <c r="Q481" i="1"/>
  <c r="P481" i="1"/>
  <c r="O481" i="1"/>
  <c r="N481" i="1"/>
  <c r="J481" i="1"/>
  <c r="I481" i="1"/>
  <c r="H481" i="1"/>
  <c r="G481" i="1"/>
  <c r="F481" i="1"/>
  <c r="E481" i="1"/>
  <c r="D481" i="1"/>
  <c r="C481" i="1"/>
  <c r="V480" i="1"/>
  <c r="Q480" i="1"/>
  <c r="P480" i="1"/>
  <c r="O480" i="1"/>
  <c r="N480" i="1"/>
  <c r="J480" i="1"/>
  <c r="I480" i="1"/>
  <c r="H480" i="1"/>
  <c r="G480" i="1"/>
  <c r="F480" i="1"/>
  <c r="E480" i="1"/>
  <c r="D480" i="1"/>
  <c r="C480" i="1"/>
  <c r="V479" i="1"/>
  <c r="Q479" i="1"/>
  <c r="P479" i="1"/>
  <c r="O479" i="1"/>
  <c r="N479" i="1"/>
  <c r="J479" i="1"/>
  <c r="I479" i="1"/>
  <c r="H479" i="1"/>
  <c r="G479" i="1"/>
  <c r="F479" i="1"/>
  <c r="E479" i="1"/>
  <c r="D479" i="1"/>
  <c r="C479" i="1"/>
  <c r="V478" i="1"/>
  <c r="Q478" i="1"/>
  <c r="P478" i="1"/>
  <c r="O478" i="1"/>
  <c r="N478" i="1"/>
  <c r="J478" i="1"/>
  <c r="I478" i="1"/>
  <c r="H478" i="1"/>
  <c r="G478" i="1"/>
  <c r="F478" i="1"/>
  <c r="E478" i="1"/>
  <c r="D478" i="1"/>
  <c r="C478" i="1"/>
  <c r="V477" i="1"/>
  <c r="Q477" i="1"/>
  <c r="P477" i="1"/>
  <c r="O477" i="1"/>
  <c r="N477" i="1"/>
  <c r="J477" i="1"/>
  <c r="I477" i="1"/>
  <c r="H477" i="1"/>
  <c r="G477" i="1"/>
  <c r="F477" i="1"/>
  <c r="E477" i="1"/>
  <c r="D477" i="1"/>
  <c r="C477" i="1"/>
  <c r="V476" i="1"/>
  <c r="Q476" i="1"/>
  <c r="P476" i="1"/>
  <c r="O476" i="1"/>
  <c r="N476" i="1"/>
  <c r="J476" i="1"/>
  <c r="I476" i="1"/>
  <c r="H476" i="1"/>
  <c r="G476" i="1"/>
  <c r="F476" i="1"/>
  <c r="E476" i="1"/>
  <c r="D476" i="1"/>
  <c r="C476" i="1"/>
  <c r="V475" i="1"/>
  <c r="Q475" i="1"/>
  <c r="P475" i="1"/>
  <c r="O475" i="1"/>
  <c r="N475" i="1"/>
  <c r="J475" i="1"/>
  <c r="I475" i="1"/>
  <c r="H475" i="1"/>
  <c r="G475" i="1"/>
  <c r="F475" i="1"/>
  <c r="E475" i="1"/>
  <c r="D475" i="1"/>
  <c r="C475" i="1"/>
  <c r="V474" i="1"/>
  <c r="Q474" i="1"/>
  <c r="P474" i="1"/>
  <c r="O474" i="1"/>
  <c r="N474" i="1"/>
  <c r="J474" i="1"/>
  <c r="I474" i="1"/>
  <c r="H474" i="1"/>
  <c r="G474" i="1"/>
  <c r="F474" i="1"/>
  <c r="E474" i="1"/>
  <c r="D474" i="1"/>
  <c r="C474" i="1"/>
  <c r="V473" i="1"/>
  <c r="Q473" i="1"/>
  <c r="P473" i="1"/>
  <c r="O473" i="1"/>
  <c r="N473" i="1"/>
  <c r="J473" i="1"/>
  <c r="I473" i="1"/>
  <c r="H473" i="1"/>
  <c r="G473" i="1"/>
  <c r="F473" i="1"/>
  <c r="E473" i="1"/>
  <c r="D473" i="1"/>
  <c r="C473" i="1"/>
  <c r="V472" i="1"/>
  <c r="Q472" i="1"/>
  <c r="P472" i="1"/>
  <c r="O472" i="1"/>
  <c r="N472" i="1"/>
  <c r="J472" i="1"/>
  <c r="I472" i="1"/>
  <c r="H472" i="1"/>
  <c r="G472" i="1"/>
  <c r="F472" i="1"/>
  <c r="E472" i="1"/>
  <c r="D472" i="1"/>
  <c r="C472" i="1"/>
  <c r="V471" i="1"/>
  <c r="Q471" i="1"/>
  <c r="P471" i="1"/>
  <c r="O471" i="1"/>
  <c r="N471" i="1"/>
  <c r="J471" i="1"/>
  <c r="I471" i="1"/>
  <c r="H471" i="1"/>
  <c r="G471" i="1"/>
  <c r="F471" i="1"/>
  <c r="E471" i="1"/>
  <c r="D471" i="1"/>
  <c r="C471" i="1"/>
  <c r="V470" i="1"/>
  <c r="Q470" i="1"/>
  <c r="P470" i="1"/>
  <c r="O470" i="1"/>
  <c r="N470" i="1"/>
  <c r="J470" i="1"/>
  <c r="I470" i="1"/>
  <c r="H470" i="1"/>
  <c r="G470" i="1"/>
  <c r="F470" i="1"/>
  <c r="E470" i="1"/>
  <c r="D470" i="1"/>
  <c r="C470" i="1"/>
  <c r="V469" i="1"/>
  <c r="Q469" i="1"/>
  <c r="P469" i="1"/>
  <c r="O469" i="1"/>
  <c r="N469" i="1"/>
  <c r="J469" i="1"/>
  <c r="I469" i="1"/>
  <c r="H469" i="1"/>
  <c r="G469" i="1"/>
  <c r="F469" i="1"/>
  <c r="E469" i="1"/>
  <c r="D469" i="1"/>
  <c r="C469" i="1"/>
  <c r="V468" i="1"/>
  <c r="Q468" i="1"/>
  <c r="P468" i="1"/>
  <c r="O468" i="1"/>
  <c r="N468" i="1"/>
  <c r="J468" i="1"/>
  <c r="I468" i="1"/>
  <c r="H468" i="1"/>
  <c r="G468" i="1"/>
  <c r="F468" i="1"/>
  <c r="E468" i="1"/>
  <c r="D468" i="1"/>
  <c r="C468" i="1"/>
  <c r="V467" i="1"/>
  <c r="Q467" i="1"/>
  <c r="P467" i="1"/>
  <c r="O467" i="1"/>
  <c r="N467" i="1"/>
  <c r="J467" i="1"/>
  <c r="I467" i="1"/>
  <c r="H467" i="1"/>
  <c r="G467" i="1"/>
  <c r="F467" i="1"/>
  <c r="E467" i="1"/>
  <c r="D467" i="1"/>
  <c r="C467" i="1"/>
  <c r="V466" i="1"/>
  <c r="Q466" i="1"/>
  <c r="P466" i="1"/>
  <c r="O466" i="1"/>
  <c r="N466" i="1"/>
  <c r="J466" i="1"/>
  <c r="I466" i="1"/>
  <c r="H466" i="1"/>
  <c r="G466" i="1"/>
  <c r="F466" i="1"/>
  <c r="E466" i="1"/>
  <c r="D466" i="1"/>
  <c r="C466" i="1"/>
  <c r="V465" i="1"/>
  <c r="Q465" i="1"/>
  <c r="P465" i="1"/>
  <c r="O465" i="1"/>
  <c r="N465" i="1"/>
  <c r="J465" i="1"/>
  <c r="I465" i="1"/>
  <c r="H465" i="1"/>
  <c r="G465" i="1"/>
  <c r="F465" i="1"/>
  <c r="E465" i="1"/>
  <c r="D465" i="1"/>
  <c r="C465" i="1"/>
  <c r="V464" i="1"/>
  <c r="Q464" i="1"/>
  <c r="P464" i="1"/>
  <c r="O464" i="1"/>
  <c r="N464" i="1"/>
  <c r="J464" i="1"/>
  <c r="I464" i="1"/>
  <c r="H464" i="1"/>
  <c r="G464" i="1"/>
  <c r="F464" i="1"/>
  <c r="E464" i="1"/>
  <c r="D464" i="1"/>
  <c r="C464" i="1"/>
  <c r="V463" i="1"/>
  <c r="Q463" i="1"/>
  <c r="P463" i="1"/>
  <c r="O463" i="1"/>
  <c r="N463" i="1"/>
  <c r="J463" i="1"/>
  <c r="I463" i="1"/>
  <c r="H463" i="1"/>
  <c r="G463" i="1"/>
  <c r="F463" i="1"/>
  <c r="E463" i="1"/>
  <c r="D463" i="1"/>
  <c r="C463" i="1"/>
  <c r="V462" i="1"/>
  <c r="Q462" i="1"/>
  <c r="P462" i="1"/>
  <c r="O462" i="1"/>
  <c r="N462" i="1"/>
  <c r="J462" i="1"/>
  <c r="I462" i="1"/>
  <c r="H462" i="1"/>
  <c r="G462" i="1"/>
  <c r="F462" i="1"/>
  <c r="E462" i="1"/>
  <c r="D462" i="1"/>
  <c r="C462" i="1"/>
  <c r="V461" i="1"/>
  <c r="Q461" i="1"/>
  <c r="P461" i="1"/>
  <c r="O461" i="1"/>
  <c r="N461" i="1"/>
  <c r="J461" i="1"/>
  <c r="I461" i="1"/>
  <c r="H461" i="1"/>
  <c r="G461" i="1"/>
  <c r="F461" i="1"/>
  <c r="E461" i="1"/>
  <c r="D461" i="1"/>
  <c r="C461" i="1"/>
  <c r="V460" i="1"/>
  <c r="Q460" i="1"/>
  <c r="P460" i="1"/>
  <c r="O460" i="1"/>
  <c r="N460" i="1"/>
  <c r="J460" i="1"/>
  <c r="I460" i="1"/>
  <c r="H460" i="1"/>
  <c r="G460" i="1"/>
  <c r="F460" i="1"/>
  <c r="E460" i="1"/>
  <c r="D460" i="1"/>
  <c r="C460" i="1"/>
  <c r="V459" i="1"/>
  <c r="Q459" i="1"/>
  <c r="P459" i="1"/>
  <c r="O459" i="1"/>
  <c r="N459" i="1"/>
  <c r="J459" i="1"/>
  <c r="I459" i="1"/>
  <c r="H459" i="1"/>
  <c r="G459" i="1"/>
  <c r="F459" i="1"/>
  <c r="E459" i="1"/>
  <c r="D459" i="1"/>
  <c r="C459" i="1"/>
  <c r="V458" i="1"/>
  <c r="Q458" i="1"/>
  <c r="P458" i="1"/>
  <c r="O458" i="1"/>
  <c r="N458" i="1"/>
  <c r="J458" i="1"/>
  <c r="I458" i="1"/>
  <c r="H458" i="1"/>
  <c r="G458" i="1"/>
  <c r="F458" i="1"/>
  <c r="E458" i="1"/>
  <c r="D458" i="1"/>
  <c r="C458" i="1"/>
  <c r="V457" i="1"/>
  <c r="Q457" i="1"/>
  <c r="P457" i="1"/>
  <c r="O457" i="1"/>
  <c r="N457" i="1"/>
  <c r="J457" i="1"/>
  <c r="I457" i="1"/>
  <c r="H457" i="1"/>
  <c r="G457" i="1"/>
  <c r="F457" i="1"/>
  <c r="E457" i="1"/>
  <c r="D457" i="1"/>
  <c r="C457" i="1"/>
  <c r="V456" i="1"/>
  <c r="Q456" i="1"/>
  <c r="P456" i="1"/>
  <c r="O456" i="1"/>
  <c r="N456" i="1"/>
  <c r="J456" i="1"/>
  <c r="I456" i="1"/>
  <c r="H456" i="1"/>
  <c r="G456" i="1"/>
  <c r="F456" i="1"/>
  <c r="E456" i="1"/>
  <c r="D456" i="1"/>
  <c r="C456" i="1"/>
  <c r="V455" i="1"/>
  <c r="Q455" i="1"/>
  <c r="P455" i="1"/>
  <c r="O455" i="1"/>
  <c r="N455" i="1"/>
  <c r="J455" i="1"/>
  <c r="I455" i="1"/>
  <c r="H455" i="1"/>
  <c r="G455" i="1"/>
  <c r="F455" i="1"/>
  <c r="E455" i="1"/>
  <c r="D455" i="1"/>
  <c r="C455" i="1"/>
  <c r="V454" i="1"/>
  <c r="Q454" i="1"/>
  <c r="P454" i="1"/>
  <c r="O454" i="1"/>
  <c r="N454" i="1"/>
  <c r="J454" i="1"/>
  <c r="I454" i="1"/>
  <c r="H454" i="1"/>
  <c r="G454" i="1"/>
  <c r="F454" i="1"/>
  <c r="E454" i="1"/>
  <c r="D454" i="1"/>
  <c r="C454" i="1"/>
  <c r="V453" i="1"/>
  <c r="Q453" i="1"/>
  <c r="P453" i="1"/>
  <c r="O453" i="1"/>
  <c r="N453" i="1"/>
  <c r="J453" i="1"/>
  <c r="I453" i="1"/>
  <c r="H453" i="1"/>
  <c r="G453" i="1"/>
  <c r="F453" i="1"/>
  <c r="E453" i="1"/>
  <c r="D453" i="1"/>
  <c r="C453" i="1"/>
  <c r="V452" i="1"/>
  <c r="Q452" i="1"/>
  <c r="P452" i="1"/>
  <c r="O452" i="1"/>
  <c r="N452" i="1"/>
  <c r="J452" i="1"/>
  <c r="I452" i="1"/>
  <c r="H452" i="1"/>
  <c r="G452" i="1"/>
  <c r="F452" i="1"/>
  <c r="E452" i="1"/>
  <c r="D452" i="1"/>
  <c r="C452" i="1"/>
  <c r="V451" i="1"/>
  <c r="Q451" i="1"/>
  <c r="P451" i="1"/>
  <c r="O451" i="1"/>
  <c r="N451" i="1"/>
  <c r="J451" i="1"/>
  <c r="I451" i="1"/>
  <c r="H451" i="1"/>
  <c r="G451" i="1"/>
  <c r="F451" i="1"/>
  <c r="E451" i="1"/>
  <c r="D451" i="1"/>
  <c r="C451" i="1"/>
  <c r="V450" i="1"/>
  <c r="Q450" i="1"/>
  <c r="P450" i="1"/>
  <c r="O450" i="1"/>
  <c r="N450" i="1"/>
  <c r="J450" i="1"/>
  <c r="I450" i="1"/>
  <c r="H450" i="1"/>
  <c r="G450" i="1"/>
  <c r="F450" i="1"/>
  <c r="E450" i="1"/>
  <c r="D450" i="1"/>
  <c r="C450" i="1"/>
  <c r="V449" i="1"/>
  <c r="Q449" i="1"/>
  <c r="P449" i="1"/>
  <c r="O449" i="1"/>
  <c r="N449" i="1"/>
  <c r="J449" i="1"/>
  <c r="I449" i="1"/>
  <c r="H449" i="1"/>
  <c r="G449" i="1"/>
  <c r="F449" i="1"/>
  <c r="E449" i="1"/>
  <c r="D449" i="1"/>
  <c r="C449" i="1"/>
  <c r="V448" i="1"/>
  <c r="Q448" i="1"/>
  <c r="P448" i="1"/>
  <c r="O448" i="1"/>
  <c r="N448" i="1"/>
  <c r="J448" i="1"/>
  <c r="I448" i="1"/>
  <c r="H448" i="1"/>
  <c r="G448" i="1"/>
  <c r="F448" i="1"/>
  <c r="E448" i="1"/>
  <c r="D448" i="1"/>
  <c r="C448" i="1"/>
  <c r="V447" i="1"/>
  <c r="Q447" i="1"/>
  <c r="P447" i="1"/>
  <c r="O447" i="1"/>
  <c r="N447" i="1"/>
  <c r="J447" i="1"/>
  <c r="I447" i="1"/>
  <c r="H447" i="1"/>
  <c r="G447" i="1"/>
  <c r="F447" i="1"/>
  <c r="E447" i="1"/>
  <c r="D447" i="1"/>
  <c r="C447" i="1"/>
  <c r="V446" i="1"/>
  <c r="Q446" i="1"/>
  <c r="P446" i="1"/>
  <c r="O446" i="1"/>
  <c r="N446" i="1"/>
  <c r="J446" i="1"/>
  <c r="I446" i="1"/>
  <c r="H446" i="1"/>
  <c r="G446" i="1"/>
  <c r="F446" i="1"/>
  <c r="E446" i="1"/>
  <c r="D446" i="1"/>
  <c r="C446" i="1"/>
  <c r="V445" i="1"/>
  <c r="Q445" i="1"/>
  <c r="P445" i="1"/>
  <c r="O445" i="1"/>
  <c r="N445" i="1"/>
  <c r="J445" i="1"/>
  <c r="I445" i="1"/>
  <c r="H445" i="1"/>
  <c r="G445" i="1"/>
  <c r="F445" i="1"/>
  <c r="E445" i="1"/>
  <c r="D445" i="1"/>
  <c r="C445" i="1"/>
  <c r="V444" i="1"/>
  <c r="Q444" i="1"/>
  <c r="P444" i="1"/>
  <c r="O444" i="1"/>
  <c r="N444" i="1"/>
  <c r="J444" i="1"/>
  <c r="I444" i="1"/>
  <c r="H444" i="1"/>
  <c r="G444" i="1"/>
  <c r="F444" i="1"/>
  <c r="E444" i="1"/>
  <c r="D444" i="1"/>
  <c r="C444" i="1"/>
  <c r="V443" i="1"/>
  <c r="Q443" i="1"/>
  <c r="P443" i="1"/>
  <c r="O443" i="1"/>
  <c r="N443" i="1"/>
  <c r="J443" i="1"/>
  <c r="I443" i="1"/>
  <c r="H443" i="1"/>
  <c r="G443" i="1"/>
  <c r="F443" i="1"/>
  <c r="E443" i="1"/>
  <c r="D443" i="1"/>
  <c r="C443" i="1"/>
  <c r="V442" i="1"/>
  <c r="Q442" i="1"/>
  <c r="P442" i="1"/>
  <c r="O442" i="1"/>
  <c r="N442" i="1"/>
  <c r="J442" i="1"/>
  <c r="I442" i="1"/>
  <c r="H442" i="1"/>
  <c r="G442" i="1"/>
  <c r="F442" i="1"/>
  <c r="E442" i="1"/>
  <c r="D442" i="1"/>
  <c r="C442" i="1"/>
  <c r="V441" i="1"/>
  <c r="Q441" i="1"/>
  <c r="P441" i="1"/>
  <c r="O441" i="1"/>
  <c r="N441" i="1"/>
  <c r="J441" i="1"/>
  <c r="I441" i="1"/>
  <c r="H441" i="1"/>
  <c r="G441" i="1"/>
  <c r="F441" i="1"/>
  <c r="E441" i="1"/>
  <c r="D441" i="1"/>
  <c r="C441" i="1"/>
  <c r="V440" i="1"/>
  <c r="Q440" i="1"/>
  <c r="P440" i="1"/>
  <c r="O440" i="1"/>
  <c r="N440" i="1"/>
  <c r="I440" i="1"/>
  <c r="H440" i="1"/>
  <c r="G440" i="1"/>
  <c r="F440" i="1"/>
  <c r="E440" i="1"/>
  <c r="D440" i="1"/>
  <c r="C440" i="1"/>
  <c r="V439" i="1"/>
  <c r="Q439" i="1"/>
  <c r="P439" i="1"/>
  <c r="O439" i="1"/>
  <c r="N439" i="1"/>
  <c r="I439" i="1"/>
  <c r="H439" i="1"/>
  <c r="G439" i="1"/>
  <c r="F439" i="1"/>
  <c r="E439" i="1"/>
  <c r="D439" i="1"/>
  <c r="C439" i="1"/>
  <c r="V438" i="1"/>
  <c r="Q438" i="1"/>
  <c r="P438" i="1"/>
  <c r="O438" i="1"/>
  <c r="N438" i="1"/>
  <c r="I438" i="1"/>
  <c r="H438" i="1"/>
  <c r="G438" i="1"/>
  <c r="F438" i="1"/>
  <c r="E438" i="1"/>
  <c r="D438" i="1"/>
  <c r="C438" i="1"/>
  <c r="V437" i="1"/>
  <c r="Q437" i="1"/>
  <c r="P437" i="1"/>
  <c r="O437" i="1"/>
  <c r="N437" i="1"/>
  <c r="I437" i="1"/>
  <c r="H437" i="1"/>
  <c r="G437" i="1"/>
  <c r="F437" i="1"/>
  <c r="E437" i="1"/>
  <c r="D437" i="1"/>
  <c r="C437" i="1"/>
  <c r="V436" i="1"/>
  <c r="Q436" i="1"/>
  <c r="P436" i="1"/>
  <c r="O436" i="1"/>
  <c r="N436" i="1"/>
  <c r="I436" i="1"/>
  <c r="H436" i="1"/>
  <c r="G436" i="1"/>
  <c r="F436" i="1"/>
  <c r="E436" i="1"/>
  <c r="D436" i="1"/>
  <c r="C436" i="1"/>
  <c r="V435" i="1"/>
  <c r="Q435" i="1"/>
  <c r="P435" i="1"/>
  <c r="O435" i="1"/>
  <c r="N435" i="1"/>
  <c r="I435" i="1"/>
  <c r="H435" i="1"/>
  <c r="G435" i="1"/>
  <c r="F435" i="1"/>
  <c r="E435" i="1"/>
  <c r="D435" i="1"/>
  <c r="C435" i="1"/>
  <c r="V434" i="1"/>
  <c r="Q434" i="1"/>
  <c r="P434" i="1"/>
  <c r="O434" i="1"/>
  <c r="N434" i="1"/>
  <c r="I434" i="1"/>
  <c r="H434" i="1"/>
  <c r="G434" i="1"/>
  <c r="F434" i="1"/>
  <c r="E434" i="1"/>
  <c r="D434" i="1"/>
  <c r="C434" i="1"/>
  <c r="V433" i="1"/>
  <c r="Q433" i="1"/>
  <c r="P433" i="1"/>
  <c r="O433" i="1"/>
  <c r="N433" i="1"/>
  <c r="I433" i="1"/>
  <c r="H433" i="1"/>
  <c r="G433" i="1"/>
  <c r="F433" i="1"/>
  <c r="E433" i="1"/>
  <c r="D433" i="1"/>
  <c r="C433" i="1"/>
  <c r="V432" i="1"/>
  <c r="Q432" i="1"/>
  <c r="P432" i="1"/>
  <c r="O432" i="1"/>
  <c r="N432" i="1"/>
  <c r="I432" i="1"/>
  <c r="H432" i="1"/>
  <c r="G432" i="1"/>
  <c r="F432" i="1"/>
  <c r="E432" i="1"/>
  <c r="D432" i="1"/>
  <c r="C432" i="1"/>
  <c r="V431" i="1"/>
  <c r="Q431" i="1"/>
  <c r="P431" i="1"/>
  <c r="O431" i="1"/>
  <c r="N431" i="1"/>
  <c r="I431" i="1"/>
  <c r="H431" i="1"/>
  <c r="G431" i="1"/>
  <c r="F431" i="1"/>
  <c r="E431" i="1"/>
  <c r="D431" i="1"/>
  <c r="C431" i="1"/>
  <c r="V430" i="1"/>
  <c r="Q430" i="1"/>
  <c r="P430" i="1"/>
  <c r="O430" i="1"/>
  <c r="N430" i="1"/>
  <c r="I430" i="1"/>
  <c r="H430" i="1"/>
  <c r="G430" i="1"/>
  <c r="F430" i="1"/>
  <c r="E430" i="1"/>
  <c r="D430" i="1"/>
  <c r="C430" i="1"/>
  <c r="V429" i="1"/>
  <c r="Q429" i="1"/>
  <c r="P429" i="1"/>
  <c r="O429" i="1"/>
  <c r="N429" i="1"/>
  <c r="I429" i="1"/>
  <c r="H429" i="1"/>
  <c r="G429" i="1"/>
  <c r="F429" i="1"/>
  <c r="E429" i="1"/>
  <c r="D429" i="1"/>
  <c r="C429" i="1"/>
  <c r="V428" i="1"/>
  <c r="Q428" i="1"/>
  <c r="P428" i="1"/>
  <c r="O428" i="1"/>
  <c r="N428" i="1"/>
  <c r="I428" i="1"/>
  <c r="H428" i="1"/>
  <c r="G428" i="1"/>
  <c r="F428" i="1"/>
  <c r="E428" i="1"/>
  <c r="D428" i="1"/>
  <c r="C428" i="1"/>
  <c r="V427" i="1"/>
  <c r="Q427" i="1"/>
  <c r="P427" i="1"/>
  <c r="O427" i="1"/>
  <c r="N427" i="1"/>
  <c r="I427" i="1"/>
  <c r="H427" i="1"/>
  <c r="G427" i="1"/>
  <c r="F427" i="1"/>
  <c r="E427" i="1"/>
  <c r="D427" i="1"/>
  <c r="C427" i="1"/>
  <c r="V426" i="1"/>
  <c r="Q426" i="1"/>
  <c r="P426" i="1"/>
  <c r="O426" i="1"/>
  <c r="N426" i="1"/>
  <c r="I426" i="1"/>
  <c r="H426" i="1"/>
  <c r="G426" i="1"/>
  <c r="F426" i="1"/>
  <c r="E426" i="1"/>
  <c r="D426" i="1"/>
  <c r="C426" i="1"/>
  <c r="V425" i="1"/>
  <c r="Q425" i="1"/>
  <c r="P425" i="1"/>
  <c r="O425" i="1"/>
  <c r="N425" i="1"/>
  <c r="I425" i="1"/>
  <c r="H425" i="1"/>
  <c r="G425" i="1"/>
  <c r="F425" i="1"/>
  <c r="E425" i="1"/>
  <c r="D425" i="1"/>
  <c r="C425" i="1"/>
  <c r="V424" i="1"/>
  <c r="Q424" i="1"/>
  <c r="P424" i="1"/>
  <c r="O424" i="1"/>
  <c r="N424" i="1"/>
  <c r="I424" i="1"/>
  <c r="H424" i="1"/>
  <c r="G424" i="1"/>
  <c r="F424" i="1"/>
  <c r="E424" i="1"/>
  <c r="D424" i="1"/>
  <c r="C424" i="1"/>
  <c r="V423" i="1"/>
  <c r="Q423" i="1"/>
  <c r="P423" i="1"/>
  <c r="O423" i="1"/>
  <c r="N423" i="1"/>
  <c r="I423" i="1"/>
  <c r="H423" i="1"/>
  <c r="G423" i="1"/>
  <c r="F423" i="1"/>
  <c r="E423" i="1"/>
  <c r="D423" i="1"/>
  <c r="C423" i="1"/>
  <c r="V422" i="1"/>
  <c r="Q422" i="1"/>
  <c r="P422" i="1"/>
  <c r="O422" i="1"/>
  <c r="N422" i="1"/>
  <c r="I422" i="1"/>
  <c r="H422" i="1"/>
  <c r="G422" i="1"/>
  <c r="F422" i="1"/>
  <c r="E422" i="1"/>
  <c r="D422" i="1"/>
  <c r="C422" i="1"/>
  <c r="V421" i="1"/>
  <c r="Q421" i="1"/>
  <c r="P421" i="1"/>
  <c r="O421" i="1"/>
  <c r="N421" i="1"/>
  <c r="I421" i="1"/>
  <c r="H421" i="1"/>
  <c r="G421" i="1"/>
  <c r="F421" i="1"/>
  <c r="E421" i="1"/>
  <c r="D421" i="1"/>
  <c r="C421" i="1"/>
  <c r="V420" i="1"/>
  <c r="Q420" i="1"/>
  <c r="P420" i="1"/>
  <c r="O420" i="1"/>
  <c r="N420" i="1"/>
  <c r="J420" i="1"/>
  <c r="I420" i="1"/>
  <c r="H420" i="1"/>
  <c r="G420" i="1"/>
  <c r="F420" i="1"/>
  <c r="E420" i="1"/>
  <c r="D420" i="1"/>
  <c r="C420" i="1"/>
  <c r="V419" i="1"/>
  <c r="Q419" i="1"/>
  <c r="P419" i="1"/>
  <c r="O419" i="1"/>
  <c r="N419" i="1"/>
  <c r="J419" i="1"/>
  <c r="I419" i="1"/>
  <c r="H419" i="1"/>
  <c r="G419" i="1"/>
  <c r="F419" i="1"/>
  <c r="E419" i="1"/>
  <c r="D419" i="1"/>
  <c r="C419" i="1"/>
  <c r="V418" i="1"/>
  <c r="Q418" i="1"/>
  <c r="P418" i="1"/>
  <c r="O418" i="1"/>
  <c r="N418" i="1"/>
  <c r="J418" i="1"/>
  <c r="I418" i="1"/>
  <c r="H418" i="1"/>
  <c r="G418" i="1"/>
  <c r="F418" i="1"/>
  <c r="E418" i="1"/>
  <c r="D418" i="1"/>
  <c r="C418" i="1"/>
  <c r="V417" i="1"/>
  <c r="Q417" i="1"/>
  <c r="P417" i="1"/>
  <c r="O417" i="1"/>
  <c r="N417" i="1"/>
  <c r="J417" i="1"/>
  <c r="I417" i="1"/>
  <c r="H417" i="1"/>
  <c r="G417" i="1"/>
  <c r="F417" i="1"/>
  <c r="E417" i="1"/>
  <c r="D417" i="1"/>
  <c r="C417" i="1"/>
  <c r="V416" i="1"/>
  <c r="Q416" i="1"/>
  <c r="P416" i="1"/>
  <c r="O416" i="1"/>
  <c r="N416" i="1"/>
  <c r="J416" i="1"/>
  <c r="I416" i="1"/>
  <c r="H416" i="1"/>
  <c r="G416" i="1"/>
  <c r="F416" i="1"/>
  <c r="E416" i="1"/>
  <c r="D416" i="1"/>
  <c r="C416" i="1"/>
  <c r="V415" i="1"/>
  <c r="Q415" i="1"/>
  <c r="P415" i="1"/>
  <c r="O415" i="1"/>
  <c r="N415" i="1"/>
  <c r="J415" i="1"/>
  <c r="I415" i="1"/>
  <c r="H415" i="1"/>
  <c r="G415" i="1"/>
  <c r="F415" i="1"/>
  <c r="E415" i="1"/>
  <c r="D415" i="1"/>
  <c r="C415" i="1"/>
  <c r="V414" i="1"/>
  <c r="Q414" i="1"/>
  <c r="P414" i="1"/>
  <c r="O414" i="1"/>
  <c r="N414" i="1"/>
  <c r="J414" i="1"/>
  <c r="I414" i="1"/>
  <c r="H414" i="1"/>
  <c r="G414" i="1"/>
  <c r="F414" i="1"/>
  <c r="E414" i="1"/>
  <c r="D414" i="1"/>
  <c r="C414" i="1"/>
  <c r="V413" i="1"/>
  <c r="Q413" i="1"/>
  <c r="P413" i="1"/>
  <c r="O413" i="1"/>
  <c r="N413" i="1"/>
  <c r="J413" i="1"/>
  <c r="I413" i="1"/>
  <c r="H413" i="1"/>
  <c r="G413" i="1"/>
  <c r="F413" i="1"/>
  <c r="E413" i="1"/>
  <c r="D413" i="1"/>
  <c r="C413" i="1"/>
  <c r="V412" i="1"/>
  <c r="Q412" i="1"/>
  <c r="P412" i="1"/>
  <c r="O412" i="1"/>
  <c r="N412" i="1"/>
  <c r="J412" i="1"/>
  <c r="I412" i="1"/>
  <c r="H412" i="1"/>
  <c r="G412" i="1"/>
  <c r="F412" i="1"/>
  <c r="E412" i="1"/>
  <c r="D412" i="1"/>
  <c r="C412" i="1"/>
  <c r="V411" i="1"/>
  <c r="Q411" i="1"/>
  <c r="P411" i="1"/>
  <c r="O411" i="1"/>
  <c r="N411" i="1"/>
  <c r="J411" i="1"/>
  <c r="I411" i="1"/>
  <c r="H411" i="1"/>
  <c r="G411" i="1"/>
  <c r="F411" i="1"/>
  <c r="E411" i="1"/>
  <c r="D411" i="1"/>
  <c r="C411" i="1"/>
  <c r="V410" i="1"/>
  <c r="Q410" i="1"/>
  <c r="P410" i="1"/>
  <c r="O410" i="1"/>
  <c r="N410" i="1"/>
  <c r="J410" i="1"/>
  <c r="I410" i="1"/>
  <c r="H410" i="1"/>
  <c r="G410" i="1"/>
  <c r="F410" i="1"/>
  <c r="E410" i="1"/>
  <c r="D410" i="1"/>
  <c r="C410" i="1"/>
  <c r="V409" i="1"/>
  <c r="Q409" i="1"/>
  <c r="P409" i="1"/>
  <c r="O409" i="1"/>
  <c r="N409" i="1"/>
  <c r="J409" i="1"/>
  <c r="I409" i="1"/>
  <c r="H409" i="1"/>
  <c r="G409" i="1"/>
  <c r="F409" i="1"/>
  <c r="E409" i="1"/>
  <c r="D409" i="1"/>
  <c r="C409" i="1"/>
  <c r="V408" i="1"/>
  <c r="Q408" i="1"/>
  <c r="P408" i="1"/>
  <c r="O408" i="1"/>
  <c r="N408" i="1"/>
  <c r="J408" i="1"/>
  <c r="I408" i="1"/>
  <c r="H408" i="1"/>
  <c r="G408" i="1"/>
  <c r="F408" i="1"/>
  <c r="E408" i="1"/>
  <c r="D408" i="1"/>
  <c r="C408" i="1"/>
  <c r="V407" i="1"/>
  <c r="Q407" i="1"/>
  <c r="P407" i="1"/>
  <c r="O407" i="1"/>
  <c r="N407" i="1"/>
  <c r="J407" i="1"/>
  <c r="I407" i="1"/>
  <c r="H407" i="1"/>
  <c r="G407" i="1"/>
  <c r="F407" i="1"/>
  <c r="E407" i="1"/>
  <c r="D407" i="1"/>
  <c r="C407" i="1"/>
  <c r="V406" i="1"/>
  <c r="Q406" i="1"/>
  <c r="P406" i="1"/>
  <c r="O406" i="1"/>
  <c r="N406" i="1"/>
  <c r="J406" i="1"/>
  <c r="I406" i="1"/>
  <c r="H406" i="1"/>
  <c r="G406" i="1"/>
  <c r="F406" i="1"/>
  <c r="E406" i="1"/>
  <c r="D406" i="1"/>
  <c r="C406" i="1"/>
  <c r="V405" i="1"/>
  <c r="Q405" i="1"/>
  <c r="P405" i="1"/>
  <c r="O405" i="1"/>
  <c r="N405" i="1"/>
  <c r="J405" i="1"/>
  <c r="I405" i="1"/>
  <c r="H405" i="1"/>
  <c r="G405" i="1"/>
  <c r="F405" i="1"/>
  <c r="E405" i="1"/>
  <c r="D405" i="1"/>
  <c r="C405" i="1"/>
  <c r="V404" i="1"/>
  <c r="Q404" i="1"/>
  <c r="P404" i="1"/>
  <c r="O404" i="1"/>
  <c r="N404" i="1"/>
  <c r="J404" i="1"/>
  <c r="I404" i="1"/>
  <c r="H404" i="1"/>
  <c r="G404" i="1"/>
  <c r="F404" i="1"/>
  <c r="E404" i="1"/>
  <c r="D404" i="1"/>
  <c r="C404" i="1"/>
  <c r="V403" i="1"/>
  <c r="Q403" i="1"/>
  <c r="P403" i="1"/>
  <c r="O403" i="1"/>
  <c r="N403" i="1"/>
  <c r="J403" i="1"/>
  <c r="I403" i="1"/>
  <c r="H403" i="1"/>
  <c r="G403" i="1"/>
  <c r="F403" i="1"/>
  <c r="E403" i="1"/>
  <c r="D403" i="1"/>
  <c r="C403" i="1"/>
  <c r="V402" i="1"/>
  <c r="Q402" i="1"/>
  <c r="P402" i="1"/>
  <c r="O402" i="1"/>
  <c r="N402" i="1"/>
  <c r="J402" i="1"/>
  <c r="I402" i="1"/>
  <c r="H402" i="1"/>
  <c r="G402" i="1"/>
  <c r="F402" i="1"/>
  <c r="E402" i="1"/>
  <c r="D402" i="1"/>
  <c r="C402" i="1"/>
  <c r="V401" i="1"/>
  <c r="Q401" i="1"/>
  <c r="P401" i="1"/>
  <c r="O401" i="1"/>
  <c r="N401" i="1"/>
  <c r="J401" i="1"/>
  <c r="I401" i="1"/>
  <c r="H401" i="1"/>
  <c r="G401" i="1"/>
  <c r="F401" i="1"/>
  <c r="E401" i="1"/>
  <c r="D401" i="1"/>
  <c r="C401" i="1"/>
  <c r="V400" i="1"/>
  <c r="Q400" i="1"/>
  <c r="P400" i="1"/>
  <c r="O400" i="1"/>
  <c r="N400" i="1"/>
  <c r="J400" i="1"/>
  <c r="I400" i="1"/>
  <c r="H400" i="1"/>
  <c r="G400" i="1"/>
  <c r="F400" i="1"/>
  <c r="E400" i="1"/>
  <c r="D400" i="1"/>
  <c r="C400" i="1"/>
  <c r="V399" i="1"/>
  <c r="Q399" i="1"/>
  <c r="P399" i="1"/>
  <c r="O399" i="1"/>
  <c r="N399" i="1"/>
  <c r="J399" i="1"/>
  <c r="I399" i="1"/>
  <c r="H399" i="1"/>
  <c r="G399" i="1"/>
  <c r="F399" i="1"/>
  <c r="E399" i="1"/>
  <c r="D399" i="1"/>
  <c r="C399" i="1"/>
  <c r="V398" i="1"/>
  <c r="Q398" i="1"/>
  <c r="P398" i="1"/>
  <c r="O398" i="1"/>
  <c r="N398" i="1"/>
  <c r="J398" i="1"/>
  <c r="I398" i="1"/>
  <c r="H398" i="1"/>
  <c r="G398" i="1"/>
  <c r="F398" i="1"/>
  <c r="E398" i="1"/>
  <c r="D398" i="1"/>
  <c r="C398" i="1"/>
  <c r="V397" i="1"/>
  <c r="Q397" i="1"/>
  <c r="P397" i="1"/>
  <c r="O397" i="1"/>
  <c r="N397" i="1"/>
  <c r="J397" i="1"/>
  <c r="I397" i="1"/>
  <c r="H397" i="1"/>
  <c r="G397" i="1"/>
  <c r="F397" i="1"/>
  <c r="E397" i="1"/>
  <c r="D397" i="1"/>
  <c r="C397" i="1"/>
  <c r="V396" i="1"/>
  <c r="Q396" i="1"/>
  <c r="P396" i="1"/>
  <c r="O396" i="1"/>
  <c r="N396" i="1"/>
  <c r="J396" i="1"/>
  <c r="I396" i="1"/>
  <c r="H396" i="1"/>
  <c r="G396" i="1"/>
  <c r="F396" i="1"/>
  <c r="E396" i="1"/>
  <c r="D396" i="1"/>
  <c r="C396" i="1"/>
  <c r="V395" i="1"/>
  <c r="Q395" i="1"/>
  <c r="P395" i="1"/>
  <c r="O395" i="1"/>
  <c r="N395" i="1"/>
  <c r="J395" i="1"/>
  <c r="I395" i="1"/>
  <c r="H395" i="1"/>
  <c r="G395" i="1"/>
  <c r="F395" i="1"/>
  <c r="E395" i="1"/>
  <c r="D395" i="1"/>
  <c r="C395" i="1"/>
  <c r="V394" i="1"/>
  <c r="Q394" i="1"/>
  <c r="P394" i="1"/>
  <c r="O394" i="1"/>
  <c r="N394" i="1"/>
  <c r="J394" i="1"/>
  <c r="I394" i="1"/>
  <c r="H394" i="1"/>
  <c r="G394" i="1"/>
  <c r="F394" i="1"/>
  <c r="E394" i="1"/>
  <c r="D394" i="1"/>
  <c r="C394" i="1"/>
  <c r="V393" i="1"/>
  <c r="Q393" i="1"/>
  <c r="P393" i="1"/>
  <c r="O393" i="1"/>
  <c r="N393" i="1"/>
  <c r="J393" i="1"/>
  <c r="I393" i="1"/>
  <c r="H393" i="1"/>
  <c r="G393" i="1"/>
  <c r="F393" i="1"/>
  <c r="E393" i="1"/>
  <c r="D393" i="1"/>
  <c r="C393" i="1"/>
  <c r="V392" i="1"/>
  <c r="Q392" i="1"/>
  <c r="P392" i="1"/>
  <c r="O392" i="1"/>
  <c r="N392" i="1"/>
  <c r="J392" i="1"/>
  <c r="I392" i="1"/>
  <c r="H392" i="1"/>
  <c r="G392" i="1"/>
  <c r="F392" i="1"/>
  <c r="E392" i="1"/>
  <c r="D392" i="1"/>
  <c r="C392" i="1"/>
  <c r="V391" i="1"/>
  <c r="Q391" i="1"/>
  <c r="P391" i="1"/>
  <c r="O391" i="1"/>
  <c r="N391" i="1"/>
  <c r="J391" i="1"/>
  <c r="I391" i="1"/>
  <c r="H391" i="1"/>
  <c r="G391" i="1"/>
  <c r="F391" i="1"/>
  <c r="E391" i="1"/>
  <c r="D391" i="1"/>
  <c r="C391" i="1"/>
  <c r="V390" i="1"/>
  <c r="Q390" i="1"/>
  <c r="P390" i="1"/>
  <c r="O390" i="1"/>
  <c r="N390" i="1"/>
  <c r="J390" i="1"/>
  <c r="I390" i="1"/>
  <c r="H390" i="1"/>
  <c r="G390" i="1"/>
  <c r="F390" i="1"/>
  <c r="E390" i="1"/>
  <c r="D390" i="1"/>
  <c r="C390" i="1"/>
  <c r="V389" i="1"/>
  <c r="Q389" i="1"/>
  <c r="P389" i="1"/>
  <c r="O389" i="1"/>
  <c r="N389" i="1"/>
  <c r="J389" i="1"/>
  <c r="I389" i="1"/>
  <c r="H389" i="1"/>
  <c r="G389" i="1"/>
  <c r="F389" i="1"/>
  <c r="E389" i="1"/>
  <c r="D389" i="1"/>
  <c r="C389" i="1"/>
  <c r="V388" i="1"/>
  <c r="Q388" i="1"/>
  <c r="P388" i="1"/>
  <c r="O388" i="1"/>
  <c r="N388" i="1"/>
  <c r="J388" i="1"/>
  <c r="I388" i="1"/>
  <c r="H388" i="1"/>
  <c r="G388" i="1"/>
  <c r="F388" i="1"/>
  <c r="E388" i="1"/>
  <c r="D388" i="1"/>
  <c r="C388" i="1"/>
  <c r="V387" i="1"/>
  <c r="Q387" i="1"/>
  <c r="P387" i="1"/>
  <c r="O387" i="1"/>
  <c r="N387" i="1"/>
  <c r="J387" i="1"/>
  <c r="I387" i="1"/>
  <c r="H387" i="1"/>
  <c r="G387" i="1"/>
  <c r="F387" i="1"/>
  <c r="E387" i="1"/>
  <c r="D387" i="1"/>
  <c r="C387" i="1"/>
  <c r="V386" i="1"/>
  <c r="Q386" i="1"/>
  <c r="P386" i="1"/>
  <c r="O386" i="1"/>
  <c r="N386" i="1"/>
  <c r="J386" i="1"/>
  <c r="I386" i="1"/>
  <c r="H386" i="1"/>
  <c r="G386" i="1"/>
  <c r="F386" i="1"/>
  <c r="E386" i="1"/>
  <c r="D386" i="1"/>
  <c r="C386" i="1"/>
  <c r="V385" i="1"/>
  <c r="Q385" i="1"/>
  <c r="P385" i="1"/>
  <c r="O385" i="1"/>
  <c r="N385" i="1"/>
  <c r="J385" i="1"/>
  <c r="I385" i="1"/>
  <c r="H385" i="1"/>
  <c r="G385" i="1"/>
  <c r="F385" i="1"/>
  <c r="E385" i="1"/>
  <c r="D385" i="1"/>
  <c r="C385" i="1"/>
  <c r="V384" i="1"/>
  <c r="Q384" i="1"/>
  <c r="P384" i="1"/>
  <c r="O384" i="1"/>
  <c r="N384" i="1"/>
  <c r="J384" i="1"/>
  <c r="I384" i="1"/>
  <c r="H384" i="1"/>
  <c r="G384" i="1"/>
  <c r="F384" i="1"/>
  <c r="E384" i="1"/>
  <c r="D384" i="1"/>
  <c r="C384" i="1"/>
  <c r="V383" i="1"/>
  <c r="Q383" i="1"/>
  <c r="P383" i="1"/>
  <c r="O383" i="1"/>
  <c r="N383" i="1"/>
  <c r="J383" i="1"/>
  <c r="I383" i="1"/>
  <c r="H383" i="1"/>
  <c r="G383" i="1"/>
  <c r="F383" i="1"/>
  <c r="E383" i="1"/>
  <c r="D383" i="1"/>
  <c r="C383" i="1"/>
  <c r="V382" i="1"/>
  <c r="Q382" i="1"/>
  <c r="P382" i="1"/>
  <c r="O382" i="1"/>
  <c r="N382" i="1"/>
  <c r="J382" i="1"/>
  <c r="I382" i="1"/>
  <c r="H382" i="1"/>
  <c r="G382" i="1"/>
  <c r="F382" i="1"/>
  <c r="E382" i="1"/>
  <c r="D382" i="1"/>
  <c r="C382" i="1"/>
  <c r="V381" i="1"/>
  <c r="Q381" i="1"/>
  <c r="P381" i="1"/>
  <c r="O381" i="1"/>
  <c r="N381" i="1"/>
  <c r="J381" i="1"/>
  <c r="I381" i="1"/>
  <c r="H381" i="1"/>
  <c r="G381" i="1"/>
  <c r="F381" i="1"/>
  <c r="E381" i="1"/>
  <c r="D381" i="1"/>
  <c r="C381" i="1"/>
  <c r="V380" i="1"/>
  <c r="Q380" i="1"/>
  <c r="P380" i="1"/>
  <c r="O380" i="1"/>
  <c r="N380" i="1"/>
  <c r="J380" i="1"/>
  <c r="I380" i="1"/>
  <c r="H380" i="1"/>
  <c r="G380" i="1"/>
  <c r="F380" i="1"/>
  <c r="E380" i="1"/>
  <c r="D380" i="1"/>
  <c r="C380" i="1"/>
  <c r="V379" i="1"/>
  <c r="Q379" i="1"/>
  <c r="P379" i="1"/>
  <c r="O379" i="1"/>
  <c r="N379" i="1"/>
  <c r="J379" i="1"/>
  <c r="I379" i="1"/>
  <c r="H379" i="1"/>
  <c r="G379" i="1"/>
  <c r="F379" i="1"/>
  <c r="E379" i="1"/>
  <c r="D379" i="1"/>
  <c r="C379" i="1"/>
  <c r="V378" i="1"/>
  <c r="Q378" i="1"/>
  <c r="P378" i="1"/>
  <c r="O378" i="1"/>
  <c r="N378" i="1"/>
  <c r="J378" i="1"/>
  <c r="I378" i="1"/>
  <c r="H378" i="1"/>
  <c r="G378" i="1"/>
  <c r="F378" i="1"/>
  <c r="E378" i="1"/>
  <c r="D378" i="1"/>
  <c r="C378" i="1"/>
  <c r="V377" i="1"/>
  <c r="Q377" i="1"/>
  <c r="P377" i="1"/>
  <c r="O377" i="1"/>
  <c r="N377" i="1"/>
  <c r="J377" i="1"/>
  <c r="I377" i="1"/>
  <c r="H377" i="1"/>
  <c r="G377" i="1"/>
  <c r="F377" i="1"/>
  <c r="E377" i="1"/>
  <c r="D377" i="1"/>
  <c r="C377" i="1"/>
  <c r="V376" i="1"/>
  <c r="Q376" i="1"/>
  <c r="P376" i="1"/>
  <c r="O376" i="1"/>
  <c r="N376" i="1"/>
  <c r="J376" i="1"/>
  <c r="I376" i="1"/>
  <c r="H376" i="1"/>
  <c r="G376" i="1"/>
  <c r="F376" i="1"/>
  <c r="E376" i="1"/>
  <c r="D376" i="1"/>
  <c r="C376" i="1"/>
  <c r="V375" i="1"/>
  <c r="Q375" i="1"/>
  <c r="P375" i="1"/>
  <c r="O375" i="1"/>
  <c r="N375" i="1"/>
  <c r="J375" i="1"/>
  <c r="I375" i="1"/>
  <c r="H375" i="1"/>
  <c r="G375" i="1"/>
  <c r="F375" i="1"/>
  <c r="E375" i="1"/>
  <c r="D375" i="1"/>
  <c r="C375" i="1"/>
  <c r="V374" i="1"/>
  <c r="Q374" i="1"/>
  <c r="P374" i="1"/>
  <c r="O374" i="1"/>
  <c r="N374" i="1"/>
  <c r="J374" i="1"/>
  <c r="I374" i="1"/>
  <c r="H374" i="1"/>
  <c r="G374" i="1"/>
  <c r="F374" i="1"/>
  <c r="E374" i="1"/>
  <c r="D374" i="1"/>
  <c r="C374" i="1"/>
  <c r="V373" i="1"/>
  <c r="Q373" i="1"/>
  <c r="P373" i="1"/>
  <c r="O373" i="1"/>
  <c r="N373" i="1"/>
  <c r="J373" i="1"/>
  <c r="I373" i="1"/>
  <c r="H373" i="1"/>
  <c r="G373" i="1"/>
  <c r="F373" i="1"/>
  <c r="E373" i="1"/>
  <c r="D373" i="1"/>
  <c r="C373" i="1"/>
  <c r="V372" i="1"/>
  <c r="Q372" i="1"/>
  <c r="P372" i="1"/>
  <c r="O372" i="1"/>
  <c r="N372" i="1"/>
  <c r="J372" i="1"/>
  <c r="I372" i="1"/>
  <c r="H372" i="1"/>
  <c r="G372" i="1"/>
  <c r="F372" i="1"/>
  <c r="E372" i="1"/>
  <c r="D372" i="1"/>
  <c r="C372" i="1"/>
  <c r="V371" i="1"/>
  <c r="Q371" i="1"/>
  <c r="P371" i="1"/>
  <c r="O371" i="1"/>
  <c r="N371" i="1"/>
  <c r="J371" i="1"/>
  <c r="I371" i="1"/>
  <c r="H371" i="1"/>
  <c r="G371" i="1"/>
  <c r="F371" i="1"/>
  <c r="E371" i="1"/>
  <c r="D371" i="1"/>
  <c r="C371" i="1"/>
  <c r="V370" i="1"/>
  <c r="Q370" i="1"/>
  <c r="P370" i="1"/>
  <c r="O370" i="1"/>
  <c r="N370" i="1"/>
  <c r="J370" i="1"/>
  <c r="I370" i="1"/>
  <c r="H370" i="1"/>
  <c r="G370" i="1"/>
  <c r="F370" i="1"/>
  <c r="E370" i="1"/>
  <c r="D370" i="1"/>
  <c r="C370" i="1"/>
  <c r="V369" i="1"/>
  <c r="Q369" i="1"/>
  <c r="P369" i="1"/>
  <c r="O369" i="1"/>
  <c r="N369" i="1"/>
  <c r="J369" i="1"/>
  <c r="I369" i="1"/>
  <c r="H369" i="1"/>
  <c r="G369" i="1"/>
  <c r="F369" i="1"/>
  <c r="E369" i="1"/>
  <c r="D369" i="1"/>
  <c r="C369" i="1"/>
  <c r="V368" i="1"/>
  <c r="Q368" i="1"/>
  <c r="P368" i="1"/>
  <c r="O368" i="1"/>
  <c r="N368" i="1"/>
  <c r="J368" i="1"/>
  <c r="I368" i="1"/>
  <c r="H368" i="1"/>
  <c r="G368" i="1"/>
  <c r="F368" i="1"/>
  <c r="E368" i="1"/>
  <c r="D368" i="1"/>
  <c r="C368" i="1"/>
  <c r="V367" i="1"/>
  <c r="Q367" i="1"/>
  <c r="P367" i="1"/>
  <c r="O367" i="1"/>
  <c r="N367" i="1"/>
  <c r="J367" i="1"/>
  <c r="I367" i="1"/>
  <c r="H367" i="1"/>
  <c r="G367" i="1"/>
  <c r="F367" i="1"/>
  <c r="E367" i="1"/>
  <c r="D367" i="1"/>
  <c r="C367" i="1"/>
  <c r="V366" i="1"/>
  <c r="Q366" i="1"/>
  <c r="P366" i="1"/>
  <c r="O366" i="1"/>
  <c r="N366" i="1"/>
  <c r="J366" i="1"/>
  <c r="I366" i="1"/>
  <c r="H366" i="1"/>
  <c r="G366" i="1"/>
  <c r="F366" i="1"/>
  <c r="E366" i="1"/>
  <c r="D366" i="1"/>
  <c r="C366" i="1"/>
  <c r="V365" i="1"/>
  <c r="Q365" i="1"/>
  <c r="P365" i="1"/>
  <c r="O365" i="1"/>
  <c r="N365" i="1"/>
  <c r="J365" i="1"/>
  <c r="I365" i="1"/>
  <c r="H365" i="1"/>
  <c r="G365" i="1"/>
  <c r="F365" i="1"/>
  <c r="E365" i="1"/>
  <c r="D365" i="1"/>
  <c r="C365" i="1"/>
  <c r="V364" i="1"/>
  <c r="Q364" i="1"/>
  <c r="P364" i="1"/>
  <c r="O364" i="1"/>
  <c r="N364" i="1"/>
  <c r="J364" i="1"/>
  <c r="I364" i="1"/>
  <c r="H364" i="1"/>
  <c r="G364" i="1"/>
  <c r="F364" i="1"/>
  <c r="E364" i="1"/>
  <c r="D364" i="1"/>
  <c r="C364" i="1"/>
  <c r="V363" i="1"/>
  <c r="Q363" i="1"/>
  <c r="P363" i="1"/>
  <c r="O363" i="1"/>
  <c r="N363" i="1"/>
  <c r="J363" i="1"/>
  <c r="I363" i="1"/>
  <c r="H363" i="1"/>
  <c r="G363" i="1"/>
  <c r="F363" i="1"/>
  <c r="E363" i="1"/>
  <c r="D363" i="1"/>
  <c r="C363" i="1"/>
  <c r="V362" i="1"/>
  <c r="Q362" i="1"/>
  <c r="P362" i="1"/>
  <c r="O362" i="1"/>
  <c r="N362" i="1"/>
  <c r="J362" i="1"/>
  <c r="I362" i="1"/>
  <c r="H362" i="1"/>
  <c r="G362" i="1"/>
  <c r="F362" i="1"/>
  <c r="E362" i="1"/>
  <c r="D362" i="1"/>
  <c r="C362" i="1"/>
  <c r="V361" i="1"/>
  <c r="Q361" i="1"/>
  <c r="P361" i="1"/>
  <c r="O361" i="1"/>
  <c r="N361" i="1"/>
  <c r="J361" i="1"/>
  <c r="I361" i="1"/>
  <c r="H361" i="1"/>
  <c r="G361" i="1"/>
  <c r="F361" i="1"/>
  <c r="E361" i="1"/>
  <c r="D361" i="1"/>
  <c r="C361" i="1"/>
  <c r="V360" i="1"/>
  <c r="Q360" i="1"/>
  <c r="P360" i="1"/>
  <c r="O360" i="1"/>
  <c r="N360" i="1"/>
  <c r="J360" i="1"/>
  <c r="I360" i="1"/>
  <c r="H360" i="1"/>
  <c r="G360" i="1"/>
  <c r="F360" i="1"/>
  <c r="E360" i="1"/>
  <c r="D360" i="1"/>
  <c r="C360" i="1"/>
  <c r="V359" i="1"/>
  <c r="Q359" i="1"/>
  <c r="P359" i="1"/>
  <c r="O359" i="1"/>
  <c r="N359" i="1"/>
  <c r="J359" i="1"/>
  <c r="I359" i="1"/>
  <c r="H359" i="1"/>
  <c r="G359" i="1"/>
  <c r="F359" i="1"/>
  <c r="E359" i="1"/>
  <c r="D359" i="1"/>
  <c r="C359" i="1"/>
  <c r="V358" i="1"/>
  <c r="Q358" i="1"/>
  <c r="P358" i="1"/>
  <c r="O358" i="1"/>
  <c r="N358" i="1"/>
  <c r="J358" i="1"/>
  <c r="I358" i="1"/>
  <c r="H358" i="1"/>
  <c r="G358" i="1"/>
  <c r="F358" i="1"/>
  <c r="E358" i="1"/>
  <c r="D358" i="1"/>
  <c r="C358" i="1"/>
  <c r="V357" i="1"/>
  <c r="Q357" i="1"/>
  <c r="P357" i="1"/>
  <c r="O357" i="1"/>
  <c r="N357" i="1"/>
  <c r="J357" i="1"/>
  <c r="I357" i="1"/>
  <c r="H357" i="1"/>
  <c r="G357" i="1"/>
  <c r="F357" i="1"/>
  <c r="E357" i="1"/>
  <c r="D357" i="1"/>
  <c r="C357" i="1"/>
  <c r="V356" i="1"/>
  <c r="Q356" i="1"/>
  <c r="P356" i="1"/>
  <c r="O356" i="1"/>
  <c r="N356" i="1"/>
  <c r="J356" i="1"/>
  <c r="I356" i="1"/>
  <c r="H356" i="1"/>
  <c r="G356" i="1"/>
  <c r="F356" i="1"/>
  <c r="E356" i="1"/>
  <c r="D356" i="1"/>
  <c r="C356" i="1"/>
  <c r="V355" i="1"/>
  <c r="Q355" i="1"/>
  <c r="P355" i="1"/>
  <c r="O355" i="1"/>
  <c r="N355" i="1"/>
  <c r="J355" i="1"/>
  <c r="I355" i="1"/>
  <c r="H355" i="1"/>
  <c r="G355" i="1"/>
  <c r="F355" i="1"/>
  <c r="E355" i="1"/>
  <c r="D355" i="1"/>
  <c r="C355" i="1"/>
  <c r="V354" i="1"/>
  <c r="Q354" i="1"/>
  <c r="P354" i="1"/>
  <c r="O354" i="1"/>
  <c r="N354" i="1"/>
  <c r="J354" i="1"/>
  <c r="I354" i="1"/>
  <c r="H354" i="1"/>
  <c r="G354" i="1"/>
  <c r="F354" i="1"/>
  <c r="E354" i="1"/>
  <c r="D354" i="1"/>
  <c r="C354" i="1"/>
  <c r="V353" i="1"/>
  <c r="Q353" i="1"/>
  <c r="P353" i="1"/>
  <c r="O353" i="1"/>
  <c r="N353" i="1"/>
  <c r="J353" i="1"/>
  <c r="I353" i="1"/>
  <c r="H353" i="1"/>
  <c r="G353" i="1"/>
  <c r="F353" i="1"/>
  <c r="E353" i="1"/>
  <c r="D353" i="1"/>
  <c r="C353" i="1"/>
  <c r="V352" i="1"/>
  <c r="Q352" i="1"/>
  <c r="P352" i="1"/>
  <c r="O352" i="1"/>
  <c r="N352" i="1"/>
  <c r="J352" i="1"/>
  <c r="I352" i="1"/>
  <c r="H352" i="1"/>
  <c r="G352" i="1"/>
  <c r="F352" i="1"/>
  <c r="E352" i="1"/>
  <c r="D352" i="1"/>
  <c r="C352" i="1"/>
  <c r="V351" i="1"/>
  <c r="Q351" i="1"/>
  <c r="P351" i="1"/>
  <c r="O351" i="1"/>
  <c r="N351" i="1"/>
  <c r="J351" i="1"/>
  <c r="I351" i="1"/>
  <c r="H351" i="1"/>
  <c r="G351" i="1"/>
  <c r="F351" i="1"/>
  <c r="E351" i="1"/>
  <c r="D351" i="1"/>
  <c r="C351" i="1"/>
  <c r="V350" i="1"/>
  <c r="Q350" i="1"/>
  <c r="P350" i="1"/>
  <c r="O350" i="1"/>
  <c r="N350" i="1"/>
  <c r="J350" i="1"/>
  <c r="I350" i="1"/>
  <c r="H350" i="1"/>
  <c r="G350" i="1"/>
  <c r="F350" i="1"/>
  <c r="E350" i="1"/>
  <c r="D350" i="1"/>
  <c r="C350" i="1"/>
  <c r="V349" i="1"/>
  <c r="Q349" i="1"/>
  <c r="P349" i="1"/>
  <c r="O349" i="1"/>
  <c r="N349" i="1"/>
  <c r="J349" i="1"/>
  <c r="I349" i="1"/>
  <c r="H349" i="1"/>
  <c r="G349" i="1"/>
  <c r="F349" i="1"/>
  <c r="E349" i="1"/>
  <c r="D349" i="1"/>
  <c r="C349" i="1"/>
  <c r="V348" i="1"/>
  <c r="Q348" i="1"/>
  <c r="P348" i="1"/>
  <c r="O348" i="1"/>
  <c r="N348" i="1"/>
  <c r="J348" i="1"/>
  <c r="I348" i="1"/>
  <c r="H348" i="1"/>
  <c r="G348" i="1"/>
  <c r="F348" i="1"/>
  <c r="E348" i="1"/>
  <c r="D348" i="1"/>
  <c r="C348" i="1"/>
  <c r="V347" i="1"/>
  <c r="Q347" i="1"/>
  <c r="P347" i="1"/>
  <c r="O347" i="1"/>
  <c r="N347" i="1"/>
  <c r="J347" i="1"/>
  <c r="I347" i="1"/>
  <c r="H347" i="1"/>
  <c r="G347" i="1"/>
  <c r="F347" i="1"/>
  <c r="E347" i="1"/>
  <c r="D347" i="1"/>
  <c r="C347" i="1"/>
  <c r="V346" i="1"/>
  <c r="Q346" i="1"/>
  <c r="P346" i="1"/>
  <c r="O346" i="1"/>
  <c r="N346" i="1"/>
  <c r="J346" i="1"/>
  <c r="I346" i="1"/>
  <c r="H346" i="1"/>
  <c r="G346" i="1"/>
  <c r="F346" i="1"/>
  <c r="E346" i="1"/>
  <c r="D346" i="1"/>
  <c r="C346" i="1"/>
  <c r="V345" i="1"/>
  <c r="Q345" i="1"/>
  <c r="P345" i="1"/>
  <c r="O345" i="1"/>
  <c r="N345" i="1"/>
  <c r="J345" i="1"/>
  <c r="I345" i="1"/>
  <c r="H345" i="1"/>
  <c r="G345" i="1"/>
  <c r="F345" i="1"/>
  <c r="E345" i="1"/>
  <c r="D345" i="1"/>
  <c r="C345" i="1"/>
  <c r="V344" i="1"/>
  <c r="Q344" i="1"/>
  <c r="P344" i="1"/>
  <c r="O344" i="1"/>
  <c r="N344" i="1"/>
  <c r="J344" i="1"/>
  <c r="I344" i="1"/>
  <c r="H344" i="1"/>
  <c r="G344" i="1"/>
  <c r="F344" i="1"/>
  <c r="E344" i="1"/>
  <c r="D344" i="1"/>
  <c r="C344" i="1"/>
  <c r="V343" i="1"/>
  <c r="Q343" i="1"/>
  <c r="P343" i="1"/>
  <c r="O343" i="1"/>
  <c r="N343" i="1"/>
  <c r="J343" i="1"/>
  <c r="I343" i="1"/>
  <c r="H343" i="1"/>
  <c r="G343" i="1"/>
  <c r="F343" i="1"/>
  <c r="E343" i="1"/>
  <c r="D343" i="1"/>
  <c r="C343" i="1"/>
  <c r="V342" i="1"/>
  <c r="Q342" i="1"/>
  <c r="P342" i="1"/>
  <c r="O342" i="1"/>
  <c r="N342" i="1"/>
  <c r="J342" i="1"/>
  <c r="I342" i="1"/>
  <c r="H342" i="1"/>
  <c r="G342" i="1"/>
  <c r="F342" i="1"/>
  <c r="E342" i="1"/>
  <c r="D342" i="1"/>
  <c r="C342" i="1"/>
  <c r="V341" i="1"/>
  <c r="Q341" i="1"/>
  <c r="P341" i="1"/>
  <c r="O341" i="1"/>
  <c r="N341" i="1"/>
  <c r="J341" i="1"/>
  <c r="I341" i="1"/>
  <c r="H341" i="1"/>
  <c r="G341" i="1"/>
  <c r="F341" i="1"/>
  <c r="E341" i="1"/>
  <c r="D341" i="1"/>
  <c r="C341" i="1"/>
  <c r="V340" i="1"/>
  <c r="Q340" i="1"/>
  <c r="P340" i="1"/>
  <c r="O340" i="1"/>
  <c r="N340" i="1"/>
  <c r="J340" i="1"/>
  <c r="I340" i="1"/>
  <c r="H340" i="1"/>
  <c r="G340" i="1"/>
  <c r="F340" i="1"/>
  <c r="E340" i="1"/>
  <c r="D340" i="1"/>
  <c r="C340" i="1"/>
  <c r="V339" i="1"/>
  <c r="Q339" i="1"/>
  <c r="P339" i="1"/>
  <c r="O339" i="1"/>
  <c r="N339" i="1"/>
  <c r="J339" i="1"/>
  <c r="I339" i="1"/>
  <c r="H339" i="1"/>
  <c r="G339" i="1"/>
  <c r="F339" i="1"/>
  <c r="E339" i="1"/>
  <c r="D339" i="1"/>
  <c r="C339" i="1"/>
  <c r="V338" i="1"/>
  <c r="Q338" i="1"/>
  <c r="P338" i="1"/>
  <c r="O338" i="1"/>
  <c r="N338" i="1"/>
  <c r="J338" i="1"/>
  <c r="I338" i="1"/>
  <c r="H338" i="1"/>
  <c r="G338" i="1"/>
  <c r="F338" i="1"/>
  <c r="E338" i="1"/>
  <c r="D338" i="1"/>
  <c r="C338" i="1"/>
  <c r="V337" i="1"/>
  <c r="Q337" i="1"/>
  <c r="P337" i="1"/>
  <c r="O337" i="1"/>
  <c r="N337" i="1"/>
  <c r="J337" i="1"/>
  <c r="I337" i="1"/>
  <c r="H337" i="1"/>
  <c r="G337" i="1"/>
  <c r="F337" i="1"/>
  <c r="E337" i="1"/>
  <c r="D337" i="1"/>
  <c r="C337" i="1"/>
  <c r="V336" i="1"/>
  <c r="Q336" i="1"/>
  <c r="P336" i="1"/>
  <c r="O336" i="1"/>
  <c r="N336" i="1"/>
  <c r="J336" i="1"/>
  <c r="I336" i="1"/>
  <c r="H336" i="1"/>
  <c r="G336" i="1"/>
  <c r="F336" i="1"/>
  <c r="E336" i="1"/>
  <c r="D336" i="1"/>
  <c r="C336" i="1"/>
  <c r="V335" i="1"/>
  <c r="Q335" i="1"/>
  <c r="P335" i="1"/>
  <c r="O335" i="1"/>
  <c r="N335" i="1"/>
  <c r="J335" i="1"/>
  <c r="I335" i="1"/>
  <c r="H335" i="1"/>
  <c r="G335" i="1"/>
  <c r="F335" i="1"/>
  <c r="E335" i="1"/>
  <c r="D335" i="1"/>
  <c r="C335" i="1"/>
  <c r="V334" i="1"/>
  <c r="Q334" i="1"/>
  <c r="P334" i="1"/>
  <c r="O334" i="1"/>
  <c r="N334" i="1"/>
  <c r="J334" i="1"/>
  <c r="I334" i="1"/>
  <c r="H334" i="1"/>
  <c r="G334" i="1"/>
  <c r="F334" i="1"/>
  <c r="E334" i="1"/>
  <c r="D334" i="1"/>
  <c r="C334" i="1"/>
  <c r="V333" i="1"/>
  <c r="Q333" i="1"/>
  <c r="P333" i="1"/>
  <c r="O333" i="1"/>
  <c r="N333" i="1"/>
  <c r="J333" i="1"/>
  <c r="I333" i="1"/>
  <c r="H333" i="1"/>
  <c r="G333" i="1"/>
  <c r="F333" i="1"/>
  <c r="E333" i="1"/>
  <c r="D333" i="1"/>
  <c r="C333" i="1"/>
  <c r="V332" i="1"/>
  <c r="Q332" i="1"/>
  <c r="P332" i="1"/>
  <c r="O332" i="1"/>
  <c r="N332" i="1"/>
  <c r="J332" i="1"/>
  <c r="I332" i="1"/>
  <c r="H332" i="1"/>
  <c r="G332" i="1"/>
  <c r="F332" i="1"/>
  <c r="E332" i="1"/>
  <c r="D332" i="1"/>
  <c r="C332" i="1"/>
  <c r="V331" i="1"/>
  <c r="Q331" i="1"/>
  <c r="P331" i="1"/>
  <c r="O331" i="1"/>
  <c r="N331" i="1"/>
  <c r="J331" i="1"/>
  <c r="I331" i="1"/>
  <c r="H331" i="1"/>
  <c r="G331" i="1"/>
  <c r="F331" i="1"/>
  <c r="E331" i="1"/>
  <c r="D331" i="1"/>
  <c r="C331" i="1"/>
  <c r="V330" i="1"/>
  <c r="Q330" i="1"/>
  <c r="P330" i="1"/>
  <c r="O330" i="1"/>
  <c r="N330" i="1"/>
  <c r="J330" i="1"/>
  <c r="I330" i="1"/>
  <c r="H330" i="1"/>
  <c r="G330" i="1"/>
  <c r="F330" i="1"/>
  <c r="E330" i="1"/>
  <c r="D330" i="1"/>
  <c r="C330" i="1"/>
  <c r="V329" i="1"/>
  <c r="Q329" i="1"/>
  <c r="P329" i="1"/>
  <c r="O329" i="1"/>
  <c r="N329" i="1"/>
  <c r="J329" i="1"/>
  <c r="I329" i="1"/>
  <c r="H329" i="1"/>
  <c r="G329" i="1"/>
  <c r="F329" i="1"/>
  <c r="E329" i="1"/>
  <c r="D329" i="1"/>
  <c r="C329" i="1"/>
  <c r="V328" i="1"/>
  <c r="Q328" i="1"/>
  <c r="P328" i="1"/>
  <c r="O328" i="1"/>
  <c r="N328" i="1"/>
  <c r="J328" i="1"/>
  <c r="I328" i="1"/>
  <c r="H328" i="1"/>
  <c r="G328" i="1"/>
  <c r="F328" i="1"/>
  <c r="E328" i="1"/>
  <c r="D328" i="1"/>
  <c r="C328" i="1"/>
  <c r="V327" i="1"/>
  <c r="Q327" i="1"/>
  <c r="P327" i="1"/>
  <c r="O327" i="1"/>
  <c r="N327" i="1"/>
  <c r="J327" i="1"/>
  <c r="I327" i="1"/>
  <c r="H327" i="1"/>
  <c r="G327" i="1"/>
  <c r="F327" i="1"/>
  <c r="E327" i="1"/>
  <c r="D327" i="1"/>
  <c r="C327" i="1"/>
  <c r="V326" i="1"/>
  <c r="Q326" i="1"/>
  <c r="P326" i="1"/>
  <c r="O326" i="1"/>
  <c r="N326" i="1"/>
  <c r="J326" i="1"/>
  <c r="I326" i="1"/>
  <c r="H326" i="1"/>
  <c r="G326" i="1"/>
  <c r="F326" i="1"/>
  <c r="E326" i="1"/>
  <c r="D326" i="1"/>
  <c r="C326" i="1"/>
  <c r="V325" i="1"/>
  <c r="Q325" i="1"/>
  <c r="P325" i="1"/>
  <c r="O325" i="1"/>
  <c r="N325" i="1"/>
  <c r="J325" i="1"/>
  <c r="I325" i="1"/>
  <c r="H325" i="1"/>
  <c r="G325" i="1"/>
  <c r="F325" i="1"/>
  <c r="E325" i="1"/>
  <c r="D325" i="1"/>
  <c r="C325" i="1"/>
  <c r="V324" i="1"/>
  <c r="Q324" i="1"/>
  <c r="P324" i="1"/>
  <c r="O324" i="1"/>
  <c r="N324" i="1"/>
  <c r="J324" i="1"/>
  <c r="I324" i="1"/>
  <c r="H324" i="1"/>
  <c r="G324" i="1"/>
  <c r="F324" i="1"/>
  <c r="E324" i="1"/>
  <c r="D324" i="1"/>
  <c r="C324" i="1"/>
  <c r="V323" i="1"/>
  <c r="Q323" i="1"/>
  <c r="P323" i="1"/>
  <c r="O323" i="1"/>
  <c r="N323" i="1"/>
  <c r="J323" i="1"/>
  <c r="I323" i="1"/>
  <c r="H323" i="1"/>
  <c r="G323" i="1"/>
  <c r="F323" i="1"/>
  <c r="E323" i="1"/>
  <c r="D323" i="1"/>
  <c r="C323" i="1"/>
  <c r="V322" i="1"/>
  <c r="Q322" i="1"/>
  <c r="P322" i="1"/>
  <c r="O322" i="1"/>
  <c r="N322" i="1"/>
  <c r="J322" i="1"/>
  <c r="I322" i="1"/>
  <c r="H322" i="1"/>
  <c r="G322" i="1"/>
  <c r="F322" i="1"/>
  <c r="E322" i="1"/>
  <c r="D322" i="1"/>
  <c r="C322" i="1"/>
  <c r="V321" i="1"/>
  <c r="Q321" i="1"/>
  <c r="P321" i="1"/>
  <c r="O321" i="1"/>
  <c r="N321" i="1"/>
  <c r="J321" i="1"/>
  <c r="I321" i="1"/>
  <c r="H321" i="1"/>
  <c r="G321" i="1"/>
  <c r="F321" i="1"/>
  <c r="E321" i="1"/>
  <c r="D321" i="1"/>
  <c r="C321" i="1"/>
  <c r="V320" i="1"/>
  <c r="Q320" i="1"/>
  <c r="P320" i="1"/>
  <c r="O320" i="1"/>
  <c r="N320" i="1"/>
  <c r="J320" i="1"/>
  <c r="I320" i="1"/>
  <c r="H320" i="1"/>
  <c r="G320" i="1"/>
  <c r="F320" i="1"/>
  <c r="E320" i="1"/>
  <c r="D320" i="1"/>
  <c r="C320" i="1"/>
  <c r="V319" i="1"/>
  <c r="Q319" i="1"/>
  <c r="P319" i="1"/>
  <c r="O319" i="1"/>
  <c r="N319" i="1"/>
  <c r="J319" i="1"/>
  <c r="I319" i="1"/>
  <c r="H319" i="1"/>
  <c r="G319" i="1"/>
  <c r="F319" i="1"/>
  <c r="E319" i="1"/>
  <c r="D319" i="1"/>
  <c r="C319" i="1"/>
  <c r="V318" i="1"/>
  <c r="Q318" i="1"/>
  <c r="P318" i="1"/>
  <c r="O318" i="1"/>
  <c r="N318" i="1"/>
  <c r="J318" i="1"/>
  <c r="I318" i="1"/>
  <c r="H318" i="1"/>
  <c r="G318" i="1"/>
  <c r="F318" i="1"/>
  <c r="E318" i="1"/>
  <c r="D318" i="1"/>
  <c r="C318" i="1"/>
  <c r="V317" i="1"/>
  <c r="Q317" i="1"/>
  <c r="P317" i="1"/>
  <c r="O317" i="1"/>
  <c r="N317" i="1"/>
  <c r="J317" i="1"/>
  <c r="I317" i="1"/>
  <c r="H317" i="1"/>
  <c r="G317" i="1"/>
  <c r="F317" i="1"/>
  <c r="E317" i="1"/>
  <c r="D317" i="1"/>
  <c r="C317" i="1"/>
  <c r="V316" i="1"/>
  <c r="Q316" i="1"/>
  <c r="P316" i="1"/>
  <c r="O316" i="1"/>
  <c r="N316" i="1"/>
  <c r="J316" i="1"/>
  <c r="I316" i="1"/>
  <c r="H316" i="1"/>
  <c r="G316" i="1"/>
  <c r="F316" i="1"/>
  <c r="E316" i="1"/>
  <c r="D316" i="1"/>
  <c r="C316" i="1"/>
  <c r="V315" i="1"/>
  <c r="Q315" i="1"/>
  <c r="P315" i="1"/>
  <c r="O315" i="1"/>
  <c r="N315" i="1"/>
  <c r="J315" i="1"/>
  <c r="I315" i="1"/>
  <c r="H315" i="1"/>
  <c r="G315" i="1"/>
  <c r="F315" i="1"/>
  <c r="E315" i="1"/>
  <c r="D315" i="1"/>
  <c r="C315" i="1"/>
  <c r="V314" i="1"/>
  <c r="Q314" i="1"/>
  <c r="P314" i="1"/>
  <c r="O314" i="1"/>
  <c r="N314" i="1"/>
  <c r="J314" i="1"/>
  <c r="I314" i="1"/>
  <c r="H314" i="1"/>
  <c r="G314" i="1"/>
  <c r="F314" i="1"/>
  <c r="E314" i="1"/>
  <c r="D314" i="1"/>
  <c r="C314" i="1"/>
  <c r="V313" i="1"/>
  <c r="Q313" i="1"/>
  <c r="P313" i="1"/>
  <c r="O313" i="1"/>
  <c r="N313" i="1"/>
  <c r="J313" i="1"/>
  <c r="I313" i="1"/>
  <c r="H313" i="1"/>
  <c r="G313" i="1"/>
  <c r="F313" i="1"/>
  <c r="E313" i="1"/>
  <c r="D313" i="1"/>
  <c r="C313" i="1"/>
  <c r="V312" i="1"/>
  <c r="Q312" i="1"/>
  <c r="P312" i="1"/>
  <c r="O312" i="1"/>
  <c r="N312" i="1"/>
  <c r="J312" i="1"/>
  <c r="I312" i="1"/>
  <c r="H312" i="1"/>
  <c r="G312" i="1"/>
  <c r="F312" i="1"/>
  <c r="E312" i="1"/>
  <c r="D312" i="1"/>
  <c r="C312" i="1"/>
  <c r="V311" i="1"/>
  <c r="Q311" i="1"/>
  <c r="P311" i="1"/>
  <c r="O311" i="1"/>
  <c r="N311" i="1"/>
  <c r="J311" i="1"/>
  <c r="I311" i="1"/>
  <c r="H311" i="1"/>
  <c r="G311" i="1"/>
  <c r="F311" i="1"/>
  <c r="E311" i="1"/>
  <c r="D311" i="1"/>
  <c r="C311" i="1"/>
  <c r="V310" i="1"/>
  <c r="Q310" i="1"/>
  <c r="P310" i="1"/>
  <c r="O310" i="1"/>
  <c r="N310" i="1"/>
  <c r="J310" i="1"/>
  <c r="I310" i="1"/>
  <c r="H310" i="1"/>
  <c r="G310" i="1"/>
  <c r="F310" i="1"/>
  <c r="E310" i="1"/>
  <c r="D310" i="1"/>
  <c r="C310" i="1"/>
  <c r="V309" i="1"/>
  <c r="Q309" i="1"/>
  <c r="P309" i="1"/>
  <c r="O309" i="1"/>
  <c r="N309" i="1"/>
  <c r="J309" i="1"/>
  <c r="I309" i="1"/>
  <c r="H309" i="1"/>
  <c r="G309" i="1"/>
  <c r="F309" i="1"/>
  <c r="E309" i="1"/>
  <c r="D309" i="1"/>
  <c r="C309" i="1"/>
  <c r="V308" i="1"/>
  <c r="Q308" i="1"/>
  <c r="P308" i="1"/>
  <c r="O308" i="1"/>
  <c r="N308" i="1"/>
  <c r="J308" i="1"/>
  <c r="I308" i="1"/>
  <c r="H308" i="1"/>
  <c r="G308" i="1"/>
  <c r="F308" i="1"/>
  <c r="E308" i="1"/>
  <c r="D308" i="1"/>
  <c r="C308" i="1"/>
  <c r="V307" i="1"/>
  <c r="Q307" i="1"/>
  <c r="P307" i="1"/>
  <c r="O307" i="1"/>
  <c r="N307" i="1"/>
  <c r="J307" i="1"/>
  <c r="I307" i="1"/>
  <c r="H307" i="1"/>
  <c r="G307" i="1"/>
  <c r="F307" i="1"/>
  <c r="E307" i="1"/>
  <c r="D307" i="1"/>
  <c r="C307" i="1"/>
  <c r="V306" i="1"/>
  <c r="Q306" i="1"/>
  <c r="P306" i="1"/>
  <c r="O306" i="1"/>
  <c r="N306" i="1"/>
  <c r="J306" i="1"/>
  <c r="I306" i="1"/>
  <c r="H306" i="1"/>
  <c r="G306" i="1"/>
  <c r="F306" i="1"/>
  <c r="E306" i="1"/>
  <c r="D306" i="1"/>
  <c r="C306" i="1"/>
  <c r="V305" i="1"/>
  <c r="Q305" i="1"/>
  <c r="P305" i="1"/>
  <c r="O305" i="1"/>
  <c r="N305" i="1"/>
  <c r="J305" i="1"/>
  <c r="I305" i="1"/>
  <c r="H305" i="1"/>
  <c r="G305" i="1"/>
  <c r="F305" i="1"/>
  <c r="E305" i="1"/>
  <c r="D305" i="1"/>
  <c r="C305" i="1"/>
  <c r="V304" i="1"/>
  <c r="Q304" i="1"/>
  <c r="P304" i="1"/>
  <c r="O304" i="1"/>
  <c r="N304" i="1"/>
  <c r="J304" i="1"/>
  <c r="I304" i="1"/>
  <c r="H304" i="1"/>
  <c r="G304" i="1"/>
  <c r="F304" i="1"/>
  <c r="E304" i="1"/>
  <c r="D304" i="1"/>
  <c r="C304" i="1"/>
  <c r="V303" i="1"/>
  <c r="Q303" i="1"/>
  <c r="P303" i="1"/>
  <c r="O303" i="1"/>
  <c r="N303" i="1"/>
  <c r="J303" i="1"/>
  <c r="I303" i="1"/>
  <c r="H303" i="1"/>
  <c r="G303" i="1"/>
  <c r="F303" i="1"/>
  <c r="E303" i="1"/>
  <c r="D303" i="1"/>
  <c r="C303" i="1"/>
  <c r="V302" i="1"/>
  <c r="Q302" i="1"/>
  <c r="P302" i="1"/>
  <c r="O302" i="1"/>
  <c r="N302" i="1"/>
  <c r="J302" i="1"/>
  <c r="I302" i="1"/>
  <c r="H302" i="1"/>
  <c r="G302" i="1"/>
  <c r="F302" i="1"/>
  <c r="E302" i="1"/>
  <c r="D302" i="1"/>
  <c r="C302" i="1"/>
  <c r="V301" i="1"/>
  <c r="Q301" i="1"/>
  <c r="P301" i="1"/>
  <c r="O301" i="1"/>
  <c r="N301" i="1"/>
  <c r="J301" i="1"/>
  <c r="I301" i="1"/>
  <c r="H301" i="1"/>
  <c r="G301" i="1"/>
  <c r="F301" i="1"/>
  <c r="E301" i="1"/>
  <c r="D301" i="1"/>
  <c r="C301" i="1"/>
  <c r="V300" i="1"/>
  <c r="Q300" i="1"/>
  <c r="P300" i="1"/>
  <c r="O300" i="1"/>
  <c r="N300" i="1"/>
  <c r="J300" i="1"/>
  <c r="I300" i="1"/>
  <c r="H300" i="1"/>
  <c r="G300" i="1"/>
  <c r="F300" i="1"/>
  <c r="E300" i="1"/>
  <c r="D300" i="1"/>
  <c r="C300" i="1"/>
  <c r="V299" i="1"/>
  <c r="Q299" i="1"/>
  <c r="P299" i="1"/>
  <c r="O299" i="1"/>
  <c r="N299" i="1"/>
  <c r="J299" i="1"/>
  <c r="I299" i="1"/>
  <c r="H299" i="1"/>
  <c r="G299" i="1"/>
  <c r="F299" i="1"/>
  <c r="E299" i="1"/>
  <c r="D299" i="1"/>
  <c r="C299" i="1"/>
  <c r="V298" i="1"/>
  <c r="Q298" i="1"/>
  <c r="P298" i="1"/>
  <c r="O298" i="1"/>
  <c r="N298" i="1"/>
  <c r="J298" i="1"/>
  <c r="I298" i="1"/>
  <c r="H298" i="1"/>
  <c r="G298" i="1"/>
  <c r="F298" i="1"/>
  <c r="E298" i="1"/>
  <c r="D298" i="1"/>
  <c r="C298" i="1"/>
  <c r="V297" i="1"/>
  <c r="Q297" i="1"/>
  <c r="P297" i="1"/>
  <c r="O297" i="1"/>
  <c r="N297" i="1"/>
  <c r="J297" i="1"/>
  <c r="I297" i="1"/>
  <c r="H297" i="1"/>
  <c r="G297" i="1"/>
  <c r="F297" i="1"/>
  <c r="E297" i="1"/>
  <c r="D297" i="1"/>
  <c r="C297" i="1"/>
  <c r="V296" i="1"/>
  <c r="Q296" i="1"/>
  <c r="P296" i="1"/>
  <c r="O296" i="1"/>
  <c r="N296" i="1"/>
  <c r="J296" i="1"/>
  <c r="I296" i="1"/>
  <c r="H296" i="1"/>
  <c r="G296" i="1"/>
  <c r="F296" i="1"/>
  <c r="E296" i="1"/>
  <c r="D296" i="1"/>
  <c r="C296" i="1"/>
  <c r="V295" i="1"/>
  <c r="Q295" i="1"/>
  <c r="P295" i="1"/>
  <c r="O295" i="1"/>
  <c r="N295" i="1"/>
  <c r="J295" i="1"/>
  <c r="I295" i="1"/>
  <c r="H295" i="1"/>
  <c r="G295" i="1"/>
  <c r="F295" i="1"/>
  <c r="E295" i="1"/>
  <c r="D295" i="1"/>
  <c r="C295" i="1"/>
  <c r="V294" i="1"/>
  <c r="Q294" i="1"/>
  <c r="P294" i="1"/>
  <c r="O294" i="1"/>
  <c r="N294" i="1"/>
  <c r="J294" i="1"/>
  <c r="I294" i="1"/>
  <c r="H294" i="1"/>
  <c r="G294" i="1"/>
  <c r="F294" i="1"/>
  <c r="E294" i="1"/>
  <c r="D294" i="1"/>
  <c r="C294" i="1"/>
  <c r="V293" i="1"/>
  <c r="Q293" i="1"/>
  <c r="P293" i="1"/>
  <c r="O293" i="1"/>
  <c r="N293" i="1"/>
  <c r="J293" i="1"/>
  <c r="I293" i="1"/>
  <c r="H293" i="1"/>
  <c r="G293" i="1"/>
  <c r="F293" i="1"/>
  <c r="E293" i="1"/>
  <c r="D293" i="1"/>
  <c r="C293" i="1"/>
  <c r="V292" i="1"/>
  <c r="Q292" i="1"/>
  <c r="P292" i="1"/>
  <c r="O292" i="1"/>
  <c r="N292" i="1"/>
  <c r="J292" i="1"/>
  <c r="I292" i="1"/>
  <c r="H292" i="1"/>
  <c r="G292" i="1"/>
  <c r="F292" i="1"/>
  <c r="E292" i="1"/>
  <c r="D292" i="1"/>
  <c r="C292" i="1"/>
  <c r="V291" i="1"/>
  <c r="Q291" i="1"/>
  <c r="P291" i="1"/>
  <c r="O291" i="1"/>
  <c r="N291" i="1"/>
  <c r="J291" i="1"/>
  <c r="I291" i="1"/>
  <c r="H291" i="1"/>
  <c r="G291" i="1"/>
  <c r="F291" i="1"/>
  <c r="E291" i="1"/>
  <c r="D291" i="1"/>
  <c r="C291" i="1"/>
  <c r="V290" i="1"/>
  <c r="Q290" i="1"/>
  <c r="P290" i="1"/>
  <c r="O290" i="1"/>
  <c r="N290" i="1"/>
  <c r="J290" i="1"/>
  <c r="I290" i="1"/>
  <c r="H290" i="1"/>
  <c r="G290" i="1"/>
  <c r="F290" i="1"/>
  <c r="E290" i="1"/>
  <c r="D290" i="1"/>
  <c r="C290" i="1"/>
  <c r="V289" i="1"/>
  <c r="Q289" i="1"/>
  <c r="P289" i="1"/>
  <c r="O289" i="1"/>
  <c r="N289" i="1"/>
  <c r="J289" i="1"/>
  <c r="I289" i="1"/>
  <c r="H289" i="1"/>
  <c r="G289" i="1"/>
  <c r="F289" i="1"/>
  <c r="E289" i="1"/>
  <c r="D289" i="1"/>
  <c r="C289" i="1"/>
  <c r="V288" i="1"/>
  <c r="Q288" i="1"/>
  <c r="P288" i="1"/>
  <c r="O288" i="1"/>
  <c r="N288" i="1"/>
  <c r="J288" i="1"/>
  <c r="I288" i="1"/>
  <c r="H288" i="1"/>
  <c r="G288" i="1"/>
  <c r="F288" i="1"/>
  <c r="E288" i="1"/>
  <c r="D288" i="1"/>
  <c r="C288" i="1"/>
  <c r="V287" i="1"/>
  <c r="Q287" i="1"/>
  <c r="P287" i="1"/>
  <c r="O287" i="1"/>
  <c r="N287" i="1"/>
  <c r="J287" i="1"/>
  <c r="I287" i="1"/>
  <c r="H287" i="1"/>
  <c r="G287" i="1"/>
  <c r="F287" i="1"/>
  <c r="E287" i="1"/>
  <c r="D287" i="1"/>
  <c r="C287" i="1"/>
  <c r="V286" i="1"/>
  <c r="Q286" i="1"/>
  <c r="P286" i="1"/>
  <c r="O286" i="1"/>
  <c r="N286" i="1"/>
  <c r="J286" i="1"/>
  <c r="I286" i="1"/>
  <c r="H286" i="1"/>
  <c r="G286" i="1"/>
  <c r="F286" i="1"/>
  <c r="E286" i="1"/>
  <c r="D286" i="1"/>
  <c r="C286" i="1"/>
  <c r="V285" i="1"/>
  <c r="Q285" i="1"/>
  <c r="P285" i="1"/>
  <c r="O285" i="1"/>
  <c r="N285" i="1"/>
  <c r="J285" i="1"/>
  <c r="I285" i="1"/>
  <c r="H285" i="1"/>
  <c r="G285" i="1"/>
  <c r="F285" i="1"/>
  <c r="E285" i="1"/>
  <c r="D285" i="1"/>
  <c r="C285" i="1"/>
  <c r="V284" i="1"/>
  <c r="Q284" i="1"/>
  <c r="P284" i="1"/>
  <c r="O284" i="1"/>
  <c r="N284" i="1"/>
  <c r="J284" i="1"/>
  <c r="I284" i="1"/>
  <c r="H284" i="1"/>
  <c r="G284" i="1"/>
  <c r="F284" i="1"/>
  <c r="E284" i="1"/>
  <c r="D284" i="1"/>
  <c r="C284" i="1"/>
  <c r="V283" i="1"/>
  <c r="Q283" i="1"/>
  <c r="P283" i="1"/>
  <c r="O283" i="1"/>
  <c r="N283" i="1"/>
  <c r="J283" i="1"/>
  <c r="I283" i="1"/>
  <c r="H283" i="1"/>
  <c r="G283" i="1"/>
  <c r="F283" i="1"/>
  <c r="E283" i="1"/>
  <c r="D283" i="1"/>
  <c r="C283" i="1"/>
  <c r="V282" i="1"/>
  <c r="Q282" i="1"/>
  <c r="P282" i="1"/>
  <c r="O282" i="1"/>
  <c r="N282" i="1"/>
  <c r="J282" i="1"/>
  <c r="I282" i="1"/>
  <c r="H282" i="1"/>
  <c r="G282" i="1"/>
  <c r="F282" i="1"/>
  <c r="E282" i="1"/>
  <c r="D282" i="1"/>
  <c r="C282" i="1"/>
  <c r="V281" i="1"/>
  <c r="Q281" i="1"/>
  <c r="P281" i="1"/>
  <c r="O281" i="1"/>
  <c r="N281" i="1"/>
  <c r="J281" i="1"/>
  <c r="I281" i="1"/>
  <c r="H281" i="1"/>
  <c r="G281" i="1"/>
  <c r="F281" i="1"/>
  <c r="E281" i="1"/>
  <c r="D281" i="1"/>
  <c r="C281" i="1"/>
  <c r="V280" i="1"/>
  <c r="Q280" i="1"/>
  <c r="P280" i="1"/>
  <c r="O280" i="1"/>
  <c r="N280" i="1"/>
  <c r="J280" i="1"/>
  <c r="I280" i="1"/>
  <c r="H280" i="1"/>
  <c r="G280" i="1"/>
  <c r="F280" i="1"/>
  <c r="E280" i="1"/>
  <c r="D280" i="1"/>
  <c r="C280" i="1"/>
  <c r="V279" i="1"/>
  <c r="Q279" i="1"/>
  <c r="P279" i="1"/>
  <c r="O279" i="1"/>
  <c r="N279" i="1"/>
  <c r="J279" i="1"/>
  <c r="I279" i="1"/>
  <c r="H279" i="1"/>
  <c r="G279" i="1"/>
  <c r="F279" i="1"/>
  <c r="E279" i="1"/>
  <c r="D279" i="1"/>
  <c r="C279" i="1"/>
  <c r="V278" i="1"/>
  <c r="Q278" i="1"/>
  <c r="P278" i="1"/>
  <c r="O278" i="1"/>
  <c r="N278" i="1"/>
  <c r="J278" i="1"/>
  <c r="I278" i="1"/>
  <c r="H278" i="1"/>
  <c r="G278" i="1"/>
  <c r="F278" i="1"/>
  <c r="E278" i="1"/>
  <c r="D278" i="1"/>
  <c r="C278" i="1"/>
  <c r="V277" i="1"/>
  <c r="Q277" i="1"/>
  <c r="P277" i="1"/>
  <c r="O277" i="1"/>
  <c r="N277" i="1"/>
  <c r="J277" i="1"/>
  <c r="I277" i="1"/>
  <c r="H277" i="1"/>
  <c r="G277" i="1"/>
  <c r="F277" i="1"/>
  <c r="E277" i="1"/>
  <c r="D277" i="1"/>
  <c r="C277" i="1"/>
  <c r="V276" i="1"/>
  <c r="Q276" i="1"/>
  <c r="P276" i="1"/>
  <c r="O276" i="1"/>
  <c r="N276" i="1"/>
  <c r="J276" i="1"/>
  <c r="I276" i="1"/>
  <c r="H276" i="1"/>
  <c r="G276" i="1"/>
  <c r="F276" i="1"/>
  <c r="E276" i="1"/>
  <c r="D276" i="1"/>
  <c r="C276" i="1"/>
  <c r="V275" i="1"/>
  <c r="Q275" i="1"/>
  <c r="P275" i="1"/>
  <c r="O275" i="1"/>
  <c r="N275" i="1"/>
  <c r="J275" i="1"/>
  <c r="I275" i="1"/>
  <c r="H275" i="1"/>
  <c r="G275" i="1"/>
  <c r="F275" i="1"/>
  <c r="E275" i="1"/>
  <c r="D275" i="1"/>
  <c r="C275" i="1"/>
  <c r="V274" i="1"/>
  <c r="Q274" i="1"/>
  <c r="P274" i="1"/>
  <c r="O274" i="1"/>
  <c r="N274" i="1"/>
  <c r="J274" i="1"/>
  <c r="I274" i="1"/>
  <c r="H274" i="1"/>
  <c r="G274" i="1"/>
  <c r="F274" i="1"/>
  <c r="E274" i="1"/>
  <c r="D274" i="1"/>
  <c r="C274" i="1"/>
  <c r="V273" i="1"/>
  <c r="Q273" i="1"/>
  <c r="P273" i="1"/>
  <c r="O273" i="1"/>
  <c r="N273" i="1"/>
  <c r="J273" i="1"/>
  <c r="I273" i="1"/>
  <c r="H273" i="1"/>
  <c r="G273" i="1"/>
  <c r="F273" i="1"/>
  <c r="E273" i="1"/>
  <c r="D273" i="1"/>
  <c r="C273" i="1"/>
  <c r="V272" i="1"/>
  <c r="Q272" i="1"/>
  <c r="P272" i="1"/>
  <c r="O272" i="1"/>
  <c r="N272" i="1"/>
  <c r="J272" i="1"/>
  <c r="I272" i="1"/>
  <c r="H272" i="1"/>
  <c r="G272" i="1"/>
  <c r="F272" i="1"/>
  <c r="E272" i="1"/>
  <c r="D272" i="1"/>
  <c r="C272" i="1"/>
  <c r="V271" i="1"/>
  <c r="Q271" i="1"/>
  <c r="P271" i="1"/>
  <c r="O271" i="1"/>
  <c r="N271" i="1"/>
  <c r="J271" i="1"/>
  <c r="I271" i="1"/>
  <c r="H271" i="1"/>
  <c r="G271" i="1"/>
  <c r="F271" i="1"/>
  <c r="E271" i="1"/>
  <c r="D271" i="1"/>
  <c r="C271" i="1"/>
  <c r="V270" i="1"/>
  <c r="Q270" i="1"/>
  <c r="P270" i="1"/>
  <c r="O270" i="1"/>
  <c r="N270" i="1"/>
  <c r="J270" i="1"/>
  <c r="I270" i="1"/>
  <c r="H270" i="1"/>
  <c r="G270" i="1"/>
  <c r="F270" i="1"/>
  <c r="E270" i="1"/>
  <c r="D270" i="1"/>
  <c r="C270" i="1"/>
  <c r="V269" i="1"/>
  <c r="Q269" i="1"/>
  <c r="P269" i="1"/>
  <c r="O269" i="1"/>
  <c r="N269" i="1"/>
  <c r="J269" i="1"/>
  <c r="I269" i="1"/>
  <c r="H269" i="1"/>
  <c r="G269" i="1"/>
  <c r="F269" i="1"/>
  <c r="E269" i="1"/>
  <c r="D269" i="1"/>
  <c r="C269" i="1"/>
  <c r="V268" i="1"/>
  <c r="Q268" i="1"/>
  <c r="P268" i="1"/>
  <c r="O268" i="1"/>
  <c r="N268" i="1"/>
  <c r="J268" i="1"/>
  <c r="I268" i="1"/>
  <c r="H268" i="1"/>
  <c r="G268" i="1"/>
  <c r="F268" i="1"/>
  <c r="E268" i="1"/>
  <c r="D268" i="1"/>
  <c r="C268" i="1"/>
  <c r="V267" i="1"/>
  <c r="Q267" i="1"/>
  <c r="P267" i="1"/>
  <c r="O267" i="1"/>
  <c r="N267" i="1"/>
  <c r="J267" i="1"/>
  <c r="I267" i="1"/>
  <c r="H267" i="1"/>
  <c r="G267" i="1"/>
  <c r="F267" i="1"/>
  <c r="E267" i="1"/>
  <c r="D267" i="1"/>
  <c r="C267" i="1"/>
  <c r="V266" i="1"/>
  <c r="Q266" i="1"/>
  <c r="P266" i="1"/>
  <c r="O266" i="1"/>
  <c r="N266" i="1"/>
  <c r="J266" i="1"/>
  <c r="I266" i="1"/>
  <c r="H266" i="1"/>
  <c r="G266" i="1"/>
  <c r="F266" i="1"/>
  <c r="E266" i="1"/>
  <c r="D266" i="1"/>
  <c r="C266" i="1"/>
  <c r="V265" i="1"/>
  <c r="Q265" i="1"/>
  <c r="P265" i="1"/>
  <c r="O265" i="1"/>
  <c r="N265" i="1"/>
  <c r="J265" i="1"/>
  <c r="I265" i="1"/>
  <c r="H265" i="1"/>
  <c r="G265" i="1"/>
  <c r="F265" i="1"/>
  <c r="E265" i="1"/>
  <c r="D265" i="1"/>
  <c r="C265" i="1"/>
  <c r="V264" i="1"/>
  <c r="Q264" i="1"/>
  <c r="P264" i="1"/>
  <c r="O264" i="1"/>
  <c r="N264" i="1"/>
  <c r="J264" i="1"/>
  <c r="I264" i="1"/>
  <c r="H264" i="1"/>
  <c r="G264" i="1"/>
  <c r="F264" i="1"/>
  <c r="E264" i="1"/>
  <c r="D264" i="1"/>
  <c r="C264" i="1"/>
  <c r="V263" i="1"/>
  <c r="Q263" i="1"/>
  <c r="P263" i="1"/>
  <c r="O263" i="1"/>
  <c r="N263" i="1"/>
  <c r="J263" i="1"/>
  <c r="I263" i="1"/>
  <c r="H263" i="1"/>
  <c r="G263" i="1"/>
  <c r="F263" i="1"/>
  <c r="E263" i="1"/>
  <c r="D263" i="1"/>
  <c r="C263" i="1"/>
  <c r="V262" i="1"/>
  <c r="Q262" i="1"/>
  <c r="P262" i="1"/>
  <c r="O262" i="1"/>
  <c r="N262" i="1"/>
  <c r="J262" i="1"/>
  <c r="I262" i="1"/>
  <c r="H262" i="1"/>
  <c r="G262" i="1"/>
  <c r="F262" i="1"/>
  <c r="E262" i="1"/>
  <c r="D262" i="1"/>
  <c r="C262" i="1"/>
  <c r="V261" i="1"/>
  <c r="Q261" i="1"/>
  <c r="P261" i="1"/>
  <c r="O261" i="1"/>
  <c r="N261" i="1"/>
  <c r="J261" i="1"/>
  <c r="I261" i="1"/>
  <c r="H261" i="1"/>
  <c r="G261" i="1"/>
  <c r="F261" i="1"/>
  <c r="E261" i="1"/>
  <c r="D261" i="1"/>
  <c r="C261" i="1"/>
  <c r="V260" i="1"/>
  <c r="Q260" i="1"/>
  <c r="P260" i="1"/>
  <c r="O260" i="1"/>
  <c r="N260" i="1"/>
  <c r="J260" i="1"/>
  <c r="I260" i="1"/>
  <c r="H260" i="1"/>
  <c r="G260" i="1"/>
  <c r="F260" i="1"/>
  <c r="E260" i="1"/>
  <c r="D260" i="1"/>
  <c r="C260" i="1"/>
  <c r="V259" i="1"/>
  <c r="Q259" i="1"/>
  <c r="P259" i="1"/>
  <c r="O259" i="1"/>
  <c r="N259" i="1"/>
  <c r="J259" i="1"/>
  <c r="I259" i="1"/>
  <c r="H259" i="1"/>
  <c r="G259" i="1"/>
  <c r="F259" i="1"/>
  <c r="E259" i="1"/>
  <c r="D259" i="1"/>
  <c r="C259" i="1"/>
  <c r="V258" i="1"/>
  <c r="Q258" i="1"/>
  <c r="P258" i="1"/>
  <c r="O258" i="1"/>
  <c r="N258" i="1"/>
  <c r="J258" i="1"/>
  <c r="I258" i="1"/>
  <c r="H258" i="1"/>
  <c r="G258" i="1"/>
  <c r="F258" i="1"/>
  <c r="E258" i="1"/>
  <c r="D258" i="1"/>
  <c r="C258" i="1"/>
  <c r="V257" i="1"/>
  <c r="Q257" i="1"/>
  <c r="P257" i="1"/>
  <c r="O257" i="1"/>
  <c r="N257" i="1"/>
  <c r="J257" i="1"/>
  <c r="I257" i="1"/>
  <c r="H257" i="1"/>
  <c r="G257" i="1"/>
  <c r="F257" i="1"/>
  <c r="E257" i="1"/>
  <c r="D257" i="1"/>
  <c r="C257" i="1"/>
  <c r="V256" i="1"/>
  <c r="Q256" i="1"/>
  <c r="P256" i="1"/>
  <c r="O256" i="1"/>
  <c r="N256" i="1"/>
  <c r="J256" i="1"/>
  <c r="I256" i="1"/>
  <c r="H256" i="1"/>
  <c r="G256" i="1"/>
  <c r="F256" i="1"/>
  <c r="E256" i="1"/>
  <c r="D256" i="1"/>
  <c r="C256" i="1"/>
  <c r="V255" i="1"/>
  <c r="Q255" i="1"/>
  <c r="P255" i="1"/>
  <c r="O255" i="1"/>
  <c r="N255" i="1"/>
  <c r="J255" i="1"/>
  <c r="I255" i="1"/>
  <c r="H255" i="1"/>
  <c r="G255" i="1"/>
  <c r="F255" i="1"/>
  <c r="E255" i="1"/>
  <c r="D255" i="1"/>
  <c r="C255" i="1"/>
  <c r="V254" i="1"/>
  <c r="Q254" i="1"/>
  <c r="P254" i="1"/>
  <c r="O254" i="1"/>
  <c r="N254" i="1"/>
  <c r="J254" i="1"/>
  <c r="I254" i="1"/>
  <c r="H254" i="1"/>
  <c r="G254" i="1"/>
  <c r="F254" i="1"/>
  <c r="E254" i="1"/>
  <c r="D254" i="1"/>
  <c r="C254" i="1"/>
  <c r="V253" i="1"/>
  <c r="Q253" i="1"/>
  <c r="P253" i="1"/>
  <c r="O253" i="1"/>
  <c r="N253" i="1"/>
  <c r="J253" i="1"/>
  <c r="I253" i="1"/>
  <c r="H253" i="1"/>
  <c r="G253" i="1"/>
  <c r="F253" i="1"/>
  <c r="E253" i="1"/>
  <c r="D253" i="1"/>
  <c r="C253" i="1"/>
  <c r="V252" i="1"/>
  <c r="Q252" i="1"/>
  <c r="P252" i="1"/>
  <c r="O252" i="1"/>
  <c r="N252" i="1"/>
  <c r="J252" i="1"/>
  <c r="I252" i="1"/>
  <c r="H252" i="1"/>
  <c r="G252" i="1"/>
  <c r="F252" i="1"/>
  <c r="E252" i="1"/>
  <c r="D252" i="1"/>
  <c r="C252" i="1"/>
  <c r="V251" i="1"/>
  <c r="Q251" i="1"/>
  <c r="P251" i="1"/>
  <c r="O251" i="1"/>
  <c r="N251" i="1"/>
  <c r="J251" i="1"/>
  <c r="I251" i="1"/>
  <c r="H251" i="1"/>
  <c r="G251" i="1"/>
  <c r="F251" i="1"/>
  <c r="E251" i="1"/>
  <c r="D251" i="1"/>
  <c r="C251" i="1"/>
  <c r="V250" i="1"/>
  <c r="Q250" i="1"/>
  <c r="P250" i="1"/>
  <c r="O250" i="1"/>
  <c r="N250" i="1"/>
  <c r="J250" i="1"/>
  <c r="I250" i="1"/>
  <c r="H250" i="1"/>
  <c r="G250" i="1"/>
  <c r="F250" i="1"/>
  <c r="E250" i="1"/>
  <c r="D250" i="1"/>
  <c r="C250" i="1"/>
  <c r="V249" i="1"/>
  <c r="Q249" i="1"/>
  <c r="P249" i="1"/>
  <c r="O249" i="1"/>
  <c r="N249" i="1"/>
  <c r="J249" i="1"/>
  <c r="I249" i="1"/>
  <c r="H249" i="1"/>
  <c r="G249" i="1"/>
  <c r="F249" i="1"/>
  <c r="E249" i="1"/>
  <c r="D249" i="1"/>
  <c r="C249" i="1"/>
  <c r="V248" i="1"/>
  <c r="Q248" i="1"/>
  <c r="P248" i="1"/>
  <c r="O248" i="1"/>
  <c r="N248" i="1"/>
  <c r="J248" i="1"/>
  <c r="I248" i="1"/>
  <c r="H248" i="1"/>
  <c r="G248" i="1"/>
  <c r="F248" i="1"/>
  <c r="E248" i="1"/>
  <c r="D248" i="1"/>
  <c r="C248" i="1"/>
  <c r="V247" i="1"/>
  <c r="Q247" i="1"/>
  <c r="P247" i="1"/>
  <c r="O247" i="1"/>
  <c r="N247" i="1"/>
  <c r="J247" i="1"/>
  <c r="I247" i="1"/>
  <c r="H247" i="1"/>
  <c r="G247" i="1"/>
  <c r="F247" i="1"/>
  <c r="E247" i="1"/>
  <c r="D247" i="1"/>
  <c r="C247" i="1"/>
  <c r="V246" i="1"/>
  <c r="Q246" i="1"/>
  <c r="P246" i="1"/>
  <c r="O246" i="1"/>
  <c r="N246" i="1"/>
  <c r="J246" i="1"/>
  <c r="I246" i="1"/>
  <c r="H246" i="1"/>
  <c r="G246" i="1"/>
  <c r="F246" i="1"/>
  <c r="E246" i="1"/>
  <c r="D246" i="1"/>
  <c r="C246" i="1"/>
  <c r="V245" i="1"/>
  <c r="Q245" i="1"/>
  <c r="P245" i="1"/>
  <c r="O245" i="1"/>
  <c r="N245" i="1"/>
  <c r="J245" i="1"/>
  <c r="I245" i="1"/>
  <c r="H245" i="1"/>
  <c r="G245" i="1"/>
  <c r="F245" i="1"/>
  <c r="E245" i="1"/>
  <c r="D245" i="1"/>
  <c r="C245" i="1"/>
  <c r="V244" i="1"/>
  <c r="Q244" i="1"/>
  <c r="P244" i="1"/>
  <c r="O244" i="1"/>
  <c r="N244" i="1"/>
  <c r="J244" i="1"/>
  <c r="I244" i="1"/>
  <c r="H244" i="1"/>
  <c r="G244" i="1"/>
  <c r="F244" i="1"/>
  <c r="E244" i="1"/>
  <c r="D244" i="1"/>
  <c r="C244" i="1"/>
  <c r="V243" i="1"/>
  <c r="Q243" i="1"/>
  <c r="P243" i="1"/>
  <c r="O243" i="1"/>
  <c r="N243" i="1"/>
  <c r="J243" i="1"/>
  <c r="I243" i="1"/>
  <c r="H243" i="1"/>
  <c r="G243" i="1"/>
  <c r="F243" i="1"/>
  <c r="E243" i="1"/>
  <c r="D243" i="1"/>
  <c r="C243" i="1"/>
  <c r="V242" i="1"/>
  <c r="Q242" i="1"/>
  <c r="P242" i="1"/>
  <c r="O242" i="1"/>
  <c r="N242" i="1"/>
  <c r="J242" i="1"/>
  <c r="I242" i="1"/>
  <c r="H242" i="1"/>
  <c r="G242" i="1"/>
  <c r="F242" i="1"/>
  <c r="E242" i="1"/>
  <c r="D242" i="1"/>
  <c r="C242" i="1"/>
  <c r="V241" i="1"/>
  <c r="Q241" i="1"/>
  <c r="P241" i="1"/>
  <c r="O241" i="1"/>
  <c r="N241" i="1"/>
  <c r="J241" i="1"/>
  <c r="I241" i="1"/>
  <c r="H241" i="1"/>
  <c r="G241" i="1"/>
  <c r="F241" i="1"/>
  <c r="E241" i="1"/>
  <c r="D241" i="1"/>
  <c r="C241" i="1"/>
  <c r="V240" i="1"/>
  <c r="Q240" i="1"/>
  <c r="P240" i="1"/>
  <c r="O240" i="1"/>
  <c r="N240" i="1"/>
  <c r="J240" i="1"/>
  <c r="I240" i="1"/>
  <c r="H240" i="1"/>
  <c r="G240" i="1"/>
  <c r="F240" i="1"/>
  <c r="E240" i="1"/>
  <c r="D240" i="1"/>
  <c r="C240" i="1"/>
  <c r="V239" i="1"/>
  <c r="Q239" i="1"/>
  <c r="P239" i="1"/>
  <c r="O239" i="1"/>
  <c r="N239" i="1"/>
  <c r="J239" i="1"/>
  <c r="I239" i="1"/>
  <c r="H239" i="1"/>
  <c r="G239" i="1"/>
  <c r="F239" i="1"/>
  <c r="E239" i="1"/>
  <c r="D239" i="1"/>
  <c r="C239" i="1"/>
  <c r="V238" i="1"/>
  <c r="Q238" i="1"/>
  <c r="P238" i="1"/>
  <c r="O238" i="1"/>
  <c r="N238" i="1"/>
  <c r="J238" i="1"/>
  <c r="I238" i="1"/>
  <c r="H238" i="1"/>
  <c r="G238" i="1"/>
  <c r="F238" i="1"/>
  <c r="E238" i="1"/>
  <c r="D238" i="1"/>
  <c r="C238" i="1"/>
  <c r="V237" i="1"/>
  <c r="Q237" i="1"/>
  <c r="P237" i="1"/>
  <c r="O237" i="1"/>
  <c r="N237" i="1"/>
  <c r="J237" i="1"/>
  <c r="I237" i="1"/>
  <c r="H237" i="1"/>
  <c r="G237" i="1"/>
  <c r="F237" i="1"/>
  <c r="E237" i="1"/>
  <c r="D237" i="1"/>
  <c r="C237" i="1"/>
  <c r="V236" i="1"/>
  <c r="Q236" i="1"/>
  <c r="P236" i="1"/>
  <c r="O236" i="1"/>
  <c r="N236" i="1"/>
  <c r="J236" i="1"/>
  <c r="I236" i="1"/>
  <c r="H236" i="1"/>
  <c r="G236" i="1"/>
  <c r="F236" i="1"/>
  <c r="E236" i="1"/>
  <c r="D236" i="1"/>
  <c r="C236" i="1"/>
  <c r="V235" i="1"/>
  <c r="Q235" i="1"/>
  <c r="P235" i="1"/>
  <c r="O235" i="1"/>
  <c r="N235" i="1"/>
  <c r="J235" i="1"/>
  <c r="I235" i="1"/>
  <c r="H235" i="1"/>
  <c r="G235" i="1"/>
  <c r="F235" i="1"/>
  <c r="E235" i="1"/>
  <c r="D235" i="1"/>
  <c r="C235" i="1"/>
  <c r="V234" i="1"/>
  <c r="Q234" i="1"/>
  <c r="P234" i="1"/>
  <c r="O234" i="1"/>
  <c r="N234" i="1"/>
  <c r="J234" i="1"/>
  <c r="I234" i="1"/>
  <c r="H234" i="1"/>
  <c r="G234" i="1"/>
  <c r="F234" i="1"/>
  <c r="E234" i="1"/>
  <c r="D234" i="1"/>
  <c r="C234" i="1"/>
  <c r="V233" i="1"/>
  <c r="Q233" i="1"/>
  <c r="P233" i="1"/>
  <c r="O233" i="1"/>
  <c r="N233" i="1"/>
  <c r="J233" i="1"/>
  <c r="I233" i="1"/>
  <c r="H233" i="1"/>
  <c r="G233" i="1"/>
  <c r="F233" i="1"/>
  <c r="E233" i="1"/>
  <c r="D233" i="1"/>
  <c r="C233" i="1"/>
  <c r="V232" i="1"/>
  <c r="Q232" i="1"/>
  <c r="P232" i="1"/>
  <c r="O232" i="1"/>
  <c r="N232" i="1"/>
  <c r="J232" i="1"/>
  <c r="I232" i="1"/>
  <c r="H232" i="1"/>
  <c r="G232" i="1"/>
  <c r="F232" i="1"/>
  <c r="E232" i="1"/>
  <c r="D232" i="1"/>
  <c r="C232" i="1"/>
  <c r="V231" i="1"/>
  <c r="Q231" i="1"/>
  <c r="P231" i="1"/>
  <c r="O231" i="1"/>
  <c r="N231" i="1"/>
  <c r="J231" i="1"/>
  <c r="I231" i="1"/>
  <c r="H231" i="1"/>
  <c r="G231" i="1"/>
  <c r="F231" i="1"/>
  <c r="E231" i="1"/>
  <c r="D231" i="1"/>
  <c r="C231" i="1"/>
  <c r="V230" i="1"/>
  <c r="Q230" i="1"/>
  <c r="P230" i="1"/>
  <c r="O230" i="1"/>
  <c r="N230" i="1"/>
  <c r="J230" i="1"/>
  <c r="I230" i="1"/>
  <c r="H230" i="1"/>
  <c r="G230" i="1"/>
  <c r="F230" i="1"/>
  <c r="E230" i="1"/>
  <c r="D230" i="1"/>
  <c r="C230" i="1"/>
  <c r="V229" i="1"/>
  <c r="Q229" i="1"/>
  <c r="P229" i="1"/>
  <c r="O229" i="1"/>
  <c r="N229" i="1"/>
  <c r="J229" i="1"/>
  <c r="I229" i="1"/>
  <c r="H229" i="1"/>
  <c r="G229" i="1"/>
  <c r="F229" i="1"/>
  <c r="E229" i="1"/>
  <c r="D229" i="1"/>
  <c r="C229" i="1"/>
  <c r="V228" i="1"/>
  <c r="Q228" i="1"/>
  <c r="P228" i="1"/>
  <c r="O228" i="1"/>
  <c r="N228" i="1"/>
  <c r="J228" i="1"/>
  <c r="I228" i="1"/>
  <c r="H228" i="1"/>
  <c r="G228" i="1"/>
  <c r="F228" i="1"/>
  <c r="E228" i="1"/>
  <c r="D228" i="1"/>
  <c r="C228" i="1"/>
  <c r="V227" i="1"/>
  <c r="Q227" i="1"/>
  <c r="P227" i="1"/>
  <c r="O227" i="1"/>
  <c r="N227" i="1"/>
  <c r="J227" i="1"/>
  <c r="I227" i="1"/>
  <c r="H227" i="1"/>
  <c r="G227" i="1"/>
  <c r="F227" i="1"/>
  <c r="E227" i="1"/>
  <c r="D227" i="1"/>
  <c r="C227" i="1"/>
  <c r="V226" i="1"/>
  <c r="Q226" i="1"/>
  <c r="P226" i="1"/>
  <c r="O226" i="1"/>
  <c r="N226" i="1"/>
  <c r="J226" i="1"/>
  <c r="I226" i="1"/>
  <c r="H226" i="1"/>
  <c r="G226" i="1"/>
  <c r="F226" i="1"/>
  <c r="E226" i="1"/>
  <c r="D226" i="1"/>
  <c r="C226" i="1"/>
  <c r="V225" i="1"/>
  <c r="Q225" i="1"/>
  <c r="P225" i="1"/>
  <c r="O225" i="1"/>
  <c r="N225" i="1"/>
  <c r="J225" i="1"/>
  <c r="I225" i="1"/>
  <c r="H225" i="1"/>
  <c r="G225" i="1"/>
  <c r="F225" i="1"/>
  <c r="E225" i="1"/>
  <c r="D225" i="1"/>
  <c r="C225" i="1"/>
  <c r="V224" i="1"/>
  <c r="Q224" i="1"/>
  <c r="P224" i="1"/>
  <c r="O224" i="1"/>
  <c r="N224" i="1"/>
  <c r="J224" i="1"/>
  <c r="I224" i="1"/>
  <c r="H224" i="1"/>
  <c r="G224" i="1"/>
  <c r="F224" i="1"/>
  <c r="E224" i="1"/>
  <c r="D224" i="1"/>
  <c r="C224" i="1"/>
  <c r="V223" i="1"/>
  <c r="Q223" i="1"/>
  <c r="P223" i="1"/>
  <c r="O223" i="1"/>
  <c r="N223" i="1"/>
  <c r="J223" i="1"/>
  <c r="I223" i="1"/>
  <c r="H223" i="1"/>
  <c r="G223" i="1"/>
  <c r="F223" i="1"/>
  <c r="E223" i="1"/>
  <c r="D223" i="1"/>
  <c r="C223" i="1"/>
  <c r="V222" i="1"/>
  <c r="Q222" i="1"/>
  <c r="P222" i="1"/>
  <c r="O222" i="1"/>
  <c r="N222" i="1"/>
  <c r="J222" i="1"/>
  <c r="I222" i="1"/>
  <c r="H222" i="1"/>
  <c r="G222" i="1"/>
  <c r="F222" i="1"/>
  <c r="E222" i="1"/>
  <c r="D222" i="1"/>
  <c r="C222" i="1"/>
  <c r="V221" i="1"/>
  <c r="Q221" i="1"/>
  <c r="P221" i="1"/>
  <c r="O221" i="1"/>
  <c r="N221" i="1"/>
  <c r="J221" i="1"/>
  <c r="I221" i="1"/>
  <c r="H221" i="1"/>
  <c r="G221" i="1"/>
  <c r="F221" i="1"/>
  <c r="E221" i="1"/>
  <c r="D221" i="1"/>
  <c r="C221" i="1"/>
  <c r="V220" i="1"/>
  <c r="Q220" i="1"/>
  <c r="P220" i="1"/>
  <c r="O220" i="1"/>
  <c r="N220" i="1"/>
  <c r="J220" i="1"/>
  <c r="I220" i="1"/>
  <c r="H220" i="1"/>
  <c r="G220" i="1"/>
  <c r="F220" i="1"/>
  <c r="E220" i="1"/>
  <c r="D220" i="1"/>
  <c r="C220" i="1"/>
  <c r="V219" i="1"/>
  <c r="Q219" i="1"/>
  <c r="P219" i="1"/>
  <c r="O219" i="1"/>
  <c r="N219" i="1"/>
  <c r="J219" i="1"/>
  <c r="I219" i="1"/>
  <c r="H219" i="1"/>
  <c r="G219" i="1"/>
  <c r="F219" i="1"/>
  <c r="E219" i="1"/>
  <c r="D219" i="1"/>
  <c r="C219" i="1"/>
  <c r="V218" i="1"/>
  <c r="Q218" i="1"/>
  <c r="P218" i="1"/>
  <c r="O218" i="1"/>
  <c r="N218" i="1"/>
  <c r="J218" i="1"/>
  <c r="I218" i="1"/>
  <c r="H218" i="1"/>
  <c r="G218" i="1"/>
  <c r="F218" i="1"/>
  <c r="E218" i="1"/>
  <c r="D218" i="1"/>
  <c r="C218" i="1"/>
  <c r="V217" i="1"/>
  <c r="Q217" i="1"/>
  <c r="P217" i="1"/>
  <c r="O217" i="1"/>
  <c r="N217" i="1"/>
  <c r="J217" i="1"/>
  <c r="I217" i="1"/>
  <c r="H217" i="1"/>
  <c r="G217" i="1"/>
  <c r="F217" i="1"/>
  <c r="E217" i="1"/>
  <c r="D217" i="1"/>
  <c r="C217" i="1"/>
  <c r="V216" i="1"/>
  <c r="Q216" i="1"/>
  <c r="P216" i="1"/>
  <c r="O216" i="1"/>
  <c r="N216" i="1"/>
  <c r="J216" i="1"/>
  <c r="I216" i="1"/>
  <c r="H216" i="1"/>
  <c r="G216" i="1"/>
  <c r="F216" i="1"/>
  <c r="E216" i="1"/>
  <c r="D216" i="1"/>
  <c r="C216" i="1"/>
  <c r="V215" i="1"/>
  <c r="Q215" i="1"/>
  <c r="P215" i="1"/>
  <c r="O215" i="1"/>
  <c r="N215" i="1"/>
  <c r="J215" i="1"/>
  <c r="I215" i="1"/>
  <c r="H215" i="1"/>
  <c r="G215" i="1"/>
  <c r="F215" i="1"/>
  <c r="E215" i="1"/>
  <c r="D215" i="1"/>
  <c r="C215" i="1"/>
  <c r="V214" i="1"/>
  <c r="Q214" i="1"/>
  <c r="P214" i="1"/>
  <c r="O214" i="1"/>
  <c r="N214" i="1"/>
  <c r="J214" i="1"/>
  <c r="I214" i="1"/>
  <c r="H214" i="1"/>
  <c r="G214" i="1"/>
  <c r="F214" i="1"/>
  <c r="E214" i="1"/>
  <c r="D214" i="1"/>
  <c r="C214" i="1"/>
  <c r="V213" i="1"/>
  <c r="Q213" i="1"/>
  <c r="P213" i="1"/>
  <c r="O213" i="1"/>
  <c r="N213" i="1"/>
  <c r="J213" i="1"/>
  <c r="I213" i="1"/>
  <c r="H213" i="1"/>
  <c r="G213" i="1"/>
  <c r="F213" i="1"/>
  <c r="E213" i="1"/>
  <c r="D213" i="1"/>
  <c r="C213" i="1"/>
  <c r="V212" i="1"/>
  <c r="Q212" i="1"/>
  <c r="P212" i="1"/>
  <c r="O212" i="1"/>
  <c r="N212" i="1"/>
  <c r="J212" i="1"/>
  <c r="I212" i="1"/>
  <c r="H212" i="1"/>
  <c r="G212" i="1"/>
  <c r="F212" i="1"/>
  <c r="E212" i="1"/>
  <c r="D212" i="1"/>
  <c r="C212" i="1"/>
  <c r="V211" i="1"/>
  <c r="Q211" i="1"/>
  <c r="P211" i="1"/>
  <c r="O211" i="1"/>
  <c r="N211" i="1"/>
  <c r="J211" i="1"/>
  <c r="I211" i="1"/>
  <c r="H211" i="1"/>
  <c r="G211" i="1"/>
  <c r="F211" i="1"/>
  <c r="E211" i="1"/>
  <c r="D211" i="1"/>
  <c r="C211" i="1"/>
  <c r="V210" i="1"/>
  <c r="Q210" i="1"/>
  <c r="P210" i="1"/>
  <c r="O210" i="1"/>
  <c r="N210" i="1"/>
  <c r="J210" i="1"/>
  <c r="I210" i="1"/>
  <c r="H210" i="1"/>
  <c r="G210" i="1"/>
  <c r="F210" i="1"/>
  <c r="E210" i="1"/>
  <c r="D210" i="1"/>
  <c r="C210" i="1"/>
  <c r="V209" i="1"/>
  <c r="Q209" i="1"/>
  <c r="P209" i="1"/>
  <c r="O209" i="1"/>
  <c r="N209" i="1"/>
  <c r="J209" i="1"/>
  <c r="I209" i="1"/>
  <c r="H209" i="1"/>
  <c r="G209" i="1"/>
  <c r="F209" i="1"/>
  <c r="E209" i="1"/>
  <c r="D209" i="1"/>
  <c r="C209" i="1"/>
  <c r="V208" i="1"/>
  <c r="Q208" i="1"/>
  <c r="P208" i="1"/>
  <c r="O208" i="1"/>
  <c r="N208" i="1"/>
  <c r="J208" i="1"/>
  <c r="I208" i="1"/>
  <c r="H208" i="1"/>
  <c r="G208" i="1"/>
  <c r="F208" i="1"/>
  <c r="E208" i="1"/>
  <c r="D208" i="1"/>
  <c r="C208" i="1"/>
  <c r="V207" i="1"/>
  <c r="Q207" i="1"/>
  <c r="P207" i="1"/>
  <c r="O207" i="1"/>
  <c r="N207" i="1"/>
  <c r="J207" i="1"/>
  <c r="I207" i="1"/>
  <c r="H207" i="1"/>
  <c r="G207" i="1"/>
  <c r="F207" i="1"/>
  <c r="E207" i="1"/>
  <c r="D207" i="1"/>
  <c r="C207" i="1"/>
  <c r="V206" i="1"/>
  <c r="Q206" i="1"/>
  <c r="P206" i="1"/>
  <c r="O206" i="1"/>
  <c r="N206" i="1"/>
  <c r="J206" i="1"/>
  <c r="I206" i="1"/>
  <c r="H206" i="1"/>
  <c r="G206" i="1"/>
  <c r="F206" i="1"/>
  <c r="E206" i="1"/>
  <c r="D206" i="1"/>
  <c r="C206" i="1"/>
  <c r="V205" i="1"/>
  <c r="Q205" i="1"/>
  <c r="P205" i="1"/>
  <c r="O205" i="1"/>
  <c r="N205" i="1"/>
  <c r="J205" i="1"/>
  <c r="I205" i="1"/>
  <c r="H205" i="1"/>
  <c r="G205" i="1"/>
  <c r="F205" i="1"/>
  <c r="E205" i="1"/>
  <c r="D205" i="1"/>
  <c r="C205" i="1"/>
  <c r="V204" i="1"/>
  <c r="Q204" i="1"/>
  <c r="P204" i="1"/>
  <c r="O204" i="1"/>
  <c r="N204" i="1"/>
  <c r="J204" i="1"/>
  <c r="I204" i="1"/>
  <c r="H204" i="1"/>
  <c r="G204" i="1"/>
  <c r="F204" i="1"/>
  <c r="E204" i="1"/>
  <c r="D204" i="1"/>
  <c r="C204" i="1"/>
  <c r="V203" i="1"/>
  <c r="Q203" i="1"/>
  <c r="P203" i="1"/>
  <c r="O203" i="1"/>
  <c r="N203" i="1"/>
  <c r="J203" i="1"/>
  <c r="I203" i="1"/>
  <c r="H203" i="1"/>
  <c r="G203" i="1"/>
  <c r="F203" i="1"/>
  <c r="E203" i="1"/>
  <c r="D203" i="1"/>
  <c r="C203" i="1"/>
  <c r="V202" i="1"/>
  <c r="Q202" i="1"/>
  <c r="P202" i="1"/>
  <c r="O202" i="1"/>
  <c r="N202" i="1"/>
  <c r="J202" i="1"/>
  <c r="I202" i="1"/>
  <c r="H202" i="1"/>
  <c r="G202" i="1"/>
  <c r="F202" i="1"/>
  <c r="E202" i="1"/>
  <c r="D202" i="1"/>
  <c r="C202" i="1"/>
  <c r="V201" i="1"/>
  <c r="Q201" i="1"/>
  <c r="P201" i="1"/>
  <c r="O201" i="1"/>
  <c r="N201" i="1"/>
  <c r="J201" i="1"/>
  <c r="I201" i="1"/>
  <c r="H201" i="1"/>
  <c r="G201" i="1"/>
  <c r="F201" i="1"/>
  <c r="E201" i="1"/>
  <c r="D201" i="1"/>
  <c r="C201" i="1"/>
  <c r="V200" i="1"/>
  <c r="Q200" i="1"/>
  <c r="P200" i="1"/>
  <c r="O200" i="1"/>
  <c r="N200" i="1"/>
  <c r="J200" i="1"/>
  <c r="I200" i="1"/>
  <c r="H200" i="1"/>
  <c r="G200" i="1"/>
  <c r="F200" i="1"/>
  <c r="E200" i="1"/>
  <c r="D200" i="1"/>
  <c r="C200" i="1"/>
  <c r="V199" i="1"/>
  <c r="Q199" i="1"/>
  <c r="P199" i="1"/>
  <c r="O199" i="1"/>
  <c r="N199" i="1"/>
  <c r="J199" i="1"/>
  <c r="I199" i="1"/>
  <c r="H199" i="1"/>
  <c r="G199" i="1"/>
  <c r="F199" i="1"/>
  <c r="E199" i="1"/>
  <c r="D199" i="1"/>
  <c r="C199" i="1"/>
  <c r="V198" i="1"/>
  <c r="Q198" i="1"/>
  <c r="P198" i="1"/>
  <c r="O198" i="1"/>
  <c r="N198" i="1"/>
  <c r="J198" i="1"/>
  <c r="I198" i="1"/>
  <c r="H198" i="1"/>
  <c r="G198" i="1"/>
  <c r="F198" i="1"/>
  <c r="E198" i="1"/>
  <c r="D198" i="1"/>
  <c r="C198" i="1"/>
  <c r="V197" i="1"/>
  <c r="Q197" i="1"/>
  <c r="P197" i="1"/>
  <c r="O197" i="1"/>
  <c r="N197" i="1"/>
  <c r="J197" i="1"/>
  <c r="I197" i="1"/>
  <c r="H197" i="1"/>
  <c r="G197" i="1"/>
  <c r="F197" i="1"/>
  <c r="E197" i="1"/>
  <c r="D197" i="1"/>
  <c r="C197" i="1"/>
  <c r="V196" i="1"/>
  <c r="Q196" i="1"/>
  <c r="P196" i="1"/>
  <c r="O196" i="1"/>
  <c r="N196" i="1"/>
  <c r="J196" i="1"/>
  <c r="I196" i="1"/>
  <c r="H196" i="1"/>
  <c r="G196" i="1"/>
  <c r="F196" i="1"/>
  <c r="E196" i="1"/>
  <c r="D196" i="1"/>
  <c r="C196" i="1"/>
  <c r="V195" i="1"/>
  <c r="Q195" i="1"/>
  <c r="P195" i="1"/>
  <c r="O195" i="1"/>
  <c r="N195" i="1"/>
  <c r="J195" i="1"/>
  <c r="I195" i="1"/>
  <c r="H195" i="1"/>
  <c r="G195" i="1"/>
  <c r="F195" i="1"/>
  <c r="E195" i="1"/>
  <c r="D195" i="1"/>
  <c r="C195" i="1"/>
  <c r="V194" i="1"/>
  <c r="Q194" i="1"/>
  <c r="P194" i="1"/>
  <c r="O194" i="1"/>
  <c r="N194" i="1"/>
  <c r="J194" i="1"/>
  <c r="I194" i="1"/>
  <c r="H194" i="1"/>
  <c r="G194" i="1"/>
  <c r="F194" i="1"/>
  <c r="E194" i="1"/>
  <c r="D194" i="1"/>
  <c r="C194" i="1"/>
  <c r="V193" i="1"/>
  <c r="Q193" i="1"/>
  <c r="P193" i="1"/>
  <c r="O193" i="1"/>
  <c r="N193" i="1"/>
  <c r="J193" i="1"/>
  <c r="I193" i="1"/>
  <c r="H193" i="1"/>
  <c r="G193" i="1"/>
  <c r="F193" i="1"/>
  <c r="E193" i="1"/>
  <c r="D193" i="1"/>
  <c r="C193" i="1"/>
  <c r="V192" i="1"/>
  <c r="Q192" i="1"/>
  <c r="P192" i="1"/>
  <c r="O192" i="1"/>
  <c r="N192" i="1"/>
  <c r="J192" i="1"/>
  <c r="I192" i="1"/>
  <c r="H192" i="1"/>
  <c r="G192" i="1"/>
  <c r="F192" i="1"/>
  <c r="E192" i="1"/>
  <c r="D192" i="1"/>
  <c r="C192" i="1"/>
  <c r="V191" i="1"/>
  <c r="Q191" i="1"/>
  <c r="P191" i="1"/>
  <c r="O191" i="1"/>
  <c r="N191" i="1"/>
  <c r="J191" i="1"/>
  <c r="I191" i="1"/>
  <c r="H191" i="1"/>
  <c r="G191" i="1"/>
  <c r="F191" i="1"/>
  <c r="E191" i="1"/>
  <c r="D191" i="1"/>
  <c r="C191" i="1"/>
  <c r="V190" i="1"/>
  <c r="Q190" i="1"/>
  <c r="P190" i="1"/>
  <c r="O190" i="1"/>
  <c r="N190" i="1"/>
  <c r="J190" i="1"/>
  <c r="I190" i="1"/>
  <c r="H190" i="1"/>
  <c r="G190" i="1"/>
  <c r="F190" i="1"/>
  <c r="E190" i="1"/>
  <c r="D190" i="1"/>
  <c r="C190" i="1"/>
  <c r="V189" i="1"/>
  <c r="Q189" i="1"/>
  <c r="P189" i="1"/>
  <c r="O189" i="1"/>
  <c r="N189" i="1"/>
  <c r="J189" i="1"/>
  <c r="I189" i="1"/>
  <c r="H189" i="1"/>
  <c r="G189" i="1"/>
  <c r="F189" i="1"/>
  <c r="E189" i="1"/>
  <c r="D189" i="1"/>
  <c r="C189" i="1"/>
  <c r="V188" i="1"/>
  <c r="Q188" i="1"/>
  <c r="P188" i="1"/>
  <c r="O188" i="1"/>
  <c r="N188" i="1"/>
  <c r="J188" i="1"/>
  <c r="I188" i="1"/>
  <c r="H188" i="1"/>
  <c r="G188" i="1"/>
  <c r="F188" i="1"/>
  <c r="E188" i="1"/>
  <c r="D188" i="1"/>
  <c r="C188" i="1"/>
  <c r="V187" i="1"/>
  <c r="Q187" i="1"/>
  <c r="P187" i="1"/>
  <c r="O187" i="1"/>
  <c r="N187" i="1"/>
  <c r="J187" i="1"/>
  <c r="I187" i="1"/>
  <c r="H187" i="1"/>
  <c r="G187" i="1"/>
  <c r="F187" i="1"/>
  <c r="E187" i="1"/>
  <c r="D187" i="1"/>
  <c r="C187" i="1"/>
  <c r="V186" i="1"/>
  <c r="Q186" i="1"/>
  <c r="P186" i="1"/>
  <c r="O186" i="1"/>
  <c r="N186" i="1"/>
  <c r="J186" i="1"/>
  <c r="I186" i="1"/>
  <c r="H186" i="1"/>
  <c r="G186" i="1"/>
  <c r="F186" i="1"/>
  <c r="E186" i="1"/>
  <c r="D186" i="1"/>
  <c r="C186" i="1"/>
  <c r="V185" i="1"/>
  <c r="Q185" i="1"/>
  <c r="P185" i="1"/>
  <c r="O185" i="1"/>
  <c r="N185" i="1"/>
  <c r="J185" i="1"/>
  <c r="I185" i="1"/>
  <c r="H185" i="1"/>
  <c r="G185" i="1"/>
  <c r="F185" i="1"/>
  <c r="E185" i="1"/>
  <c r="D185" i="1"/>
  <c r="C185" i="1"/>
  <c r="V184" i="1"/>
  <c r="Q184" i="1"/>
  <c r="P184" i="1"/>
  <c r="O184" i="1"/>
  <c r="N184" i="1"/>
  <c r="J184" i="1"/>
  <c r="I184" i="1"/>
  <c r="H184" i="1"/>
  <c r="G184" i="1"/>
  <c r="F184" i="1"/>
  <c r="E184" i="1"/>
  <c r="D184" i="1"/>
  <c r="C184" i="1"/>
  <c r="V183" i="1"/>
  <c r="Q183" i="1"/>
  <c r="P183" i="1"/>
  <c r="O183" i="1"/>
  <c r="N183" i="1"/>
  <c r="J183" i="1"/>
  <c r="I183" i="1"/>
  <c r="H183" i="1"/>
  <c r="G183" i="1"/>
  <c r="F183" i="1"/>
  <c r="E183" i="1"/>
  <c r="D183" i="1"/>
  <c r="C183" i="1"/>
  <c r="V182" i="1"/>
  <c r="Q182" i="1"/>
  <c r="P182" i="1"/>
  <c r="O182" i="1"/>
  <c r="N182" i="1"/>
  <c r="J182" i="1"/>
  <c r="I182" i="1"/>
  <c r="H182" i="1"/>
  <c r="G182" i="1"/>
  <c r="F182" i="1"/>
  <c r="E182" i="1"/>
  <c r="D182" i="1"/>
  <c r="C182" i="1"/>
  <c r="V181" i="1"/>
  <c r="Q181" i="1"/>
  <c r="P181" i="1"/>
  <c r="O181" i="1"/>
  <c r="N181" i="1"/>
  <c r="J181" i="1"/>
  <c r="I181" i="1"/>
  <c r="H181" i="1"/>
  <c r="G181" i="1"/>
  <c r="F181" i="1"/>
  <c r="E181" i="1"/>
  <c r="D181" i="1"/>
  <c r="C181" i="1"/>
  <c r="V180" i="1"/>
  <c r="Q180" i="1"/>
  <c r="P180" i="1"/>
  <c r="O180" i="1"/>
  <c r="N180" i="1"/>
  <c r="J180" i="1"/>
  <c r="I180" i="1"/>
  <c r="H180" i="1"/>
  <c r="G180" i="1"/>
  <c r="F180" i="1"/>
  <c r="E180" i="1"/>
  <c r="D180" i="1"/>
  <c r="C180" i="1"/>
  <c r="V179" i="1"/>
  <c r="Q179" i="1"/>
  <c r="P179" i="1"/>
  <c r="O179" i="1"/>
  <c r="N179" i="1"/>
  <c r="J179" i="1"/>
  <c r="I179" i="1"/>
  <c r="H179" i="1"/>
  <c r="G179" i="1"/>
  <c r="F179" i="1"/>
  <c r="E179" i="1"/>
  <c r="D179" i="1"/>
  <c r="C179" i="1"/>
  <c r="V178" i="1"/>
  <c r="Q178" i="1"/>
  <c r="P178" i="1"/>
  <c r="O178" i="1"/>
  <c r="N178" i="1"/>
  <c r="J178" i="1"/>
  <c r="I178" i="1"/>
  <c r="H178" i="1"/>
  <c r="G178" i="1"/>
  <c r="F178" i="1"/>
  <c r="E178" i="1"/>
  <c r="D178" i="1"/>
  <c r="C178" i="1"/>
  <c r="V177" i="1"/>
  <c r="Q177" i="1"/>
  <c r="P177" i="1"/>
  <c r="O177" i="1"/>
  <c r="N177" i="1"/>
  <c r="J177" i="1"/>
  <c r="I177" i="1"/>
  <c r="H177" i="1"/>
  <c r="G177" i="1"/>
  <c r="F177" i="1"/>
  <c r="E177" i="1"/>
  <c r="D177" i="1"/>
  <c r="C177" i="1"/>
  <c r="V176" i="1"/>
  <c r="Q176" i="1"/>
  <c r="P176" i="1"/>
  <c r="O176" i="1"/>
  <c r="N176" i="1"/>
  <c r="J176" i="1"/>
  <c r="I176" i="1"/>
  <c r="H176" i="1"/>
  <c r="G176" i="1"/>
  <c r="F176" i="1"/>
  <c r="E176" i="1"/>
  <c r="D176" i="1"/>
  <c r="C176" i="1"/>
  <c r="V175" i="1"/>
  <c r="Q175" i="1"/>
  <c r="P175" i="1"/>
  <c r="O175" i="1"/>
  <c r="N175" i="1"/>
  <c r="J175" i="1"/>
  <c r="I175" i="1"/>
  <c r="H175" i="1"/>
  <c r="G175" i="1"/>
  <c r="F175" i="1"/>
  <c r="E175" i="1"/>
  <c r="D175" i="1"/>
  <c r="C175" i="1"/>
  <c r="V174" i="1"/>
  <c r="Q174" i="1"/>
  <c r="P174" i="1"/>
  <c r="O174" i="1"/>
  <c r="N174" i="1"/>
  <c r="J174" i="1"/>
  <c r="I174" i="1"/>
  <c r="H174" i="1"/>
  <c r="G174" i="1"/>
  <c r="F174" i="1"/>
  <c r="E174" i="1"/>
  <c r="D174" i="1"/>
  <c r="C174" i="1"/>
  <c r="V173" i="1"/>
  <c r="Q173" i="1"/>
  <c r="P173" i="1"/>
  <c r="O173" i="1"/>
  <c r="N173" i="1"/>
  <c r="J173" i="1"/>
  <c r="I173" i="1"/>
  <c r="H173" i="1"/>
  <c r="G173" i="1"/>
  <c r="F173" i="1"/>
  <c r="E173" i="1"/>
  <c r="D173" i="1"/>
  <c r="C173" i="1"/>
  <c r="V172" i="1"/>
  <c r="Q172" i="1"/>
  <c r="P172" i="1"/>
  <c r="O172" i="1"/>
  <c r="N172" i="1"/>
  <c r="J172" i="1"/>
  <c r="I172" i="1"/>
  <c r="H172" i="1"/>
  <c r="G172" i="1"/>
  <c r="F172" i="1"/>
  <c r="E172" i="1"/>
  <c r="D172" i="1"/>
  <c r="C172" i="1"/>
  <c r="V171" i="1"/>
  <c r="Q171" i="1"/>
  <c r="P171" i="1"/>
  <c r="O171" i="1"/>
  <c r="N171" i="1"/>
  <c r="J171" i="1"/>
  <c r="I171" i="1"/>
  <c r="H171" i="1"/>
  <c r="G171" i="1"/>
  <c r="F171" i="1"/>
  <c r="E171" i="1"/>
  <c r="D171" i="1"/>
  <c r="C171" i="1"/>
  <c r="V170" i="1"/>
  <c r="Q170" i="1"/>
  <c r="P170" i="1"/>
  <c r="O170" i="1"/>
  <c r="N170" i="1"/>
  <c r="J170" i="1"/>
  <c r="I170" i="1"/>
  <c r="H170" i="1"/>
  <c r="G170" i="1"/>
  <c r="F170" i="1"/>
  <c r="E170" i="1"/>
  <c r="D170" i="1"/>
  <c r="C170" i="1"/>
  <c r="V169" i="1"/>
  <c r="Q169" i="1"/>
  <c r="P169" i="1"/>
  <c r="O169" i="1"/>
  <c r="N169" i="1"/>
  <c r="J169" i="1"/>
  <c r="I169" i="1"/>
  <c r="H169" i="1"/>
  <c r="G169" i="1"/>
  <c r="F169" i="1"/>
  <c r="E169" i="1"/>
  <c r="D169" i="1"/>
  <c r="C169" i="1"/>
  <c r="V168" i="1"/>
  <c r="Q168" i="1"/>
  <c r="P168" i="1"/>
  <c r="O168" i="1"/>
  <c r="N168" i="1"/>
  <c r="J168" i="1"/>
  <c r="I168" i="1"/>
  <c r="H168" i="1"/>
  <c r="G168" i="1"/>
  <c r="F168" i="1"/>
  <c r="E168" i="1"/>
  <c r="D168" i="1"/>
  <c r="C168" i="1"/>
  <c r="V167" i="1"/>
  <c r="Q167" i="1"/>
  <c r="P167" i="1"/>
  <c r="O167" i="1"/>
  <c r="N167" i="1"/>
  <c r="J167" i="1"/>
  <c r="I167" i="1"/>
  <c r="H167" i="1"/>
  <c r="G167" i="1"/>
  <c r="F167" i="1"/>
  <c r="E167" i="1"/>
  <c r="D167" i="1"/>
  <c r="C167" i="1"/>
  <c r="V166" i="1"/>
  <c r="Q166" i="1"/>
  <c r="P166" i="1"/>
  <c r="O166" i="1"/>
  <c r="N166" i="1"/>
  <c r="J166" i="1"/>
  <c r="I166" i="1"/>
  <c r="H166" i="1"/>
  <c r="G166" i="1"/>
  <c r="F166" i="1"/>
  <c r="E166" i="1"/>
  <c r="D166" i="1"/>
  <c r="C166" i="1"/>
  <c r="V165" i="1"/>
  <c r="Q165" i="1"/>
  <c r="P165" i="1"/>
  <c r="O165" i="1"/>
  <c r="N165" i="1"/>
  <c r="J165" i="1"/>
  <c r="I165" i="1"/>
  <c r="H165" i="1"/>
  <c r="G165" i="1"/>
  <c r="F165" i="1"/>
  <c r="E165" i="1"/>
  <c r="D165" i="1"/>
  <c r="C165" i="1"/>
  <c r="V164" i="1"/>
  <c r="Q164" i="1"/>
  <c r="P164" i="1"/>
  <c r="O164" i="1"/>
  <c r="N164" i="1"/>
  <c r="J164" i="1"/>
  <c r="I164" i="1"/>
  <c r="H164" i="1"/>
  <c r="G164" i="1"/>
  <c r="F164" i="1"/>
  <c r="E164" i="1"/>
  <c r="D164" i="1"/>
  <c r="C164" i="1"/>
  <c r="V163" i="1"/>
  <c r="Q163" i="1"/>
  <c r="P163" i="1"/>
  <c r="O163" i="1"/>
  <c r="N163" i="1"/>
  <c r="J163" i="1"/>
  <c r="I163" i="1"/>
  <c r="H163" i="1"/>
  <c r="G163" i="1"/>
  <c r="F163" i="1"/>
  <c r="E163" i="1"/>
  <c r="D163" i="1"/>
  <c r="C163" i="1"/>
  <c r="V162" i="1"/>
  <c r="Q162" i="1"/>
  <c r="P162" i="1"/>
  <c r="O162" i="1"/>
  <c r="N162" i="1"/>
  <c r="J162" i="1"/>
  <c r="I162" i="1"/>
  <c r="H162" i="1"/>
  <c r="G162" i="1"/>
  <c r="F162" i="1"/>
  <c r="E162" i="1"/>
  <c r="D162" i="1"/>
  <c r="C162" i="1"/>
  <c r="V161" i="1"/>
  <c r="Q161" i="1"/>
  <c r="P161" i="1"/>
  <c r="O161" i="1"/>
  <c r="N161" i="1"/>
  <c r="J161" i="1"/>
  <c r="I161" i="1"/>
  <c r="H161" i="1"/>
  <c r="G161" i="1"/>
  <c r="F161" i="1"/>
  <c r="E161" i="1"/>
  <c r="D161" i="1"/>
  <c r="C161" i="1"/>
  <c r="V160" i="1"/>
  <c r="Q160" i="1"/>
  <c r="P160" i="1"/>
  <c r="O160" i="1"/>
  <c r="N160" i="1"/>
  <c r="J160" i="1"/>
  <c r="I160" i="1"/>
  <c r="H160" i="1"/>
  <c r="G160" i="1"/>
  <c r="F160" i="1"/>
  <c r="E160" i="1"/>
  <c r="D160" i="1"/>
  <c r="C160" i="1"/>
  <c r="V159" i="1"/>
  <c r="Q159" i="1"/>
  <c r="P159" i="1"/>
  <c r="O159" i="1"/>
  <c r="N159" i="1"/>
  <c r="J159" i="1"/>
  <c r="I159" i="1"/>
  <c r="H159" i="1"/>
  <c r="G159" i="1"/>
  <c r="F159" i="1"/>
  <c r="E159" i="1"/>
  <c r="D159" i="1"/>
  <c r="C159" i="1"/>
  <c r="V158" i="1"/>
  <c r="Q158" i="1"/>
  <c r="P158" i="1"/>
  <c r="O158" i="1"/>
  <c r="N158" i="1"/>
  <c r="J158" i="1"/>
  <c r="I158" i="1"/>
  <c r="H158" i="1"/>
  <c r="G158" i="1"/>
  <c r="F158" i="1"/>
  <c r="E158" i="1"/>
  <c r="D158" i="1"/>
  <c r="C158" i="1"/>
  <c r="V157" i="1"/>
  <c r="Q157" i="1"/>
  <c r="P157" i="1"/>
  <c r="O157" i="1"/>
  <c r="N157" i="1"/>
  <c r="J157" i="1"/>
  <c r="I157" i="1"/>
  <c r="H157" i="1"/>
  <c r="G157" i="1"/>
  <c r="F157" i="1"/>
  <c r="E157" i="1"/>
  <c r="D157" i="1"/>
  <c r="C157" i="1"/>
  <c r="V156" i="1"/>
  <c r="Q156" i="1"/>
  <c r="P156" i="1"/>
  <c r="O156" i="1"/>
  <c r="N156" i="1"/>
  <c r="J156" i="1"/>
  <c r="I156" i="1"/>
  <c r="H156" i="1"/>
  <c r="G156" i="1"/>
  <c r="F156" i="1"/>
  <c r="E156" i="1"/>
  <c r="D156" i="1"/>
  <c r="C156" i="1"/>
  <c r="V155" i="1"/>
  <c r="Q155" i="1"/>
  <c r="P155" i="1"/>
  <c r="O155" i="1"/>
  <c r="N155" i="1"/>
  <c r="J155" i="1"/>
  <c r="I155" i="1"/>
  <c r="H155" i="1"/>
  <c r="G155" i="1"/>
  <c r="F155" i="1"/>
  <c r="E155" i="1"/>
  <c r="D155" i="1"/>
  <c r="C155" i="1"/>
  <c r="V154" i="1"/>
  <c r="Q154" i="1"/>
  <c r="P154" i="1"/>
  <c r="O154" i="1"/>
  <c r="N154" i="1"/>
  <c r="J154" i="1"/>
  <c r="I154" i="1"/>
  <c r="H154" i="1"/>
  <c r="G154" i="1"/>
  <c r="F154" i="1"/>
  <c r="E154" i="1"/>
  <c r="D154" i="1"/>
  <c r="C154" i="1"/>
  <c r="V153" i="1"/>
  <c r="Q153" i="1"/>
  <c r="P153" i="1"/>
  <c r="O153" i="1"/>
  <c r="N153" i="1"/>
  <c r="J153" i="1"/>
  <c r="I153" i="1"/>
  <c r="H153" i="1"/>
  <c r="G153" i="1"/>
  <c r="F153" i="1"/>
  <c r="E153" i="1"/>
  <c r="D153" i="1"/>
  <c r="C153" i="1"/>
  <c r="V152" i="1"/>
  <c r="Q152" i="1"/>
  <c r="P152" i="1"/>
  <c r="O152" i="1"/>
  <c r="N152" i="1"/>
  <c r="J152" i="1"/>
  <c r="I152" i="1"/>
  <c r="H152" i="1"/>
  <c r="G152" i="1"/>
  <c r="F152" i="1"/>
  <c r="E152" i="1"/>
  <c r="D152" i="1"/>
  <c r="C152" i="1"/>
  <c r="V151" i="1"/>
  <c r="Q151" i="1"/>
  <c r="P151" i="1"/>
  <c r="O151" i="1"/>
  <c r="N151" i="1"/>
  <c r="J151" i="1"/>
  <c r="I151" i="1"/>
  <c r="H151" i="1"/>
  <c r="G151" i="1"/>
  <c r="F151" i="1"/>
  <c r="E151" i="1"/>
  <c r="D151" i="1"/>
  <c r="C151" i="1"/>
  <c r="V150" i="1"/>
  <c r="Q150" i="1"/>
  <c r="P150" i="1"/>
  <c r="O150" i="1"/>
  <c r="N150" i="1"/>
  <c r="J150" i="1"/>
  <c r="I150" i="1"/>
  <c r="H150" i="1"/>
  <c r="G150" i="1"/>
  <c r="F150" i="1"/>
  <c r="E150" i="1"/>
  <c r="D150" i="1"/>
  <c r="C150" i="1"/>
  <c r="V149" i="1"/>
  <c r="Q149" i="1"/>
  <c r="P149" i="1"/>
  <c r="O149" i="1"/>
  <c r="N149" i="1"/>
  <c r="J149" i="1"/>
  <c r="I149" i="1"/>
  <c r="H149" i="1"/>
  <c r="G149" i="1"/>
  <c r="F149" i="1"/>
  <c r="E149" i="1"/>
  <c r="D149" i="1"/>
  <c r="C149" i="1"/>
  <c r="V148" i="1"/>
  <c r="Q148" i="1"/>
  <c r="P148" i="1"/>
  <c r="O148" i="1"/>
  <c r="N148" i="1"/>
  <c r="J148" i="1"/>
  <c r="I148" i="1"/>
  <c r="H148" i="1"/>
  <c r="G148" i="1"/>
  <c r="F148" i="1"/>
  <c r="E148" i="1"/>
  <c r="D148" i="1"/>
  <c r="C148" i="1"/>
  <c r="V147" i="1"/>
  <c r="Q147" i="1"/>
  <c r="P147" i="1"/>
  <c r="O147" i="1"/>
  <c r="N147" i="1"/>
  <c r="J147" i="1"/>
  <c r="I147" i="1"/>
  <c r="H147" i="1"/>
  <c r="G147" i="1"/>
  <c r="F147" i="1"/>
  <c r="E147" i="1"/>
  <c r="D147" i="1"/>
  <c r="C147" i="1"/>
  <c r="V146" i="1"/>
  <c r="Q146" i="1"/>
  <c r="P146" i="1"/>
  <c r="O146" i="1"/>
  <c r="N146" i="1"/>
  <c r="J146" i="1"/>
  <c r="I146" i="1"/>
  <c r="H146" i="1"/>
  <c r="G146" i="1"/>
  <c r="F146" i="1"/>
  <c r="E146" i="1"/>
  <c r="D146" i="1"/>
  <c r="C146" i="1"/>
  <c r="V145" i="1"/>
  <c r="Q145" i="1"/>
  <c r="P145" i="1"/>
  <c r="O145" i="1"/>
  <c r="N145" i="1"/>
  <c r="J145" i="1"/>
  <c r="I145" i="1"/>
  <c r="H145" i="1"/>
  <c r="G145" i="1"/>
  <c r="F145" i="1"/>
  <c r="E145" i="1"/>
  <c r="D145" i="1"/>
  <c r="C145" i="1"/>
  <c r="V144" i="1"/>
  <c r="Q144" i="1"/>
  <c r="P144" i="1"/>
  <c r="O144" i="1"/>
  <c r="N144" i="1"/>
  <c r="J144" i="1"/>
  <c r="I144" i="1"/>
  <c r="H144" i="1"/>
  <c r="G144" i="1"/>
  <c r="F144" i="1"/>
  <c r="E144" i="1"/>
  <c r="D144" i="1"/>
  <c r="C144" i="1"/>
  <c r="V143" i="1"/>
  <c r="Q143" i="1"/>
  <c r="P143" i="1"/>
  <c r="O143" i="1"/>
  <c r="N143" i="1"/>
  <c r="J143" i="1"/>
  <c r="I143" i="1"/>
  <c r="H143" i="1"/>
  <c r="G143" i="1"/>
  <c r="F143" i="1"/>
  <c r="E143" i="1"/>
  <c r="D143" i="1"/>
  <c r="C143" i="1"/>
  <c r="V142" i="1"/>
  <c r="Q142" i="1"/>
  <c r="P142" i="1"/>
  <c r="O142" i="1"/>
  <c r="N142" i="1"/>
  <c r="J142" i="1"/>
  <c r="I142" i="1"/>
  <c r="H142" i="1"/>
  <c r="G142" i="1"/>
  <c r="F142" i="1"/>
  <c r="E142" i="1"/>
  <c r="D142" i="1"/>
  <c r="C142" i="1"/>
  <c r="V141" i="1"/>
  <c r="Q141" i="1"/>
  <c r="P141" i="1"/>
  <c r="O141" i="1"/>
  <c r="N141" i="1"/>
  <c r="J141" i="1"/>
  <c r="I141" i="1"/>
  <c r="H141" i="1"/>
  <c r="G141" i="1"/>
  <c r="F141" i="1"/>
  <c r="E141" i="1"/>
  <c r="D141" i="1"/>
  <c r="C141" i="1"/>
  <c r="V140" i="1"/>
  <c r="Q140" i="1"/>
  <c r="P140" i="1"/>
  <c r="O140" i="1"/>
  <c r="N140" i="1"/>
  <c r="J140" i="1"/>
  <c r="I140" i="1"/>
  <c r="H140" i="1"/>
  <c r="G140" i="1"/>
  <c r="F140" i="1"/>
  <c r="E140" i="1"/>
  <c r="D140" i="1"/>
  <c r="C140" i="1"/>
  <c r="V139" i="1"/>
  <c r="Q139" i="1"/>
  <c r="P139" i="1"/>
  <c r="O139" i="1"/>
  <c r="N139" i="1"/>
  <c r="J139" i="1"/>
  <c r="I139" i="1"/>
  <c r="H139" i="1"/>
  <c r="G139" i="1"/>
  <c r="F139" i="1"/>
  <c r="E139" i="1"/>
  <c r="D139" i="1"/>
  <c r="C139" i="1"/>
  <c r="V138" i="1"/>
  <c r="Q138" i="1"/>
  <c r="P138" i="1"/>
  <c r="O138" i="1"/>
  <c r="N138" i="1"/>
  <c r="J138" i="1"/>
  <c r="I138" i="1"/>
  <c r="H138" i="1"/>
  <c r="G138" i="1"/>
  <c r="F138" i="1"/>
  <c r="E138" i="1"/>
  <c r="D138" i="1"/>
  <c r="C138" i="1"/>
  <c r="V137" i="1"/>
  <c r="Q137" i="1"/>
  <c r="P137" i="1"/>
  <c r="O137" i="1"/>
  <c r="N137" i="1"/>
  <c r="J137" i="1"/>
  <c r="I137" i="1"/>
  <c r="H137" i="1"/>
  <c r="G137" i="1"/>
  <c r="F137" i="1"/>
  <c r="E137" i="1"/>
  <c r="D137" i="1"/>
  <c r="C137" i="1"/>
  <c r="V136" i="1"/>
  <c r="Q136" i="1"/>
  <c r="P136" i="1"/>
  <c r="O136" i="1"/>
  <c r="N136" i="1"/>
  <c r="J136" i="1"/>
  <c r="I136" i="1"/>
  <c r="H136" i="1"/>
  <c r="G136" i="1"/>
  <c r="F136" i="1"/>
  <c r="E136" i="1"/>
  <c r="D136" i="1"/>
  <c r="C136" i="1"/>
  <c r="V135" i="1"/>
  <c r="Q135" i="1"/>
  <c r="P135" i="1"/>
  <c r="O135" i="1"/>
  <c r="N135" i="1"/>
  <c r="J135" i="1"/>
  <c r="I135" i="1"/>
  <c r="H135" i="1"/>
  <c r="G135" i="1"/>
  <c r="F135" i="1"/>
  <c r="E135" i="1"/>
  <c r="D135" i="1"/>
  <c r="C135" i="1"/>
  <c r="V134" i="1"/>
  <c r="Q134" i="1"/>
  <c r="P134" i="1"/>
  <c r="O134" i="1"/>
  <c r="N134" i="1"/>
  <c r="J134" i="1"/>
  <c r="I134" i="1"/>
  <c r="H134" i="1"/>
  <c r="G134" i="1"/>
  <c r="F134" i="1"/>
  <c r="E134" i="1"/>
  <c r="D134" i="1"/>
  <c r="C134" i="1"/>
  <c r="V133" i="1"/>
  <c r="Q133" i="1"/>
  <c r="P133" i="1"/>
  <c r="O133" i="1"/>
  <c r="N133" i="1"/>
  <c r="J133" i="1"/>
  <c r="I133" i="1"/>
  <c r="H133" i="1"/>
  <c r="G133" i="1"/>
  <c r="F133" i="1"/>
  <c r="E133" i="1"/>
  <c r="D133" i="1"/>
  <c r="C133" i="1"/>
  <c r="V132" i="1"/>
  <c r="Q132" i="1"/>
  <c r="P132" i="1"/>
  <c r="O132" i="1"/>
  <c r="N132" i="1"/>
  <c r="J132" i="1"/>
  <c r="I132" i="1"/>
  <c r="H132" i="1"/>
  <c r="G132" i="1"/>
  <c r="F132" i="1"/>
  <c r="E132" i="1"/>
  <c r="D132" i="1"/>
  <c r="C132" i="1"/>
  <c r="V131" i="1"/>
  <c r="Q131" i="1"/>
  <c r="P131" i="1"/>
  <c r="O131" i="1"/>
  <c r="N131" i="1"/>
  <c r="J131" i="1"/>
  <c r="I131" i="1"/>
  <c r="H131" i="1"/>
  <c r="G131" i="1"/>
  <c r="F131" i="1"/>
  <c r="E131" i="1"/>
  <c r="D131" i="1"/>
  <c r="C131" i="1"/>
  <c r="V130" i="1"/>
  <c r="Q130" i="1"/>
  <c r="P130" i="1"/>
  <c r="O130" i="1"/>
  <c r="N130" i="1"/>
  <c r="J130" i="1"/>
  <c r="I130" i="1"/>
  <c r="H130" i="1"/>
  <c r="G130" i="1"/>
  <c r="F130" i="1"/>
  <c r="E130" i="1"/>
  <c r="D130" i="1"/>
  <c r="C130" i="1"/>
  <c r="V129" i="1"/>
  <c r="Q129" i="1"/>
  <c r="P129" i="1"/>
  <c r="O129" i="1"/>
  <c r="N129" i="1"/>
  <c r="J129" i="1"/>
  <c r="I129" i="1"/>
  <c r="H129" i="1"/>
  <c r="G129" i="1"/>
  <c r="F129" i="1"/>
  <c r="E129" i="1"/>
  <c r="D129" i="1"/>
  <c r="C129" i="1"/>
  <c r="V128" i="1"/>
  <c r="Q128" i="1"/>
  <c r="P128" i="1"/>
  <c r="O128" i="1"/>
  <c r="N128" i="1"/>
  <c r="J128" i="1"/>
  <c r="I128" i="1"/>
  <c r="H128" i="1"/>
  <c r="G128" i="1"/>
  <c r="F128" i="1"/>
  <c r="E128" i="1"/>
  <c r="D128" i="1"/>
  <c r="C128" i="1"/>
  <c r="V127" i="1"/>
  <c r="Q127" i="1"/>
  <c r="P127" i="1"/>
  <c r="O127" i="1"/>
  <c r="N127" i="1"/>
  <c r="J127" i="1"/>
  <c r="I127" i="1"/>
  <c r="H127" i="1"/>
  <c r="G127" i="1"/>
  <c r="F127" i="1"/>
  <c r="E127" i="1"/>
  <c r="D127" i="1"/>
  <c r="C127" i="1"/>
  <c r="V126" i="1"/>
  <c r="Q126" i="1"/>
  <c r="P126" i="1"/>
  <c r="O126" i="1"/>
  <c r="N126" i="1"/>
  <c r="J126" i="1"/>
  <c r="I126" i="1"/>
  <c r="H126" i="1"/>
  <c r="G126" i="1"/>
  <c r="F126" i="1"/>
  <c r="E126" i="1"/>
  <c r="D126" i="1"/>
  <c r="C126" i="1"/>
  <c r="V125" i="1"/>
  <c r="Q125" i="1"/>
  <c r="P125" i="1"/>
  <c r="O125" i="1"/>
  <c r="N125" i="1"/>
  <c r="J125" i="1"/>
  <c r="I125" i="1"/>
  <c r="H125" i="1"/>
  <c r="G125" i="1"/>
  <c r="F125" i="1"/>
  <c r="E125" i="1"/>
  <c r="D125" i="1"/>
  <c r="C125" i="1"/>
  <c r="V124" i="1"/>
  <c r="Q124" i="1"/>
  <c r="P124" i="1"/>
  <c r="O124" i="1"/>
  <c r="N124" i="1"/>
  <c r="J124" i="1"/>
  <c r="I124" i="1"/>
  <c r="H124" i="1"/>
  <c r="G124" i="1"/>
  <c r="F124" i="1"/>
  <c r="E124" i="1"/>
  <c r="D124" i="1"/>
  <c r="C124" i="1"/>
  <c r="V123" i="1"/>
  <c r="Q123" i="1"/>
  <c r="P123" i="1"/>
  <c r="O123" i="1"/>
  <c r="N123" i="1"/>
  <c r="J123" i="1"/>
  <c r="I123" i="1"/>
  <c r="H123" i="1"/>
  <c r="G123" i="1"/>
  <c r="F123" i="1"/>
  <c r="E123" i="1"/>
  <c r="D123" i="1"/>
  <c r="C123" i="1"/>
  <c r="V122" i="1"/>
  <c r="Q122" i="1"/>
  <c r="P122" i="1"/>
  <c r="O122" i="1"/>
  <c r="N122" i="1"/>
  <c r="J122" i="1"/>
  <c r="I122" i="1"/>
  <c r="H122" i="1"/>
  <c r="G122" i="1"/>
  <c r="F122" i="1"/>
  <c r="E122" i="1"/>
  <c r="D122" i="1"/>
  <c r="C122" i="1"/>
  <c r="V121" i="1"/>
  <c r="Q121" i="1"/>
  <c r="P121" i="1"/>
  <c r="O121" i="1"/>
  <c r="N121" i="1"/>
  <c r="J121" i="1"/>
  <c r="I121" i="1"/>
  <c r="H121" i="1"/>
  <c r="G121" i="1"/>
  <c r="F121" i="1"/>
  <c r="E121" i="1"/>
  <c r="D121" i="1"/>
  <c r="C121" i="1"/>
  <c r="V120" i="1"/>
  <c r="Q120" i="1"/>
  <c r="P120" i="1"/>
  <c r="O120" i="1"/>
  <c r="N120" i="1"/>
  <c r="J120" i="1"/>
  <c r="I120" i="1"/>
  <c r="H120" i="1"/>
  <c r="G120" i="1"/>
  <c r="F120" i="1"/>
  <c r="E120" i="1"/>
  <c r="D120" i="1"/>
  <c r="C120" i="1"/>
  <c r="V119" i="1"/>
  <c r="Q119" i="1"/>
  <c r="P119" i="1"/>
  <c r="O119" i="1"/>
  <c r="N119" i="1"/>
  <c r="J119" i="1"/>
  <c r="I119" i="1"/>
  <c r="H119" i="1"/>
  <c r="G119" i="1"/>
  <c r="F119" i="1"/>
  <c r="E119" i="1"/>
  <c r="D119" i="1"/>
  <c r="C119" i="1"/>
  <c r="V118" i="1"/>
  <c r="Q118" i="1"/>
  <c r="P118" i="1"/>
  <c r="O118" i="1"/>
  <c r="N118" i="1"/>
  <c r="J118" i="1"/>
  <c r="I118" i="1"/>
  <c r="H118" i="1"/>
  <c r="G118" i="1"/>
  <c r="F118" i="1"/>
  <c r="E118" i="1"/>
  <c r="D118" i="1"/>
  <c r="C118" i="1"/>
  <c r="V117" i="1"/>
  <c r="Q117" i="1"/>
  <c r="P117" i="1"/>
  <c r="O117" i="1"/>
  <c r="N117" i="1"/>
  <c r="J117" i="1"/>
  <c r="I117" i="1"/>
  <c r="H117" i="1"/>
  <c r="G117" i="1"/>
  <c r="F117" i="1"/>
  <c r="E117" i="1"/>
  <c r="D117" i="1"/>
  <c r="C117" i="1"/>
  <c r="V116" i="1"/>
  <c r="Q116" i="1"/>
  <c r="P116" i="1"/>
  <c r="O116" i="1"/>
  <c r="N116" i="1"/>
  <c r="J116" i="1"/>
  <c r="I116" i="1"/>
  <c r="H116" i="1"/>
  <c r="G116" i="1"/>
  <c r="F116" i="1"/>
  <c r="E116" i="1"/>
  <c r="D116" i="1"/>
  <c r="C116" i="1"/>
  <c r="V115" i="1"/>
  <c r="Q115" i="1"/>
  <c r="P115" i="1"/>
  <c r="O115" i="1"/>
  <c r="N115" i="1"/>
  <c r="J115" i="1"/>
  <c r="I115" i="1"/>
  <c r="H115" i="1"/>
  <c r="G115" i="1"/>
  <c r="F115" i="1"/>
  <c r="E115" i="1"/>
  <c r="D115" i="1"/>
  <c r="C115" i="1"/>
  <c r="V114" i="1"/>
  <c r="Q114" i="1"/>
  <c r="P114" i="1"/>
  <c r="O114" i="1"/>
  <c r="N114" i="1"/>
  <c r="J114" i="1"/>
  <c r="I114" i="1"/>
  <c r="H114" i="1"/>
  <c r="G114" i="1"/>
  <c r="F114" i="1"/>
  <c r="E114" i="1"/>
  <c r="D114" i="1"/>
  <c r="C114" i="1"/>
  <c r="V113" i="1"/>
  <c r="Q113" i="1"/>
  <c r="P113" i="1"/>
  <c r="O113" i="1"/>
  <c r="N113" i="1"/>
  <c r="J113" i="1"/>
  <c r="I113" i="1"/>
  <c r="H113" i="1"/>
  <c r="G113" i="1"/>
  <c r="F113" i="1"/>
  <c r="E113" i="1"/>
  <c r="D113" i="1"/>
  <c r="C113" i="1"/>
  <c r="V112" i="1"/>
  <c r="Q112" i="1"/>
  <c r="P112" i="1"/>
  <c r="O112" i="1"/>
  <c r="N112" i="1"/>
  <c r="J112" i="1"/>
  <c r="I112" i="1"/>
  <c r="H112" i="1"/>
  <c r="G112" i="1"/>
  <c r="F112" i="1"/>
  <c r="E112" i="1"/>
  <c r="D112" i="1"/>
  <c r="C112" i="1"/>
  <c r="V111" i="1"/>
  <c r="Q111" i="1"/>
  <c r="P111" i="1"/>
  <c r="O111" i="1"/>
  <c r="N111" i="1"/>
  <c r="J111" i="1"/>
  <c r="I111" i="1"/>
  <c r="H111" i="1"/>
  <c r="G111" i="1"/>
  <c r="F111" i="1"/>
  <c r="E111" i="1"/>
  <c r="D111" i="1"/>
  <c r="C111" i="1"/>
  <c r="V110" i="1"/>
  <c r="Q110" i="1"/>
  <c r="P110" i="1"/>
  <c r="O110" i="1"/>
  <c r="N110" i="1"/>
  <c r="J110" i="1"/>
  <c r="I110" i="1"/>
  <c r="H110" i="1"/>
  <c r="G110" i="1"/>
  <c r="F110" i="1"/>
  <c r="E110" i="1"/>
  <c r="D110" i="1"/>
  <c r="C110" i="1"/>
  <c r="V109" i="1"/>
  <c r="Q109" i="1"/>
  <c r="P109" i="1"/>
  <c r="O109" i="1"/>
  <c r="N109" i="1"/>
  <c r="J109" i="1"/>
  <c r="I109" i="1"/>
  <c r="H109" i="1"/>
  <c r="G109" i="1"/>
  <c r="F109" i="1"/>
  <c r="E109" i="1"/>
  <c r="D109" i="1"/>
  <c r="C109" i="1"/>
  <c r="V108" i="1"/>
  <c r="Q108" i="1"/>
  <c r="P108" i="1"/>
  <c r="O108" i="1"/>
  <c r="N108" i="1"/>
  <c r="J108" i="1"/>
  <c r="I108" i="1"/>
  <c r="H108" i="1"/>
  <c r="G108" i="1"/>
  <c r="F108" i="1"/>
  <c r="E108" i="1"/>
  <c r="D108" i="1"/>
  <c r="C108" i="1"/>
  <c r="V107" i="1"/>
  <c r="Q107" i="1"/>
  <c r="P107" i="1"/>
  <c r="O107" i="1"/>
  <c r="N107" i="1"/>
  <c r="J107" i="1"/>
  <c r="I107" i="1"/>
  <c r="H107" i="1"/>
  <c r="G107" i="1"/>
  <c r="F107" i="1"/>
  <c r="E107" i="1"/>
  <c r="D107" i="1"/>
  <c r="C107" i="1"/>
  <c r="V106" i="1"/>
  <c r="Q106" i="1"/>
  <c r="P106" i="1"/>
  <c r="O106" i="1"/>
  <c r="N106" i="1"/>
  <c r="J106" i="1"/>
  <c r="I106" i="1"/>
  <c r="H106" i="1"/>
  <c r="G106" i="1"/>
  <c r="F106" i="1"/>
  <c r="E106" i="1"/>
  <c r="D106" i="1"/>
  <c r="C106" i="1"/>
  <c r="V105" i="1"/>
  <c r="Q105" i="1"/>
  <c r="P105" i="1"/>
  <c r="O105" i="1"/>
  <c r="N105" i="1"/>
  <c r="J105" i="1"/>
  <c r="I105" i="1"/>
  <c r="H105" i="1"/>
  <c r="G105" i="1"/>
  <c r="F105" i="1"/>
  <c r="E105" i="1"/>
  <c r="D105" i="1"/>
  <c r="C105" i="1"/>
  <c r="V104" i="1"/>
  <c r="Q104" i="1"/>
  <c r="P104" i="1"/>
  <c r="O104" i="1"/>
  <c r="N104" i="1"/>
  <c r="J104" i="1"/>
  <c r="I104" i="1"/>
  <c r="H104" i="1"/>
  <c r="G104" i="1"/>
  <c r="F104" i="1"/>
  <c r="E104" i="1"/>
  <c r="D104" i="1"/>
  <c r="C104" i="1"/>
  <c r="V103" i="1"/>
  <c r="Q103" i="1"/>
  <c r="P103" i="1"/>
  <c r="O103" i="1"/>
  <c r="N103" i="1"/>
  <c r="J103" i="1"/>
  <c r="I103" i="1"/>
  <c r="H103" i="1"/>
  <c r="G103" i="1"/>
  <c r="F103" i="1"/>
  <c r="E103" i="1"/>
  <c r="D103" i="1"/>
  <c r="C103" i="1"/>
  <c r="V102" i="1"/>
  <c r="Q102" i="1"/>
  <c r="P102" i="1"/>
  <c r="O102" i="1"/>
  <c r="N102" i="1"/>
  <c r="J102" i="1"/>
  <c r="I102" i="1"/>
  <c r="H102" i="1"/>
  <c r="G102" i="1"/>
  <c r="F102" i="1"/>
  <c r="E102" i="1"/>
  <c r="D102" i="1"/>
  <c r="C102" i="1"/>
  <c r="V101" i="1"/>
  <c r="Q101" i="1"/>
  <c r="P101" i="1"/>
  <c r="O101" i="1"/>
  <c r="N101" i="1"/>
  <c r="J101" i="1"/>
  <c r="I101" i="1"/>
  <c r="H101" i="1"/>
  <c r="G101" i="1"/>
  <c r="F101" i="1"/>
  <c r="E101" i="1"/>
  <c r="D101" i="1"/>
  <c r="C101" i="1"/>
  <c r="V100" i="1"/>
  <c r="Q100" i="1"/>
  <c r="P100" i="1"/>
  <c r="O100" i="1"/>
  <c r="N100" i="1"/>
  <c r="J100" i="1"/>
  <c r="I100" i="1"/>
  <c r="H100" i="1"/>
  <c r="G100" i="1"/>
  <c r="F100" i="1"/>
  <c r="E100" i="1"/>
  <c r="D100" i="1"/>
  <c r="C100" i="1"/>
  <c r="V99" i="1"/>
  <c r="Q99" i="1"/>
  <c r="P99" i="1"/>
  <c r="O99" i="1"/>
  <c r="N99" i="1"/>
  <c r="J99" i="1"/>
  <c r="I99" i="1"/>
  <c r="H99" i="1"/>
  <c r="G99" i="1"/>
  <c r="F99" i="1"/>
  <c r="E99" i="1"/>
  <c r="D99" i="1"/>
  <c r="C99" i="1"/>
  <c r="V98" i="1"/>
  <c r="Q98" i="1"/>
  <c r="P98" i="1"/>
  <c r="O98" i="1"/>
  <c r="N98" i="1"/>
  <c r="J98" i="1"/>
  <c r="I98" i="1"/>
  <c r="H98" i="1"/>
  <c r="G98" i="1"/>
  <c r="F98" i="1"/>
  <c r="E98" i="1"/>
  <c r="D98" i="1"/>
  <c r="C98" i="1"/>
  <c r="V97" i="1"/>
  <c r="Q97" i="1"/>
  <c r="P97" i="1"/>
  <c r="O97" i="1"/>
  <c r="N97" i="1"/>
  <c r="J97" i="1"/>
  <c r="I97" i="1"/>
  <c r="H97" i="1"/>
  <c r="G97" i="1"/>
  <c r="F97" i="1"/>
  <c r="E97" i="1"/>
  <c r="D97" i="1"/>
  <c r="C97" i="1"/>
  <c r="V96" i="1"/>
  <c r="Q96" i="1"/>
  <c r="P96" i="1"/>
  <c r="O96" i="1"/>
  <c r="N96" i="1"/>
  <c r="J96" i="1"/>
  <c r="I96" i="1"/>
  <c r="H96" i="1"/>
  <c r="G96" i="1"/>
  <c r="F96" i="1"/>
  <c r="E96" i="1"/>
  <c r="D96" i="1"/>
  <c r="C96" i="1"/>
  <c r="V95" i="1"/>
  <c r="Q95" i="1"/>
  <c r="P95" i="1"/>
  <c r="O95" i="1"/>
  <c r="N95" i="1"/>
  <c r="J95" i="1"/>
  <c r="I95" i="1"/>
  <c r="H95" i="1"/>
  <c r="G95" i="1"/>
  <c r="F95" i="1"/>
  <c r="E95" i="1"/>
  <c r="D95" i="1"/>
  <c r="C95" i="1"/>
  <c r="V94" i="1"/>
  <c r="Q94" i="1"/>
  <c r="P94" i="1"/>
  <c r="O94" i="1"/>
  <c r="N94" i="1"/>
  <c r="J94" i="1"/>
  <c r="I94" i="1"/>
  <c r="H94" i="1"/>
  <c r="G94" i="1"/>
  <c r="F94" i="1"/>
  <c r="E94" i="1"/>
  <c r="D94" i="1"/>
  <c r="C94" i="1"/>
  <c r="V93" i="1"/>
  <c r="Q93" i="1"/>
  <c r="P93" i="1"/>
  <c r="O93" i="1"/>
  <c r="N93" i="1"/>
  <c r="J93" i="1"/>
  <c r="I93" i="1"/>
  <c r="H93" i="1"/>
  <c r="G93" i="1"/>
  <c r="F93" i="1"/>
  <c r="E93" i="1"/>
  <c r="D93" i="1"/>
  <c r="C93" i="1"/>
  <c r="V92" i="1"/>
  <c r="Q92" i="1"/>
  <c r="P92" i="1"/>
  <c r="O92" i="1"/>
  <c r="N92" i="1"/>
  <c r="J92" i="1"/>
  <c r="I92" i="1"/>
  <c r="H92" i="1"/>
  <c r="G92" i="1"/>
  <c r="F92" i="1"/>
  <c r="E92" i="1"/>
  <c r="D92" i="1"/>
  <c r="C92" i="1"/>
  <c r="V91" i="1"/>
  <c r="Q91" i="1"/>
  <c r="P91" i="1"/>
  <c r="O91" i="1"/>
  <c r="N91" i="1"/>
  <c r="J91" i="1"/>
  <c r="I91" i="1"/>
  <c r="H91" i="1"/>
  <c r="G91" i="1"/>
  <c r="F91" i="1"/>
  <c r="E91" i="1"/>
  <c r="D91" i="1"/>
  <c r="C91" i="1"/>
  <c r="V90" i="1"/>
  <c r="Q90" i="1"/>
  <c r="P90" i="1"/>
  <c r="O90" i="1"/>
  <c r="N90" i="1"/>
  <c r="J90" i="1"/>
  <c r="I90" i="1"/>
  <c r="H90" i="1"/>
  <c r="G90" i="1"/>
  <c r="F90" i="1"/>
  <c r="E90" i="1"/>
  <c r="D90" i="1"/>
  <c r="C90" i="1"/>
  <c r="V89" i="1"/>
  <c r="Q89" i="1"/>
  <c r="P89" i="1"/>
  <c r="O89" i="1"/>
  <c r="N89" i="1"/>
  <c r="J89" i="1"/>
  <c r="I89" i="1"/>
  <c r="H89" i="1"/>
  <c r="G89" i="1"/>
  <c r="F89" i="1"/>
  <c r="E89" i="1"/>
  <c r="D89" i="1"/>
  <c r="C89" i="1"/>
  <c r="V88" i="1"/>
  <c r="Q88" i="1"/>
  <c r="P88" i="1"/>
  <c r="O88" i="1"/>
  <c r="N88" i="1"/>
  <c r="J88" i="1"/>
  <c r="I88" i="1"/>
  <c r="H88" i="1"/>
  <c r="G88" i="1"/>
  <c r="F88" i="1"/>
  <c r="E88" i="1"/>
  <c r="D88" i="1"/>
  <c r="C88" i="1"/>
  <c r="V87" i="1"/>
  <c r="Q87" i="1"/>
  <c r="P87" i="1"/>
  <c r="O87" i="1"/>
  <c r="N87" i="1"/>
  <c r="J87" i="1"/>
  <c r="I87" i="1"/>
  <c r="H87" i="1"/>
  <c r="G87" i="1"/>
  <c r="F87" i="1"/>
  <c r="E87" i="1"/>
  <c r="D87" i="1"/>
  <c r="C87" i="1"/>
  <c r="V86" i="1"/>
  <c r="Q86" i="1"/>
  <c r="P86" i="1"/>
  <c r="O86" i="1"/>
  <c r="N86" i="1"/>
  <c r="J86" i="1"/>
  <c r="I86" i="1"/>
  <c r="H86" i="1"/>
  <c r="G86" i="1"/>
  <c r="F86" i="1"/>
  <c r="E86" i="1"/>
  <c r="D86" i="1"/>
  <c r="C86" i="1"/>
  <c r="V85" i="1"/>
  <c r="Q85" i="1"/>
  <c r="P85" i="1"/>
  <c r="O85" i="1"/>
  <c r="N85" i="1"/>
  <c r="J85" i="1"/>
  <c r="I85" i="1"/>
  <c r="H85" i="1"/>
  <c r="G85" i="1"/>
  <c r="F85" i="1"/>
  <c r="E85" i="1"/>
  <c r="D85" i="1"/>
  <c r="C85" i="1"/>
  <c r="V84" i="1"/>
  <c r="Q84" i="1"/>
  <c r="P84" i="1"/>
  <c r="O84" i="1"/>
  <c r="N84" i="1"/>
  <c r="J84" i="1"/>
  <c r="I84" i="1"/>
  <c r="H84" i="1"/>
  <c r="G84" i="1"/>
  <c r="F84" i="1"/>
  <c r="E84" i="1"/>
  <c r="D84" i="1"/>
  <c r="C84" i="1"/>
  <c r="V83" i="1"/>
  <c r="Q83" i="1"/>
  <c r="P83" i="1"/>
  <c r="O83" i="1"/>
  <c r="N83" i="1"/>
  <c r="J83" i="1"/>
  <c r="I83" i="1"/>
  <c r="H83" i="1"/>
  <c r="G83" i="1"/>
  <c r="F83" i="1"/>
  <c r="E83" i="1"/>
  <c r="D83" i="1"/>
  <c r="C83" i="1"/>
  <c r="V82" i="1"/>
  <c r="Q82" i="1"/>
  <c r="P82" i="1"/>
  <c r="O82" i="1"/>
  <c r="N82" i="1"/>
  <c r="J82" i="1"/>
  <c r="I82" i="1"/>
  <c r="H82" i="1"/>
  <c r="G82" i="1"/>
  <c r="F82" i="1"/>
  <c r="E82" i="1"/>
  <c r="D82" i="1"/>
  <c r="C82" i="1"/>
  <c r="V81" i="1"/>
  <c r="Q81" i="1"/>
  <c r="P81" i="1"/>
  <c r="O81" i="1"/>
  <c r="N81" i="1"/>
  <c r="J81" i="1"/>
  <c r="I81" i="1"/>
  <c r="H81" i="1"/>
  <c r="G81" i="1"/>
  <c r="F81" i="1"/>
  <c r="E81" i="1"/>
  <c r="D81" i="1"/>
  <c r="C81" i="1"/>
  <c r="V80" i="1"/>
  <c r="Q80" i="1"/>
  <c r="P80" i="1"/>
  <c r="O80" i="1"/>
  <c r="N80" i="1"/>
  <c r="J80" i="1"/>
  <c r="I80" i="1"/>
  <c r="H80" i="1"/>
  <c r="G80" i="1"/>
  <c r="F80" i="1"/>
  <c r="E80" i="1"/>
  <c r="D80" i="1"/>
  <c r="C80" i="1"/>
  <c r="V79" i="1"/>
  <c r="Q79" i="1"/>
  <c r="P79" i="1"/>
  <c r="O79" i="1"/>
  <c r="N79" i="1"/>
  <c r="J79" i="1"/>
  <c r="I79" i="1"/>
  <c r="H79" i="1"/>
  <c r="G79" i="1"/>
  <c r="F79" i="1"/>
  <c r="E79" i="1"/>
  <c r="D79" i="1"/>
  <c r="C79" i="1"/>
  <c r="V78" i="1"/>
  <c r="Q78" i="1"/>
  <c r="P78" i="1"/>
  <c r="O78" i="1"/>
  <c r="N78" i="1"/>
  <c r="J78" i="1"/>
  <c r="I78" i="1"/>
  <c r="H78" i="1"/>
  <c r="G78" i="1"/>
  <c r="F78" i="1"/>
  <c r="E78" i="1"/>
  <c r="D78" i="1"/>
  <c r="C78" i="1"/>
  <c r="V77" i="1"/>
  <c r="Q77" i="1"/>
  <c r="P77" i="1"/>
  <c r="O77" i="1"/>
  <c r="N77" i="1"/>
  <c r="J77" i="1"/>
  <c r="I77" i="1"/>
  <c r="H77" i="1"/>
  <c r="G77" i="1"/>
  <c r="F77" i="1"/>
  <c r="E77" i="1"/>
  <c r="D77" i="1"/>
  <c r="C77" i="1"/>
  <c r="V76" i="1"/>
  <c r="Q76" i="1"/>
  <c r="P76" i="1"/>
  <c r="O76" i="1"/>
  <c r="N76" i="1"/>
  <c r="J76" i="1"/>
  <c r="I76" i="1"/>
  <c r="H76" i="1"/>
  <c r="G76" i="1"/>
  <c r="F76" i="1"/>
  <c r="E76" i="1"/>
  <c r="D76" i="1"/>
  <c r="C76" i="1"/>
  <c r="V75" i="1"/>
  <c r="Q75" i="1"/>
  <c r="P75" i="1"/>
  <c r="O75" i="1"/>
  <c r="N75" i="1"/>
  <c r="J75" i="1"/>
  <c r="I75" i="1"/>
  <c r="H75" i="1"/>
  <c r="G75" i="1"/>
  <c r="F75" i="1"/>
  <c r="E75" i="1"/>
  <c r="D75" i="1"/>
  <c r="C75" i="1"/>
  <c r="V74" i="1"/>
  <c r="Q74" i="1"/>
  <c r="P74" i="1"/>
  <c r="O74" i="1"/>
  <c r="N74" i="1"/>
  <c r="J74" i="1"/>
  <c r="I74" i="1"/>
  <c r="H74" i="1"/>
  <c r="G74" i="1"/>
  <c r="F74" i="1"/>
  <c r="E74" i="1"/>
  <c r="D74" i="1"/>
  <c r="C74" i="1"/>
  <c r="V73" i="1"/>
  <c r="Q73" i="1"/>
  <c r="P73" i="1"/>
  <c r="O73" i="1"/>
  <c r="N73" i="1"/>
  <c r="J73" i="1"/>
  <c r="I73" i="1"/>
  <c r="H73" i="1"/>
  <c r="G73" i="1"/>
  <c r="F73" i="1"/>
  <c r="E73" i="1"/>
  <c r="D73" i="1"/>
  <c r="C73" i="1"/>
  <c r="V72" i="1"/>
  <c r="Q72" i="1"/>
  <c r="P72" i="1"/>
  <c r="O72" i="1"/>
  <c r="N72" i="1"/>
  <c r="J72" i="1"/>
  <c r="I72" i="1"/>
  <c r="H72" i="1"/>
  <c r="G72" i="1"/>
  <c r="F72" i="1"/>
  <c r="E72" i="1"/>
  <c r="D72" i="1"/>
  <c r="C72" i="1"/>
  <c r="V71" i="1"/>
  <c r="Q71" i="1"/>
  <c r="P71" i="1"/>
  <c r="O71" i="1"/>
  <c r="N71" i="1"/>
  <c r="J71" i="1"/>
  <c r="I71" i="1"/>
  <c r="H71" i="1"/>
  <c r="G71" i="1"/>
  <c r="F71" i="1"/>
  <c r="E71" i="1"/>
  <c r="D71" i="1"/>
  <c r="C71" i="1"/>
  <c r="V70" i="1"/>
  <c r="Q70" i="1"/>
  <c r="P70" i="1"/>
  <c r="O70" i="1"/>
  <c r="N70" i="1"/>
  <c r="J70" i="1"/>
  <c r="I70" i="1"/>
  <c r="H70" i="1"/>
  <c r="G70" i="1"/>
  <c r="F70" i="1"/>
  <c r="E70" i="1"/>
  <c r="D70" i="1"/>
  <c r="C70" i="1"/>
  <c r="V69" i="1"/>
  <c r="Q69" i="1"/>
  <c r="P69" i="1"/>
  <c r="O69" i="1"/>
  <c r="N69" i="1"/>
  <c r="J69" i="1"/>
  <c r="I69" i="1"/>
  <c r="H69" i="1"/>
  <c r="G69" i="1"/>
  <c r="F69" i="1"/>
  <c r="E69" i="1"/>
  <c r="D69" i="1"/>
  <c r="C69" i="1"/>
  <c r="V68" i="1"/>
  <c r="Q68" i="1"/>
  <c r="P68" i="1"/>
  <c r="O68" i="1"/>
  <c r="N68" i="1"/>
  <c r="J68" i="1"/>
  <c r="I68" i="1"/>
  <c r="H68" i="1"/>
  <c r="G68" i="1"/>
  <c r="F68" i="1"/>
  <c r="E68" i="1"/>
  <c r="D68" i="1"/>
  <c r="C68" i="1"/>
  <c r="V67" i="1"/>
  <c r="Q67" i="1"/>
  <c r="P67" i="1"/>
  <c r="O67" i="1"/>
  <c r="N67" i="1"/>
  <c r="J67" i="1"/>
  <c r="I67" i="1"/>
  <c r="H67" i="1"/>
  <c r="G67" i="1"/>
  <c r="F67" i="1"/>
  <c r="E67" i="1"/>
  <c r="D67" i="1"/>
  <c r="C67" i="1"/>
  <c r="V66" i="1"/>
  <c r="Q66" i="1"/>
  <c r="P66" i="1"/>
  <c r="O66" i="1"/>
  <c r="N66" i="1"/>
  <c r="J66" i="1"/>
  <c r="I66" i="1"/>
  <c r="H66" i="1"/>
  <c r="G66" i="1"/>
  <c r="F66" i="1"/>
  <c r="E66" i="1"/>
  <c r="D66" i="1"/>
  <c r="C66" i="1"/>
  <c r="V65" i="1"/>
  <c r="Q65" i="1"/>
  <c r="P65" i="1"/>
  <c r="O65" i="1"/>
  <c r="N65" i="1"/>
  <c r="J65" i="1"/>
  <c r="I65" i="1"/>
  <c r="H65" i="1"/>
  <c r="G65" i="1"/>
  <c r="F65" i="1"/>
  <c r="E65" i="1"/>
  <c r="D65" i="1"/>
  <c r="C65" i="1"/>
  <c r="V64" i="1"/>
  <c r="Q64" i="1"/>
  <c r="P64" i="1"/>
  <c r="O64" i="1"/>
  <c r="N64" i="1"/>
  <c r="J64" i="1"/>
  <c r="I64" i="1"/>
  <c r="H64" i="1"/>
  <c r="G64" i="1"/>
  <c r="F64" i="1"/>
  <c r="E64" i="1"/>
  <c r="D64" i="1"/>
  <c r="C64" i="1"/>
  <c r="V63" i="1"/>
  <c r="Q63" i="1"/>
  <c r="P63" i="1"/>
  <c r="O63" i="1"/>
  <c r="N63" i="1"/>
  <c r="J63" i="1"/>
  <c r="I63" i="1"/>
  <c r="H63" i="1"/>
  <c r="G63" i="1"/>
  <c r="F63" i="1"/>
  <c r="E63" i="1"/>
  <c r="D63" i="1"/>
  <c r="C63" i="1"/>
  <c r="V62" i="1"/>
  <c r="Q62" i="1"/>
  <c r="P62" i="1"/>
  <c r="O62" i="1"/>
  <c r="N62" i="1"/>
  <c r="J62" i="1"/>
  <c r="I62" i="1"/>
  <c r="H62" i="1"/>
  <c r="G62" i="1"/>
  <c r="F62" i="1"/>
  <c r="E62" i="1"/>
  <c r="D62" i="1"/>
  <c r="C62" i="1"/>
  <c r="V61" i="1"/>
  <c r="Q61" i="1"/>
  <c r="P61" i="1"/>
  <c r="O61" i="1"/>
  <c r="N61" i="1"/>
  <c r="J61" i="1"/>
  <c r="I61" i="1"/>
  <c r="H61" i="1"/>
  <c r="G61" i="1"/>
  <c r="F61" i="1"/>
  <c r="E61" i="1"/>
  <c r="D61" i="1"/>
  <c r="C61" i="1"/>
  <c r="V60" i="1"/>
  <c r="Q60" i="1"/>
  <c r="P60" i="1"/>
  <c r="O60" i="1"/>
  <c r="N60" i="1"/>
  <c r="J60" i="1"/>
  <c r="I60" i="1"/>
  <c r="H60" i="1"/>
  <c r="G60" i="1"/>
  <c r="F60" i="1"/>
  <c r="E60" i="1"/>
  <c r="D60" i="1"/>
  <c r="C60" i="1"/>
  <c r="V59" i="1"/>
  <c r="Q59" i="1"/>
  <c r="P59" i="1"/>
  <c r="O59" i="1"/>
  <c r="N59" i="1"/>
  <c r="J59" i="1"/>
  <c r="I59" i="1"/>
  <c r="H59" i="1"/>
  <c r="G59" i="1"/>
  <c r="F59" i="1"/>
  <c r="E59" i="1"/>
  <c r="D59" i="1"/>
  <c r="C59" i="1"/>
  <c r="V58" i="1"/>
  <c r="Q58" i="1"/>
  <c r="P58" i="1"/>
  <c r="O58" i="1"/>
  <c r="N58" i="1"/>
  <c r="J58" i="1"/>
  <c r="I58" i="1"/>
  <c r="H58" i="1"/>
  <c r="G58" i="1"/>
  <c r="F58" i="1"/>
  <c r="E58" i="1"/>
  <c r="D58" i="1"/>
  <c r="C58" i="1"/>
  <c r="V57" i="1"/>
  <c r="Q57" i="1"/>
  <c r="P57" i="1"/>
  <c r="O57" i="1"/>
  <c r="N57" i="1"/>
  <c r="J57" i="1"/>
  <c r="I57" i="1"/>
  <c r="H57" i="1"/>
  <c r="G57" i="1"/>
  <c r="F57" i="1"/>
  <c r="E57" i="1"/>
  <c r="D57" i="1"/>
  <c r="C57" i="1"/>
  <c r="V56" i="1"/>
  <c r="Q56" i="1"/>
  <c r="P56" i="1"/>
  <c r="O56" i="1"/>
  <c r="N56" i="1"/>
  <c r="J56" i="1"/>
  <c r="I56" i="1"/>
  <c r="H56" i="1"/>
  <c r="G56" i="1"/>
  <c r="F56" i="1"/>
  <c r="E56" i="1"/>
  <c r="D56" i="1"/>
  <c r="C56" i="1"/>
  <c r="V55" i="1"/>
  <c r="Q55" i="1"/>
  <c r="P55" i="1"/>
  <c r="O55" i="1"/>
  <c r="N55" i="1"/>
  <c r="J55" i="1"/>
  <c r="I55" i="1"/>
  <c r="H55" i="1"/>
  <c r="G55" i="1"/>
  <c r="F55" i="1"/>
  <c r="E55" i="1"/>
  <c r="D55" i="1"/>
  <c r="C55" i="1"/>
  <c r="V54" i="1"/>
  <c r="Q54" i="1"/>
  <c r="P54" i="1"/>
  <c r="O54" i="1"/>
  <c r="N54" i="1"/>
  <c r="J54" i="1"/>
  <c r="I54" i="1"/>
  <c r="H54" i="1"/>
  <c r="G54" i="1"/>
  <c r="F54" i="1"/>
  <c r="E54" i="1"/>
  <c r="D54" i="1"/>
  <c r="C54" i="1"/>
  <c r="V53" i="1"/>
  <c r="Q53" i="1"/>
  <c r="P53" i="1"/>
  <c r="O53" i="1"/>
  <c r="N53" i="1"/>
  <c r="J53" i="1"/>
  <c r="I53" i="1"/>
  <c r="H53" i="1"/>
  <c r="G53" i="1"/>
  <c r="F53" i="1"/>
  <c r="E53" i="1"/>
  <c r="D53" i="1"/>
  <c r="C53" i="1"/>
  <c r="V52" i="1"/>
  <c r="Q52" i="1"/>
  <c r="P52" i="1"/>
  <c r="O52" i="1"/>
  <c r="N52" i="1"/>
  <c r="J52" i="1"/>
  <c r="I52" i="1"/>
  <c r="H52" i="1"/>
  <c r="G52" i="1"/>
  <c r="F52" i="1"/>
  <c r="E52" i="1"/>
  <c r="D52" i="1"/>
  <c r="C52" i="1"/>
  <c r="V51" i="1"/>
  <c r="Q51" i="1"/>
  <c r="P51" i="1"/>
  <c r="O51" i="1"/>
  <c r="N51" i="1"/>
  <c r="J51" i="1"/>
  <c r="I51" i="1"/>
  <c r="H51" i="1"/>
  <c r="G51" i="1"/>
  <c r="F51" i="1"/>
  <c r="E51" i="1"/>
  <c r="D51" i="1"/>
  <c r="C51" i="1"/>
  <c r="V50" i="1"/>
  <c r="Q50" i="1"/>
  <c r="P50" i="1"/>
  <c r="O50" i="1"/>
  <c r="N50" i="1"/>
  <c r="J50" i="1"/>
  <c r="I50" i="1"/>
  <c r="H50" i="1"/>
  <c r="G50" i="1"/>
  <c r="F50" i="1"/>
  <c r="E50" i="1"/>
  <c r="D50" i="1"/>
  <c r="C50" i="1"/>
  <c r="V49" i="1"/>
  <c r="Q49" i="1"/>
  <c r="P49" i="1"/>
  <c r="O49" i="1"/>
  <c r="N49" i="1"/>
  <c r="J49" i="1"/>
  <c r="I49" i="1"/>
  <c r="H49" i="1"/>
  <c r="G49" i="1"/>
  <c r="F49" i="1"/>
  <c r="E49" i="1"/>
  <c r="D49" i="1"/>
  <c r="C49" i="1"/>
  <c r="V48" i="1"/>
  <c r="Q48" i="1"/>
  <c r="P48" i="1"/>
  <c r="O48" i="1"/>
  <c r="N48" i="1"/>
  <c r="J48" i="1"/>
  <c r="I48" i="1"/>
  <c r="H48" i="1"/>
  <c r="G48" i="1"/>
  <c r="F48" i="1"/>
  <c r="E48" i="1"/>
  <c r="D48" i="1"/>
  <c r="C48" i="1"/>
  <c r="V47" i="1"/>
  <c r="Q47" i="1"/>
  <c r="P47" i="1"/>
  <c r="O47" i="1"/>
  <c r="N47" i="1"/>
  <c r="J47" i="1"/>
  <c r="I47" i="1"/>
  <c r="H47" i="1"/>
  <c r="G47" i="1"/>
  <c r="F47" i="1"/>
  <c r="E47" i="1"/>
  <c r="D47" i="1"/>
  <c r="C47" i="1"/>
  <c r="V46" i="1"/>
  <c r="Q46" i="1"/>
  <c r="P46" i="1"/>
  <c r="O46" i="1"/>
  <c r="N46" i="1"/>
  <c r="J46" i="1"/>
  <c r="I46" i="1"/>
  <c r="H46" i="1"/>
  <c r="G46" i="1"/>
  <c r="F46" i="1"/>
  <c r="E46" i="1"/>
  <c r="D46" i="1"/>
  <c r="C46" i="1"/>
  <c r="V45" i="1"/>
  <c r="Q45" i="1"/>
  <c r="P45" i="1"/>
  <c r="O45" i="1"/>
  <c r="N45" i="1"/>
  <c r="J45" i="1"/>
  <c r="I45" i="1"/>
  <c r="H45" i="1"/>
  <c r="G45" i="1"/>
  <c r="F45" i="1"/>
  <c r="E45" i="1"/>
  <c r="D45" i="1"/>
  <c r="C45" i="1"/>
  <c r="V44" i="1"/>
  <c r="Q44" i="1"/>
  <c r="P44" i="1"/>
  <c r="O44" i="1"/>
  <c r="N44" i="1"/>
  <c r="J44" i="1"/>
  <c r="I44" i="1"/>
  <c r="H44" i="1"/>
  <c r="G44" i="1"/>
  <c r="F44" i="1"/>
  <c r="E44" i="1"/>
  <c r="D44" i="1"/>
  <c r="C44" i="1"/>
  <c r="V43" i="1"/>
  <c r="Q43" i="1"/>
  <c r="P43" i="1"/>
  <c r="O43" i="1"/>
  <c r="N43" i="1"/>
  <c r="J43" i="1"/>
  <c r="I43" i="1"/>
  <c r="H43" i="1"/>
  <c r="G43" i="1"/>
  <c r="F43" i="1"/>
  <c r="E43" i="1"/>
  <c r="D43" i="1"/>
  <c r="C43" i="1"/>
  <c r="V42" i="1"/>
  <c r="Q42" i="1"/>
  <c r="P42" i="1"/>
  <c r="O42" i="1"/>
  <c r="N42" i="1"/>
  <c r="J42" i="1"/>
  <c r="I42" i="1"/>
  <c r="H42" i="1"/>
  <c r="G42" i="1"/>
  <c r="F42" i="1"/>
  <c r="E42" i="1"/>
  <c r="D42" i="1"/>
  <c r="C42" i="1"/>
  <c r="V41" i="1"/>
  <c r="Q41" i="1"/>
  <c r="P41" i="1"/>
  <c r="O41" i="1"/>
  <c r="N41" i="1"/>
  <c r="J41" i="1"/>
  <c r="I41" i="1"/>
  <c r="H41" i="1"/>
  <c r="G41" i="1"/>
  <c r="F41" i="1"/>
  <c r="E41" i="1"/>
  <c r="D41" i="1"/>
  <c r="C41" i="1"/>
  <c r="V40" i="1"/>
  <c r="Q40" i="1"/>
  <c r="P40" i="1"/>
  <c r="O40" i="1"/>
  <c r="N40" i="1"/>
  <c r="J40" i="1"/>
  <c r="I40" i="1"/>
  <c r="H40" i="1"/>
  <c r="G40" i="1"/>
  <c r="F40" i="1"/>
  <c r="E40" i="1"/>
  <c r="D40" i="1"/>
  <c r="C40" i="1"/>
  <c r="V39" i="1"/>
  <c r="Q39" i="1"/>
  <c r="P39" i="1"/>
  <c r="O39" i="1"/>
  <c r="N39" i="1"/>
  <c r="J39" i="1"/>
  <c r="I39" i="1"/>
  <c r="H39" i="1"/>
  <c r="G39" i="1"/>
  <c r="F39" i="1"/>
  <c r="E39" i="1"/>
  <c r="D39" i="1"/>
  <c r="C39" i="1"/>
  <c r="V38" i="1"/>
  <c r="Q38" i="1"/>
  <c r="P38" i="1"/>
  <c r="O38" i="1"/>
  <c r="N38" i="1"/>
  <c r="J38" i="1"/>
  <c r="I38" i="1"/>
  <c r="H38" i="1"/>
  <c r="G38" i="1"/>
  <c r="F38" i="1"/>
  <c r="E38" i="1"/>
  <c r="D38" i="1"/>
  <c r="C38" i="1"/>
  <c r="V37" i="1"/>
  <c r="Q37" i="1"/>
  <c r="P37" i="1"/>
  <c r="O37" i="1"/>
  <c r="N37" i="1"/>
  <c r="J37" i="1"/>
  <c r="I37" i="1"/>
  <c r="H37" i="1"/>
  <c r="G37" i="1"/>
  <c r="F37" i="1"/>
  <c r="E37" i="1"/>
  <c r="D37" i="1"/>
  <c r="C37" i="1"/>
  <c r="V36" i="1"/>
  <c r="Q36" i="1"/>
  <c r="P36" i="1"/>
  <c r="O36" i="1"/>
  <c r="N36" i="1"/>
  <c r="J36" i="1"/>
  <c r="I36" i="1"/>
  <c r="H36" i="1"/>
  <c r="G36" i="1"/>
  <c r="F36" i="1"/>
  <c r="E36" i="1"/>
  <c r="D36" i="1"/>
  <c r="C36" i="1"/>
  <c r="V35" i="1"/>
  <c r="Q35" i="1"/>
  <c r="P35" i="1"/>
  <c r="O35" i="1"/>
  <c r="N35" i="1"/>
  <c r="J35" i="1"/>
  <c r="I35" i="1"/>
  <c r="H35" i="1"/>
  <c r="G35" i="1"/>
  <c r="F35" i="1"/>
  <c r="E35" i="1"/>
  <c r="D35" i="1"/>
  <c r="C35" i="1"/>
  <c r="V34" i="1"/>
  <c r="Q34" i="1"/>
  <c r="P34" i="1"/>
  <c r="O34" i="1"/>
  <c r="N34" i="1"/>
  <c r="J34" i="1"/>
  <c r="I34" i="1"/>
  <c r="H34" i="1"/>
  <c r="G34" i="1"/>
  <c r="F34" i="1"/>
  <c r="E34" i="1"/>
  <c r="D34" i="1"/>
  <c r="C34" i="1"/>
  <c r="V33" i="1"/>
  <c r="Q33" i="1"/>
  <c r="P33" i="1"/>
  <c r="O33" i="1"/>
  <c r="N33" i="1"/>
  <c r="J33" i="1"/>
  <c r="I33" i="1"/>
  <c r="H33" i="1"/>
  <c r="G33" i="1"/>
  <c r="F33" i="1"/>
  <c r="E33" i="1"/>
  <c r="D33" i="1"/>
  <c r="C33" i="1"/>
  <c r="V32" i="1"/>
  <c r="Q32" i="1"/>
  <c r="P32" i="1"/>
  <c r="O32" i="1"/>
  <c r="N32" i="1"/>
  <c r="J32" i="1"/>
  <c r="I32" i="1"/>
  <c r="H32" i="1"/>
  <c r="G32" i="1"/>
  <c r="F32" i="1"/>
  <c r="E32" i="1"/>
  <c r="D32" i="1"/>
  <c r="C32" i="1"/>
  <c r="V31" i="1"/>
  <c r="Q31" i="1"/>
  <c r="P31" i="1"/>
  <c r="O31" i="1"/>
  <c r="N31" i="1"/>
  <c r="J31" i="1"/>
  <c r="I31" i="1"/>
  <c r="H31" i="1"/>
  <c r="G31" i="1"/>
  <c r="F31" i="1"/>
  <c r="E31" i="1"/>
  <c r="D31" i="1"/>
  <c r="C31" i="1"/>
  <c r="V30" i="1"/>
  <c r="Q30" i="1"/>
  <c r="P30" i="1"/>
  <c r="O30" i="1"/>
  <c r="N30" i="1"/>
  <c r="J30" i="1"/>
  <c r="I30" i="1"/>
  <c r="H30" i="1"/>
  <c r="G30" i="1"/>
  <c r="F30" i="1"/>
  <c r="E30" i="1"/>
  <c r="D30" i="1"/>
  <c r="C30" i="1"/>
  <c r="V29" i="1"/>
  <c r="Q29" i="1"/>
  <c r="P29" i="1"/>
  <c r="O29" i="1"/>
  <c r="N29" i="1"/>
  <c r="J29" i="1"/>
  <c r="I29" i="1"/>
  <c r="H29" i="1"/>
  <c r="G29" i="1"/>
  <c r="F29" i="1"/>
  <c r="E29" i="1"/>
  <c r="D29" i="1"/>
  <c r="C29" i="1"/>
  <c r="V28" i="1"/>
  <c r="Q28" i="1"/>
  <c r="P28" i="1"/>
  <c r="O28" i="1"/>
  <c r="N28" i="1"/>
  <c r="J28" i="1"/>
  <c r="I28" i="1"/>
  <c r="H28" i="1"/>
  <c r="G28" i="1"/>
  <c r="F28" i="1"/>
  <c r="E28" i="1"/>
  <c r="D28" i="1"/>
  <c r="C28" i="1"/>
  <c r="V27" i="1"/>
  <c r="Q27" i="1"/>
  <c r="P27" i="1"/>
  <c r="O27" i="1"/>
  <c r="N27" i="1"/>
  <c r="J27" i="1"/>
  <c r="I27" i="1"/>
  <c r="H27" i="1"/>
  <c r="G27" i="1"/>
  <c r="F27" i="1"/>
  <c r="E27" i="1"/>
  <c r="D27" i="1"/>
  <c r="C27" i="1"/>
  <c r="V26" i="1"/>
  <c r="Q26" i="1"/>
  <c r="P26" i="1"/>
  <c r="O26" i="1"/>
  <c r="N26" i="1"/>
  <c r="J26" i="1"/>
  <c r="I26" i="1"/>
  <c r="H26" i="1"/>
  <c r="G26" i="1"/>
  <c r="F26" i="1"/>
  <c r="E26" i="1"/>
  <c r="D26" i="1"/>
  <c r="C26" i="1"/>
  <c r="V25" i="1"/>
  <c r="Q25" i="1"/>
  <c r="P25" i="1"/>
  <c r="O25" i="1"/>
  <c r="N25" i="1"/>
  <c r="J25" i="1"/>
  <c r="I25" i="1"/>
  <c r="H25" i="1"/>
  <c r="G25" i="1"/>
  <c r="F25" i="1"/>
  <c r="E25" i="1"/>
  <c r="D25" i="1"/>
  <c r="C25" i="1"/>
  <c r="V24" i="1"/>
  <c r="Q24" i="1"/>
  <c r="P24" i="1"/>
  <c r="O24" i="1"/>
  <c r="N24" i="1"/>
  <c r="J24" i="1"/>
  <c r="I24" i="1"/>
  <c r="H24" i="1"/>
  <c r="G24" i="1"/>
  <c r="F24" i="1"/>
  <c r="E24" i="1"/>
  <c r="D24" i="1"/>
  <c r="C24" i="1"/>
  <c r="V23" i="1"/>
  <c r="Q23" i="1"/>
  <c r="P23" i="1"/>
  <c r="O23" i="1"/>
  <c r="N23" i="1"/>
  <c r="J23" i="1"/>
  <c r="I23" i="1"/>
  <c r="H23" i="1"/>
  <c r="G23" i="1"/>
  <c r="F23" i="1"/>
  <c r="E23" i="1"/>
  <c r="D23" i="1"/>
  <c r="C23" i="1"/>
  <c r="V22" i="1"/>
  <c r="Q22" i="1"/>
  <c r="P22" i="1"/>
  <c r="O22" i="1"/>
  <c r="N22" i="1"/>
  <c r="J22" i="1"/>
  <c r="I22" i="1"/>
  <c r="H22" i="1"/>
  <c r="G22" i="1"/>
  <c r="F22" i="1"/>
  <c r="E22" i="1"/>
  <c r="D22" i="1"/>
  <c r="C22" i="1"/>
  <c r="V21" i="1"/>
  <c r="Q21" i="1"/>
  <c r="P21" i="1"/>
  <c r="O21" i="1"/>
  <c r="N21" i="1"/>
  <c r="J21" i="1"/>
  <c r="I21" i="1"/>
  <c r="H21" i="1"/>
  <c r="G21" i="1"/>
  <c r="F21" i="1"/>
  <c r="E21" i="1"/>
  <c r="D21" i="1"/>
  <c r="C21" i="1"/>
  <c r="V20" i="1"/>
  <c r="Q20" i="1"/>
  <c r="P20" i="1"/>
  <c r="O20" i="1"/>
  <c r="N20" i="1"/>
  <c r="J20" i="1"/>
  <c r="I20" i="1"/>
  <c r="H20" i="1"/>
  <c r="G20" i="1"/>
  <c r="F20" i="1"/>
  <c r="E20" i="1"/>
  <c r="D20" i="1"/>
  <c r="C20" i="1"/>
  <c r="V19" i="1"/>
  <c r="Q19" i="1"/>
  <c r="P19" i="1"/>
  <c r="O19" i="1"/>
  <c r="N19" i="1"/>
  <c r="J19" i="1"/>
  <c r="I19" i="1"/>
  <c r="H19" i="1"/>
  <c r="G19" i="1"/>
  <c r="F19" i="1"/>
  <c r="E19" i="1"/>
  <c r="D19" i="1"/>
  <c r="C19" i="1"/>
  <c r="V18" i="1"/>
  <c r="Q18" i="1"/>
  <c r="P18" i="1"/>
  <c r="O18" i="1"/>
  <c r="N18" i="1"/>
  <c r="J18" i="1"/>
  <c r="I18" i="1"/>
  <c r="H18" i="1"/>
  <c r="G18" i="1"/>
  <c r="F18" i="1"/>
  <c r="E18" i="1"/>
  <c r="D18" i="1"/>
  <c r="C18" i="1"/>
  <c r="V17" i="1"/>
  <c r="Q17" i="1"/>
  <c r="P17" i="1"/>
  <c r="O17" i="1"/>
  <c r="N17" i="1"/>
  <c r="J17" i="1"/>
  <c r="I17" i="1"/>
  <c r="H17" i="1"/>
  <c r="G17" i="1"/>
  <c r="F17" i="1"/>
  <c r="E17" i="1"/>
  <c r="D17" i="1"/>
  <c r="C17" i="1"/>
  <c r="V16" i="1"/>
  <c r="Q16" i="1"/>
  <c r="P16" i="1"/>
  <c r="O16" i="1"/>
  <c r="N16" i="1"/>
  <c r="J16" i="1"/>
  <c r="I16" i="1"/>
  <c r="H16" i="1"/>
  <c r="G16" i="1"/>
  <c r="F16" i="1"/>
  <c r="E16" i="1"/>
  <c r="D16" i="1"/>
  <c r="C16" i="1"/>
  <c r="V15" i="1"/>
  <c r="Q15" i="1"/>
  <c r="P15" i="1"/>
  <c r="O15" i="1"/>
  <c r="N15" i="1"/>
  <c r="J15" i="1"/>
  <c r="I15" i="1"/>
  <c r="H15" i="1"/>
  <c r="G15" i="1"/>
  <c r="F15" i="1"/>
  <c r="E15" i="1"/>
  <c r="D15" i="1"/>
  <c r="C15" i="1"/>
  <c r="V14" i="1"/>
  <c r="Q14" i="1"/>
  <c r="P14" i="1"/>
  <c r="O14" i="1"/>
  <c r="N14" i="1"/>
  <c r="J14" i="1"/>
  <c r="I14" i="1"/>
  <c r="H14" i="1"/>
  <c r="G14" i="1"/>
  <c r="F14" i="1"/>
  <c r="E14" i="1"/>
  <c r="D14" i="1"/>
  <c r="C14" i="1"/>
  <c r="V13" i="1"/>
  <c r="Q13" i="1"/>
  <c r="P13" i="1"/>
  <c r="O13" i="1"/>
  <c r="N13" i="1"/>
  <c r="J13" i="1"/>
  <c r="I13" i="1"/>
  <c r="H13" i="1"/>
  <c r="G13" i="1"/>
  <c r="F13" i="1"/>
  <c r="E13" i="1"/>
  <c r="D13" i="1"/>
  <c r="C13" i="1"/>
  <c r="V12" i="1"/>
  <c r="Q12" i="1"/>
  <c r="P12" i="1"/>
  <c r="O12" i="1"/>
  <c r="N12" i="1"/>
  <c r="J12" i="1"/>
  <c r="I12" i="1"/>
  <c r="H12" i="1"/>
  <c r="G12" i="1"/>
  <c r="F12" i="1"/>
  <c r="E12" i="1"/>
  <c r="D12" i="1"/>
  <c r="C12" i="1"/>
  <c r="V11" i="1"/>
  <c r="Q11" i="1"/>
  <c r="P11" i="1"/>
  <c r="O11" i="1"/>
  <c r="N11" i="1"/>
  <c r="J11" i="1"/>
  <c r="I11" i="1"/>
  <c r="H11" i="1"/>
  <c r="G11" i="1"/>
  <c r="F11" i="1"/>
  <c r="E11" i="1"/>
  <c r="D11" i="1"/>
  <c r="C11" i="1"/>
  <c r="V10" i="1"/>
  <c r="Q10" i="1"/>
  <c r="P10" i="1"/>
  <c r="O10" i="1"/>
  <c r="N10" i="1"/>
  <c r="J10" i="1"/>
  <c r="I10" i="1"/>
  <c r="H10" i="1"/>
  <c r="G10" i="1"/>
  <c r="F10" i="1"/>
  <c r="E10" i="1"/>
  <c r="D10" i="1"/>
  <c r="C10" i="1"/>
  <c r="V9" i="1"/>
  <c r="Q9" i="1"/>
  <c r="P9" i="1"/>
  <c r="O9" i="1"/>
  <c r="N9" i="1"/>
  <c r="J9" i="1"/>
  <c r="I9" i="1"/>
  <c r="H9" i="1"/>
  <c r="G9" i="1"/>
  <c r="F9" i="1"/>
  <c r="E9" i="1"/>
  <c r="D9" i="1"/>
  <c r="C9" i="1"/>
  <c r="V8" i="1"/>
  <c r="Q8" i="1"/>
  <c r="P8" i="1"/>
  <c r="O8" i="1"/>
  <c r="N8" i="1"/>
  <c r="J8" i="1"/>
  <c r="I8" i="1"/>
  <c r="H8" i="1"/>
  <c r="G8" i="1"/>
  <c r="F8" i="1"/>
  <c r="E8" i="1"/>
  <c r="D8" i="1"/>
  <c r="C8" i="1"/>
  <c r="V7" i="1"/>
  <c r="Q7" i="1"/>
  <c r="P7" i="1"/>
  <c r="O7" i="1"/>
  <c r="N7" i="1"/>
  <c r="J7" i="1"/>
  <c r="I7" i="1"/>
  <c r="H7" i="1"/>
  <c r="G7" i="1"/>
  <c r="F7" i="1"/>
  <c r="E7" i="1"/>
  <c r="D7" i="1"/>
  <c r="C7" i="1"/>
  <c r="V6" i="1"/>
  <c r="Q6" i="1"/>
  <c r="P6" i="1"/>
  <c r="O6" i="1"/>
  <c r="N6" i="1"/>
  <c r="J6" i="1"/>
  <c r="I6" i="1"/>
  <c r="H6" i="1"/>
  <c r="G6" i="1"/>
  <c r="F6" i="1"/>
  <c r="E6" i="1"/>
  <c r="D6" i="1"/>
  <c r="C6" i="1"/>
  <c r="V5" i="1"/>
  <c r="Q5" i="1"/>
  <c r="P5" i="1"/>
  <c r="O5" i="1"/>
  <c r="N5" i="1"/>
  <c r="J5" i="1"/>
  <c r="I5" i="1"/>
  <c r="H5" i="1"/>
  <c r="G5" i="1"/>
  <c r="F5" i="1"/>
  <c r="E5" i="1"/>
  <c r="D5" i="1"/>
  <c r="C5" i="1"/>
  <c r="V4" i="1"/>
  <c r="Q4" i="1"/>
  <c r="P4" i="1"/>
  <c r="O4" i="1"/>
  <c r="N4" i="1"/>
  <c r="J4" i="1"/>
  <c r="I4" i="1"/>
  <c r="H4" i="1"/>
  <c r="G4" i="1"/>
  <c r="F4" i="1"/>
  <c r="E4" i="1"/>
  <c r="D4" i="1"/>
  <c r="C4" i="1"/>
  <c r="V3" i="1"/>
  <c r="Q3" i="1"/>
  <c r="P3" i="1"/>
  <c r="O3" i="1"/>
  <c r="N3" i="1"/>
  <c r="J3" i="1"/>
  <c r="I3" i="1"/>
  <c r="H3" i="1"/>
  <c r="G3" i="1"/>
  <c r="F3" i="1"/>
  <c r="E3" i="1"/>
  <c r="D3" i="1"/>
  <c r="C3" i="1"/>
  <c r="V2" i="1"/>
  <c r="Q2" i="1"/>
  <c r="P2" i="1"/>
  <c r="O2" i="1"/>
  <c r="N2" i="1"/>
  <c r="J2" i="1"/>
  <c r="I2" i="1"/>
  <c r="H2" i="1"/>
  <c r="G2" i="1"/>
  <c r="F2" i="1"/>
  <c r="E2" i="1"/>
  <c r="D2" i="1"/>
  <c r="C2" i="1"/>
  <c r="V1" i="1"/>
  <c r="Q1" i="1"/>
  <c r="P1" i="1"/>
  <c r="O1" i="1"/>
  <c r="N1" i="1"/>
  <c r="J1" i="1"/>
  <c r="I1" i="1"/>
  <c r="H1" i="1"/>
  <c r="G1" i="1"/>
  <c r="F1" i="1"/>
  <c r="E1" i="1"/>
  <c r="D1" i="1"/>
  <c r="C1" i="1"/>
</calcChain>
</file>

<file path=xl/sharedStrings.xml><?xml version="1.0" encoding="utf-8"?>
<sst xmlns="http://schemas.openxmlformats.org/spreadsheetml/2006/main" count="47681" uniqueCount="47519">
  <si>
    <t>9763-20170724T104345.123859600.bin</t>
  </si>
  <si>
    <t>-705.111993971952 112.354989661541 -532.695395777693</t>
  </si>
  <si>
    <t>-767.390665051345 117.824973127289 -245.149356869598</t>
  </si>
  <si>
    <t>-531.206612083009 164.203834730757 -255.96357667463</t>
  </si>
  <si>
    <t>-637.206286995252 55.5177299660027 -102.191244905721</t>
  </si>
  <si>
    <t>-647.791708518878 71.8756980225437 300.890683214662</t>
  </si>
  <si>
    <t>-696.764354707644 96.5655884084872 745.447596071231</t>
  </si>
  <si>
    <t>-552.390411006542 119.462747428745 806.432703766719</t>
  </si>
  <si>
    <t>-578.304757547564 -136.371826522075 305.432223648266</t>
  </si>
  <si>
    <t>-610.06185613782 -144.098024106898 752.091905971796</t>
  </si>
  <si>
    <t>-476.323160195384 -186.273465179854 825.729492236245</t>
  </si>
  <si>
    <t>9763-20170724T104345.191061000.bin</t>
  </si>
  <si>
    <t>-704.679846461944 112.180141081842 -532.650024310329</t>
  </si>
  <si>
    <t>-766.652345525632 117.85163897094 -245.041896006341</t>
  </si>
  <si>
    <t>-530.60020539059 164.799166056322 -256.274695711874</t>
  </si>
  <si>
    <t>-637.020270432313 55.2961412179188 -102.210601398507</t>
  </si>
  <si>
    <t>-647.832478172083 71.7306517345999 300.862109979317</t>
  </si>
  <si>
    <t>-696.774598946778 96.5346766109412 745.405349616769</t>
  </si>
  <si>
    <t>-552.409329706791 119.575635801599 806.356895558223</t>
  </si>
  <si>
    <t>-578.312929151461 -136.598546799527 305.431568325304</t>
  </si>
  <si>
    <t>-610.062540517594 -144.123018898928 752.100374930578</t>
  </si>
  <si>
    <t>-476.256211440706 -186.110685657694 825.722476531695</t>
  </si>
  <si>
    <t>9763-20170724T104345.221162200.bin</t>
  </si>
  <si>
    <t>-704.490795989805 112.092194262762 -532.626870284685</t>
  </si>
  <si>
    <t>-766.342166412915 117.790652084009 -244.993209558599</t>
  </si>
  <si>
    <t>-530.36193800194 165.054544450086 -256.40911543236</t>
  </si>
  <si>
    <t>-636.94491171212 55.1829259708954 -102.217923835679</t>
  </si>
  <si>
    <t>-647.838775729333 71.6591669003078 300.851001750151</t>
  </si>
  <si>
    <t>-696.783567660759 96.5587252931043 745.388497468459</t>
  </si>
  <si>
    <t>-552.417320983436 119.613394644659 806.332286418588</t>
  </si>
  <si>
    <t>-578.311695745874 -136.749039060687 305.433793991969</t>
  </si>
  <si>
    <t>-610.067809721559 -144.285136242742 752.106601407821</t>
  </si>
  <si>
    <t>-476.189885463862 -186.061083329377 825.718917490013</t>
  </si>
  <si>
    <t>9763-20170724T104345.290853800.bin</t>
  </si>
  <si>
    <t>-704.184615247606 111.916268891555 -532.586601069666</t>
  </si>
  <si>
    <t>-765.844108850479 117.819091198097 -244.915761519982</t>
  </si>
  <si>
    <t>-529.969810676929 165.561463221326 -256.528416563642</t>
  </si>
  <si>
    <t>-636.813212100835 55.0281635397735 -102.232981759141</t>
  </si>
  <si>
    <t>-647.735442869538 71.5585948074074 300.832924140066</t>
  </si>
  <si>
    <t>-696.777276953223 96.5570653247353 745.361056507942</t>
  </si>
  <si>
    <t>-552.404166635152 119.540192529631 806.315859348575</t>
  </si>
  <si>
    <t>-578.253720089811 -136.882645302962 305.440527954204</t>
  </si>
  <si>
    <t>-610.065980514634 -144.413262713928 752.10990970306</t>
  </si>
  <si>
    <t>-476.161084273392 -186.102818551621 825.722175390929</t>
  </si>
  <si>
    <t>9763-20170724T104345.355194500.bin</t>
  </si>
  <si>
    <t>-704.041335881885 111.805918845093 -532.546028130983</t>
  </si>
  <si>
    <t>-765.561580031342 117.666362279846 -244.844686835005</t>
  </si>
  <si>
    <t>-529.735158806244 165.62141184961 -256.554329454276</t>
  </si>
  <si>
    <t>-636.729446878732 55.0065606061667 -102.243200942576</t>
  </si>
  <si>
    <t>-647.60386004921 71.5541905237565 300.823302219681</t>
  </si>
  <si>
    <t>-696.775420864692 96.6097161189309 745.333712287951</t>
  </si>
  <si>
    <t>-552.434250366035 119.739036253401 806.308749806949</t>
  </si>
  <si>
    <t>-578.183731497667 -136.882408287876 305.443574745353</t>
  </si>
  <si>
    <t>-610.050616411321 -144.24298286503 752.103077765983</t>
  </si>
  <si>
    <t>-476.19063246293 -186.065896497399 825.72123553488</t>
  </si>
  <si>
    <t>9763-20170724T104345.388300300.bin</t>
  </si>
  <si>
    <t>-704.020934860601 111.73704540257 -532.496431539249</t>
  </si>
  <si>
    <t>-765.461540245901 117.555542518093 -244.77705566917</t>
  </si>
  <si>
    <t>-529.632863278139 165.485192982103 -256.543337843841</t>
  </si>
  <si>
    <t>-636.657788229089 54.9670535380135 -102.250727295528</t>
  </si>
  <si>
    <t>-647.550930807905 71.5439345975158 300.814066788115</t>
  </si>
  <si>
    <t>-696.772549753605 96.617742609277 745.314997210155</t>
  </si>
  <si>
    <t>-552.413908014814 119.608761167198 806.301013352207</t>
  </si>
  <si>
    <t>-578.157813991913 -136.876253876876 305.447711579941</t>
  </si>
  <si>
    <t>-610.043044667122 -144.193531991279 752.103369975979</t>
  </si>
  <si>
    <t>-476.23171584685 -186.163994731895 825.726104424443</t>
  </si>
  <si>
    <t>9763-20170724T104345.456618900.bin</t>
  </si>
  <si>
    <t>-704.105281188267 111.655096076479 -532.398381662394</t>
  </si>
  <si>
    <t>-765.266655170687 117.284820967384 -244.615855215382</t>
  </si>
  <si>
    <t>-529.449730072251 165.250172439589 -256.472157080512</t>
  </si>
  <si>
    <t>-636.591209787648 54.9658060813451 -102.280208566044</t>
  </si>
  <si>
    <t>-647.400144515063 71.5267795877996 300.787529577114</t>
  </si>
  <si>
    <t>-696.765450487335 96.6250987993135 745.277556308517</t>
  </si>
  <si>
    <t>-552.402471650622 119.539077366445 806.282372616623</t>
  </si>
  <si>
    <t>-578.134044497151 -136.859048655793 305.445300276429</t>
  </si>
  <si>
    <t>-610.028487139644 -144.068853291104 752.098947076871</t>
  </si>
  <si>
    <t>-476.251960740658 -186.139765122802 825.727573871146</t>
  </si>
  <si>
    <t>9763-20170724T104345.484188200.bin</t>
  </si>
  <si>
    <t>-704.172828188576 111.581848568493 -532.33534195078</t>
  </si>
  <si>
    <t>-765.163950050397 117.081375774079 -244.514166709255</t>
  </si>
  <si>
    <t>-529.371433949375 165.146935070646 -256.449524812425</t>
  </si>
  <si>
    <t>-636.573927807741 54.9237972626452 -102.286690148771</t>
  </si>
  <si>
    <t>-647.299036318531 71.4952208071677 300.78281212698</t>
  </si>
  <si>
    <t>-696.782726699671 96.6884699602683 745.254391254025</t>
  </si>
  <si>
    <t>-552.453159027446 119.812641403675 806.259012284159</t>
  </si>
  <si>
    <t>-578.104889342144 -136.943620280782 305.447629005215</t>
  </si>
  <si>
    <t>-610.031216874756 -144.250325360419 752.104740223842</t>
  </si>
  <si>
    <t>-476.154795895695 -186.018679459743 825.724082525019</t>
  </si>
  <si>
    <t>9763-20170724T104345.553880900.bin</t>
  </si>
  <si>
    <t>-704.204846066242 111.59568780224 -532.182201107783</t>
  </si>
  <si>
    <t>-764.837070961744 117.259619150009 -244.288265656899</t>
  </si>
  <si>
    <t>-529.061905705525 165.397080127269 -256.27682193096</t>
  </si>
  <si>
    <t>-636.446369097791 54.8742701951173 -102.311320004158</t>
  </si>
  <si>
    <t>-647.031163905851 71.4288978673878 300.762547521254</t>
  </si>
  <si>
    <t>-696.807838310626 96.7335484648049 745.202103803831</t>
  </si>
  <si>
    <t>-552.497374467923 120.027832861575 806.187084896384</t>
  </si>
  <si>
    <t>-578.056678417169 -137.044559808111 305.45916049459</t>
  </si>
  <si>
    <t>-610.030165809585 -144.388224038838 752.11226988545</t>
  </si>
  <si>
    <t>-476.082618910485 -185.939827461851 825.724858775442</t>
  </si>
  <si>
    <t>9763-20170724T104345.585967700.bin</t>
  </si>
  <si>
    <t>-704.289748769131 111.747800016319 -532.121124125274</t>
  </si>
  <si>
    <t>-764.787401358389 117.480245352271 -244.200208085711</t>
  </si>
  <si>
    <t>-529.02656017065 165.680906280042 -256.216564365391</t>
  </si>
  <si>
    <t>-636.402334972443 54.9296709439623 -102.314516573128</t>
  </si>
  <si>
    <t>-646.970167157824 71.3978610172981 300.763434173092</t>
  </si>
  <si>
    <t>-696.812517140283 96.7049149660113 745.181806051177</t>
  </si>
  <si>
    <t>-552.470625626305 119.841077280803 806.152623183305</t>
  </si>
  <si>
    <t>-578.084605665885 -137.042172284626 305.455679535465</t>
  </si>
  <si>
    <t>-610.033071032556 -144.484625753907 752.110898982235</t>
  </si>
  <si>
    <t>-476.061350905384 -185.959948720776 825.722392289444</t>
  </si>
  <si>
    <t>9763-20170724T104345.654653300.bin</t>
  </si>
  <si>
    <t>-704.558557583686 112.195775663751 -532.028587860679</t>
  </si>
  <si>
    <t>-765.023600923545 117.925217554192 -244.100918354235</t>
  </si>
  <si>
    <t>-529.277168269864 166.1776338744 -256.192442953166</t>
  </si>
  <si>
    <t>-636.424693461366 55.1278349775 -102.318634024089</t>
  </si>
  <si>
    <t>-646.988785256135 71.4751725454639 300.764335560856</t>
  </si>
  <si>
    <t>-696.810365518394 96.6175027574716 745.174968477474</t>
  </si>
  <si>
    <t>-552.399350884038 119.417659841392 806.1084582292</t>
  </si>
  <si>
    <t>-578.121594516808 -136.748262016767 305.428354225913</t>
  </si>
  <si>
    <t>-610.017172702447 -144.098795399515 752.096808506864</t>
  </si>
  <si>
    <t>-476.280353652888 -186.293818804706 825.726467811893</t>
  </si>
  <si>
    <t>9763-20170724T104345.685739000.bin</t>
  </si>
  <si>
    <t>-704.67590416679 112.35795847851 -531.969921945434</t>
  </si>
  <si>
    <t>-765.191906863961 118.015087224611 -244.051413309772</t>
  </si>
  <si>
    <t>-529.452470950198 166.298775627024 -256.152742613887</t>
  </si>
  <si>
    <t>-636.484939531721 55.2122175234804 -102.329707326664</t>
  </si>
  <si>
    <t>-647.06609291028 71.5258192396907 300.754071093126</t>
  </si>
  <si>
    <t>-696.812551843458 96.6120454664808 745.174880281035</t>
  </si>
  <si>
    <t>-552.395994144257 119.403550496385 806.098639794479</t>
  </si>
  <si>
    <t>-578.139319456538 -136.614593280525 305.41263704638</t>
  </si>
  <si>
    <t>-610.006524909644 -143.949303947794 752.085417979158</t>
  </si>
  <si>
    <t>-476.31249390874 -186.272512071844 825.719417223588</t>
  </si>
  <si>
    <t>9763-20170724T104345.751919600.bin</t>
  </si>
  <si>
    <t>-705.06349977362 112.486781007613 -531.845039490234</t>
  </si>
  <si>
    <t>-765.76368064843 117.763797467628 -243.958099941059</t>
  </si>
  <si>
    <t>-530.036824455057 166.126223952687 -255.992246037605</t>
  </si>
  <si>
    <t>-636.675697018208 55.3185242019974 -102.33302892788</t>
  </si>
  <si>
    <t>-647.174347518604 71.6031932528877 300.754132189736</t>
  </si>
  <si>
    <t>-696.805303678325 96.6246074587664 745.199069667226</t>
  </si>
  <si>
    <t>-552.363563277891 119.223829454831 806.134669062766</t>
  </si>
  <si>
    <t>-578.127203993613 -136.594641301084 305.396637257082</t>
  </si>
  <si>
    <t>-610.007884195392 -144.141855551083 752.071670912649</t>
  </si>
  <si>
    <t>-476.187181557191 -186.07012026125 825.701464806018</t>
  </si>
  <si>
    <t>9763-20170724T104345.789031900.bin</t>
  </si>
  <si>
    <t>-705.346619127695 112.618976631347 -531.790478770659</t>
  </si>
  <si>
    <t>-766.229168376952 117.709086386308 -243.938788491203</t>
  </si>
  <si>
    <t>-530.478767519256 165.977193161347 -255.88861591864</t>
  </si>
  <si>
    <t>-636.831298090366 55.4387250506634 -102.33083166152</t>
  </si>
  <si>
    <t>-647.210744605149 71.6956298409752 300.760539373171</t>
  </si>
  <si>
    <t>-696.814040078566 96.6944365245311 745.210896367554</t>
  </si>
  <si>
    <t>-552.437245331004 119.689617742949 806.152351724291</t>
  </si>
  <si>
    <t>-578.134645553435 -136.489511038837 305.385289416139</t>
  </si>
  <si>
    <t>-610.002218767941 -144.142611132708 752.06279362273</t>
  </si>
  <si>
    <t>-476.244163391735 -186.246765348261 825.705996562238</t>
  </si>
  <si>
    <t>9763-20170724T104345.852203200.bin</t>
  </si>
  <si>
    <t>-705.899207499539 112.858024096263 -531.698076610371</t>
  </si>
  <si>
    <t>-767.450303756162 117.465177134862 -243.980456506625</t>
  </si>
  <si>
    <t>-531.619389093577 165.36596736702 -255.81966538763</t>
  </si>
  <si>
    <t>-637.241751788632 55.6609782480009 -102.330101220332</t>
  </si>
  <si>
    <t>-647.336632136628 71.8390708721251 300.771638610268</t>
  </si>
  <si>
    <t>-696.809987951812 96.7369953513307 745.240574200262</t>
  </si>
  <si>
    <t>-552.42369948504 119.61106243309 806.20525346606</t>
  </si>
  <si>
    <t>-578.200873197738 -136.395573143267 305.363623187168</t>
  </si>
  <si>
    <t>-609.993010365977 -144.275802717309 752.047358003423</t>
  </si>
  <si>
    <t>-476.180475456217 -186.196350981179 825.696328273592</t>
  </si>
  <si>
    <t>9763-20170724T104345.888303800.bin</t>
  </si>
  <si>
    <t>-706.230426192894 113.006991207723 -531.648475848759</t>
  </si>
  <si>
    <t>-768.104062796516 117.278300498751 -243.994836430019</t>
  </si>
  <si>
    <t>-532.247505780924 165.059469509745 -255.807462687447</t>
  </si>
  <si>
    <t>-637.502497609558 55.7712409908986 -102.329974201442</t>
  </si>
  <si>
    <t>-647.456004901308 71.9171411847315 300.776591907503</t>
  </si>
  <si>
    <t>-696.8000657846 96.7351024962109 745.260143414883</t>
  </si>
  <si>
    <t>-552.391039609947 119.422283609127 806.240648220884</t>
  </si>
  <si>
    <t>-578.288341045123 -136.337534454268 305.355671457155</t>
  </si>
  <si>
    <t>-609.995830688857 -144.396891828476 752.042929008968</t>
  </si>
  <si>
    <t>-476.130253723826 -186.15066278424 825.690296614528</t>
  </si>
  <si>
    <t>9763-20170724T104345.953020000.bin</t>
  </si>
  <si>
    <t>-706.824311136683 113.281618511584 -531.54621349817</t>
  </si>
  <si>
    <t>-769.352486845135 116.905844680239 -244.025326299039</t>
  </si>
  <si>
    <t>-533.48531436461 164.687259100251 -255.620480471708</t>
  </si>
  <si>
    <t>-638.011613864769 55.9871972279386 -102.322526903634</t>
  </si>
  <si>
    <t>-647.710410063136 72.0939815928978 300.791855241385</t>
  </si>
  <si>
    <t>-696.803838775495 96.7912440244925 745.299667403079</t>
  </si>
  <si>
    <t>-552.390585530898 119.414204350049 806.29384093712</t>
  </si>
  <si>
    <t>-578.445185425881 -136.027448577823 305.324197539353</t>
  </si>
  <si>
    <t>-609.97068089872 -144.11240422275 752.019664598641</t>
  </si>
  <si>
    <t>-476.240709373512 -186.256362107363 825.691129592813</t>
  </si>
  <si>
    <t>9763-20170724T104345.990120700.bin</t>
  </si>
  <si>
    <t>-707.084166751372 113.424995323963 -531.491150273756</t>
  </si>
  <si>
    <t>-769.940229781918 116.743547052684 -244.038092313739</t>
  </si>
  <si>
    <t>-534.083349983407 164.616868991146 -255.462855065838</t>
  </si>
  <si>
    <t>-638.290303922123 56.052718479295 -102.317931553999</t>
  </si>
  <si>
    <t>-647.817415624104 72.1507930295184 300.800805171028</t>
  </si>
  <si>
    <t>-696.793747497163 96.7775366158153 745.325513640977</t>
  </si>
  <si>
    <t>-552.357344401681 119.218168343535 806.332485255913</t>
  </si>
  <si>
    <t>-578.526632153924 -135.935667932744 305.312340443648</t>
  </si>
  <si>
    <t>-609.968840034012 -144.132953045669 752.01736047663</t>
  </si>
  <si>
    <t>-476.255598120835 -186.325259615494 825.691586883119</t>
  </si>
  <si>
    <t>9763-20170724T104346.053295900.bin</t>
  </si>
  <si>
    <t>-707.699295967943 113.657721173054 -531.419745058051</t>
  </si>
  <si>
    <t>-771.244139802138 116.498515886111 -244.113006212593</t>
  </si>
  <si>
    <t>-535.401258975885 164.535808171168 -255.131120533367</t>
  </si>
  <si>
    <t>-638.889783805309 56.2740751827057 -102.323036662047</t>
  </si>
  <si>
    <t>-648.039695601345 72.3158075295898 300.806681986699</t>
  </si>
  <si>
    <t>-696.803256719772 96.8517195152745 745.369165614075</t>
  </si>
  <si>
    <t>-552.388495843082 119.389379667006 806.391561419168</t>
  </si>
  <si>
    <t>-578.714289396455 -135.713638004458 305.294478242186</t>
  </si>
  <si>
    <t>-609.965534012319 -144.067329275452 752.014108034158</t>
  </si>
  <si>
    <t>-476.323821674652 -186.477593545891 825.692920707339</t>
  </si>
  <si>
    <t>9763-20170724T104346.085884500.bin</t>
  </si>
  <si>
    <t>-708.086353182978 113.712224953809 -531.389590246489</t>
  </si>
  <si>
    <t>-771.928161651378 116.328214347672 -244.146404479716</t>
  </si>
  <si>
    <t>-536.095343299883 164.456907224415 -254.980072215451</t>
  </si>
  <si>
    <t>-639.179177743718 56.3521316547763 -102.313547148894</t>
  </si>
  <si>
    <t>-648.165614071173 72.3607766510588 300.82122476136</t>
  </si>
  <si>
    <t>-696.803798795691 96.8618286256735 745.392022372573</t>
  </si>
  <si>
    <t>-552.374963419178 119.285132190925 806.423170768872</t>
  </si>
  <si>
    <t>-578.812823175016 -135.686636044923 305.282539249637</t>
  </si>
  <si>
    <t>-609.972070721515 -144.187910679215 752.014989204452</t>
  </si>
  <si>
    <t>-476.281964024256 -186.453988222195 825.688879213642</t>
  </si>
  <si>
    <t>9763-20170724T104346.153570400.bin</t>
  </si>
  <si>
    <t>-708.945612096732 113.732343225916 -531.25046024141</t>
  </si>
  <si>
    <t>-773.248883454007 115.91758529408 -244.106725280249</t>
  </si>
  <si>
    <t>-537.447638847323 164.224956477359 -254.832222465916</t>
  </si>
  <si>
    <t>-639.736219275665 56.4389311887624 -102.310252538091</t>
  </si>
  <si>
    <t>-648.427395572341 72.4377254881827 300.831425912952</t>
  </si>
  <si>
    <t>-696.797077205485 96.8529600322743 745.437875394346</t>
  </si>
  <si>
    <t>-552.370012520875 119.254982056022 806.481090221348</t>
  </si>
  <si>
    <t>-579.064575381621 -135.701630200738 305.274230230648</t>
  </si>
  <si>
    <t>-609.974422535491 -144.321776562179 752.022524049013</t>
  </si>
  <si>
    <t>-476.09221181824 -186.015431579682 825.673638836022</t>
  </si>
  <si>
    <t>9763-20170724T104346.186158600.bin</t>
  </si>
  <si>
    <t>-709.456306192272 113.824115645214 -531.165334611338</t>
  </si>
  <si>
    <t>-773.809710337615 115.760667533718 -244.031004353509</t>
  </si>
  <si>
    <t>-538.028777771269 164.157599319517 -254.799275389822</t>
  </si>
  <si>
    <t>-640.051755505413 56.5700824564569 -102.316601626213</t>
  </si>
  <si>
    <t>-648.592160736685 72.5302761713151 300.829731150623</t>
  </si>
  <si>
    <t>-696.812358193587 96.928267458399 745.458754446149</t>
  </si>
  <si>
    <t>-552.43196116278 119.625523870262 806.503219505923</t>
  </si>
  <si>
    <t>-579.173013470193 -135.564031164126 305.265007918597</t>
  </si>
  <si>
    <t>-609.967028278363 -144.209304838619 752.022757793042</t>
  </si>
  <si>
    <t>-476.200240352994 -186.252819093227 825.684737947582</t>
  </si>
  <si>
    <t>9763-20170724T104346.255403100.bin</t>
  </si>
  <si>
    <t>-710.490137691374 113.733635909995 -530.949349760295</t>
  </si>
  <si>
    <t>-774.715681972286 115.306460912869 -243.784216736768</t>
  </si>
  <si>
    <t>-538.961798569962 163.755129924293 -254.905786996282</t>
  </si>
  <si>
    <t>-640.566295123733 56.5607181284972 -102.298210460525</t>
  </si>
  <si>
    <t>-648.805249406862 72.536196611584 300.853832375442</t>
  </si>
  <si>
    <t>-696.814869223753 96.9637788083501 745.509352454677</t>
  </si>
  <si>
    <t>-552.434973443097 119.616545105009 806.571545405218</t>
  </si>
  <si>
    <t>-579.315187418086 -135.55516337344 305.257235777715</t>
  </si>
  <si>
    <t>-609.971887233614 -144.308822786661 752.032038811871</t>
  </si>
  <si>
    <t>-476.061588740463 -185.937344428045 825.669024518879</t>
  </si>
  <si>
    <t>9763-20170724T104346.284515500.bin</t>
  </si>
  <si>
    <t>-711.004867361053 113.780617222079 -530.812406667669</t>
  </si>
  <si>
    <t>-775.133998739527 115.240450117303 -243.625158467711</t>
  </si>
  <si>
    <t>-539.380266535575 163.619879024408 -255.048653320193</t>
  </si>
  <si>
    <t>-640.782130656738 56.5942012823559 -102.282566804933</t>
  </si>
  <si>
    <t>-648.846053687656 72.5511341258421 300.873709418971</t>
  </si>
  <si>
    <t>-696.816635181001 96.9665521414738 745.530980159875</t>
  </si>
  <si>
    <t>-552.444059561953 119.659451039708 806.595553334702</t>
  </si>
  <si>
    <t>-579.328020939806 -135.365628749532 305.247253649247</t>
  </si>
  <si>
    <t>-609.957101961206 -144.063804038746 752.024593825401</t>
  </si>
  <si>
    <t>-476.237463684949 -186.269662288685 825.679403386143</t>
  </si>
  <si>
    <t>9763-20170724T104346.355203700.bin</t>
  </si>
  <si>
    <t>-711.976294417221 113.758009102366 -530.522063336797</t>
  </si>
  <si>
    <t>-775.914525711792 114.890037064131 -243.290597630391</t>
  </si>
  <si>
    <t>-540.149869398459 163.073942153807 -255.300202571605</t>
  </si>
  <si>
    <t>-641.193878743237 56.5181196585211 -102.223192036421</t>
  </si>
  <si>
    <t>-648.925484681202 72.450482320929 300.940643552801</t>
  </si>
  <si>
    <t>-696.799544437956 96.889717625822 745.591829618352</t>
  </si>
  <si>
    <t>-552.389769806467 119.300210970873 806.672680325381</t>
  </si>
  <si>
    <t>-579.304739006887 -135.342420084851 305.237931770725</t>
  </si>
  <si>
    <t>-609.95842420395 -144.24386604511 752.024347036851</t>
  </si>
  <si>
    <t>-476.174662518735 -186.265129526887 825.668203896408</t>
  </si>
  <si>
    <t>9763-20170724T104346.473525100.bin</t>
  </si>
  <si>
    <t>-713.323066866357 113.898550828651 -530.063263123807</t>
  </si>
  <si>
    <t>-777.028748562181 114.489347707575 -242.77869343624</t>
  </si>
  <si>
    <t>-541.204674538694 162.245064999762 -255.319107024818</t>
  </si>
  <si>
    <t>-641.994161178303 56.4773592839795 -102.110722311043</t>
  </si>
  <si>
    <t>-649.180282753144 72.3879786226505 301.064029163862</t>
  </si>
  <si>
    <t>-696.814374870383 96.8969078622681 745.726365395025</t>
  </si>
  <si>
    <t>-552.414996854278 119.35128558693 806.815686930577</t>
  </si>
  <si>
    <t>-579.346555569494 -135.097341217697 305.215143945788</t>
  </si>
  <si>
    <t>-609.929481384581 -143.973768669938 752.002309380527</t>
  </si>
  <si>
    <t>-476.181400545813 -186.095859451536 825.653369960844</t>
  </si>
  <si>
    <t>9763-20170724T104346.484052800.bin</t>
  </si>
  <si>
    <t>-713.462503151333 113.92519942161 -530.024708519592</t>
  </si>
  <si>
    <t>-777.143559682571 114.481722283345 -242.734664439775</t>
  </si>
  <si>
    <t>-541.305332160228 162.16744241375 -255.274963431917</t>
  </si>
  <si>
    <t>-642.136147406355 56.4964244826911 -102.094008267872</t>
  </si>
  <si>
    <t>-649.217004171797 72.384267267571 301.083546805751</t>
  </si>
  <si>
    <t>-696.831185534173 96.9452342108043 745.746490391235</t>
  </si>
  <si>
    <t>-552.443402179599 119.477231439493 806.834734571015</t>
  </si>
  <si>
    <t>-579.34287386269 -135.050284623062 305.212033825107</t>
  </si>
  <si>
    <t>-609.93011640469 -143.977912469836 752.002180730365</t>
  </si>
  <si>
    <t>-476.19855812773 -186.153571571992 825.652558657474</t>
  </si>
  <si>
    <t>9763-20170724T104346.554166900.bin</t>
  </si>
  <si>
    <t>-713.857090592517 113.986343351535 -529.954499444978</t>
  </si>
  <si>
    <t>-777.572683177442 114.470168769404 -242.671859283272</t>
  </si>
  <si>
    <t>-541.677051617723 161.890903062421 -255.138785052032</t>
  </si>
  <si>
    <t>-642.672572955478 56.473754396842 -102.033169208278</t>
  </si>
  <si>
    <t>-649.38601002113 72.3669872347616 301.150353806584</t>
  </si>
  <si>
    <t>-696.833748962435 96.9385505458504 745.833629203443</t>
  </si>
  <si>
    <t>-552.466612933713 119.591698601982 806.925925804419</t>
  </si>
  <si>
    <t>-579.466284090352 -135.003049089536 305.197049058721</t>
  </si>
  <si>
    <t>-609.922353813399 -143.936018917684 751.991020643524</t>
  </si>
  <si>
    <t>-476.057616058096 -185.714082802387 825.626017414543</t>
  </si>
  <si>
    <t>9763-20170724T104346.585248700.bin</t>
  </si>
  <si>
    <t>-714.025226268915 114.01219065377 -529.959518574608</t>
  </si>
  <si>
    <t>-777.802657882482 114.500486251556 -242.690710281536</t>
  </si>
  <si>
    <t>-541.883826877985 161.806866359816 -255.151745261293</t>
  </si>
  <si>
    <t>-642.954212553102 56.4772234938287 -102.011683319483</t>
  </si>
  <si>
    <t>-649.508147801535 72.40305862777 301.173290006581</t>
  </si>
  <si>
    <t>-696.839717125767 96.9549521796671 745.874490215192</t>
  </si>
  <si>
    <t>-552.471631939853 119.588182066906 806.97192668962</t>
  </si>
  <si>
    <t>-579.595314379039 -135.009566431795 305.189437593166</t>
  </si>
  <si>
    <t>-609.916944111509 -144.009704343925 751.978785786437</t>
  </si>
  <si>
    <t>-476.018903691929 -185.65588558093 825.628108323253</t>
  </si>
  <si>
    <t>9763-20170724T104346.653432900.bin</t>
  </si>
  <si>
    <t>-714.535593573736 114.301342872518 -530.063472027641</t>
  </si>
  <si>
    <t>-778.397637554267 115.05453656763 -242.813813104225</t>
  </si>
  <si>
    <t>-542.404604258367 162.035269577439 -255.099781501849</t>
  </si>
  <si>
    <t>-643.642119838959 56.7627197665645 -101.994004821622</t>
  </si>
  <si>
    <t>-649.846252273905 72.5356444463923 301.202516118558</t>
  </si>
  <si>
    <t>-696.828641830194 96.9093856127536 745.950463918637</t>
  </si>
  <si>
    <t>-552.419265801684 119.230357170594 807.065103535078</t>
  </si>
  <si>
    <t>-579.797912300875 -134.682143386709 305.148081784096</t>
  </si>
  <si>
    <t>-609.875381956828 -143.863174202367 751.95507793287</t>
  </si>
  <si>
    <t>-476.080211692649 -185.749390598505 825.655010755744</t>
  </si>
  <si>
    <t>9763-20170724T104346.684518600.bin</t>
  </si>
  <si>
    <t>-714.807570173672 114.37867994529 -530.133074951977</t>
  </si>
  <si>
    <t>-778.702986106693 115.307795544678 -242.891431818112</t>
  </si>
  <si>
    <t>-542.668454693703 162.100427880706 -255.098628172853</t>
  </si>
  <si>
    <t>-643.99182270913 56.8577005862933 -101.987586190739</t>
  </si>
  <si>
    <t>-650.015931379991 72.5791447975273 301.213614426761</t>
  </si>
  <si>
    <t>-696.817579439224 96.8659117831091 745.992978074015</t>
  </si>
  <si>
    <t>-552.368245547798 118.893213177948 807.119931110648</t>
  </si>
  <si>
    <t>-579.869635391769 -134.576947611038 305.118329884043</t>
  </si>
  <si>
    <t>-609.864909720981 -143.879407281233 751.943783626097</t>
  </si>
  <si>
    <t>-476.105485707834 -185.843517925814 825.664398169364</t>
  </si>
  <si>
    <t>9763-20170724T104346.753204200.bin</t>
  </si>
  <si>
    <t>-715.173589193687 114.57032546187 -530.243601735266</t>
  </si>
  <si>
    <t>-779.019106039342 115.955629961486 -242.992723987362</t>
  </si>
  <si>
    <t>-542.901369113563 162.34780493545 -255.118276831703</t>
  </si>
  <si>
    <t>-644.461215098425 57.0408650004783 -101.943277897313</t>
  </si>
  <si>
    <t>-650.281541625562 72.7975095898673 301.259533968877</t>
  </si>
  <si>
    <t>-696.825618387691 96.9298241064114 746.076240459604</t>
  </si>
  <si>
    <t>-552.41988530554 119.193229359027 807.220558265598</t>
  </si>
  <si>
    <t>-579.862926330745 -134.297792674122 305.100039998067</t>
  </si>
  <si>
    <t>-609.847793499695 -143.826754466476 751.930308234015</t>
  </si>
  <si>
    <t>-476.111752479174 -185.829487149557 825.671353494574</t>
  </si>
  <si>
    <t>9763-20170724T104346.785590700.bin</t>
  </si>
  <si>
    <t>-715.252837479675 114.642343375176 -530.279733792194</t>
  </si>
  <si>
    <t>-779.045583293643 116.297557851926 -243.018717557074</t>
  </si>
  <si>
    <t>-542.889219036283 162.499725166818 -255.119355564702</t>
  </si>
  <si>
    <t>-644.635313301303 57.1919572445752 -101.921028531259</t>
  </si>
  <si>
    <t>-650.338256440897 72.8737398996188 301.286412448848</t>
  </si>
  <si>
    <t>-696.831784571474 96.9490322816821 746.116856605069</t>
  </si>
  <si>
    <t>-552.429009747579 119.209758154821 807.269017693554</t>
  </si>
  <si>
    <t>-579.860837953374 -134.235537294987 305.107671911277</t>
  </si>
  <si>
    <t>-609.849718633432 -143.884834291549 751.928593740577</t>
  </si>
  <si>
    <t>-476.023682726076 -185.60865189815 825.664752123985</t>
  </si>
  <si>
    <t>9763-20170724T104346.853272400.bin</t>
  </si>
  <si>
    <t>-715.384829260062 114.99222518292 -530.422583036984</t>
  </si>
  <si>
    <t>-779.211741637695 117.128393312551 -243.172114077582</t>
  </si>
  <si>
    <t>-542.950600957361 162.865627522211 -254.989544676553</t>
  </si>
  <si>
    <t>-644.798099485503 57.6694886079129 -101.900667933137</t>
  </si>
  <si>
    <t>-650.385726297216 73.146136041715 301.316304093178</t>
  </si>
  <si>
    <t>-696.832645483113 96.9755370828245 746.1796669409</t>
  </si>
  <si>
    <t>-552.423061177492 119.136493367211 807.351930952098</t>
  </si>
  <si>
    <t>-579.837728909979 -133.809052600849 305.120278317331</t>
  </si>
  <si>
    <t>-609.826740277825 -143.655182894874 751.915899829045</t>
  </si>
  <si>
    <t>-476.167012312924 -185.850209215081 825.685443309567</t>
  </si>
  <si>
    <t>9763-20170724T104346.884450400.bin</t>
  </si>
  <si>
    <t>-715.456779954311 115.215182166984 -530.483059099256</t>
  </si>
  <si>
    <t>-779.314121403537 117.51890585666 -243.240871063509</t>
  </si>
  <si>
    <t>-543.008708442087 163.068620071808 -254.895824456392</t>
  </si>
  <si>
    <t>-644.775273429359 57.8999150016432 -101.889863205563</t>
  </si>
  <si>
    <t>-650.40633331215 73.3003653860305 301.329386987665</t>
  </si>
  <si>
    <t>-696.835243227203 96.9862684339748 746.206329773586</t>
  </si>
  <si>
    <t>-552.42604723868 119.13007256069 807.385896856681</t>
  </si>
  <si>
    <t>-579.792092133009 -133.62006833772 305.126960244493</t>
  </si>
  <si>
    <t>-609.818614280097 -143.509516482048 751.913258750525</t>
  </si>
  <si>
    <t>-476.240073460922 -185.94572771853 825.691486876644</t>
  </si>
  <si>
    <t>9763-20170724T104346.921550000.bin</t>
  </si>
  <si>
    <t>-715.516051747519 115.299117607314 -530.506373646549</t>
  </si>
  <si>
    <t>-779.381530074365 117.763887119101 -243.267099685126</t>
  </si>
  <si>
    <t>-543.0379885828 163.152661597157 -254.775649265123</t>
  </si>
  <si>
    <t>-644.691256625996 58.0624377618415 -101.867626293855</t>
  </si>
  <si>
    <t>-650.383001964406 73.4057966167006 301.352938869038</t>
  </si>
  <si>
    <t>-696.837399119971 96.9973521865254 746.227890409577</t>
  </si>
  <si>
    <t>-552.435541207991 119.176820803056 807.411846954625</t>
  </si>
  <si>
    <t>-579.763389013716 -133.62608485332 305.137283738806</t>
  </si>
  <si>
    <t>-609.827822014415 -143.656808791852 751.92087983834</t>
  </si>
  <si>
    <t>-476.077812335758 -185.583075987749 825.68011201539</t>
  </si>
  <si>
    <t>9763-20170724T104346.985728800.bin</t>
  </si>
  <si>
    <t>-715.664579346083 115.558354411737 -530.521196556342</t>
  </si>
  <si>
    <t>-779.421219694248 118.227440989508 -243.259679479903</t>
  </si>
  <si>
    <t>-543.012144637141 163.325391084682 -254.564874916823</t>
  </si>
  <si>
    <t>-644.499343413554 58.3800022162618 -101.84561359061</t>
  </si>
  <si>
    <t>-650.24709983426 73.5336769281487 301.381356075212</t>
  </si>
  <si>
    <t>-696.824136615814 96.9106838376158 746.254124072394</t>
  </si>
  <si>
    <t>-552.368755606585 118.726293134121 807.442410738528</t>
  </si>
  <si>
    <t>-579.70927442868 -133.471525489692 305.163081354269</t>
  </si>
  <si>
    <t>-609.835545154486 -143.634790990643 751.935999390586</t>
  </si>
  <si>
    <t>-476.129003678229 -185.707781313578 825.690330616456</t>
  </si>
  <si>
    <t>9763-20170724T104347.055930700.bin</t>
  </si>
  <si>
    <t>-715.707546552596 115.885523918216 -530.466102801243</t>
  </si>
  <si>
    <t>-779.274925583095 118.795847245397 -243.164916751117</t>
  </si>
  <si>
    <t>-542.811206408446 163.584034653529 -254.557806003566</t>
  </si>
  <si>
    <t>-644.203391658624 58.6412882893726 -101.823235477583</t>
  </si>
  <si>
    <t>-650.079411249743 73.6850520335076 301.406011944382</t>
  </si>
  <si>
    <t>-696.861336680639 96.9675934902866 746.275065076652</t>
  </si>
  <si>
    <t>-552.474156749234 119.297419233814 807.43896668495</t>
  </si>
  <si>
    <t>-579.592609964886 -133.354406158154 305.188829127285</t>
  </si>
  <si>
    <t>-609.843684864508 -143.605187494111 751.948917053486</t>
  </si>
  <si>
    <t>-476.151735880431 -185.754416729772 825.686328077789</t>
  </si>
  <si>
    <t>9763-20170724T104347.084004300.bin</t>
  </si>
  <si>
    <t>-715.682685317139 116.062415890726 -530.426204990264</t>
  </si>
  <si>
    <t>-779.145012981825 119.074045196154 -243.102938950131</t>
  </si>
  <si>
    <t>-542.665110771316 163.75728533163 -254.573005074422</t>
  </si>
  <si>
    <t>-644.019348519938 58.7466130756013 -101.801325778451</t>
  </si>
  <si>
    <t>-649.941926416565 73.7307059456984 301.429416848814</t>
  </si>
  <si>
    <t>-696.857190588722 96.9149641888091 746.28336786977</t>
  </si>
  <si>
    <t>-552.483768442128 119.37304106975 807.432752470794</t>
  </si>
  <si>
    <t>-579.487922772535 -133.301857178678 305.211989927208</t>
  </si>
  <si>
    <t>-609.85150656693 -143.605231981355 751.955941958225</t>
  </si>
  <si>
    <t>-476.06968900508 -185.50606285119 825.671945956004</t>
  </si>
  <si>
    <t>9763-20170724T104347.155749600.bin</t>
  </si>
  <si>
    <t>-715.575312752456 116.340830874674 -530.362589614659</t>
  </si>
  <si>
    <t>-778.85920570218 119.460742519673 -243.001040009428</t>
  </si>
  <si>
    <t>-542.354701632321 163.976001534886 -254.615704196115</t>
  </si>
  <si>
    <t>-643.707613572584 58.8655392740354 -101.77034242667</t>
  </si>
  <si>
    <t>-649.673293062592 73.75488083203 301.463303007095</t>
  </si>
  <si>
    <t>-696.868888578064 96.8478192597343 746.290341210404</t>
  </si>
  <si>
    <t>-552.483046698406 119.313651656976 807.407556857916</t>
  </si>
  <si>
    <t>-579.356970654602 -133.182431994916 305.238037431334</t>
  </si>
  <si>
    <t>-609.84961825245 -143.48652905634 751.959491958486</t>
  </si>
  <si>
    <t>-476.109508661929 -185.525518729244 825.672512230575</t>
  </si>
  <si>
    <t>9763-20170724T104347.187835300.bin</t>
  </si>
  <si>
    <t>-715.63034882216 116.375987653628 -530.331101663915</t>
  </si>
  <si>
    <t>-778.844091079409 119.54613707493 -242.954658176652</t>
  </si>
  <si>
    <t>-542.32606783619 163.972454375129 -254.633601319043</t>
  </si>
  <si>
    <t>-643.657681191336 58.8351487069865 -101.766519131281</t>
  </si>
  <si>
    <t>-649.612158758482 73.7355115208991 301.466893460399</t>
  </si>
  <si>
    <t>-696.862372046611 96.7915033316121 746.289754857544</t>
  </si>
  <si>
    <t>-552.483113210668 119.333595158634 807.394338749468</t>
  </si>
  <si>
    <t>-579.381582335769 -133.183081766379 305.247404877399</t>
  </si>
  <si>
    <t>-609.854747392665 -143.56048188568 751.96773068322</t>
  </si>
  <si>
    <t>-476.129395020687 -185.65042740763 825.678413666867</t>
  </si>
  <si>
    <t>9763-20170724T104347.253011300.bin</t>
  </si>
  <si>
    <t>-715.761282333878 116.388837278858 -530.286153884157</t>
  </si>
  <si>
    <t>-778.842126748074 119.515236471748 -242.880175043333</t>
  </si>
  <si>
    <t>-542.306799615754 163.835243838138 -254.611864725602</t>
  </si>
  <si>
    <t>-643.585444446469 58.7950381662249 -101.797693006471</t>
  </si>
  <si>
    <t>-649.478186661058 73.7092828581924 301.436155859455</t>
  </si>
  <si>
    <t>-696.853041838829 96.7486365332923 746.267489979581</t>
  </si>
  <si>
    <t>-552.462910453399 119.20518211621 807.377953671423</t>
  </si>
  <si>
    <t>-579.376093086441 -133.062197421677 305.260267747584</t>
  </si>
  <si>
    <t>-609.843061016518 -143.253382636987 751.971699843195</t>
  </si>
  <si>
    <t>-476.321896441384 -185.963886726899 825.695495635755</t>
  </si>
  <si>
    <t>9763-20170724T104347.286106200.bin</t>
  </si>
  <si>
    <t>-715.836292107317 116.265765985273 -530.262567784421</t>
  </si>
  <si>
    <t>-778.890993239716 119.355930085165 -242.850264455826</t>
  </si>
  <si>
    <t>-542.346878360826 163.62878359273 -254.585630776864</t>
  </si>
  <si>
    <t>-643.536582761614 58.695248246572 -101.81046528077</t>
  </si>
  <si>
    <t>-649.395406615475 73.6330318346122 301.422967749876</t>
  </si>
  <si>
    <t>-696.862445976838 96.7801209042661 746.249746073861</t>
  </si>
  <si>
    <t>-552.460586587772 119.153710201193 807.362859827898</t>
  </si>
  <si>
    <t>-579.3250607995 -133.192694871588 305.264052816316</t>
  </si>
  <si>
    <t>-609.852967314281 -143.45629418691 751.981672941905</t>
  </si>
  <si>
    <t>-476.213695040826 -185.820613984678 825.691287008307</t>
  </si>
  <si>
    <t>9763-20170724T104347.351281500.bin</t>
  </si>
  <si>
    <t>-715.880247887254 115.968459611409 -530.272589854199</t>
  </si>
  <si>
    <t>-778.999572061327 119.017468962728 -242.874129120306</t>
  </si>
  <si>
    <t>-542.42712675241 163.159310845036 -254.528602427528</t>
  </si>
  <si>
    <t>-643.424271022085 58.4089518335397 -101.81558674175</t>
  </si>
  <si>
    <t>-649.295849691036 73.4281096239195 301.414656004237</t>
  </si>
  <si>
    <t>-696.856337504431 96.7368209341982 746.217547309353</t>
  </si>
  <si>
    <t>-552.468742422892 119.194769677236 807.33338025212</t>
  </si>
  <si>
    <t>-579.2990792128 -133.466208193039 305.275931077045</t>
  </si>
  <si>
    <t>-609.862498123072 -143.537454245471 751.993883942025</t>
  </si>
  <si>
    <t>-476.103586193143 -185.557535716632 825.683470379587</t>
  </si>
  <si>
    <t>9763-20170724T104347.382369700.bin</t>
  </si>
  <si>
    <t>-715.857536506747 115.88950768769 -530.311531475569</t>
  </si>
  <si>
    <t>-778.997949549773 118.994222142256 -242.918458794021</t>
  </si>
  <si>
    <t>-542.414389411222 163.089298826481 -254.525261274214</t>
  </si>
  <si>
    <t>-643.371698651629 58.2933512522045 -101.818083848425</t>
  </si>
  <si>
    <t>-649.326605852393 73.3612491162326 301.409054594523</t>
  </si>
  <si>
    <t>-696.847842730245 96.6968957008955 746.204823398071</t>
  </si>
  <si>
    <t>-552.42852293387 118.939039878795 807.324720612344</t>
  </si>
  <si>
    <t>-579.37105966479 -133.490344466763 305.272926414274</t>
  </si>
  <si>
    <t>-609.861896859192 -143.455973910212 752.002427215162</t>
  </si>
  <si>
    <t>-476.223346356196 -185.847569897099 825.697677364312</t>
  </si>
  <si>
    <t>9763-20170724T104347.420471000.bin</t>
  </si>
  <si>
    <t>-715.801818980844 115.847908113611 -530.346184846525</t>
  </si>
  <si>
    <t>-778.956675385916 119.052205221074 -242.957115590141</t>
  </si>
  <si>
    <t>-542.36438144692 163.108202579281 -254.532968310959</t>
  </si>
  <si>
    <t>-643.307996681137 58.2191991036918 -101.815322825482</t>
  </si>
  <si>
    <t>-649.393747779941 73.3240166950588 301.408522009594</t>
  </si>
  <si>
    <t>-696.852525484239 96.6805425453554 746.196955741759</t>
  </si>
  <si>
    <t>-552.455671075112 119.09348409829 807.307401353302</t>
  </si>
  <si>
    <t>-579.423260340781 -133.486826862262 305.276986004852</t>
  </si>
  <si>
    <t>-609.860192825203 -143.283089449335 752.008952576975</t>
  </si>
  <si>
    <t>-476.26902512572 -185.834745534893 825.697835974313</t>
  </si>
  <si>
    <t>9763-20170724T104347.554833300.bin</t>
  </si>
  <si>
    <t>-715.627934409309 115.338531599715 -530.483755204893</t>
  </si>
  <si>
    <t>-778.772334639832 118.855861513671 -243.096095352283</t>
  </si>
  <si>
    <t>-542.185086203907 162.903046308743 -254.80803299114</t>
  </si>
  <si>
    <t>-643.140611182388 57.8203300603034 -101.851326564544</t>
  </si>
  <si>
    <t>-649.547491863536 73.1314761983072 301.359825410099</t>
  </si>
  <si>
    <t>-696.862695775527 96.6134464186998 746.163157638242</t>
  </si>
  <si>
    <t>-552.456603973431 119.039835629558 807.246898962297</t>
  </si>
  <si>
    <t>-579.553915306504 -133.787410476447 305.298297271977</t>
  </si>
  <si>
    <t>-609.879735840933 -143.364663585796 752.04104961345</t>
  </si>
  <si>
    <t>-476.219281222361 -185.753160525284 825.698384378487</t>
  </si>
  <si>
    <t>9763-20170724T104347.586918700.bin</t>
  </si>
  <si>
    <t>-715.381068462458 115.125027540547 -530.544594352567</t>
  </si>
  <si>
    <t>-778.551675557512 118.739273572966 -243.164005036796</t>
  </si>
  <si>
    <t>-541.978187299533 162.852143146979 -254.906511030649</t>
  </si>
  <si>
    <t>-643.067744141565 57.6694886014529 -101.870655690815</t>
  </si>
  <si>
    <t>-649.465371867539 73.0761225335646 301.336925536137</t>
  </si>
  <si>
    <t>-696.871043112056 96.6308461128751 746.139741402838</t>
  </si>
  <si>
    <t>-552.478748609214 119.143979086873 807.224224037389</t>
  </si>
  <si>
    <t>-579.543053800467 -133.834352747955 305.319223599704</t>
  </si>
  <si>
    <t>-609.879157899068 -143.287885010549 752.056894261265</t>
  </si>
  <si>
    <t>-476.244216679555 -185.767660542392 825.707969526593</t>
  </si>
  <si>
    <t>9763-20170724T104347.652593300.bin</t>
  </si>
  <si>
    <t>-714.916442958255 114.710618314435 -530.672527491324</t>
  </si>
  <si>
    <t>-778.187117777552 118.258414832535 -243.313210512184</t>
  </si>
  <si>
    <t>-541.65028406671 162.583547232571 -254.995228038576</t>
  </si>
  <si>
    <t>-642.914043040827 57.4381139086922 -101.895180796722</t>
  </si>
  <si>
    <t>-649.342540814824 72.9148587779102 301.309262829775</t>
  </si>
  <si>
    <t>-696.868240379313 96.5932395770101 746.093475962819</t>
  </si>
  <si>
    <t>-552.474737563036 119.10071378267 807.177229796104</t>
  </si>
  <si>
    <t>-579.503511213531 -134.066219066414 305.3412185203</t>
  </si>
  <si>
    <t>-609.886685957988 -143.41495547276 752.073447309589</t>
  </si>
  <si>
    <t>-476.117171059511 -185.509320787128 825.701549570684</t>
  </si>
  <si>
    <t>9763-20170724T104347.686725600.bin</t>
  </si>
  <si>
    <t>-714.651284212287 114.554349434456 -530.731248912397</t>
  </si>
  <si>
    <t>-778.03949176726 118.036174147991 -243.396882001598</t>
  </si>
  <si>
    <t>-541.517314731322 162.452869250743 -255.027840374423</t>
  </si>
  <si>
    <t>-642.784522955898 57.3071614535336 -101.907200562583</t>
  </si>
  <si>
    <t>-649.306296488867 72.8705279564847 301.292461938736</t>
  </si>
  <si>
    <t>-696.864758301679 96.5738753623812 746.069001329377</t>
  </si>
  <si>
    <t>-552.450701025124 118.937571241689 807.157043604329</t>
  </si>
  <si>
    <t>-579.474864947772 -134.137231914508 305.353008523984</t>
  </si>
  <si>
    <t>-609.890532044074 -143.486101761087 752.080106513462</t>
  </si>
  <si>
    <t>-476.16520373018 -185.716864946871 825.710293369693</t>
  </si>
  <si>
    <t>9763-20170724T104347.753921100.bin</t>
  </si>
  <si>
    <t>-714.205782558989 114.183038193046 -530.82523302765</t>
  </si>
  <si>
    <t>-777.668465424865 117.642760764136 -243.507151007025</t>
  </si>
  <si>
    <t>-541.206552770866 162.400412118187 -255.057456283522</t>
  </si>
  <si>
    <t>-642.556061686636 57.1175523104146 -101.939572813372</t>
  </si>
  <si>
    <t>-649.235423003254 72.7534570743937 301.254661789868</t>
  </si>
  <si>
    <t>-696.865727658224 96.5795803795827 746.018152566463</t>
  </si>
  <si>
    <t>-552.503209413676 119.279795390669 807.104014909041</t>
  </si>
  <si>
    <t>-579.45864665593 -134.325650273653 305.361317865218</t>
  </si>
  <si>
    <t>-609.888314227743 -143.492516812848 752.091372835399</t>
  </si>
  <si>
    <t>-476.080532006812 -185.482699111441 825.709208729375</t>
  </si>
  <si>
    <t>9763-20170724T104347.785505000.bin</t>
  </si>
  <si>
    <t>-713.995855443514 113.998502249909 -530.873637044197</t>
  </si>
  <si>
    <t>-777.47365301355 117.437059034714 -243.558542153021</t>
  </si>
  <si>
    <t>-541.036372518351 162.327353282361 -255.097540536799</t>
  </si>
  <si>
    <t>-642.443891334186 57.0231642248418 -101.952856402796</t>
  </si>
  <si>
    <t>-649.159146371445 72.6816840623244 301.239881071321</t>
  </si>
  <si>
    <t>-696.87531008516 96.604021394739 745.992133425526</t>
  </si>
  <si>
    <t>-552.518913852222 119.337498923433 807.080037933383</t>
  </si>
  <si>
    <t>-579.417644397192 -134.357264685336 305.358396570759</t>
  </si>
  <si>
    <t>-609.88506286254 -143.414462070183 752.091904267789</t>
  </si>
  <si>
    <t>-476.145785410297 -185.614539292718 825.714228175658</t>
  </si>
  <si>
    <t>9763-20170724T104347.854202900.bin</t>
  </si>
  <si>
    <t>-713.538292764468 113.594398877391 -530.907495486575</t>
  </si>
  <si>
    <t>-777.031536006011 117.081261029854 -243.596461198428</t>
  </si>
  <si>
    <t>-540.635505288535 162.161449517969 -255.239942130982</t>
  </si>
  <si>
    <t>-642.142562837418 56.6886145899766 -101.968902762439</t>
  </si>
  <si>
    <t>-648.985637041565 72.4805010055265 301.216492576643</t>
  </si>
  <si>
    <t>-696.879778049808 96.5912883955536 745.93882540532</t>
  </si>
  <si>
    <t>-552.523296367067 119.33903536043 807.021132425406</t>
  </si>
  <si>
    <t>-579.280228827778 -134.614810243922 305.36177599352</t>
  </si>
  <si>
    <t>-609.891308892925 -143.538179370691 752.099449617789</t>
  </si>
  <si>
    <t>-476.051265752713 -185.4454029046 825.706038526934</t>
  </si>
  <si>
    <t>9763-20170724T104347.888293600.bin</t>
  </si>
  <si>
    <t>-713.278911253449 113.455420467497 -530.904369106527</t>
  </si>
  <si>
    <t>-776.743409295607 116.958266987345 -243.58715422875</t>
  </si>
  <si>
    <t>-540.356397165566 162.082130936373 -255.244093084424</t>
  </si>
  <si>
    <t>-641.987206912742 56.5875318569804 -101.978400323037</t>
  </si>
  <si>
    <t>-648.863904148477 72.3790533869426 301.206407168992</t>
  </si>
  <si>
    <t>-696.876991620626 96.5600966985485 745.909723113894</t>
  </si>
  <si>
    <t>-552.504364650068 119.206165562969 806.991659176786</t>
  </si>
  <si>
    <t>-579.242333615848 -134.675290212799 305.371886054835</t>
  </si>
  <si>
    <t>-609.887000839408 -143.427299584434 752.099654428711</t>
  </si>
  <si>
    <t>-476.081636719709 -185.444087360956 825.706697286862</t>
  </si>
  <si>
    <t>9763-20170724T104347.953968900.bin</t>
  </si>
  <si>
    <t>-712.888026561255 113.312157235211 -530.925648700619</t>
  </si>
  <si>
    <t>-776.222041018778 116.728196785278 -243.578496085975</t>
  </si>
  <si>
    <t>-539.831174986052 161.82031185052 -255.281101205479</t>
  </si>
  <si>
    <t>-641.653352169484 56.4133112819402 -101.995709600661</t>
  </si>
  <si>
    <t>-648.676871630449 72.2006722443089 301.186754560739</t>
  </si>
  <si>
    <t>-696.872290330271 96.5031146782605 745.856846551586</t>
  </si>
  <si>
    <t>-552.487981769967 119.084509871162 806.935054556988</t>
  </si>
  <si>
    <t>-579.164559000251 -134.878272768845 305.38090472344</t>
  </si>
  <si>
    <t>-609.89489683089 -143.559536995514 752.112001402672</t>
  </si>
  <si>
    <t>-476.081050485421 -185.566218013588 825.709538009087</t>
  </si>
  <si>
    <t>9763-20170724T104347.983546800.bin</t>
  </si>
  <si>
    <t>-712.651962520052 113.205476059588 -530.947420953557</t>
  </si>
  <si>
    <t>-775.890444786261 116.663602784164 -243.579831136097</t>
  </si>
  <si>
    <t>-539.482994781598 161.649145795819 -255.355922037887</t>
  </si>
  <si>
    <t>-641.453069171257 56.3483834157296 -102.010591992513</t>
  </si>
  <si>
    <t>-648.589151053084 72.1436474496732 301.169564480176</t>
  </si>
  <si>
    <t>-696.868641965894 96.4775499496161 745.833617106335</t>
  </si>
  <si>
    <t>-552.48196659009 119.057073278906 806.90712040357</t>
  </si>
  <si>
    <t>-579.088351604971 -134.89033198598 305.385256203945</t>
  </si>
  <si>
    <t>-609.889258724382 -143.4313124821 752.110850501771</t>
  </si>
  <si>
    <t>-476.036267087085 -185.323897350507 825.702032765858</t>
  </si>
  <si>
    <t>9763-20170724T104348.022318900.bin</t>
  </si>
  <si>
    <t>-712.399689604331 113.171192592544 -530.97763603056</t>
  </si>
  <si>
    <t>-775.548747524491 116.641698276527 -243.590503061312</t>
  </si>
  <si>
    <t>-539.128936919847 161.537862384558 -255.458923429197</t>
  </si>
  <si>
    <t>-641.266860059723 56.3458779787804 -102.020763962667</t>
  </si>
  <si>
    <t>-648.516084986769 72.1339261602056 301.157657467811</t>
  </si>
  <si>
    <t>-696.873068886388 96.4749502424954 745.809437208325</t>
  </si>
  <si>
    <t>-552.490004813582 119.09189823456 806.877493009058</t>
  </si>
  <si>
    <t>-579.016429555564 -134.847324806479 305.388290951623</t>
  </si>
  <si>
    <t>-609.878942131759 -143.27862031565 752.107533730226</t>
  </si>
  <si>
    <t>-476.129245227222 -185.481480285222 825.709418780094</t>
  </si>
  <si>
    <t>9763-20170724T104348.087493100.bin</t>
  </si>
  <si>
    <t>-711.77783232885 113.026366788774 -531.064862102918</t>
  </si>
  <si>
    <t>-774.799969484416 116.657342645783 -243.651870766466</t>
  </si>
  <si>
    <t>-538.372452415516 161.459398493531 -255.721939018945</t>
  </si>
  <si>
    <t>-640.894896437167 56.307236544036 -102.033489967569</t>
  </si>
  <si>
    <t>-648.38455479602 72.1366228018064 301.138944812572</t>
  </si>
  <si>
    <t>-696.890973599316 96.5066164231882 745.76825984159</t>
  </si>
  <si>
    <t>-552.541506854097 119.3726329172 806.822892895812</t>
  </si>
  <si>
    <t>-578.866732162619 -134.948922446905 305.402767919595</t>
  </si>
  <si>
    <t>-609.880114298696 -143.381113437044 752.10318117279</t>
  </si>
  <si>
    <t>-476.068175255174 -185.392690104498 825.701318209162</t>
  </si>
  <si>
    <t>9763-20170724T104348.152256900.bin</t>
  </si>
  <si>
    <t>-711.178123249228 112.965856296271 -531.14237628093</t>
  </si>
  <si>
    <t>-774.206883871409 116.723279292403 -243.732606901353</t>
  </si>
  <si>
    <t>-537.772396909669 161.455640082077 -255.922543179813</t>
  </si>
  <si>
    <t>-640.578060494425 56.2782677015095 -102.066762774905</t>
  </si>
  <si>
    <t>-648.256107780399 72.1105853620306 301.101981092667</t>
  </si>
  <si>
    <t>-696.89731053788 96.4900929052117 745.723127801453</t>
  </si>
  <si>
    <t>-552.567797655789 119.520986908379 806.763005312709</t>
  </si>
  <si>
    <t>-578.699500228095 -135.00687485838 305.417460518805</t>
  </si>
  <si>
    <t>-609.882797030825 -143.435409138107 752.10570002243</t>
  </si>
  <si>
    <t>-476.04916678832 -185.379324998314 825.702952720297</t>
  </si>
  <si>
    <t>9763-20170724T104348.187351500.bin</t>
  </si>
  <si>
    <t>-710.899630445696 113.072542719314 -531.161554105945</t>
  </si>
  <si>
    <t>-773.932086385638 116.836000146239 -243.75253600353</t>
  </si>
  <si>
    <t>-537.497527517727 161.564196328288 -255.957523591015</t>
  </si>
  <si>
    <t>-640.438192343581 56.2909375776951 -102.076052483356</t>
  </si>
  <si>
    <t>-648.193509721608 72.1461326604815 301.090373292147</t>
  </si>
  <si>
    <t>-696.890671950193 96.4597090759787 745.709632553726</t>
  </si>
  <si>
    <t>-552.5156399663 119.210987572422 806.746857225279</t>
  </si>
  <si>
    <t>-578.644031127654 -134.86927952087 305.410636020545</t>
  </si>
  <si>
    <t>-609.865156189524 -143.112015499501 752.094210689474</t>
  </si>
  <si>
    <t>-476.254575478367 -185.721565742736 825.714514173482</t>
  </si>
  <si>
    <t>9763-20170724T104348.222035600.bin</t>
  </si>
  <si>
    <t>-710.689867449302 113.105921513943 -531.16969859518</t>
  </si>
  <si>
    <t>-773.740365962924 116.807961460249 -243.763804494086</t>
  </si>
  <si>
    <t>-537.314663295763 161.590149738263 -255.940843755515</t>
  </si>
  <si>
    <t>-640.342077460936 56.3010710099816 -102.082651793508</t>
  </si>
  <si>
    <t>-648.174064948565 72.145089127778 301.082693901862</t>
  </si>
  <si>
    <t>-696.882565266957 96.4293763893895 745.694397131338</t>
  </si>
  <si>
    <t>-552.514771745501 119.234813460239 806.728433522907</t>
  </si>
  <si>
    <t>-578.619737697069 -134.923496161362 305.407139808035</t>
  </si>
  <si>
    <t>-609.869506016494 -143.208523128192 752.08997577472</t>
  </si>
  <si>
    <t>-476.165691617469 -185.537574728074 825.702764473927</t>
  </si>
  <si>
    <t>9763-20170724T104348.285202800.bin</t>
  </si>
  <si>
    <t>-710.436808047983 113.186533725005 -531.132247482314</t>
  </si>
  <si>
    <t>-773.608320364613 116.590306963928 -243.749176415936</t>
  </si>
  <si>
    <t>-537.214696561506 161.557334202724 -255.869860502579</t>
  </si>
  <si>
    <t>-640.218774697022 56.2979332369709 -102.086883697837</t>
  </si>
  <si>
    <t>-648.177585862739 72.1288797381164 301.076553765148</t>
  </si>
  <si>
    <t>-696.881874288139 96.4399525048964 745.678330522032</t>
  </si>
  <si>
    <t>-552.504691845472 119.174242890133 806.7166736734</t>
  </si>
  <si>
    <t>-578.582448760609 -135.11015838121 305.40373480374</t>
  </si>
  <si>
    <t>-609.884305581749 -143.484664499288 752.093354876761</t>
  </si>
  <si>
    <t>-475.963747292543 -185.170286794232 825.679302042277</t>
  </si>
  <si>
    <t>9763-20170724T104348.353391900.bin</t>
  </si>
  <si>
    <t>-710.078784723628 113.360475738123 -531.093778129565</t>
  </si>
  <si>
    <t>-773.507422137042 116.5518797396 -243.764959521987</t>
  </si>
  <si>
    <t>-537.126101698295 161.634326490605 -255.694740750155</t>
  </si>
  <si>
    <t>-640.083213378626 56.3205127554943 -102.093821207946</t>
  </si>
  <si>
    <t>-648.076690753161 72.1511101311328 301.068881202709</t>
  </si>
  <si>
    <t>-696.883913585091 96.4772819165546 745.665379279416</t>
  </si>
  <si>
    <t>-552.541240869599 119.414484127787 806.709447618682</t>
  </si>
  <si>
    <t>-578.457929211121 -135.008998454973 305.388178292011</t>
  </si>
  <si>
    <t>-609.87351295346 -143.379452807586 752.079329002113</t>
  </si>
  <si>
    <t>-476.077686731143 -185.43365423134 825.682477333673</t>
  </si>
  <si>
    <t>9763-20170724T104348.386479400.bin</t>
  </si>
  <si>
    <t>-709.881027080404 113.507105911138 -531.060649164352</t>
  </si>
  <si>
    <t>-773.443703959793 116.610279558341 -243.760547705063</t>
  </si>
  <si>
    <t>-537.073257041594 161.770006955065 -255.61180691748</t>
  </si>
  <si>
    <t>-640.04466073597 56.3326410794518 -102.08801136133</t>
  </si>
  <si>
    <t>-648.005922880336 72.1735126832489 301.074902907788</t>
  </si>
  <si>
    <t>-696.890213493031 96.5128723767518 745.662714583012</t>
  </si>
  <si>
    <t>-552.56518587713 119.558028901729 806.707936974719</t>
  </si>
  <si>
    <t>-578.406897938415 -134.986095663441 305.384858575852</t>
  </si>
  <si>
    <t>-609.871266608817 -143.352387162838 752.074244709672</t>
  </si>
  <si>
    <t>-476.11837937727 -185.532656402227 825.683244386421</t>
  </si>
  <si>
    <t>9763-20170724T104348.451209000.bin</t>
  </si>
  <si>
    <t>-709.648456688101 113.685201749359 -531.008245267585</t>
  </si>
  <si>
    <t>-773.322508542045 116.506321951029 -243.7298667317</t>
  </si>
  <si>
    <t>-536.991058642969 161.898943275937 -255.469132283062</t>
  </si>
  <si>
    <t>-640.023182063457 56.3065364767876 -102.075662130224</t>
  </si>
  <si>
    <t>-648.017093173926 72.1367761484009 301.087064168584</t>
  </si>
  <si>
    <t>-696.873887107997 96.4703493714876 745.664243627867</t>
  </si>
  <si>
    <t>-552.49020912497 119.104672780753 806.724326299933</t>
  </si>
  <si>
    <t>-578.436505399119 -135.048557593737 305.372878409601</t>
  </si>
  <si>
    <t>-609.867018585945 -143.349901651312 752.059625855965</t>
  </si>
  <si>
    <t>-476.018241990637 -185.233722404399 825.663560928958</t>
  </si>
  <si>
    <t>9763-20170724T104348.492826300.bin</t>
  </si>
  <si>
    <t>-709.575380285416 113.811477025966 -530.963909302476</t>
  </si>
  <si>
    <t>-773.312175730789 116.558084750936 -243.698624698178</t>
  </si>
  <si>
    <t>-536.989420163951 161.994400056932 -255.44549525943</t>
  </si>
  <si>
    <t>-640.022360731048 56.2975640763632 -102.062703862408</t>
  </si>
  <si>
    <t>-648.054756570154 72.1594907394315 301.097966743925</t>
  </si>
  <si>
    <t>-696.863178708484 96.4502088995166 745.672646533051</t>
  </si>
  <si>
    <t>-552.474561493415 119.035259555295 806.739104898467</t>
  </si>
  <si>
    <t>-578.467401290524 -135.017974029204 305.366552503179</t>
  </si>
  <si>
    <t>-609.864203015869 -143.294757789747 752.056936569041</t>
  </si>
  <si>
    <t>-476.054061875538 -185.295931236799 825.664366775502</t>
  </si>
  <si>
    <t>9763-20170724T104348.522407700.bin</t>
  </si>
  <si>
    <t>-709.497415599186 113.915582590939 -530.928244340285</t>
  </si>
  <si>
    <t>-773.245855893526 116.636211988569 -243.665339720235</t>
  </si>
  <si>
    <t>-536.932417347495 162.120176276587 -255.413536663131</t>
  </si>
  <si>
    <t>-640.021160391159 56.309481368542 -102.054117508062</t>
  </si>
  <si>
    <t>-648.10983717278 72.1958533550808 301.104440766621</t>
  </si>
  <si>
    <t>-696.861478319487 96.459552512724 745.681247698336</t>
  </si>
  <si>
    <t>-552.484892619693 119.115360029027 806.750244031942</t>
  </si>
  <si>
    <t>-578.492391063268 -135.001448685559 305.364089939873</t>
  </si>
  <si>
    <t>-609.862749019433 -143.26967970522 752.054799741179</t>
  </si>
  <si>
    <t>-476.062840941178 -185.298872282457 825.664749153399</t>
  </si>
  <si>
    <t>9763-20170724T104348.590589800.bin</t>
  </si>
  <si>
    <t>-709.427988835133 114.147874609313 -530.822956928913</t>
  </si>
  <si>
    <t>-773.11756134866 116.720353277909 -243.545785768279</t>
  </si>
  <si>
    <t>-536.82181349474 162.272182914973 -255.386657166692</t>
  </si>
  <si>
    <t>-640.02862853053 56.3738249414939 -102.036061607689</t>
  </si>
  <si>
    <t>-648.132969675929 72.2524300409775 301.122561629183</t>
  </si>
  <si>
    <t>-696.866391732472 96.4862807765846 745.706104207092</t>
  </si>
  <si>
    <t>-552.490083392574 119.152513555348 806.771785927056</t>
  </si>
  <si>
    <t>-578.469626321732 -134.96863366016 305.35027528027</t>
  </si>
  <si>
    <t>-609.86092082022 -143.318131459359 752.050199068117</t>
  </si>
  <si>
    <t>-476.112480055688 -185.498977685673 825.666979705358</t>
  </si>
  <si>
    <t>9763-20170724T104348.649754000.bin</t>
  </si>
  <si>
    <t>-709.439061035499 114.271992357428 -530.654424223265</t>
  </si>
  <si>
    <t>-773.019740795453 116.644384198414 -243.3513707091</t>
  </si>
  <si>
    <t>-536.744925554646 162.267769856455 -255.334987654888</t>
  </si>
  <si>
    <t>-639.96736389648 56.333144573292 -102.000677081808</t>
  </si>
  <si>
    <t>-648.036847060911 72.2094083130219 301.158679096504</t>
  </si>
  <si>
    <t>-696.866103681518 96.5066144479147 745.733080876523</t>
  </si>
  <si>
    <t>-552.4893413929 119.164099843402 806.800934266674</t>
  </si>
  <si>
    <t>-578.409105412948 -135.006231951656 305.357020162269</t>
  </si>
  <si>
    <t>-609.866187986578 -143.418295864443 752.048002194389</t>
  </si>
  <si>
    <t>-476.017672883238 -185.295221731134 825.656398060238</t>
  </si>
  <si>
    <t>9763-20170724T104348.689871000.bin</t>
  </si>
  <si>
    <t>-709.487720018076 114.475103726586 -530.587916912812</t>
  </si>
  <si>
    <t>-773.028367113899 116.718636592655 -243.275052550721</t>
  </si>
  <si>
    <t>-536.761351947776 162.373860682751 -255.290330384487</t>
  </si>
  <si>
    <t>-639.970265740763 56.4438106362836 -101.982689761737</t>
  </si>
  <si>
    <t>-647.994960411456 72.248376849052 301.180456034617</t>
  </si>
  <si>
    <t>-696.872786053419 96.5504330430342 745.746562771112</t>
  </si>
  <si>
    <t>-552.525449135326 119.390724281433 806.815991090093</t>
  </si>
  <si>
    <t>-578.382775341513 -134.92277966215 305.348870170461</t>
  </si>
  <si>
    <t>-609.860166841203 -143.340391932091 752.042140559397</t>
  </si>
  <si>
    <t>-476.094469044863 -185.461590024975 825.66152211634</t>
  </si>
  <si>
    <t>9763-20170724T104348.755041300.bin</t>
  </si>
  <si>
    <t>-709.607092898893 114.753414073282 -530.473001623287</t>
  </si>
  <si>
    <t>-773.169716720837 116.844238546145 -243.163705347469</t>
  </si>
  <si>
    <t>-536.904897182417 162.511689926359 -255.175172977452</t>
  </si>
  <si>
    <t>-639.998168470352 56.5291204212213 -101.947326295372</t>
  </si>
  <si>
    <t>-647.949712602327 72.3125952897203 301.218115757193</t>
  </si>
  <si>
    <t>-696.856480707691 96.5308632036176 745.777023690935</t>
  </si>
  <si>
    <t>-552.488944279598 119.202978181147 806.861340589761</t>
  </si>
  <si>
    <t>-578.327002743099 -134.826457680179 305.335223046759</t>
  </si>
  <si>
    <t>-609.845889805556 -143.299536672164 752.030946187816</t>
  </si>
  <si>
    <t>-476.043806320802 -185.297892410836 825.654657893742</t>
  </si>
  <si>
    <t>9763-20170724T104348.787126700.bin</t>
  </si>
  <si>
    <t>-709.679772465829 114.853853274853 -530.417932440075</t>
  </si>
  <si>
    <t>-773.247118069359 116.91055156681 -243.109348614331</t>
  </si>
  <si>
    <t>-536.98272086266 162.580061640529 -255.121829193521</t>
  </si>
  <si>
    <t>-640.037069670567 56.6138524776829 -101.938322085355</t>
  </si>
  <si>
    <t>-647.929751997724 72.3401346589962 301.230491367773</t>
  </si>
  <si>
    <t>-696.86258663064 96.5556418048857 745.791423703232</t>
  </si>
  <si>
    <t>-552.489346219521 119.182302429154 806.879104100414</t>
  </si>
  <si>
    <t>-578.321845238962 -134.823572171406 305.339676363758</t>
  </si>
  <si>
    <t>-609.844241223783 -143.38587158782 752.030170768819</t>
  </si>
  <si>
    <t>-476.014761517669 -185.294326665013 825.655293211934</t>
  </si>
  <si>
    <t>9763-20170724T104348.849893600.bin</t>
  </si>
  <si>
    <t>-709.830579464539 115.116807758493 -530.359213401045</t>
  </si>
  <si>
    <t>-773.291133459379 117.138527777718 -243.026749568246</t>
  </si>
  <si>
    <t>-537.035981229809 162.836370791126 -255.114373643878</t>
  </si>
  <si>
    <t>-640.068031489734 56.8470709874696 -101.919474798662</t>
  </si>
  <si>
    <t>-647.939528986168 72.4879271071709 301.253066375258</t>
  </si>
  <si>
    <t>-696.878347361686 96.6137660251995 745.81342626744</t>
  </si>
  <si>
    <t>-552.524683556855 119.371652567437 806.898621568953</t>
  </si>
  <si>
    <t>-578.266439919678 -134.614359443377 305.334771190371</t>
  </si>
  <si>
    <t>-609.826598877611 -143.237449801486 752.02028775584</t>
  </si>
  <si>
    <t>-476.088549420996 -185.407025755143 825.662381040995</t>
  </si>
  <si>
    <t>9763-20170724T104348.907557800.bin</t>
  </si>
  <si>
    <t>-709.918557041038 115.226507254438 -530.345621688031</t>
  </si>
  <si>
    <t>-773.264320024893 117.311802280107 -242.988420016578</t>
  </si>
  <si>
    <t>-537.003037012037 162.947870311932 -255.187523463043</t>
  </si>
  <si>
    <t>-640.082603841102 56.9922144288637 -101.90870240536</t>
  </si>
  <si>
    <t>-647.92149042127 72.5475574092411 301.267719174569</t>
  </si>
  <si>
    <t>-696.884731856681 96.6254211059963 745.825399675436</t>
  </si>
  <si>
    <t>-552.508963333419 119.241838279271 806.910704631229</t>
  </si>
  <si>
    <t>-578.215243218012 -134.543539088208 305.335712981801</t>
  </si>
  <si>
    <t>-609.817742682375 -143.226052749852 752.013812466639</t>
  </si>
  <si>
    <t>-476.00083071555 -185.146389985911 825.654967317606</t>
  </si>
  <si>
    <t>9763-20170724T104348.919754100.bin</t>
  </si>
  <si>
    <t>-709.928604354519 115.213665143256 -530.339214591239</t>
  </si>
  <si>
    <t>-773.231200069063 117.325138868958 -242.972553160952</t>
  </si>
  <si>
    <t>-536.966326918122 162.933937445108 -255.204471804537</t>
  </si>
  <si>
    <t>-640.072642143618 56.9961841022241 -101.903710338685</t>
  </si>
  <si>
    <t>-647.917002419257 72.5295418789035 301.273439213081</t>
  </si>
  <si>
    <t>-696.878922768697 96.5957497491577 745.829968285696</t>
  </si>
  <si>
    <t>-552.493301467301 119.14316150918 806.917648257119</t>
  </si>
  <si>
    <t>-578.195929320067 -134.610271041377 305.338377716804</t>
  </si>
  <si>
    <t>-609.823211120827 -143.420538543577 752.014856850465</t>
  </si>
  <si>
    <t>-475.957928829507 -185.19014831249 825.653778551663</t>
  </si>
  <si>
    <t>9763-20170724T104348.984921000.bin</t>
  </si>
  <si>
    <t>-710.014227676835 115.460363277588 -530.315365291031</t>
  </si>
  <si>
    <t>-773.155724821643 117.633459817664 -242.913807074433</t>
  </si>
  <si>
    <t>-536.882540217455 163.156706877879 -255.302763146109</t>
  </si>
  <si>
    <t>-640.070255197339 57.2289299788777 -101.8935309438</t>
  </si>
  <si>
    <t>-647.943609233962 72.6736249235125 301.286551814961</t>
  </si>
  <si>
    <t>-696.884501696408 96.612521703787 745.851784577055</t>
  </si>
  <si>
    <t>-552.489044694488 119.089832325919 806.941964273011</t>
  </si>
  <si>
    <t>-578.150040477279 -134.351589109338 305.321784387682</t>
  </si>
  <si>
    <t>-609.796635319938 -143.224533745749 751.992664132564</t>
  </si>
  <si>
    <t>-476.093862845126 -185.45736235143 825.66253935758</t>
  </si>
  <si>
    <t>9763-20170724T104349.055114000.bin</t>
  </si>
  <si>
    <t>-710.019590274937 115.777454205112 -530.28357646476</t>
  </si>
  <si>
    <t>-773.039031168545 118.087293634802 -242.856265935556</t>
  </si>
  <si>
    <t>-536.746707277583 163.480771315464 -255.355496034107</t>
  </si>
  <si>
    <t>-640.073652765632 57.4761583536738 -101.894560368262</t>
  </si>
  <si>
    <t>-647.991973837209 72.8246675950331 301.288281034489</t>
  </si>
  <si>
    <t>-696.905150146822 96.6684798221211 745.871437368967</t>
  </si>
  <si>
    <t>-552.536142535449 119.332130998272 806.955378756664</t>
  </si>
  <si>
    <t>-578.135838602049 -134.1820389923 305.311773075388</t>
  </si>
  <si>
    <t>-609.779267326741 -143.118259646812 751.984499256927</t>
  </si>
  <si>
    <t>-476.148373200371 -185.550498241643 825.670243809069</t>
  </si>
  <si>
    <t>9763-20170724T104349.087212100.bin</t>
  </si>
  <si>
    <t>-710.092957488884 115.979213141443 -530.265045235148</t>
  </si>
  <si>
    <t>-773.052100286446 118.332824246864 -242.825026683474</t>
  </si>
  <si>
    <t>-536.754824228745 163.684055209171 -255.383511617574</t>
  </si>
  <si>
    <t>-640.066914915996 57.5864856752416 -101.892662983076</t>
  </si>
  <si>
    <t>-648.014189384634 72.8991597652239 301.290965307862</t>
  </si>
  <si>
    <t>-696.902108168345 96.6558585095922 745.881772588662</t>
  </si>
  <si>
    <t>-552.496667839522 119.086051217382 806.965726368984</t>
  </si>
  <si>
    <t>-578.135546079233 -134.019325437789 305.306141211284</t>
  </si>
  <si>
    <t>-609.762849981435 -142.898106546795 751.972907928832</t>
  </si>
  <si>
    <t>-476.207031699024 -185.544123849334 825.671406691594</t>
  </si>
  <si>
    <t>9763-20170724T104349.152379600.bin</t>
  </si>
  <si>
    <t>-710.422010118516 116.20655520533 -530.219999271079</t>
  </si>
  <si>
    <t>-773.221007321834 118.661847934748 -242.745784195406</t>
  </si>
  <si>
    <t>-536.893964945067 163.830893914741 -255.402638606385</t>
  </si>
  <si>
    <t>-640.070316063781 57.7490112505891 -101.886615072665</t>
  </si>
  <si>
    <t>-648.005883910956 72.9661793073021 301.300829480918</t>
  </si>
  <si>
    <t>-696.89623390127 96.6339397572344 745.903339025016</t>
  </si>
  <si>
    <t>-552.481006973905 119.003959181823 806.986293084171</t>
  </si>
  <si>
    <t>-578.145195543348 -133.957124162504 305.302882837371</t>
  </si>
  <si>
    <t>-609.761203482389 -142.977277838 751.968017360351</t>
  </si>
  <si>
    <t>-476.107120266311 -185.331285051226 825.656681251633</t>
  </si>
  <si>
    <t>9763-20170724T104349.185467100.bin</t>
  </si>
  <si>
    <t>-710.626514576315 116.413139080445 -530.203967894484</t>
  </si>
  <si>
    <t>-773.356392852235 118.941639147785 -242.715261440884</t>
  </si>
  <si>
    <t>-537.001248915699 163.951181085126 -255.414655335448</t>
  </si>
  <si>
    <t>-640.115977945199 57.8660560854003 -101.884700145924</t>
  </si>
  <si>
    <t>-648.002665008805 73.0218184105634 301.306017604348</t>
  </si>
  <si>
    <t>-696.900105347161 96.6549477154174 745.910269412878</t>
  </si>
  <si>
    <t>-552.497992946849 119.112384868564 806.992126117859</t>
  </si>
  <si>
    <t>-578.151940664258 -133.822759426296 305.298738758425</t>
  </si>
  <si>
    <t>-609.750118125225 -142.899438250294 751.958482904363</t>
  </si>
  <si>
    <t>-476.228753133078 -185.640252731734 825.664487828265</t>
  </si>
  <si>
    <t>9763-20170724T104349.220587800.bin</t>
  </si>
  <si>
    <t>-710.830030409827 116.507665836514 -530.18975620416</t>
  </si>
  <si>
    <t>-773.502096048305 119.129424534076 -242.689218603467</t>
  </si>
  <si>
    <t>-537.128684059685 164.027724916891 -255.442494147998</t>
  </si>
  <si>
    <t>-640.154139936383 57.917652029656 -101.881571713233</t>
  </si>
  <si>
    <t>-648.019009517555 73.0597199111044 301.310123075031</t>
  </si>
  <si>
    <t>-696.901967126276 96.6599639653978 745.9189861448</t>
  </si>
  <si>
    <t>-552.497450227735 119.095675060962 807.003152474341</t>
  </si>
  <si>
    <t>-578.166533918373 -133.836609376623 305.290789747319</t>
  </si>
  <si>
    <t>-609.753862854706 -143.017735552435 751.957553674033</t>
  </si>
  <si>
    <t>-476.099753635918 -185.363377157798 825.651098224506</t>
  </si>
  <si>
    <t>9763-20170724T104349.285750100.bin</t>
  </si>
  <si>
    <t>-711.296443758519 116.526279892501 -530.203358634806</t>
  </si>
  <si>
    <t>-773.823695481051 119.28495733319 -242.672614433877</t>
  </si>
  <si>
    <t>-537.404259013242 163.933542261157 -255.448526299719</t>
  </si>
  <si>
    <t>-640.283844735954 58.0340575893763 -101.889716805864</t>
  </si>
  <si>
    <t>-648.098794836887 73.14154396355 301.304254593037</t>
  </si>
  <si>
    <t>-696.90287035629 96.6860558090582 745.931179222806</t>
  </si>
  <si>
    <t>-552.498574153745 119.096970107115 807.02474992477</t>
  </si>
  <si>
    <t>-578.197425135631 -133.718103692842 305.279140594456</t>
  </si>
  <si>
    <t>-609.743918150846 -142.986715738547 751.950286407099</t>
  </si>
  <si>
    <t>-476.213265766427 -185.683214010501 825.664961077457</t>
  </si>
  <si>
    <t>9763-20170724T104349.353505100.bin</t>
  </si>
  <si>
    <t>-711.862284315049 116.493769695118 -530.176928421492</t>
  </si>
  <si>
    <t>-774.128972426396 119.500410827714 -242.592065583062</t>
  </si>
  <si>
    <t>-537.671004799237 163.879080077138 -255.593046070322</t>
  </si>
  <si>
    <t>-640.366738599536 58.1282376420327 -101.877573312167</t>
  </si>
  <si>
    <t>-648.151190539134 73.2288265525162 301.317272414475</t>
  </si>
  <si>
    <t>-696.914541366817 96.743960441783 745.942590117244</t>
  </si>
  <si>
    <t>-552.531313217153 119.287686276665 807.037356473774</t>
  </si>
  <si>
    <t>-578.254591305336 -133.697128491448 305.281664611057</t>
  </si>
  <si>
    <t>-609.741648741544 -143.058100687628 751.951972681437</t>
  </si>
  <si>
    <t>-476.14709148944 -185.56016179669 825.663277788417</t>
  </si>
  <si>
    <t>9763-20170724T104349.386596800.bin</t>
  </si>
  <si>
    <t>-712.176062284331 116.427332809058 -530.156889319535</t>
  </si>
  <si>
    <t>-774.303850714703 119.526518769345 -242.542973580801</t>
  </si>
  <si>
    <t>-537.837332678868 163.821412815601 -255.673796811118</t>
  </si>
  <si>
    <t>-640.406456097316 58.1455981995637 -101.877159109058</t>
  </si>
  <si>
    <t>-648.173316449011 73.2290263254349 301.318529396364</t>
  </si>
  <si>
    <t>-696.928576017082 96.7942257664913 745.94468651083</t>
  </si>
  <si>
    <t>-552.570166207701 119.506371974274 807.035740843938</t>
  </si>
  <si>
    <t>-578.250294604666 -133.832940729347 305.284707768997</t>
  </si>
  <si>
    <t>-609.75259715931 -143.354596347986 751.959868267365</t>
  </si>
  <si>
    <t>-475.962660691387 -185.269149610206 825.653362049688</t>
  </si>
  <si>
    <t>9763-20170724T104349.452775000.bin</t>
  </si>
  <si>
    <t>-712.698605611071 116.382841775274 -530.113352366282</t>
  </si>
  <si>
    <t>-774.547718467913 119.70384502627 -242.442013684267</t>
  </si>
  <si>
    <t>-538.054151102049 163.779503329137 -255.821222874734</t>
  </si>
  <si>
    <t>-640.383577812507 58.1324914445609 -101.881181821847</t>
  </si>
  <si>
    <t>-648.106445727012 73.2214694254658 301.315277617712</t>
  </si>
  <si>
    <t>-696.915455058754 96.7357466092658 745.945541092473</t>
  </si>
  <si>
    <t>-552.500361979721 119.076125455488 807.039616455391</t>
  </si>
  <si>
    <t>-578.189196558006 -133.719750928854 305.29019503742</t>
  </si>
  <si>
    <t>-609.734162901896 -143.173994243166 751.952974879016</t>
  </si>
  <si>
    <t>-476.045270598108 -185.379647059759 825.663764650731</t>
  </si>
  <si>
    <t>9763-20170724T104349.517954500.bin</t>
  </si>
  <si>
    <t>-712.986495049 116.445670228998 -530.120710127401</t>
  </si>
  <si>
    <t>-774.668617414257 120.018047540935 -242.416502617501</t>
  </si>
  <si>
    <t>-538.152179549615 163.9409914764 -255.892849234317</t>
  </si>
  <si>
    <t>-640.326548944618 58.1954364458111 -101.885566446408</t>
  </si>
  <si>
    <t>-648.052747724351 73.2157791749992 301.313356916192</t>
  </si>
  <si>
    <t>-696.908034253923 96.6953887077325 745.939119418804</t>
  </si>
  <si>
    <t>-552.455610756977 118.789864898223 807.034395955238</t>
  </si>
  <si>
    <t>-578.163183667495 -133.632086400659 305.298814298592</t>
  </si>
  <si>
    <t>-609.719745071213 -142.991008528027 751.950485803886</t>
  </si>
  <si>
    <t>-476.02794973309 -185.18638466211 825.661707892011</t>
  </si>
  <si>
    <t>9763-20170724T104349.552044500.bin</t>
  </si>
  <si>
    <t>-713.322110152112 116.512689748053 -530.152282773137</t>
  </si>
  <si>
    <t>-774.808350597903 120.232762656645 -242.407942438867</t>
  </si>
  <si>
    <t>-538.268477866128 164.005970136816 -255.959648472419</t>
  </si>
  <si>
    <t>-640.297668279096 58.3084987473792 -101.889641161685</t>
  </si>
  <si>
    <t>-648.037607807765 73.2725964601811 301.31107431116</t>
  </si>
  <si>
    <t>-696.919843504723 96.7416362043773 745.933622721998</t>
  </si>
  <si>
    <t>-552.499402649976 119.062235377303 807.022144662869</t>
  </si>
  <si>
    <t>-578.128565119923 -133.607549346487 305.302198336313</t>
  </si>
  <si>
    <t>-609.724690989958 -143.124152097903 751.953236958574</t>
  </si>
  <si>
    <t>-476.049288094132 -185.363437576695 825.669173564911</t>
  </si>
  <si>
    <t>9763-20170724T104349.586135500.bin</t>
  </si>
  <si>
    <t>-713.516815523321 116.518948856706 -530.169213047039</t>
  </si>
  <si>
    <t>-774.951479178967 120.419149612296 -242.416288331767</t>
  </si>
  <si>
    <t>-538.385601488751 164.037409630331 -256.015459070999</t>
  </si>
  <si>
    <t>-640.260972588819 58.3628569384027 -101.896038019431</t>
  </si>
  <si>
    <t>-648.013608176138 73.3077848467271 301.305161428362</t>
  </si>
  <si>
    <t>-696.915831548571 96.7194346013023 745.927900193843</t>
  </si>
  <si>
    <t>-552.471461320949 118.887150851123 807.015675666869</t>
  </si>
  <si>
    <t>-578.098195791636 -133.519463765725 305.304057311342</t>
  </si>
  <si>
    <t>-609.713910600775 -142.959011690258 751.947469557826</t>
  </si>
  <si>
    <t>-476.054561630958 -185.249917923587 825.662812317722</t>
  </si>
  <si>
    <t>9763-20170724T104349.655838100.bin</t>
  </si>
  <si>
    <t>-713.791917533719 116.447374230345 -530.252299041961</t>
  </si>
  <si>
    <t>-775.05677386886 120.618914204288 -242.466969138188</t>
  </si>
  <si>
    <t>-538.462459317564 164.052177664569 -256.160728828211</t>
  </si>
  <si>
    <t>-640.229102607873 58.4263681736088 -101.911164563222</t>
  </si>
  <si>
    <t>-647.952332425503 73.354779100398 301.291243307425</t>
  </si>
  <si>
    <t>-696.922060218887 96.7390915049414 745.913281684449</t>
  </si>
  <si>
    <t>-552.491738385105 119.005801452923 806.998213120757</t>
  </si>
  <si>
    <t>-578.023714622238 -133.415251825895 305.302392874187</t>
  </si>
  <si>
    <t>-609.704650628121 -142.944267327195 751.938409003267</t>
  </si>
  <si>
    <t>-476.166205356897 -185.589030905324 825.669132954264</t>
  </si>
  <si>
    <t>9763-20170724T104349.683913100.bin</t>
  </si>
  <si>
    <t>-713.879804748438 116.357083088526 -530.294796671864</t>
  </si>
  <si>
    <t>-775.103097103515 120.703508486167 -242.503092521052</t>
  </si>
  <si>
    <t>-538.495944530178 164.055773159404 -256.232222154236</t>
  </si>
  <si>
    <t>-640.219868076902 58.3926852257548 -101.913047498133</t>
  </si>
  <si>
    <t>-647.926510705663 73.3525191502113 301.288502394919</t>
  </si>
  <si>
    <t>-696.927142956034 96.7566478231624 745.90828854318</t>
  </si>
  <si>
    <t>-552.502885205359 119.064006471693 806.992762183715</t>
  </si>
  <si>
    <t>-577.968442182512 -133.424505907992 305.305635767604</t>
  </si>
  <si>
    <t>-609.702911319628 -142.938033014316 751.937493492515</t>
  </si>
  <si>
    <t>-476.157926947272 -185.56457207096 825.666856781294</t>
  </si>
  <si>
    <t>9763-20170724T104349.752121300.bin</t>
  </si>
  <si>
    <t>-714.066667561609 116.081854679408 -530.392733143581</t>
  </si>
  <si>
    <t>-775.25387931477 120.700040804219 -242.597683350982</t>
  </si>
  <si>
    <t>-538.624958296518 163.921876906436 -256.36397627382</t>
  </si>
  <si>
    <t>-640.246224199741 58.3114370016206 -101.919306688301</t>
  </si>
  <si>
    <t>-647.979134586008 73.3223842390405 301.279836196845</t>
  </si>
  <si>
    <t>-696.93933851099 96.8160251364354 745.900102284398</t>
  </si>
  <si>
    <t>-552.574123265192 119.506464981337 806.982907492266</t>
  </si>
  <si>
    <t>-577.978022877392 -133.593318710378 305.302210949174</t>
  </si>
  <si>
    <t>-609.711380231082 -143.162924717964 751.941355166864</t>
  </si>
  <si>
    <t>-476.0010993932 -185.293585332735 825.656051991833</t>
  </si>
  <si>
    <t>9763-20170724T104349.784205900.bin</t>
  </si>
  <si>
    <t>-714.168733514599 116.01845392921 -530.440034671062</t>
  </si>
  <si>
    <t>-775.399415261573 120.738542924908 -242.655972458117</t>
  </si>
  <si>
    <t>-538.768416249276 163.953138320481 -256.407499490515</t>
  </si>
  <si>
    <t>-640.295699726667 58.2655693662582 -101.919879232957</t>
  </si>
  <si>
    <t>-648.020942171771 73.2915064467431 301.278813051898</t>
  </si>
  <si>
    <t>-696.937037457493 96.7916541586931 745.899135382686</t>
  </si>
  <si>
    <t>-552.538314662211 119.267261054678 806.982241956848</t>
  </si>
  <si>
    <t>-578.030449613599 -133.613326344361 305.300621502744</t>
  </si>
  <si>
    <t>-609.714503995392 -143.155894401571 751.944217404887</t>
  </si>
  <si>
    <t>-476.026139909849 -185.355446225327 825.659267580556</t>
  </si>
  <si>
    <t>9763-20170724T104349.853897600.bin</t>
  </si>
  <si>
    <t>-714.327098699096 115.889935649132 -530.495997417074</t>
  </si>
  <si>
    <t>-775.656015459937 120.776262234816 -242.735530913529</t>
  </si>
  <si>
    <t>-539.023474031904 164.010228594198 -256.400103019932</t>
  </si>
  <si>
    <t>-640.344910887522 58.1428163901533 -101.92774766128</t>
  </si>
  <si>
    <t>-648.125185392176 73.2513809773163 301.266818482136</t>
  </si>
  <si>
    <t>-696.939314503001 96.7756020455736 745.895322838926</t>
  </si>
  <si>
    <t>-552.541164119382 119.276666921362 806.970451241625</t>
  </si>
  <si>
    <t>-578.123566507841 -133.626735449304 305.293267370028</t>
  </si>
  <si>
    <t>-609.719801712294 -143.13768903271 751.950342052572</t>
  </si>
  <si>
    <t>-476.071552895107 -185.469136377245 825.662539765363</t>
  </si>
  <si>
    <t>9763-20170724T104349.885983300.bin</t>
  </si>
  <si>
    <t>-714.380660545441 115.839615300585 -530.511591119909</t>
  </si>
  <si>
    <t>-775.763340493803 120.801245087471 -242.76391333632</t>
  </si>
  <si>
    <t>-539.122867785481 164.012124239185 -256.364298225498</t>
  </si>
  <si>
    <t>-640.370605386543 58.0843083811151 -101.927681873584</t>
  </si>
  <si>
    <t>-648.135056507712 73.2360235728115 301.265583412984</t>
  </si>
  <si>
    <t>-696.939024745088 96.7800410878872 745.892355998978</t>
  </si>
  <si>
    <t>-552.544706220278 119.309235475386 806.966215687631</t>
  </si>
  <si>
    <t>-578.138450735574 -133.603605642652 305.291390094835</t>
  </si>
  <si>
    <t>-609.714493198422 -142.988549747932 751.952601889812</t>
  </si>
  <si>
    <t>-476.112647259932 -185.466295962519 825.664897176405</t>
  </si>
  <si>
    <t>9763-20170724T104349.955175200.bin</t>
  </si>
  <si>
    <t>-714.52240653259 115.634141081673 -530.516772548196</t>
  </si>
  <si>
    <t>-775.908965588397 120.689212632515 -242.771484700983</t>
  </si>
  <si>
    <t>-539.24330953852 163.786915702795 -256.293134731644</t>
  </si>
  <si>
    <t>-640.365902694906 57.9088872580799 -101.92588522253</t>
  </si>
  <si>
    <t>-648.083773125226 73.1482158713009 301.264896484386</t>
  </si>
  <si>
    <t>-696.928294687734 96.7318683257681 745.883581119281</t>
  </si>
  <si>
    <t>-552.498371171843 119.024628596056 806.959933479966</t>
  </si>
  <si>
    <t>-578.160131460128 -133.646430265896 305.308649033285</t>
  </si>
  <si>
    <t>-609.712952443992 -142.894223181527 751.965181979042</t>
  </si>
  <si>
    <t>-476.124165124249 -185.427880306893 825.668743168198</t>
  </si>
  <si>
    <t>9763-20170724T104349.988262700.bin</t>
  </si>
  <si>
    <t>-714.646864181062 115.464980536955 -530.512326085371</t>
  </si>
  <si>
    <t>-776.013247009507 120.555427131297 -242.76347521978</t>
  </si>
  <si>
    <t>-539.330955912197 163.566507634966 -256.269174495455</t>
  </si>
  <si>
    <t>-640.349902394421 57.8155155157885 -101.926303072674</t>
  </si>
  <si>
    <t>-648.051981577102 73.0960455380862 301.263348665622</t>
  </si>
  <si>
    <t>-696.939504663496 96.7699735091462 745.875268815764</t>
  </si>
  <si>
    <t>-552.519446479531 119.136470658741 806.947976100182</t>
  </si>
  <si>
    <t>-578.162954012447 -133.740376674746 305.322465037809</t>
  </si>
  <si>
    <t>-609.719400386057 -142.983378116043 751.977434610788</t>
  </si>
  <si>
    <t>-476.042148617407 -185.267455526306 825.664259518183</t>
  </si>
  <si>
    <t>9763-20170724T104350.055015700.bin</t>
  </si>
  <si>
    <t>-714.769868113137 115.178427628429 -530.571164619298</t>
  </si>
  <si>
    <t>-776.037122585314 120.413686183423 -242.80353249929</t>
  </si>
  <si>
    <t>-539.328294384849 163.271296740692 -256.331459644619</t>
  </si>
  <si>
    <t>-640.323358485058 57.7043950791106 -101.93508655782</t>
  </si>
  <si>
    <t>-647.954628955801 73.0201208648466 301.254530633541</t>
  </si>
  <si>
    <t>-696.948921050869 96.8015587713744 745.851795633263</t>
  </si>
  <si>
    <t>-552.543480195369 119.267692225818 806.922510705292</t>
  </si>
  <si>
    <t>-578.148021797259 -133.813617631256 305.339920246144</t>
  </si>
  <si>
    <t>-609.727141690998 -143.052630835771 751.995836725111</t>
  </si>
  <si>
    <t>-476.116141113068 -185.556255681694 825.67647441654</t>
  </si>
  <si>
    <t>9763-20170724T104350.088104500.bin</t>
  </si>
  <si>
    <t>-714.751577045356 115.021595137443 -530.621612656089</t>
  </si>
  <si>
    <t>-776.00707281631 120.415879121769 -242.854485960041</t>
  </si>
  <si>
    <t>-539.288025475325 163.208308885367 -256.412335175976</t>
  </si>
  <si>
    <t>-640.284263414578 57.6150582314972 -101.937631708764</t>
  </si>
  <si>
    <t>-647.919574726278 72.9707549973255 301.250356722223</t>
  </si>
  <si>
    <t>-696.951400101078 96.8031988847747 745.83742484188</t>
  </si>
  <si>
    <t>-552.566167296174 119.39614328688 806.909327915248</t>
  </si>
  <si>
    <t>-578.159277532992 -133.940467474576 305.35275709276</t>
  </si>
  <si>
    <t>-609.732783121709 -143.203568097589 752.00443017332</t>
  </si>
  <si>
    <t>-475.951199976675 -185.202821705076 825.664778482668</t>
  </si>
  <si>
    <t>9763-20170724T104350.122710800.bin</t>
  </si>
  <si>
    <t>-714.674675931957 114.839075898352 -530.688509885531</t>
  </si>
  <si>
    <t>-775.919665935322 120.355536849881 -242.921434005182</t>
  </si>
  <si>
    <t>-539.199617196604 163.138255027134 -256.490810522439</t>
  </si>
  <si>
    <t>-640.229750821509 57.5589437451099 -101.952950555698</t>
  </si>
  <si>
    <t>-647.87136697807 72.9208555557527 301.234678825184</t>
  </si>
  <si>
    <t>-696.948738452616 96.7892717714942 745.819741743782</t>
  </si>
  <si>
    <t>-552.545153403877 119.247803243694 806.897627660671</t>
  </si>
  <si>
    <t>-578.147634432933 -134.037462944483 305.355573395585</t>
  </si>
  <si>
    <t>-609.731097188138 -143.271704151472 752.008615691061</t>
  </si>
  <si>
    <t>-475.889990529507 -185.093757947535 825.66165526764</t>
  </si>
  <si>
    <t>9763-20170724T104350.182869700.bin</t>
  </si>
  <si>
    <t>-714.391013302422 114.716345845737 -530.80355597534</t>
  </si>
  <si>
    <t>-775.61554900223 120.419177031186 -243.035879832186</t>
  </si>
  <si>
    <t>-538.920017318283 163.307468360578 -256.699345892575</t>
  </si>
  <si>
    <t>-640.125523671268 57.5315996340585 -101.991846241381</t>
  </si>
  <si>
    <t>-647.847553248214 72.975498879749 301.191093337395</t>
  </si>
  <si>
    <t>-696.967296075136 96.8441392802549 745.773072458764</t>
  </si>
  <si>
    <t>-552.605758704439 119.596337192261 806.841814598422</t>
  </si>
  <si>
    <t>-578.142238528439 -133.89179309481 305.372966067266</t>
  </si>
  <si>
    <t>-609.71372141607 -142.909949663987 752.012029243701</t>
  </si>
  <si>
    <t>-476.122384807052 -185.481937636648 825.688965424994</t>
  </si>
  <si>
    <t>9763-20170724T104350.254084700.bin</t>
  </si>
  <si>
    <t>-713.988859426419 114.410053367135 -530.903599540066</t>
  </si>
  <si>
    <t>-775.151286438436 120.237180383078 -243.125122232189</t>
  </si>
  <si>
    <t>-538.477560759314 163.216791092136 -256.879247890338</t>
  </si>
  <si>
    <t>-639.97391969552 57.4335011379769 -102.021506533197</t>
  </si>
  <si>
    <t>-647.734405796068 72.8766369805048 301.160840549678</t>
  </si>
  <si>
    <t>-696.966629224104 96.8052050262916 745.725844979136</t>
  </si>
  <si>
    <t>-552.571246996762 119.36916698275 806.784304006426</t>
  </si>
  <si>
    <t>-578.112113331209 -134.063797559481 305.383809839803</t>
  </si>
  <si>
    <t>-609.717929334103 -143.058259909425 752.021737918066</t>
  </si>
  <si>
    <t>-476.027606419567 -185.347898641419 825.68156435893</t>
  </si>
  <si>
    <t>9763-20170724T104350.286170000.bin</t>
  </si>
  <si>
    <t>-713.733887854654 114.310514219013 -530.947955067948</t>
  </si>
  <si>
    <t>-774.855021460516 120.128420704378 -243.160676705531</t>
  </si>
  <si>
    <t>-538.189847626661 163.14343905127 -256.950800455685</t>
  </si>
  <si>
    <t>-639.871491900853 57.3754517015966 -102.029655376233</t>
  </si>
  <si>
    <t>-647.69617332829 72.8547687344583 301.150019609576</t>
  </si>
  <si>
    <t>-696.975966900404 96.8222961303852 745.703998146511</t>
  </si>
  <si>
    <t>-552.564579008056 119.299228634211 806.756832879629</t>
  </si>
  <si>
    <t>-578.061974500627 -134.01970537545 305.37982075621</t>
  </si>
  <si>
    <t>-609.71139658109 -142.930669437184 752.020319235703</t>
  </si>
  <si>
    <t>-476.150461147194 -185.609178849403 825.690729369666</t>
  </si>
  <si>
    <t>9763-20170724T104350.348961600.bin</t>
  </si>
  <si>
    <t>-713.158725236957 113.970349610558 -530.950218376635</t>
  </si>
  <si>
    <t>-774.184400718322 119.743773930805 -243.141730867427</t>
  </si>
  <si>
    <t>-537.540418171989 162.839286970144 -257.044630592669</t>
  </si>
  <si>
    <t>-639.660267264299 57.146784432643 -102.054423873915</t>
  </si>
  <si>
    <t>-647.59499269209 72.7022802914644 301.120150121622</t>
  </si>
  <si>
    <t>-696.97442821988 96.7953014735281 745.661129796735</t>
  </si>
  <si>
    <t>-552.551804589885 119.218962618836 806.706796985781</t>
  </si>
  <si>
    <t>-578.033184488071 -134.245825068907 305.40382273742</t>
  </si>
  <si>
    <t>-609.729634875741 -143.114194410627 752.039869425994</t>
  </si>
  <si>
    <t>-476.035548459221 -185.423405805466 825.681732180549</t>
  </si>
  <si>
    <t>9763-20170724T104350.388080300.bin</t>
  </si>
  <si>
    <t>-712.878089310246 113.925137612225 -530.947069194652</t>
  </si>
  <si>
    <t>-773.856212428013 119.642753002768 -243.127395834842</t>
  </si>
  <si>
    <t>-537.224358701772 162.800853763729 -257.041907233128</t>
  </si>
  <si>
    <t>-639.561549530326 57.0995103360494 -102.059346146187</t>
  </si>
  <si>
    <t>-647.565400111894 72.6521099677384 301.113926340984</t>
  </si>
  <si>
    <t>-696.973104356651 96.7939380940618 745.641827470304</t>
  </si>
  <si>
    <t>-552.543713767535 119.170971568852 806.688690487783</t>
  </si>
  <si>
    <t>-578.026426263988 -134.263486406369 305.413181327462</t>
  </si>
  <si>
    <t>-609.725434719391 -142.973782636806 752.041495236397</t>
  </si>
  <si>
    <t>-476.038995066011 -185.312485402126 825.680225341305</t>
  </si>
  <si>
    <t>9763-20170724T104350.455019700.bin</t>
  </si>
  <si>
    <t>-712.315836695611 113.808566580608 -530.925871598485</t>
  </si>
  <si>
    <t>-773.265377291 119.365766118076 -243.097049638748</t>
  </si>
  <si>
    <t>-536.646885382934 162.574897426967 -257.080761359288</t>
  </si>
  <si>
    <t>-639.360316868938 56.9317268803786 -102.064664282457</t>
  </si>
  <si>
    <t>-647.471372880644 72.5150637992001 301.105250442969</t>
  </si>
  <si>
    <t>-696.964368578614 96.7525718666525 745.615644570179</t>
  </si>
  <si>
    <t>-552.525001943883 119.0734069293 806.659437858338</t>
  </si>
  <si>
    <t>-577.979018447689 -134.49032413344 305.424820893974</t>
  </si>
  <si>
    <t>-609.739035320606 -143.182279722497 752.057323566507</t>
  </si>
  <si>
    <t>-475.920164976048 -185.146171968446 825.670071510369</t>
  </si>
  <si>
    <t>9763-20170724T104350.488107900.bin</t>
  </si>
  <si>
    <t>-712.022068762692 113.833548355243 -530.928804663366</t>
  </si>
  <si>
    <t>-772.984902490201 119.335264368196 -243.101584805794</t>
  </si>
  <si>
    <t>-536.369553384316 162.56382163976 -257.077596983166</t>
  </si>
  <si>
    <t>-639.265190637648 56.9147864110741 -102.070445931829</t>
  </si>
  <si>
    <t>-647.484494568745 72.5218048145807 301.096441887881</t>
  </si>
  <si>
    <t>-696.979928026866 96.8033156245874 745.601585924493</t>
  </si>
  <si>
    <t>-552.571530100646 119.343526700222 806.638188808287</t>
  </si>
  <si>
    <t>-577.968745986101 -134.50918727664 305.418080294753</t>
  </si>
  <si>
    <t>-609.732757359716 -143.099811956042 752.051013182616</t>
  </si>
  <si>
    <t>-475.937215605448 -185.130516286286 825.66805339665</t>
  </si>
  <si>
    <t>9763-20170724T104350.525237500.bin</t>
  </si>
  <si>
    <t>-711.716401724132 113.877832946166 -530.932380374532</t>
  </si>
  <si>
    <t>-772.713393511142 119.320920272118 -243.111332737464</t>
  </si>
  <si>
    <t>-536.101191052373 162.583056061796 -257.036372058688</t>
  </si>
  <si>
    <t>-639.152991172743 56.9001598283653 -102.078407913881</t>
  </si>
  <si>
    <t>-647.482698055009 72.5268693463559 301.085442444272</t>
  </si>
  <si>
    <t>-696.970371722214 96.7586910148232 745.592192716214</t>
  </si>
  <si>
    <t>-552.5241085416 119.062536008016 806.625938569476</t>
  </si>
  <si>
    <t>-577.942391691185 -134.409767654722 305.408684390579</t>
  </si>
  <si>
    <t>-609.719881833656 -142.915062695637 752.047084046138</t>
  </si>
  <si>
    <t>-476.109705290023 -185.496645308243 825.684137352643</t>
  </si>
  <si>
    <t>9763-20170724T104350.594418500.bin</t>
  </si>
  <si>
    <t>-711.126093233674 113.88040408503 -530.926678853667</t>
  </si>
  <si>
    <t>-772.365970263376 119.258119791998 -243.156028012177</t>
  </si>
  <si>
    <t>-535.749594273164 162.578062461565 -256.82787664406</t>
  </si>
  <si>
    <t>-638.973642426212 56.8720403426762 -102.09235775445</t>
  </si>
  <si>
    <t>-647.472038527892 72.5436531597529 301.066210889035</t>
  </si>
  <si>
    <t>-696.992220563354 96.8187039761492 745.572950129187</t>
  </si>
  <si>
    <t>-552.605931442909 119.57358695911 806.582069058602</t>
  </si>
  <si>
    <t>-577.848838817163 -134.489545208414 305.401681543471</t>
  </si>
  <si>
    <t>-609.720958927174 -143.049056333449 752.045597152401</t>
  </si>
  <si>
    <t>-476.087199275473 -185.557507548769 825.68216591454</t>
  </si>
  <si>
    <t>9763-20170724T104350.651583800.bin</t>
  </si>
  <si>
    <t>-710.628686264562 113.821848673028 -530.973053128194</t>
  </si>
  <si>
    <t>-772.290555145598 119.106660148643 -243.290709006792</t>
  </si>
  <si>
    <t>-535.699346739954 162.707529110426 -256.497772246268</t>
  </si>
  <si>
    <t>-638.848318339276 56.8448507641704 -102.089902982634</t>
  </si>
  <si>
    <t>-647.40441434009 72.5233652316429 301.067214462581</t>
  </si>
  <si>
    <t>-696.992052740716 96.8294511417305 745.568191745425</t>
  </si>
  <si>
    <t>-552.603964351947 119.582985415589 806.573565658045</t>
  </si>
  <si>
    <t>-577.744821900005 -134.590881964171 305.395022636195</t>
  </si>
  <si>
    <t>-609.721986937474 -143.147020530762 752.039319188325</t>
  </si>
  <si>
    <t>-476.006285015502 -185.409500810601 825.668680891089</t>
  </si>
  <si>
    <t>9763-20170724T104350.688682300.bin</t>
  </si>
  <si>
    <t>-710.385560838794 113.824910728416 -530.986754893592</t>
  </si>
  <si>
    <t>-772.304596100819 119.058076317525 -243.358675603056</t>
  </si>
  <si>
    <t>-535.737232270198 162.87169459904 -256.286272502178</t>
  </si>
  <si>
    <t>-638.78130601431 56.8245843162242 -102.083624763628</t>
  </si>
  <si>
    <t>-647.353260571079 72.4948459341008 301.073515202172</t>
  </si>
  <si>
    <t>-696.979628634938 96.7926647286206 745.566677846389</t>
  </si>
  <si>
    <t>-552.54330305845 119.221320569525 806.578178868649</t>
  </si>
  <si>
    <t>-577.699094259207 -134.625528777528 305.389138995553</t>
  </si>
  <si>
    <t>-609.714567848262 -143.107512605205 752.030176604929</t>
  </si>
  <si>
    <t>-475.926256924491 -185.147345593593 825.655259928334</t>
  </si>
  <si>
    <t>9763-20170724T104350.751861800.bin</t>
  </si>
  <si>
    <t>-709.961889082894 114.071463628713 -531.043010471764</t>
  </si>
  <si>
    <t>-772.334349655533 119.104925863565 -243.509429009881</t>
  </si>
  <si>
    <t>-535.850416427781 163.50860989 -255.941341453247</t>
  </si>
  <si>
    <t>-638.692764664432 56.9655153132705 -102.06676136267</t>
  </si>
  <si>
    <t>-647.321305061196 72.6167888018122 301.089825956431</t>
  </si>
  <si>
    <t>-696.990725751837 96.8605711095777 745.573128184515</t>
  </si>
  <si>
    <t>-552.591777792816 119.52565995541 806.585646301438</t>
  </si>
  <si>
    <t>-577.70856370142 -134.497703222653 305.387632279597</t>
  </si>
  <si>
    <t>-609.708240070031 -143.103853477272 752.027384364488</t>
  </si>
  <si>
    <t>-476.057710695198 -185.549143432777 825.669921656029</t>
  </si>
  <si>
    <t>9763-20170724T104350.784953500.bin</t>
  </si>
  <si>
    <t>-709.825127698105 114.1721592503 -531.07529459359</t>
  </si>
  <si>
    <t>-772.366913026329 119.127162876818 -243.577133287389</t>
  </si>
  <si>
    <t>-535.922494299107 163.802746889797 -255.783502465659</t>
  </si>
  <si>
    <t>-638.707003817017 57.0672549750091 -102.062516261958</t>
  </si>
  <si>
    <t>-647.332595041934 72.6754084060613 301.095937020232</t>
  </si>
  <si>
    <t>-696.993010330092 96.8683682555341 745.580409627918</t>
  </si>
  <si>
    <t>-552.568911375616 119.373359228661 806.592719448408</t>
  </si>
  <si>
    <t>-577.721077610403 -134.465807382181 305.38399200745</t>
  </si>
  <si>
    <t>-609.701917473895 -143.083223978042 752.021925305787</t>
  </si>
  <si>
    <t>-476.038406245608 -185.488524998993 825.664031210187</t>
  </si>
  <si>
    <t>9763-20170724T104350.827067600.bin</t>
  </si>
  <si>
    <t>-709.67647738112 114.272543728585 -531.106276012264</t>
  </si>
  <si>
    <t>-772.434404550842 119.211837416956 -243.655038000314</t>
  </si>
  <si>
    <t>-536.02145654881 164.094219222732 -255.712995998751</t>
  </si>
  <si>
    <t>-638.719012667456 57.1719428279234 -102.060803597985</t>
  </si>
  <si>
    <t>-647.360697115056 72.7290173321439 301.099153517749</t>
  </si>
  <si>
    <t>-696.999600983378 96.8871155685788 745.587704035995</t>
  </si>
  <si>
    <t>-552.595641095598 119.54104661757 806.592450179879</t>
  </si>
  <si>
    <t>-577.725888582852 -134.470306442563 305.376328171418</t>
  </si>
  <si>
    <t>-609.707534867671 -143.262498362081 752.020671560822</t>
  </si>
  <si>
    <t>-476.013694508252 -185.572188156406 825.662755045473</t>
  </si>
  <si>
    <t>9763-20170724T104350.889234100.bin</t>
  </si>
  <si>
    <t>-709.20092585874 114.437080571774 -531.189955147062</t>
  </si>
  <si>
    <t>-772.384704935702 119.41798892747 -243.832616501663</t>
  </si>
  <si>
    <t>-535.967981910807 164.316528331558 -255.754746678012</t>
  </si>
  <si>
    <t>-638.670925378555 57.3370984189862 -102.052831409775</t>
  </si>
  <si>
    <t>-647.34661748407 72.8595256877336 301.107693659426</t>
  </si>
  <si>
    <t>-697.002863459932 96.9068411312005 745.602395318335</t>
  </si>
  <si>
    <t>-552.595459503998 119.54187416048 806.606111740432</t>
  </si>
  <si>
    <t>-577.658916275849 -134.413738920137 305.37340123242</t>
  </si>
  <si>
    <t>-609.693607659288 -143.22178893714 752.008271161637</t>
  </si>
  <si>
    <t>-475.86445314042 -185.118762840505 825.640499465198</t>
  </si>
  <si>
    <t>9763-20170724T104350.956396000.bin</t>
  </si>
  <si>
    <t>-708.700466201526 114.699183924301 -531.284950404169</t>
  </si>
  <si>
    <t>-772.165559476833 119.769112607406 -243.991186741509</t>
  </si>
  <si>
    <t>-535.734342815283 164.619919195366 -255.804283410083</t>
  </si>
  <si>
    <t>-638.610197923384 57.5803695414004 -102.051972938041</t>
  </si>
  <si>
    <t>-647.298321295751 73.0039504145116 301.112193746658</t>
  </si>
  <si>
    <t>-697.007059504255 96.9400586440486 745.608947350426</t>
  </si>
  <si>
    <t>-552.586457099272 119.49021762966 806.612984010226</t>
  </si>
  <si>
    <t>-577.585945643339 -134.221404279492 305.368416495959</t>
  </si>
  <si>
    <t>-609.674083426471 -143.031700396422 751.995732131015</t>
  </si>
  <si>
    <t>-475.9662650179 -185.275761609962 825.650003063338</t>
  </si>
  <si>
    <t>9763-20170724T104350.986477400.bin</t>
  </si>
  <si>
    <t>-708.511431647401 114.827776949644 -531.32988315353</t>
  </si>
  <si>
    <t>-772.052440063649 119.864274326873 -244.052321862246</t>
  </si>
  <si>
    <t>-535.617267139895 164.706371682652 -255.820137132041</t>
  </si>
  <si>
    <t>-638.575783376306 57.7328655344011 -102.052499709682</t>
  </si>
  <si>
    <t>-647.273348843935 73.0910961597071 301.113958792495</t>
  </si>
  <si>
    <t>-697.012225673641 96.9669386696673 745.610434203307</t>
  </si>
  <si>
    <t>-552.593286907149 119.541300785161 806.609215077517</t>
  </si>
  <si>
    <t>-577.548904412853 -134.156973914897 305.36457184685</t>
  </si>
  <si>
    <t>-609.675282497213 -143.139374025787 751.991758979938</t>
  </si>
  <si>
    <t>-476.018035346451 -185.527598933786 825.655124967173</t>
  </si>
  <si>
    <t>9763-20170724T104351.027141300.bin</t>
  </si>
  <si>
    <t>-708.3430774131 114.93855300545 -531.340913779093</t>
  </si>
  <si>
    <t>-771.971146470379 119.960928780417 -244.082446966917</t>
  </si>
  <si>
    <t>-535.528742337879 164.77125010453 -255.826280407493</t>
  </si>
  <si>
    <t>-638.509857913742 57.8368705659184 -102.054165591036</t>
  </si>
  <si>
    <t>-647.27450363246 73.1537299326139 301.112347933877</t>
  </si>
  <si>
    <t>-697.013095772924 96.9870434654242 745.612799243597</t>
  </si>
  <si>
    <t>-552.575142678685 119.432271977898 806.614289599658</t>
  </si>
  <si>
    <t>-577.51298454431 -134.173221206285 305.366767878798</t>
  </si>
  <si>
    <t>-609.673632827303 -143.158868622755 751.985083098978</t>
  </si>
  <si>
    <t>-475.868862780006 -185.10151910079 825.635717615555</t>
  </si>
  <si>
    <t>9763-20170724T104351.087306200.bin</t>
  </si>
  <si>
    <t>-708.073177774973 115.182144865115 -531.371441820279</t>
  </si>
  <si>
    <t>-771.767468795358 120.221135303026 -244.127927649045</t>
  </si>
  <si>
    <t>-535.292733628668 164.875224838763 -255.814706237618</t>
  </si>
  <si>
    <t>-638.372809273416 58.0397642560004 -102.0579817069</t>
  </si>
  <si>
    <t>-647.233166624988 73.287097346343 301.10905280675</t>
  </si>
  <si>
    <t>-697.008829943458 96.9888189797946 745.618593717502</t>
  </si>
  <si>
    <t>-552.564492045232 119.397859465994 806.618461141865</t>
  </si>
  <si>
    <t>-577.464022946272 -134.032157883735 305.357031578664</t>
  </si>
  <si>
    <t>-609.660592378104 -143.109106553718 751.970186520961</t>
  </si>
  <si>
    <t>-476.00908347494 -185.489155089939 825.648522514565</t>
  </si>
  <si>
    <t>9763-20170724T104351.124420200.bin</t>
  </si>
  <si>
    <t>-707.985889209376 115.286566824175 -531.364945134939</t>
  </si>
  <si>
    <t>-771.660535954979 120.296857594904 -244.116529514798</t>
  </si>
  <si>
    <t>-535.179507467716 164.91488126311 -255.814743494905</t>
  </si>
  <si>
    <t>-638.300914023329 58.140122769988 -102.054513378057</t>
  </si>
  <si>
    <t>-647.169879363776 73.3410033020389 301.114139201279</t>
  </si>
  <si>
    <t>-697.014271750582 97.0010996513138 745.622118958919</t>
  </si>
  <si>
    <t>-552.582722680385 119.514348809704 806.613745871559</t>
  </si>
  <si>
    <t>-577.396391128079 -133.926118048147 305.345237543921</t>
  </si>
  <si>
    <t>-609.649894634588 -142.977019469375 751.961235115996</t>
  </si>
  <si>
    <t>-476.075503239651 -185.57796002268 825.65205486085</t>
  </si>
  <si>
    <t>9763-20170724T104351.193603800.bin</t>
  </si>
  <si>
    <t>-707.859673750562 115.374838951357 -531.267289804881</t>
  </si>
  <si>
    <t>-771.385461526693 120.292963438201 -243.984438269176</t>
  </si>
  <si>
    <t>-534.911159052459 164.905116839469 -255.839032346466</t>
  </si>
  <si>
    <t>-638.104818303285 58.1281021995214 -102.027655453096</t>
  </si>
  <si>
    <t>-647.017831941241 73.327094091343 301.140077675087</t>
  </si>
  <si>
    <t>-697.012644169159 97.0064513141951 745.627322684924</t>
  </si>
  <si>
    <t>-552.589248968366 119.589301401509 806.61236179324</t>
  </si>
  <si>
    <t>-577.259928297474 -133.917353928901 305.345692304348</t>
  </si>
  <si>
    <t>-609.640862788302 -142.947135421466 751.949392225406</t>
  </si>
  <si>
    <t>-476.066151848367 -185.533287166295 825.648201550175</t>
  </si>
  <si>
    <t>9763-20170724T104351.226711300.bin</t>
  </si>
  <si>
    <t>-707.858983923103 115.359863324682 -531.201581401028</t>
  </si>
  <si>
    <t>-771.289159494219 120.233646118788 -243.896674263615</t>
  </si>
  <si>
    <t>-534.824174984312 164.869866623845 -255.845609771638</t>
  </si>
  <si>
    <t>-638.036209822565 58.111862675921 -102.025196748609</t>
  </si>
  <si>
    <t>-646.956059063035 73.2880384860275 301.143210042227</t>
  </si>
  <si>
    <t>-697.017247907281 97.0388256863562 745.624295415828</t>
  </si>
  <si>
    <t>-552.606632449128 119.708582922204 806.607606030474</t>
  </si>
  <si>
    <t>-577.22991102505 -134.02428557717 305.355562182771</t>
  </si>
  <si>
    <t>-609.6423860812 -143.033408841418 751.948710865684</t>
  </si>
  <si>
    <t>-475.923394792292 -185.186689476571 825.634740595622</t>
  </si>
  <si>
    <t>9763-20170724T104351.287871400.bin</t>
  </si>
  <si>
    <t>-707.99403040499 115.458525652149 -531.064016564327</t>
  </si>
  <si>
    <t>-771.266160509141 120.202418921165 -243.722118704231</t>
  </si>
  <si>
    <t>-534.818684637394 164.897063713274 -255.799181450439</t>
  </si>
  <si>
    <t>-638.017410486335 58.0650460231427 -102.007971927431</t>
  </si>
  <si>
    <t>-646.891814892574 73.2191695960901 301.162256509234</t>
  </si>
  <si>
    <t>-697.000599098823 97.0083402187447 745.633682560229</t>
  </si>
  <si>
    <t>-552.560889502671 119.472552350442 806.623995437919</t>
  </si>
  <si>
    <t>-577.215834350145 -134.021108981088 305.356336753875</t>
  </si>
  <si>
    <t>-609.640042003915 -142.95319623541 751.951825308707</t>
  </si>
  <si>
    <t>-475.955904751386 -185.225205971433 825.633101775983</t>
  </si>
  <si>
    <t>9763-20170724T104351.323542200.bin</t>
  </si>
  <si>
    <t>-708.076971450084 115.509025569882 -530.9966177495</t>
  </si>
  <si>
    <t>-771.313403900966 120.159424499907 -243.645376531948</t>
  </si>
  <si>
    <t>-534.868593546311 164.861271768544 -255.74891309706</t>
  </si>
  <si>
    <t>-638.02856481696 58.0544412262843 -101.995960433184</t>
  </si>
  <si>
    <t>-646.868759030849 73.2241735970119 301.174402105561</t>
  </si>
  <si>
    <t>-697.008717502769 97.0578117360187 745.637745047017</t>
  </si>
  <si>
    <t>-552.594095229486 119.68236326968 806.628204645743</t>
  </si>
  <si>
    <t>-577.210807642039 -134.013393982737 305.356033858673</t>
  </si>
  <si>
    <t>-609.6409038037 -142.95450978824 751.952376213488</t>
  </si>
  <si>
    <t>-475.990272776304 -185.330409370591 825.634793847451</t>
  </si>
  <si>
    <t>9763-20170724T104351.386710400.bin</t>
  </si>
  <si>
    <t>-708.350001538727 115.597461864272 -530.872675500738</t>
  </si>
  <si>
    <t>-771.474096761138 119.945577192569 -243.491955627746</t>
  </si>
  <si>
    <t>-535.060520013571 164.794132174683 -255.661394293759</t>
  </si>
  <si>
    <t>-638.117157215409 58.042479370605 -101.973879062505</t>
  </si>
  <si>
    <t>-646.878193186534 73.2354282198537 301.197365975471</t>
  </si>
  <si>
    <t>-697.011567174258 97.0673927362648 745.652432830087</t>
  </si>
  <si>
    <t>-552.582107564143 119.616863439169 806.635596910719</t>
  </si>
  <si>
    <t>-577.236790968387 -134.008296610425 305.352479911268</t>
  </si>
  <si>
    <t>-609.643106079631 -142.953119637817 751.955038488424</t>
  </si>
  <si>
    <t>-476.019395429323 -185.413146616949 825.637722446351</t>
  </si>
  <si>
    <t>9763-20170724T104351.450728400.bin</t>
  </si>
  <si>
    <t>-708.65649364744 115.637849122714 -530.770827254801</t>
  </si>
  <si>
    <t>-771.70743616368 119.720932929335 -243.370187782531</t>
  </si>
  <si>
    <t>-535.330083442261 164.746997246031 -255.58875638281</t>
  </si>
  <si>
    <t>-638.25431252762 58.0206146747885 -101.963970956886</t>
  </si>
  <si>
    <t>-646.958560487358 73.2402356551911 301.207570989396</t>
  </si>
  <si>
    <t>-697.007767956016 97.0630183187586 745.665892610586</t>
  </si>
  <si>
    <t>-552.548605282371 119.415601705922 806.651103255745</t>
  </si>
  <si>
    <t>-577.297478121532 -133.961897740597 305.348336163376</t>
  </si>
  <si>
    <t>-609.641408246276 -142.905866889358 751.950969633446</t>
  </si>
  <si>
    <t>-476.101486757053 -185.622295994456 825.637485763098</t>
  </si>
  <si>
    <t>9763-20170724T104351.486832900.bin</t>
  </si>
  <si>
    <t>-708.839278997039 115.531301233596 -530.743145495029</t>
  </si>
  <si>
    <t>-771.871765794343 119.530512076415 -243.337315771251</t>
  </si>
  <si>
    <t>-535.513393303241 164.64818397879 -255.584215172383</t>
  </si>
  <si>
    <t>-638.348151019475 57.9742588098827 -101.968296311205</t>
  </si>
  <si>
    <t>-647.00275544484 73.2144557733823 301.203513375496</t>
  </si>
  <si>
    <t>-697.016847879767 97.1011444555384 745.669746391113</t>
  </si>
  <si>
    <t>-552.586570367066 119.645110640728 806.653172814237</t>
  </si>
  <si>
    <t>-577.332436431479 -134.113766366516 305.3539982287</t>
  </si>
  <si>
    <t>-609.656114828559 -143.143714820088 751.96195570384</t>
  </si>
  <si>
    <t>-475.908717396712 -185.2516352484 825.622384727659</t>
  </si>
  <si>
    <t>9763-20170724T104351.553611900.bin</t>
  </si>
  <si>
    <t>-709.224599393302 115.41448668566 -530.686143418142</t>
  </si>
  <si>
    <t>-772.184924187555 119.312513984328 -243.263137556628</t>
  </si>
  <si>
    <t>-535.877344215254 164.664757919465 -255.622485431397</t>
  </si>
  <si>
    <t>-638.542869641971 57.9180974041799 -101.966230393823</t>
  </si>
  <si>
    <t>-647.0797856741 73.1792275544981 301.20737045417</t>
  </si>
  <si>
    <t>-697.011100091157 97.1117606871696 745.683405943664</t>
  </si>
  <si>
    <t>-552.564978933972 119.52646952471 806.676864349431</t>
  </si>
  <si>
    <t>-577.387019445361 -134.152949323075 305.3556402254</t>
  </si>
  <si>
    <t>-609.66276473597 -143.217033061552 751.970018259231</t>
  </si>
  <si>
    <t>-475.884953835175 -185.248381213804 825.618836582331</t>
  </si>
  <si>
    <t>9763-20170724T104351.585697600.bin</t>
  </si>
  <si>
    <t>-709.434855667311 115.491310666301 -530.657213203016</t>
  </si>
  <si>
    <t>-772.362640395296 119.343131397272 -243.226274592468</t>
  </si>
  <si>
    <t>-536.074607156618 164.786718530191 -255.624923323072</t>
  </si>
  <si>
    <t>-638.649366000862 57.9631785497459 -101.957134075828</t>
  </si>
  <si>
    <t>-647.125711686033 73.2441970695954 301.216919304039</t>
  </si>
  <si>
    <t>-697.023281288921 97.1647548103199 745.693427277199</t>
  </si>
  <si>
    <t>-552.595779542475 119.70820530543 806.683450337519</t>
  </si>
  <si>
    <t>-577.435696812328 -133.925482130519 305.351116160713</t>
  </si>
  <si>
    <t>-609.642173566331 -142.831318398361 751.964548399487</t>
  </si>
  <si>
    <t>-476.156874865621 -185.73177100532 825.643149409154</t>
  </si>
  <si>
    <t>9763-20170724T104351.652886300.bin</t>
  </si>
  <si>
    <t>-709.920326751862 115.433698086462 -530.622348732937</t>
  </si>
  <si>
    <t>-772.714635214609 119.223934188796 -243.161581784422</t>
  </si>
  <si>
    <t>-536.462790687957 164.832684555814 -255.643881917994</t>
  </si>
  <si>
    <t>-638.909635327838 57.9936060193572 -101.960023088532</t>
  </si>
  <si>
    <t>-647.256806557531 73.2887579738072 301.216197003887</t>
  </si>
  <si>
    <t>-697.03359717977 97.2235622026874 745.7028826104</t>
  </si>
  <si>
    <t>-552.661540946846 120.125949396176 806.690524977086</t>
  </si>
  <si>
    <t>-577.548362044047 -133.958528638565 305.34241977397</t>
  </si>
  <si>
    <t>-609.648232886255 -142.947450094578 751.967900611062</t>
  </si>
  <si>
    <t>-475.983153337842 -185.322743382662 825.624346714223</t>
  </si>
  <si>
    <t>9763-20170724T104351.685973800.bin</t>
  </si>
  <si>
    <t>-710.171686207338 115.39770207341 -530.598513853769</t>
  </si>
  <si>
    <t>-772.896243164325 119.156623338086 -243.12194782578</t>
  </si>
  <si>
    <t>-536.652567155347 164.787693061768 -255.6748837434</t>
  </si>
  <si>
    <t>-638.999218041699 57.9482632918393 -101.954869571649</t>
  </si>
  <si>
    <t>-647.295916504107 73.2659279351778 301.221542006472</t>
  </si>
  <si>
    <t>-697.020161060688 97.1806953286671 745.712905724941</t>
  </si>
  <si>
    <t>-552.589900896804 119.687504799538 806.709771036794</t>
  </si>
  <si>
    <t>-577.575913809421 -133.959360130223 305.337477013303</t>
  </si>
  <si>
    <t>-609.648358320768 -142.924022617643 751.966951261515</t>
  </si>
  <si>
    <t>-476.03748307279 -185.460539094669 825.628896940258</t>
  </si>
  <si>
    <t>9763-20170724T104351.752855800.bin</t>
  </si>
  <si>
    <t>-710.572039829618 115.347577003788 -530.567050747834</t>
  </si>
  <si>
    <t>-773.150793469845 119.132531824507 -243.059194094644</t>
  </si>
  <si>
    <t>-536.893924043396 164.657704264451 -255.748925814284</t>
  </si>
  <si>
    <t>-639.195622466722 58.0076131042447 -101.95012757035</t>
  </si>
  <si>
    <t>-647.359808053131 73.2979861826529 301.230017339674</t>
  </si>
  <si>
    <t>-697.032037010786 97.233990305896 745.735157709039</t>
  </si>
  <si>
    <t>-552.654388148476 120.08101458461 806.730313424753</t>
  </si>
  <si>
    <t>-577.641375666155 -133.868795483435 305.332849555356</t>
  </si>
  <si>
    <t>-609.643022038464 -142.911466082862 751.967573168929</t>
  </si>
  <si>
    <t>-476.061884424294 -185.531992315363 825.63481953322</t>
  </si>
  <si>
    <t>9763-20170724T104351.784939000.bin</t>
  </si>
  <si>
    <t>-710.726903482273 115.309423795465 -530.547756820964</t>
  </si>
  <si>
    <t>-773.260002585485 119.128939782013 -243.030365411255</t>
  </si>
  <si>
    <t>-536.986506579731 164.552999967115 -255.770625448686</t>
  </si>
  <si>
    <t>-639.288430096316 57.9896962400585 -101.949501780436</t>
  </si>
  <si>
    <t>-647.373080067889 73.2739913137113 301.232471947814</t>
  </si>
  <si>
    <t>-697.021952847278 97.2068124797622 745.740065880187</t>
  </si>
  <si>
    <t>-552.617738130336 119.864720280388 806.742865684717</t>
  </si>
  <si>
    <t>-577.673837225733 -133.916988508391 305.339864315458</t>
  </si>
  <si>
    <t>-609.648347022611 -142.99957940142 751.971055726022</t>
  </si>
  <si>
    <t>-475.945395822217 -185.261846804637 825.623789650093</t>
  </si>
  <si>
    <t>9763-20170724T104351.851659900.bin</t>
  </si>
  <si>
    <t>-711.248468169404 115.333304153286 -530.54819784137</t>
  </si>
  <si>
    <t>-773.606733062671 119.245253519235 -242.994087227596</t>
  </si>
  <si>
    <t>-537.292848515973 164.435924945921 -255.816320904304</t>
  </si>
  <si>
    <t>-639.529515692103 58.0934169523503 -101.981363681581</t>
  </si>
  <si>
    <t>-647.434344066444 73.3302832150216 301.205992055828</t>
  </si>
  <si>
    <t>-697.021607930523 97.2159864969203 745.736019345039</t>
  </si>
  <si>
    <t>-552.602246104304 119.758130281048 806.745816083616</t>
  </si>
  <si>
    <t>-577.772317796649 -133.784782770378 305.337267870275</t>
  </si>
  <si>
    <t>-609.643544707635 -143.014731599024 751.97186872561</t>
  </si>
  <si>
    <t>-476.059206650487 -185.626481213279 825.6383919131</t>
  </si>
  <si>
    <t>9763-20170724T104351.886754100.bin</t>
  </si>
  <si>
    <t>-711.649355195664 115.274059271573 -530.564266295384</t>
  </si>
  <si>
    <t>-773.883455250905 119.258353649407 -242.984248946677</t>
  </si>
  <si>
    <t>-537.53505344855 164.254832473131 -255.854141977444</t>
  </si>
  <si>
    <t>-639.687758221066 58.1382825221895 -101.990125128014</t>
  </si>
  <si>
    <t>-647.501489773717 73.3393339003965 301.200419933105</t>
  </si>
  <si>
    <t>-697.02858964508 97.2482981911467 745.738467942081</t>
  </si>
  <si>
    <t>-552.620514658487 119.864641946083 806.747420409949</t>
  </si>
  <si>
    <t>-577.827943268999 -133.840731943277 305.32701529635</t>
  </si>
  <si>
    <t>-609.649538384763 -143.138924032896 751.972826710554</t>
  </si>
  <si>
    <t>-475.90759800331 -185.282546179 825.62273558292</t>
  </si>
  <si>
    <t>9763-20170724T104351.952465700.bin</t>
  </si>
  <si>
    <t>-712.601092132966 115.18632725073 -530.543041529195</t>
  </si>
  <si>
    <t>-774.525103490713 119.552307956903 -242.901682421094</t>
  </si>
  <si>
    <t>-538.103747738954 164.099391795596 -255.993343223759</t>
  </si>
  <si>
    <t>-639.967413255651 58.2279693490696 -102.011255313458</t>
  </si>
  <si>
    <t>-647.65107522098 73.4156773451261 301.182218132986</t>
  </si>
  <si>
    <t>-697.024034759231 97.2395908720189 745.735543182204</t>
  </si>
  <si>
    <t>-552.57139475582 119.560249669721 806.748068226107</t>
  </si>
  <si>
    <t>-577.901510504481 -133.70015575488 305.321205806006</t>
  </si>
  <si>
    <t>-609.644154878764 -143.074257553966 751.971907577822</t>
  </si>
  <si>
    <t>-476.015807171356 -185.555031456372 825.634281640561</t>
  </si>
  <si>
    <t>9763-20170724T104351.985552500.bin</t>
  </si>
  <si>
    <t>-713.164714696859 115.096512792261 -530.540337032139</t>
  </si>
  <si>
    <t>-774.827295021987 119.656555787404 -242.845895186202</t>
  </si>
  <si>
    <t>-538.396384063921 164.109542132006 -256.083798489757</t>
  </si>
  <si>
    <t>-640.127301542932 58.2900660933208 -102.020807538068</t>
  </si>
  <si>
    <t>-647.720762721833 73.4434352263777 301.175606146519</t>
  </si>
  <si>
    <t>-697.027941537899 97.2499551081926 745.736839400508</t>
  </si>
  <si>
    <t>-552.575957147036 119.57429408946 806.749526601408</t>
  </si>
  <si>
    <t>-577.942192317121 -133.667042160118 305.318397881025</t>
  </si>
  <si>
    <t>-609.639980533469 -143.070947648923 751.970634737587</t>
  </si>
  <si>
    <t>-475.950126501008 -185.360864630728 825.63119262395</t>
  </si>
  <si>
    <t>9763-20170724T104352.051758900.bin</t>
  </si>
  <si>
    <t>-714.26671226528 114.883953289629 -530.519244972569</t>
  </si>
  <si>
    <t>-775.468981831979 119.880419685767 -242.733636765901</t>
  </si>
  <si>
    <t>-539.014866834339 164.098204531418 -256.338406355106</t>
  </si>
  <si>
    <t>-640.398345596796 58.3696203424126 -102.025618978644</t>
  </si>
  <si>
    <t>-647.773482039084 73.469120372652 301.176882349648</t>
  </si>
  <si>
    <t>-697.039554908493 97.2857861600917 745.744694076865</t>
  </si>
  <si>
    <t>-552.591355036816 119.636798870405 806.75653780995</t>
  </si>
  <si>
    <t>-577.954599176247 -133.621392717219 305.315395561772</t>
  </si>
  <si>
    <t>-609.644581026413 -143.196679370617 751.972123797528</t>
  </si>
  <si>
    <t>-475.920816556448 -185.384099127425 825.629878489967</t>
  </si>
  <si>
    <t>9763-20170724T104352.085852000.bin</t>
  </si>
  <si>
    <t>-714.771650478324 114.829547000575 -530.512246755423</t>
  </si>
  <si>
    <t>-775.779759789136 120.05378017132 -242.689622090956</t>
  </si>
  <si>
    <t>-539.309156101392 164.134776764205 -256.452785481374</t>
  </si>
  <si>
    <t>-640.504567501853 58.432463799674 -102.023930194038</t>
  </si>
  <si>
    <t>-647.779740665018 73.4900044525805 301.181967186066</t>
  </si>
  <si>
    <t>-697.036612957953 97.2773863402781 745.74796540977</t>
  </si>
  <si>
    <t>-552.589030688337 119.628328925196 806.761424608545</t>
  </si>
  <si>
    <t>-577.958120069518 -133.538861624479 305.31894088596</t>
  </si>
  <si>
    <t>-609.641238074817 -143.073599531388 751.971094688335</t>
  </si>
  <si>
    <t>-475.948957774009 -185.363239464349 825.627456508185</t>
  </si>
  <si>
    <t>9763-20170724T104352.151057300.bin</t>
  </si>
  <si>
    <t>-715.76063582261 114.844866882285 -530.529501415401</t>
  </si>
  <si>
    <t>-776.425886882663 120.383261225168 -242.640144356528</t>
  </si>
  <si>
    <t>-539.935095025119 164.28618700102 -256.622402322752</t>
  </si>
  <si>
    <t>-640.726585998415 58.5896145929837 -102.014877106318</t>
  </si>
  <si>
    <t>-647.811166124077 73.5408322450323 301.198441088545</t>
  </si>
  <si>
    <t>-697.035629265024 97.2628675606577 745.768773725645</t>
  </si>
  <si>
    <t>-552.553722304156 119.383630409619 806.78480092179</t>
  </si>
  <si>
    <t>-577.968778821191 -133.345744315696 305.309772753661</t>
  </si>
  <si>
    <t>-609.638027159702 -143.019268791501 751.967930348857</t>
  </si>
  <si>
    <t>-476.02587265399 -185.54286044152 825.634865047474</t>
  </si>
  <si>
    <t>9763-20170724T104352.190161500.bin</t>
  </si>
  <si>
    <t>-716.22433652467 114.888584351562 -530.533548245019</t>
  </si>
  <si>
    <t>-776.791438715876 120.560553143215 -242.626201003974</t>
  </si>
  <si>
    <t>-540.279484527468 164.325226319073 -256.685363317883</t>
  </si>
  <si>
    <t>-640.839076429256 58.6787870070496 -102.015017115152</t>
  </si>
  <si>
    <t>-647.848476500413 73.6135056979922 301.200169947082</t>
  </si>
  <si>
    <t>-697.040803907343 97.281399757331 745.778284257693</t>
  </si>
  <si>
    <t>-552.56772226721 119.46081785316 806.793932469831</t>
  </si>
  <si>
    <t>-577.998389693101 -133.184853482898 305.304191745121</t>
  </si>
  <si>
    <t>-609.627619338227 -142.840009185562 751.957539672548</t>
  </si>
  <si>
    <t>-476.135752454352 -185.713688879579 825.639646564034</t>
  </si>
  <si>
    <t>9763-20170724T104352.254841700.bin</t>
  </si>
  <si>
    <t>-717.130867734182 114.828016833546 -530.539979905573</t>
  </si>
  <si>
    <t>-777.468308666546 120.676968966968 -242.587797369945</t>
  </si>
  <si>
    <t>-540.91442131823 164.170556243349 -256.779749655769</t>
  </si>
  <si>
    <t>-641.133050427244 58.8257659079165 -102.026782369135</t>
  </si>
  <si>
    <t>-647.947145874457 73.6816465010616 301.194684453304</t>
  </si>
  <si>
    <t>-697.045071843953 97.30159434646 745.786577076162</t>
  </si>
  <si>
    <t>-552.578072160962 119.519119803728 806.80268733398</t>
  </si>
  <si>
    <t>-578.097393937666 -133.117181944797 305.301661756158</t>
  </si>
  <si>
    <t>-609.629124412055 -142.895814117152 751.954319337388</t>
  </si>
  <si>
    <t>-476.038376238292 -185.474332746127 825.628512705391</t>
  </si>
  <si>
    <t>9763-20170724T104352.286947900.bin</t>
  </si>
  <si>
    <t>-717.518992882714 114.77951443686 -530.55162493033</t>
  </si>
  <si>
    <t>-777.751340469444 120.71994916716 -242.579445503173</t>
  </si>
  <si>
    <t>-541.174590412994 164.071151212399 -256.826756781459</t>
  </si>
  <si>
    <t>-641.255846563139 58.8504298715316 -102.030668901322</t>
  </si>
  <si>
    <t>-648.001730006096 73.6865207129713 301.192624061425</t>
  </si>
  <si>
    <t>-697.046335272713 97.3029998563759 745.788114176383</t>
  </si>
  <si>
    <t>-552.571423893377 119.46024663861 806.807370595793</t>
  </si>
  <si>
    <t>-578.128739865799 -133.059056977274 305.295045772178</t>
  </si>
  <si>
    <t>-609.62323791275 -142.799924523932 751.952093497443</t>
  </si>
  <si>
    <t>-476.037091973153 -185.392457485944 825.626520619353</t>
  </si>
  <si>
    <t>9763-20170724T104352.352658500.bin</t>
  </si>
  <si>
    <t>-718.290731642492 114.624574322763 -530.563639440063</t>
  </si>
  <si>
    <t>-778.309085571092 120.770382614795 -242.551168843158</t>
  </si>
  <si>
    <t>-541.689182782648 163.839855805957 -256.935940136577</t>
  </si>
  <si>
    <t>-641.520951213839 58.8955868554954 -102.043950662553</t>
  </si>
  <si>
    <t>-648.09916698977 73.6859185174189 301.183825336252</t>
  </si>
  <si>
    <t>-697.050319429638 97.3175795559935 745.791868357724</t>
  </si>
  <si>
    <t>-552.597903015019 119.63074740624 806.807462978492</t>
  </si>
  <si>
    <t>-578.202591179555 -133.045997979181 305.278735985066</t>
  </si>
  <si>
    <t>-609.627457616712 -142.916604973363 751.947101778389</t>
  </si>
  <si>
    <t>-475.9878012087 -185.343587973879 825.620033375363</t>
  </si>
  <si>
    <t>9763-20170724T104352.387759800.bin</t>
  </si>
  <si>
    <t>-718.649759503681 114.631592603713 -530.56531628141</t>
  </si>
  <si>
    <t>-778.608050986158 120.905007651419 -242.543031295288</t>
  </si>
  <si>
    <t>-541.966927480801 163.83948767991 -256.981818488723</t>
  </si>
  <si>
    <t>-641.664615264663 58.9426768178189 -102.045700587634</t>
  </si>
  <si>
    <t>-648.174287812193 73.7079654240324 301.184079313011</t>
  </si>
  <si>
    <t>-697.066007980715 97.3511990065642 745.796162350424</t>
  </si>
  <si>
    <t>-552.618466527579 119.714604086352 806.804927853023</t>
  </si>
  <si>
    <t>-578.242316646978 -132.986643178118 305.271099877845</t>
  </si>
  <si>
    <t>-609.624898979152 -142.850528919582 751.946720394722</t>
  </si>
  <si>
    <t>-476.031844451466 -185.416494568203 825.624012708236</t>
  </si>
  <si>
    <t>9763-20170724T104352.449929000.bin</t>
  </si>
  <si>
    <t>-719.217342076319 114.564628937775 -530.589422380441</t>
  </si>
  <si>
    <t>-779.094644043401 121.044343784808 -242.554721529831</t>
  </si>
  <si>
    <t>-542.430501674485 163.830252843238 -257.056786121136</t>
  </si>
  <si>
    <t>-641.894202757453 58.9490929250251 -102.043333014877</t>
  </si>
  <si>
    <t>-648.306857334875 73.7257917103761 301.187604445465</t>
  </si>
  <si>
    <t>-697.073150380737 97.3252129080686 745.816312743109</t>
  </si>
  <si>
    <t>-552.609318491698 119.621525641913 806.811114789017</t>
  </si>
  <si>
    <t>-578.304989825303 -132.92343693055 305.263621783017</t>
  </si>
  <si>
    <t>-609.6203881423 -142.820255794551 751.947037916368</t>
  </si>
  <si>
    <t>-475.949904679009 -185.159900900228 825.614265060467</t>
  </si>
  <si>
    <t>9763-20170724T104352.489032900.bin</t>
  </si>
  <si>
    <t>-719.498970047555 114.469305478867 -530.577254544828</t>
  </si>
  <si>
    <t>-779.334500890269 121.040006956543 -242.53584906683</t>
  </si>
  <si>
    <t>-542.667685992793 163.807103019224 -257.050743341327</t>
  </si>
  <si>
    <t>-642.026395737067 58.9389268407547 -102.050256169688</t>
  </si>
  <si>
    <t>-648.366205799217 73.7118583148763 301.182015506985</t>
  </si>
  <si>
    <t>-697.074832060153 97.3134958807418 745.820231342554</t>
  </si>
  <si>
    <t>-552.614716470654 119.638412950713 806.813304229195</t>
  </si>
  <si>
    <t>-578.360273769629 -132.979902853 305.267115270635</t>
  </si>
  <si>
    <t>-609.629513785894 -142.980666026385 751.950287671184</t>
  </si>
  <si>
    <t>-475.92336090286 -185.209069823322 825.616490866509</t>
  </si>
  <si>
    <t>9763-20170724T104352.554233900.bin</t>
  </si>
  <si>
    <t>-719.957006281396 114.46368768307 -530.537898060149</t>
  </si>
  <si>
    <t>-779.662114460274 121.10623368506 -242.471281017798</t>
  </si>
  <si>
    <t>-543.001051597273 163.878452666866 -257.063806580801</t>
  </si>
  <si>
    <t>-642.246898338601 58.9621762857516 -102.080933901026</t>
  </si>
  <si>
    <t>-648.466502161937 73.7580514633032 301.152380970229</t>
  </si>
  <si>
    <t>-697.083929449218 97.3354732424591 745.813224021335</t>
  </si>
  <si>
    <t>-552.628165367699 119.685660842019 806.807519678312</t>
  </si>
  <si>
    <t>-578.415019854351 -132.806775562808 305.280318822503</t>
  </si>
  <si>
    <t>-609.615972151711 -142.686672237167 751.951701770379</t>
  </si>
  <si>
    <t>-476.022548765991 -185.251860234826 825.628622394554</t>
  </si>
  <si>
    <t>9763-20170724T104352.587321400.bin</t>
  </si>
  <si>
    <t>-720.150694743981 114.419346619754 -530.521494960681</t>
  </si>
  <si>
    <t>-779.807855567267 121.108849504935 -242.446092428873</t>
  </si>
  <si>
    <t>-543.135844703127 163.801026475042 -257.09569349631</t>
  </si>
  <si>
    <t>-642.327580130113 58.9502113974513 -102.096943941229</t>
  </si>
  <si>
    <t>-648.494181710574 73.763786705523 301.136469333592</t>
  </si>
  <si>
    <t>-697.086333648482 97.3357972152037 745.799997647449</t>
  </si>
  <si>
    <t>-552.641281004995 119.751555079705 806.795533405889</t>
  </si>
  <si>
    <t>-578.43730775814 -132.743943646495 305.292820407116</t>
  </si>
  <si>
    <t>-609.617764698938 -142.645913523787 751.956374456939</t>
  </si>
  <si>
    <t>-476.077508956685 -185.368628371939 825.638423835233</t>
  </si>
  <si>
    <t>9763-20170724T104352.653514000.bin</t>
  </si>
  <si>
    <t>-720.470132120991 114.227045668468 -530.557198985134</t>
  </si>
  <si>
    <t>-779.955433377443 121.009323497319 -242.448280537484</t>
  </si>
  <si>
    <t>-543.261200529836 163.542771778961 -257.201569511428</t>
  </si>
  <si>
    <t>-642.538474333833 58.9218005838629 -102.135065682268</t>
  </si>
  <si>
    <t>-648.594847879099 73.744102562265 301.099719975989</t>
  </si>
  <si>
    <t>-697.088110894201 97.3308663833841 745.772490816162</t>
  </si>
  <si>
    <t>-552.664131495607 119.897823821979 806.762208189804</t>
  </si>
  <si>
    <t>-578.540353496896 -132.784601033555 305.294603450621</t>
  </si>
  <si>
    <t>-609.633298020816 -142.714429196233 751.971586869285</t>
  </si>
  <si>
    <t>-475.995781289823 -185.168162567716 825.633024333419</t>
  </si>
  <si>
    <t>9763-20170724T104352.686602200.bin</t>
  </si>
  <si>
    <t>-720.507307302042 114.131036754698 -530.585445485135</t>
  </si>
  <si>
    <t>-779.992362659358 120.962498022343 -242.477736306103</t>
  </si>
  <si>
    <t>-543.298460163998 163.487800421568 -257.259038725468</t>
  </si>
  <si>
    <t>-642.604850667682 58.8634488363734 -102.149282464009</t>
  </si>
  <si>
    <t>-648.655245684199 73.7152920606623 301.084512032039</t>
  </si>
  <si>
    <t>-697.085804523457 97.3108671202469 745.765659218335</t>
  </si>
  <si>
    <t>-552.611907509586 119.555335052449 806.755739603903</t>
  </si>
  <si>
    <t>-578.600892683074 -132.824255117201 305.297381430693</t>
  </si>
  <si>
    <t>-609.641005492679 -142.762945780027 751.979233641847</t>
  </si>
  <si>
    <t>-475.957094673054 -185.087787421444 825.630676387182</t>
  </si>
  <si>
    <t>9763-20170724T104352.752339900.bin</t>
  </si>
  <si>
    <t>-720.581448773711 114.006283442375 -530.672178250754</t>
  </si>
  <si>
    <t>-780.077565280075 120.884033082833 -242.567778373429</t>
  </si>
  <si>
    <t>-543.38662953717 163.428840642124 -257.338090443333</t>
  </si>
  <si>
    <t>-642.732341049188 58.843824616273 -102.179231284328</t>
  </si>
  <si>
    <t>-648.751744814151 73.7764862943418 301.051996068356</t>
  </si>
  <si>
    <t>-697.097840275212 97.3354774570512 745.744570733881</t>
  </si>
  <si>
    <t>-552.653017315977 119.777874171692 806.730770251841</t>
  </si>
  <si>
    <t>-578.641223245229 -132.696365060767 305.29010935926</t>
  </si>
  <si>
    <t>-609.633347256919 -142.577472794736 751.975934958375</t>
  </si>
  <si>
    <t>-476.144020946404 -185.483891990974 825.643622858982</t>
  </si>
  <si>
    <t>9763-20170724T104352.789438100.bin</t>
  </si>
  <si>
    <t>-720.565154778262 113.9800930969 -530.710961847763</t>
  </si>
  <si>
    <t>-780.088529382656 120.899955166664 -242.613113163676</t>
  </si>
  <si>
    <t>-543.41284188268 163.531872391902 -257.378909903421</t>
  </si>
  <si>
    <t>-642.731796846591 58.8496455473426 -102.195092680815</t>
  </si>
  <si>
    <t>-648.797685335264 73.817076547904 301.034161091395</t>
  </si>
  <si>
    <t>-697.100198365099 97.3405738802774 745.731753149017</t>
  </si>
  <si>
    <t>-552.672331080196 119.888592984557 806.71916246557</t>
  </si>
  <si>
    <t>-578.658251321902 -132.685313437506 305.289579299851</t>
  </si>
  <si>
    <t>-609.633418665907 -142.555195375667 751.975431794227</t>
  </si>
  <si>
    <t>-476.165568656253 -185.527329892556 825.643821122244</t>
  </si>
  <si>
    <t>9763-20170724T104352.830558500.bin</t>
  </si>
  <si>
    <t>-720.540531082177 113.845298557069 -530.730157693672</t>
  </si>
  <si>
    <t>-780.006701963512 120.807591913617 -242.621781582219</t>
  </si>
  <si>
    <t>-543.358811969674 163.57327966281 -257.445709431546</t>
  </si>
  <si>
    <t>-642.682180569367 58.7537764713254 -102.197051825164</t>
  </si>
  <si>
    <t>-648.797192306671 73.7521194417604 301.030292548506</t>
  </si>
  <si>
    <t>-697.082189103299 97.271857726656 745.722499974765</t>
  </si>
  <si>
    <t>-552.593568243016 119.392340059483 806.722583867065</t>
  </si>
  <si>
    <t>-578.679965574627 -132.802948954121 305.29681413646</t>
  </si>
  <si>
    <t>-609.639387433092 -142.667667575794 751.9811122195</t>
  </si>
  <si>
    <t>-476.025444963106 -185.209836199017 825.63423056924</t>
  </si>
  <si>
    <t>9763-20170724T104352.891727800.bin</t>
  </si>
  <si>
    <t>-720.510104196715 113.596938365661 -530.734687994468</t>
  </si>
  <si>
    <t>-779.766238461095 120.543341357716 -242.582680164513</t>
  </si>
  <si>
    <t>-543.194243780487 163.653976112542 -257.616908221223</t>
  </si>
  <si>
    <t>-642.588829556441 58.6995132933191 -102.192452365073</t>
  </si>
  <si>
    <t>-648.725535173114 73.6811703293383 301.035202118905</t>
  </si>
  <si>
    <t>-697.0921724105 97.3011422082425 745.714008870373</t>
  </si>
  <si>
    <t>-552.63132843442 119.589335876946 806.718872745738</t>
  </si>
  <si>
    <t>-578.592894701838 -132.866153028671 305.290855002931</t>
  </si>
  <si>
    <t>-609.637641038481 -142.617299179783 751.982005580645</t>
  </si>
  <si>
    <t>-475.966605903698 -184.993287699141 825.627325339255</t>
  </si>
  <si>
    <t>9763-20170724T104352.918809100.bin</t>
  </si>
  <si>
    <t>-720.427306802099 113.467823541383 -530.70327296737</t>
  </si>
  <si>
    <t>-779.573013002109 120.289829869994 -242.525451478027</t>
  </si>
  <si>
    <t>-543.038905003751 163.554512164162 -257.712887870689</t>
  </si>
  <si>
    <t>-642.495766390181 58.6135642311481 -102.185358788315</t>
  </si>
  <si>
    <t>-648.670946768412 73.6369211792639 301.04017848916</t>
  </si>
  <si>
    <t>-697.096972397022 97.3017194986189 745.70910725542</t>
  </si>
  <si>
    <t>-552.655554025831 119.724047101083 806.710676680715</t>
  </si>
  <si>
    <t>-578.528949966948 -132.911710565298 305.296880373163</t>
  </si>
  <si>
    <t>-609.641281651925 -142.674437030911 751.984925100764</t>
  </si>
  <si>
    <t>-475.989580215482 -185.10827831099 825.631949015103</t>
  </si>
  <si>
    <t>9763-20170724T104352.986007700.bin</t>
  </si>
  <si>
    <t>-720.084085501088 113.258950866207 -530.609978377291</t>
  </si>
  <si>
    <t>-779.108993031209 119.802373552264 -242.400986660225</t>
  </si>
  <si>
    <t>-542.637030102439 163.370549138035 -257.688228708174</t>
  </si>
  <si>
    <t>-642.3229841913 58.52054868805 -102.167010722279</t>
  </si>
  <si>
    <t>-648.523459302068 73.5075170102023 301.059443474428</t>
  </si>
  <si>
    <t>-697.098279735049 97.269934528565 745.706889621994</t>
  </si>
  <si>
    <t>-552.643895898859 119.616716761058 806.705600617576</t>
  </si>
  <si>
    <t>-578.363132795342 -132.979874420975 305.309977883624</t>
  </si>
  <si>
    <t>-609.640712255444 -142.648887546189 751.988756370274</t>
  </si>
  <si>
    <t>-475.947346243119 -184.968334441236 825.626144376134</t>
  </si>
  <si>
    <t>9763-20170724T104353.021739900.bin</t>
  </si>
  <si>
    <t>-719.802573527655 113.22350294334 -530.586938277958</t>
  </si>
  <si>
    <t>-778.881127868433 119.606776005042 -242.385235786528</t>
  </si>
  <si>
    <t>-542.419312533905 163.248951377639 -257.617115511585</t>
  </si>
  <si>
    <t>-642.258492202191 58.4650773548813 -102.158990830008</t>
  </si>
  <si>
    <t>-648.453386914381 73.449626945255 301.067693963794</t>
  </si>
  <si>
    <t>-697.095034668752 97.2386911083097 745.705301509703</t>
  </si>
  <si>
    <t>-552.657276122634 119.697128635499 806.702532042018</t>
  </si>
  <si>
    <t>-578.277696805049 -133.069602058889 305.314131324904</t>
  </si>
  <si>
    <t>-609.646185958435 -142.797364939322 751.988418136491</t>
  </si>
  <si>
    <t>-475.846061918711 -184.795660704605 825.615501464735</t>
  </si>
  <si>
    <t>9763-20170724T104353.087916300.bin</t>
  </si>
  <si>
    <t>-719.086206700926 113.318505594393 -530.561384693642</t>
  </si>
  <si>
    <t>-778.402562146353 119.540686985786 -242.405109745809</t>
  </si>
  <si>
    <t>-541.920786504016 163.122001529442 -257.501924092672</t>
  </si>
  <si>
    <t>-642.10805148021 58.4192616234611 -102.140342352577</t>
  </si>
  <si>
    <t>-648.342849657531 73.3940454854146 301.086081362256</t>
  </si>
  <si>
    <t>-697.089497458043 97.2167229476561 745.710027566196</t>
  </si>
  <si>
    <t>-552.639062748358 119.581119891028 806.711791249306</t>
  </si>
  <si>
    <t>-578.125399822849 -133.088082777297 305.316225171919</t>
  </si>
  <si>
    <t>-609.643430670123 -142.761492367704 751.984254148462</t>
  </si>
  <si>
    <t>-475.903616548502 -184.940909068557 825.617543781941</t>
  </si>
  <si>
    <t>9763-20170724T104353.153111000.bin</t>
  </si>
  <si>
    <t>-718.376763591349 113.473611992398 -530.579331123592</t>
  </si>
  <si>
    <t>-777.939882697195 119.444857624905 -242.468543057281</t>
  </si>
  <si>
    <t>-541.445840338263 163.023224695291 -257.381464891617</t>
  </si>
  <si>
    <t>-642.044073963514 58.4006413787495 -102.109623136089</t>
  </si>
  <si>
    <t>-648.343085047569 73.3764747761779 301.115780914727</t>
  </si>
  <si>
    <t>-697.102531836136 97.2474452257056 745.727395834861</t>
  </si>
  <si>
    <t>-552.659543607198 119.658400252683 806.729554578579</t>
  </si>
  <si>
    <t>-577.942473359419 -133.104064024112 305.294645307472</t>
  </si>
  <si>
    <t>-609.642693596409 -142.816470153499 751.969412064099</t>
  </si>
  <si>
    <t>-475.865380562761 -184.872255968405 825.605211616567</t>
  </si>
  <si>
    <t>9763-20170724T104353.185195600.bin</t>
  </si>
  <si>
    <t>-718.003036024885 113.577982919485 -530.600558349396</t>
  </si>
  <si>
    <t>-777.713169954684 119.466002296981 -242.51852274478</t>
  </si>
  <si>
    <t>-541.208841113778 163.015143723072 -257.352161523143</t>
  </si>
  <si>
    <t>-642.015500311221 58.3911845549337 -102.090475179498</t>
  </si>
  <si>
    <t>-648.342032693787 73.3760604562094 301.134142521763</t>
  </si>
  <si>
    <t>-697.107472828917 97.2624075926033 745.745706030258</t>
  </si>
  <si>
    <t>-552.677661345816 119.750862316237 806.750575968425</t>
  </si>
  <si>
    <t>-577.866152239633 -133.068285689829 305.280536359959</t>
  </si>
  <si>
    <t>-609.631707455492 -142.64733804327 751.954949164867</t>
  </si>
  <si>
    <t>-475.938338808374 -184.952600653676 825.600335400307</t>
  </si>
  <si>
    <t>9763-20170724T104353.255404200.bin</t>
  </si>
  <si>
    <t>-717.140815307909 113.681133050899 -530.638458391277</t>
  </si>
  <si>
    <t>-777.265593295548 119.547864477707 -242.642213865463</t>
  </si>
  <si>
    <t>-540.718281583967 162.958659391806 -257.194304555376</t>
  </si>
  <si>
    <t>-641.882249368138 58.2793909592901 -102.036993013849</t>
  </si>
  <si>
    <t>-648.280911102346 73.3070686950625 301.184946019147</t>
  </si>
  <si>
    <t>-697.090559237695 97.1824058569475 745.787258011353</t>
  </si>
  <si>
    <t>-552.590939726205 119.204851438556 806.796861200095</t>
  </si>
  <si>
    <t>-577.838357077264 -133.026537884816 305.271154011892</t>
  </si>
  <si>
    <t>-609.62575403804 -142.372898305063 751.94044331716</t>
  </si>
  <si>
    <t>-476.086718642582 -185.134754334101 825.602151156968</t>
  </si>
  <si>
    <t>9763-20170724T104353.288493100.bin</t>
  </si>
  <si>
    <t>-716.671020099189 113.690651350087 -530.659627266272</t>
  </si>
  <si>
    <t>-777.013262031633 119.565545296777 -242.709009899144</t>
  </si>
  <si>
    <t>-540.439999370219 162.89040152548 -257.093987412757</t>
  </si>
  <si>
    <t>-641.786216160175 58.2242317004693 -102.012549872084</t>
  </si>
  <si>
    <t>-648.246980256598 73.2582866958514 301.208104597154</t>
  </si>
  <si>
    <t>-697.09512522956 97.1889159766479 745.79996547257</t>
  </si>
  <si>
    <t>-552.592030908061 119.198144826746 806.806215184328</t>
  </si>
  <si>
    <t>-577.855349276289 -133.182360326908 305.281049883333</t>
  </si>
  <si>
    <t>-609.638143095458 -142.582908332681 751.947973201014</t>
  </si>
  <si>
    <t>-475.926510755255 -184.838986073306 825.588555744322</t>
  </si>
  <si>
    <t>9763-20170724T104353.352204700.bin</t>
  </si>
  <si>
    <t>-715.700970305268 113.920179523186 -530.701203580247</t>
  </si>
  <si>
    <t>-776.407035963596 119.765636410374 -242.826469113655</t>
  </si>
  <si>
    <t>-539.809313309768 163.034647351204 -256.975250557712</t>
  </si>
  <si>
    <t>-641.434527316716 58.2327450072703 -101.98625406291</t>
  </si>
  <si>
    <t>-648.163550639933 73.269368438077 301.229904876707</t>
  </si>
  <si>
    <t>-697.09873585404 97.1683635994152 745.82026453222</t>
  </si>
  <si>
    <t>-552.636261132935 119.46465889111 806.818233864456</t>
  </si>
  <si>
    <t>-577.872865141071 -133.261774107184 305.303393944476</t>
  </si>
  <si>
    <t>-609.651014857221 -142.708889085978 751.95773731595</t>
  </si>
  <si>
    <t>-475.998673976484 -185.144073626067 825.602807234515</t>
  </si>
  <si>
    <t>9763-20170724T104353.396321700.bin</t>
  </si>
  <si>
    <t>-715.192750341061 114.19708579976 -530.721201236381</t>
  </si>
  <si>
    <t>-776.045449918062 119.977601975271 -242.876289837524</t>
  </si>
  <si>
    <t>-539.441754237406 163.245005312282 -256.928839814383</t>
  </si>
  <si>
    <t>-641.237373130987 58.3376269685716 -101.97713198299</t>
  </si>
  <si>
    <t>-648.080177103102 73.3652207485191 301.237541744428</t>
  </si>
  <si>
    <t>-697.113911654876 97.2204701546059 745.821882399946</t>
  </si>
  <si>
    <t>-552.698916941386 119.84051970847 806.813290337902</t>
  </si>
  <si>
    <t>-577.83986871594 -133.11345432563 305.315481154283</t>
  </si>
  <si>
    <t>-609.640965744987 -142.457194463753 751.959740980684</t>
  </si>
  <si>
    <t>-476.227648491036 -185.597946721037 825.628285544881</t>
  </si>
  <si>
    <t>9763-20170724T104353.452512600.bin</t>
  </si>
  <si>
    <t>-714.179807334966 114.481874695132 -530.752918541206</t>
  </si>
  <si>
    <t>-775.332520771371 120.246741217927 -242.971061472833</t>
  </si>
  <si>
    <t>-538.69217655846 163.393498085044 -256.776362664191</t>
  </si>
  <si>
    <t>-640.763405152948 58.4055636888418 -101.954604668094</t>
  </si>
  <si>
    <t>-647.920329078119 73.3682222391521 301.256930122674</t>
  </si>
  <si>
    <t>-697.102861411263 97.1303844416072 745.831942696345</t>
  </si>
  <si>
    <t>-552.630268051318 119.409925948886 806.812197732801</t>
  </si>
  <si>
    <t>-577.719416341577 -133.109907156613 305.334644437961</t>
  </si>
  <si>
    <t>-609.640698928805 -142.367107687259 751.967887293644</t>
  </si>
  <si>
    <t>-476.109257639467 -185.17085463054 825.619058294732</t>
  </si>
  <si>
    <t>9763-20170724T104353.487606200.bin</t>
  </si>
  <si>
    <t>-713.692973378636 114.524357537184 -530.771577732449</t>
  </si>
  <si>
    <t>-774.97211067415 120.255379679755 -243.016121805127</t>
  </si>
  <si>
    <t>-538.319930658518 163.368234849263 -256.722897482883</t>
  </si>
  <si>
    <t>-640.529903704728 58.3972836074279 -101.950465717851</t>
  </si>
  <si>
    <t>-647.886805777517 73.3335622952827 301.258498669122</t>
  </si>
  <si>
    <t>-697.097086703187 97.0990359901284 745.832918560027</t>
  </si>
  <si>
    <t>-552.625510571632 119.413632190993 806.802807975484</t>
  </si>
  <si>
    <t>-577.616313846579 -133.253389734206 305.353665858919</t>
  </si>
  <si>
    <t>-609.657233472892 -142.583746434669 751.975861306564</t>
  </si>
  <si>
    <t>-476.002964500621 -185.030518638558 825.610768971091</t>
  </si>
  <si>
    <t>9763-20170724T104353.553284700.bin</t>
  </si>
  <si>
    <t>-712.7594632931 114.596730420875 -530.83443188128</t>
  </si>
  <si>
    <t>-774.236296018029 120.215146664501 -243.118924577489</t>
  </si>
  <si>
    <t>-537.601679497096 163.461729232196 -256.707391776772</t>
  </si>
  <si>
    <t>-640.139411012153 58.3724715972098 -101.95800663265</t>
  </si>
  <si>
    <t>-647.770816645195 73.3488747513054 301.244297417688</t>
  </si>
  <si>
    <t>-697.113553913956 97.1307101779412 745.817493901435</t>
  </si>
  <si>
    <t>-552.646698393058 119.538368252532 806.764337624887</t>
  </si>
  <si>
    <t>-577.429041053201 -133.361539274021 305.368578150625</t>
  </si>
  <si>
    <t>-609.657245862909 -142.569912058234 751.974760379596</t>
  </si>
  <si>
    <t>-475.983644738987 -184.951027037418 825.612362848031</t>
  </si>
  <si>
    <t>9763-20170724T104353.586372500.bin</t>
  </si>
  <si>
    <t>-712.371875858056 114.650319732224 -530.878484677615</t>
  </si>
  <si>
    <t>-773.928798670711 120.185938468144 -243.178439630061</t>
  </si>
  <si>
    <t>-537.312377525226 163.552067770142 -256.703211611614</t>
  </si>
  <si>
    <t>-639.984983345931 58.4174909109749 -101.961935934674</t>
  </si>
  <si>
    <t>-647.688047362812 73.3692055016388 301.239931485981</t>
  </si>
  <si>
    <t>-697.12312006856 97.1610961323972 745.804532264302</t>
  </si>
  <si>
    <t>-552.679433647 119.728222096803 806.747414433304</t>
  </si>
  <si>
    <t>-577.373025432648 -133.332626007408 305.370008058128</t>
  </si>
  <si>
    <t>-609.652409462707 -142.53827300931 751.971344836299</t>
  </si>
  <si>
    <t>-476.0296978331 -185.064096922643 825.617978972415</t>
  </si>
  <si>
    <t>9763-20170724T104353.652559500.bin</t>
  </si>
  <si>
    <t>-711.596600463833 114.863671268943 -530.940473125658</t>
  </si>
  <si>
    <t>-773.490406127905 120.346381360798 -243.31179212005</t>
  </si>
  <si>
    <t>-536.906696561583 163.966786071097 -256.587980415871</t>
  </si>
  <si>
    <t>-639.577067121382 58.5097039662428 -101.955531695863</t>
  </si>
  <si>
    <t>-647.529180395239 73.4462926429692 301.242089633953</t>
  </si>
  <si>
    <t>-697.120965375089 97.1630828071407 745.787944563686</t>
  </si>
  <si>
    <t>-552.686683849316 119.788174554724 806.731744825003</t>
  </si>
  <si>
    <t>-577.205654872145 -133.277082594962 305.374105535675</t>
  </si>
  <si>
    <t>-609.642257905204 -142.33125999947 751.964393934115</t>
  </si>
  <si>
    <t>-476.123926045183 -185.150453185789 825.630303922124</t>
  </si>
  <si>
    <t>9763-20170724T104353.685641000.bin</t>
  </si>
  <si>
    <t>-711.235479203586 114.972844113812 -530.998764515915</t>
  </si>
  <si>
    <t>-773.315686284879 120.365003229193 -243.408521560782</t>
  </si>
  <si>
    <t>-536.757829008294 164.188368790957 -256.475677294634</t>
  </si>
  <si>
    <t>-639.403547138422 58.5406469745687 -101.961128489838</t>
  </si>
  <si>
    <t>-647.49547967061 73.4489012483309 301.234800397893</t>
  </si>
  <si>
    <t>-697.109913823905 97.1153973496569 745.779360371045</t>
  </si>
  <si>
    <t>-552.623504890764 119.391572458987 806.728161733145</t>
  </si>
  <si>
    <t>-577.139094252013 -133.241920254639 305.369577359493</t>
  </si>
  <si>
    <t>-609.637074075459 -142.24831941299 751.961516039104</t>
  </si>
  <si>
    <t>-476.121583279186 -185.074330386617 825.628606187772</t>
  </si>
  <si>
    <t>9763-20170724T104353.755832900.bin</t>
  </si>
  <si>
    <t>-710.601684960509 115.076094672956 -531.007670062751</t>
  </si>
  <si>
    <t>-773.079799785173 120.333494190538 -243.501032901398</t>
  </si>
  <si>
    <t>-536.549723268128 164.414010654068 -256.201209536387</t>
  </si>
  <si>
    <t>-639.112026596423 58.5285892418372 -101.962223541071</t>
  </si>
  <si>
    <t>-647.448767908586 73.4537231461738 301.228041032423</t>
  </si>
  <si>
    <t>-697.117007134153 97.1449160629204 745.76774621752</t>
  </si>
  <si>
    <t>-552.685250303901 119.790774117345 806.709837208084</t>
  </si>
  <si>
    <t>-577.082605538239 -133.432599599686 305.376107113936</t>
  </si>
  <si>
    <t>-609.658449555071 -142.591613219477 751.968070070192</t>
  </si>
  <si>
    <t>-475.940769119203 -184.816179808365 825.615653887305</t>
  </si>
  <si>
    <t>9763-20170724T104353.787921100.bin</t>
  </si>
  <si>
    <t>-710.284422074769 115.258611335167 -530.988756562343</t>
  </si>
  <si>
    <t>-772.909190865162 120.435664036045 -243.512665301637</t>
  </si>
  <si>
    <t>-536.392787940195 164.625201712257 -256.088201552849</t>
  </si>
  <si>
    <t>-638.999595599042 58.5821299244146 -101.959517429784</t>
  </si>
  <si>
    <t>-647.395707984796 73.4862535667096 301.230280094123</t>
  </si>
  <si>
    <t>-697.118536374218 97.1403118363003 745.763200441351</t>
  </si>
  <si>
    <t>-552.673243006839 119.702714319179 806.703984509203</t>
  </si>
  <si>
    <t>-577.04353695909 -133.337058158312 305.379801543577</t>
  </si>
  <si>
    <t>-609.650004267667 -142.398003905261 751.963506719587</t>
  </si>
  <si>
    <t>-476.128739968666 -185.207907035806 825.629488357069</t>
  </si>
  <si>
    <t>9763-20170724T104353.852097100.bin</t>
  </si>
  <si>
    <t>-709.739281172653 115.541733265483 -530.967188297469</t>
  </si>
  <si>
    <t>-772.63335711673 120.522375015766 -243.546290850565</t>
  </si>
  <si>
    <t>-536.129139735897 164.816127447819 -255.983192725747</t>
  </si>
  <si>
    <t>-638.831614143069 58.5937247168147 -101.932314716437</t>
  </si>
  <si>
    <t>-647.29268894189 73.4819422561568 301.256719985881</t>
  </si>
  <si>
    <t>-697.122547351312 97.1368204534649 745.762226924575</t>
  </si>
  <si>
    <t>-552.702870940241 119.903036806829 806.68799535226</t>
  </si>
  <si>
    <t>-577.006997577319 -133.420511527102 305.368893747221</t>
  </si>
  <si>
    <t>-609.656187140707 -142.475068427318 751.958884115829</t>
  </si>
  <si>
    <t>-475.997646798468 -184.873353932065 825.614069653248</t>
  </si>
  <si>
    <t>9763-20170724T104353.884182100.bin</t>
  </si>
  <si>
    <t>-709.521883098188 115.67908177391 -530.943804799782</t>
  </si>
  <si>
    <t>-772.57065713991 120.593517953556 -243.555594470338</t>
  </si>
  <si>
    <t>-536.052698252249 164.832454478606 -255.927859765598</t>
  </si>
  <si>
    <t>-638.80081522181 58.5920184556232 -101.923880213691</t>
  </si>
  <si>
    <t>-647.291387251716 73.475035060331 301.264723806246</t>
  </si>
  <si>
    <t>-697.122319285306 97.1319877374526 745.764490375573</t>
  </si>
  <si>
    <t>-552.697783272305 119.870967610226 806.688940272744</t>
  </si>
  <si>
    <t>-577.011396674042 -133.463734053247 305.36851426476</t>
  </si>
  <si>
    <t>-609.663138029793 -142.568428228791 751.958924311143</t>
  </si>
  <si>
    <t>-475.989462735962 -184.921290721646 825.612815754364</t>
  </si>
  <si>
    <t>9763-20170724T104353.953373700.bin</t>
  </si>
  <si>
    <t>-709.263346803031 115.99804659029 -530.908942703874</t>
  </si>
  <si>
    <t>-772.647105233178 120.704581741966 -243.591067032706</t>
  </si>
  <si>
    <t>-536.113218102614 164.912760260512 -255.765571095427</t>
  </si>
  <si>
    <t>-638.842593535558 58.6676468240546 -101.929398239888</t>
  </si>
  <si>
    <t>-647.313811664374 73.569349425489 301.258989699028</t>
  </si>
  <si>
    <t>-697.112193608208 97.1219607127407 745.771528938911</t>
  </si>
  <si>
    <t>-552.667185686466 119.69225395746 806.710198360454</t>
  </si>
  <si>
    <t>-577.08573668007 -133.243764984757 305.350286041836</t>
  </si>
  <si>
    <t>-609.639832690794 -142.173466552524 751.941900841294</t>
  </si>
  <si>
    <t>-476.204044919891 -185.219060976204 825.625469664796</t>
  </si>
  <si>
    <t>9763-20170724T104353.986459100.bin</t>
  </si>
  <si>
    <t>-709.19754586888 116.056445201069 -530.907902525443</t>
  </si>
  <si>
    <t>-772.72570693478 120.637175909392 -243.619908244454</t>
  </si>
  <si>
    <t>-536.188448225632 164.866167537183 -255.653430249206</t>
  </si>
  <si>
    <t>-638.890024553013 58.6769373172294 -101.930228035419</t>
  </si>
  <si>
    <t>-647.366894177751 73.5738603122793 301.258168608621</t>
  </si>
  <si>
    <t>-697.114788849267 97.1356604607938 745.775317160228</t>
  </si>
  <si>
    <t>-552.659260791666 119.627693127178 806.717923482666</t>
  </si>
  <si>
    <t>-577.146328005893 -133.278211719341 305.341514782552</t>
  </si>
  <si>
    <t>-609.644132637189 -142.280864863985 751.941732937764</t>
  </si>
  <si>
    <t>-476.107920545106 -185.025808584776 825.618288482214</t>
  </si>
  <si>
    <t>9763-20170724T104354.053315000.bin</t>
  </si>
  <si>
    <t>-709.166877556854 116.096948739224 -530.872208954952</t>
  </si>
  <si>
    <t>-773.022623278572 120.452329771462 -243.653282306802</t>
  </si>
  <si>
    <t>-536.473218611143 164.677906624618 -255.458300048561</t>
  </si>
  <si>
    <t>-638.970600442153 58.6037517792006 -101.92800842616</t>
  </si>
  <si>
    <t>-647.499089831323 73.5795771176079 301.256355963007</t>
  </si>
  <si>
    <t>-697.116721124727 97.1386569171937 745.781359495977</t>
  </si>
  <si>
    <t>-552.655099374611 119.576607186416 806.729341864609</t>
  </si>
  <si>
    <t>-577.248862698113 -133.370901138339 305.336180776174</t>
  </si>
  <si>
    <t>-609.645477269851 -142.390304145051 751.945169391263</t>
  </si>
  <si>
    <t>-476.032975090904 -184.904561073109 825.616907851118</t>
  </si>
  <si>
    <t>9763-20170724T104354.084393600.bin</t>
  </si>
  <si>
    <t>-709.20295337016 116.097968833596 -530.843726880897</t>
  </si>
  <si>
    <t>-773.191836382652 120.37988282959 -243.653420585817</t>
  </si>
  <si>
    <t>-536.634561573148 164.584858704561 -255.377937393082</t>
  </si>
  <si>
    <t>-639.034150996327 58.5742061017449 -101.926166167461</t>
  </si>
  <si>
    <t>-647.537513193539 73.5568982237496 301.258496574722</t>
  </si>
  <si>
    <t>-697.113506378165 97.1355382123318 745.786012001205</t>
  </si>
  <si>
    <t>-552.633333949434 119.434222134082 806.741392664245</t>
  </si>
  <si>
    <t>-577.295167359007 -133.385488465801 305.333695272392</t>
  </si>
  <si>
    <t>-609.649772712188 -142.443958310178 751.950157282223</t>
  </si>
  <si>
    <t>-476.04950719938 -185.003020550462 825.618317963787</t>
  </si>
  <si>
    <t>9763-20170724T104354.152469900.bin</t>
  </si>
  <si>
    <t>-709.325013943541 116.112921926401 -530.795963783758</t>
  </si>
  <si>
    <t>-773.496940068028 120.299919955591 -243.645205958047</t>
  </si>
  <si>
    <t>-536.945682540547 164.551959842386 -255.313969385209</t>
  </si>
  <si>
    <t>-639.11503289516 58.5050435620174 -101.904973814936</t>
  </si>
  <si>
    <t>-647.586498377713 73.5273017170387 301.278891384928</t>
  </si>
  <si>
    <t>-697.128659066822 97.1809392550656 745.802729404373</t>
  </si>
  <si>
    <t>-552.706258090241 119.86756610792 806.751578378879</t>
  </si>
  <si>
    <t>-577.310916619869 -133.487626831144 305.335089567896</t>
  </si>
  <si>
    <t>-609.657393239303 -142.588253530239 751.954282125314</t>
  </si>
  <si>
    <t>-475.891964002132 -184.659187804814 825.602995123536</t>
  </si>
  <si>
    <t>9763-20170724T104354.190568400.bin</t>
  </si>
  <si>
    <t>-709.447173069764 116.14684373636 -530.756479905361</t>
  </si>
  <si>
    <t>-773.674449255474 120.284877848482 -243.617254433065</t>
  </si>
  <si>
    <t>-537.128992278314 164.545980668953 -255.367286891529</t>
  </si>
  <si>
    <t>-639.138459511042 58.4773494034969 -101.891994126419</t>
  </si>
  <si>
    <t>-647.610253151251 73.5385373197191 301.29044345406</t>
  </si>
  <si>
    <t>-697.137124439968 97.2030735272988 745.812198261199</t>
  </si>
  <si>
    <t>-552.734547109463 120.017677517483 806.760322436738</t>
  </si>
  <si>
    <t>-577.320258333295 -133.406999516619 305.333875333883</t>
  </si>
  <si>
    <t>-609.652669997029 -142.467926201796 751.954096703029</t>
  </si>
  <si>
    <t>-476.080177146653 -185.115400456544 825.621487820081</t>
  </si>
  <si>
    <t>9763-20170724T104354.250309600.bin</t>
  </si>
  <si>
    <t>-709.785694039071 115.982036411057 -530.659621724417</t>
  </si>
  <si>
    <t>-774.147659785519 120.113645121287 -243.55047681813</t>
  </si>
  <si>
    <t>-537.583856037554 164.075119922687 -256.03413141906</t>
  </si>
  <si>
    <t>-639.157915595292 58.3642799432173 -101.871448645265</t>
  </si>
  <si>
    <t>-647.61549344049 73.4575443346923 301.310075686011</t>
  </si>
  <si>
    <t>-697.143301176314 97.213505322052 745.829119700674</t>
  </si>
  <si>
    <t>-552.718224729803 119.875365901554 806.780999773424</t>
  </si>
  <si>
    <t>-577.383601968552 -133.596950249038 305.350989051521</t>
  </si>
  <si>
    <t>-609.669290657143 -142.681417439143 751.975513178098</t>
  </si>
  <si>
    <t>-475.891065784212 -184.740545739875 825.607760030989</t>
  </si>
  <si>
    <t>9763-20170724T104354.290416200.bin</t>
  </si>
  <si>
    <t>-709.880859082515 116.014276212808 -530.64767551732</t>
  </si>
  <si>
    <t>-774.344441252831 120.07603277428 -243.560276672238</t>
  </si>
  <si>
    <t>-537.775649476302 163.821788147564 -256.689820594766</t>
  </si>
  <si>
    <t>-639.147285579005 58.3462084987341 -101.868263300992</t>
  </si>
  <si>
    <t>-647.582185871761 73.42271181871 301.314343969028</t>
  </si>
  <si>
    <t>-697.137981115175 97.1700160754301 745.832637640604</t>
  </si>
  <si>
    <t>-552.671622568428 119.570090772937 806.783532563043</t>
  </si>
  <si>
    <t>-577.352993380342 -133.46026059027 305.355318568167</t>
  </si>
  <si>
    <t>-609.657791947837 -142.446308297606 751.972250745194</t>
  </si>
  <si>
    <t>-476.064164896793 -185.057174663509 825.622450694552</t>
  </si>
  <si>
    <t>9763-20170724T104354.350290700.bin</t>
  </si>
  <si>
    <t>-709.977446546112 115.873373725028 -530.688877966616</t>
  </si>
  <si>
    <t>-774.717879817335 120.146518552208 -243.666853334664</t>
  </si>
  <si>
    <t>-538.124975675565 163.418370602541 -257.886156475587</t>
  </si>
  <si>
    <t>-639.171133667195 58.2951098348713 -101.868442909938</t>
  </si>
  <si>
    <t>-647.49805122414 73.3867412081015 301.315886562017</t>
  </si>
  <si>
    <t>-697.164681594946 97.2319387668942 745.827507703832</t>
  </si>
  <si>
    <t>-552.73672210748 119.930483608648 806.758976142387</t>
  </si>
  <si>
    <t>-577.308035904993 -133.475510089456 305.348010858493</t>
  </si>
  <si>
    <t>-609.648141218366 -142.408859710815 751.958132118821</t>
  </si>
  <si>
    <t>-476.04049748213 -184.96258216405 825.61580941272</t>
  </si>
  <si>
    <t>9763-20170724T104354.389393800.bin</t>
  </si>
  <si>
    <t>-710.026863741065 115.763317742441 -530.789662475712</t>
  </si>
  <si>
    <t>-774.784777366988 120.117021015858 -243.772781262224</t>
  </si>
  <si>
    <t>-538.192128929669 163.287845204612 -258.30031584232</t>
  </si>
  <si>
    <t>-639.211849831347 58.2895932742265 -101.875193833597</t>
  </si>
  <si>
    <t>-647.491326945415 73.3950069893137 301.309585117454</t>
  </si>
  <si>
    <t>-697.169298466739 97.2385446422375 745.824506690066</t>
  </si>
  <si>
    <t>-552.730497478191 119.872606283908 806.754348855787</t>
  </si>
  <si>
    <t>-577.290712559106 -133.435521046655 305.345940592406</t>
  </si>
  <si>
    <t>-609.643249024202 -142.366272563479 751.95545535326</t>
  </si>
  <si>
    <t>-476.031960230788 -184.904054719882 825.615937942255</t>
  </si>
  <si>
    <t>9763-20170724T104354.453138200.bin</t>
  </si>
  <si>
    <t>-710.239295027267 115.42502742826 -530.932694512131</t>
  </si>
  <si>
    <t>-774.841502961698 120.072635211127 -243.885298950203</t>
  </si>
  <si>
    <t>-538.274273312839 163.320015549567 -258.598185608234</t>
  </si>
  <si>
    <t>-639.331522771103 58.2200903191033 -101.896439661112</t>
  </si>
  <si>
    <t>-647.646549713409 73.4074097913237 301.284527459803</t>
  </si>
  <si>
    <t>-697.166689399548 97.2319594224452 745.817092686553</t>
  </si>
  <si>
    <t>-552.72180555582 119.818718497773 806.749931233011</t>
  </si>
  <si>
    <t>-577.404826864777 -133.486017196402 305.363562139283</t>
  </si>
  <si>
    <t>-609.646534147961 -142.386072140455 751.967049799308</t>
  </si>
  <si>
    <t>-476.010379923498 -184.848639398397 825.625856361261</t>
  </si>
  <si>
    <t>9763-20170724T104354.488239500.bin</t>
  </si>
  <si>
    <t>-710.373073161517 115.282417462341 -530.986850939468</t>
  </si>
  <si>
    <t>-774.889991037847 119.963710216891 -243.920776614901</t>
  </si>
  <si>
    <t>-538.347987159937 163.335896209564 -258.672360769948</t>
  </si>
  <si>
    <t>-639.423981378838 58.1820658782433 -101.913295826927</t>
  </si>
  <si>
    <t>-647.708988854411 73.4065453718815 301.266936992841</t>
  </si>
  <si>
    <t>-697.161104992246 97.2181143292601 745.809729037845</t>
  </si>
  <si>
    <t>-552.70224003972 119.692947597421 806.75077919166</t>
  </si>
  <si>
    <t>-577.472846496584 -133.444061350737 305.361860150103</t>
  </si>
  <si>
    <t>-609.640240392893 -142.258971548692 751.967835415405</t>
  </si>
  <si>
    <t>-476.051212502868 -184.860553888424 825.631754898357</t>
  </si>
  <si>
    <t>9763-20170724T104354.551430200.bin</t>
  </si>
  <si>
    <t>-710.644731674699 114.986625294583 -531.052243316617</t>
  </si>
  <si>
    <t>-775.267072870376 119.608609368066 -244.009139050635</t>
  </si>
  <si>
    <t>-538.736726444929 163.069625332671 -258.684899365128</t>
  </si>
  <si>
    <t>-639.624684986395 58.1180016697801 -101.93862406813</t>
  </si>
  <si>
    <t>-647.69906882125 73.381858261426 301.244406242996</t>
  </si>
  <si>
    <t>-697.171409712491 97.2742582165636 745.790887701234</t>
  </si>
  <si>
    <t>-552.723470178041 119.79858379048 806.739614444859</t>
  </si>
  <si>
    <t>-577.527183716023 -133.446141449625 305.360266353472</t>
  </si>
  <si>
    <t>-609.64319774412 -142.2823519124 751.973244038779</t>
  </si>
  <si>
    <t>-476.026126102347 -184.805207498739 825.631785632156</t>
  </si>
  <si>
    <t>9763-20170724T104354.588529100.bin</t>
  </si>
  <si>
    <t>-710.733083639632 114.773026094969 -531.073876035949</t>
  </si>
  <si>
    <t>-775.487202781986 119.322010955136 -244.059206680161</t>
  </si>
  <si>
    <t>-538.965459090296 162.881161559722 -258.58286945437</t>
  </si>
  <si>
    <t>-639.737108347263 57.9993071330516 -101.94853694032</t>
  </si>
  <si>
    <t>-647.684089253366 73.3113652202132 301.235096130803</t>
  </si>
  <si>
    <t>-697.180136509231 97.2964177738045 745.776807020877</t>
  </si>
  <si>
    <t>-552.757150398003 119.993656335837 806.720676337627</t>
  </si>
  <si>
    <t>-577.572241095749 -133.611036152397 305.367393478153</t>
  </si>
  <si>
    <t>-609.663514177704 -142.594072481544 751.98556516538</t>
  </si>
  <si>
    <t>-475.866516031419 -184.588322570389 825.620682821998</t>
  </si>
  <si>
    <t>9763-20170724T104354.651701500.bin</t>
  </si>
  <si>
    <t>-711.03521574813 114.661376731802 -531.119240139879</t>
  </si>
  <si>
    <t>-775.978276387233 119.033106119927 -244.144591045717</t>
  </si>
  <si>
    <t>-539.518466879109 163.06017697082 -258.259530907185</t>
  </si>
  <si>
    <t>-639.990928972961 57.8662615233093 -101.958901214596</t>
  </si>
  <si>
    <t>-647.754363080148 73.2483205358424 301.225650804956</t>
  </si>
  <si>
    <t>-697.180394120322 97.2987118777282 745.760945194546</t>
  </si>
  <si>
    <t>-552.74722391038 119.927154555541 806.7060502953</t>
  </si>
  <si>
    <t>-577.734131654744 -133.546769153256 305.355231342252</t>
  </si>
  <si>
    <t>-609.665242973442 -142.388575951051 751.994545238377</t>
  </si>
  <si>
    <t>-476.075960093549 -185.025061343029 825.637767715383</t>
  </si>
  <si>
    <t>9763-20170724T104354.684789700.bin</t>
  </si>
  <si>
    <t>-711.258406082895 114.520070030428 -531.109946606283</t>
  </si>
  <si>
    <t>-776.245476439955 118.86624742924 -244.144743133102</t>
  </si>
  <si>
    <t>-539.829010240533 163.178723862881 -258.092616055651</t>
  </si>
  <si>
    <t>-640.164240877414 57.7677101033198 -101.965712054133</t>
  </si>
  <si>
    <t>-647.839334591212 73.2045346899959 301.218387072168</t>
  </si>
  <si>
    <t>-697.181473947761 97.308664191803 745.757654894179</t>
  </si>
  <si>
    <t>-552.759826036795 119.99184207281 806.709645999686</t>
  </si>
  <si>
    <t>-577.848909553792 -133.664803876792 305.352837686663</t>
  </si>
  <si>
    <t>-609.684289253362 -142.642537364494 752.00748139757</t>
  </si>
  <si>
    <t>-475.94696866877 -184.853637123326 825.627118784002</t>
  </si>
  <si>
    <t>9763-20170724T104354.753745500.bin</t>
  </si>
  <si>
    <t>-711.703067560985 114.191342769857 -531.068545624564</t>
  </si>
  <si>
    <t>-776.688219258272 118.412723986227 -244.101095730818</t>
  </si>
  <si>
    <t>-540.369570887013 163.325523027586 -257.783343349558</t>
  </si>
  <si>
    <t>-640.491270846517 57.5758751140174 -101.973854660728</t>
  </si>
  <si>
    <t>-648.017051140119 73.1195576436282 301.20901622881</t>
  </si>
  <si>
    <t>-697.177351758321 97.315287607581 745.761854592698</t>
  </si>
  <si>
    <t>-552.768323636438 120.057765496258 806.721750609139</t>
  </si>
  <si>
    <t>-578.034479061974 -133.854690854709 305.352228114354</t>
  </si>
  <si>
    <t>-609.703272161261 -142.805256884237 752.018462833993</t>
  </si>
  <si>
    <t>-475.784679161179 -184.494282686747 825.606027932622</t>
  </si>
  <si>
    <t>9763-20170724T104354.786833300.bin</t>
  </si>
  <si>
    <t>-711.958125997123 114.157579910714 -531.036327691248</t>
  </si>
  <si>
    <t>-776.918748796563 118.261441237051 -244.061612188285</t>
  </si>
  <si>
    <t>-540.649605973442 163.455505260756 -257.673488303191</t>
  </si>
  <si>
    <t>-640.643909312701 57.5461401694004 -101.972743535574</t>
  </si>
  <si>
    <t>-648.084366409792 73.1601389599202 301.209033718991</t>
  </si>
  <si>
    <t>-697.183904827578 97.3461471267428 745.765156021753</t>
  </si>
  <si>
    <t>-552.787841064401 120.166097902366 806.726851561585</t>
  </si>
  <si>
    <t>-578.086963183618 -133.694078480935 305.347758604569</t>
  </si>
  <si>
    <t>-609.691449073044 -142.486091155695 752.014251962753</t>
  </si>
  <si>
    <t>-476.013753004841 -184.904090604058 825.623177570159</t>
  </si>
  <si>
    <t>9763-20170724T104354.852011100.bin</t>
  </si>
  <si>
    <t>-712.505271948349 113.855914344946 -530.931893153429</t>
  </si>
  <si>
    <t>-777.454368244945 117.706905774599 -243.951040759299</t>
  </si>
  <si>
    <t>-541.252958430782 163.273612926438 -257.4953610115</t>
  </si>
  <si>
    <t>-640.999357409276 57.4085691656351 -101.971260081531</t>
  </si>
  <si>
    <t>-648.218216682461 73.0681983593058 301.212717451661</t>
  </si>
  <si>
    <t>-697.191364978824 97.3712058614533 745.770234384164</t>
  </si>
  <si>
    <t>-552.807729451249 120.255637202471 806.737143504714</t>
  </si>
  <si>
    <t>-578.184462090689 -133.822792483258 305.35119203145</t>
  </si>
  <si>
    <t>-609.703428883338 -142.735204162835 752.030977001082</t>
  </si>
  <si>
    <t>-475.807680628726 -184.515598625207 825.608237843435</t>
  </si>
  <si>
    <t>9763-20170724T104354.884096400.bin</t>
  </si>
  <si>
    <t>-712.771372887999 113.776242655214 -530.892792660789</t>
  </si>
  <si>
    <t>-777.706669244486 117.451730362498 -243.906671863661</t>
  </si>
  <si>
    <t>-541.535523644616 163.185385904176 -257.415156579296</t>
  </si>
  <si>
    <t>-641.171708901212 57.364692332455 -101.974063236605</t>
  </si>
  <si>
    <t>-648.297598660282 73.0447161214217 301.210810718208</t>
  </si>
  <si>
    <t>-697.183830455721 97.3452904841572 745.774887737688</t>
  </si>
  <si>
    <t>-552.760032644455 119.955341497904 806.749122979599</t>
  </si>
  <si>
    <t>-578.228687375067 -133.723935076191 305.344825892896</t>
  </si>
  <si>
    <t>-609.69484585816 -142.488491121291 752.03048079306</t>
  </si>
  <si>
    <t>-475.937482963171 -184.693895003402 825.616971431413</t>
  </si>
  <si>
    <t>9763-20170724T104354.952790100.bin</t>
  </si>
  <si>
    <t>-713.299777470555 113.569839349899 -530.823105656214</t>
  </si>
  <si>
    <t>-778.208997005645 116.923886677487 -243.827116630957</t>
  </si>
  <si>
    <t>-542.107117341469 163.018002688161 -257.321576405124</t>
  </si>
  <si>
    <t>-641.453618584237 57.2964530611985 -101.97299323117</t>
  </si>
  <si>
    <t>-648.473590663333 73.0368970552734 301.211347590769</t>
  </si>
  <si>
    <t>-697.187155256656 97.3546928786368 745.791841561916</t>
  </si>
  <si>
    <t>-552.751877669696 119.859544223523 806.777659413662</t>
  </si>
  <si>
    <t>-578.278510761204 -133.742534774997 305.345310369015</t>
  </si>
  <si>
    <t>-609.70569238115 -142.633397589995 752.037054724394</t>
  </si>
  <si>
    <t>-475.904434046551 -184.722586095049 825.610259066959</t>
  </si>
  <si>
    <t>9763-20170724T104354.986881500.bin</t>
  </si>
  <si>
    <t>-713.538444593195 113.462321990013 -530.79283667602</t>
  </si>
  <si>
    <t>-778.441168702648 116.712504883901 -243.7941725135</t>
  </si>
  <si>
    <t>-542.369162834238 162.953851710663 -257.308288014595</t>
  </si>
  <si>
    <t>-641.584602081207 57.2727469488075 -101.963744555671</t>
  </si>
  <si>
    <t>-648.523681298731 73.0181873605209 301.221862945518</t>
  </si>
  <si>
    <t>-697.193671854697 97.3677116973995 745.804527017341</t>
  </si>
  <si>
    <t>-552.780786042549 120.003409961642 806.795008083864</t>
  </si>
  <si>
    <t>-578.270345140597 -133.820458522599 305.346316426853</t>
  </si>
  <si>
    <t>-609.712123255231 -142.745617822552 752.045135314666</t>
  </si>
  <si>
    <t>-475.776067213416 -184.436463943227 825.599863550696</t>
  </si>
  <si>
    <t>9763-20170724T104355.053563200.bin</t>
  </si>
  <si>
    <t>-713.839223915007 113.493934743061 -530.734714698882</t>
  </si>
  <si>
    <t>-778.668487705867 116.54354054932 -243.71710425502</t>
  </si>
  <si>
    <t>-542.669972724505 163.129105962417 -257.332356241691</t>
  </si>
  <si>
    <t>-641.809707174962 57.3090387274169 -101.940392512676</t>
  </si>
  <si>
    <t>-648.612340829534 73.0527271384462 301.247576519657</t>
  </si>
  <si>
    <t>-697.201617997314 97.3694852535918 745.83526848697</t>
  </si>
  <si>
    <t>-552.767819982757 119.862957816212 806.828905143061</t>
  </si>
  <si>
    <t>-578.274399216272 -133.612957192865 305.343408510002</t>
  </si>
  <si>
    <t>-609.702076156513 -142.54665843668 752.043256642979</t>
  </si>
  <si>
    <t>-475.923255071043 -184.71895026353 825.609756967328</t>
  </si>
  <si>
    <t>9763-20170724T104355.086651400.bin</t>
  </si>
  <si>
    <t>-713.946897943228 113.512423102912 -530.705745599655</t>
  </si>
  <si>
    <t>-778.750523143784 116.512490466414 -243.681834812197</t>
  </si>
  <si>
    <t>-542.769173611418 163.180038454978 -257.313394472519</t>
  </si>
  <si>
    <t>-641.892339984196 57.3207369661052 -101.939562324068</t>
  </si>
  <si>
    <t>-648.654999544145 73.0645519594452 301.249083903834</t>
  </si>
  <si>
    <t>-697.201236581272 97.3478896910112 745.846152480558</t>
  </si>
  <si>
    <t>-552.756868461466 119.771566091226 806.840384855138</t>
  </si>
  <si>
    <t>-578.323570552259 -133.549307665193 305.339296512386</t>
  </si>
  <si>
    <t>-609.692370049251 -142.415964641734 752.036450981216</t>
  </si>
  <si>
    <t>-475.902189516554 -184.554611778945 825.601572674412</t>
  </si>
  <si>
    <t>9763-20170724T104355.151831000.bin</t>
  </si>
  <si>
    <t>-714.141429500243 113.647293847919 -530.692954909199</t>
  </si>
  <si>
    <t>-778.930537163576 116.617992502463 -243.665413373031</t>
  </si>
  <si>
    <t>-542.926639355895 163.176665035639 -257.277631130109</t>
  </si>
  <si>
    <t>-642.029877414834 57.3989933184946 -101.940698813749</t>
  </si>
  <si>
    <t>-648.742406010631 73.1436033776674 301.248742108994</t>
  </si>
  <si>
    <t>-697.202665378204 97.328839406212 745.859786667705</t>
  </si>
  <si>
    <t>-552.720772042073 119.509387545364 806.853984958954</t>
  </si>
  <si>
    <t>-578.373896847176 -133.453387207112 305.333031983935</t>
  </si>
  <si>
    <t>-609.683586338226 -142.404350002291 752.031293996776</t>
  </si>
  <si>
    <t>-475.973425692726 -184.769939656211 825.611410824109</t>
  </si>
  <si>
    <t>9763-20170724T104355.186924100.bin</t>
  </si>
  <si>
    <t>-714.317677104408 113.699693399584 -530.663028432036</t>
  </si>
  <si>
    <t>-779.063507188307 116.689849446634 -243.626111271911</t>
  </si>
  <si>
    <t>-543.04356903773 163.156710683752 -257.273913455448</t>
  </si>
  <si>
    <t>-642.083770623489 57.4516430624351 -101.946210005813</t>
  </si>
  <si>
    <t>-648.806742826835 73.1965666732985 301.243099463348</t>
  </si>
  <si>
    <t>-697.220189658323 97.3875270741075 745.863975741518</t>
  </si>
  <si>
    <t>-552.789440836422 119.926972757406 806.847685050339</t>
  </si>
  <si>
    <t>-578.440315106635 -133.424046345378 305.333536896978</t>
  </si>
  <si>
    <t>-609.681624409034 -142.339938754252 752.032264643653</t>
  </si>
  <si>
    <t>-475.945036238918 -184.626764683429 825.609712775888</t>
  </si>
  <si>
    <t>9763-20170724T104355.251634700.bin</t>
  </si>
  <si>
    <t>-714.931332477624 113.669681126418 -530.596867908724</t>
  </si>
  <si>
    <t>-779.443534891967 116.742761013748 -243.508070603856</t>
  </si>
  <si>
    <t>-543.390664292892 163.009822953436 -257.267607182179</t>
  </si>
  <si>
    <t>-642.260717407493 57.4775647645151 -101.969433515341</t>
  </si>
  <si>
    <t>-648.84289866894 73.1910059674478 301.223361246723</t>
  </si>
  <si>
    <t>-697.214573440547 97.3485251381569 745.866457429151</t>
  </si>
  <si>
    <t>-552.741202522366 119.59908457374 806.85554840449</t>
  </si>
  <si>
    <t>-578.552073106262 -133.437208088502 305.322185208016</t>
  </si>
  <si>
    <t>-609.677606169664 -142.467882735929 752.029864024064</t>
  </si>
  <si>
    <t>-475.810787259934 -184.350338528734 825.601788228571</t>
  </si>
  <si>
    <t>9763-20170724T104355.284722200.bin</t>
  </si>
  <si>
    <t>-715.280264412865 113.686083440472 -530.562594445191</t>
  </si>
  <si>
    <t>-779.670293118553 116.834616925502 -243.447163630881</t>
  </si>
  <si>
    <t>-543.587942878008 162.918330226458 -257.312728674449</t>
  </si>
  <si>
    <t>-642.365128772223 57.4946645866489 -101.969073825009</t>
  </si>
  <si>
    <t>-648.874218860881 73.2077512113801 301.224963222215</t>
  </si>
  <si>
    <t>-697.221367051087 97.3671306571841 745.867943512867</t>
  </si>
  <si>
    <t>-552.774879822749 119.786408476057 806.858803419813</t>
  </si>
  <si>
    <t>-578.575014811443 -133.405283263219 305.311944275281</t>
  </si>
  <si>
    <t>-609.671724398494 -142.459669016225 752.025731460022</t>
  </si>
  <si>
    <t>-475.833342798582 -184.415105351049 825.607857274314</t>
  </si>
  <si>
    <t>9763-20170724T104355.350408100.bin</t>
  </si>
  <si>
    <t>-716.049292849304 113.565671368335 -530.457030841875</t>
  </si>
  <si>
    <t>-780.218712184498 116.988603335041 -243.295527664835</t>
  </si>
  <si>
    <t>-544.054356103858 162.62432968482 -257.246856975637</t>
  </si>
  <si>
    <t>-642.604414553994 57.4884495080084 -101.966242286603</t>
  </si>
  <si>
    <t>-648.923333147637 73.1936755061165 301.231054994448</t>
  </si>
  <si>
    <t>-697.23059692181 97.3773565207061 745.874377448125</t>
  </si>
  <si>
    <t>-552.81467776812 120.001565910691 806.861896371511</t>
  </si>
  <si>
    <t>-578.632873506374 -133.454631011246 305.307595457128</t>
  </si>
  <si>
    <t>-609.677868556217 -142.665147271714 752.031115056298</t>
  </si>
  <si>
    <t>-475.686146110273 -184.156264806062 825.597425891604</t>
  </si>
  <si>
    <t>9763-20170724T104355.386504800.bin</t>
  </si>
  <si>
    <t>-716.415616708878 113.604190820104 -530.420612509827</t>
  </si>
  <si>
    <t>-780.546412243427 117.127471493641 -243.251545829776</t>
  </si>
  <si>
    <t>-544.346368186061 162.576873342738 -257.20861498044</t>
  </si>
  <si>
    <t>-642.752810792982 57.5479107559609 -101.965196519867</t>
  </si>
  <si>
    <t>-648.941569454492 73.2083059647043 301.23597793848</t>
  </si>
  <si>
    <t>-697.230377019247 97.3603117314644 745.881544010463</t>
  </si>
  <si>
    <t>-552.779785209994 119.750106946824 806.873489953119</t>
  </si>
  <si>
    <t>-578.66532434979 -133.292943262722 305.302460773238</t>
  </si>
  <si>
    <t>-609.667844420772 -142.451441322222 752.025540117937</t>
  </si>
  <si>
    <t>-475.923457288489 -184.690693827353 825.616252374423</t>
  </si>
  <si>
    <t>9763-20170724T104355.458250800.bin</t>
  </si>
  <si>
    <t>-717.055202368821 113.691464027609 -530.352621499519</t>
  </si>
  <si>
    <t>-781.210862422064 117.429582778644 -243.191840460256</t>
  </si>
  <si>
    <t>-544.899779707459 162.323160173637 -257.066767247993</t>
  </si>
  <si>
    <t>-643.050789660707 57.633895740448 -101.957616569607</t>
  </si>
  <si>
    <t>-648.975560631915 73.2827615199169 301.247932709438</t>
  </si>
  <si>
    <t>-697.245479345976 97.4103349485795 745.902423156946</t>
  </si>
  <si>
    <t>-552.816802383339 119.924533762985 806.900566573838</t>
  </si>
  <si>
    <t>-578.711518803821 -133.108555078261 305.298657240766</t>
  </si>
  <si>
    <t>-609.656863912265 -142.297486256604 752.019504240839</t>
  </si>
  <si>
    <t>-475.927222198922 -184.581008414041 825.611526096651</t>
  </si>
  <si>
    <t>9763-20170724T104355.486325800.bin</t>
  </si>
  <si>
    <t>-717.349968724028 113.632800286981 -530.33478046288</t>
  </si>
  <si>
    <t>-781.504127123468 117.455748694777 -243.174900962682</t>
  </si>
  <si>
    <t>-545.127817313529 162.02753567263 -256.976074245867</t>
  </si>
  <si>
    <t>-643.184079839731 57.6154314159894 -101.965092984726</t>
  </si>
  <si>
    <t>-649.017551173664 73.2607984924919 301.241872172563</t>
  </si>
  <si>
    <t>-697.240624802042 97.3816498762155 745.901777799416</t>
  </si>
  <si>
    <t>-552.783530596117 119.692042157395 806.907567140349</t>
  </si>
  <si>
    <t>-578.74970880763 -133.144552706726 305.308018073547</t>
  </si>
  <si>
    <t>-609.660074693534 -142.378101708067 752.021599707236</t>
  </si>
  <si>
    <t>-475.830188783114 -184.359746982776 825.604232656914</t>
  </si>
  <si>
    <t>9763-20170724T104355.556035400.bin</t>
  </si>
  <si>
    <t>-718.001866585082 113.630965673575 -530.31305637874</t>
  </si>
  <si>
    <t>-781.995889029021 117.574035406284 -243.11906362806</t>
  </si>
  <si>
    <t>-545.517878707435 161.590283917065 -256.960322934356</t>
  </si>
  <si>
    <t>-643.499653796652 57.6642206594438 -101.968452666504</t>
  </si>
  <si>
    <t>-649.147171078347 73.265314887363 301.242808995221</t>
  </si>
  <si>
    <t>-697.250801213577 97.4162732769237 745.911245919293</t>
  </si>
  <si>
    <t>-552.833667097236 119.972264040396 806.921233007272</t>
  </si>
  <si>
    <t>-578.934588052976 -133.151978326882 305.293277785739</t>
  </si>
  <si>
    <t>-609.66619966376 -142.484098121139 752.029716215682</t>
  </si>
  <si>
    <t>-475.867507405514 -184.560414893489 825.615112656191</t>
  </si>
  <si>
    <t>9763-20170724T104355.588114800.bin</t>
  </si>
  <si>
    <t>-718.302446540248 113.646153948863 -530.310743743329</t>
  </si>
  <si>
    <t>-782.229892824188 117.693836563322 -243.103426167401</t>
  </si>
  <si>
    <t>-545.709386926398 161.467757263204 -256.987050001671</t>
  </si>
  <si>
    <t>-643.632848288031 57.6654519829167 -101.964806029323</t>
  </si>
  <si>
    <t>-649.221146334102 73.2798638380355 301.246871419462</t>
  </si>
  <si>
    <t>-697.258746063309 97.4355197354328 745.917956918991</t>
  </si>
  <si>
    <t>-552.831891040615 119.921296335639 806.930721591341</t>
  </si>
  <si>
    <t>-579.040472125216 -133.04134876463 305.279493005742</t>
  </si>
  <si>
    <t>-609.652377319728 -142.224983883248 752.02357203833</t>
  </si>
  <si>
    <t>-475.937029950873 -184.551382292799 825.616796443417</t>
  </si>
  <si>
    <t>9763-20170724T104355.624142700.bin</t>
  </si>
  <si>
    <t>-718.550063473707 113.52629817469 -530.311627927957</t>
  </si>
  <si>
    <t>-782.38798729651 117.684035640048 -243.085811119966</t>
  </si>
  <si>
    <t>-545.828125126294 161.246551932032 -256.964427500205</t>
  </si>
  <si>
    <t>-643.768988397931 57.5953503722187 -101.963713592288</t>
  </si>
  <si>
    <t>-649.288942684679 73.2345001516589 301.247904196575</t>
  </si>
  <si>
    <t>-697.262626548624 97.4231207320961 745.922266815281</t>
  </si>
  <si>
    <t>-552.825970028243 119.841947056023 806.936527674632</t>
  </si>
  <si>
    <t>-579.128138465139 -133.146510805974 305.2748603052</t>
  </si>
  <si>
    <t>-609.660172201786 -142.391027547055 752.029631348333</t>
  </si>
  <si>
    <t>-475.777029592707 -184.221953311452 825.601166647366</t>
  </si>
  <si>
    <t>9763-20170724T104355.688314100.bin</t>
  </si>
  <si>
    <t>-719.017992985702 113.613555542496 -530.321232781529</t>
  </si>
  <si>
    <t>-782.789401557814 117.995179468232 -243.084023301995</t>
  </si>
  <si>
    <t>-546.163057257075 161.198805039844 -256.950214541342</t>
  </si>
  <si>
    <t>-644.040118635536 57.6116120561449 -101.960012584123</t>
  </si>
  <si>
    <t>-649.430100508822 73.2568041688246 301.25314737877</t>
  </si>
  <si>
    <t>-697.270905284268 97.4094996968568 745.937893987946</t>
  </si>
  <si>
    <t>-552.815458380702 119.701740004592 806.954013875496</t>
  </si>
  <si>
    <t>-579.223491645009 -132.946321042581 305.260720448398</t>
  </si>
  <si>
    <t>-609.647230028375 -142.111290065673 752.027038809357</t>
  </si>
  <si>
    <t>-476.038481879095 -184.773146501957 825.620234118009</t>
  </si>
  <si>
    <t>9763-20170724T104355.753493700.bin</t>
  </si>
  <si>
    <t>-719.253556745049 113.667414517244 -530.286947836551</t>
  </si>
  <si>
    <t>-782.946531123387 118.220513977103 -243.035039073335</t>
  </si>
  <si>
    <t>-546.263058690625 161.145506752893 -256.792692665807</t>
  </si>
  <si>
    <t>-644.180396971918 57.5910471999828 -101.949293997297</t>
  </si>
  <si>
    <t>-649.50133089884 73.2862212697273 301.262859984182</t>
  </si>
  <si>
    <t>-697.301538878248 97.4818121148671 745.954548820522</t>
  </si>
  <si>
    <t>-552.928728584922 120.331751452329 806.960082843893</t>
  </si>
  <si>
    <t>-579.273651898606 -132.991676206584 305.263030576469</t>
  </si>
  <si>
    <t>-609.651878800843 -142.229835667526 752.030148663031</t>
  </si>
  <si>
    <t>-475.919469873849 -184.524069254722 825.61104692154</t>
  </si>
  <si>
    <t>9763-20170724T104355.785578700.bin</t>
  </si>
  <si>
    <t>-719.290310618964 113.72548972806 -530.267898867185</t>
  </si>
  <si>
    <t>-783.006528468142 118.324797657688 -243.021804122352</t>
  </si>
  <si>
    <t>-546.301924563732 161.177388026237 -256.641096975625</t>
  </si>
  <si>
    <t>-644.22484083363 57.5721217604701 -101.943185937999</t>
  </si>
  <si>
    <t>-649.540618600952 73.2518270010632 301.269593136795</t>
  </si>
  <si>
    <t>-697.296469744404 97.4566597380442 745.963446762705</t>
  </si>
  <si>
    <t>-552.883496038025 120.033664595308 806.975521302978</t>
  </si>
  <si>
    <t>-579.300165362343 -133.084069335806 305.260286756624</t>
  </si>
  <si>
    <t>-609.661156895391 -142.39956465277 752.034249778316</t>
  </si>
  <si>
    <t>-475.80764695534 -184.334427873672 825.600598997156</t>
  </si>
  <si>
    <t>9763-20170724T104355.855775600.bin</t>
  </si>
  <si>
    <t>-719.452102376408 113.883185520025 -530.275136570117</t>
  </si>
  <si>
    <t>-783.192280786441 118.355964988644 -243.032324433265</t>
  </si>
  <si>
    <t>-546.473175585588 161.213244987377 -256.380629765678</t>
  </si>
  <si>
    <t>-644.29465778168 57.5920494943393 -101.926082376984</t>
  </si>
  <si>
    <t>-649.581874145575 73.2830675035646 301.286644333498</t>
  </si>
  <si>
    <t>-697.290596124933 97.4114115869397 745.994654694853</t>
  </si>
  <si>
    <t>-552.84870877733 119.791711199477 807.010580111477</t>
  </si>
  <si>
    <t>-579.290768422659 -132.966191997671 305.253537504655</t>
  </si>
  <si>
    <t>-609.648208249407 -142.270081759415 752.022961853269</t>
  </si>
  <si>
    <t>-475.902032142034 -184.519803933228 825.604159511356</t>
  </si>
  <si>
    <t>9763-20170724T104355.883849900.bin</t>
  </si>
  <si>
    <t>-719.541846649485 113.869466610675 -530.260669469539</t>
  </si>
  <si>
    <t>-783.297288856688 118.336214982954 -243.0213309048</t>
  </si>
  <si>
    <t>-546.568203490703 161.160924373132 -256.297347327028</t>
  </si>
  <si>
    <t>-644.294315139186 57.5701531744085 -101.912608609418</t>
  </si>
  <si>
    <t>-649.625278977975 73.2681958839896 301.299337087585</t>
  </si>
  <si>
    <t>-697.300277566823 97.4212454327935 746.009475752209</t>
  </si>
  <si>
    <t>-552.862339221889 119.827873989016 807.02529731608</t>
  </si>
  <si>
    <t>-579.299935771671 -133.064761915385 305.256019781484</t>
  </si>
  <si>
    <t>-609.6558501084 -142.415448291163 752.030618666828</t>
  </si>
  <si>
    <t>-475.777241075511 -184.271107265184 825.59626875381</t>
  </si>
  <si>
    <t>9763-20170724T104355.939004900.bin</t>
  </si>
  <si>
    <t>-719.61460610457 113.954643789596 -530.254219559917</t>
  </si>
  <si>
    <t>-783.359132637527 118.505977319581 -243.013661891517</t>
  </si>
  <si>
    <t>-546.620922408252 161.288432078655 -256.26330758691</t>
  </si>
  <si>
    <t>-644.247169084693 57.5721147930165 -101.882109161515</t>
  </si>
  <si>
    <t>-649.653369703762 73.2866606307723 301.328091729688</t>
  </si>
  <si>
    <t>-697.288740848033 97.370844688618 746.034227622239</t>
  </si>
  <si>
    <t>-552.81991820576 119.556034891223 807.057730065757</t>
  </si>
  <si>
    <t>-579.389947301259 -132.9102521687 305.257897797334</t>
  </si>
  <si>
    <t>-609.63706656056 -142.123628026745 752.022303803801</t>
  </si>
  <si>
    <t>-475.939517181083 -184.513238142174 825.611654830054</t>
  </si>
  <si>
    <t>9763-20170724T104355.998165300.bin</t>
  </si>
  <si>
    <t>-719.731846372686 114.062688892527 -530.250439071664</t>
  </si>
  <si>
    <t>-783.443556062917 118.640207537297 -243.002992479276</t>
  </si>
  <si>
    <t>-546.709933801652 161.439929163934 -256.278557425417</t>
  </si>
  <si>
    <t>-644.259183984494 57.6319249963258 -101.853398317991</t>
  </si>
  <si>
    <t>-649.736949214341 73.3630320303084 301.355233488033</t>
  </si>
  <si>
    <t>-697.304881923535 97.4109683983754 746.058927987613</t>
  </si>
  <si>
    <t>-552.870070910218 119.84107328647 807.073516359644</t>
  </si>
  <si>
    <t>-579.399836501241 -132.865312795654 305.250365226899</t>
  </si>
  <si>
    <t>-609.630998274391 -142.095545754358 752.026514912296</t>
  </si>
  <si>
    <t>-476.024168376217 -184.761177898044 825.62113132503</t>
  </si>
  <si>
    <t>9763-20170724T104356.053961700.bin</t>
  </si>
  <si>
    <t>-719.726693573746 114.024600417326 -530.226474879292</t>
  </si>
  <si>
    <t>-783.499317551046 118.600108398321 -242.992489894285</t>
  </si>
  <si>
    <t>-546.788885068464 161.537859503365 -256.235670324811</t>
  </si>
  <si>
    <t>-644.198279941729 57.5271034730897 -101.824071687432</t>
  </si>
  <si>
    <t>-649.725741786751 73.2776650665419 301.383133727315</t>
  </si>
  <si>
    <t>-697.302386729453 97.3699507593506 746.090738691011</t>
  </si>
  <si>
    <t>-552.853907170185 119.702427794658 807.108782934969</t>
  </si>
  <si>
    <t>-579.325124432971 -133.04919652902 305.258963573508</t>
  </si>
  <si>
    <t>-609.641301483819 -142.44044369429 752.030903766508</t>
  </si>
  <si>
    <t>-475.808367575726 -184.429725088108 825.603502317048</t>
  </si>
  <si>
    <t>9763-20170724T104356.087053400.bin</t>
  </si>
  <si>
    <t>-719.589173969248 114.088243279577 -530.221104426718</t>
  </si>
  <si>
    <t>-783.466528841578 118.665728313663 -243.010510184921</t>
  </si>
  <si>
    <t>-546.755420866669 161.626678549222 -256.165699220567</t>
  </si>
  <si>
    <t>-644.13979355734 57.5600196754731 -101.81702222999</t>
  </si>
  <si>
    <t>-649.693768980664 73.294349403865 301.390406260142</t>
  </si>
  <si>
    <t>-697.311050727452 97.3809112838812 746.102541434859</t>
  </si>
  <si>
    <t>-552.85721520666 119.676667758265 807.121314048985</t>
  </si>
  <si>
    <t>-579.277147343031 -132.962282639163 305.263718056278</t>
  </si>
  <si>
    <t>-609.626973967755 -142.169366820267 752.027328796401</t>
  </si>
  <si>
    <t>-475.898668957256 -184.476533186028 825.608128722059</t>
  </si>
  <si>
    <t>9763-20170724T104356.150218800.bin</t>
  </si>
  <si>
    <t>-719.056226052043 114.355896455741 -530.255668902359</t>
  </si>
  <si>
    <t>-783.186007486134 118.87270862559 -243.100262193285</t>
  </si>
  <si>
    <t>-546.472111924614 161.867846975148 -256.092904850768</t>
  </si>
  <si>
    <t>-643.957168433745 57.627428267416 -101.793526458114</t>
  </si>
  <si>
    <t>-649.684648971339 73.3479690269544 301.411993031261</t>
  </si>
  <si>
    <t>-697.31375224423 97.3547867145953 746.12047058907</t>
  </si>
  <si>
    <t>-552.853244449267 119.590603002276 807.145226940358</t>
  </si>
  <si>
    <t>-579.23472187734 -132.954001155373 305.272418834529</t>
  </si>
  <si>
    <t>-609.621967169838 -142.188782515227 752.031171080043</t>
  </si>
  <si>
    <t>-475.876503277011 -184.439319645556 825.613432968604</t>
  </si>
  <si>
    <t>9763-20170724T104356.188320500.bin</t>
  </si>
  <si>
    <t>-718.689040559884 114.486251980645 -530.28292220656</t>
  </si>
  <si>
    <t>-782.933460049121 118.934603953087 -243.152139422505</t>
  </si>
  <si>
    <t>-546.225514114692 161.990954052251 -256.050767195194</t>
  </si>
  <si>
    <t>-643.859672883656 57.6848775958708 -101.792165510744</t>
  </si>
  <si>
    <t>-649.677406666061 73.3857168730233 301.412895538625</t>
  </si>
  <si>
    <t>-697.314748458673 97.3586231217046 746.126612437925</t>
  </si>
  <si>
    <t>-552.876943528601 119.735250137887 807.153772192069</t>
  </si>
  <si>
    <t>-579.229762435283 -132.942216875888 305.278494551059</t>
  </si>
  <si>
    <t>-609.62144246904 -142.232868069329 752.034130415658</t>
  </si>
  <si>
    <t>-475.86405060776 -184.448372652743 825.614772836966</t>
  </si>
  <si>
    <t>9763-20170724T104356.249530300.bin</t>
  </si>
  <si>
    <t>-717.863905590387 114.75955529458 -530.298633057614</t>
  </si>
  <si>
    <t>-782.325195357577 119.014788857938 -243.213471711077</t>
  </si>
  <si>
    <t>-545.625562605803 162.166760964716 -255.94308972228</t>
  </si>
  <si>
    <t>-643.601387520122 57.7960597870856 -101.783439500302</t>
  </si>
  <si>
    <t>-649.547186388062 73.4682469655984 301.420870135443</t>
  </si>
  <si>
    <t>-697.328916852951 97.3819300396269 746.134770499028</t>
  </si>
  <si>
    <t>-552.911447749499 119.883800850402 807.163842518765</t>
  </si>
  <si>
    <t>-579.141039648403 -132.844932519621 305.286337177377</t>
  </si>
  <si>
    <t>-609.60717434522 -142.071493156301 752.034213037122</t>
  </si>
  <si>
    <t>-475.968332016504 -184.639818284284 825.627063095094</t>
  </si>
  <si>
    <t>9763-20170724T104356.289635500.bin</t>
  </si>
  <si>
    <t>-717.405666954089 114.824463674717 -530.296558441969</t>
  </si>
  <si>
    <t>-782.009547937638 118.947013185628 -243.241540378131</t>
  </si>
  <si>
    <t>-545.308947766171 162.114133878538 -255.902040924358</t>
  </si>
  <si>
    <t>-643.460431074209 57.8170108016509 -101.778246567693</t>
  </si>
  <si>
    <t>-649.484599751641 73.4746442798014 301.425430266108</t>
  </si>
  <si>
    <t>-697.340991119854 97.4059114521679 746.132415340103</t>
  </si>
  <si>
    <t>-552.959218399182 120.151826680978 807.155580023552</t>
  </si>
  <si>
    <t>-579.091900169611 -132.928003138603 305.295200740428</t>
  </si>
  <si>
    <t>-609.612484147809 -142.245872619009 752.040885368494</t>
  </si>
  <si>
    <t>-475.899988423111 -184.59351949464 825.627200634212</t>
  </si>
  <si>
    <t>9763-20170724T104356.354569300.bin</t>
  </si>
  <si>
    <t>-716.493047125831 114.931760177893 -530.292335558625</t>
  </si>
  <si>
    <t>-781.261152005045 118.786016618603 -243.270725232148</t>
  </si>
  <si>
    <t>-544.583546733134 162.113975466085 -255.81216753496</t>
  </si>
  <si>
    <t>-643.12228375636 57.8018444877584 -101.766355428842</t>
  </si>
  <si>
    <t>-649.345295109616 73.4507831340188 301.434646137813</t>
  </si>
  <si>
    <t>-697.333339038263 97.3390142898747 746.124686204759</t>
  </si>
  <si>
    <t>-552.882941874415 119.636605745987 807.150767674074</t>
  </si>
  <si>
    <t>-578.961379354418 -132.936887705449 305.303380480204</t>
  </si>
  <si>
    <t>-609.592814112006 -142.084435660452 752.032843580083</t>
  </si>
  <si>
    <t>-475.881889666687 -184.424734101852 825.626122775</t>
  </si>
  <si>
    <t>9763-20170724T104356.386654700.bin</t>
  </si>
  <si>
    <t>-716.11281654231 115.025226861558 -530.271126957167</t>
  </si>
  <si>
    <t>-780.943895062023 118.786538861019 -243.262396921176</t>
  </si>
  <si>
    <t>-544.275085094342 162.174586341505 -255.761624478976</t>
  </si>
  <si>
    <t>-642.957948680107 57.8322396634358 -101.761660141145</t>
  </si>
  <si>
    <t>-649.267466329375 73.4594523776689 301.438862569686</t>
  </si>
  <si>
    <t>-697.336968941671 97.3410657417742 746.120998255156</t>
  </si>
  <si>
    <t>-552.909574322702 119.804415771609 807.140845428482</t>
  </si>
  <si>
    <t>-578.873643163382 -132.954359357322 305.305017622299</t>
  </si>
  <si>
    <t>-609.592293285797 -142.067207339438 752.031114261292</t>
  </si>
  <si>
    <t>-475.899443397692 -184.464134186684 825.624719823165</t>
  </si>
  <si>
    <t>9763-20170724T104356.458852300.bin</t>
  </si>
  <si>
    <t>-715.265154942765 115.157924944183 -530.251936634544</t>
  </si>
  <si>
    <t>-780.204622463663 118.737872794086 -243.26541482751</t>
  </si>
  <si>
    <t>-543.551415491754 162.21284783873 -255.757910952839</t>
  </si>
  <si>
    <t>-642.544268206348 57.7782145703816 -101.748038617027</t>
  </si>
  <si>
    <t>-649.046186008144 73.4152781507589 301.44900878634</t>
  </si>
  <si>
    <t>-697.344616717256 97.3181092508048 746.110592875708</t>
  </si>
  <si>
    <t>-552.896420909163 119.650727457521 807.129185767223</t>
  </si>
  <si>
    <t>-578.666953684559 -133.023986112045 305.31207978156</t>
  </si>
  <si>
    <t>-609.590660568497 -142.112839806242 752.031651929405</t>
  </si>
  <si>
    <t>-475.898714973025 -184.51559287434 825.623585239466</t>
  </si>
  <si>
    <t>9763-20170724T104356.488933400.bin</t>
  </si>
  <si>
    <t>-714.789695286925 115.208490017661 -530.229464996386</t>
  </si>
  <si>
    <t>-779.800499198437 118.769951447219 -243.258815123146</t>
  </si>
  <si>
    <t>-543.149285431188 162.260119667694 -255.73621767389</t>
  </si>
  <si>
    <t>-642.34742038888 57.7534837775308 -101.745332919423</t>
  </si>
  <si>
    <t>-648.947070964921 73.373295535464 301.450846689841</t>
  </si>
  <si>
    <t>-697.350421039538 97.3299396097491 746.105627277912</t>
  </si>
  <si>
    <t>-552.950422961362 119.99083561834 807.117313789593</t>
  </si>
  <si>
    <t>-578.572794733792 -133.181488535426 305.320576391464</t>
  </si>
  <si>
    <t>-609.603148222939 -142.3848812052 752.039531223833</t>
  </si>
  <si>
    <t>-475.739660978038 -184.278208660686 825.611329430808</t>
  </si>
  <si>
    <t>9763-20170724T104356.553695800.bin</t>
  </si>
  <si>
    <t>-713.991485123546 115.360715474782 -530.193995141731</t>
  </si>
  <si>
    <t>-779.02176776688 118.745027106664 -243.225670885297</t>
  </si>
  <si>
    <t>-542.38617414852 162.315432862905 -255.719636868357</t>
  </si>
  <si>
    <t>-641.965624952125 57.7560849495042 -101.742487204833</t>
  </si>
  <si>
    <t>-648.720970961541 73.3476172016572 301.452125741049</t>
  </si>
  <si>
    <t>-697.358813976076 97.3218327657926 746.082919306323</t>
  </si>
  <si>
    <t>-552.965089765135 120.045530834465 807.086155762271</t>
  </si>
  <si>
    <t>-578.401098507275 -133.096480096742 305.321848514649</t>
  </si>
  <si>
    <t>-609.580559004222 -142.046016308178 752.022848410697</t>
  </si>
  <si>
    <t>-475.910210797846 -184.504119916763 825.622053588065</t>
  </si>
  <si>
    <t>9763-20170724T104356.585768100.bin</t>
  </si>
  <si>
    <t>-713.659274694855 115.363286308283 -530.146408295437</t>
  </si>
  <si>
    <t>-778.689343546845 118.653336569236 -243.177012192887</t>
  </si>
  <si>
    <t>-542.054179819867 162.214990444728 -255.708625661024</t>
  </si>
  <si>
    <t>-641.765203601484 57.6996067150478 -101.73687099878</t>
  </si>
  <si>
    <t>-648.653289857858 73.301609716134 301.455160280302</t>
  </si>
  <si>
    <t>-697.364678147148 97.3316069720074 746.07383656297</t>
  </si>
  <si>
    <t>-552.955460279213 119.95863454213 807.076228404906</t>
  </si>
  <si>
    <t>-578.32537567212 -133.247362851641 305.332232810754</t>
  </si>
  <si>
    <t>-609.58762557792 -142.209246816862 752.027179423473</t>
  </si>
  <si>
    <t>-475.784254736251 -184.273915317997 825.610579758295</t>
  </si>
  <si>
    <t>9763-20170724T104356.620868300.bin</t>
  </si>
  <si>
    <t>-713.341713157841 115.372286912481 -530.077329204944</t>
  </si>
  <si>
    <t>-778.331372398002 118.593076616854 -243.097879818659</t>
  </si>
  <si>
    <t>-541.696952768781 162.146613017407 -255.671299439373</t>
  </si>
  <si>
    <t>-641.549685037598 57.6316477277901 -101.72979152005</t>
  </si>
  <si>
    <t>-648.56304855423 73.2749733107648 301.458460883899</t>
  </si>
  <si>
    <t>-697.367973816231 97.3381941904061 746.061328435067</t>
  </si>
  <si>
    <t>-552.962982914537 119.985028938363 807.066332061217</t>
  </si>
  <si>
    <t>-578.243119713724 -133.275427937877 305.345682902661</t>
  </si>
  <si>
    <t>-609.579408489461 -142.049597108282 752.02458325135</t>
  </si>
  <si>
    <t>-475.796916204914 -184.180121723543 825.608385020082</t>
  </si>
  <si>
    <t>9763-20170724T104356.685044300.bin</t>
  </si>
  <si>
    <t>-712.932138629806 115.410888776151 -529.962337995723</t>
  </si>
  <si>
    <t>-777.683258258033 118.468147124111 -242.927240664547</t>
  </si>
  <si>
    <t>-541.080484592316 162.142704635554 -255.675639591477</t>
  </si>
  <si>
    <t>-641.227280771555 57.5576663939996 -101.717808283454</t>
  </si>
  <si>
    <t>-648.385031822818 73.2098407558021 301.467575947721</t>
  </si>
  <si>
    <t>-697.370357045643 97.337766486542 746.047363682606</t>
  </si>
  <si>
    <t>-552.970877939421 120.015038601289 807.054218484661</t>
  </si>
  <si>
    <t>-578.068327801557 -133.284353731011 305.353477427975</t>
  </si>
  <si>
    <t>-609.571977078369 -141.969252060701 752.02458434931</t>
  </si>
  <si>
    <t>-475.899844938757 -184.430384580359 825.618778342951</t>
  </si>
  <si>
    <t>9763-20170724T104356.752828300.bin</t>
  </si>
  <si>
    <t>-712.556932479014 115.363357573156 -529.815697143053</t>
  </si>
  <si>
    <t>-777.155830236812 118.298492756004 -242.745061366187</t>
  </si>
  <si>
    <t>-540.588754213877 162.093583675763 -255.739639914541</t>
  </si>
  <si>
    <t>-640.856167060394 57.3920979551133 -101.708162489502</t>
  </si>
  <si>
    <t>-648.158947985213 73.0885143255834 301.472901081163</t>
  </si>
  <si>
    <t>-697.369229985968 97.3189905668025 746.025118057002</t>
  </si>
  <si>
    <t>-552.977291862813 120.055771236931 807.027612641636</t>
  </si>
  <si>
    <t>-577.87677861065 -133.499050763403 305.37200207221</t>
  </si>
  <si>
    <t>-609.579927654799 -142.139980515971 752.028778021927</t>
  </si>
  <si>
    <t>-475.737551970242 -184.093075833549 825.604949336485</t>
  </si>
  <si>
    <t>9763-20170724T104356.785915100.bin</t>
  </si>
  <si>
    <t>-712.336859031609 115.436594734046 -529.770559957654</t>
  </si>
  <si>
    <t>-776.871615116744 118.326698618505 -242.684938223504</t>
  </si>
  <si>
    <t>-540.32135662822 162.196680166856 -255.734883624453</t>
  </si>
  <si>
    <t>-640.671956332117 57.3435749431119 -101.704190037771</t>
  </si>
  <si>
    <t>-648.021944292591 73.018643118289 301.47684495947</t>
  </si>
  <si>
    <t>-697.361910641349 97.2832144218539 746.011387025759</t>
  </si>
  <si>
    <t>-552.94991804323 119.88389199032 807.017041795146</t>
  </si>
  <si>
    <t>-577.804397017351 -133.469872146518 305.376702340768</t>
  </si>
  <si>
    <t>-609.572613181037 -141.943636000996 752.025302315542</t>
  </si>
  <si>
    <t>-475.852592097872 -184.265007283401 825.613047986938</t>
  </si>
  <si>
    <t>9763-20170724T104356.819020200.bin</t>
  </si>
  <si>
    <t>-712.192441472272 115.514229937914 -529.737792635268</t>
  </si>
  <si>
    <t>-776.657932078697 118.302944311847 -242.6356216105</t>
  </si>
  <si>
    <t>-540.123203946631 162.242388010159 -255.732415820122</t>
  </si>
  <si>
    <t>-640.534554974155 57.303386352502 -101.694875615114</t>
  </si>
  <si>
    <t>-647.914062047509 72.978624447665 301.485598349933</t>
  </si>
  <si>
    <t>-697.360245314993 97.2748533394843 746.000635915487</t>
  </si>
  <si>
    <t>-552.933510419919 119.777339373211 807.007546446105</t>
  </si>
  <si>
    <t>-577.747809357627 -133.472564148603 305.377173277943</t>
  </si>
  <si>
    <t>-609.571825544597 -141.947371754073 752.025457627419</t>
  </si>
  <si>
    <t>-475.88877884712 -184.379226375156 825.616697965791</t>
  </si>
  <si>
    <t>9763-20170724T104356.884385600.bin</t>
  </si>
  <si>
    <t>-712.069565228284 115.610263167229 -529.635078481721</t>
  </si>
  <si>
    <t>-776.405955066227 118.301078285175 -242.503139338508</t>
  </si>
  <si>
    <t>-539.875366640492 162.219128523144 -255.745150938724</t>
  </si>
  <si>
    <t>-640.366754253157 57.2403903139989 -101.690953887793</t>
  </si>
  <si>
    <t>-647.806682186412 72.9273402326219 301.487924348</t>
  </si>
  <si>
    <t>-697.371925779057 97.2790869000446 745.985438974765</t>
  </si>
  <si>
    <t>-552.953620124167 119.850477938449 806.987027305558</t>
  </si>
  <si>
    <t>-577.69044953143 -133.602758026869 305.378286212732</t>
  </si>
  <si>
    <t>-609.593307225777 -142.271001511322 752.031978233312</t>
  </si>
  <si>
    <t>-475.831785596669 -184.482066916194 825.60764300564</t>
  </si>
  <si>
    <t>9763-20170724T104356.953069100.bin</t>
  </si>
  <si>
    <t>-711.968945328548 115.698697975042 -529.549972678244</t>
  </si>
  <si>
    <t>-776.164874348348 118.20098912074 -242.384861660481</t>
  </si>
  <si>
    <t>-539.65517315942 162.191568600177 -255.759991840535</t>
  </si>
  <si>
    <t>-640.224877596671 57.2270836582411 -101.687522608619</t>
  </si>
  <si>
    <t>-647.741904755537 72.9327608502522 301.489255060061</t>
  </si>
  <si>
    <t>-697.380678640068 97.2971448889477 745.978240387815</t>
  </si>
  <si>
    <t>-552.991867194381 120.077118649128 806.971905284739</t>
  </si>
  <si>
    <t>-577.574629232166 -133.531841010334 305.370247571973</t>
  </si>
  <si>
    <t>-609.567176081024 -141.928529509223 752.01322797275</t>
  </si>
  <si>
    <t>-475.900700596094 -184.415190655252 825.603074952837</t>
  </si>
  <si>
    <t>9763-20170724T104356.986665400.bin</t>
  </si>
  <si>
    <t>-711.911255046847 115.723230773547 -529.522286492065</t>
  </si>
  <si>
    <t>-776.043897666434 118.155830737263 -242.342412897606</t>
  </si>
  <si>
    <t>-539.545700846952 162.19688824025 -255.753805902526</t>
  </si>
  <si>
    <t>-640.182694232882 57.2096282835064 -101.680139975751</t>
  </si>
  <si>
    <t>-647.725036926319 72.9180831948656 301.496049386887</t>
  </si>
  <si>
    <t>-697.384223735983 97.3004598057848 745.976297893987</t>
  </si>
  <si>
    <t>-552.995964311816 120.081087988821 806.97129864227</t>
  </si>
  <si>
    <t>-577.513872794102 -133.506036957485 305.365661940119</t>
  </si>
  <si>
    <t>-609.562122607265 -141.838126265428 752.00588847588</t>
  </si>
  <si>
    <t>-475.933072651683 -184.430166877868 825.60274663431</t>
  </si>
  <si>
    <t>9763-20170724T104357.052341800.bin</t>
  </si>
  <si>
    <t>-711.885806230478 115.6570949181 -529.496147533549</t>
  </si>
  <si>
    <t>-776.016012675145 118.072205707493 -242.315443391101</t>
  </si>
  <si>
    <t>-539.5206362298 162.119153282667 -255.757060381077</t>
  </si>
  <si>
    <t>-640.149177648816 57.1640052902751 -101.672561047909</t>
  </si>
  <si>
    <t>-647.67740908032 72.8855026993765 301.503366651309</t>
  </si>
  <si>
    <t>-697.38574781528 97.3012562991526 745.977706242973</t>
  </si>
  <si>
    <t>-552.965684462996 119.873962656405 806.974607797681</t>
  </si>
  <si>
    <t>-577.437505451046 -133.607009020695 305.37004022018</t>
  </si>
  <si>
    <t>-609.5655902749 -142.030732829426 752.005434897307</t>
  </si>
  <si>
    <t>-475.871732951787 -184.426797246406 825.597653573893</t>
  </si>
  <si>
    <t>9763-20170724T104357.090942800.bin</t>
  </si>
  <si>
    <t>-711.928685688442 115.660576856691 -529.496322575843</t>
  </si>
  <si>
    <t>-776.062231061712 118.072063584076 -242.31651292203</t>
  </si>
  <si>
    <t>-539.58102835049 162.19073476377 -255.772214599767</t>
  </si>
  <si>
    <t>-640.198253273675 57.1943155988922 -101.669203632827</t>
  </si>
  <si>
    <t>-647.676959133922 72.8897799871363 301.508683572605</t>
  </si>
  <si>
    <t>-697.382363184411 97.2818022425715 745.978811251635</t>
  </si>
  <si>
    <t>-552.969165919636 119.9034426198 806.973879959956</t>
  </si>
  <si>
    <t>-577.440970392534 -133.557023918653 305.368818866007</t>
  </si>
  <si>
    <t>-609.558890282707 -141.922988193328 752.004151217344</t>
  </si>
  <si>
    <t>-475.888946227376 -184.393520317093 825.596892869917</t>
  </si>
  <si>
    <t>9763-20170724T104357.149097800.bin</t>
  </si>
  <si>
    <t>-712.100519303852 115.768826120024 -529.495771053356</t>
  </si>
  <si>
    <t>-776.23358143186 118.208150362799 -242.315924773567</t>
  </si>
  <si>
    <t>-539.778547374742 162.478512708845 -255.732384851134</t>
  </si>
  <si>
    <t>-640.32512856594 57.289959788005 -101.670342981997</t>
  </si>
  <si>
    <t>-647.69240458697 72.9857178358996 301.509569205897</t>
  </si>
  <si>
    <t>-697.39012510882 97.3181669045061 745.986457231735</t>
  </si>
  <si>
    <t>-552.991261694462 120.033357772674 806.980569658277</t>
  </si>
  <si>
    <t>-577.490574563077 -133.410640444108 305.356715397672</t>
  </si>
  <si>
    <t>-609.55165933897 -141.813936717942 751.994493490333</t>
  </si>
  <si>
    <t>-475.995026989087 -184.615791876599 825.60100867025</t>
  </si>
  <si>
    <t>9763-20170724T104357.184191300.bin</t>
  </si>
  <si>
    <t>-712.255630191896 115.778110566982 -529.489233755433</t>
  </si>
  <si>
    <t>-776.41196327082 118.239714880262 -242.314860751085</t>
  </si>
  <si>
    <t>-539.958495215803 162.519854190346 -255.727350626522</t>
  </si>
  <si>
    <t>-640.424430178214 57.3142633446519 -101.671131875678</t>
  </si>
  <si>
    <t>-647.752752856133 72.9976007956432 301.50998275145</t>
  </si>
  <si>
    <t>-697.385900593007 97.2991353140442 745.990424381929</t>
  </si>
  <si>
    <t>-552.956650439412 119.815584611517 806.98620193412</t>
  </si>
  <si>
    <t>-577.537452744547 -133.400252252513 305.34649262878</t>
  </si>
  <si>
    <t>-609.552663952742 -141.813051065361 751.994972788963</t>
  </si>
  <si>
    <t>-475.942719050253 -184.462839468163 825.593020553852</t>
  </si>
  <si>
    <t>9763-20170724T104357.254885100.bin</t>
  </si>
  <si>
    <t>-712.506795027342 115.794185108806 -529.473274616522</t>
  </si>
  <si>
    <t>-776.719016474614 118.233807139979 -242.311196018222</t>
  </si>
  <si>
    <t>-540.269859317476 162.547467022349 -255.690509390322</t>
  </si>
  <si>
    <t>-640.678273189334 57.3738770518555 -101.674224853314</t>
  </si>
  <si>
    <t>-647.875765760029 73.0253100182931 301.510489064481</t>
  </si>
  <si>
    <t>-697.397924182509 97.3397813633103 746.004918720349</t>
  </si>
  <si>
    <t>-552.985954846039 119.963695003018 807.002063374361</t>
  </si>
  <si>
    <t>-577.623553957352 -133.336168432355 305.332236512226</t>
  </si>
  <si>
    <t>-609.554654482736 -141.848575602026 751.989227793232</t>
  </si>
  <si>
    <t>-475.908947505686 -184.396095108509 825.581612616161</t>
  </si>
  <si>
    <t>9763-20170724T104357.289976500.bin</t>
  </si>
  <si>
    <t>-712.574609234308 115.825955608198 -529.459706854423</t>
  </si>
  <si>
    <t>-776.851159651503 118.271789864375 -242.312026552995</t>
  </si>
  <si>
    <t>-540.400124152423 162.594501924566 -255.626015260305</t>
  </si>
  <si>
    <t>-640.833686434519 57.4130885533141 -101.677448981496</t>
  </si>
  <si>
    <t>-647.94842163891 73.0343434451599 301.509874967334</t>
  </si>
  <si>
    <t>-697.398699432282 97.344199060841 746.010053571974</t>
  </si>
  <si>
    <t>-552.982128246386 119.920071240906 807.013721739735</t>
  </si>
  <si>
    <t>-577.693951925835 -133.341212700914 305.327122120508</t>
  </si>
  <si>
    <t>-609.55983084923 -141.976691074816 751.987763548242</t>
  </si>
  <si>
    <t>-475.837170320356 -184.29501448624 825.572385419741</t>
  </si>
  <si>
    <t>9763-20170724T104357.351151700.bin</t>
  </si>
  <si>
    <t>-712.778754025008 115.963000601303 -529.484265128896</t>
  </si>
  <si>
    <t>-777.161898084129 118.308870969149 -242.35986550149</t>
  </si>
  <si>
    <t>-540.697308640028 162.596987684383 -255.548125399443</t>
  </si>
  <si>
    <t>-641.150168069872 57.5810963365864 -101.680693896026</t>
  </si>
  <si>
    <t>-648.096803677153 73.1765991412744 301.510548488293</t>
  </si>
  <si>
    <t>-697.407482960864 97.3877651660957 746.026516852547</t>
  </si>
  <si>
    <t>-553.005463230074 120.029021397175 807.040630071192</t>
  </si>
  <si>
    <t>-577.841729372317 -133.143408948955 305.310351642489</t>
  </si>
  <si>
    <t>-609.552397813206 -141.830277100943 751.987633147665</t>
  </si>
  <si>
    <t>-476.05090327384 -184.801938950878 825.595144090165</t>
  </si>
  <si>
    <t>9763-20170724T104357.406300400.bin</t>
  </si>
  <si>
    <t>-713.03743791701 115.996440426781 -529.472987883288</t>
  </si>
  <si>
    <t>-777.416439771431 118.387439368872 -242.347879784341</t>
  </si>
  <si>
    <t>-540.940789196179 162.604865656871 -255.575731164541</t>
  </si>
  <si>
    <t>-641.366418669742 57.6806528211048 -101.689679881259</t>
  </si>
  <si>
    <t>-648.259140757174 73.2462578832015 301.503646301596</t>
  </si>
  <si>
    <t>-697.412184979349 97.3964026095794 746.041162578036</t>
  </si>
  <si>
    <t>-552.985308856889 119.867414931448 807.059351732581</t>
  </si>
  <si>
    <t>-577.981962877329 -133.147472123156 305.309486244275</t>
  </si>
  <si>
    <t>-609.55159103929 -141.890050345268 751.993477948169</t>
  </si>
  <si>
    <t>-475.95797147569 -184.593986369432 825.58980413423</t>
  </si>
  <si>
    <t>9763-20170724T104357.454447100.bin</t>
  </si>
  <si>
    <t>-713.343451738654 115.941458833202 -529.462785496953</t>
  </si>
  <si>
    <t>-777.577920429167 118.322638009167 -242.305222769471</t>
  </si>
  <si>
    <t>-541.105920602146 162.519855392947 -255.66477543466</t>
  </si>
  <si>
    <t>-641.601632217734 57.7775278633585 -101.697937794144</t>
  </si>
  <si>
    <t>-648.410288144758 73.2774250341408 301.499369863692</t>
  </si>
  <si>
    <t>-697.42168107897 97.3987574434127 746.054960835641</t>
  </si>
  <si>
    <t>-552.98994466695 119.842774608105 807.071714817732</t>
  </si>
  <si>
    <t>-578.0869297825 -133.183532519357 305.300777706315</t>
  </si>
  <si>
    <t>-609.554879697559 -142.025265797344 751.997634492935</t>
  </si>
  <si>
    <t>-475.848962214043 -184.396835322333 825.582083274206</t>
  </si>
  <si>
    <t>9763-20170724T104357.486532800.bin</t>
  </si>
  <si>
    <t>-713.527727803348 115.873203779671 -529.443317330068</t>
  </si>
  <si>
    <t>-777.661735724958 118.311560850661 -242.263780934584</t>
  </si>
  <si>
    <t>-541.189992998953 162.479915893236 -255.722564210593</t>
  </si>
  <si>
    <t>-641.692493253918 57.783566228783 -101.6951546564</t>
  </si>
  <si>
    <t>-648.453356966568 73.2631931359317 301.503726940918</t>
  </si>
  <si>
    <t>-697.422720074981 97.3889891571866 746.064017376963</t>
  </si>
  <si>
    <t>-552.96360181745 119.636413448451 807.087966180964</t>
  </si>
  <si>
    <t>-578.089075546255 -133.23701527635 305.297148889243</t>
  </si>
  <si>
    <t>-609.560550051036 -142.180777429695 751.999116661235</t>
  </si>
  <si>
    <t>-475.731776963971 -184.186386747183 825.570115304308</t>
  </si>
  <si>
    <t>9763-20170724T104357.550708100.bin</t>
  </si>
  <si>
    <t>-713.791729085859 116.04281602706 -529.372743978791</t>
  </si>
  <si>
    <t>-777.741542898398 118.536157628633 -242.152602336981</t>
  </si>
  <si>
    <t>-541.27851906551 162.698826733781 -255.781384863693</t>
  </si>
  <si>
    <t>-641.755982520476 57.9441766483953 -101.678652046147</t>
  </si>
  <si>
    <t>-648.422302775884 73.3563167932032 301.524377074226</t>
  </si>
  <si>
    <t>-697.430467123866 97.3750717292894 746.082832825874</t>
  </si>
  <si>
    <t>-552.965549017451 119.584290135321 807.10705157033</t>
  </si>
  <si>
    <t>-577.984460924556 -132.914405481921 305.29472027421</t>
  </si>
  <si>
    <t>-609.531099213423 -141.767362587596 751.979816705888</t>
  </si>
  <si>
    <t>-475.91673038484 -184.401761402111 825.578767913551</t>
  </si>
  <si>
    <t>9763-20170724T104357.584808300.bin</t>
  </si>
  <si>
    <t>-713.914359573555 116.091734973294 -529.339474438682</t>
  </si>
  <si>
    <t>-777.800642670201 118.566177002926 -242.104963424361</t>
  </si>
  <si>
    <t>-541.353003578619 162.796187633181 -255.782258614993</t>
  </si>
  <si>
    <t>-641.807524770487 58.0318692374169 -101.673004924989</t>
  </si>
  <si>
    <t>-648.417348946252 73.3780702832719 301.533508507727</t>
  </si>
  <si>
    <t>-697.446485824683 97.4242030070984 746.091807286015</t>
  </si>
  <si>
    <t>-553.00919050063 119.827251455693 807.110493520277</t>
  </si>
  <si>
    <t>-577.993617358422 -132.968493789675 305.300698068824</t>
  </si>
  <si>
    <t>-609.542685964798 -142.038588598587 751.986789346996</t>
  </si>
  <si>
    <t>-475.755645177508 -184.158010123037 825.568673955019</t>
  </si>
  <si>
    <t>9763-20170724T104357.652731500.bin</t>
  </si>
  <si>
    <t>-714.28979086181 116.305631529077 -529.246539538996</t>
  </si>
  <si>
    <t>-778.046710641029 118.747484002119 -241.983253028452</t>
  </si>
  <si>
    <t>-541.607213388655 162.986323291489 -255.772397191683</t>
  </si>
  <si>
    <t>-641.890310366335 58.1962870524303 -101.660258431214</t>
  </si>
  <si>
    <t>-648.452115561719 73.4709670693319 301.549744157886</t>
  </si>
  <si>
    <t>-697.451705295784 97.4181816956063 746.115687079166</t>
  </si>
  <si>
    <t>-553.023108640159 119.883017238624 807.132351820627</t>
  </si>
  <si>
    <t>-578.008216005634 -132.884570412073 305.30282486165</t>
  </si>
  <si>
    <t>-609.533899189607 -142.017431134372 751.979864393262</t>
  </si>
  <si>
    <t>-475.625413974022 -183.757952983513 825.556743426898</t>
  </si>
  <si>
    <t>9763-20170724T104357.684815100.bin</t>
  </si>
  <si>
    <t>-714.549670628977 116.471751223428 -529.185555073154</t>
  </si>
  <si>
    <t>-778.238176037537 118.901968887965 -241.906781012108</t>
  </si>
  <si>
    <t>-541.790007615296 163.081848006528 -255.73706350061</t>
  </si>
  <si>
    <t>-641.95502857602 58.3132016533964 -101.658224265034</t>
  </si>
  <si>
    <t>-648.466424262749 73.5503582186832 301.553987450091</t>
  </si>
  <si>
    <t>-697.457722245722 97.4330055273606 746.127669560213</t>
  </si>
  <si>
    <t>-553.045638344311 120.012618350316 807.140807338548</t>
  </si>
  <si>
    <t>-578.003038420823 -132.692515618115 305.294717661888</t>
  </si>
  <si>
    <t>-609.5244722103 -141.889116349209 751.968078952673</t>
  </si>
  <si>
    <t>-475.841432236784 -184.294882375971 825.574486015108</t>
  </si>
  <si>
    <t>9763-20170724T104357.755018800.bin</t>
  </si>
  <si>
    <t>-715.248492648667 116.570217395036 -529.056143036955</t>
  </si>
  <si>
    <t>-778.644302937087 118.880358655449 -241.711600806036</t>
  </si>
  <si>
    <t>-542.181700425703 162.942694225813 -255.669763275398</t>
  </si>
  <si>
    <t>-642.127685090133 58.4073231472253 -101.666462685313</t>
  </si>
  <si>
    <t>-648.52884208419 73.5932985066256 301.549438792442</t>
  </si>
  <si>
    <t>-697.455861465014 97.4108012217607 746.144602870873</t>
  </si>
  <si>
    <t>-553.024108713544 119.839689517853 807.16684958345</t>
  </si>
  <si>
    <t>-578.033759672673 -132.566813706117 305.28038218044</t>
  </si>
  <si>
    <t>-609.519544380992 -141.843433557376 751.964683919333</t>
  </si>
  <si>
    <t>-475.848706761402 -184.283602730372 825.573254486885</t>
  </si>
  <si>
    <t>9763-20170724T104357.785099100.bin</t>
  </si>
  <si>
    <t>-715.643887708126 116.602147744937 -528.987514016212</t>
  </si>
  <si>
    <t>-778.920122750305 118.863830780415 -241.616277047031</t>
  </si>
  <si>
    <t>-542.443293048713 162.815933598631 -255.678787595523</t>
  </si>
  <si>
    <t>-642.234889689754 58.4339338578359 -101.663916132188</t>
  </si>
  <si>
    <t>-648.590403074303 73.6091950523305 301.553156714851</t>
  </si>
  <si>
    <t>-697.455572932 97.4118129273456 746.155946211275</t>
  </si>
  <si>
    <t>-552.996117307125 119.640938886032 807.185862445112</t>
  </si>
  <si>
    <t>-578.030531552971 -132.515087393925 305.275646646619</t>
  </si>
  <si>
    <t>-609.51804612574 -141.815615068023 751.962280101244</t>
  </si>
  <si>
    <t>-475.841239011708 -184.240617823426 825.568872478046</t>
  </si>
  <si>
    <t>9763-20170724T104357.853135600.bin</t>
  </si>
  <si>
    <t>-716.442027935978 116.551607903718 -528.864067373932</t>
  </si>
  <si>
    <t>-779.512357129933 118.836838014012 -241.447817841023</t>
  </si>
  <si>
    <t>-542.991228708127 162.519846835668 -255.605740030922</t>
  </si>
  <si>
    <t>-642.471094592547 58.4433361017898 -101.6691487325</t>
  </si>
  <si>
    <t>-648.729510567387 73.6176814133512 301.549501985957</t>
  </si>
  <si>
    <t>-697.468220442405 97.4430134124991 746.168318041828</t>
  </si>
  <si>
    <t>-553.024206051218 119.766875952715 807.199922264754</t>
  </si>
  <si>
    <t>-578.126882005381 -132.599806077451 305.278637917188</t>
  </si>
  <si>
    <t>-609.522555376621 -141.997328465388 751.964430067556</t>
  </si>
  <si>
    <t>-475.661917268422 -183.866498013024 825.55508661455</t>
  </si>
  <si>
    <t>9763-20170724T104357.887227700.bin</t>
  </si>
  <si>
    <t>-716.836799890118 116.644578330757 -528.834948589469</t>
  </si>
  <si>
    <t>-779.827192489156 118.973569649498 -241.401545387727</t>
  </si>
  <si>
    <t>-543.291108893237 162.571234597694 -255.57171318714</t>
  </si>
  <si>
    <t>-642.574164448993 58.5019222850053 -101.669298876216</t>
  </si>
  <si>
    <t>-648.760868669951 73.6641005765825 301.550930695494</t>
  </si>
  <si>
    <t>-697.473818552729 97.4614249493843 746.17269943515</t>
  </si>
  <si>
    <t>-553.03451621657 119.807437955272 807.207465093574</t>
  </si>
  <si>
    <t>-578.169373509339 -132.383694758363 305.273930562727</t>
  </si>
  <si>
    <t>-609.509473223167 -141.768420695436 751.960996423069</t>
  </si>
  <si>
    <t>-475.90497737384 -184.400935905169 825.579028169184</t>
  </si>
  <si>
    <t>9763-20170724T104357.950995300.bin</t>
  </si>
  <si>
    <t>-717.619710496481 116.622651669284 -528.815731335785</t>
  </si>
  <si>
    <t>-780.502006036436 119.082707737801 -241.359614871496</t>
  </si>
  <si>
    <t>-543.937202768466 162.503455970835 -255.59415564203</t>
  </si>
  <si>
    <t>-642.765913414151 58.5104874251917 -101.660241981581</t>
  </si>
  <si>
    <t>-648.856339926793 73.6706627376723 301.561437370625</t>
  </si>
  <si>
    <t>-697.479196306891 97.4823660403515 746.185586966776</t>
  </si>
  <si>
    <t>-553.058316280209 119.933874689981 807.225160019418</t>
  </si>
  <si>
    <t>-578.280574534641 -132.428811614883 305.272014368831</t>
  </si>
  <si>
    <t>-609.517034543419 -141.934476375484 751.966750048611</t>
  </si>
  <si>
    <t>-475.742475990725 -184.063432313228 825.565819029276</t>
  </si>
  <si>
    <t>9763-20170724T104357.984084200.bin</t>
  </si>
  <si>
    <t>-717.98197673029 116.573557502824 -528.81225975691</t>
  </si>
  <si>
    <t>-780.804883955664 119.192540812065 -241.344626326564</t>
  </si>
  <si>
    <t>-544.22049206746 162.500233223039 -255.597251521144</t>
  </si>
  <si>
    <t>-642.86679499705 58.4758958930688 -101.648724875501</t>
  </si>
  <si>
    <t>-648.90015134679 73.642107447205 301.573623112385</t>
  </si>
  <si>
    <t>-697.475547459461 97.4645088084367 746.196998614262</t>
  </si>
  <si>
    <t>-553.024139427405 119.708288198357 807.24033361917</t>
  </si>
  <si>
    <t>-578.353389662048 -132.460482556276 305.265007559572</t>
  </si>
  <si>
    <t>-609.516075383656 -141.93590829566 751.968805660258</t>
  </si>
  <si>
    <t>-475.730510363483 -184.034542338277 825.56522446787</t>
  </si>
  <si>
    <t>9763-20170724T104358.051797300.bin</t>
  </si>
  <si>
    <t>-718.435886975525 116.513642919202 -528.845763722396</t>
  </si>
  <si>
    <t>-781.179774235481 119.444408243188 -241.363822138566</t>
  </si>
  <si>
    <t>-544.564419489855 162.570040155979 -255.655359434569</t>
  </si>
  <si>
    <t>-643.014398620377 58.4420256437736 -101.62856737695</t>
  </si>
  <si>
    <t>-648.993600936244 73.6254281683237 301.59391228837</t>
  </si>
  <si>
    <t>-697.478783760855 97.4557674403013 746.216156265868</t>
  </si>
  <si>
    <t>-553.008787719907 119.57769105779 807.259890265674</t>
  </si>
  <si>
    <t>-578.422141144919 -132.381384163026 305.270671639749</t>
  </si>
  <si>
    <t>-609.512663531595 -141.818155489579 751.974563061311</t>
  </si>
  <si>
    <t>-475.762479051102 -184.029597074357 825.570640329881</t>
  </si>
  <si>
    <t>9763-20170724T104358.085889100.bin</t>
  </si>
  <si>
    <t>-718.535330194018 116.473137215206 -528.854740023629</t>
  </si>
  <si>
    <t>-781.289762565239 119.53688286597 -241.376531578851</t>
  </si>
  <si>
    <t>-544.659215029182 162.572082073792 -255.688262514153</t>
  </si>
  <si>
    <t>-643.046678054869 58.3948028091845 -101.616817600039</t>
  </si>
  <si>
    <t>-649.000759391386 73.6016640913585 301.605250135779</t>
  </si>
  <si>
    <t>-697.48474802079 97.4613446551734 746.229584447712</t>
  </si>
  <si>
    <t>-553.005888869907 119.530178816048 807.27164352092</t>
  </si>
  <si>
    <t>-578.406336483731 -132.410882842129 305.279819828745</t>
  </si>
  <si>
    <t>-609.519729170117 -141.878287849707 751.977278274106</t>
  </si>
  <si>
    <t>-475.723304088976 -183.955263181802 825.566385810974</t>
  </si>
  <si>
    <t>9763-20170724T104358.154592700.bin</t>
  </si>
  <si>
    <t>-718.893021225862 116.458372951594 -528.939992454474</t>
  </si>
  <si>
    <t>-781.597234274783 119.643430094858 -241.452205083012</t>
  </si>
  <si>
    <t>-544.929739982713 162.505609869439 -255.671566634997</t>
  </si>
  <si>
    <t>-643.15787878542 58.4564566011625 -101.602952046993</t>
  </si>
  <si>
    <t>-649.054703169857 73.6631241368391 301.619868794809</t>
  </si>
  <si>
    <t>-697.487708563349 97.4610393757646 746.259057008712</t>
  </si>
  <si>
    <t>-553.028887068316 119.662737008179 807.300277565702</t>
  </si>
  <si>
    <t>-578.416513854252 -132.213953501952 305.264738210646</t>
  </si>
  <si>
    <t>-609.497105809446 -141.574699104892 751.963830332975</t>
  </si>
  <si>
    <t>-475.963412256648 -184.419803342529 825.586788232658</t>
  </si>
  <si>
    <t>9763-20170724T104358.185675200.bin</t>
  </si>
  <si>
    <t>-719.086950268467 116.445676939965 -528.957342387014</t>
  </si>
  <si>
    <t>-781.799464856782 119.758800676185 -241.472757870846</t>
  </si>
  <si>
    <t>-545.109842620263 162.515194292943 -255.642415140177</t>
  </si>
  <si>
    <t>-643.194477633877 58.4828924567094 -101.598714205874</t>
  </si>
  <si>
    <t>-649.108169269429 73.716345944792 301.622881394277</t>
  </si>
  <si>
    <t>-697.50585870532 97.526854584687 746.269409191336</t>
  </si>
  <si>
    <t>-553.097579246438 120.066829647222 807.306252975027</t>
  </si>
  <si>
    <t>-578.443605444394 -132.230496061268 305.264317071557</t>
  </si>
  <si>
    <t>-609.499848132396 -141.659043337846 751.970994612935</t>
  </si>
  <si>
    <t>-475.931657218092 -184.402159967574 825.590744162226</t>
  </si>
  <si>
    <t>9763-20170724T104358.252589600.bin</t>
  </si>
  <si>
    <t>-719.376051866069 116.331065285708 -529.023493746784</t>
  </si>
  <si>
    <t>-782.044274573872 119.815878398415 -241.531330469026</t>
  </si>
  <si>
    <t>-545.338243018903 162.493866663274 -255.664336718008</t>
  </si>
  <si>
    <t>-643.2407080324 58.4606609164805 -101.608896377214</t>
  </si>
  <si>
    <t>-649.1822650433 73.6842511894151 301.612630788924</t>
  </si>
  <si>
    <t>-697.488955469952 97.4652590403969 746.275430933272</t>
  </si>
  <si>
    <t>-553.045473893959 119.749710913964 807.322744432331</t>
  </si>
  <si>
    <t>-578.523760608981 -132.314055939896 305.279298809</t>
  </si>
  <si>
    <t>-609.49976367415 -141.764763925858 751.980116862967</t>
  </si>
  <si>
    <t>-475.867227347275 -184.309260269112 825.598049781402</t>
  </si>
  <si>
    <t>9763-20170724T104358.287683100.bin</t>
  </si>
  <si>
    <t>-719.499017079929 116.261561563692 -529.056964812412</t>
  </si>
  <si>
    <t>-782.150809682807 119.762153554869 -241.561362318784</t>
  </si>
  <si>
    <t>-545.451891799053 162.472810092728 -255.711900684195</t>
  </si>
  <si>
    <t>-643.242441008081 58.4664348209083 -101.623455243833</t>
  </si>
  <si>
    <t>-649.187807220453 73.6957062923359 301.597760881758</t>
  </si>
  <si>
    <t>-697.49499762198 97.4770546358754 746.268901412069</t>
  </si>
  <si>
    <t>-553.034193717801 119.644109009198 807.318130014527</t>
  </si>
  <si>
    <t>-578.514624103717 -132.2968032418 305.277642021722</t>
  </si>
  <si>
    <t>-609.49307225207 -141.689626770822 751.974001533411</t>
  </si>
  <si>
    <t>-475.884706446069 -184.296865140473 825.599623672449</t>
  </si>
  <si>
    <t>9763-20170724T104358.353871100.bin</t>
  </si>
  <si>
    <t>-719.596599941208 116.143774466743 -529.097597147321</t>
  </si>
  <si>
    <t>-782.229544313378 119.725187236172 -241.598883756711</t>
  </si>
  <si>
    <t>-545.534981122352 162.443037606144 -255.801861292868</t>
  </si>
  <si>
    <t>-643.206066327213 58.4249209672651 -101.63984073356</t>
  </si>
  <si>
    <t>-649.191377892205 73.6655369519885 301.580356066804</t>
  </si>
  <si>
    <t>-697.503516057293 97.4681595291668 746.253631938035</t>
  </si>
  <si>
    <t>-553.069244208706 119.830659710128 807.294386852298</t>
  </si>
  <si>
    <t>-578.489470401795 -132.381942094505 305.281162958332</t>
  </si>
  <si>
    <t>-609.49394111395 -141.718861193351 751.981289898702</t>
  </si>
  <si>
    <t>-475.732851574448 -183.874697380876 825.589364501978</t>
  </si>
  <si>
    <t>9763-20170724T104358.386962800.bin</t>
  </si>
  <si>
    <t>-719.547485494359 116.110119387107 -529.117429812734</t>
  </si>
  <si>
    <t>-782.184024840112 119.683766274018 -241.619378671773</t>
  </si>
  <si>
    <t>-545.494970393537 162.430556313978 -255.826657815884</t>
  </si>
  <si>
    <t>-643.168809577871 58.3936023118299 -101.64349363881</t>
  </si>
  <si>
    <t>-649.168493905289 73.6536383957514 301.575814935335</t>
  </si>
  <si>
    <t>-697.504336266975 97.4674223700501 746.247974261018</t>
  </si>
  <si>
    <t>-553.061461141213 119.772009896519 807.289334515716</t>
  </si>
  <si>
    <t>-578.48835444334 -132.413260487364 305.279872525946</t>
  </si>
  <si>
    <t>-609.498932329681 -141.789384218539 751.982727747503</t>
  </si>
  <si>
    <t>-475.786940595279 -184.096231598432 825.593356118056</t>
  </si>
  <si>
    <t>9763-20170724T104358.422579700.bin</t>
  </si>
  <si>
    <t>-719.418277965945 116.185351483873 -529.157747587851</t>
  </si>
  <si>
    <t>-782.02742836073 119.66962967303 -241.65272928312</t>
  </si>
  <si>
    <t>-545.352350694358 162.49250664238 -255.865531653156</t>
  </si>
  <si>
    <t>-643.121252046407 58.4268652910412 -101.645356533817</t>
  </si>
  <si>
    <t>-649.159161262633 73.7088295948154 301.572553135615</t>
  </si>
  <si>
    <t>-697.51037701297 97.4901992494774 746.245903496894</t>
  </si>
  <si>
    <t>-553.095110282904 119.973245742607 807.287304407077</t>
  </si>
  <si>
    <t>-578.480539626919 -132.272589980859 305.279891904697</t>
  </si>
  <si>
    <t>-609.489172386344 -141.533397668032 751.9827734784</t>
  </si>
  <si>
    <t>-475.980664358034 -184.451285629128 825.609149957247</t>
  </si>
  <si>
    <t>9763-20170724T104358.487953500.bin</t>
  </si>
  <si>
    <t>-718.871265618132 116.075781741157 -529.258369534835</t>
  </si>
  <si>
    <t>-781.380263266363 119.464973700344 -241.730337681185</t>
  </si>
  <si>
    <t>-544.737633859265 162.450777081293 -255.991435013013</t>
  </si>
  <si>
    <t>-642.981358026775 58.3374574745371 -101.643969066767</t>
  </si>
  <si>
    <t>-649.162209930063 73.6566812264371 301.570328376192</t>
  </si>
  <si>
    <t>-697.519811037967 97.4990125249813 746.234807872278</t>
  </si>
  <si>
    <t>-553.121593673086 120.109587435747 807.269390120804</t>
  </si>
  <si>
    <t>-578.463744967639 -132.402677391117 305.284313495842</t>
  </si>
  <si>
    <t>-609.504735020934 -141.659046621258 751.994028602461</t>
  </si>
  <si>
    <t>-475.841306047003 -184.137829766518 825.593816207166</t>
  </si>
  <si>
    <t>9763-20170724T104358.554158800.bin</t>
  </si>
  <si>
    <t>-718.269714503732 115.878237016257 -529.339567096112</t>
  </si>
  <si>
    <t>-780.636199662727 119.32378723264 -241.781236463949</t>
  </si>
  <si>
    <t>-544.045080739267 162.500242831387 -256.319118291537</t>
  </si>
  <si>
    <t>-642.834584790852 58.1338672357092 -101.617614288986</t>
  </si>
  <si>
    <t>-649.130025096445 73.5069156174891 301.59289757743</t>
  </si>
  <si>
    <t>-697.517923704618 97.4484180844224 746.23490796099</t>
  </si>
  <si>
    <t>-553.070652464955 119.751215612584 807.26659380853</t>
  </si>
  <si>
    <t>-578.353681997905 -132.674741916076 305.287414771202</t>
  </si>
  <si>
    <t>-609.515669881069 -141.922816426488 751.994427749524</t>
  </si>
  <si>
    <t>-475.675225786783 -183.879937613749 825.571774742642</t>
  </si>
  <si>
    <t>9763-20170724T104358.583233500.bin</t>
  </si>
  <si>
    <t>-718.028467709256 115.798023338332 -529.358867686042</t>
  </si>
  <si>
    <t>-780.357945726547 119.331232517761 -241.793706906573</t>
  </si>
  <si>
    <t>-543.787919964639 162.589280478369 -256.429733195475</t>
  </si>
  <si>
    <t>-642.722274922969 58.0695398140654 -101.615508687597</t>
  </si>
  <si>
    <t>-649.102171828035 73.48329310448 301.592073358794</t>
  </si>
  <si>
    <t>-697.512996773225 97.4279722471342 746.231699312518</t>
  </si>
  <si>
    <t>-553.054236646935 119.654849869684 807.263976086975</t>
  </si>
  <si>
    <t>-578.332941447592 -132.653549148076 305.302972592064</t>
  </si>
  <si>
    <t>-609.508297907442 -141.785969384461 751.992623951932</t>
  </si>
  <si>
    <t>-475.828430144578 -184.222945566895 825.586687203003</t>
  </si>
  <si>
    <t>9763-20170724T104358.654428300.bin</t>
  </si>
  <si>
    <t>-717.617420528147 115.660348156696 -529.454052557188</t>
  </si>
  <si>
    <t>-780.087171533436 119.246935020411 -241.919870626784</t>
  </si>
  <si>
    <t>-543.516821994421 162.522385936233 -256.499641016056</t>
  </si>
  <si>
    <t>-642.566291110562 58.0098062344159 -101.626648518038</t>
  </si>
  <si>
    <t>-649.048716804713 73.4416568482611 301.578637281278</t>
  </si>
  <si>
    <t>-697.518850171477 97.4187272904601 746.214199449488</t>
  </si>
  <si>
    <t>-553.054422373557 119.622654984888 807.241365105738</t>
  </si>
  <si>
    <t>-578.313577892339 -132.738145414912 305.31896181151</t>
  </si>
  <si>
    <t>-609.510709466256 -141.779831872179 752.004249597202</t>
  </si>
  <si>
    <t>-475.706582736078 -183.847338732676 825.584603917597</t>
  </si>
  <si>
    <t>9763-20170724T104358.684509100.bin</t>
  </si>
  <si>
    <t>-717.331885627874 115.563273327077 -529.499169659525</t>
  </si>
  <si>
    <t>-779.959375471279 119.12434607202 -241.999050688354</t>
  </si>
  <si>
    <t>-543.3828245097 162.402662271303 -256.469633400185</t>
  </si>
  <si>
    <t>-642.471949212042 57.9400767192387 -101.634168592733</t>
  </si>
  <si>
    <t>-649.011543434632 73.4277520312869 301.568025487273</t>
  </si>
  <si>
    <t>-697.518710959527 97.4180362777727 746.206223860956</t>
  </si>
  <si>
    <t>-553.082160770513 119.810372206902 807.230621346336</t>
  </si>
  <si>
    <t>-578.281692808037 -132.786194334908 305.32842859703</t>
  </si>
  <si>
    <t>-609.514565850879 -141.806916433737 752.012254231145</t>
  </si>
  <si>
    <t>-475.755498584782 -184.017512188522 825.592649547412</t>
  </si>
  <si>
    <t>9763-20170724T104358.751704500.bin</t>
  </si>
  <si>
    <t>-716.429172758751 115.536768423675 -529.60740631582</t>
  </si>
  <si>
    <t>-779.379226269823 119.046899140104 -242.177244845262</t>
  </si>
  <si>
    <t>-542.788355690612 162.350655034208 -256.333599387897</t>
  </si>
  <si>
    <t>-642.315430092306 57.9096182877138 -101.646347252015</t>
  </si>
  <si>
    <t>-648.9359332087 73.4077985022288 301.554202287511</t>
  </si>
  <si>
    <t>-697.531468119697 97.4490614974939 746.187157425776</t>
  </si>
  <si>
    <t>-553.136321401934 120.120132716464 807.206514014866</t>
  </si>
  <si>
    <t>-578.259931438116 -132.696824953937 305.338559880982</t>
  </si>
  <si>
    <t>-609.502040714407 -141.491206842312 752.014418439187</t>
  </si>
  <si>
    <t>-475.886018791613 -184.135256123657 825.604765702035</t>
  </si>
  <si>
    <t>9763-20170724T104358.784800100.bin</t>
  </si>
  <si>
    <t>-716.218140256189 115.492332794739 -529.625058390709</t>
  </si>
  <si>
    <t>-779.264689703989 118.858811566617 -242.214165019863</t>
  </si>
  <si>
    <t>-542.677484303925 162.222769558496 -256.246869832527</t>
  </si>
  <si>
    <t>-642.208078329768 57.8628028631674 -101.650910419475</t>
  </si>
  <si>
    <t>-648.926306172077 73.3780133004684 301.547323238538</t>
  </si>
  <si>
    <t>-697.527594904987 97.4343933168714 746.174917690501</t>
  </si>
  <si>
    <t>-553.085456107261 119.782847363119 807.20198568542</t>
  </si>
  <si>
    <t>-578.258890105041 -132.793973101226 305.349325594878</t>
  </si>
  <si>
    <t>-609.506699706374 -141.593425965759 752.025713310999</t>
  </si>
  <si>
    <t>-475.8407743172 -184.093252522872 825.608823947722</t>
  </si>
  <si>
    <t>9763-20170724T104358.852980800.bin</t>
  </si>
  <si>
    <t>-715.867431746129 115.366065775405 -529.680292855912</t>
  </si>
  <si>
    <t>-779.032240393925 118.734464894894 -242.295370660425</t>
  </si>
  <si>
    <t>-542.465093498453 162.224550315956 -256.276083012393</t>
  </si>
  <si>
    <t>-642.087501025692 57.8097128865447 -101.68645001538</t>
  </si>
  <si>
    <t>-648.80194978222 73.3277819845184 301.511703986949</t>
  </si>
  <si>
    <t>-697.528123964902 97.4246087810016 746.134977437989</t>
  </si>
  <si>
    <t>-553.075720822251 119.708132696421 807.161649140528</t>
  </si>
  <si>
    <t>-578.221723465648 -132.759363452083 305.364226274097</t>
  </si>
  <si>
    <t>-609.512402739764 -141.536306384416 752.03704174287</t>
  </si>
  <si>
    <t>-475.918356803454 -184.262764585715 825.619496924191</t>
  </si>
  <si>
    <t>9763-20170724T104358.900107700.bin</t>
  </si>
  <si>
    <t>-715.64534149796 115.315658746694 -529.708693120471</t>
  </si>
  <si>
    <t>-778.944040694084 118.644549105463 -242.352705229186</t>
  </si>
  <si>
    <t>-542.383507242369 162.186164638886 -256.285083266591</t>
  </si>
  <si>
    <t>-642.010064256469 57.735400352286 -101.69448931292</t>
  </si>
  <si>
    <t>-648.765925636638 73.2548340632673 301.502940265662</t>
  </si>
  <si>
    <t>-697.524128547054 97.4008081993329 746.119046577613</t>
  </si>
  <si>
    <t>-553.061698751224 119.610576547032 807.148737724481</t>
  </si>
  <si>
    <t>-578.207972445193 -132.85794085489 305.368840256814</t>
  </si>
  <si>
    <t>-609.516381707201 -141.577303207003 752.040503042801</t>
  </si>
  <si>
    <t>-475.821546959975 -184.010727345606 825.609564274163</t>
  </si>
  <si>
    <t>9763-20170724T104358.956265200.bin</t>
  </si>
  <si>
    <t>-715.438895513648 115.244449461602 -529.750334102269</t>
  </si>
  <si>
    <t>-778.943915048886 118.573598530483 -242.440047624283</t>
  </si>
  <si>
    <t>-542.372131955073 162.124879376873 -256.148974458192</t>
  </si>
  <si>
    <t>-641.982922578089 57.6596088048288 -101.711242648976</t>
  </si>
  <si>
    <t>-648.81973452638 73.2378621880905 301.482570197632</t>
  </si>
  <si>
    <t>-697.520261627503 97.3800816283569 746.094103030329</t>
  </si>
  <si>
    <t>-553.076406506869 119.705288926237 807.125641808448</t>
  </si>
  <si>
    <t>-578.227123547177 -132.962794835752 305.361683762384</t>
  </si>
  <si>
    <t>-609.52611954573 -141.655777999421 752.04518740044</t>
  </si>
  <si>
    <t>-475.852162143181 -184.162140420623 825.609832578</t>
  </si>
  <si>
    <t>9763-20170724T104358.985346900.bin</t>
  </si>
  <si>
    <t>-715.279143075055 115.331230547561 -529.745694469357</t>
  </si>
  <si>
    <t>-778.919541661569 118.655563564022 -242.465137209169</t>
  </si>
  <si>
    <t>-542.35008520443 162.240295144674 -256.10808843809</t>
  </si>
  <si>
    <t>-641.934425256837 57.6369736834606 -101.730406413301</t>
  </si>
  <si>
    <t>-648.906584279144 73.27747558181 301.458674396686</t>
  </si>
  <si>
    <t>-697.533891289383 97.4208865416003 746.079631585431</t>
  </si>
  <si>
    <t>-553.108591950421 119.874595309887 807.107944838949</t>
  </si>
  <si>
    <t>-578.274314047321 -132.929093227662 305.362876528307</t>
  </si>
  <si>
    <t>-609.52406875728 -141.503254423203 752.048486447222</t>
  </si>
  <si>
    <t>-475.893794082729 -184.150583661921 825.611154083493</t>
  </si>
  <si>
    <t>9763-20170724T104359.056560100.bin</t>
  </si>
  <si>
    <t>-714.696194226423 115.525145600408 -529.732188795715</t>
  </si>
  <si>
    <t>-778.467866569393 118.410059567112 -242.476026192812</t>
  </si>
  <si>
    <t>-541.969299142273 162.382953442805 -256.10215095559</t>
  </si>
  <si>
    <t>-641.739979297584 57.651639836723 -101.755886044247</t>
  </si>
  <si>
    <t>-648.987315950358 73.3014162242614 301.427983095191</t>
  </si>
  <si>
    <t>-697.540006795116 97.4331234561614 746.0565459431</t>
  </si>
  <si>
    <t>-553.108291968871 119.848333828203 807.083661955638</t>
  </si>
  <si>
    <t>-578.280628270153 -133.006090736894 305.363266305823</t>
  </si>
  <si>
    <t>-609.529657495641 -141.525894722812 752.049791882817</t>
  </si>
  <si>
    <t>-475.914075330163 -184.223516081643 825.609851767809</t>
  </si>
  <si>
    <t>9763-20170724T104359.085629200.bin</t>
  </si>
  <si>
    <t>-714.556150366675 115.497378040001 -529.722353574692</t>
  </si>
  <si>
    <t>-778.375459336035 118.204522275984 -242.475214961024</t>
  </si>
  <si>
    <t>-541.88874390625 162.270379821265 -256.006916280731</t>
  </si>
  <si>
    <t>-641.639537491651 57.6355659894925 -101.762118951452</t>
  </si>
  <si>
    <t>-648.907217780185 73.2657023074944 301.422146324972</t>
  </si>
  <si>
    <t>-697.543738176394 97.4336917791227 746.047208685623</t>
  </si>
  <si>
    <t>-553.121821450356 119.924689368852 807.069697497109</t>
  </si>
  <si>
    <t>-578.218621321582 -133.092850542385 305.361201638512</t>
  </si>
  <si>
    <t>-609.532469401592 -141.651181733883 752.053299941073</t>
  </si>
  <si>
    <t>-475.76589573412 -183.901238261908 825.597348671342</t>
  </si>
  <si>
    <t>9763-20170724T104359.153831700.bin</t>
  </si>
  <si>
    <t>-714.244697997166 115.562322020728 -529.706231527423</t>
  </si>
  <si>
    <t>-778.146797366414 118.266154863839 -242.477378695157</t>
  </si>
  <si>
    <t>-541.660865391371 162.367690716443 -255.906680545931</t>
  </si>
  <si>
    <t>-641.412693340051 57.6119947885779 -101.768798027144</t>
  </si>
  <si>
    <t>-648.666559139732 73.2219926278003 301.416514701352</t>
  </si>
  <si>
    <t>-697.54955939635 97.4270528339196 746.016761603765</t>
  </si>
  <si>
    <t>-553.123995863132 119.914620402177 807.031803306561</t>
  </si>
  <si>
    <t>-577.964061062099 -133.08759232518 305.360792078896</t>
  </si>
  <si>
    <t>-609.525599469486 -141.664982814109 752.03890306346</t>
  </si>
  <si>
    <t>-475.842199116861 -184.146302860236 825.601056767831</t>
  </si>
  <si>
    <t>9763-20170724T104359.188922400.bin</t>
  </si>
  <si>
    <t>-714.052401912494 115.509747108325 -529.731216345192</t>
  </si>
  <si>
    <t>-777.930179712635 118.220343819095 -242.497025069527</t>
  </si>
  <si>
    <t>-541.45870567416 162.393251473978 -255.944913791936</t>
  </si>
  <si>
    <t>-641.324367215539 57.6285328875117 -101.769294654036</t>
  </si>
  <si>
    <t>-648.575228093683 73.2022370204108 301.417409990321</t>
  </si>
  <si>
    <t>-697.55700866062 97.4477291387495 745.998052517648</t>
  </si>
  <si>
    <t>-553.162809369862 120.148999361238 807.008272578811</t>
  </si>
  <si>
    <t>-577.925677884786 -133.189824321283 305.376791594982</t>
  </si>
  <si>
    <t>-609.529667922076 -141.845550833626 752.040788212634</t>
  </si>
  <si>
    <t>-475.692834447124 -183.864819417927 825.589315325599</t>
  </si>
  <si>
    <t>9763-20170724T104359.254111500.bin</t>
  </si>
  <si>
    <t>-713.48894238296 115.462855663444 -529.911161605523</t>
  </si>
  <si>
    <t>-777.424519331297 118.32329102838 -242.691315417094</t>
  </si>
  <si>
    <t>-540.952966531085 162.46481217542 -256.241439394696</t>
  </si>
  <si>
    <t>-641.214083344136 57.6892112081005 -101.790390907176</t>
  </si>
  <si>
    <t>-648.577562428525 73.2475161435746 301.394943401042</t>
  </si>
  <si>
    <t>-697.548662564176 97.4057185188719 745.975106220428</t>
  </si>
  <si>
    <t>-553.125420930671 119.919120384527 806.986137220796</t>
  </si>
  <si>
    <t>-577.977237979152 -133.159059955736 305.376925847765</t>
  </si>
  <si>
    <t>-609.521129875508 -141.694922053112 752.036659964688</t>
  </si>
  <si>
    <t>-475.75944697337 -183.929723867538 825.598538455545</t>
  </si>
  <si>
    <t>9763-20170724T104359.287199700.bin</t>
  </si>
  <si>
    <t>-713.450547792872 115.439928927143 -529.99820341368</t>
  </si>
  <si>
    <t>-777.284479443613 118.633095544912 -242.759242016162</t>
  </si>
  <si>
    <t>-540.786499205019 162.615016045596 -256.366750722477</t>
  </si>
  <si>
    <t>-641.192982714793 57.7717803361347 -101.813303801361</t>
  </si>
  <si>
    <t>-648.640224028818 73.3320943247347 301.370387618543</t>
  </si>
  <si>
    <t>-697.557756012709 97.4476229521802 745.964023226175</t>
  </si>
  <si>
    <t>-553.148041017699 120.0545260878 806.972734583945</t>
  </si>
  <si>
    <t>-577.988823918739 -133.093076978125 305.37205446434</t>
  </si>
  <si>
    <t>-609.518965600095 -141.617259906741 752.037773509403</t>
  </si>
  <si>
    <t>-475.824124118764 -184.053476420393 825.605066137952</t>
  </si>
  <si>
    <t>9763-20170724T104359.351015600.bin</t>
  </si>
  <si>
    <t>-713.28185675011 115.191327022751 -530.182400344654</t>
  </si>
  <si>
    <t>-777.070651686223 118.545190751113 -242.935254817197</t>
  </si>
  <si>
    <t>-540.583612320075 162.538002285432 -256.696228813264</t>
  </si>
  <si>
    <t>-641.127503498206 57.7313176316475 -101.848936929283</t>
  </si>
  <si>
    <t>-648.560894110395 73.3138302788607 301.334156228562</t>
  </si>
  <si>
    <t>-697.556269792994 97.4395417097737 745.930194576427</t>
  </si>
  <si>
    <t>-553.121961088584 119.879608207792 806.942293145891</t>
  </si>
  <si>
    <t>-577.997897755313 -133.117461945263 305.374249719724</t>
  </si>
  <si>
    <t>-609.520521167489 -141.653695748623 752.039847519822</t>
  </si>
  <si>
    <t>-475.756044657527 -183.884406001396 825.59893979774</t>
  </si>
  <si>
    <t>9763-20170724T104359.385105300.bin</t>
  </si>
  <si>
    <t>-713.263139177577 115.00398627006 -530.251056590213</t>
  </si>
  <si>
    <t>-777.114509533503 118.448410987138 -243.018719236277</t>
  </si>
  <si>
    <t>-540.631786792063 162.471947453431 -256.755734049228</t>
  </si>
  <si>
    <t>-641.086697285663 57.6701176644863 -101.853206204398</t>
  </si>
  <si>
    <t>-648.491730252674 73.2490655051865 301.330571446875</t>
  </si>
  <si>
    <t>-697.552753821609 97.4368960573365 745.914962933208</t>
  </si>
  <si>
    <t>-553.108506607091 119.796686444079 806.932986556633</t>
  </si>
  <si>
    <t>-577.972532966432 -133.197039888425 305.368341758277</t>
  </si>
  <si>
    <t>-609.525466707575 -141.740301491371 752.042852380889</t>
  </si>
  <si>
    <t>-475.688017647867 -183.756824701389 825.591735778933</t>
  </si>
  <si>
    <t>9763-20170724T104359.450292900.bin</t>
  </si>
  <si>
    <t>-713.562051328431 114.774032867158 -530.297310579499</t>
  </si>
  <si>
    <t>-777.59435483274 118.537646271405 -243.109328659862</t>
  </si>
  <si>
    <t>-541.082453318536 162.436872469585 -256.741085284166</t>
  </si>
  <si>
    <t>-640.989570116951 57.558861429379 -101.853884058244</t>
  </si>
  <si>
    <t>-648.431748872932 73.1959499932359 301.326900958388</t>
  </si>
  <si>
    <t>-697.568161314829 97.4879977009964 745.890932476603</t>
  </si>
  <si>
    <t>-553.179006967747 120.213014087182 806.9043859229</t>
  </si>
  <si>
    <t>-577.970828590055 -133.30026601751 305.373429075697</t>
  </si>
  <si>
    <t>-609.531270262139 -141.782955977957 752.042164472059</t>
  </si>
  <si>
    <t>-475.683318850578 -183.779717930831 825.583293331426</t>
  </si>
  <si>
    <t>9763-20170724T104359.484384300.bin</t>
  </si>
  <si>
    <t>-713.668114519502 114.750600917113 -530.302440392248</t>
  </si>
  <si>
    <t>-777.804781586519 118.509715284054 -243.137703955663</t>
  </si>
  <si>
    <t>-541.296190593714 162.445810230453 -256.709154370184</t>
  </si>
  <si>
    <t>-640.959496157386 57.5525653222901 -101.858568831015</t>
  </si>
  <si>
    <t>-648.414505042304 73.1663398816261 301.322928195542</t>
  </si>
  <si>
    <t>-697.565156035247 97.4807258274375 745.875907977714</t>
  </si>
  <si>
    <t>-553.170007841457 120.161475595945 806.891601440779</t>
  </si>
  <si>
    <t>-577.996522681302 -133.245352822652 305.369565266217</t>
  </si>
  <si>
    <t>-609.528423492774 -141.671142790796 752.041977559762</t>
  </si>
  <si>
    <t>-475.827896687034 -184.116897287022 825.593535366359</t>
  </si>
  <si>
    <t>9763-20170724T104359.555603800.bin</t>
  </si>
  <si>
    <t>-713.699121766541 114.573017866755 -530.291645756964</t>
  </si>
  <si>
    <t>-777.861473323755 118.309024258705 -243.132412049998</t>
  </si>
  <si>
    <t>-541.381498893679 162.420914713855 -256.630546500567</t>
  </si>
  <si>
    <t>-640.904327962318 57.3668751278706 -101.868364824693</t>
  </si>
  <si>
    <t>-648.379688363225 73.0514189919325 301.309977529091</t>
  </si>
  <si>
    <t>-697.56648419063 97.4809146358327 745.85321644564</t>
  </si>
  <si>
    <t>-553.177765642547 120.20850579072 806.866746354288</t>
  </si>
  <si>
    <t>-577.968476528877 -133.413560300022 305.362245090792</t>
  </si>
  <si>
    <t>-609.539257129481 -141.726484740256 752.047853656102</t>
  </si>
  <si>
    <t>-475.711738387269 -183.815897286166 825.573180572195</t>
  </si>
  <si>
    <t>9763-20170724T104359.583680300.bin</t>
  </si>
  <si>
    <t>-713.565917344024 114.542782962784 -530.253776192664</t>
  </si>
  <si>
    <t>-777.726568766769 118.219678422215 -243.093281045445</t>
  </si>
  <si>
    <t>-541.273057254777 162.445953023065 -256.681375801094</t>
  </si>
  <si>
    <t>-640.783816814607 57.2621986192646 -101.857130286121</t>
  </si>
  <si>
    <t>-648.418428195541 72.9956329563381 301.316358489906</t>
  </si>
  <si>
    <t>-697.566333200138 97.4720431897879 745.850212849491</t>
  </si>
  <si>
    <t>-553.153425048614 120.046396772672 806.863658305927</t>
  </si>
  <si>
    <t>-577.950281980926 -133.533780537177 305.371569586137</t>
  </si>
  <si>
    <t>-609.545943540399 -141.784584191829 752.051559802455</t>
  </si>
  <si>
    <t>-475.670357642033 -183.739535493695 825.566203122616</t>
  </si>
  <si>
    <t>9763-20170724T104359.655891300.bin</t>
  </si>
  <si>
    <t>-713.603429504861 114.543314628066 -530.153267302814</t>
  </si>
  <si>
    <t>-777.548809643297 117.945500415671 -242.941416643759</t>
  </si>
  <si>
    <t>-541.176904239044 162.560256119354 -256.678484610963</t>
  </si>
  <si>
    <t>-640.649686962519 57.1779932070508 -101.852247334486</t>
  </si>
  <si>
    <t>-648.349962021123 72.9038333434785 301.320239121418</t>
  </si>
  <si>
    <t>-697.572121608323 97.4758820773359 745.843143252019</t>
  </si>
  <si>
    <t>-553.195956169583 120.311645304708 806.84593939716</t>
  </si>
  <si>
    <t>-577.844537040438 -133.565214999087 305.382570632441</t>
  </si>
  <si>
    <t>-609.547780025291 -141.735010634899 752.057057374372</t>
  </si>
  <si>
    <t>-475.737846745223 -183.902084885396 825.569816745082</t>
  </si>
  <si>
    <t>9763-20170724T104359.688977800.bin</t>
  </si>
  <si>
    <t>-713.585156857638 114.602210931475 -530.099506793531</t>
  </si>
  <si>
    <t>-777.431411072837 117.835956997448 -242.863549072129</t>
  </si>
  <si>
    <t>-541.122436417279 162.763542896202 -256.664701914735</t>
  </si>
  <si>
    <t>-640.583975428696 57.1101820267374 -101.853254581307</t>
  </si>
  <si>
    <t>-648.29038977718 72.8748119986992 301.317644182997</t>
  </si>
  <si>
    <t>-697.575266403977 97.4809325988067 745.837654601415</t>
  </si>
  <si>
    <t>-553.229237646335 120.51527268617 806.837272730526</t>
  </si>
  <si>
    <t>-577.779315530645 -133.549631511582 305.380399928488</t>
  </si>
  <si>
    <t>-609.544548497058 -141.667878869659 752.057879062869</t>
  </si>
  <si>
    <t>-475.762357040813 -183.926140669301 825.568790100053</t>
  </si>
  <si>
    <t>9763-20170724T104359.754156600.bin</t>
  </si>
  <si>
    <t>-713.505057026698 114.57612138038 -530.01858558862</t>
  </si>
  <si>
    <t>-777.140097776691 117.530549872459 -242.732972974604</t>
  </si>
  <si>
    <t>-540.940038673787 162.991052166705 -256.651582209976</t>
  </si>
  <si>
    <t>-640.456274870789 56.977115792944 -101.838890217207</t>
  </si>
  <si>
    <t>-648.231434799945 72.7395744639578 301.330676078457</t>
  </si>
  <si>
    <t>-697.572437423369 97.4457639861475 745.83507722037</t>
  </si>
  <si>
    <t>-553.159443265811 120.053019901444 806.835939334716</t>
  </si>
  <si>
    <t>-577.67432374725 -133.684196904371 305.396022025311</t>
  </si>
  <si>
    <t>-609.548367423405 -141.709798436318 752.061189297692</t>
  </si>
  <si>
    <t>-475.711994962437 -183.814719077644 825.561524928589</t>
  </si>
  <si>
    <t>9763-20170724T104359.788249100.bin</t>
  </si>
  <si>
    <t>-713.331946400274 114.597867296067 -530.011358897961</t>
  </si>
  <si>
    <t>-776.912339728319 117.557931583389 -242.713620368126</t>
  </si>
  <si>
    <t>-540.747657699539 163.198855852275 -256.642484446637</t>
  </si>
  <si>
    <t>-640.413534531799 56.9476678900407 -101.836915706244</t>
  </si>
  <si>
    <t>-648.267822701076 72.7517070236702 301.329635390262</t>
  </si>
  <si>
    <t>-697.587312987632 97.4741381808979 745.830482902061</t>
  </si>
  <si>
    <t>-553.183636144805 120.172744998174 806.819452199606</t>
  </si>
  <si>
    <t>-577.672444865431 -133.628782253033 305.396130843065</t>
  </si>
  <si>
    <t>-609.543021413413 -141.584629751756 752.062154464663</t>
  </si>
  <si>
    <t>-475.862943271626 -184.16159205228 825.574963827848</t>
  </si>
  <si>
    <t>9763-20170724T104359.850935600.bin</t>
  </si>
  <si>
    <t>-712.503399530344 114.510580201692 -530.105012603251</t>
  </si>
  <si>
    <t>-776.038058662929 117.534753695159 -242.797974708605</t>
  </si>
  <si>
    <t>-539.951429139262 163.585843910584 -256.699913770577</t>
  </si>
  <si>
    <t>-640.406873851524 56.8866137736468 -101.860766209359</t>
  </si>
  <si>
    <t>-648.348786356369 72.7461683968681 301.301810019173</t>
  </si>
  <si>
    <t>-697.60015930245 97.4970000472244 745.816994838633</t>
  </si>
  <si>
    <t>-553.216916552228 120.353996488609 806.795125555207</t>
  </si>
  <si>
    <t>-577.677233316771 -133.720193675781 305.397552268736</t>
  </si>
  <si>
    <t>-609.54731248274 -141.626862672019 752.069665915357</t>
  </si>
  <si>
    <t>-475.807899066666 -184.039154647134 825.56970784505</t>
  </si>
  <si>
    <t>9763-20170724T104359.886029100.bin</t>
  </si>
  <si>
    <t>-711.96878573712 114.428181185744 -530.158947046369</t>
  </si>
  <si>
    <t>-775.592259158016 117.468295921549 -242.871554073275</t>
  </si>
  <si>
    <t>-539.507693667183 163.552823291676 -256.698118425544</t>
  </si>
  <si>
    <t>-640.405094899717 56.8405306029626 -101.861047371188</t>
  </si>
  <si>
    <t>-648.274013690339 72.7276770636533 301.301847951944</t>
  </si>
  <si>
    <t>-697.600984088805 97.4986681207556 745.809842975881</t>
  </si>
  <si>
    <t>-553.214753440055 120.326879866466 806.791710514344</t>
  </si>
  <si>
    <t>-577.659699390732 -133.765266883152 305.405431886474</t>
  </si>
  <si>
    <t>-609.548850564037 -141.733716647791 752.07134311552</t>
  </si>
  <si>
    <t>-475.768021195303 -184.016543551781 825.570816955581</t>
  </si>
  <si>
    <t>9763-20170724T104359.953716100.bin</t>
  </si>
  <si>
    <t>-711.218262791072 114.601176811415 -530.207356014385</t>
  </si>
  <si>
    <t>-775.058557322544 117.764270963456 -242.96939304532</t>
  </si>
  <si>
    <t>-538.863498972926 163.349443400263 -256.561348429633</t>
  </si>
  <si>
    <t>-640.472765434098 56.8328373900715 -101.852874653314</t>
  </si>
  <si>
    <t>-648.136089996689 72.6883131388515 301.315217059808</t>
  </si>
  <si>
    <t>-697.590313859239 97.4500922960483 745.799560398198</t>
  </si>
  <si>
    <t>-553.158529688781 119.965618521612 806.789630606581</t>
  </si>
  <si>
    <t>-577.590900273431 -133.672435282267 305.408397972903</t>
  </si>
  <si>
    <t>-609.525332316163 -141.480682113058 752.053989344948</t>
  </si>
  <si>
    <t>-475.83746918536 -184.013600360527 825.578110582286</t>
  </si>
  <si>
    <t>9763-20170724T104359.993824200.bin</t>
  </si>
  <si>
    <t>-711.032343608363 114.741650353579 -530.228888970904</t>
  </si>
  <si>
    <t>-774.903176666149 117.98755612316 -242.998722669268</t>
  </si>
  <si>
    <t>-538.636213253721 163.21303897757 -256.542746002992</t>
  </si>
  <si>
    <t>-640.554341110434 56.8866772367667 -101.855859249288</t>
  </si>
  <si>
    <t>-648.251787434778 72.7310615645733 301.312107173792</t>
  </si>
  <si>
    <t>-697.589384746166 97.4477526355724 745.799485776768</t>
  </si>
  <si>
    <t>-553.18107128961 120.110909915371 806.790632271213</t>
  </si>
  <si>
    <t>-577.703101801245 -133.685348490792 305.401759689256</t>
  </si>
  <si>
    <t>-609.526012820793 -141.528056276301 752.053970728728</t>
  </si>
  <si>
    <t>-475.785360484273 -183.907029096772 825.571099422005</t>
  </si>
  <si>
    <t>9763-20170724T104400.054991700.bin</t>
  </si>
  <si>
    <t>-710.996091467627 114.923027991605 -530.318277632922</t>
  </si>
  <si>
    <t>-775.128183416657 117.916061640354 -243.143674203461</t>
  </si>
  <si>
    <t>-538.753425483323 162.628656426312 -256.507767611601</t>
  </si>
  <si>
    <t>-640.779562547078 57.0541363842647 -101.876452642463</t>
  </si>
  <si>
    <t>-648.507533101184 72.8838225692739 301.291473013087</t>
  </si>
  <si>
    <t>-697.598458740503 97.4851275602527 745.807481302966</t>
  </si>
  <si>
    <t>-553.177657844567 120.049426939681 806.805728767206</t>
  </si>
  <si>
    <t>-577.974084476469 -133.610858393205 305.387417419517</t>
  </si>
  <si>
    <t>-609.528356797379 -141.543728142953 752.060406822079</t>
  </si>
  <si>
    <t>-475.826093852918 -184.040221159314 825.57940342135</t>
  </si>
  <si>
    <t>9763-20170724T104400.086073800.bin</t>
  </si>
  <si>
    <t>-710.997951139596 114.920382077998 -530.400864703387</t>
  </si>
  <si>
    <t>-775.277346144145 117.906915772874 -243.258953802149</t>
  </si>
  <si>
    <t>-538.845889838021 162.399289446294 -256.352686476318</t>
  </si>
  <si>
    <t>-640.842817690892 57.09267111439 -101.886851369391</t>
  </si>
  <si>
    <t>-648.587796466988 72.9686625883166 301.278888735658</t>
  </si>
  <si>
    <t>-697.600613197089 97.5152169691962 745.807692576897</t>
  </si>
  <si>
    <t>-553.189832916965 120.130264654545 806.810801458938</t>
  </si>
  <si>
    <t>-578.023912380402 -133.53628220593 305.370476960765</t>
  </si>
  <si>
    <t>-609.528717040084 -141.576351354358 752.059558732476</t>
  </si>
  <si>
    <t>-475.895218971449 -184.274518804217 825.58679400557</t>
  </si>
  <si>
    <t>9763-20170724T104400.154275600.bin</t>
  </si>
  <si>
    <t>-711.079843347985 114.672945831993 -530.495938887967</t>
  </si>
  <si>
    <t>-775.690288257383 117.854992033801 -243.43043854328</t>
  </si>
  <si>
    <t>-539.178954488927 162.01941061849 -256.18845619155</t>
  </si>
  <si>
    <t>-640.864124496766 57.0521821848779 -101.876015936292</t>
  </si>
  <si>
    <t>-648.54612849505 72.9694907117766 301.289325200081</t>
  </si>
  <si>
    <t>-697.59802974517 97.5092598505078 745.820446935304</t>
  </si>
  <si>
    <t>-553.163522786601 119.946158705837 806.833001540709</t>
  </si>
  <si>
    <t>-577.97321978868 -133.578260616648 305.365698443331</t>
  </si>
  <si>
    <t>-609.52947728008 -141.545901153039 752.055711048329</t>
  </si>
  <si>
    <t>-475.796204307424 -183.954939414756 825.568929039651</t>
  </si>
  <si>
    <t>9763-20170724T104400.188352900.bin</t>
  </si>
  <si>
    <t>-711.178580423178 114.509632362033 -530.50707346366</t>
  </si>
  <si>
    <t>-775.815337166882 117.757463478922 -243.448246550002</t>
  </si>
  <si>
    <t>-539.31826515522 162.014432228509 -256.149622616942</t>
  </si>
  <si>
    <t>-640.841780747677 57.0049949329994 -101.870940762702</t>
  </si>
  <si>
    <t>-648.494741580305 72.9261691154763 301.294818428755</t>
  </si>
  <si>
    <t>-697.597421615748 97.5076046312781 745.823077715582</t>
  </si>
  <si>
    <t>-553.15189711239 119.872742795569 806.836143909391</t>
  </si>
  <si>
    <t>-577.965169576832 -133.679971617019 305.37504773677</t>
  </si>
  <si>
    <t>-609.53284040912 -141.631034838437 752.057715957492</t>
  </si>
  <si>
    <t>-475.685872009618 -183.702696309555 825.557778132644</t>
  </si>
  <si>
    <t>9763-20170724T104400.253446400.bin</t>
  </si>
  <si>
    <t>-711.529374186117 114.399911690611 -530.428847495725</t>
  </si>
  <si>
    <t>-775.918409465127 117.635240690363 -243.314226271536</t>
  </si>
  <si>
    <t>-539.516763755984 162.377413660987 -256.092167718312</t>
  </si>
  <si>
    <t>-640.82473199843 57.0615143994808 -101.869067546685</t>
  </si>
  <si>
    <t>-648.447113024395 72.9365030610431 301.299133133606</t>
  </si>
  <si>
    <t>-697.60860857003 97.5513200579039 745.819346896481</t>
  </si>
  <si>
    <t>-553.184276912892 120.039472229503 806.837305811585</t>
  </si>
  <si>
    <t>-577.890952321874 -133.617549688178 305.389379899812</t>
  </si>
  <si>
    <t>-609.53176995461 -141.543019559997 752.069084378275</t>
  </si>
  <si>
    <t>-475.783952331562 -183.925499093104 825.571014295478</t>
  </si>
  <si>
    <t>9763-20170724T104400.343252400.bin</t>
  </si>
  <si>
    <t>-711.594933376041 114.17443826378 -530.356662920329</t>
  </si>
  <si>
    <t>-775.790551445538 117.298213721668 -243.197570984742</t>
  </si>
  <si>
    <t>-539.467101218745 162.404166087266 -256.142695512893</t>
  </si>
  <si>
    <t>-640.680098911605 56.9005364295028 -101.854491278886</t>
  </si>
  <si>
    <t>-648.320453593543 72.8157479854958 301.311767160815</t>
  </si>
  <si>
    <t>-697.597024103154 97.5079370282349 745.822017171112</t>
  </si>
  <si>
    <t>-553.151180087813 119.834807241307 806.848291339245</t>
  </si>
  <si>
    <t>-577.690296249982 -133.710975796648 305.392590991982</t>
  </si>
  <si>
    <t>-609.524214741324 -141.528721552994 752.060437923282</t>
  </si>
  <si>
    <t>-475.721098297303 -183.741878573591 825.559228646905</t>
  </si>
  <si>
    <t>9763-20170724T104400.387369400.bin</t>
  </si>
  <si>
    <t>-711.345464803523 114.177815343684 -530.255621550878</t>
  </si>
  <si>
    <t>-775.47658495412 117.249714403092 -243.081511183292</t>
  </si>
  <si>
    <t>-539.157318046534 162.372526636585 -256.044128665895</t>
  </si>
  <si>
    <t>-640.536499259756 56.8506866426726 -101.826463871545</t>
  </si>
  <si>
    <t>-648.252106792166 72.7755588993964 301.337911909748</t>
  </si>
  <si>
    <t>-697.597933076198 97.5091303422444 745.825097239396</t>
  </si>
  <si>
    <t>-553.177366340427 119.991883044158 806.853846193634</t>
  </si>
  <si>
    <t>-577.650387475402 -133.76083150791 305.409030206011</t>
  </si>
  <si>
    <t>-609.530551875126 -141.643191688604 752.068967251901</t>
  </si>
  <si>
    <t>-475.767762020445 -183.984576645122 825.567331894805</t>
  </si>
  <si>
    <t>9763-20170724T104400.451581700.bin</t>
  </si>
  <si>
    <t>-711.007941187334 114.28336893335 -530.188375244811</t>
  </si>
  <si>
    <t>-775.29744781055 117.090669237627 -243.046989325734</t>
  </si>
  <si>
    <t>-538.980652787485 162.272152619881 -255.848696147716</t>
  </si>
  <si>
    <t>-640.50589330421 56.8825198827769 -101.824889366716</t>
  </si>
  <si>
    <t>-648.23243591766 72.7977067546365 301.339616230406</t>
  </si>
  <si>
    <t>-697.605457881729 97.5393220315975 745.825394397552</t>
  </si>
  <si>
    <t>-553.213761567926 120.209329699659 806.85335092487</t>
  </si>
  <si>
    <t>-577.667312542757 -133.819963076796 305.417540743357</t>
  </si>
  <si>
    <t>-609.533932973188 -141.683809173361 752.080699082805</t>
  </si>
  <si>
    <t>-475.667134589631 -183.727338451878 825.560655408546</t>
  </si>
  <si>
    <t>9763-20170724T104400.484667800.bin</t>
  </si>
  <si>
    <t>-710.752972133185 114.381659528503 -530.160463834085</t>
  </si>
  <si>
    <t>-775.198155585508 117.128595278826 -243.053339599181</t>
  </si>
  <si>
    <t>-538.856368715424 162.231724496219 -255.668658082046</t>
  </si>
  <si>
    <t>-640.491355167302 56.8703858407428 -101.830416026933</t>
  </si>
  <si>
    <t>-648.203142124046 72.7901869529601 301.334255504699</t>
  </si>
  <si>
    <t>-697.611003927336 97.5592806522145 745.82332169303</t>
  </si>
  <si>
    <t>-553.232281744183 120.313541782368 806.850728568175</t>
  </si>
  <si>
    <t>-577.630344553638 -133.783488845017 305.423850164205</t>
  </si>
  <si>
    <t>-609.532994416869 -141.597161442404 752.08369790629</t>
  </si>
  <si>
    <t>-475.707402466968 -183.77460737562 825.562187412329</t>
  </si>
  <si>
    <t>9763-20170724T104400.551854800.bin</t>
  </si>
  <si>
    <t>-710.151261916122 114.344748190657 -530.249986892033</t>
  </si>
  <si>
    <t>-774.287230458805 117.663464312082 -243.079777560291</t>
  </si>
  <si>
    <t>-537.843468881846 162.402906550232 -255.063113726176</t>
  </si>
  <si>
    <t>-640.533984499558 56.7431767197727 -101.850379409912</t>
  </si>
  <si>
    <t>-648.121777613256 72.7457675553117 301.313375451112</t>
  </si>
  <si>
    <t>-697.608647280823 97.5578504530897 745.802121647132</t>
  </si>
  <si>
    <t>-553.198067890944 120.059528657074 806.847620479739</t>
  </si>
  <si>
    <t>-577.633314750108 -133.84631631717 305.431718946601</t>
  </si>
  <si>
    <t>-609.5371948077 -141.613839918112 752.090009623878</t>
  </si>
  <si>
    <t>-475.661000964515 -183.652092805712 825.556017367956</t>
  </si>
  <si>
    <t>9763-20170724T104400.585946500.bin</t>
  </si>
  <si>
    <t>-709.997957330616 114.238761940064 -530.32508762216</t>
  </si>
  <si>
    <t>-773.555921862242 118.24315794889 -243.035055716162</t>
  </si>
  <si>
    <t>-537.077764423338 162.824865991627 -254.92716177867</t>
  </si>
  <si>
    <t>-640.573530489188 56.6919837420494 -101.861126678314</t>
  </si>
  <si>
    <t>-648.201820735318 72.7399633564662 301.300002864844</t>
  </si>
  <si>
    <t>-697.609973966091 97.5637001907589 745.795763415402</t>
  </si>
  <si>
    <t>-553.187762639737 119.966338932292 806.85022835183</t>
  </si>
  <si>
    <t>-577.719390115036 -133.962841621092 305.435372012258</t>
  </si>
  <si>
    <t>-609.548897516805 -141.725511367201 752.099009387719</t>
  </si>
  <si>
    <t>-475.588313363284 -183.516762118059 825.552046570251</t>
  </si>
  <si>
    <t>9763-20170724T104400.650156700.bin</t>
  </si>
  <si>
    <t>-709.576487583633 114.403290974743 -530.420072380176</t>
  </si>
  <si>
    <t>-771.727296412449 120.060544720491 -242.850206245241</t>
  </si>
  <si>
    <t>-535.267643082465 164.607101939582 -255.232708965032</t>
  </si>
  <si>
    <t>-640.764378269648 56.8382181580278 -101.903845823118</t>
  </si>
  <si>
    <t>-648.393771305531 72.8691376823772 301.257983091019</t>
  </si>
  <si>
    <t>-697.62825803827 97.6375337779964 745.779968671614</t>
  </si>
  <si>
    <t>-553.253802415276 120.342025473244 806.83581419389</t>
  </si>
  <si>
    <t>-577.929395180964 -133.882607351612 305.432443095547</t>
  </si>
  <si>
    <t>-609.546467069048 -141.701562949399 752.113436837566</t>
  </si>
  <si>
    <t>-475.728609590743 -183.932656894481 825.575110370851</t>
  </si>
  <si>
    <t>9763-20170724T104400.688259800.bin</t>
  </si>
  <si>
    <t>-709.21368236178 114.437117327602 -530.510916143725</t>
  </si>
  <si>
    <t>-770.624312428389 120.910332394563 -242.799285027729</t>
  </si>
  <si>
    <t>-534.189861457661 165.511931522061 -255.460335126825</t>
  </si>
  <si>
    <t>-640.85746527085 56.8513390813739 -101.927121301783</t>
  </si>
  <si>
    <t>-648.400833620805 72.8633725129105 301.237111084679</t>
  </si>
  <si>
    <t>-697.624355206382 97.623521222233 745.764672639862</t>
  </si>
  <si>
    <t>-553.228386653305 120.163479977866 806.830690112856</t>
  </si>
  <si>
    <t>-578.017027315201 -133.929406625465 305.422352457564</t>
  </si>
  <si>
    <t>-609.546350951426 -141.709621248927 752.116050215217</t>
  </si>
  <si>
    <t>-475.626217061695 -183.631671393242 825.568300779419</t>
  </si>
  <si>
    <t>9763-20170724T104400.755276200.bin</t>
  </si>
  <si>
    <t>-708.322106691151 114.547919240431 -530.660236122711</t>
  </si>
  <si>
    <t>-768.298402165343 123.098929418734 -242.700254025973</t>
  </si>
  <si>
    <t>-531.85276230899 167.499749256982 -255.849916784393</t>
  </si>
  <si>
    <t>-640.807601799893 56.7941119350326 -101.936691291646</t>
  </si>
  <si>
    <t>-648.429282592921 72.8761349982892 301.223254043952</t>
  </si>
  <si>
    <t>-697.625954125968 97.639285200205 745.73948744706</t>
  </si>
  <si>
    <t>-553.232710507443 120.159967051728 806.8188787496</t>
  </si>
  <si>
    <t>-578.111872638185 -134.048373953748 305.431686462919</t>
  </si>
  <si>
    <t>-609.556686437547 -141.863716902871 752.126702233423</t>
  </si>
  <si>
    <t>-475.542292064606 -183.505968899586 825.566180717506</t>
  </si>
  <si>
    <t>9763-20170724T104400.783350800.bin</t>
  </si>
  <si>
    <t>-707.845186052996 114.748433315536 -530.735189069888</t>
  </si>
  <si>
    <t>-767.195640119476 124.369074938417 -242.679258082752</t>
  </si>
  <si>
    <t>-530.717498865358 168.530656792168 -256.047807714249</t>
  </si>
  <si>
    <t>-640.723830580169 56.8689710912538 -101.94285102632</t>
  </si>
  <si>
    <t>-648.452956272156 72.9548962163537 301.21488874688</t>
  </si>
  <si>
    <t>-697.636739862429 97.6714685622821 745.729113259758</t>
  </si>
  <si>
    <t>-553.276685493788 120.422203657264 806.801734363866</t>
  </si>
  <si>
    <t>-578.162411533116 -133.9951053772 305.436306173099</t>
  </si>
  <si>
    <t>-609.554811836468 -141.816597913251 752.129610065796</t>
  </si>
  <si>
    <t>-475.617598891019 -183.699371582372 825.573105877024</t>
  </si>
  <si>
    <t>9763-20170724T104400.853546700.bin</t>
  </si>
  <si>
    <t>-706.855518371958 115.214335373046 -530.823418890986</t>
  </si>
  <si>
    <t>-765.287820029201 126.465194252342 -242.638868344945</t>
  </si>
  <si>
    <t>-528.685737830528 169.79330244652 -256.531564752479</t>
  </si>
  <si>
    <t>-640.344905305241 57.1025069566267 -101.957272037973</t>
  </si>
  <si>
    <t>-648.238900853146 73.0862532439553 301.201392238188</t>
  </si>
  <si>
    <t>-697.634302566167 97.6432077956727 745.709489384142</t>
  </si>
  <si>
    <t>-553.249806174244 120.245282494561 806.779669943504</t>
  </si>
  <si>
    <t>-578.03814625127 -133.902158416198 305.433971336147</t>
  </si>
  <si>
    <t>-609.550354749071 -141.804699325509 752.122818069381</t>
  </si>
  <si>
    <t>-475.643381095712 -183.771980943734 825.573291793914</t>
  </si>
  <si>
    <t>9763-20170724T104400.903707600.bin</t>
  </si>
  <si>
    <t>-706.140789940583 115.487588866644 -530.884265292364</t>
  </si>
  <si>
    <t>-764.308152927479 127.402722172593 -242.672773048034</t>
  </si>
  <si>
    <t>-527.578450579621 169.938692721431 -256.836128360234</t>
  </si>
  <si>
    <t>-639.864524825521 57.2689503159133 -101.951546570693</t>
  </si>
  <si>
    <t>-647.862765755247 73.1535629950099 301.208965117768</t>
  </si>
  <si>
    <t>-697.635674154706 97.6387136192086 745.689960584378</t>
  </si>
  <si>
    <t>-553.24517698407 120.198814551981 806.761284495788</t>
  </si>
  <si>
    <t>-577.727875484227 -133.744099929578 305.426907472177</t>
  </si>
  <si>
    <t>-609.516427305349 -141.53560864642 752.093559579022</t>
  </si>
  <si>
    <t>-475.641719338696 -183.558029369075 825.571296225586</t>
  </si>
  <si>
    <t>9763-20170724T104400.954850800.bin</t>
  </si>
  <si>
    <t>-705.581817676477 115.628005438194 -530.903437431705</t>
  </si>
  <si>
    <t>-763.624493529731 127.851448343319 -242.679881075604</t>
  </si>
  <si>
    <t>-526.756618461395 169.653767730321 -256.716770325665</t>
  </si>
  <si>
    <t>-639.484921037495 57.387136400361 -101.928842442874</t>
  </si>
  <si>
    <t>-647.503067128248 73.1553443662924 301.235756292444</t>
  </si>
  <si>
    <t>-697.623287424749 97.5675151308924 745.674939416197</t>
  </si>
  <si>
    <t>-553.187208467069 119.850606028541 806.740409981855</t>
  </si>
  <si>
    <t>-577.431621681147 -133.652140539683 305.415654690833</t>
  </si>
  <si>
    <t>-609.500261040091 -141.470192419514 752.064792787793</t>
  </si>
  <si>
    <t>-475.762911615369 -183.863760853656 825.579420765634</t>
  </si>
  <si>
    <t>9763-20170724T104400.985964700.bin</t>
  </si>
  <si>
    <t>-705.28412823933 115.718093932929 -530.91273980644</t>
  </si>
  <si>
    <t>-763.31069822486 128.072956898125 -242.691488309103</t>
  </si>
  <si>
    <t>-526.354558049494 169.448171665815 -256.50257528225</t>
  </si>
  <si>
    <t>-639.27408007162 57.4572415116729 -101.922953977513</t>
  </si>
  <si>
    <t>-647.402575054386 73.2041473610022 301.240339229486</t>
  </si>
  <si>
    <t>-697.625170490644 97.5671740734474 745.664803778059</t>
  </si>
  <si>
    <t>-553.182320737248 119.815123821872 806.72685219561</t>
  </si>
  <si>
    <t>-577.305707151748 -133.660296076315 305.42269468625</t>
  </si>
  <si>
    <t>-609.500666360537 -141.63789476695 752.054025379025</t>
  </si>
  <si>
    <t>-475.700732410796 -183.826803778096 825.572584977476</t>
  </si>
  <si>
    <t>9763-20170724T104401.052085000.bin</t>
  </si>
  <si>
    <t>-704.806676556912 115.910286540694 -531.01719818586</t>
  </si>
  <si>
    <t>-762.855018798893 128.519686278833 -242.811418571342</t>
  </si>
  <si>
    <t>-525.739180409734 169.188209814226 -255.964739934837</t>
  </si>
  <si>
    <t>-639.022447658043 57.7125520220052 -101.967302809145</t>
  </si>
  <si>
    <t>-647.442215448401 73.4254466404473 301.191359292812</t>
  </si>
  <si>
    <t>-697.644565823753 97.6555249121295 745.628044850473</t>
  </si>
  <si>
    <t>-553.265103974341 120.338093514787 806.680274018954</t>
  </si>
  <si>
    <t>-577.238952689523 -133.519722255543 305.426155080104</t>
  </si>
  <si>
    <t>-609.486157335668 -141.488519746222 752.035988989599</t>
  </si>
  <si>
    <t>-475.766940081487 -183.898377092649 825.574289894753</t>
  </si>
  <si>
    <t>9763-20170724T104401.087177500.bin</t>
  </si>
  <si>
    <t>-704.563829781473 115.956012820216 -531.107439698627</t>
  </si>
  <si>
    <t>-762.603993111493 128.667047017434 -242.904426997033</t>
  </si>
  <si>
    <t>-525.430812799176 169.113927350859 -255.702337310835</t>
  </si>
  <si>
    <t>-638.931048937284 57.8019018715956 -102.008476813667</t>
  </si>
  <si>
    <t>-647.473391840017 73.5275069763477 301.147071568391</t>
  </si>
  <si>
    <t>-697.651875836603 97.7051340134676 745.604088609621</t>
  </si>
  <si>
    <t>-553.286679021764 120.465514995087 806.660949356594</t>
  </si>
  <si>
    <t>-577.21079810898 -133.430370218729 305.423295461725</t>
  </si>
  <si>
    <t>-609.476720707092 -141.361106821421 752.032083004026</t>
  </si>
  <si>
    <t>-475.789153278407 -183.858745397374 825.577279110072</t>
  </si>
  <si>
    <t>9763-20170724T104401.152139800.bin</t>
  </si>
  <si>
    <t>-704.159021623473 116.107885275715 -531.256881349382</t>
  </si>
  <si>
    <t>-762.02404320689 129.194471290034 -243.035556764685</t>
  </si>
  <si>
    <t>-524.758811271413 169.22721620475 -255.423620168636</t>
  </si>
  <si>
    <t>-638.764733408463 57.9789854454764 -102.070110649985</t>
  </si>
  <si>
    <t>-647.422635019675 73.6695886527123 301.084282146072</t>
  </si>
  <si>
    <t>-697.644325034798 97.7096198432941 745.554789339042</t>
  </si>
  <si>
    <t>-553.251501166865 120.271116062859 806.620167555671</t>
  </si>
  <si>
    <t>-577.093000965749 -133.39886797113 305.420487377779</t>
  </si>
  <si>
    <t>-609.478047655982 -141.565645157762 752.022514318315</t>
  </si>
  <si>
    <t>-475.689773530734 -183.737130731892 825.572177827472</t>
  </si>
  <si>
    <t>9763-20170724T104401.184224100.bin</t>
  </si>
  <si>
    <t>-704.069578084526 116.301118101382 -531.296613250642</t>
  </si>
  <si>
    <t>-761.78479294823 129.494972439983 -243.050030846638</t>
  </si>
  <si>
    <t>-524.521599496562 169.50666420908 -255.543806675444</t>
  </si>
  <si>
    <t>-638.627746244876 58.0890894077388 -102.092308031511</t>
  </si>
  <si>
    <t>-647.357205714868 73.7607340930688 301.061321467569</t>
  </si>
  <si>
    <t>-697.644296821205 97.7346981082815 745.527235191844</t>
  </si>
  <si>
    <t>-553.252661596366 120.295561122474 806.595702020556</t>
  </si>
  <si>
    <t>-577.094199394225 -133.378182434282 305.416542111203</t>
  </si>
  <si>
    <t>-609.474004472088 -141.554916956052 752.0150093605</t>
  </si>
  <si>
    <t>-475.739822145572 -183.882040557339 825.573819783951</t>
  </si>
  <si>
    <t>9763-20170724T104401.253424600.bin</t>
  </si>
  <si>
    <t>-703.992101006581 116.834668268646 -531.323219752158</t>
  </si>
  <si>
    <t>-761.152539191052 129.874938684482 -242.95897365393</t>
  </si>
  <si>
    <t>-523.982293965043 170.272693882009 -255.964878480822</t>
  </si>
  <si>
    <t>-638.318710789037 58.3909771924345 -102.126237613191</t>
  </si>
  <si>
    <t>-647.127661627223 73.9067853585675 301.031652382745</t>
  </si>
  <si>
    <t>-697.638943703272 97.7434181744427 745.484438402416</t>
  </si>
  <si>
    <t>-553.24854237365 120.314180635139 806.552263772447</t>
  </si>
  <si>
    <t>-577.162275330148 -133.245041011749 305.393494696869</t>
  </si>
  <si>
    <t>-609.467552846064 -141.442041851801 751.996526659731</t>
  </si>
  <si>
    <t>-475.812941512212 -183.986549283507 825.574401523539</t>
  </si>
  <si>
    <t>9763-20170724T104401.282497500.bin</t>
  </si>
  <si>
    <t>-703.867467452216 117.08695522495 -531.314673378193</t>
  </si>
  <si>
    <t>-760.976421602754 130.213009344391 -242.944301574264</t>
  </si>
  <si>
    <t>-523.798018477399 170.552376417811 -255.983521162233</t>
  </si>
  <si>
    <t>-638.179429292922 58.5107521245891 -102.126331011438</t>
  </si>
  <si>
    <t>-646.978924734662 73.9513547438391 301.03477505911</t>
  </si>
  <si>
    <t>-697.64626276678 97.7769172966041 745.465793549611</t>
  </si>
  <si>
    <t>-553.287047097111 120.565229270667 806.526484503147</t>
  </si>
  <si>
    <t>-577.201231563141 -133.295739898018 305.390717624956</t>
  </si>
  <si>
    <t>-609.479548255759 -141.60487812583 751.995865756477</t>
  </si>
  <si>
    <t>-475.714414572459 -183.819337621242 825.563054762869</t>
  </si>
  <si>
    <t>9763-20170724T104401.351685600.bin</t>
  </si>
  <si>
    <t>-703.376162812286 117.595779652335 -531.371875249681</t>
  </si>
  <si>
    <t>-760.834887961427 131.062810255934 -243.086675633233</t>
  </si>
  <si>
    <t>-523.533444113885 170.830599198767 -255.635213862657</t>
  </si>
  <si>
    <t>-637.797495654303 58.6987133517262 -102.119829036364</t>
  </si>
  <si>
    <t>-646.619006768164 74.0281916217939 301.044942378717</t>
  </si>
  <si>
    <t>-697.636569088574 97.7555532968438 745.429497658578</t>
  </si>
  <si>
    <t>-553.231620373917 120.259363383452 806.487647584044</t>
  </si>
  <si>
    <t>-577.10019081339 -133.059199202593 305.391797928707</t>
  </si>
  <si>
    <t>-609.453297388314 -141.282673806454 751.972566118569</t>
  </si>
  <si>
    <t>-475.974211785625 -184.312617716986 825.586729127347</t>
  </si>
  <si>
    <t>9763-20170724T104401.408845600.bin</t>
  </si>
  <si>
    <t>-703.279017899525 117.629183985724 -531.443284844722</t>
  </si>
  <si>
    <t>-760.817335882756 131.143896605798 -243.176261428314</t>
  </si>
  <si>
    <t>-523.426340531716 170.514119036726 -255.274583545163</t>
  </si>
  <si>
    <t>-637.537012224732 58.7588612232955 -102.12832223584</t>
  </si>
  <si>
    <t>-646.418851866953 74.0684448761144 301.035927259565</t>
  </si>
  <si>
    <t>-697.636537638252 97.7898734534003 745.400350881594</t>
  </si>
  <si>
    <t>-553.277053359367 120.603453587118 806.450988557667</t>
  </si>
  <si>
    <t>-576.921975159015 -133.041112733254 305.393254148303</t>
  </si>
  <si>
    <t>-609.446292118211 -141.253586810589 751.959087690504</t>
  </si>
  <si>
    <t>-475.950881566767 -184.209727190431 825.58687474444</t>
  </si>
  <si>
    <t>9763-20170724T104401.454001000.bin</t>
  </si>
  <si>
    <t>-703.396749758875 117.52547979422 -531.424299056396</t>
  </si>
  <si>
    <t>-760.722383496188 130.971666040996 -243.111596206948</t>
  </si>
  <si>
    <t>-523.297862777542 170.160808303374 -255.139591760433</t>
  </si>
  <si>
    <t>-637.367239795664 58.7722651129811 -102.149426734796</t>
  </si>
  <si>
    <t>-646.35178891757 74.091269924754 301.012194816421</t>
  </si>
  <si>
    <t>-697.628501573855 97.7929357823748 745.367708952119</t>
  </si>
  <si>
    <t>-553.239309207566 120.415094875893 806.419217215309</t>
  </si>
  <si>
    <t>-576.811288154141 -133.003591163027 305.39873370292</t>
  </si>
  <si>
    <t>-609.439385475572 -141.182382744179 751.947264887255</t>
  </si>
  <si>
    <t>-476.014353891595 -184.321975355552 825.59526346815</t>
  </si>
  <si>
    <t>9763-20170724T104401.487090600.bin</t>
  </si>
  <si>
    <t>-703.613379575308 117.442551295801 -531.429611107205</t>
  </si>
  <si>
    <t>-760.682426468889 130.902188042065 -243.066700170241</t>
  </si>
  <si>
    <t>-523.247190730219 170.010304517048 -255.147340549364</t>
  </si>
  <si>
    <t>-637.347881840644 58.826927146237 -102.166343672007</t>
  </si>
  <si>
    <t>-646.360315005593 74.1153212573522 300.995777679984</t>
  </si>
  <si>
    <t>-697.631278798357 97.8484260455259 745.347879819274</t>
  </si>
  <si>
    <t>-553.268499838511 120.63743157688 806.399911013677</t>
  </si>
  <si>
    <t>-576.767227007079 -133.023582965754 305.396460329633</t>
  </si>
  <si>
    <t>-609.435721977625 -141.14949392969 751.939239843462</t>
  </si>
  <si>
    <t>-475.907058550818 -183.973638639692 825.583388632832</t>
  </si>
  <si>
    <t>9763-20170724T104401.555275500.bin</t>
  </si>
  <si>
    <t>-704.142977496749 117.222603818401 -531.496761202772</t>
  </si>
  <si>
    <t>-760.714777870347 130.846824834439 -243.04356957811</t>
  </si>
  <si>
    <t>-523.266273423274 169.832095250055 -255.259861546132</t>
  </si>
  <si>
    <t>-637.323262248235 58.7904158148747 -102.191665209908</t>
  </si>
  <si>
    <t>-646.411010849506 74.1893732226745 300.964585151025</t>
  </si>
  <si>
    <t>-697.619432328281 97.8589230804384 745.322338116279</t>
  </si>
  <si>
    <t>-553.21608146425 120.36055517912 806.384984111339</t>
  </si>
  <si>
    <t>-576.676385218235 -132.979665294149 305.371931892615</t>
  </si>
  <si>
    <t>-609.437378973751 -141.200631938012 751.927197843049</t>
  </si>
  <si>
    <t>-475.997936499206 -184.273111298025 825.58846840594</t>
  </si>
  <si>
    <t>9763-20170724T104401.584354500.bin</t>
  </si>
  <si>
    <t>-704.366519845209 117.137780778769 -531.504839991614</t>
  </si>
  <si>
    <t>-760.800029341508 130.924907462464 -243.032233632265</t>
  </si>
  <si>
    <t>-523.354568453651 169.917521301799 -255.284275418374</t>
  </si>
  <si>
    <t>-637.376698290862 58.7454928763748 -102.201347103961</t>
  </si>
  <si>
    <t>-646.438505599481 74.1859541443803 300.953899961749</t>
  </si>
  <si>
    <t>-697.608218574334 97.8522943473181 745.314716141802</t>
  </si>
  <si>
    <t>-553.179757140592 120.172398128029 806.384566380307</t>
  </si>
  <si>
    <t>-576.666742349472 -132.942473923052 305.371908835009</t>
  </si>
  <si>
    <t>-609.436575244809 -141.148245376027 751.922637813811</t>
  </si>
  <si>
    <t>-476.055493549113 -184.393007094121 825.58849635765</t>
  </si>
  <si>
    <t>9763-20170724T104401.653556000.bin</t>
  </si>
  <si>
    <t>-704.872302752521 116.884690337198 -531.54635510654</t>
  </si>
  <si>
    <t>-761.083653076019 131.084841559175 -243.050541510669</t>
  </si>
  <si>
    <t>-523.646347609708 170.136764827791 -255.271490374236</t>
  </si>
  <si>
    <t>-637.566432603834 58.6383384748974 -102.22252454977</t>
  </si>
  <si>
    <t>-646.573604194843 74.1754224035408 300.930226262906</t>
  </si>
  <si>
    <t>-697.615801315986 97.9322891822333 745.299321052352</t>
  </si>
  <si>
    <t>-553.21733019258 120.429943549751 806.375052230051</t>
  </si>
  <si>
    <t>-576.743089972707 -133.103695668611 305.36586663895</t>
  </si>
  <si>
    <t>-609.45768977771 -141.305053377325 751.933999964307</t>
  </si>
  <si>
    <t>-475.880420421052 -183.992499433128 825.569424882384</t>
  </si>
  <si>
    <t>9763-20170724T104401.687645600.bin</t>
  </si>
  <si>
    <t>-705.09507276187 116.808792500309 -531.558344201491</t>
  </si>
  <si>
    <t>-761.227008202813 131.229853169299 -243.057991605156</t>
  </si>
  <si>
    <t>-523.782724787785 170.254147853475 -255.230981349997</t>
  </si>
  <si>
    <t>-637.656892684117 58.597944118201 -102.234994172491</t>
  </si>
  <si>
    <t>-646.682760067985 74.1927112680846 300.915107934838</t>
  </si>
  <si>
    <t>-697.617940997349 97.9653118554445 745.294756227926</t>
  </si>
  <si>
    <t>-553.220959099921 120.460415264115 806.374801694747</t>
  </si>
  <si>
    <t>-576.836126637209 -133.093051925367 305.363176309532</t>
  </si>
  <si>
    <t>-609.464059989246 -141.281931861796 751.938125356692</t>
  </si>
  <si>
    <t>-475.980972033648 -184.260139474412 825.575327475148</t>
  </si>
  <si>
    <t>9763-20170724T104401.755533600.bin</t>
  </si>
  <si>
    <t>-705.534247197231 116.627309197031 -531.563370725097</t>
  </si>
  <si>
    <t>-761.461503377251 131.362568458563 -243.039108983347</t>
  </si>
  <si>
    <t>-523.982790345635 170.191077115051 -255.167469345903</t>
  </si>
  <si>
    <t>-637.89099739807 58.4874281206623 -102.247880269334</t>
  </si>
  <si>
    <t>-646.845311979934 74.1275116882234 300.902097494939</t>
  </si>
  <si>
    <t>-697.61051357792 97.9756342668261 745.288196735263</t>
  </si>
  <si>
    <t>-553.199889150027 120.368154365565 806.373748128117</t>
  </si>
  <si>
    <t>-577.068907165399 -133.187261758498 305.363530162695</t>
  </si>
  <si>
    <t>-609.485094799282 -141.309969623953 751.95866618014</t>
  </si>
  <si>
    <t>-475.986037268469 -184.279239368011 825.572095303934</t>
  </si>
  <si>
    <t>9763-20170724T104401.789622800.bin</t>
  </si>
  <si>
    <t>-705.705806942287 116.609317823668 -531.556081524988</t>
  </si>
  <si>
    <t>-761.508226164726 131.458608646746 -243.013551977094</t>
  </si>
  <si>
    <t>-524.005614160313 170.14246754641 -255.135795136748</t>
  </si>
  <si>
    <t>-637.952318673219 58.4218460862044 -102.249573611305</t>
  </si>
  <si>
    <t>-646.914898690687 74.1083207368511 300.898399738045</t>
  </si>
  <si>
    <t>-697.608157656979 97.9834870804787 745.286532898348</t>
  </si>
  <si>
    <t>-553.197505936259 120.38036142124 806.370411594766</t>
  </si>
  <si>
    <t>-577.145289106804 -133.155903706913 305.359141288178</t>
  </si>
  <si>
    <t>-609.483343678919 -141.209272526806 751.96488270613</t>
  </si>
  <si>
    <t>-476.099093465308 -184.524583389404 825.583606330163</t>
  </si>
  <si>
    <t>9763-20170724T104401.851322400.bin</t>
  </si>
  <si>
    <t>-706.080994608311 116.344368044821 -531.544811847624</t>
  </si>
  <si>
    <t>-761.654278513094 131.349310452053 -242.965949277936</t>
  </si>
  <si>
    <t>-524.102727226941 169.708780972215 -255.159446315915</t>
  </si>
  <si>
    <t>-638.089607045141 58.2506638746981 -102.247622896236</t>
  </si>
  <si>
    <t>-647.010868756105 73.9704333013999 300.899987698034</t>
  </si>
  <si>
    <t>-697.608733382319 97.9987178896797 745.289564088789</t>
  </si>
  <si>
    <t>-553.165421920302 120.194234523256 806.369874834891</t>
  </si>
  <si>
    <t>-577.358553075155 -133.485726917058 305.360838501551</t>
  </si>
  <si>
    <t>-609.521270919935 -141.628016997385 751.989381657544</t>
  </si>
  <si>
    <t>-475.816139502571 -184.030263020355 825.557753423325</t>
  </si>
  <si>
    <t>9763-20170724T104401.884413100.bin</t>
  </si>
  <si>
    <t>-706.226656975011 116.292181165563 -531.537714959513</t>
  </si>
  <si>
    <t>-761.701997239224 131.338333438649 -242.942387829071</t>
  </si>
  <si>
    <t>-524.146316350627 169.63837518606 -255.242953066077</t>
  </si>
  <si>
    <t>-638.139248368875 58.2091031771618 -102.251899133587</t>
  </si>
  <si>
    <t>-647.021415806232 73.9374381572295 300.896213385471</t>
  </si>
  <si>
    <t>-697.609728169663 98.0182976853291 745.290380856301</t>
  </si>
  <si>
    <t>-553.172984212965 120.246995559002 806.374032311589</t>
  </si>
  <si>
    <t>-577.40797372934 -133.489047333523 305.357270469444</t>
  </si>
  <si>
    <t>-609.518405835996 -141.528605402269 751.9914288451</t>
  </si>
  <si>
    <t>-475.864999184093 -184.094661439621 825.558953820506</t>
  </si>
  <si>
    <t>9763-20170724T104401.955111100.bin</t>
  </si>
  <si>
    <t>-706.228439432257 116.246204721441 -531.57049665175</t>
  </si>
  <si>
    <t>-761.547381261316 131.431926676396 -242.952396754221</t>
  </si>
  <si>
    <t>-523.95688587975 169.495824800727 -255.312558817353</t>
  </si>
  <si>
    <t>-638.132972221099 58.1626472093919 -102.249090537083</t>
  </si>
  <si>
    <t>-647.012758339034 73.9379132044385 300.897243267899</t>
  </si>
  <si>
    <t>-697.606074516186 98.037238112697 745.29350969998</t>
  </si>
  <si>
    <t>-553.186140428826 120.37590781944 806.376594961269</t>
  </si>
  <si>
    <t>-577.463006441787 -133.440072653093 305.365084376047</t>
  </si>
  <si>
    <t>-609.521214490349 -141.436359025522 752.003050974467</t>
  </si>
  <si>
    <t>-476.043046965534 -184.529394047271 825.581981091382</t>
  </si>
  <si>
    <t>9763-20170724T104401.983183600.bin</t>
  </si>
  <si>
    <t>-706.162941570819 116.256737320362 -531.593691049274</t>
  </si>
  <si>
    <t>-761.449793279327 131.601060526858 -242.977896281222</t>
  </si>
  <si>
    <t>-523.825170570459 169.492619274777 -255.210907595753</t>
  </si>
  <si>
    <t>-638.13661801577 58.1626513658016 -102.246763984584</t>
  </si>
  <si>
    <t>-647.023402409142 73.9565879102443 300.898625481222</t>
  </si>
  <si>
    <t>-697.59883330422 98.019197029734 745.290512750278</t>
  </si>
  <si>
    <t>-553.176301442149 120.339756960816 806.374151701015</t>
  </si>
  <si>
    <t>-577.488290838042 -133.43257120868 305.375131607388</t>
  </si>
  <si>
    <t>-609.531158842339 -141.463590756624 752.015273362774</t>
  </si>
  <si>
    <t>-476.050780512632 -184.563708138356 825.586149259605</t>
  </si>
  <si>
    <t>9763-20170724T104402.053383000.bin</t>
  </si>
  <si>
    <t>-706.056440152864 116.150748006718 -531.635511365738</t>
  </si>
  <si>
    <t>-761.261738706343 131.717266250653 -243.015894603658</t>
  </si>
  <si>
    <t>-523.73774461644 170.295978597256 -255.053723583521</t>
  </si>
  <si>
    <t>-638.157397073232 58.1695283547476 -102.250970860473</t>
  </si>
  <si>
    <t>-647.097475581482 73.9942003537433 300.892109441115</t>
  </si>
  <si>
    <t>-697.601140080071 98.0493990121458 745.29510221121</t>
  </si>
  <si>
    <t>-553.174211100352 120.342508893331 806.378303091751</t>
  </si>
  <si>
    <t>-577.506617019742 -133.62709952764 305.396587657621</t>
  </si>
  <si>
    <t>-609.558149425871 -141.841410241398 752.036184193848</t>
  </si>
  <si>
    <t>-475.863273574037 -184.332526195353 825.57174674361</t>
  </si>
  <si>
    <t>9763-20170724T104402.086471200.bin</t>
  </si>
  <si>
    <t>-705.915381577099 116.128188486511 -531.655895306265</t>
  </si>
  <si>
    <t>-761.059145766587 131.71812579969 -243.025804853435</t>
  </si>
  <si>
    <t>-523.618062310543 170.764422962027 -255.190667231703</t>
  </si>
  <si>
    <t>-638.159230982172 58.1823148501942 -102.244071327924</t>
  </si>
  <si>
    <t>-647.103299235039 74.0129141499267 300.898637143264</t>
  </si>
  <si>
    <t>-697.604765644972 98.0726477713933 745.299036956666</t>
  </si>
  <si>
    <t>-553.15967258527 120.239336275038 806.385326996987</t>
  </si>
  <si>
    <t>-577.519321813947 -133.664787521244 305.403755246785</t>
  </si>
  <si>
    <t>-609.560982150477 -141.838626748314 752.04280537132</t>
  </si>
  <si>
    <t>-475.799903738987 -184.140925936486 825.566865321138</t>
  </si>
  <si>
    <t>9763-20170724T104402.150547800.bin</t>
  </si>
  <si>
    <t>-705.565542723758 116.206895892381 -531.724778123904</t>
  </si>
  <si>
    <t>-760.690133908137 131.868892977764 -243.094917500631</t>
  </si>
  <si>
    <t>-523.390810890667 171.76012340946 -255.285716320974</t>
  </si>
  <si>
    <t>-638.12214231855 58.3463343866415 -102.240879786131</t>
  </si>
  <si>
    <t>-647.096602930794 74.1392942490181 300.902648810178</t>
  </si>
  <si>
    <t>-697.617446023797 98.1187685322939 745.307326809837</t>
  </si>
  <si>
    <t>-553.200191792792 120.496980467334 806.382434800861</t>
  </si>
  <si>
    <t>-577.494312957909 -133.558086114141 305.406141254131</t>
  </si>
  <si>
    <t>-609.554409408592 -141.746395939299 752.041293958763</t>
  </si>
  <si>
    <t>-475.847209215574 -184.204419341526 825.573657377476</t>
  </si>
  <si>
    <t>9763-20170724T104402.184638800.bin</t>
  </si>
  <si>
    <t>-705.352326435079 116.258702805725 -531.760128643435</t>
  </si>
  <si>
    <t>-760.564599817193 131.927404063553 -243.147283379324</t>
  </si>
  <si>
    <t>-523.312401484654 172.08082748513 -255.393419255698</t>
  </si>
  <si>
    <t>-638.080997492403 58.4032748882598 -102.238392651275</t>
  </si>
  <si>
    <t>-647.082372018842 74.1750049030641 300.905433930353</t>
  </si>
  <si>
    <t>-697.619318520223 98.1245764473128 745.313512239877</t>
  </si>
  <si>
    <t>-553.177600134317 120.345626347056 806.388089356501</t>
  </si>
  <si>
    <t>-577.467921429085 -133.583605449789 305.406514048358</t>
  </si>
  <si>
    <t>-609.557352388852 -141.839983155397 752.042551288569</t>
  </si>
  <si>
    <t>-475.790491944922 -184.118122153719 825.570053737069</t>
  </si>
  <si>
    <t>9763-20170724T104402.253368500.bin</t>
  </si>
  <si>
    <t>-704.889905093202 116.521309550854 -531.780498341047</t>
  </si>
  <si>
    <t>-760.200220113763 132.327350851981 -243.194093344068</t>
  </si>
  <si>
    <t>-522.950306677884 172.524610601406 -255.339931341234</t>
  </si>
  <si>
    <t>-637.885655064161 58.6063050250452 -102.227510208815</t>
  </si>
  <si>
    <t>-647.061646024567 74.3295765371763 300.91419293373</t>
  </si>
  <si>
    <t>-697.61620659078 98.1271004913492 745.319076762009</t>
  </si>
  <si>
    <t>-553.15673224373 120.229260402405 806.394817087112</t>
  </si>
  <si>
    <t>-577.366204524988 -133.367786733793 305.399951547783</t>
  </si>
  <si>
    <t>-609.530522870063 -141.425750031966 752.02471276323</t>
  </si>
  <si>
    <t>-475.972656698878 -184.316425029646 825.577291057524</t>
  </si>
  <si>
    <t>9763-20170724T104402.287458500.bin</t>
  </si>
  <si>
    <t>-704.723392779735 116.655967319297 -531.761013596272</t>
  </si>
  <si>
    <t>-759.97571656107 132.32021916241 -243.155701657637</t>
  </si>
  <si>
    <t>-522.779137024739 172.822288409384 -255.332530789749</t>
  </si>
  <si>
    <t>-637.779656450589 58.7247813238255 -102.22133840002</t>
  </si>
  <si>
    <t>-647.030216324295 74.3980351059804 300.920709245396</t>
  </si>
  <si>
    <t>-697.623892571476 98.1537421239932 745.323796011564</t>
  </si>
  <si>
    <t>-553.150779835386 120.173754661946 806.396899562333</t>
  </si>
  <si>
    <t>-577.323624413411 -133.362500873671 305.398884468813</t>
  </si>
  <si>
    <t>-609.535847782616 -141.536415038947 752.025011692639</t>
  </si>
  <si>
    <t>-475.944101578887 -184.330886944344 825.572150433254</t>
  </si>
  <si>
    <t>9763-20170724T104402.350728200.bin</t>
  </si>
  <si>
    <t>-704.263365828867 116.926864230128 -531.676548393633</t>
  </si>
  <si>
    <t>-759.507268534975 132.556120522032 -243.067621860631</t>
  </si>
  <si>
    <t>-522.347776906422 173.251407234933 -255.320447522488</t>
  </si>
  <si>
    <t>-637.501082530549 58.8721723907765 -102.209806738896</t>
  </si>
  <si>
    <t>-646.929114881055 74.4879882436815 300.930314291117</t>
  </si>
  <si>
    <t>-697.626850296161 98.1760779646609 745.321040288933</t>
  </si>
  <si>
    <t>-553.180510347285 120.395440603479 806.385336979453</t>
  </si>
  <si>
    <t>-577.147110462668 -133.391680829078 305.398988223563</t>
  </si>
  <si>
    <t>-609.529684406781 -141.643188114115 752.016154592481</t>
  </si>
  <si>
    <t>-475.892678265856 -184.288787668807 825.567567575723</t>
  </si>
  <si>
    <t>9763-20170724T104402.394846300.bin</t>
  </si>
  <si>
    <t>-704.005328978261 117.000268648224 -531.611115761654</t>
  </si>
  <si>
    <t>-759.173445561323 132.552001426712 -242.983640240522</t>
  </si>
  <si>
    <t>-522.019558261936 173.268256826008 -255.276246479477</t>
  </si>
  <si>
    <t>-637.341506962833 58.8692470976475 -102.19319650226</t>
  </si>
  <si>
    <t>-646.809096498179 74.4613731162576 300.946869085889</t>
  </si>
  <si>
    <t>-697.62693498401 98.1745847126604 745.324745136482</t>
  </si>
  <si>
    <t>-553.169118486247 120.316332925165 806.390233912639</t>
  </si>
  <si>
    <t>-576.994349929274 -133.519574874405 305.402026357518</t>
  </si>
  <si>
    <t>-609.54530018909 -141.901907501396 752.019663812341</t>
  </si>
  <si>
    <t>-475.747423944321 -184.071787525892 825.5528189644</t>
  </si>
  <si>
    <t>9763-20170724T104402.449024900.bin</t>
  </si>
  <si>
    <t>-703.531545669962 117.358654905195 -531.446428222521</t>
  </si>
  <si>
    <t>-758.582751223173 132.707526910332 -242.78570757632</t>
  </si>
  <si>
    <t>-521.452080266852 173.511291814464 -255.234320226063</t>
  </si>
  <si>
    <t>-636.966235547273 58.9621400485646 -102.140094598348</t>
  </si>
  <si>
    <t>-646.465919309493 74.4938385731039 301.001529070311</t>
  </si>
  <si>
    <t>-697.630921312276 98.1900277905404 745.338581171306</t>
  </si>
  <si>
    <t>-553.144725883692 120.171754277657 806.394682685311</t>
  </si>
  <si>
    <t>-576.650814973375 -133.376547836967 305.416892806727</t>
  </si>
  <si>
    <t>-609.530340655052 -141.72313041174 752.010462223622</t>
  </si>
  <si>
    <t>-475.942266532511 -184.518973987683 825.563488094109</t>
  </si>
  <si>
    <t>9763-20170724T104402.486124100.bin</t>
  </si>
  <si>
    <t>-703.372174188419 117.539362041076 -531.358907952421</t>
  </si>
  <si>
    <t>-758.335977839956 132.796765142972 -242.676771416638</t>
  </si>
  <si>
    <t>-521.215741420592 173.633089707617 -255.217938904807</t>
  </si>
  <si>
    <t>-636.77623538899 59.0448594228985 -102.104462367351</t>
  </si>
  <si>
    <t>-646.320644118705 74.5240464423759 301.038173306917</t>
  </si>
  <si>
    <t>-697.646363596752 98.2314168199118 745.350939387148</t>
  </si>
  <si>
    <t>-553.19363896109 120.460329669102 806.396582482807</t>
  </si>
  <si>
    <t>-576.502566620603 -133.410758053995 305.429164426226</t>
  </si>
  <si>
    <t>-609.539758738978 -141.838367808542 752.008014725998</t>
  </si>
  <si>
    <t>-475.825476379721 -184.260358989804 825.548239001728</t>
  </si>
  <si>
    <t>9763-20170724T104402.551302600.bin</t>
  </si>
  <si>
    <t>-702.960295364946 117.952640421949 -531.213679427381</t>
  </si>
  <si>
    <t>-757.780947513803 133.258922163727 -242.506826362302</t>
  </si>
  <si>
    <t>-520.65310068443 174.029360173812 -255.117760775359</t>
  </si>
  <si>
    <t>-636.257919206147 59.2033607759145 -102.026804252646</t>
  </si>
  <si>
    <t>-646.08108486944 74.6294943722817 301.11116675227</t>
  </si>
  <si>
    <t>-697.649489795854 98.2426001601243 745.3903699461</t>
  </si>
  <si>
    <t>-553.185867516326 120.400599097159 806.436111059291</t>
  </si>
  <si>
    <t>-576.205815107809 -133.406725530583 305.450219488802</t>
  </si>
  <si>
    <t>-609.532550035887 -141.784977670337 752.004405294194</t>
  </si>
  <si>
    <t>-475.835900331705 -184.257683486613 825.547340931977</t>
  </si>
  <si>
    <t>9763-20170724T104402.585394300.bin</t>
  </si>
  <si>
    <t>-702.757706008052 118.092716431394 -531.141216959444</t>
  </si>
  <si>
    <t>-757.507866869838 133.400703010083 -242.421107284042</t>
  </si>
  <si>
    <t>-520.394764616659 174.243483862567 -255.075445033334</t>
  </si>
  <si>
    <t>-636.039581188626 59.2598950117369 -102.001297472404</t>
  </si>
  <si>
    <t>-645.930540753582 74.6427137982153 301.136617666605</t>
  </si>
  <si>
    <t>-697.645355756659 98.2242498328394 745.401959949067</t>
  </si>
  <si>
    <t>-553.159129558758 120.228122547885 806.449963608565</t>
  </si>
  <si>
    <t>-576.054620459879 -133.406013524549 305.464406886138</t>
  </si>
  <si>
    <t>-609.534168635132 -141.819038146328 752.008622780039</t>
  </si>
  <si>
    <t>-475.811826398151 -184.218939993791 825.546888362224</t>
  </si>
  <si>
    <t>9763-20170724T104402.654102500.bin</t>
  </si>
  <si>
    <t>-702.211510841009 118.425904389485 -531.021696654375</t>
  </si>
  <si>
    <t>-756.872177147692 133.759849984895 -242.285921053244</t>
  </si>
  <si>
    <t>-519.795049267666 174.798728198812 -254.978488387275</t>
  </si>
  <si>
    <t>-635.526047213758 59.3806699097859 -101.955967816436</t>
  </si>
  <si>
    <t>-645.620894481055 74.7331190267505 301.178083663823</t>
  </si>
  <si>
    <t>-697.654151102184 98.246197462664 745.423227737815</t>
  </si>
  <si>
    <t>-553.193319225109 120.444953207045 806.460641249238</t>
  </si>
  <si>
    <t>-575.731768634699 -133.405080779152 305.505457499108</t>
  </si>
  <si>
    <t>-609.55209128469 -141.861733712166 752.033826480589</t>
  </si>
  <si>
    <t>-475.85237866867 -184.36815851987 825.551795386212</t>
  </si>
  <si>
    <t>9763-20170724T104402.686190000.bin</t>
  </si>
  <si>
    <t>-701.871173926975 118.538009901691 -530.98818623635</t>
  </si>
  <si>
    <t>-756.436048392391 133.992957975681 -242.240751146862</t>
  </si>
  <si>
    <t>-519.364528367955 175.063246440553 -254.936577307563</t>
  </si>
  <si>
    <t>-635.274754683766 59.4589203056621 -101.931226329273</t>
  </si>
  <si>
    <t>-645.4676934318 74.7695746752063 301.20189704157</t>
  </si>
  <si>
    <t>-697.647767945045 98.222521241438 745.42865320139</t>
  </si>
  <si>
    <t>-553.159905707797 120.234138013785 806.4701183144</t>
  </si>
  <si>
    <t>-575.650399583333 -133.412100321036 305.53443054538</t>
  </si>
  <si>
    <t>-609.560669836086 -141.885652231859 752.050127875295</t>
  </si>
  <si>
    <t>-475.850740523787 -184.389275886636 825.551020400826</t>
  </si>
  <si>
    <t>9763-20170724T104402.750870200.bin</t>
  </si>
  <si>
    <t>-701.132981649621 118.771602383422 -530.996224230344</t>
  </si>
  <si>
    <t>-755.693354008682 134.726292788911 -242.275197102173</t>
  </si>
  <si>
    <t>-518.566585478574 175.547540719669 -254.740594647192</t>
  </si>
  <si>
    <t>-634.877000429847 59.7032110091614 -101.906981125975</t>
  </si>
  <si>
    <t>-645.245805367227 74.9546812199867 301.223957768797</t>
  </si>
  <si>
    <t>-697.688822813593 98.3519908831622 745.427828206634</t>
  </si>
  <si>
    <t>-553.279025505007 120.918708799056 806.451039716018</t>
  </si>
  <si>
    <t>-575.430167635494 -133.446584716832 305.579565018413</t>
  </si>
  <si>
    <t>-609.551895438079 -141.932503390402 752.051209378574</t>
  </si>
  <si>
    <t>-475.720512007308 -184.071359245842 825.541198287812</t>
  </si>
  <si>
    <t>9763-20170724T104402.784963400.bin</t>
  </si>
  <si>
    <t>-700.700397198309 119.013597693221 -531.037651696799</t>
  </si>
  <si>
    <t>-755.36423325223 135.239866072844 -242.351284028505</t>
  </si>
  <si>
    <t>-518.212578567921 175.959006484642 -254.676627234474</t>
  </si>
  <si>
    <t>-634.698705480988 59.8578017798125 -101.897191747716</t>
  </si>
  <si>
    <t>-645.178343529462 75.0728307065961 301.232278303828</t>
  </si>
  <si>
    <t>-697.680918454506 98.3149375515425 745.431793635237</t>
  </si>
  <si>
    <t>-553.216413441207 120.503975952775 806.46431041061</t>
  </si>
  <si>
    <t>-575.290911165473 -133.411429090787 305.575245908977</t>
  </si>
  <si>
    <t>-609.541063621968 -141.895652945763 752.043341141117</t>
  </si>
  <si>
    <t>-475.647337973953 -183.829361786228 825.537044417575</t>
  </si>
  <si>
    <t>9763-20170724T104402.852102400.bin</t>
  </si>
  <si>
    <t>-699.69228555241 119.600663846312 -531.175057451038</t>
  </si>
  <si>
    <t>-754.55086702452 136.623798014904 -242.571470132858</t>
  </si>
  <si>
    <t>-517.32818866718 177.055041324154 -254.470253155381</t>
  </si>
  <si>
    <t>-634.358740258089 60.2911848268482 -101.875543413835</t>
  </si>
  <si>
    <t>-644.996713820414 75.4029065162622 301.253672912009</t>
  </si>
  <si>
    <t>-697.699064265845 98.3845216782572 745.436593688395</t>
  </si>
  <si>
    <t>-553.251362297369 120.683897944951 806.468535095645</t>
  </si>
  <si>
    <t>-575.026706504821 -133.130127177525 305.583216430809</t>
  </si>
  <si>
    <t>-609.530108424699 -141.825211647211 752.043079065501</t>
  </si>
  <si>
    <t>-475.794331051778 -184.228532131903 825.554832879078</t>
  </si>
  <si>
    <t>9763-20170724T104402.886190600.bin</t>
  </si>
  <si>
    <t>-699.046507436415 119.84924830976 -531.248164976834</t>
  </si>
  <si>
    <t>-754.033710776105 137.468286664397 -242.704847084402</t>
  </si>
  <si>
    <t>-516.771580775719 177.730614488407 -254.389511640372</t>
  </si>
  <si>
    <t>-634.217656719845 60.449965347158 -101.85783609392</t>
  </si>
  <si>
    <t>-644.907166268071 75.5384535770263 301.270876949842</t>
  </si>
  <si>
    <t>-697.716230098429 98.4341981968928 745.44210512228</t>
  </si>
  <si>
    <t>-553.284222079383 120.841041533551 806.471830134704</t>
  </si>
  <si>
    <t>-574.92919199262 -133.059806794066 305.593792635133</t>
  </si>
  <si>
    <t>-609.532925748355 -141.822833429236 752.043287451319</t>
  </si>
  <si>
    <t>-475.756208332699 -184.112583091676 825.546117047519</t>
  </si>
  <si>
    <t>9763-20170724T104402.954260600.bin</t>
  </si>
  <si>
    <t>-697.756536349898 120.348911372234 -531.466594591803</t>
  </si>
  <si>
    <t>-753.018072831854 138.772148834482 -243.026058593971</t>
  </si>
  <si>
    <t>-515.754272041322 179.152257948873 -254.259265102623</t>
  </si>
  <si>
    <t>-633.965169304045 60.794514853236 -101.825097750137</t>
  </si>
  <si>
    <t>-644.811979388231 75.7963910931769 301.302673473076</t>
  </si>
  <si>
    <t>-697.717575752372 98.4228582965566 745.466193210175</t>
  </si>
  <si>
    <t>-553.261789511547 120.670779630613 806.497748995982</t>
  </si>
  <si>
    <t>-574.703189785643 -132.983298816185 305.610602231133</t>
  </si>
  <si>
    <t>-609.522427829723 -141.921252837759 752.042039644347</t>
  </si>
  <si>
    <t>-475.660880799043 -183.943621322477 825.543743310016</t>
  </si>
  <si>
    <t>9763-20170724T104402.986375500.bin</t>
  </si>
  <si>
    <t>-697.171335261997 120.700345411704 -531.55488011142</t>
  </si>
  <si>
    <t>-752.629247382404 139.442833743095 -243.172578843749</t>
  </si>
  <si>
    <t>-515.37425865054 179.948628841155 -254.138891891689</t>
  </si>
  <si>
    <t>-633.864585075069 61.0245185762633 -101.812295792973</t>
  </si>
  <si>
    <t>-644.824700912937 75.975472612917 301.314263226735</t>
  </si>
  <si>
    <t>-697.735065527704 98.4801031595753 745.48106133383</t>
  </si>
  <si>
    <t>-553.282831400848 120.746332516622 806.514390470566</t>
  </si>
  <si>
    <t>-574.666226775864 -132.878603657395 305.61005370332</t>
  </si>
  <si>
    <t>-609.512506258297 -141.86133151972 752.035465083219</t>
  </si>
  <si>
    <t>-475.661486281949 -183.904201048745 825.544625303186</t>
  </si>
  <si>
    <t>9763-20170724T104403.052499000.bin</t>
  </si>
  <si>
    <t>-696.088932864123 121.498851866221 -531.728267340872</t>
  </si>
  <si>
    <t>-751.876148923975 140.686655682571 -243.438676916332</t>
  </si>
  <si>
    <t>-514.767279308866 182.039112697949 -254.404180810787</t>
  </si>
  <si>
    <t>-633.680504978413 61.5266481659717 -101.785290346043</t>
  </si>
  <si>
    <t>-644.864762495134 76.340327384559 301.340172714482</t>
  </si>
  <si>
    <t>-697.748457773465 98.5272485379319 745.524829402252</t>
  </si>
  <si>
    <t>-553.291106029202 120.746606804839 806.563033740591</t>
  </si>
  <si>
    <t>-574.714244204389 -132.627488916963 305.584708308106</t>
  </si>
  <si>
    <t>-609.495238384347 -141.795720478975 752.022599684457</t>
  </si>
  <si>
    <t>-475.746024444661 -184.129652463443 825.549969332347</t>
  </si>
  <si>
    <t>9763-20170724T104403.085585100.bin</t>
  </si>
  <si>
    <t>-695.537884766783 121.95521556546 -531.807046911754</t>
  </si>
  <si>
    <t>-751.231687065123 141.644787501564 -243.533336406375</t>
  </si>
  <si>
    <t>-514.21812070766 183.506618820003 -254.624505945307</t>
  </si>
  <si>
    <t>-633.631239366179 61.8156104368907 -101.758266935909</t>
  </si>
  <si>
    <t>-644.892884215382 76.5433114501905 301.368150441135</t>
  </si>
  <si>
    <t>-697.753078325074 98.5528895954535 745.555253825222</t>
  </si>
  <si>
    <t>-553.295278193229 120.744743664724 806.602540615761</t>
  </si>
  <si>
    <t>-574.695642764803 -132.481046525846 305.564783066785</t>
  </si>
  <si>
    <t>-609.484570190097 -141.78697146603 752.01171192962</t>
  </si>
  <si>
    <t>-475.821637199794 -184.368952519903 825.552729848356</t>
  </si>
  <si>
    <t>9763-20170724T104403.155789100.bin</t>
  </si>
  <si>
    <t>-694.401014824794 122.614715550421 -531.857984570171</t>
  </si>
  <si>
    <t>-748.282138688777 144.794377779641 -243.420543333113</t>
  </si>
  <si>
    <t>-511.457812471188 187.262935487084 -256.129526470539</t>
  </si>
  <si>
    <t>-633.490139629898 62.1383403799057 -101.69465154582</t>
  </si>
  <si>
    <t>-644.90555024753 76.8630627522866 301.427559192068</t>
  </si>
  <si>
    <t>-697.778266668659 98.646992426912 745.621861070835</t>
  </si>
  <si>
    <t>-553.341116027107 120.983127712711 806.665362097236</t>
  </si>
  <si>
    <t>-574.610178231236 -132.410932575005 305.567904681964</t>
  </si>
  <si>
    <t>-609.48046215827 -142.00567818921 752.001260673949</t>
  </si>
  <si>
    <t>-475.751953760627 -184.38039068449 825.542897753931</t>
  </si>
  <si>
    <t>9763-20170724T104403.186873400.bin</t>
  </si>
  <si>
    <t>-693.871287087163 122.792353740253 -531.90490079934</t>
  </si>
  <si>
    <t>-745.14055384618 147.088393138993 -243.162229272175</t>
  </si>
  <si>
    <t>-508.606552239344 190.521232690082 -257.863087502706</t>
  </si>
  <si>
    <t>-633.429590724042 62.2821169831352 -101.672786418166</t>
  </si>
  <si>
    <t>-644.835598450948 76.9692125249262 301.451113943816</t>
  </si>
  <si>
    <t>-697.785561271533 98.6618325156203 745.648160086005</t>
  </si>
  <si>
    <t>-553.361918251349 121.10368872743 806.684748974238</t>
  </si>
  <si>
    <t>-574.579361532203 -132.41416451034 305.581263054942</t>
  </si>
  <si>
    <t>-609.475333476379 -142.136294980171 751.9953737936</t>
  </si>
  <si>
    <t>-475.63025735956 -184.148667552088 825.532805235108</t>
  </si>
  <si>
    <t>9763-20170724T104403.250882900.bin</t>
  </si>
  <si>
    <t>-692.751439051756 123.198024317355 -532.194386901233</t>
  </si>
  <si>
    <t>-735.348023320798 152.012216771362 -242.459364257995</t>
  </si>
  <si>
    <t>-499.301889943409 196.565282363308 -261.117218149281</t>
  </si>
  <si>
    <t>-633.04292154813 62.6005406902045 -101.627543382325</t>
  </si>
  <si>
    <t>-644.439043429272 77.2030209787422 301.499665543846</t>
  </si>
  <si>
    <t>-697.792845101649 98.6545444269896 745.67843526749</t>
  </si>
  <si>
    <t>-553.392346822049 121.314552764087 806.689186703254</t>
  </si>
  <si>
    <t>-574.424676031777 -132.10235130319 305.550774005713</t>
  </si>
  <si>
    <t>-609.421050797576 -141.743314719776 751.944266265931</t>
  </si>
  <si>
    <t>-475.809979513867 -184.375205453278 825.550686339279</t>
  </si>
  <si>
    <t>9763-20170724T104403.285982100.bin</t>
  </si>
  <si>
    <t>-691.948003899959 123.391820405888 -532.36757805938</t>
  </si>
  <si>
    <t>-729.991162509629 155.250037994697 -242.317625729219</t>
  </si>
  <si>
    <t>-493.841701456768 198.552207524627 -262.547293476789</t>
  </si>
  <si>
    <t>-632.66147209617 62.7527379611379 -101.586490502174</t>
  </si>
  <si>
    <t>-644.226729388732 77.2907734062946 301.53830500162</t>
  </si>
  <si>
    <t>-697.792445019862 98.6389611270349 745.695319075811</t>
  </si>
  <si>
    <t>-553.351284249035 121.045826200897 806.70348330689</t>
  </si>
  <si>
    <t>-574.271935498593 -132.030922916373 305.546747677176</t>
  </si>
  <si>
    <t>-609.406183311274 -141.833744733029 751.928810811442</t>
  </si>
  <si>
    <t>-475.8479716497 -184.582348478243 825.563412662905</t>
  </si>
  <si>
    <t>9763-20170724T104403.350729300.bin</t>
  </si>
  <si>
    <t>-689.504095118873 124.035041506029 -532.695078425939</t>
  </si>
  <si>
    <t>-721.776330241494 160.519986595294 -242.490793812872</t>
  </si>
  <si>
    <t>-485.04245823564 199.53160081131 -264.537401417719</t>
  </si>
  <si>
    <t>-631.582766299524 63.0640642923249 -101.485043748269</t>
  </si>
  <si>
    <t>-643.605591165221 77.4605682066647 301.631399184421</t>
  </si>
  <si>
    <t>-697.788006615362 98.6198820141456 745.726785945738</t>
  </si>
  <si>
    <t>-553.305954377103 120.790611834957 806.72406290148</t>
  </si>
  <si>
    <t>-574.00141133458 -131.983198569344 305.56899656725</t>
  </si>
  <si>
    <t>-609.394283906182 -141.789913986621 751.924927206222</t>
  </si>
  <si>
    <t>-475.836196766106 -184.524936795256 825.567724003976</t>
  </si>
  <si>
    <t>9763-20170724T104403.382819200.bin</t>
  </si>
  <si>
    <t>-688.246629647188 124.518207122635 -532.762664098835</t>
  </si>
  <si>
    <t>-719.067320659182 161.727372973422 -242.492502769529</t>
  </si>
  <si>
    <t>-482.179338204489 199.335030148488 -265.309408646223</t>
  </si>
  <si>
    <t>-630.998644531809 63.2813067336201 -101.436532724532</t>
  </si>
  <si>
    <t>-643.251447996994 77.5672210020725 301.676900587597</t>
  </si>
  <si>
    <t>-697.796604126758 98.6677818587166 745.740876578828</t>
  </si>
  <si>
    <t>-553.332920589075 120.975726604661 806.731879500769</t>
  </si>
  <si>
    <t>-573.890061917868 -131.961142767525 305.586498829775</t>
  </si>
  <si>
    <t>-609.395916834176 -141.816069479537 751.927799129978</t>
  </si>
  <si>
    <t>-475.878388239831 -184.667620668376 825.576312578253</t>
  </si>
  <si>
    <t>9763-20170724T104403.454028500.bin</t>
  </si>
  <si>
    <t>-686.033404635167 125.324318099683 -532.775740160219</t>
  </si>
  <si>
    <t>-714.864758438468 162.644660720659 -242.315482327514</t>
  </si>
  <si>
    <t>-477.713288446108 198.932409135206 -264.524247655906</t>
  </si>
  <si>
    <t>-629.731005794274 63.5756638852934 -101.330704830657</t>
  </si>
  <si>
    <t>-642.509258094318 77.7512556721069 301.770365634877</t>
  </si>
  <si>
    <t>-697.796109831863 98.691029223404 745.752693175091</t>
  </si>
  <si>
    <t>-553.311451346602 120.879836409341 806.737376182435</t>
  </si>
  <si>
    <t>-573.54229173229 -131.919732574805 305.650615546048</t>
  </si>
  <si>
    <t>-609.392769960524 -141.661001288627 751.93842026257</t>
  </si>
  <si>
    <t>-475.929266524235 -184.686338657831 825.583474676145</t>
  </si>
  <si>
    <t>9763-20170724T104403.486116700.bin</t>
  </si>
  <si>
    <t>-684.895453068779 125.752575915455 -532.735299307977</t>
  </si>
  <si>
    <t>-713.362480600623 162.419137817012 -242.15586178838</t>
  </si>
  <si>
    <t>-476.138389476353 198.746537703684 -263.508221662471</t>
  </si>
  <si>
    <t>-629.125575612204 63.6959403983064 -101.280754495169</t>
  </si>
  <si>
    <t>-642.159581649144 77.8770664556778 301.811889992889</t>
  </si>
  <si>
    <t>-697.796943312733 98.7242965186058 745.753987250582</t>
  </si>
  <si>
    <t>-553.311705842133 120.914635706767 806.736879181995</t>
  </si>
  <si>
    <t>-573.319022354869 -131.860136852742 305.689865017411</t>
  </si>
  <si>
    <t>-609.391571953932 -141.503758357807 751.951522935355</t>
  </si>
  <si>
    <t>-476.087713808862 -185.012619204757 825.601621238527</t>
  </si>
  <si>
    <t>9763-20170724T104403.555201500.bin</t>
  </si>
  <si>
    <t>-683.142994856035 126.172293142231 -532.641836202326</t>
  </si>
  <si>
    <t>-711.526183060641 161.201134548315 -241.852217162608</t>
  </si>
  <si>
    <t>-474.409985884586 199.264684388395 -261.293789815831</t>
  </si>
  <si>
    <t>-627.969286842029 63.7372284792539 -101.199923775408</t>
  </si>
  <si>
    <t>-641.562600618715 77.8378924875235 301.877085495733</t>
  </si>
  <si>
    <t>-697.797210383902 98.7820109140296 745.74192734082</t>
  </si>
  <si>
    <t>-553.324119819181 121.051105559415 806.724798749103</t>
  </si>
  <si>
    <t>-572.937887433929 -132.176249692861 305.767103056148</t>
  </si>
  <si>
    <t>-609.432133458634 -141.882123971265 751.999022250349</t>
  </si>
  <si>
    <t>-475.921323558397 -184.838400654201 825.598716961732</t>
  </si>
  <si>
    <t>9763-20170724T104403.587287200.bin</t>
  </si>
  <si>
    <t>-682.635905379339 126.269923183578 -532.564804509365</t>
  </si>
  <si>
    <t>-711.184569622387 160.767252851406 -241.727837560766</t>
  </si>
  <si>
    <t>-474.192081141353 200.08394671868 -260.156528780111</t>
  </si>
  <si>
    <t>-627.507320077861 63.6847244868882 -101.138421076893</t>
  </si>
  <si>
    <t>-641.298368562624 77.7775551465963 301.932126655904</t>
  </si>
  <si>
    <t>-697.805036290646 98.8440792241131 745.742029565716</t>
  </si>
  <si>
    <t>-553.38481472834 121.451500882972 806.725644273038</t>
  </si>
  <si>
    <t>-572.693479322961 -132.281065221254 305.796737416971</t>
  </si>
  <si>
    <t>-609.442381717754 -141.823685272028 752.023054324146</t>
  </si>
  <si>
    <t>-475.961558162177 -184.904185802987 825.604605803699</t>
  </si>
  <si>
    <t>9763-20170724T104403.654079200.bin</t>
  </si>
  <si>
    <t>-681.89781050898 126.198014787687 -532.424017548131</t>
  </si>
  <si>
    <t>-710.618697999612 161.247644856139 -241.670145701378</t>
  </si>
  <si>
    <t>-473.737582627302 202.151385793325 -257.951166547624</t>
  </si>
  <si>
    <t>-626.875304564196 63.425018980493 -100.997040310983</t>
  </si>
  <si>
    <t>-640.924672741891 77.6013874402145 302.061678511824</t>
  </si>
  <si>
    <t>-697.828266755422 98.9462712012851 745.772251119175</t>
  </si>
  <si>
    <t>-553.444264117079 121.77913388407 806.757733132331</t>
  </si>
  <si>
    <t>-572.047633361207 -132.659075140364 305.842778057398</t>
  </si>
  <si>
    <t>-609.473530765078 -142.077993915655 752.044806542729</t>
  </si>
  <si>
    <t>-475.782962237569 -184.592250924978 825.574830377245</t>
  </si>
  <si>
    <t>9763-20170724T104403.687167800.bin</t>
  </si>
  <si>
    <t>-681.462853597713 126.206921824556 -532.363925505262</t>
  </si>
  <si>
    <t>-710.31043056529 161.830498665104 -241.692213729928</t>
  </si>
  <si>
    <t>-473.459634817192 203.181877594595 -257.268465366019</t>
  </si>
  <si>
    <t>-626.6751974561 63.2671999653783 -100.946725581978</t>
  </si>
  <si>
    <t>-640.734054613581 77.5667331299619 302.107241007329</t>
  </si>
  <si>
    <t>-697.840970309182 98.9922663221066 745.785256460229</t>
  </si>
  <si>
    <t>-553.476276175212 121.956925347284 806.76684790989</t>
  </si>
  <si>
    <t>-571.714493721981 -132.702135613121 305.875807207324</t>
  </si>
  <si>
    <t>-609.465562787721 -142.085483028106 752.051606546765</t>
  </si>
  <si>
    <t>-475.853127273243 -184.838299014032 825.585283683697</t>
  </si>
  <si>
    <t>9763-20170724T104403.720758800.bin</t>
  </si>
  <si>
    <t>-680.978967698858 126.179887506366 -532.341931008212</t>
  </si>
  <si>
    <t>-710.047551901366 162.317649246012 -241.755933007567</t>
  </si>
  <si>
    <t>-473.217361243518 203.972967392275 -256.827800689945</t>
  </si>
  <si>
    <t>-626.467218717097 63.1693646691333 -100.909329818284</t>
  </si>
  <si>
    <t>-640.598649157452 77.5734177503871 302.138450951092</t>
  </si>
  <si>
    <t>-697.87213536919 99.1082709180907 745.795433815799</t>
  </si>
  <si>
    <t>-553.568637670034 122.467085199667 806.772168315805</t>
  </si>
  <si>
    <t>-571.381135583573 -132.778164970824 305.901936152579</t>
  </si>
  <si>
    <t>-609.463418959687 -142.16204080161 752.049032603886</t>
  </si>
  <si>
    <t>-475.84030670828 -184.878306200525 825.584689825693</t>
  </si>
  <si>
    <t>9763-20170724T104403.785000700.bin</t>
  </si>
  <si>
    <t>-679.857400939476 126.066920887173 -532.335844523832</t>
  </si>
  <si>
    <t>-709.13339486652 162.494495466663 -241.806732685438</t>
  </si>
  <si>
    <t>-472.342627777133 204.498552101171 -256.525546230203</t>
  </si>
  <si>
    <t>-625.924062454176 62.9265541263312 -100.817794431528</t>
  </si>
  <si>
    <t>-640.389895229818 77.5283543221501 302.211002425949</t>
  </si>
  <si>
    <t>-697.910672932543 99.2173414181455 745.820707436897</t>
  </si>
  <si>
    <t>-553.643197474744 122.85315411643 806.775833496609</t>
  </si>
  <si>
    <t>-570.67679145803 -133.229938745098 305.950177083806</t>
  </si>
  <si>
    <t>-609.463340919382 -142.661802547169 752.048836412874</t>
  </si>
  <si>
    <t>-475.425539925068 -184.12347113721 825.547720496054</t>
  </si>
  <si>
    <t>9763-20170724T104403.845979600.bin</t>
  </si>
  <si>
    <t>-679.121902560956 126.258991416008 -532.253215954302</t>
  </si>
  <si>
    <t>-708.335287575109 163.103387156413 -241.770433713239</t>
  </si>
  <si>
    <t>-471.54075528573 205.083712332022 -256.497718710742</t>
  </si>
  <si>
    <t>-625.570837964876 62.9655560606509 -100.748250268516</t>
  </si>
  <si>
    <t>-640.222957556197 77.5810284593817 302.273282216056</t>
  </si>
  <si>
    <t>-697.930751422361 99.2764564558886 745.849793376</t>
  </si>
  <si>
    <t>-553.672913521701 122.994901165542 806.795759188258</t>
  </si>
  <si>
    <t>-570.33592095177 -133.206682172613 305.976796449748</t>
  </si>
  <si>
    <t>-609.436014313205 -142.482236317713 752.036464892561</t>
  </si>
  <si>
    <t>-475.556077195587 -184.408044060631 825.559839750875</t>
  </si>
  <si>
    <t>9763-20170724T104403.887076700.bin</t>
  </si>
  <si>
    <t>-678.312048654491 126.455476277419 -532.29486356803</t>
  </si>
  <si>
    <t>-707.781769008225 163.582900513582 -241.873934431008</t>
  </si>
  <si>
    <t>-470.928666077032 205.286618830478 -256.444886629794</t>
  </si>
  <si>
    <t>-625.046720413384 63.0202992192926 -100.693431220232</t>
  </si>
  <si>
    <t>-639.983207913371 77.6574014760615 302.316861135707</t>
  </si>
  <si>
    <t>-697.946499859759 99.3133402184294 745.857591207438</t>
  </si>
  <si>
    <t>-553.651331908709 122.814082592387 806.79941925364</t>
  </si>
  <si>
    <t>-570.168432658801 -133.281451326827 306.010217798806</t>
  </si>
  <si>
    <t>-609.414964063043 -142.485995458495 752.036141839092</t>
  </si>
  <si>
    <t>-475.529765009678 -184.384453845952 825.565558864274</t>
  </si>
  <si>
    <t>9763-20170724T104403.938858600.bin</t>
  </si>
  <si>
    <t>-677.489998449504 126.723372979972 -532.41651006957</t>
  </si>
  <si>
    <t>-707.54543403224 164.109990689499 -242.088839313656</t>
  </si>
  <si>
    <t>-470.624847417867 205.58476539756 -256.208033506379</t>
  </si>
  <si>
    <t>-624.608706623908 63.1852404129506 -100.671954579553</t>
  </si>
  <si>
    <t>-639.611975428168 77.6420820911253 302.342383853813</t>
  </si>
  <si>
    <t>-697.961900465575 99.3433400849931 745.849249023798</t>
  </si>
  <si>
    <t>-553.703665787772 123.102512652157 806.778357527576</t>
  </si>
  <si>
    <t>-570.012892747968 -133.331680406729 306.039303417181</t>
  </si>
  <si>
    <t>-609.3958038797 -142.496313136218 752.043177262761</t>
  </si>
  <si>
    <t>-475.51911637835 -184.408839854662 825.579947469102</t>
  </si>
  <si>
    <t>9763-20170724T104403.989995500.bin</t>
  </si>
  <si>
    <t>-676.705414132169 126.983294355719 -532.504152536492</t>
  </si>
  <si>
    <t>-706.902530005465 164.523493898823 -242.211079471033</t>
  </si>
  <si>
    <t>-469.937050722535 205.87023347268 -255.947755851103</t>
  </si>
  <si>
    <t>-624.144673104951 63.2413005236242 -100.658014873272</t>
  </si>
  <si>
    <t>-639.262373894681 77.6213417887082 302.354805004865</t>
  </si>
  <si>
    <t>-697.979613660348 99.3882661033756 745.825617893858</t>
  </si>
  <si>
    <t>-553.733776508056 123.242254084801 806.747205520272</t>
  </si>
  <si>
    <t>-569.814965999039 -133.387443343375 306.064293951919</t>
  </si>
  <si>
    <t>-609.386605157308 -142.557805643348 752.05245150619</t>
  </si>
  <si>
    <t>-475.504026366393 -184.455598258551 825.586991445997</t>
  </si>
  <si>
    <t>9763-20170724T104404.050121300.bin</t>
  </si>
  <si>
    <t>-675.604763957685 127.212658000021 -532.630561356497</t>
  </si>
  <si>
    <t>-705.737116298872 165.39760944408 -242.414871149591</t>
  </si>
  <si>
    <t>-468.641214976122 206.058346562754 -255.947289183256</t>
  </si>
  <si>
    <t>-623.709433964704 63.2108075491999 -100.654273814494</t>
  </si>
  <si>
    <t>-639.035990191941 77.688619225695 302.347146014226</t>
  </si>
  <si>
    <t>-697.997160302982 99.4535939733278 745.782865535855</t>
  </si>
  <si>
    <t>-553.762665665799 123.361063355251 806.71017604488</t>
  </si>
  <si>
    <t>-569.625528718447 -133.446514283402 306.094732403488</t>
  </si>
  <si>
    <t>-609.382857573551 -142.459638591611 752.073718862632</t>
  </si>
  <si>
    <t>-475.578384380595 -184.625178868428 825.597328153291</t>
  </si>
  <si>
    <t>9763-20170724T104404.083209500.bin</t>
  </si>
  <si>
    <t>-675.113176509099 127.179113924065 -532.696891849894</t>
  </si>
  <si>
    <t>-704.953436961536 165.387635714479 -242.45398512155</t>
  </si>
  <si>
    <t>-467.946298556659 206.471199367342 -256.261444788099</t>
  </si>
  <si>
    <t>-623.588439331179 63.1426609256168 -100.656776966923</t>
  </si>
  <si>
    <t>-639.020028021824 77.643072070786 302.33981947825</t>
  </si>
  <si>
    <t>-698.007373873703 99.4929205859512 745.765554100443</t>
  </si>
  <si>
    <t>-553.778408779398 123.431898729162 806.693594438138</t>
  </si>
  <si>
    <t>-569.610149443713 -133.584246363045 306.104949317662</t>
  </si>
  <si>
    <t>-609.389181345028 -142.607921513254 752.080507364735</t>
  </si>
  <si>
    <t>-475.499062563413 -184.528878027456 825.588173558008</t>
  </si>
  <si>
    <t>9763-20170724T104404.153402900.bin</t>
  </si>
  <si>
    <t>-674.164901774904 127.091665410453 -532.854105246267</t>
  </si>
  <si>
    <t>-703.019038880154 165.254525694319 -242.505621436837</t>
  </si>
  <si>
    <t>-466.2702419228 207.544618554111 -257.079912753504</t>
  </si>
  <si>
    <t>-623.332981371151 62.9148730910192 -100.662280667934</t>
  </si>
  <si>
    <t>-639.018038033982 77.5020029837001 302.321445504614</t>
  </si>
  <si>
    <t>-698.005232506218 99.5021998644613 745.74267977897</t>
  </si>
  <si>
    <t>-553.729637528607 123.134608582505 806.680106588341</t>
  </si>
  <si>
    <t>-569.728852654962 -133.742764177908 306.11437195523</t>
  </si>
  <si>
    <t>-609.393338215508 -142.538894849369 752.105144836187</t>
  </si>
  <si>
    <t>-475.667511362198 -184.993672692293 825.605436785591</t>
  </si>
  <si>
    <t>9763-20170724T104404.186491100.bin</t>
  </si>
  <si>
    <t>-673.734819014688 126.944636282608 -532.981860562076</t>
  </si>
  <si>
    <t>-702.072598444869 165.703293258596 -242.661565760592</t>
  </si>
  <si>
    <t>-465.416017003488 208.369627508191 -257.632555067513</t>
  </si>
  <si>
    <t>-623.281422089073 62.7145760752887 -100.672815784086</t>
  </si>
  <si>
    <t>-639.045156448387 77.4580565809842 302.30208421512</t>
  </si>
  <si>
    <t>-698.012385996881 99.52893966428 745.727347951781</t>
  </si>
  <si>
    <t>-553.73361906175 123.14320177409 806.664286019188</t>
  </si>
  <si>
    <t>-569.824017720405 -133.912395180126 306.121838325725</t>
  </si>
  <si>
    <t>-609.392084627722 -142.627377605834 752.120708655902</t>
  </si>
  <si>
    <t>-475.647444749177 -185.039702726277 825.611134092821</t>
  </si>
  <si>
    <t>9763-20170724T104404.252248200.bin</t>
  </si>
  <si>
    <t>-672.746193806049 126.245165833051 -533.300262155132</t>
  </si>
  <si>
    <t>-698.126625135825 167.010572921533 -242.981155534526</t>
  </si>
  <si>
    <t>-461.619891581156 210.240608127107 -258.684471154803</t>
  </si>
  <si>
    <t>-623.133460760598 62.1683615924089 -100.676808644017</t>
  </si>
  <si>
    <t>-638.969738198618 77.2164584635209 302.284087336093</t>
  </si>
  <si>
    <t>-698.026667912332 99.5390192001189 745.690076045161</t>
  </si>
  <si>
    <t>-553.718542582576 123.004289062509 806.614990475119</t>
  </si>
  <si>
    <t>-569.552378663474 -134.189655045549 306.135304112371</t>
  </si>
  <si>
    <t>-609.368684086391 -142.771970524254 752.114104501864</t>
  </si>
  <si>
    <t>-475.541775873978 -184.909108059707 825.613285516637</t>
  </si>
  <si>
    <t>9763-20170724T104404.284334300.bin</t>
  </si>
  <si>
    <t>-672.219914547934 125.874872834316 -533.473823465549</t>
  </si>
  <si>
    <t>-694.624807717299 168.046581017228 -243.110603969164</t>
  </si>
  <si>
    <t>-458.220001509785 211.489194590696 -259.734716361092</t>
  </si>
  <si>
    <t>-623.116389329198 61.9098076834323 -100.683800131123</t>
  </si>
  <si>
    <t>-638.964055600397 77.0746297471217 302.272261750886</t>
  </si>
  <si>
    <t>-698.039107252094 99.5390880815301 745.664079713044</t>
  </si>
  <si>
    <t>-553.737138798462 123.093011940643 806.569305862778</t>
  </si>
  <si>
    <t>-569.355315753412 -134.23286816525 306.131672434174</t>
  </si>
  <si>
    <t>-609.336106559893 -142.486208311371 752.091183246799</t>
  </si>
  <si>
    <t>-475.651335929034 -185.011056257567 825.625574201269</t>
  </si>
  <si>
    <t>9763-20170724T104404.352552300.bin</t>
  </si>
  <si>
    <t>-670.888568965888 125.117100804015 -533.782739577878</t>
  </si>
  <si>
    <t>-685.198264234617 169.195385394647 -243.191050934043</t>
  </si>
  <si>
    <t>-449.09066474271 213.664551136487 -261.262168316843</t>
  </si>
  <si>
    <t>-622.934924710255 61.4241946316995 -100.730090879856</t>
  </si>
  <si>
    <t>-639.198608458041 76.9337168612108 302.196232622299</t>
  </si>
  <si>
    <t>-698.049335983783 99.5982516141742 745.604972040026</t>
  </si>
  <si>
    <t>-553.754689882645 123.175480359167 806.518495080757</t>
  </si>
  <si>
    <t>-569.078330084049 -134.519333277516 306.142427041241</t>
  </si>
  <si>
    <t>-609.311691693739 -142.558737308672 752.085625122317</t>
  </si>
  <si>
    <t>-475.637083221563 -185.084843036852 825.637801233708</t>
  </si>
  <si>
    <t>9763-20170724T104404.384644400.bin</t>
  </si>
  <si>
    <t>-670.129684063047 124.960277332825 -533.949480077339</t>
  </si>
  <si>
    <t>-681.729665776423 168.67599795373 -243.182401239176</t>
  </si>
  <si>
    <t>-445.961579730171 214.39899216867 -262.513013569792</t>
  </si>
  <si>
    <t>-622.600112850702 61.3458853569728 -100.740244877622</t>
  </si>
  <si>
    <t>-639.180186431321 76.948215791818 302.169576916734</t>
  </si>
  <si>
    <t>-698.060012737957 99.6430786585772 745.57288077264</t>
  </si>
  <si>
    <t>-553.759924861026 123.163645853782 806.495592127307</t>
  </si>
  <si>
    <t>-569.023643225863 -134.694609230579 306.148216092134</t>
  </si>
  <si>
    <t>-609.309230824763 -142.743705028731 752.08981024142</t>
  </si>
  <si>
    <t>-475.551084084319 -185.016506856363 825.636172957205</t>
  </si>
  <si>
    <t>9763-20170724T104404.452554600.bin</t>
  </si>
  <si>
    <t>-668.555650630024 125.204270042278 -534.309536585861</t>
  </si>
  <si>
    <t>-677.552077847071 167.948459074692 -243.30585062455</t>
  </si>
  <si>
    <t>-442.430638677871 216.514087666013 -263.558446130513</t>
  </si>
  <si>
    <t>-621.802389828906 61.6295994740142 -100.731304530785</t>
  </si>
  <si>
    <t>-638.695180760173 77.0430641183236 302.172795492299</t>
  </si>
  <si>
    <t>-698.083264625735 99.7381065446791 745.50728939295</t>
  </si>
  <si>
    <t>-553.790521912952 123.307984705996 806.428232711687</t>
  </si>
  <si>
    <t>-568.976242294956 -134.713516106273 306.162477261252</t>
  </si>
  <si>
    <t>-609.286523447577 -142.595390721178 752.094025154122</t>
  </si>
  <si>
    <t>-475.611504433509 -185.121395792624 825.645649920338</t>
  </si>
  <si>
    <t>9763-20170724T104404.486635800.bin</t>
  </si>
  <si>
    <t>-667.57176181234 125.485119564039 -534.412840286073</t>
  </si>
  <si>
    <t>-676.340043036 168.225246504584 -243.401510139632</t>
  </si>
  <si>
    <t>-441.199504715409 216.867592602997 -263.244406630688</t>
  </si>
  <si>
    <t>-621.280455183755 61.7754220703707 -100.713393196155</t>
  </si>
  <si>
    <t>-638.333276225856 77.161684683052 302.185050074419</t>
  </si>
  <si>
    <t>-698.095694895988 99.7764977456034 745.470498719259</t>
  </si>
  <si>
    <t>-553.817522414744 123.446318784162 806.387098253908</t>
  </si>
  <si>
    <t>-568.862184900717 -134.737031438043 306.16914581986</t>
  </si>
  <si>
    <t>-609.291151027593 -142.778128215309 752.10395512288</t>
  </si>
  <si>
    <t>-475.598559339307 -185.264200015385 825.646597127802</t>
  </si>
  <si>
    <t>9763-20170724T104404.553360800.bin</t>
  </si>
  <si>
    <t>-665.793948153601 125.778762715492 -534.604066777343</t>
  </si>
  <si>
    <t>-674.736206890069 166.884277205763 -243.362625921085</t>
  </si>
  <si>
    <t>-439.770692310624 216.730195040744 -262.269299849927</t>
  </si>
  <si>
    <t>-620.041096166327 61.9459152543125 -100.668553722471</t>
  </si>
  <si>
    <t>-637.570764784765 77.32553877943 302.209631877777</t>
  </si>
  <si>
    <t>-698.111569225971 99.8330204621918 745.394409969536</t>
  </si>
  <si>
    <t>-553.788442974813 123.207734636107 806.318445089987</t>
  </si>
  <si>
    <t>-568.425769484704 -134.887775835865 306.202416871945</t>
  </si>
  <si>
    <t>-609.266706156924 -142.902800797965 752.098653259086</t>
  </si>
  <si>
    <t>-475.493455487695 -185.130863605747 825.643208938033</t>
  </si>
  <si>
    <t>9763-20170724T104404.588424400.bin</t>
  </si>
  <si>
    <t>-665.170551790207 125.875746471761 -534.622230502708</t>
  </si>
  <si>
    <t>-673.707326840311 165.820264481656 -243.207047171752</t>
  </si>
  <si>
    <t>-439.027971137449 217.024283838276 -262.038398241394</t>
  </si>
  <si>
    <t>-619.46861968223 62.0477822357734 -100.632091858902</t>
  </si>
  <si>
    <t>-637.289835685725 77.4081131125945 302.234026410416</t>
  </si>
  <si>
    <t>-698.125216182758 99.8829871801183 745.365389728205</t>
  </si>
  <si>
    <t>-553.826830222694 123.422673059212 806.284612566695</t>
  </si>
  <si>
    <t>-568.035592066292 -134.918987780462 306.21947944192</t>
  </si>
  <si>
    <t>-609.249887887009 -142.878709967801 752.085610631638</t>
  </si>
  <si>
    <t>-475.622342119628 -185.526669965635 825.652755088266</t>
  </si>
  <si>
    <t>9763-20170724T104404.654107800.bin</t>
  </si>
  <si>
    <t>-663.48241840463 125.916810865694 -534.500659339125</t>
  </si>
  <si>
    <t>-669.289189371599 165.739253920124 -243.001581588274</t>
  </si>
  <si>
    <t>-434.791097236198 218.349659347916 -260.138055325141</t>
  </si>
  <si>
    <t>-618.517851614166 62.208853525213 -100.568752155014</t>
  </si>
  <si>
    <t>-636.899425609902 77.4330654262558 302.277444880341</t>
  </si>
  <si>
    <t>-698.155687055652 99.9970789392132 745.324128346843</t>
  </si>
  <si>
    <t>-553.90169309534 123.815361257867 806.240292822438</t>
  </si>
  <si>
    <t>-567.25429135016 -135.135465546417 306.274315506734</t>
  </si>
  <si>
    <t>-609.240100849264 -142.964762686774 752.085093760982</t>
  </si>
  <si>
    <t>-475.431364413154 -185.092725620251 825.62251420265</t>
  </si>
  <si>
    <t>9763-20170724T104404.686193500.bin</t>
  </si>
  <si>
    <t>-662.264565373364 125.953644637637 -534.44942293912</t>
  </si>
  <si>
    <t>-666.954199870825 165.852591952016 -242.940787525581</t>
  </si>
  <si>
    <t>-432.373781955072 218.057315735588 -260.190094061956</t>
  </si>
  <si>
    <t>-617.986704183802 62.1742713971007 -100.544742671328</t>
  </si>
  <si>
    <t>-636.734755626416 77.4518603569297 302.282472743712</t>
  </si>
  <si>
    <t>-698.191114084059 100.12625386578 745.305985624826</t>
  </si>
  <si>
    <t>-553.979820261097 124.200350472562 806.222589856974</t>
  </si>
  <si>
    <t>-566.834529995158 -135.218320764801 306.2945985053</t>
  </si>
  <si>
    <t>-609.226931905397 -142.999939583839 752.077695665922</t>
  </si>
  <si>
    <t>-475.385094059936 -185.028455473759 825.61183337519</t>
  </si>
  <si>
    <t>9763-20170724T104404.752026100.bin</t>
  </si>
  <si>
    <t>-659.668781286028 126.189365642984 -534.286856484259</t>
  </si>
  <si>
    <t>-662.796669523474 165.510637005827 -242.678792585362</t>
  </si>
  <si>
    <t>-427.990064810134 216.790368639337 -259.622630391065</t>
  </si>
  <si>
    <t>-616.557222325242 62.0781932326338 -100.434916408438</t>
  </si>
  <si>
    <t>-636.197125254789 77.3233783876351 302.351005952457</t>
  </si>
  <si>
    <t>-698.233626102385 100.215437101792 745.280368984103</t>
  </si>
  <si>
    <t>-554.066663947747 124.606510134504 806.175713898188</t>
  </si>
  <si>
    <t>-565.684877369774 -135.5714682033 306.340571845818</t>
  </si>
  <si>
    <t>-609.203265976818 -143.217377568719 752.054449374053</t>
  </si>
  <si>
    <t>-475.314339232884 -185.091112809721 825.591187009</t>
  </si>
  <si>
    <t>9763-20170724T104404.785142100.bin</t>
  </si>
  <si>
    <t>-658.23739585088 126.423029695547 -534.102857461787</t>
  </si>
  <si>
    <t>-661.300366983059 165.729117640191 -242.491926201559</t>
  </si>
  <si>
    <t>-426.222960225496 215.922883579772 -258.926814336815</t>
  </si>
  <si>
    <t>-615.936265662014 62.0662759822553 -100.35589033484</t>
  </si>
  <si>
    <t>-635.808461844987 77.1622523374172 302.424258448097</t>
  </si>
  <si>
    <t>-698.261333073979 100.253141690476 745.282783942116</t>
  </si>
  <si>
    <t>-554.117647426196 124.836690662019 806.155912440585</t>
  </si>
  <si>
    <t>-565.167302420126 -135.789239255027 306.366900736651</t>
  </si>
  <si>
    <t>-609.196193179425 -143.371596566166 752.04389331683</t>
  </si>
  <si>
    <t>-475.212447171701 -184.95783591894 825.570852955821</t>
  </si>
  <si>
    <t>9763-20170724T104404.855333800.bin</t>
  </si>
  <si>
    <t>-654.893570870823 127.52177273212 -533.46944956905</t>
  </si>
  <si>
    <t>-658.338070397131 166.1492998039 -241.772296077938</t>
  </si>
  <si>
    <t>-423.133373726458 215.948148423331 -257.574468802627</t>
  </si>
  <si>
    <t>-614.427202261459 61.9674145269853 -100.180966358858</t>
  </si>
  <si>
    <t>-634.951945396079 76.9344079355874 302.571250899828</t>
  </si>
  <si>
    <t>-698.321583185074 100.288881914963 745.265452832786</t>
  </si>
  <si>
    <t>-554.217695662164 125.243632703992 806.081701659016</t>
  </si>
  <si>
    <t>-564.350499215825 -136.126814694022 306.455219619298</t>
  </si>
  <si>
    <t>-609.170107397924 -143.375998398466 752.041164920134</t>
  </si>
  <si>
    <t>-475.198433576053 -185.012549695675 825.561802296216</t>
  </si>
  <si>
    <t>9763-20170724T104404.887418800.bin</t>
  </si>
  <si>
    <t>-653.401140595549 128.13969223472 -533.185046186671</t>
  </si>
  <si>
    <t>-656.99616107757 165.939286403578 -241.381170979991</t>
  </si>
  <si>
    <t>-422.018147184455 216.601002874743 -257.799451374454</t>
  </si>
  <si>
    <t>-613.73110985351 61.951064279699 -100.101097513367</t>
  </si>
  <si>
    <t>-634.697630014684 76.7151167080283 302.635894959389</t>
  </si>
  <si>
    <t>-698.335169715804 100.222749565192 745.257820978015</t>
  </si>
  <si>
    <t>-554.16398342699 124.871519541451 806.039479008805</t>
  </si>
  <si>
    <t>-564.08136014057 -136.336518021378 306.474882060899</t>
  </si>
  <si>
    <t>-609.159341002217 -143.344076170504 752.041277053059</t>
  </si>
  <si>
    <t>-475.168667765429 -184.932745979776 825.55438304406</t>
  </si>
  <si>
    <t>9763-20170724T104404.923527100.bin</t>
  </si>
  <si>
    <t>-652.269826865584 128.668190398498 -533.048342465988</t>
  </si>
  <si>
    <t>-655.954671977113 165.844423608253 -241.165509092386</t>
  </si>
  <si>
    <t>-421.294156607411 217.665928148669 -258.480956994454</t>
  </si>
  <si>
    <t>-613.106676470485 62.0114201109577 -100.040085183395</t>
  </si>
  <si>
    <t>-634.571353437218 76.4957644654032 302.680822632266</t>
  </si>
  <si>
    <t>-698.34869558925 100.186491392047 745.25807911717</t>
  </si>
  <si>
    <t>-554.152472662189 124.741556363144 806.018126339594</t>
  </si>
  <si>
    <t>-563.843701175986 -136.530616945098 306.4797465505</t>
  </si>
  <si>
    <t>-609.154078994396 -143.485421337283 752.043558647345</t>
  </si>
  <si>
    <t>-475.147010842777 -185.032977154198 825.550059557754</t>
  </si>
  <si>
    <t>9763-20170724T104404.985704500.bin</t>
  </si>
  <si>
    <t>-650.36685318348 129.046785875194 -532.924313241053</t>
  </si>
  <si>
    <t>-654.255136483164 166.688608410951 -241.103895527439</t>
  </si>
  <si>
    <t>-419.971634214833 219.863885435683 -259.393208720226</t>
  </si>
  <si>
    <t>-612.064091568534 61.9883602356579 -99.9165674206035</t>
  </si>
  <si>
    <t>-634.327993977248 76.3095778804709 302.766850698368</t>
  </si>
  <si>
    <t>-698.383986194992 100.235243440263 745.291187389479</t>
  </si>
  <si>
    <t>-554.247832943229 125.170942378043 806.038871689796</t>
  </si>
  <si>
    <t>-563.200013830085 -136.888650235567 306.544007571461</t>
  </si>
  <si>
    <t>-609.153802496809 -143.662018272148 752.068241451352</t>
  </si>
  <si>
    <t>-475.077535842792 -185.046356292906 825.540595219393</t>
  </si>
  <si>
    <t>9763-20170724T104405.055624600.bin</t>
  </si>
  <si>
    <t>-648.407263947343 129.209216459321 -532.99186419035</t>
  </si>
  <si>
    <t>-653.324580472077 167.82086250115 -241.313602021586</t>
  </si>
  <si>
    <t>-419.193984201731 221.632741100911 -259.699617409688</t>
  </si>
  <si>
    <t>-611.090260774416 61.9173301046326 -99.7651621083662</t>
  </si>
  <si>
    <t>-633.96694745873 76.4304240149811 302.877009129512</t>
  </si>
  <si>
    <t>-698.454369736024 100.392505162821 745.315137340693</t>
  </si>
  <si>
    <t>-554.382550807396 125.70813629111 806.058268826933</t>
  </si>
  <si>
    <t>-562.403725028293 -137.015010430382 306.645969859442</t>
  </si>
  <si>
    <t>-609.109653414953 -143.5011461744 752.077799812555</t>
  </si>
  <si>
    <t>-475.106580380217 -185.113728929237 825.554816214459</t>
  </si>
  <si>
    <t>9763-20170724T104405.089716000.bin</t>
  </si>
  <si>
    <t>-647.592968058682 129.218887883414 -533.038147895396</t>
  </si>
  <si>
    <t>-652.746063637831 167.96736615009 -241.382355978081</t>
  </si>
  <si>
    <t>-418.801863655785 222.465766994115 -260.115349014952</t>
  </si>
  <si>
    <t>-610.76656021588 62.0428847012358 -99.7239456459696</t>
  </si>
  <si>
    <t>-633.958068988217 76.4695119047929 302.903357614</t>
  </si>
  <si>
    <t>-698.475996269274 100.444036006026 745.323096089028</t>
  </si>
  <si>
    <t>-554.425531481793 125.852933792065 806.077961189013</t>
  </si>
  <si>
    <t>-561.98052642318 -137.146939367715 306.708689072059</t>
  </si>
  <si>
    <t>-609.111116901382 -143.763095005597 752.109170655934</t>
  </si>
  <si>
    <t>-474.968461239515 -184.983670690664 825.552395223192</t>
  </si>
  <si>
    <t>9763-20170724T104405.150879900.bin</t>
  </si>
  <si>
    <t>-646.111546405434 129.017187723453 -533.254331581287</t>
  </si>
  <si>
    <t>-651.519131237419 168.488680508814 -241.699910877114</t>
  </si>
  <si>
    <t>-417.902684176613 224.26704998315 -260.752775199893</t>
  </si>
  <si>
    <t>-610.207073753603 62.1450272452955 -99.6764068450934</t>
  </si>
  <si>
    <t>-634.07165458652 76.7363407035411 302.905577761745</t>
  </si>
  <si>
    <t>-698.5545498943 100.661144068356 745.33133098408</t>
  </si>
  <si>
    <t>-554.585708146009 126.470324231339 806.110822067135</t>
  </si>
  <si>
    <t>-561.164494316316 -137.334925535482 306.83706285882</t>
  </si>
  <si>
    <t>-609.08535273194 -144.198957292231 752.153465111384</t>
  </si>
  <si>
    <t>-474.644781456578 -184.527140490507 825.547452135671</t>
  </si>
  <si>
    <t>9763-20170724T104405.183967400.bin</t>
  </si>
  <si>
    <t>-645.372888082465 128.918916178573 -533.365835724849</t>
  </si>
  <si>
    <t>-650.632922962268 168.814955643464 -241.86639941764</t>
  </si>
  <si>
    <t>-417.250467368242 225.396800046569 -261.410751868237</t>
  </si>
  <si>
    <t>-609.863886656879 62.2151258125775 -99.6551661024473</t>
  </si>
  <si>
    <t>-634.056212680448 76.9786105277249 302.901017650107</t>
  </si>
  <si>
    <t>-698.59537812198 100.7645637774 745.314609004534</t>
  </si>
  <si>
    <t>-554.690251262066 126.903466026573 806.104038569425</t>
  </si>
  <si>
    <t>-560.757164238722 -137.28519279741 306.868227762195</t>
  </si>
  <si>
    <t>-609.044396181236 -144.130128030106 752.152621701516</t>
  </si>
  <si>
    <t>-474.668635854682 -184.645526449704 825.56213576181</t>
  </si>
  <si>
    <t>9763-20170724T104405.251153700.bin</t>
  </si>
  <si>
    <t>-644.196911001502 128.866746118293 -533.768531735579</t>
  </si>
  <si>
    <t>-648.837983329297 169.808934696815 -242.403744033216</t>
  </si>
  <si>
    <t>-415.728063555939 227.251701384925 -262.675938554494</t>
  </si>
  <si>
    <t>-609.443634219013 62.7289042643024 -99.6162932235821</t>
  </si>
  <si>
    <t>-633.910948978642 77.3534794846396 302.928331991633</t>
  </si>
  <si>
    <t>-698.668724983199 100.911085041135 745.297650377051</t>
  </si>
  <si>
    <t>-554.794863004291 127.158970617171 806.114285553793</t>
  </si>
  <si>
    <t>-559.835322518307 -137.098796188359 306.960550368638</t>
  </si>
  <si>
    <t>-608.971053314626 -144.224504041204 752.152355210311</t>
  </si>
  <si>
    <t>-474.655518559355 -184.909595517018 825.578232501563</t>
  </si>
  <si>
    <t>9763-20170724T104405.286246500.bin</t>
  </si>
  <si>
    <t>-643.417203053585 128.722277813303 -534.011565054651</t>
  </si>
  <si>
    <t>-648.252751459908 170.169880589374 -242.721596869082</t>
  </si>
  <si>
    <t>-415.164143065878 227.722814067779 -262.92658159646</t>
  </si>
  <si>
    <t>-609.200700463779 62.8727917715137 -99.6053855756494</t>
  </si>
  <si>
    <t>-633.705162209573 77.5145963011394 302.936329425973</t>
  </si>
  <si>
    <t>-698.705614100701 100.958512287991 745.281584930627</t>
  </si>
  <si>
    <t>-554.86727890267 127.406792904727 806.09535595716</t>
  </si>
  <si>
    <t>-559.430993542898 -137.108250630869 306.991310129129</t>
  </si>
  <si>
    <t>-608.93761386473 -144.440648993004 752.151423355535</t>
  </si>
  <si>
    <t>-474.465456700874 -184.626139352188 825.565836017559</t>
  </si>
  <si>
    <t>9763-20170724T104405.349980000.bin</t>
  </si>
  <si>
    <t>-641.899119855621 128.690581918669 -534.385662051507</t>
  </si>
  <si>
    <t>-647.626573827357 170.921009405403 -243.224269466939</t>
  </si>
  <si>
    <t>-414.411335902752 228.221407049597 -262.671212613136</t>
  </si>
  <si>
    <t>-608.763467666078 63.3157230052886 -99.6079566295959</t>
  </si>
  <si>
    <t>-633.292354145133 77.837024390212 302.936637221795</t>
  </si>
  <si>
    <t>-698.785280032336 101.098692785326 745.240832938731</t>
  </si>
  <si>
    <t>-554.955646067339 127.573135792613 806.063810911106</t>
  </si>
  <si>
    <t>-558.699205790032 -136.968654197952 307.031425238975</t>
  </si>
  <si>
    <t>-608.852985548179 -144.473423131201 752.117629037528</t>
  </si>
  <si>
    <t>-474.310925017178 -184.391454223583 825.549728233195</t>
  </si>
  <si>
    <t>9763-20170724T104405.387078500.bin</t>
  </si>
  <si>
    <t>-641.10817558476 128.872325480335 -534.464287388452</t>
  </si>
  <si>
    <t>-647.214577097886 171.045958826948 -243.302317800178</t>
  </si>
  <si>
    <t>-413.989621690007 228.408736703396 -262.445914803436</t>
  </si>
  <si>
    <t>-608.517304999489 63.5448912710908 -99.6030313152975</t>
  </si>
  <si>
    <t>-633.087955486286 78.0620242042535 302.939091656938</t>
  </si>
  <si>
    <t>-698.824391068298 101.157901947347 745.215661193458</t>
  </si>
  <si>
    <t>-555.034386163143 127.842825372474 806.040418127501</t>
  </si>
  <si>
    <t>-558.341093715277 -136.879897999108 307.048023557149</t>
  </si>
  <si>
    <t>-608.806543567628 -144.512207289253 752.095823342299</t>
  </si>
  <si>
    <t>-474.266815040413 -184.408910445495 825.543891909798</t>
  </si>
  <si>
    <t>9763-20170724T104405.451258000.bin</t>
  </si>
  <si>
    <t>-639.347646387108 129.451184456183 -534.554597608007</t>
  </si>
  <si>
    <t>-645.938389327978 171.547883688989 -243.392030790517</t>
  </si>
  <si>
    <t>-412.662917118135 228.801224055848 -262.245029837084</t>
  </si>
  <si>
    <t>-607.838143036763 64.0228915074329 -99.57111014039</t>
  </si>
  <si>
    <t>-632.819657209982 78.4997014625981 302.947194739209</t>
  </si>
  <si>
    <t>-698.900251789256 101.267602508984 745.17496286903</t>
  </si>
  <si>
    <t>-555.140718030812 128.127375957346 805.994950619417</t>
  </si>
  <si>
    <t>-557.763869186324 -136.593342920138 307.057451716091</t>
  </si>
  <si>
    <t>-608.717284925231 -144.304297235045 752.049508359135</t>
  </si>
  <si>
    <t>-474.336802520858 -184.654188673397 825.541338469882</t>
  </si>
  <si>
    <t>9763-20170724T104405.484344500.bin</t>
  </si>
  <si>
    <t>-638.421273129704 129.765809418569 -534.566424228526</t>
  </si>
  <si>
    <t>-645.390359377233 171.997092608894 -243.432043170851</t>
  </si>
  <si>
    <t>-411.957737920761 228.736112858715 -261.891640887954</t>
  </si>
  <si>
    <t>-607.537854440921 64.2850173895847 -99.5509811486311</t>
  </si>
  <si>
    <t>-632.719994523072 78.6032097319878 302.960551126207</t>
  </si>
  <si>
    <t>-698.940246220269 101.330825466497 745.16796718046</t>
  </si>
  <si>
    <t>-555.180253561289 128.180650776074 805.99094991863</t>
  </si>
  <si>
    <t>-557.567046435978 -136.619191432218 307.061835021241</t>
  </si>
  <si>
    <t>-608.688371616414 -144.473727241202 752.037911387178</t>
  </si>
  <si>
    <t>-474.231422696119 -184.572599666916 825.527396241686</t>
  </si>
  <si>
    <t>9763-20170724T104405.554537500.bin</t>
  </si>
  <si>
    <t>-636.302182068584 130.40407207727 -534.456285729682</t>
  </si>
  <si>
    <t>-643.998724891316 172.10628065657 -243.26402067119</t>
  </si>
  <si>
    <t>-410.302779563458 227.918367059193 -261.209737049194</t>
  </si>
  <si>
    <t>-606.669407161874 64.4369750335727 -99.4447114102489</t>
  </si>
  <si>
    <t>-632.344725812633 78.7274543651135 303.03659090572</t>
  </si>
  <si>
    <t>-699.003834368288 101.395675230915 745.179090652839</t>
  </si>
  <si>
    <t>-555.255065814845 128.33466563405 805.989262022764</t>
  </si>
  <si>
    <t>-557.268832376623 -136.7364476471 307.066373100336</t>
  </si>
  <si>
    <t>-608.635910126956 -144.693170633813 752.021855819482</t>
  </si>
  <si>
    <t>-474.053848354898 -184.393431842882 825.498822478081</t>
  </si>
  <si>
    <t>9763-20170724T104405.589629600.bin</t>
  </si>
  <si>
    <t>-635.206351990014 130.938689235198 -534.340606290162</t>
  </si>
  <si>
    <t>-643.212596953065 171.916258134473 -243.053973772404</t>
  </si>
  <si>
    <t>-409.385114751217 227.273378753447 -260.693591454267</t>
  </si>
  <si>
    <t>-606.126009386384 64.5622108601683 -99.3648572722196</t>
  </si>
  <si>
    <t>-632.020117543013 78.7761243184636 303.105127345912</t>
  </si>
  <si>
    <t>-699.035695805621 101.398193957713 745.192536234088</t>
  </si>
  <si>
    <t>-555.274976168559 128.316335351114 805.983765440196</t>
  </si>
  <si>
    <t>-557.205312852936 -136.653505647634 307.058218976333</t>
  </si>
  <si>
    <t>-608.598398688683 -144.480665275066 752.001008702145</t>
  </si>
  <si>
    <t>-474.195188163677 -184.736007179326 825.503275672875</t>
  </si>
  <si>
    <t>9763-20170724T104405.653805300.bin</t>
  </si>
  <si>
    <t>-633.22113043393 132.262332477404 -534.057661618134</t>
  </si>
  <si>
    <t>-642.702498796285 171.069301209332 -242.518045382443</t>
  </si>
  <si>
    <t>-408.871794186594 226.499011268006 -259.885495392145</t>
  </si>
  <si>
    <t>-605.248490600842 64.7093167114595 -99.2602522457061</t>
  </si>
  <si>
    <t>-631.246983094927 78.4958500581345 303.217887325567</t>
  </si>
  <si>
    <t>-699.068072070499 101.217585621131 745.213173598622</t>
  </si>
  <si>
    <t>-555.211041144797 127.829933731453 805.911166154549</t>
  </si>
  <si>
    <t>-557.132605698314 -136.755064139203 306.997494729587</t>
  </si>
  <si>
    <t>-608.473912304956 -144.280011118516 751.922857891098</t>
  </si>
  <si>
    <t>-474.308972961076 -185.133733875102 825.530274910439</t>
  </si>
  <si>
    <t>9763-20170724T104405.689901300.bin</t>
  </si>
  <si>
    <t>-633.173333708551 133.069407918933 -533.879145870996</t>
  </si>
  <si>
    <t>-643.136453619145 171.158582566334 -242.26082134321</t>
  </si>
  <si>
    <t>-409.394513883734 226.875610408144 -259.901104480173</t>
  </si>
  <si>
    <t>-605.277073438107 64.9654130363308 -99.2526763453267</t>
  </si>
  <si>
    <t>-630.92785774133 78.4714693735416 303.257303574788</t>
  </si>
  <si>
    <t>-699.097310997489 101.096752120241 745.204163343535</t>
  </si>
  <si>
    <t>-555.213776480402 127.742566972342 805.82454211969</t>
  </si>
  <si>
    <t>-556.317474328786 -136.838010093504 306.962300959412</t>
  </si>
  <si>
    <t>-608.337057558881 -143.981217015147 751.800650581279</t>
  </si>
  <si>
    <t>-474.391679175736 -185.293720755991 825.551716969938</t>
  </si>
  <si>
    <t>9763-20170724T104405.733525000.bin</t>
  </si>
  <si>
    <t>-633.189209907902 133.588186157749 -533.692344712255</t>
  </si>
  <si>
    <t>-643.539058871859 171.406659262081 -242.05231013528</t>
  </si>
  <si>
    <t>-409.821013183092 227.15178188604 -259.919701166288</t>
  </si>
  <si>
    <t>-605.228555103737 65.0889522084176 -99.1944642632219</t>
  </si>
  <si>
    <t>-630.654987516786 78.6277946360817 303.328685201625</t>
  </si>
  <si>
    <t>-699.121242854453 101.028068071335 745.199101079325</t>
  </si>
  <si>
    <t>-555.188170830621 127.498874346365 805.778505654401</t>
  </si>
  <si>
    <t>-555.345998872456 -136.863973551723 306.936564255423</t>
  </si>
  <si>
    <t>-608.268725818214 -143.920071137691 751.735328344708</t>
  </si>
  <si>
    <t>-474.497038320716 -185.638066650602 825.573203126816</t>
  </si>
  <si>
    <t>9763-20170724T104405.787165500.bin</t>
  </si>
  <si>
    <t>-632.792015230877 132.505005093027 -533.572750143405</t>
  </si>
  <si>
    <t>-643.103270842452 170.254744354272 -241.922489495168</t>
  </si>
  <si>
    <t>-409.536295535358 226.197132539607 -261.099932551051</t>
  </si>
  <si>
    <t>-604.896479659221 64.7005727177764 -99.0695181967635</t>
  </si>
  <si>
    <t>-630.162233809397 78.5684638151117 303.452568626297</t>
  </si>
  <si>
    <t>-699.213216703887 101.437563308179 745.203528312484</t>
  </si>
  <si>
    <t>-555.465905425114 128.750594275269 805.850090826722</t>
  </si>
  <si>
    <t>-554.233546764922 -136.718936284582 307.118781801447</t>
  </si>
  <si>
    <t>-608.24673690884 -144.250727341627 751.759409045803</t>
  </si>
  <si>
    <t>-474.209382607159 -185.179801657584 825.557076980924</t>
  </si>
  <si>
    <t>9763-20170724T104405.853354200.bin</t>
  </si>
  <si>
    <t>-632.081532820993 131.844793808436 -533.520857090978</t>
  </si>
  <si>
    <t>-641.156597375736 169.703084106891 -241.843622022999</t>
  </si>
  <si>
    <t>-407.861017212346 226.2475255191 -262.501494620803</t>
  </si>
  <si>
    <t>-604.756648636396 64.6536520824311 -98.985899274492</t>
  </si>
  <si>
    <t>-630.129451577705 78.6727240843115 303.524141504469</t>
  </si>
  <si>
    <t>-699.281578550574 101.674183005988 745.237673160609</t>
  </si>
  <si>
    <t>-555.560719964222 128.995295384849 805.943353851903</t>
  </si>
  <si>
    <t>-553.359823801766 -136.578493881266 307.264124096489</t>
  </si>
  <si>
    <t>-608.223942923213 -144.34038259156 751.785634570511</t>
  </si>
  <si>
    <t>-474.19788934186 -185.368302004474 825.548854699719</t>
  </si>
  <si>
    <t>9763-20170724T104405.886441300.bin</t>
  </si>
  <si>
    <t>-631.394805021676 132.247779268365 -533.508750711721</t>
  </si>
  <si>
    <t>-639.826534396443 170.444818756893 -241.856400289787</t>
  </si>
  <si>
    <t>-406.666263628491 227.367016033267 -262.999549556652</t>
  </si>
  <si>
    <t>-604.903590403227 65.1348394280517 -98.9686862839532</t>
  </si>
  <si>
    <t>-630.243604216302 78.935785106961 303.551031858686</t>
  </si>
  <si>
    <t>-699.328754789619 101.800581144419 745.255930033401</t>
  </si>
  <si>
    <t>-555.620703983147 129.171108051219 805.969656622358</t>
  </si>
  <si>
    <t>-553.282354982889 -136.561126389145 307.30082422288</t>
  </si>
  <si>
    <t>-608.20952593272 -144.442496015998 751.808027872723</t>
  </si>
  <si>
    <t>-474.062363457405 -185.146197378573 825.530745704434</t>
  </si>
  <si>
    <t>9763-20170724T104405.951133900.bin</t>
  </si>
  <si>
    <t>-630.414192043692 132.744402930454 -533.547442027208</t>
  </si>
  <si>
    <t>-637.066103230702 171.888920766498 -241.974670388859</t>
  </si>
  <si>
    <t>-403.756547359793 228.696090966322 -261.734204915476</t>
  </si>
  <si>
    <t>-604.918231762071 65.7400445632863 -98.9580241152312</t>
  </si>
  <si>
    <t>-630.086374717589 79.543182911018 303.572373724391</t>
  </si>
  <si>
    <t>-699.419666241754 102.061320299346 745.270816661907</t>
  </si>
  <si>
    <t>-555.732735189316 129.448930290642 806.026703602256</t>
  </si>
  <si>
    <t>-553.003237982515 -136.142871877656 307.367975833416</t>
  </si>
  <si>
    <t>-608.173516279761 -144.651196574743 751.852642409219</t>
  </si>
  <si>
    <t>-473.969156239024 -185.248406803507 825.529955334559</t>
  </si>
  <si>
    <t>9763-20170724T104405.986227100.bin</t>
  </si>
  <si>
    <t>-630.057765180051 132.781142137006 -533.521939742138</t>
  </si>
  <si>
    <t>-635.933086337201 172.33388566997 -241.987613767936</t>
  </si>
  <si>
    <t>-402.465799743517 228.515651705554 -261.672758468047</t>
  </si>
  <si>
    <t>-604.735524080199 65.9435545828117 -98.9471395324591</t>
  </si>
  <si>
    <t>-629.958154266628 79.8330399612535 303.576884155988</t>
  </si>
  <si>
    <t>-699.47665457448 102.216881601459 745.266123850952</t>
  </si>
  <si>
    <t>-555.810746436483 129.677846350318 806.038674718733</t>
  </si>
  <si>
    <t>-552.729097458997 -136.068290779446 307.394879787925</t>
  </si>
  <si>
    <t>-608.154528082661 -144.888284642303 751.867846703146</t>
  </si>
  <si>
    <t>-473.8090703667 -185.059121901475 825.521695573575</t>
  </si>
  <si>
    <t>9763-20170724T104406.053773700.bin</t>
  </si>
  <si>
    <t>-629.28221558541 133.251885734213 -533.283913114226</t>
  </si>
  <si>
    <t>-633.599985446667 172.301421480419 -241.654517989975</t>
  </si>
  <si>
    <t>-400.222309415061 228.52318909063 -262.26620699073</t>
  </si>
  <si>
    <t>-604.531397071139 66.6905797363663 -98.8652337114605</t>
  </si>
  <si>
    <t>-629.640661697482 80.2933225809581 303.675635192308</t>
  </si>
  <si>
    <t>-699.556528442131 102.369780440079 745.298980606914</t>
  </si>
  <si>
    <t>-555.879773319444 129.738492250301 806.087554657467</t>
  </si>
  <si>
    <t>-551.941892754721 -135.671080002383 307.502277513599</t>
  </si>
  <si>
    <t>-608.089666058688 -144.829808398689 751.866413080479</t>
  </si>
  <si>
    <t>-473.822733232709 -185.270355650363 825.515999276597</t>
  </si>
  <si>
    <t>9763-20170724T104406.085857700.bin</t>
  </si>
  <si>
    <t>-629.004165286953 133.418014291044 -533.280456902383</t>
  </si>
  <si>
    <t>-632.837975876292 173.171505032518 -241.739406044729</t>
  </si>
  <si>
    <t>-399.245610234603 229.00420026915 -260.928009657726</t>
  </si>
  <si>
    <t>-604.429911706884 66.9557302937264 -98.8284573881505</t>
  </si>
  <si>
    <t>-629.368931830674 80.3625197147621 303.729573579981</t>
  </si>
  <si>
    <t>-699.581330388184 102.377919997169 745.322664419667</t>
  </si>
  <si>
    <t>-555.850752918913 129.461441788534 806.11162356348</t>
  </si>
  <si>
    <t>-551.653602408788 -135.553619520751 307.545051072991</t>
  </si>
  <si>
    <t>-608.061722383382 -144.953553275696 751.859309230465</t>
  </si>
  <si>
    <t>-473.622312248633 -184.853171467469 825.489214735601</t>
  </si>
  <si>
    <t>9763-20170724T104406.151669500.bin</t>
  </si>
  <si>
    <t>-604.562930565868 0.0974473402425247 -555.024552500465</t>
  </si>
  <si>
    <t>-627.7100134462 133.839686373462 -533.230651563656</t>
  </si>
  <si>
    <t>-630.674626967833 173.383265113548 -241.650947445299</t>
  </si>
  <si>
    <t>-397.332038367221 230.73845925448 -259.328508184982</t>
  </si>
  <si>
    <t>-603.886788319358 67.3448375687542 -98.7605945894974</t>
  </si>
  <si>
    <t>-629.109082259575 80.5735406318868 303.785657562333</t>
  </si>
  <si>
    <t>-699.638749632504 102.439360922811 745.353425991316</t>
  </si>
  <si>
    <t>-555.912659455571 129.530958525747 806.149400745794</t>
  </si>
  <si>
    <t>-551.420730740132 -135.371131546239 307.548770209994</t>
  </si>
  <si>
    <t>-608.00957257874 -144.964277032389 751.845446662116</t>
  </si>
  <si>
    <t>-473.572044866591 -184.876277982641 825.4720509813</t>
  </si>
  <si>
    <t>9763-20170724T104406.182751600.bin</t>
  </si>
  <si>
    <t>-604.366556774339 0.686099080639451 -554.97162061234</t>
  </si>
  <si>
    <t>-627.328551340388 134.445642178011 -533.1341487319</t>
  </si>
  <si>
    <t>-630.133370041609 174.113241858617 -241.569653648235</t>
  </si>
  <si>
    <t>-396.687810159225 231.079092158117 -259.146006413357</t>
  </si>
  <si>
    <t>-603.681139495834 67.6515905252008 -98.71142933043</t>
  </si>
  <si>
    <t>-629.098455844351 80.8077177214827 303.824959769982</t>
  </si>
  <si>
    <t>-699.683944525963 102.519423200798 745.380961474539</t>
  </si>
  <si>
    <t>-555.980137986099 129.737739400639 806.172895585049</t>
  </si>
  <si>
    <t>-551.435313271358 -135.289172983313 307.538298655199</t>
  </si>
  <si>
    <t>-607.990080635692 -145.040293977799 751.840810065336</t>
  </si>
  <si>
    <t>-473.591255445761 -185.087325347408 825.464791449128</t>
  </si>
  <si>
    <t>9763-20170724T104406.250946400.bin</t>
  </si>
  <si>
    <t>-604.072465883361 2.12255197778541 -554.915186957427</t>
  </si>
  <si>
    <t>-626.805886566279 135.898968714104 -532.87278563445</t>
  </si>
  <si>
    <t>-628.998026793954 174.975693769061 -241.223272089349</t>
  </si>
  <si>
    <t>-395.632716521648 232.002765204808 -259.647352150688</t>
  </si>
  <si>
    <t>-603.359356863986 68.3621724175505 -98.6121575028907</t>
  </si>
  <si>
    <t>-629.085713566825 81.2948794299384 303.91183293177</t>
  </si>
  <si>
    <t>-699.729910196943 102.51766265024 745.471436310531</t>
  </si>
  <si>
    <t>-555.937185158097 129.288748330795 806.251911012602</t>
  </si>
  <si>
    <t>-551.440167681083 -134.885527345499 307.486217537263</t>
  </si>
  <si>
    <t>-607.898734039324 -144.748255924369 751.787962215702</t>
  </si>
  <si>
    <t>-473.703361375379 -185.381039245829 825.462133532397</t>
  </si>
  <si>
    <t>9763-20170724T104406.286038800.bin</t>
  </si>
  <si>
    <t>-603.630645410454 2.62516575533073 -554.876917346004</t>
  </si>
  <si>
    <t>-626.36378915013 136.393007333049 -532.7720039705</t>
  </si>
  <si>
    <t>-628.409462746245 175.028105986464 -241.062456641768</t>
  </si>
  <si>
    <t>-395.111878692844 232.251274474979 -259.733564023162</t>
  </si>
  <si>
    <t>-603.07034376436 68.5255259615294 -98.540717346463</t>
  </si>
  <si>
    <t>-628.835420191884 81.3469902876741 303.984409383059</t>
  </si>
  <si>
    <t>-699.7557304664 102.488460866889 745.51506646078</t>
  </si>
  <si>
    <t>-555.945876209768 129.236599875524 806.264976605487</t>
  </si>
  <si>
    <t>-551.373306865883 -134.856734844705 307.456787235778</t>
  </si>
  <si>
    <t>-607.860852147445 -144.97783948526 751.765798585313</t>
  </si>
  <si>
    <t>-473.610885166052 -185.397964226739 825.457434916092</t>
  </si>
  <si>
    <t>9763-20170724T104406.351220900.bin</t>
  </si>
  <si>
    <t>-602.806320748659 3.42330381034958 -554.823306518465</t>
  </si>
  <si>
    <t>-625.475425098661 137.186241834452 -532.661741993999</t>
  </si>
  <si>
    <t>-627.521543559001 175.669309290083 -240.932217609386</t>
  </si>
  <si>
    <t>-394.069483811785 232.02088736234 -260.309902501656</t>
  </si>
  <si>
    <t>-602.582951470788 68.9576575086303 -98.4252231893475</t>
  </si>
  <si>
    <t>-628.206498334191 81.3613058082517 304.121957867003</t>
  </si>
  <si>
    <t>-699.811189386212 102.362964396735 745.588000703135</t>
  </si>
  <si>
    <t>-556.026383641876 129.463564166575 806.241073513397</t>
  </si>
  <si>
    <t>-550.807594623445 -134.741201509733 307.390275297038</t>
  </si>
  <si>
    <t>-607.719863184726 -144.948852831515 751.643328719947</t>
  </si>
  <si>
    <t>-473.581916793586 -185.513499782552 825.459464620597</t>
  </si>
  <si>
    <t>9763-20170724T104406.389319700.bin</t>
  </si>
  <si>
    <t>-602.472664652391 3.56118763099721 -554.774919316638</t>
  </si>
  <si>
    <t>-625.021360288814 137.338868906043 -532.598250919877</t>
  </si>
  <si>
    <t>-626.507809695337 175.995550589564 -240.88824472559</t>
  </si>
  <si>
    <t>-392.882116387568 231.441409140327 -260.780152422294</t>
  </si>
  <si>
    <t>-602.172540738384 69.0415417179461 -98.3399570323729</t>
  </si>
  <si>
    <t>-627.915435858048 81.2413480338269 304.205863001016</t>
  </si>
  <si>
    <t>-699.823072857317 102.23997852402 745.62297158197</t>
  </si>
  <si>
    <t>-555.97122167659 129.083804375746 806.231063249479</t>
  </si>
  <si>
    <t>-550.399736660782 -134.759204228838 307.384710442898</t>
  </si>
  <si>
    <t>-607.658998317889 -144.887574727035 751.58990955822</t>
  </si>
  <si>
    <t>-473.413948664965 -185.024934595905 825.444929152889</t>
  </si>
  <si>
    <t>9763-20170724T104406.456141400.bin</t>
  </si>
  <si>
    <t>-601.620007917092 3.97738852115481 -554.73582242956</t>
  </si>
  <si>
    <t>-623.689826360756 137.832785254587 -532.513150562043</t>
  </si>
  <si>
    <t>-623.937711422171 176.545540501867 -240.806983249286</t>
  </si>
  <si>
    <t>-390.080290040304 230.509618770942 -262.006987726608</t>
  </si>
  <si>
    <t>-601.099651418039 69.2275625571219 -98.1892468464031</t>
  </si>
  <si>
    <t>-627.285507715233 81.1606858019836 304.335981537286</t>
  </si>
  <si>
    <t>-699.872638933529 102.044330688495 745.669104616154</t>
  </si>
  <si>
    <t>-555.94220869285 128.784119821465 806.136581241802</t>
  </si>
  <si>
    <t>-549.820765007765 -134.361675218843 307.396194590187</t>
  </si>
  <si>
    <t>-607.538997659211 -144.614407186599 751.487663944539</t>
  </si>
  <si>
    <t>-473.646645502645 -185.684417057583 825.469925121096</t>
  </si>
  <si>
    <t>9763-20170724T104406.484215400.bin</t>
  </si>
  <si>
    <t>-601.275607860817 4.22072342608362 -554.765037630157</t>
  </si>
  <si>
    <t>-623.081444830455 138.128978883741 -532.610061110377</t>
  </si>
  <si>
    <t>-623.39944884435 177.198828770976 -240.951702729902</t>
  </si>
  <si>
    <t>-389.357281872404 230.40756463281 -262.022795731839</t>
  </si>
  <si>
    <t>-600.685344187209 69.3528345588854 -98.1649959779876</t>
  </si>
  <si>
    <t>-626.946272009681 81.0276533587253 304.362869042845</t>
  </si>
  <si>
    <t>-699.894551067509 101.936858494723 745.67725134277</t>
  </si>
  <si>
    <t>-555.954072242504 128.793633283544 806.068777360405</t>
  </si>
  <si>
    <t>-549.662452889916 -134.233243709013 307.358509450401</t>
  </si>
  <si>
    <t>-607.450190312913 -144.43828641943 751.405486429754</t>
  </si>
  <si>
    <t>-473.670751557217 -185.705393342859 825.482428554586</t>
  </si>
  <si>
    <t>9763-20170724T104406.553132300.bin</t>
  </si>
  <si>
    <t>-600.751905565174 4.74267588540647 -554.72264822185</t>
  </si>
  <si>
    <t>-622.069835632332 138.765408788995 -532.753681402261</t>
  </si>
  <si>
    <t>-623.621925836594 178.187466624532 -241.146570337395</t>
  </si>
  <si>
    <t>-389.492736787009 231.418862894124 -261.165978627246</t>
  </si>
  <si>
    <t>-599.698193825325 69.3092370554771 -98.039650731884</t>
  </si>
  <si>
    <t>-626.161818392712 80.7502498067811 304.48163902377</t>
  </si>
  <si>
    <t>-699.917719690681 101.63699401986 745.658593046464</t>
  </si>
  <si>
    <t>-555.812685825384 127.924003200063 805.908209330533</t>
  </si>
  <si>
    <t>-549.358978718472 -134.428718435946 307.27460351935</t>
  </si>
  <si>
    <t>-607.309672223231 -144.264805006815 751.283270288845</t>
  </si>
  <si>
    <t>-473.714924028687 -185.833641747417 825.524616310829</t>
  </si>
  <si>
    <t>9763-20170724T104406.595246800.bin</t>
  </si>
  <si>
    <t>-600.458134540458 4.92074901842921 -554.679224417541</t>
  </si>
  <si>
    <t>-621.519217492273 138.992014000392 -532.79995718262</t>
  </si>
  <si>
    <t>-623.941194942694 178.452480986909 -241.204074078613</t>
  </si>
  <si>
    <t>-389.829346153726 231.907618465702 -260.827095547518</t>
  </si>
  <si>
    <t>-599.222854475441 69.3293391251336 -97.9803877788918</t>
  </si>
  <si>
    <t>-625.768694617796 80.6320113184579 304.539515668714</t>
  </si>
  <si>
    <t>-699.927693208236 101.550209616855 745.643420239891</t>
  </si>
  <si>
    <t>-555.77924111241 127.707352579657 805.845687423263</t>
  </si>
  <si>
    <t>-549.392344423783 -134.62833316754 307.252479678847</t>
  </si>
  <si>
    <t>-607.276565993372 -144.432275124236 751.262842279948</t>
  </si>
  <si>
    <t>-473.615757456255 -185.736911661492 825.532731805706</t>
  </si>
  <si>
    <t>9763-20170724T104406.652014000.bin</t>
  </si>
  <si>
    <t>-599.881896209938 4.93557276335014 -554.736009298096</t>
  </si>
  <si>
    <t>-620.567255518874 139.091134442657 -533.000096683008</t>
  </si>
  <si>
    <t>-624.658053371567 177.657308645258 -241.303054036437</t>
  </si>
  <si>
    <t>-390.471521556178 231.051945068076 -260.185324154034</t>
  </si>
  <si>
    <t>-598.62604811006 69.2445453790785 -97.961784235921</t>
  </si>
  <si>
    <t>-625.090668251547 80.2169254626263 304.572569020353</t>
  </si>
  <si>
    <t>-699.914695142988 101.378940405307 745.573403148975</t>
  </si>
  <si>
    <t>-555.637419796773 126.914417731396 805.734078349923</t>
  </si>
  <si>
    <t>-549.504678174563 -134.562845875976 307.186995666087</t>
  </si>
  <si>
    <t>-607.164096522421 -144.319230494504 751.188678103834</t>
  </si>
  <si>
    <t>-473.730270669568 -186.137435083258 825.579169483988</t>
  </si>
  <si>
    <t>9763-20170724T104406.685102200.bin</t>
  </si>
  <si>
    <t>-599.918401227914 4.94613446161111 -554.78032076659</t>
  </si>
  <si>
    <t>-620.527759222729 139.117146003921 -533.082873527207</t>
  </si>
  <si>
    <t>-624.990958569225 177.04530144207 -241.307637252368</t>
  </si>
  <si>
    <t>-390.715527510716 230.187439788796 -259.794648174406</t>
  </si>
  <si>
    <t>-598.590542912667 69.269564773379 -97.9896602410407</t>
  </si>
  <si>
    <t>-624.928268492123 80.1720515983143 304.554855365579</t>
  </si>
  <si>
    <t>-699.926999201007 101.411223516073 745.536642632241</t>
  </si>
  <si>
    <t>-555.664971087772 127.045043239229 805.691960055</t>
  </si>
  <si>
    <t>-549.284694875277 -134.530040742743 307.151383841183</t>
  </si>
  <si>
    <t>-607.092552433725 -144.226901190118 751.129790324153</t>
  </si>
  <si>
    <t>-473.769724699293 -186.257647491761 825.599522851093</t>
  </si>
  <si>
    <t>9763-20170724T104406.753014100.bin</t>
  </si>
  <si>
    <t>-600.678162086412 4.4842199935747 -554.795645290908</t>
  </si>
  <si>
    <t>-621.348845569025 138.647087798972 -533.093534938316</t>
  </si>
  <si>
    <t>-625.040404031762 175.840121507237 -241.212954200528</t>
  </si>
  <si>
    <t>-390.755871215704 228.939759026665 -259.707798302672</t>
  </si>
  <si>
    <t>-598.641991653798 69.1786492723174 -98.0397082092568</t>
  </si>
  <si>
    <t>-624.792480948376 80.1876731427897 304.514113447912</t>
  </si>
  <si>
    <t>-699.951823339169 101.475726320383 745.440939542283</t>
  </si>
  <si>
    <t>-555.642414136797 126.844587026993 805.59502543748</t>
  </si>
  <si>
    <t>-549.001537569785 -134.505453146843 307.168685599034</t>
  </si>
  <si>
    <t>-607.034137291491 -144.363824190309 751.106846423151</t>
  </si>
  <si>
    <t>-473.699156423455 -186.273393783561 825.623118556486</t>
  </si>
  <si>
    <t>9763-20170724T104406.786102300.bin</t>
  </si>
  <si>
    <t>-601.442990439474 3.86997905415842 -554.84519464063</t>
  </si>
  <si>
    <t>-622.203864549806 138.028449737981 -533.166338771932</t>
  </si>
  <si>
    <t>-624.992867655951 175.371987593179 -241.294945107683</t>
  </si>
  <si>
    <t>-390.776673573541 228.685532747184 -260.038085190822</t>
  </si>
  <si>
    <t>-598.936350197698 69.1352570244101 -98.1090639468299</t>
  </si>
  <si>
    <t>-624.826461928197 80.1250845374734 304.462152684966</t>
  </si>
  <si>
    <t>-699.983016425883 101.575979550735 745.383012226863</t>
  </si>
  <si>
    <t>-555.706476027094 127.136045948052 805.535029787901</t>
  </si>
  <si>
    <t>-549.079342337085 -134.484832033157 307.192893492229</t>
  </si>
  <si>
    <t>-607.041856326713 -144.542404352174 751.12929122151</t>
  </si>
  <si>
    <t>-473.575297259731 -186.085132016524 825.615307718957</t>
  </si>
  <si>
    <t>9763-20170724T104406.854891600.bin</t>
  </si>
  <si>
    <t>-603.3246485017 2.56665376279921 -555.020091780024</t>
  </si>
  <si>
    <t>-624.361656063069 136.689809497581 -533.488949608875</t>
  </si>
  <si>
    <t>-625.850286008875 175.045862330823 -241.739394562592</t>
  </si>
  <si>
    <t>-391.539071570745 227.915070433334 -260.554303216602</t>
  </si>
  <si>
    <t>-599.728439276938 68.90142387623 -98.2822863470043</t>
  </si>
  <si>
    <t>-625.106436020637 80.1069674329472 304.315558434937</t>
  </si>
  <si>
    <t>-700.015109320262 101.72184599742 745.273160198906</t>
  </si>
  <si>
    <t>-555.740158516182 127.254725327351 805.440524376265</t>
  </si>
  <si>
    <t>-549.190870352322 -134.233890191796 307.223042520535</t>
  </si>
  <si>
    <t>-607.014880488691 -144.201465911386 751.157183903993</t>
  </si>
  <si>
    <t>-473.843866983151 -186.692793514612 825.637058128092</t>
  </si>
  <si>
    <t>9763-20170724T104406.882963500.bin</t>
  </si>
  <si>
    <t>-604.216637995842 1.96242350707621 -555.076682853694</t>
  </si>
  <si>
    <t>-625.335951164824 136.08332898172 -533.569856185171</t>
  </si>
  <si>
    <t>-626.421493917618 174.937830796332 -241.884430403866</t>
  </si>
  <si>
    <t>-392.048200839185 227.440287049994 -260.950235081625</t>
  </si>
  <si>
    <t>-600.211041110422 68.7026772176644 -98.355444867696</t>
  </si>
  <si>
    <t>-625.320168174183 80.0668090748356 304.254913675088</t>
  </si>
  <si>
    <t>-700.038686114574 101.823905189711 745.229607311869</t>
  </si>
  <si>
    <t>-555.755690973261 127.27748431917 805.41118804346</t>
  </si>
  <si>
    <t>-549.388876691623 -134.443696322484 307.246812574941</t>
  </si>
  <si>
    <t>-607.066721583177 -144.62076060276 751.224907696069</t>
  </si>
  <si>
    <t>-473.551529792963 -186.196040646331 825.605600448043</t>
  </si>
  <si>
    <t>9763-20170724T104406.952806000.bin</t>
  </si>
  <si>
    <t>-605.931857968069 1.32850874123415 -555.161208693603</t>
  </si>
  <si>
    <t>-626.956076892904 135.454499872694 -533.590262824963</t>
  </si>
  <si>
    <t>-627.562343744257 174.364399888624 -241.910840589617</t>
  </si>
  <si>
    <t>-393.199112600713 226.808920911699 -261.258828364967</t>
  </si>
  <si>
    <t>-601.11092658571 68.3603661044513 -98.5075906688987</t>
  </si>
  <si>
    <t>-625.700375767508 80.0168192779529 304.126467476409</t>
  </si>
  <si>
    <t>-700.070604801986 102.007399477003 745.169085255991</t>
  </si>
  <si>
    <t>-555.763602408878 127.284230011199 805.367459684311</t>
  </si>
  <si>
    <t>-550.056005267083 -134.358299757625 307.229185374306</t>
  </si>
  <si>
    <t>-607.1056815969 -144.487424422416 751.289763119499</t>
  </si>
  <si>
    <t>-473.710347930857 -186.591231790545 825.588190338814</t>
  </si>
  <si>
    <t>9763-20170724T104406.985894900.bin</t>
  </si>
  <si>
    <t>-607.097823271426 1.20457403703813 -555.213720208546</t>
  </si>
  <si>
    <t>-628.017315073886 135.335876787056 -533.552728303489</t>
  </si>
  <si>
    <t>-628.581776648657 174.014089755054 -241.84247536332</t>
  </si>
  <si>
    <t>-394.218345813097 226.550731839372 -260.935527655247</t>
  </si>
  <si>
    <t>-601.897417793038 68.2680636875173 -98.609139065626</t>
  </si>
  <si>
    <t>-625.813800623471 79.87845304651 304.06673119094</t>
  </si>
  <si>
    <t>-700.061263631053 101.992861336283 745.141737544493</t>
  </si>
  <si>
    <t>-555.71614188365 127.048205708268 805.341521877586</t>
  </si>
  <si>
    <t>-550.372185359681 -134.50475467482 307.192920325756</t>
  </si>
  <si>
    <t>-607.08767409044 -144.68731945289 751.287362534612</t>
  </si>
  <si>
    <t>-473.718463679086 -186.864828284899 825.590876676891</t>
  </si>
  <si>
    <t>9763-20170724T104407.055713800.bin</t>
  </si>
  <si>
    <t>-609.666096974212 0.738927918676609 -555.261427559615</t>
  </si>
  <si>
    <t>-630.53095382245 134.856459650689 -533.427045134769</t>
  </si>
  <si>
    <t>-631.999791559011 173.338986516473 -241.694098209311</t>
  </si>
  <si>
    <t>-397.396326821474 225.319149393472 -259.304904964791</t>
  </si>
  <si>
    <t>-603.542371795653 67.8994523550934 -98.8201961805731</t>
  </si>
  <si>
    <t>-626.185411163667 79.5942595874642 303.926841018272</t>
  </si>
  <si>
    <t>-700.041683843722 101.960470778962 745.072422295921</t>
  </si>
  <si>
    <t>-555.55476216631 126.129385814536 805.294420181833</t>
  </si>
  <si>
    <t>-550.727642607492 -134.523361065851 307.133891494362</t>
  </si>
  <si>
    <t>-607.070659491557 -144.880649869294 751.28788328031</t>
  </si>
  <si>
    <t>-473.729960974064 -187.134185475521 825.599387016128</t>
  </si>
  <si>
    <t>9763-20170724T104407.083789200.bin</t>
  </si>
  <si>
    <t>-610.824757777476 0.187595142155033 -555.281890154207</t>
  </si>
  <si>
    <t>-631.76338366269 134.289134449993 -533.390046849042</t>
  </si>
  <si>
    <t>-634.237374708731 172.153884648482 -241.58307075681</t>
  </si>
  <si>
    <t>-399.637874377402 224.555924385512 -257.952658501455</t>
  </si>
  <si>
    <t>-603.952936260963 67.561688284746 -98.8849640024027</t>
  </si>
  <si>
    <t>-626.359960793739 79.4789367406411 303.868800225247</t>
  </si>
  <si>
    <t>-700.056280818791 102.031986194942 745.030225267742</t>
  </si>
  <si>
    <t>-555.608912256319 126.427910599386 805.255711214757</t>
  </si>
  <si>
    <t>-550.890505492862 -134.438004191006 307.136521128411</t>
  </si>
  <si>
    <t>-607.065809753767 -144.854097471433 751.298367373015</t>
  </si>
  <si>
    <t>-473.761310401833 -187.225046573375 825.60787989849</t>
  </si>
  <si>
    <t>9763-20170724T104407.153532300.bin</t>
  </si>
  <si>
    <t>-634.676982210494 132.84605158407 -533.276834979928</t>
  </si>
  <si>
    <t>-640.987753613359 167.707830626769 -241.153497521481</t>
  </si>
  <si>
    <t>-406.639190671407 222.084505763288 -254.375182206415</t>
  </si>
  <si>
    <t>-604.801953689943 66.829710477544 -98.9924148346637</t>
  </si>
  <si>
    <t>-626.519346518451 78.9809629361939 303.792080161423</t>
  </si>
  <si>
    <t>-700.063513139851 102.078890486703 744.937391623582</t>
  </si>
  <si>
    <t>-555.597985390746 126.342817880108 805.172525162049</t>
  </si>
  <si>
    <t>-550.957191010343 -134.589887823185 307.13260133596</t>
  </si>
  <si>
    <t>-607.048834143537 -144.961101661244 751.312696163306</t>
  </si>
  <si>
    <t>-473.649446657156 -187.068946975656 825.601651358142</t>
  </si>
  <si>
    <t>9763-20170724T104407.184618400.bin</t>
  </si>
  <si>
    <t>-636.373269227891 132.390033820627 -533.178572801384</t>
  </si>
  <si>
    <t>-645.461512173621 165.470121831799 -240.921286372828</t>
  </si>
  <si>
    <t>-411.227497245552 220.853755856416 -251.782117586027</t>
  </si>
  <si>
    <t>-605.219227116886 66.5769307632124 -99.0287830475976</t>
  </si>
  <si>
    <t>-626.65145783957 78.8003803003155 303.768787962705</t>
  </si>
  <si>
    <t>-700.078699761428 102.123807806817 744.905547374185</t>
  </si>
  <si>
    <t>-555.588991294192 126.242931898269 805.140881505484</t>
  </si>
  <si>
    <t>-550.978672623592 -134.575564729253 307.117974015904</t>
  </si>
  <si>
    <t>-607.040886206918 -145.012323404532 751.311767434212</t>
  </si>
  <si>
    <t>-473.617738576873 -187.065152146534 825.589044002409</t>
  </si>
  <si>
    <t>9763-20170724T104407.249120200.bin</t>
  </si>
  <si>
    <t>-639.911485189078 131.61902576926 -533.042958899592</t>
  </si>
  <si>
    <t>-655.760866735433 160.796122162015 -240.658427782636</t>
  </si>
  <si>
    <t>-421.963654306283 218.807471915766 -245.598495129092</t>
  </si>
  <si>
    <t>-605.852696268982 66.2370700452861 -99.0945078866407</t>
  </si>
  <si>
    <t>-626.729980668548 78.6547115208932 303.726276468451</t>
  </si>
  <si>
    <t>-700.121291128028 102.229783553783 744.84331212285</t>
  </si>
  <si>
    <t>-555.624530358662 126.328523197304 805.069722417186</t>
  </si>
  <si>
    <t>-551.13707049046 -134.506646668702 307.108814094718</t>
  </si>
  <si>
    <t>-607.027925341147 -145.070689887104 751.329180406285</t>
  </si>
  <si>
    <t>-473.64056539338 -187.266097564608 825.589886629902</t>
  </si>
  <si>
    <t>9763-20170724T104407.286218700.bin</t>
  </si>
  <si>
    <t>-641.898953559246 131.19606988728 -532.958054931675</t>
  </si>
  <si>
    <t>-661.396336369106 158.941589934528 -240.65473489831</t>
  </si>
  <si>
    <t>-427.668301236897 217.429665186304 -241.755682976762</t>
  </si>
  <si>
    <t>-606.133045426577 66.1139464154107 -99.1234309381963</t>
  </si>
  <si>
    <t>-626.707054941972 78.5983297839261 303.710907148117</t>
  </si>
  <si>
    <t>-700.154943164148 102.309139385267 744.807393128953</t>
  </si>
  <si>
    <t>-555.652969775314 126.399861007724 805.024760340624</t>
  </si>
  <si>
    <t>-551.167071590842 -134.544056554905 307.119083984248</t>
  </si>
  <si>
    <t>-607.040907111244 -145.354894123704 751.350874906114</t>
  </si>
  <si>
    <t>-473.561896687225 -187.310423918836 825.582895428576</t>
  </si>
  <si>
    <t>9763-20170724T104407.353404600.bin</t>
  </si>
  <si>
    <t>-645.982688577909 130.403691326513 -532.935790641063</t>
  </si>
  <si>
    <t>-673.552320062006 155.174703770089 -241.015521766493</t>
  </si>
  <si>
    <t>-440.338719481852 215.020049367179 -232.025902353375</t>
  </si>
  <si>
    <t>-606.816249679918 66.1432838930291 -99.2212947181328</t>
  </si>
  <si>
    <t>-626.76803837547 78.5806157416712 303.64584322788</t>
  </si>
  <si>
    <t>-700.1946162035 102.374020691058 744.744982388572</t>
  </si>
  <si>
    <t>-555.63554915186 126.139831965651 804.954300460259</t>
  </si>
  <si>
    <t>-551.278045292978 -134.27458234161 307.106975271019</t>
  </si>
  <si>
    <t>-607.013824158375 -145.234532042582 751.361399996975</t>
  </si>
  <si>
    <t>-473.59933037486 -187.422585606283 825.577558437585</t>
  </si>
  <si>
    <t>9763-20170724T104407.387498100.bin</t>
  </si>
  <si>
    <t>-647.797127035675 130.074130169865 -532.957446390469</t>
  </si>
  <si>
    <t>-679.496188272547 152.844389181303 -241.293424497165</t>
  </si>
  <si>
    <t>-446.83852520609 213.602125372408 -226.135893284478</t>
  </si>
  <si>
    <t>-607.106937949027 66.2689987861202 -99.2798787002007</t>
  </si>
  <si>
    <t>-626.807183140216 78.6967060322841 303.599903080948</t>
  </si>
  <si>
    <t>-700.239916055717 102.495675298335 744.706941072579</t>
  </si>
  <si>
    <t>-555.738019342581 126.64842616966 804.899379909877</t>
  </si>
  <si>
    <t>-551.329001921174 -134.113061762079 307.098459327853</t>
  </si>
  <si>
    <t>-606.998456975643 -145.199401602435 751.363808306501</t>
  </si>
  <si>
    <t>-473.634556096735 -187.54909519356 825.578830797238</t>
  </si>
  <si>
    <t>9763-20170724T104407.451673400.bin</t>
  </si>
  <si>
    <t>-650.832113447693 129.656623016351 -532.854521915397</t>
  </si>
  <si>
    <t>-690.129822295894 147.782520066386 -241.790276391368</t>
  </si>
  <si>
    <t>-458.712700651937 210.344477679276 -217.64445256771</t>
  </si>
  <si>
    <t>-607.697092523897 66.4787177785265 -99.4207688230202</t>
  </si>
  <si>
    <t>-626.797633087122 78.7924884378765 303.491361144268</t>
  </si>
  <si>
    <t>-700.284945924278 102.569097743811 744.620737133285</t>
  </si>
  <si>
    <t>-555.737347318584 126.478498237062 804.800616753255</t>
  </si>
  <si>
    <t>-551.615986945271 -134.037126759286 307.134735221703</t>
  </si>
  <si>
    <t>-607.015599041653 -145.427357220147 751.411956693276</t>
  </si>
  <si>
    <t>-473.385819204301 -187.069813705135 825.548777137586</t>
  </si>
  <si>
    <t>9763-20170724T104407.504816000.bin</t>
  </si>
  <si>
    <t>-652.350859051251 129.601863012204 -532.709457945868</t>
  </si>
  <si>
    <t>-693.549087760586 146.061478140861 -241.809245918053</t>
  </si>
  <si>
    <t>-462.286963250698 208.993804784597 -217.147288985545</t>
  </si>
  <si>
    <t>-608.043502741288 66.6042315556729 -99.5044639590782</t>
  </si>
  <si>
    <t>-626.862996282652 78.8670891744887 303.422425029473</t>
  </si>
  <si>
    <t>-700.308415903014 102.61446905212 744.571607700472</t>
  </si>
  <si>
    <t>-555.772434857193 126.619218810842 804.74148253348</t>
  </si>
  <si>
    <t>-551.762562693645 -133.97423721235 307.14235364738</t>
  </si>
  <si>
    <t>-607.015473820148 -145.408035028795 751.427692532918</t>
  </si>
  <si>
    <t>-473.386996478112 -187.090970925494 825.544317705057</t>
  </si>
  <si>
    <t>9763-20170724T104407.553950000.bin</t>
  </si>
  <si>
    <t>-655.333430167868 128.912578536637 -532.681148060228</t>
  </si>
  <si>
    <t>-694.916819408074 144.928565778684 -241.531953817318</t>
  </si>
  <si>
    <t>-463.273179010693 207.772439480208 -220.490522280731</t>
  </si>
  <si>
    <t>-608.879455220842 66.6631140524307 -99.6822609583758</t>
  </si>
  <si>
    <t>-627.188299618816 78.9545135509693 303.267324053847</t>
  </si>
  <si>
    <t>-700.344886092296 102.711353503972 744.477674487857</t>
  </si>
  <si>
    <t>-555.807037924313 126.706766543768 804.646749832276</t>
  </si>
  <si>
    <t>-551.967520928099 -133.85216177412 307.116845243774</t>
  </si>
  <si>
    <t>-607.014467151807 -145.514622124849 751.45165635915</t>
  </si>
  <si>
    <t>-473.362947671878 -187.18536588647 825.533426199775</t>
  </si>
  <si>
    <t>9763-20170724T104407.586034000.bin</t>
  </si>
  <si>
    <t>-656.386593843839 128.267275782052 -532.761649927753</t>
  </si>
  <si>
    <t>-694.38318869159 145.363688610239 -241.462500129898</t>
  </si>
  <si>
    <t>-462.436492804377 207.690895353823 -222.307843658905</t>
  </si>
  <si>
    <t>-609.242881350953 66.490149181994 -99.7539819248768</t>
  </si>
  <si>
    <t>-627.318459113308 78.8705805916886 303.203422609378</t>
  </si>
  <si>
    <t>-700.358489841077 102.737298841921 744.440465017156</t>
  </si>
  <si>
    <t>-555.81436968938 126.681436144584 804.614956205903</t>
  </si>
  <si>
    <t>-552.069967187455 -133.934465986596 307.111743346156</t>
  </si>
  <si>
    <t>-607.022606378832 -145.659509508491 751.46587845589</t>
  </si>
  <si>
    <t>-473.27790100515 -187.07640679355 825.521931739884</t>
  </si>
  <si>
    <t>9763-20170724T104407.654899100.bin</t>
  </si>
  <si>
    <t>-657.777614384015 127.660025121713 -532.895786826272</t>
  </si>
  <si>
    <t>-692.772353111955 147.666044489922 -241.405893583536</t>
  </si>
  <si>
    <t>-460.146517273453 208.457678343588 -225.899006194241</t>
  </si>
  <si>
    <t>-609.810312960858 66.2940122356654 -99.868958295859</t>
  </si>
  <si>
    <t>-627.69184099627 78.8266395230862 303.092367599274</t>
  </si>
  <si>
    <t>-700.384982113898 102.831661628582 744.375163463871</t>
  </si>
  <si>
    <t>-555.857172735916 126.827134676869 804.568401995075</t>
  </si>
  <si>
    <t>-552.381636679966 -133.897416471093 307.113115618841</t>
  </si>
  <si>
    <t>-607.028798454615 -145.532531020433 751.489050129372</t>
  </si>
  <si>
    <t>-473.328037747556 -187.14781143849 825.513084580819</t>
  </si>
  <si>
    <t>9763-20170724T104407.687986900.bin</t>
  </si>
  <si>
    <t>-658.238593478531 127.571789248217 -532.914545932484</t>
  </si>
  <si>
    <t>-691.839108818657 148.835691098834 -241.349641014543</t>
  </si>
  <si>
    <t>-458.970208957999 209.041890753138 -227.272583761551</t>
  </si>
  <si>
    <t>-610.070458011277 66.251178403759 -99.9295654054378</t>
  </si>
  <si>
    <t>-627.906485423825 78.8625745316413 303.031302192845</t>
  </si>
  <si>
    <t>-700.384569472891 102.861080856306 744.345672466605</t>
  </si>
  <si>
    <t>-555.848297656545 126.740291671848 804.564912299448</t>
  </si>
  <si>
    <t>-552.601996924166 -133.998649331024 307.105631692215</t>
  </si>
  <si>
    <t>-607.043322864139 -145.746380743469 751.514777720429</t>
  </si>
  <si>
    <t>-473.271880667263 -187.188485310578 825.508382999593</t>
  </si>
  <si>
    <t>9763-20170724T104407.750045800.bin</t>
  </si>
  <si>
    <t>-658.73541056175 127.77215329473 -532.979173551655</t>
  </si>
  <si>
    <t>-690.297576641206 150.538040496008 -241.30003504129</t>
  </si>
  <si>
    <t>-457.150514091863 210.137952779092 -229.419723334833</t>
  </si>
  <si>
    <t>-610.623782101858 66.3688294311394 -100.032596184469</t>
  </si>
  <si>
    <t>-628.234790544138 78.9876306896854 302.937944185535</t>
  </si>
  <si>
    <t>-700.396068413271 102.93169500881 744.308803339849</t>
  </si>
  <si>
    <t>-555.865685102292 126.795768695269 804.548304901635</t>
  </si>
  <si>
    <t>-553.168128511564 -134.026830817886 307.080405952417</t>
  </si>
  <si>
    <t>-607.064947007755 -145.89122324516 751.552432339482</t>
  </si>
  <si>
    <t>-473.205302294195 -187.139566103019 825.494811050933</t>
  </si>
  <si>
    <t>9763-20170724T104407.786146400.bin</t>
  </si>
  <si>
    <t>-658.948289642668 127.861245074985 -533.047463013419</t>
  </si>
  <si>
    <t>-689.993681410502 151.208966603238 -241.358799782529</t>
  </si>
  <si>
    <t>-456.794554525029 210.704963235549 -229.989709578662</t>
  </si>
  <si>
    <t>-610.85538603208 66.413871667695 -100.064517648428</t>
  </si>
  <si>
    <t>-628.327004017541 79.0211985255175 302.912489583735</t>
  </si>
  <si>
    <t>-700.409951346776 102.959284628316 744.298008068602</t>
  </si>
  <si>
    <t>-555.860718548962 126.711953874736 804.536034993554</t>
  </si>
  <si>
    <t>-553.424258117291 -134.007283755514 307.046054072755</t>
  </si>
  <si>
    <t>-607.058528739036 -145.880171597984 751.549853558135</t>
  </si>
  <si>
    <t>-473.235577497923 -187.245413839221 825.493330855198</t>
  </si>
  <si>
    <t>9763-20170724T104407.853329900.bin</t>
  </si>
  <si>
    <t>-659.415657995574 127.91082968271 -533.161243596754</t>
  </si>
  <si>
    <t>-689.848126788957 152.326909287267 -241.495519979938</t>
  </si>
  <si>
    <t>-456.550645944506 211.460517866452 -230.254197278318</t>
  </si>
  <si>
    <t>-611.243794429718 66.4796924157811 -100.110099851574</t>
  </si>
  <si>
    <t>-628.590862401822 79.1035057163554 302.871805135411</t>
  </si>
  <si>
    <t>-700.419119031985 102.943400434413 744.290896584313</t>
  </si>
  <si>
    <t>-555.820245030021 126.39879609158 804.52648897895</t>
  </si>
  <si>
    <t>-553.832818219094 -133.968528247025 306.994689144554</t>
  </si>
  <si>
    <t>-607.035965839197 -145.745538564402 751.541670123507</t>
  </si>
  <si>
    <t>-473.300977484586 -187.374739981836 825.496218879607</t>
  </si>
  <si>
    <t>9763-20170724T104407.885415900.bin</t>
  </si>
  <si>
    <t>-659.684713668439 127.975855327638 -533.149764109177</t>
  </si>
  <si>
    <t>-689.773854083355 152.633109253793 -241.468691559414</t>
  </si>
  <si>
    <t>-456.510218416082 211.913155872738 -230.296227649602</t>
  </si>
  <si>
    <t>-611.338817626232 66.4965077327502 -100.118980486321</t>
  </si>
  <si>
    <t>-628.721349234973 79.1543810102542 302.860338770454</t>
  </si>
  <si>
    <t>-700.429372489394 102.98154982735 744.299678049639</t>
  </si>
  <si>
    <t>-555.839487320738 126.504529080198 804.530410508864</t>
  </si>
  <si>
    <t>-554.009142854645 -134.016313451048 306.981612653258</t>
  </si>
  <si>
    <t>-607.048133301308 -145.932119509248 751.558318438143</t>
  </si>
  <si>
    <t>-473.263675519367 -187.428704648046 825.497834571691</t>
  </si>
  <si>
    <t>9763-20170724T104407.953214300.bin</t>
  </si>
  <si>
    <t>-660.204292646242 127.966539698586 -533.162415330733</t>
  </si>
  <si>
    <t>-689.030323165402 153.690284625809 -241.445949850367</t>
  </si>
  <si>
    <t>-455.608748761412 212.494292754319 -231.08575296403</t>
  </si>
  <si>
    <t>-611.628772217781 66.6618396400308 -100.11667248665</t>
  </si>
  <si>
    <t>-629.033193275161 79.3137502307766 302.861846667852</t>
  </si>
  <si>
    <t>-700.454841868824 103.070847381731 744.344900902463</t>
  </si>
  <si>
    <t>-555.933740604607 127.045202786009 804.56281777644</t>
  </si>
  <si>
    <t>-554.312053050813 -134.066083822493 306.977895083989</t>
  </si>
  <si>
    <t>-607.080454333547 -146.12273348139 751.591538429412</t>
  </si>
  <si>
    <t>-473.190845912371 -187.370733436586 825.479741595682</t>
  </si>
  <si>
    <t>9763-20170724T104407.985299700.bin</t>
  </si>
  <si>
    <t>-660.473408297306 128.000684379857 -533.179503353036</t>
  </si>
  <si>
    <t>-688.496265742099 154.135514209494 -241.421231743122</t>
  </si>
  <si>
    <t>-455.010768115051 212.803438563165 -231.750514297762</t>
  </si>
  <si>
    <t>-611.77095392783 66.7454456790681 -100.117349657296</t>
  </si>
  <si>
    <t>-629.185465343898 79.3842322701685 302.86117046878</t>
  </si>
  <si>
    <t>-700.439577496061 103.040369311057 744.377917205581</t>
  </si>
  <si>
    <t>-555.865967943372 126.650003345351 804.613742723071</t>
  </si>
  <si>
    <t>-554.457492509724 -134.036359557245 306.978769301344</t>
  </si>
  <si>
    <t>-607.082012808256 -146.155290481133 751.594877115715</t>
  </si>
  <si>
    <t>-473.215161217402 -187.484925597285 825.478678758943</t>
  </si>
  <si>
    <t>9763-20170724T104408.050479900.bin</t>
  </si>
  <si>
    <t>-660.880535006129 128.202271403189 -533.279672838954</t>
  </si>
  <si>
    <t>-686.52879170225 155.81699072699 -241.43927066688</t>
  </si>
  <si>
    <t>-452.75938010517 213.629541633997 -233.666306390921</t>
  </si>
  <si>
    <t>-611.987079039543 67.0690635012288 -100.118369931684</t>
  </si>
  <si>
    <t>-629.410390942575 79.6488158342768 302.861532318282</t>
  </si>
  <si>
    <t>-700.459217449591 103.172492765346 744.440431879944</t>
  </si>
  <si>
    <t>-555.953481878078 127.154572687755 804.691983826276</t>
  </si>
  <si>
    <t>-554.721863347016 -133.915404516903 306.954509004663</t>
  </si>
  <si>
    <t>-607.08183788262 -146.211394324386 751.598035157791</t>
  </si>
  <si>
    <t>-473.221695287758 -187.572115483589 825.476686687495</t>
  </si>
  <si>
    <t>9763-20170724T104408.086576300.bin</t>
  </si>
  <si>
    <t>-660.81496921341 128.323168623698 -533.338552767077</t>
  </si>
  <si>
    <t>-684.864510918177 157.127826707051 -241.47725380848</t>
  </si>
  <si>
    <t>-450.835055059355 214.072448780164 -235.282620211365</t>
  </si>
  <si>
    <t>-611.989530967069 67.1764421297187 -100.099646082915</t>
  </si>
  <si>
    <t>-629.467550676189 79.7584972171396 302.877835237561</t>
  </si>
  <si>
    <t>-700.4540428648 103.164448354695 744.469289838774</t>
  </si>
  <si>
    <t>-555.910562499947 126.906202694387 804.725592128875</t>
  </si>
  <si>
    <t>-554.806703881205 -133.844293090779 306.946268516607</t>
  </si>
  <si>
    <t>-607.078426314199 -146.234031703552 751.596406770462</t>
  </si>
  <si>
    <t>-473.26279316382 -187.725519349698 825.482310582831</t>
  </si>
  <si>
    <t>9763-20170724T104408.148746600.bin</t>
  </si>
  <si>
    <t>-660.151561096915 128.427682803135 -533.577124892223</t>
  </si>
  <si>
    <t>-680.154689081385 160.289587992685 -241.728053638174</t>
  </si>
  <si>
    <t>-445.482678352972 214.794979498697 -238.71213360312</t>
  </si>
  <si>
    <t>-611.907000118985 67.410355202918 -100.075862242637</t>
  </si>
  <si>
    <t>-629.397741487176 79.8997652996002 302.903958729371</t>
  </si>
  <si>
    <t>-700.466787395367 103.217782595463 744.50708058558</t>
  </si>
  <si>
    <t>-555.944420176101 127.134836731918 804.744537976241</t>
  </si>
  <si>
    <t>-555.100447789895 -133.650670648099 306.934272909624</t>
  </si>
  <si>
    <t>-607.048767699809 -145.89841198194 751.584634311426</t>
  </si>
  <si>
    <t>-473.373836341226 -187.780652214666 825.504821437521</t>
  </si>
  <si>
    <t>9763-20170724T104408.187849400.bin</t>
  </si>
  <si>
    <t>-659.543229113745 128.291778600851 -533.815478609249</t>
  </si>
  <si>
    <t>-677.965526018697 161.684688602128 -242.033607038132</t>
  </si>
  <si>
    <t>-442.95444449268 214.744779961206 -239.730882218265</t>
  </si>
  <si>
    <t>-611.677215641732 67.3558423723705 -100.057696837657</t>
  </si>
  <si>
    <t>-629.162347825258 79.6851669625805 302.927363440552</t>
  </si>
  <si>
    <t>-700.471716522119 103.212774072074 744.503366021323</t>
  </si>
  <si>
    <t>-555.934858889199 127.086613838695 804.723147955658</t>
  </si>
  <si>
    <t>-555.187642133143 -133.637993215527 306.92448664327</t>
  </si>
  <si>
    <t>-607.021463353554 -145.834488167757 751.567954330365</t>
  </si>
  <si>
    <t>-473.407568926975 -187.848863652589 825.523506880342</t>
  </si>
  <si>
    <t>9763-20170724T104408.249025700.bin</t>
  </si>
  <si>
    <t>-658.079035453571 127.983095820549 -534.380574724546</t>
  </si>
  <si>
    <t>-675.004973305188 163.560322973406 -242.766137317934</t>
  </si>
  <si>
    <t>-439.596138580831 214.815213494459 -240.211361059711</t>
  </si>
  <si>
    <t>-611.17588037597 67.1466028151679 -100.046586862379</t>
  </si>
  <si>
    <t>-628.624374122666 79.2407297146424 302.947211213296</t>
  </si>
  <si>
    <t>-700.427118224955 102.975954683634 744.472813117826</t>
  </si>
  <si>
    <t>-555.780522870556 126.271351956829 804.655864764787</t>
  </si>
  <si>
    <t>-555.214168809185 -133.779648336697 306.87126324881</t>
  </si>
  <si>
    <t>-606.964464455965 -145.780935403503 751.500670560712</t>
  </si>
  <si>
    <t>-473.400392025587 -187.792704001522 825.547535527638</t>
  </si>
  <si>
    <t>9763-20170724T104408.287125300.bin</t>
  </si>
  <si>
    <t>-657.349158447654 128.085399714808 -534.555559834884</t>
  </si>
  <si>
    <t>-674.316871764972 164.036158723972 -242.989345571715</t>
  </si>
  <si>
    <t>-438.855936747468 215.032880390651 -240.107773458083</t>
  </si>
  <si>
    <t>-610.946588236823 67.1985929922694 -100.048048499034</t>
  </si>
  <si>
    <t>-628.384532934635 79.2117426441885 302.948518521063</t>
  </si>
  <si>
    <t>-700.417033137767 102.937424872834 744.448728359809</t>
  </si>
  <si>
    <t>-555.742182129249 126.09513463921 804.616808033676</t>
  </si>
  <si>
    <t>-555.151751633368 -133.732929642094 306.856945427175</t>
  </si>
  <si>
    <t>-606.949819018498 -145.762484042465 751.482717556952</t>
  </si>
  <si>
    <t>-473.52991521621 -188.157864210783 825.570889611307</t>
  </si>
  <si>
    <t>9763-20170724T104408.356899400.bin</t>
  </si>
  <si>
    <t>-656.026209633889 128.467686282044 -534.725480970226</t>
  </si>
  <si>
    <t>-673.111531389618 164.934123488483 -243.230302772931</t>
  </si>
  <si>
    <t>-437.526974666817 215.319748027699 -239.753250870706</t>
  </si>
  <si>
    <t>-610.5653014853 67.4390880148032 -100.031565719389</t>
  </si>
  <si>
    <t>-628.228088972909 79.2723911492092 302.960570587499</t>
  </si>
  <si>
    <t>-700.406245188099 102.946087800306 744.427185852161</t>
  </si>
  <si>
    <t>-555.729873658975 126.151944488269 804.573140226308</t>
  </si>
  <si>
    <t>-555.128175872755 -133.731536511719 306.847229488234</t>
  </si>
  <si>
    <t>-606.950522701558 -145.8957352978 751.452654918873</t>
  </si>
  <si>
    <t>-473.47535307636 -188.072968400008 825.565807132153</t>
  </si>
  <si>
    <t>9763-20170724T104408.384974800.bin</t>
  </si>
  <si>
    <t>-655.557460419932 128.578481977399 -534.790016388584</t>
  </si>
  <si>
    <t>-672.33822777113 165.221350389611 -243.29915739161</t>
  </si>
  <si>
    <t>-436.727738330598 215.487545321233 -239.851007935743</t>
  </si>
  <si>
    <t>-610.452996017672 67.5267407960937 -100.032314868317</t>
  </si>
  <si>
    <t>-628.223561702532 79.3640087502092 302.954999095467</t>
  </si>
  <si>
    <t>-700.405041520543 102.997680862667 744.420500685195</t>
  </si>
  <si>
    <t>-555.738691110982 126.266371453028 804.566233484495</t>
  </si>
  <si>
    <t>-555.123332126562 -133.712547652415 306.826375693961</t>
  </si>
  <si>
    <t>-606.939752970563 -145.794732502482 751.431485722773</t>
  </si>
  <si>
    <t>-473.451826634469 -187.901924395868 825.561426131329</t>
  </si>
  <si>
    <t>9763-20170724T104408.453737300.bin</t>
  </si>
  <si>
    <t>-654.688843361733 128.644291451392 -534.885264417124</t>
  </si>
  <si>
    <t>-670.292526567261 165.772277073261 -243.390319839262</t>
  </si>
  <si>
    <t>-434.612843263452 215.72738794716 -240.154598584188</t>
  </si>
  <si>
    <t>-610.329009358031 67.6533809646853 -100.028131625542</t>
  </si>
  <si>
    <t>-628.250017143861 79.5562567029967 302.950558320975</t>
  </si>
  <si>
    <t>-700.396377243177 103.083189405321 744.417904300905</t>
  </si>
  <si>
    <t>-555.72911150019 126.3341495812 804.568329567944</t>
  </si>
  <si>
    <t>-554.922426275706 -133.642753795552 306.790527506026</t>
  </si>
  <si>
    <t>-606.937425372299 -145.869974267493 751.396281407686</t>
  </si>
  <si>
    <t>-473.510817234281 -188.113263808899 825.559213903378</t>
  </si>
  <si>
    <t>9763-20170724T104408.486825800.bin</t>
  </si>
  <si>
    <t>-654.234396904217 128.716239412542 -534.892637094298</t>
  </si>
  <si>
    <t>-669.305556505483 166.217651626923 -243.417596784661</t>
  </si>
  <si>
    <t>-433.587486082633 216.005805327678 -240.421548496969</t>
  </si>
  <si>
    <t>-610.397072354957 67.7330697192931 -100.02763762347</t>
  </si>
  <si>
    <t>-628.342269850247 79.6543105044286 302.949494341602</t>
  </si>
  <si>
    <t>-700.405881400064 103.172680164391 744.419365896707</t>
  </si>
  <si>
    <t>-555.785869134549 126.727168714056 804.565300149422</t>
  </si>
  <si>
    <t>-554.890907573494 -133.695678499792 306.790351629784</t>
  </si>
  <si>
    <t>-606.943799765186 -145.997114783247 751.391406515082</t>
  </si>
  <si>
    <t>-473.340594007126 -187.701085621407 825.541691710656</t>
  </si>
  <si>
    <t>9763-20170724T104408.551590700.bin</t>
  </si>
  <si>
    <t>-653.342917002316 129.027488475785 -534.879947621111</t>
  </si>
  <si>
    <t>-666.964259579313 167.58252709836 -243.471025641744</t>
  </si>
  <si>
    <t>-431.141368772308 216.880071843639 -240.611936588744</t>
  </si>
  <si>
    <t>-610.457163693943 67.9285454705259 -100.040389823223</t>
  </si>
  <si>
    <t>-628.526938901811 79.9049314393496 302.929485763016</t>
  </si>
  <si>
    <t>-700.394907404609 103.267257346023 744.434344050466</t>
  </si>
  <si>
    <t>-555.776646400007 126.79152294015 804.596197224048</t>
  </si>
  <si>
    <t>-554.913593388527 -133.511465760393 306.777544792528</t>
  </si>
  <si>
    <t>-606.94709104266 -145.786037260589 751.38556683843</t>
  </si>
  <si>
    <t>-473.558929152456 -188.135939243537 825.556721726909</t>
  </si>
  <si>
    <t>9763-20170724T104408.587685600.bin</t>
  </si>
  <si>
    <t>-652.963049805178 129.194213354357 -534.86466887566</t>
  </si>
  <si>
    <t>-665.672767489704 168.3311254208 -243.492031652644</t>
  </si>
  <si>
    <t>-429.763760219091 217.227529756317 -240.849261795889</t>
  </si>
  <si>
    <t>-610.464859539325 68.0414788151381 -100.047581838118</t>
  </si>
  <si>
    <t>-628.644699377623 80.0605519271605 302.916056186066</t>
  </si>
  <si>
    <t>-700.394596635809 103.331166648031 744.440859889777</t>
  </si>
  <si>
    <t>-555.783085651828 126.877374365775 804.61066431654</t>
  </si>
  <si>
    <t>-555.034103008135 -133.468991514737 306.769661412469</t>
  </si>
  <si>
    <t>-606.956381469756 -145.801700621181 751.387174932238</t>
  </si>
  <si>
    <t>-473.521550918629 -188.026378066998 825.545971408775</t>
  </si>
  <si>
    <t>9763-20170724T104408.653459300.bin</t>
  </si>
  <si>
    <t>-652.293230118171 129.62992261583 -534.845928400354</t>
  </si>
  <si>
    <t>-663.100916984637 169.761045814212 -243.531890093323</t>
  </si>
  <si>
    <t>-427.011245337874 217.823265351891 -241.925704591566</t>
  </si>
  <si>
    <t>-610.412140025398 68.2970006961468 -100.041427736703</t>
  </si>
  <si>
    <t>-628.788793096021 80.3390442942457 302.91264311888</t>
  </si>
  <si>
    <t>-700.386129196627 103.402820683998 744.465205913626</t>
  </si>
  <si>
    <t>-555.766672486872 126.867491720296 804.647631673978</t>
  </si>
  <si>
    <t>-555.305400707243 -133.431942814145 306.742559887781</t>
  </si>
  <si>
    <t>-606.98428610897 -145.799160376019 751.401986083359</t>
  </si>
  <si>
    <t>-473.639071510815 -188.329232889376 825.547345460741</t>
  </si>
  <si>
    <t>9763-20170724T104408.688556700.bin</t>
  </si>
  <si>
    <t>-652.037090902871 129.690079449927 -534.847550057266</t>
  </si>
  <si>
    <t>-661.774903055844 170.180779604298 -243.545463168021</t>
  </si>
  <si>
    <t>-425.609492526164 217.885634159196 -242.536408484377</t>
  </si>
  <si>
    <t>-610.400541239209 68.3464619526746 -100.037725605074</t>
  </si>
  <si>
    <t>-628.783378733437 80.3981327308472 302.915776513676</t>
  </si>
  <si>
    <t>-700.385698375459 103.432449841115 744.473340953215</t>
  </si>
  <si>
    <t>-555.762203513304 126.872978006407 804.655447540872</t>
  </si>
  <si>
    <t>-555.359895616064 -133.563668628504 306.74065437623</t>
  </si>
  <si>
    <t>-606.994625453325 -145.943608592309 751.405293304949</t>
  </si>
  <si>
    <t>-473.509570026977 -188.058542285889 825.536070930774</t>
  </si>
  <si>
    <t>9763-20170724T104408.752285600.bin</t>
  </si>
  <si>
    <t>-651.348013657317 129.676382866375 -534.754732935285</t>
  </si>
  <si>
    <t>-658.880418176937 171.000827441174 -243.504366244924</t>
  </si>
  <si>
    <t>-422.563801779498 217.961707663473 -243.677364748227</t>
  </si>
  <si>
    <t>-610.190983734343 68.2605235996186 -100.002019430762</t>
  </si>
  <si>
    <t>-628.575933866898 80.2575579336506 302.953012486155</t>
  </si>
  <si>
    <t>-700.376114075702 103.425898168266 744.482199764252</t>
  </si>
  <si>
    <t>-555.720753335493 126.696294489732 804.653703882893</t>
  </si>
  <si>
    <t>-555.417096640559 -133.651874706004 306.738391916036</t>
  </si>
  <si>
    <t>-607.001963234674 -146.097646580974 751.410730468472</t>
  </si>
  <si>
    <t>-473.576722005453 -188.379566617434 825.554096802998</t>
  </si>
  <si>
    <t>9763-20170724T104408.785373100.bin</t>
  </si>
  <si>
    <t>-651.016184535294 129.670805227221 -534.701191328519</t>
  </si>
  <si>
    <t>-657.540701384063 171.399534824987 -243.484182830816</t>
  </si>
  <si>
    <t>-421.153364687289 217.997497631424 -244.201829888461</t>
  </si>
  <si>
    <t>-610.0429071894 68.2023280396431 -99.972295272778</t>
  </si>
  <si>
    <t>-628.466569609234 80.1770947051468 302.981578421403</t>
  </si>
  <si>
    <t>-700.376399005113 103.453976397067 744.486396242569</t>
  </si>
  <si>
    <t>-555.710800860439 126.679545129662 804.650660842515</t>
  </si>
  <si>
    <t>-555.405499749335 -133.768613319967 306.740408905064</t>
  </si>
  <si>
    <t>-607.003006155291 -146.211724851254 751.40959619804</t>
  </si>
  <si>
    <t>-473.477013296582 -188.179896826013 825.54980469489</t>
  </si>
  <si>
    <t>9763-20170724T104408.853584400.bin</t>
  </si>
  <si>
    <t>-650.450177170261 129.890535345478 -534.571773960318</t>
  </si>
  <si>
    <t>-655.346839144318 172.215428310335 -243.408850687106</t>
  </si>
  <si>
    <t>-418.851993887222 218.240535975888 -245.067572205638</t>
  </si>
  <si>
    <t>-609.641611260651 68.0806567835837 -99.9039906208858</t>
  </si>
  <si>
    <t>-628.19107691687 80.0676306491027 303.04377881883</t>
  </si>
  <si>
    <t>-700.361753520211 103.44765387836 744.498417318316</t>
  </si>
  <si>
    <t>-555.675354160433 126.563334698647 804.654947185531</t>
  </si>
  <si>
    <t>-555.362053861186 -133.885125978807 306.748332911748</t>
  </si>
  <si>
    <t>-607.002325692398 -146.204894589676 751.402433716837</t>
  </si>
  <si>
    <t>-473.513066371058 -188.257162482994 825.56122847744</t>
  </si>
  <si>
    <t>9763-20170724T104408.883663800.bin</t>
  </si>
  <si>
    <t>-650.209810739409 129.992890578526 -534.51437240868</t>
  </si>
  <si>
    <t>-654.481265380536 172.506709908057 -243.369110495939</t>
  </si>
  <si>
    <t>-417.955363582351 218.360254210329 -245.325172436515</t>
  </si>
  <si>
    <t>-609.434069091243 68.0201100280826 -99.8702389740222</t>
  </si>
  <si>
    <t>-628.016190977047 79.9781208734382 303.076873892812</t>
  </si>
  <si>
    <t>-700.360309222996 103.469999289973 744.499318069372</t>
  </si>
  <si>
    <t>-555.702409442018 126.789790385133 804.645641215615</t>
  </si>
  <si>
    <t>-555.379500411772 -133.91943183745 306.738294990268</t>
  </si>
  <si>
    <t>-606.997678830643 -146.133577588736 751.395872181886</t>
  </si>
  <si>
    <t>-473.596937439229 -188.434170750171 825.572686007568</t>
  </si>
  <si>
    <t>9763-20170724T104408.955813500.bin</t>
  </si>
  <si>
    <t>-649.965137195891 130.257342711931 -534.418437276864</t>
  </si>
  <si>
    <t>-653.240216079899 172.87903959233 -243.276047464662</t>
  </si>
  <si>
    <t>-416.677701696798 218.514793690988 -245.815274650077</t>
  </si>
  <si>
    <t>-609.222959448676 68.0424750887769 -99.8295335476002</t>
  </si>
  <si>
    <t>-627.798391206165 79.8793072901813 303.121525599301</t>
  </si>
  <si>
    <t>-700.336621542742 103.422185299391 744.504751035194</t>
  </si>
  <si>
    <t>-555.600157128764 126.264184678174 804.645384603866</t>
  </si>
  <si>
    <t>-555.328237207728 -133.827338010657 306.725580650959</t>
  </si>
  <si>
    <t>-606.985037261551 -145.885075163217 751.384514896703</t>
  </si>
  <si>
    <t>-473.784537128628 -188.761191129239 825.590792566727</t>
  </si>
  <si>
    <t>9763-20170724T104408.986894900.bin</t>
  </si>
  <si>
    <t>-649.874860800573 130.317237627209 -534.383345048369</t>
  </si>
  <si>
    <t>-652.615662601448 172.962972401322 -243.239073679702</t>
  </si>
  <si>
    <t>-416.04002471349 218.512780582829 -246.079059671779</t>
  </si>
  <si>
    <t>-609.13490770004 68.0288475155021 -99.8155998866802</t>
  </si>
  <si>
    <t>-627.775885794195 79.861331280073 303.13247979569</t>
  </si>
  <si>
    <t>-700.336706129566 103.461208605319 744.512109664651</t>
  </si>
  <si>
    <t>-555.633578843825 126.533968038794 804.644826953422</t>
  </si>
  <si>
    <t>-555.269879813969 -133.955368128697 306.726056090886</t>
  </si>
  <si>
    <t>-607.0064401905 -146.146654587892 751.386555072125</t>
  </si>
  <si>
    <t>-473.618735753206 -188.473169359084 825.571961840886</t>
  </si>
  <si>
    <t>9763-20170724T104409.051070900.bin</t>
  </si>
  <si>
    <t>-649.684883502059 130.400532165964 -534.354018389313</t>
  </si>
  <si>
    <t>-651.503873971582 173.338032713498 -243.245292424693</t>
  </si>
  <si>
    <t>-414.902458492932 218.717449739076 -246.61265229882</t>
  </si>
  <si>
    <t>-609.02973685495 68.0078117285502 -99.7970130404935</t>
  </si>
  <si>
    <t>-627.791895965502 79.9105123148909 303.143445823265</t>
  </si>
  <si>
    <t>-700.324502575309 103.490916242947 744.532133535315</t>
  </si>
  <si>
    <t>-555.611116162751 126.513159654978 804.65968903945</t>
  </si>
  <si>
    <t>-555.221461296684 -133.998573667921 306.733971651538</t>
  </si>
  <si>
    <t>-607.007724137284 -146.110122186566 751.37647578604</t>
  </si>
  <si>
    <t>-473.629587171563 -188.448098396254 825.57256897428</t>
  </si>
  <si>
    <t>9763-20170724T104409.089173000.bin</t>
  </si>
  <si>
    <t>-649.574166447357 130.479948679694 -534.348340821158</t>
  </si>
  <si>
    <t>-651.031768373596 173.592208930476 -243.263473264406</t>
  </si>
  <si>
    <t>-414.436571082102 218.984348345142 -246.892882846032</t>
  </si>
  <si>
    <t>-609.077778503108 68.0658187400147 -99.7988275050679</t>
  </si>
  <si>
    <t>-627.840835885649 79.9235000205263 303.142822857737</t>
  </si>
  <si>
    <t>-700.325378866957 103.530678334802 744.539142886352</t>
  </si>
  <si>
    <t>-555.621204801826 126.61823636988 804.663726736904</t>
  </si>
  <si>
    <t>-555.243460074441 -133.998668284672 306.728450323495</t>
  </si>
  <si>
    <t>-607.011375986687 -146.118754342531 751.372881414638</t>
  </si>
  <si>
    <t>-473.628013310072 -188.436686565473 825.571011671011</t>
  </si>
  <si>
    <t>9763-20170724T104409.149338700.bin</t>
  </si>
  <si>
    <t>-649.464972854273 130.672942389348 -534.392666798014</t>
  </si>
  <si>
    <t>-650.261408425986 174.114774764328 -243.354220260824</t>
  </si>
  <si>
    <t>-413.696120717718 219.621801035915 -247.455664649975</t>
  </si>
  <si>
    <t>-609.044058691259 68.1461894489451 -99.792865288948</t>
  </si>
  <si>
    <t>-627.853987453066 79.9703973285775 303.147635691468</t>
  </si>
  <si>
    <t>-700.316554454456 103.593484319546 744.546953618351</t>
  </si>
  <si>
    <t>-555.592163309221 126.540706708862 804.676494379314</t>
  </si>
  <si>
    <t>-555.343854149019 -133.928256432262 306.712400983455</t>
  </si>
  <si>
    <t>-607.002643914675 -146.036542944288 751.358167945081</t>
  </si>
  <si>
    <t>-473.697623025808 -188.561662210589 825.578671290294</t>
  </si>
  <si>
    <t>9763-20170724T104409.186437200.bin</t>
  </si>
  <si>
    <t>-649.520822020394 130.535557402499 -534.467878802673</t>
  </si>
  <si>
    <t>-650.010343832434 174.186581502922 -243.460047345172</t>
  </si>
  <si>
    <t>-413.439522244963 219.654427343193 -247.678266895886</t>
  </si>
  <si>
    <t>-608.998367446638 68.1642127713628 -99.7853106224256</t>
  </si>
  <si>
    <t>-627.82859435197 79.959485137975 303.155078740702</t>
  </si>
  <si>
    <t>-700.308476710087 103.60331955502 744.550677057403</t>
  </si>
  <si>
    <t>-555.586366627636 126.564877133188 804.680356114007</t>
  </si>
  <si>
    <t>-555.33121358144 -133.991953720966 306.70936012268</t>
  </si>
  <si>
    <t>-607.014767965552 -146.288635958871 751.358216680672</t>
  </si>
  <si>
    <t>-473.651015759916 -188.626736028836 825.580086031813</t>
  </si>
  <si>
    <t>9763-20170724T104409.252184800.bin</t>
  </si>
  <si>
    <t>-649.732662380145 130.276544954772 -534.663449835022</t>
  </si>
  <si>
    <t>-649.361686984328 174.35982129566 -243.720674746509</t>
  </si>
  <si>
    <t>-412.815647758776 219.92199681956 -248.296611395306</t>
  </si>
  <si>
    <t>-608.896434571862 68.3287622076352 -99.7955774102159</t>
  </si>
  <si>
    <t>-627.660056145218 80.0140104238926 303.151096316019</t>
  </si>
  <si>
    <t>-700.295295947652 103.628520537696 744.537803159114</t>
  </si>
  <si>
    <t>-555.585014770056 126.689593048245 804.657848936219</t>
  </si>
  <si>
    <t>-555.267337716971 -133.758087622794 306.727138087941</t>
  </si>
  <si>
    <t>-606.996442139272 -145.884152354536 751.354376139165</t>
  </si>
  <si>
    <t>-473.829933048068 -188.798724426895 825.599304869099</t>
  </si>
  <si>
    <t>9763-20170724T104409.285271600.bin</t>
  </si>
  <si>
    <t>-649.838516362163 130.035437511593 -534.762606301063</t>
  </si>
  <si>
    <t>-649.108651726319 174.284557197446 -243.845583881441</t>
  </si>
  <si>
    <t>-412.580136961238 219.909064453312 -248.695871271006</t>
  </si>
  <si>
    <t>-608.852642068946 68.3471559584141 -99.8185107296607</t>
  </si>
  <si>
    <t>-627.547731665969 79.9568855835369 303.133598771673</t>
  </si>
  <si>
    <t>-700.280568693051 103.603742877484 744.520108434746</t>
  </si>
  <si>
    <t>-555.513403128985 126.287638173117 804.646755716502</t>
  </si>
  <si>
    <t>-555.226674108835 -133.818117169878 306.749969440526</t>
  </si>
  <si>
    <t>-607.014370154953 -146.109066367548 751.367365926134</t>
  </si>
  <si>
    <t>-473.751568891787 -188.744648945935 825.600443046757</t>
  </si>
  <si>
    <t>9763-20170724T104409.355468100.bin</t>
  </si>
  <si>
    <t>-649.785952667879 129.69414862453 -534.93535115206</t>
  </si>
  <si>
    <t>-648.577993669156 174.230112819913 -244.063785288742</t>
  </si>
  <si>
    <t>-412.082250381715 219.967069794228 -249.427000857622</t>
  </si>
  <si>
    <t>-608.788508489643 68.2844933021449 -99.8735315073478</t>
  </si>
  <si>
    <t>-627.511676077712 79.9637881146148 303.075233973935</t>
  </si>
  <si>
    <t>-700.277535899291 103.681212286863 744.470323156356</t>
  </si>
  <si>
    <t>-555.5663184976 126.718504104795 804.597319815023</t>
  </si>
  <si>
    <t>-555.181638941931 -133.908285841129 306.762509679404</t>
  </si>
  <si>
    <t>-607.028049870475 -146.06763401402 751.370581908434</t>
  </si>
  <si>
    <t>-473.734023864434 -188.608583584316 825.601819386469</t>
  </si>
  <si>
    <t>9763-20170724T104409.420645600.bin</t>
  </si>
  <si>
    <t>-649.791043164591 129.450526216508 -534.99654773539</t>
  </si>
  <si>
    <t>-648.149640788199 174.365151312681 -244.185170486277</t>
  </si>
  <si>
    <t>-411.676489875782 220.181459172674 -249.85889644626</t>
  </si>
  <si>
    <t>-608.852442865093 68.1860499121474 -99.8969959278837</t>
  </si>
  <si>
    <t>-627.616168684705 79.9182883443755 303.048412124932</t>
  </si>
  <si>
    <t>-700.267514804479 103.701830561369 744.44280361893</t>
  </si>
  <si>
    <t>-555.535944361692 126.603249721063 804.572631314857</t>
  </si>
  <si>
    <t>-555.31470881967 -134.082608211433 306.759258039358</t>
  </si>
  <si>
    <t>-607.05536591177 -146.286209521411 751.385844988053</t>
  </si>
  <si>
    <t>-473.693182363684 -188.63263062531 825.605900934321</t>
  </si>
  <si>
    <t>9763-20170724T104409.493836200.bin</t>
  </si>
  <si>
    <t>-649.830861261843 129.434853824566 -534.983899671522</t>
  </si>
  <si>
    <t>-647.709360818258 174.614820992836 -244.2167909842</t>
  </si>
  <si>
    <t>-411.278489583707 220.593327683403 -250.321121999792</t>
  </si>
  <si>
    <t>-609.038103630115 68.1040955979515 -99.9134938417343</t>
  </si>
  <si>
    <t>-627.827175865328 79.9445358893568 303.027470445999</t>
  </si>
  <si>
    <t>-700.25875125836 103.786773432531 744.427457280447</t>
  </si>
  <si>
    <t>-555.576736162894 127.002713614044 804.555992749289</t>
  </si>
  <si>
    <t>-555.430691763866 -134.073350448712 306.740236891858</t>
  </si>
  <si>
    <t>-607.067946241576 -146.116033676462 751.390621798549</t>
  </si>
  <si>
    <t>-473.874456749505 -188.979432092265 825.616688412607</t>
  </si>
  <si>
    <t>9763-20170724T104409.554737400.bin</t>
  </si>
  <si>
    <t>-649.641078481597 129.203427148164 -534.900820879118</t>
  </si>
  <si>
    <t>-647.203991164115 174.491337519581 -244.153117225948</t>
  </si>
  <si>
    <t>-410.785986789322 220.517585599973 -250.399038990516</t>
  </si>
  <si>
    <t>-608.990628184616 67.8981545439099 -99.8939973628758</t>
  </si>
  <si>
    <t>-627.8815236689 79.8465488973659 303.039092441284</t>
  </si>
  <si>
    <t>-700.247976100654 103.790577828722 744.431332963478</t>
  </si>
  <si>
    <t>-555.537767635831 126.829518605929 804.560023703907</t>
  </si>
  <si>
    <t>-555.462957429551 -134.307250279045 306.764118616983</t>
  </si>
  <si>
    <t>-607.107593231396 -146.303001463272 751.42012187739</t>
  </si>
  <si>
    <t>-473.747256115559 -188.716462791254 825.605056595635</t>
  </si>
  <si>
    <t>9763-20170724T104409.584816400.bin</t>
  </si>
  <si>
    <t>-649.469631661039 129.121718035085 -534.890399579577</t>
  </si>
  <si>
    <t>-646.932042556768 174.404335922914 -244.14265743437</t>
  </si>
  <si>
    <t>-410.511936970164 220.418367374039 -250.396907066731</t>
  </si>
  <si>
    <t>-608.91199272317 67.8364697988527 -99.8797222129151</t>
  </si>
  <si>
    <t>-627.848900385724 79.8045823953812 303.050584207919</t>
  </si>
  <si>
    <t>-700.243776285723 103.802959085431 744.436298110334</t>
  </si>
  <si>
    <t>-555.550134423976 126.951702239927 804.562715393324</t>
  </si>
  <si>
    <t>-555.455255335115 -134.411607386275 306.777271197164</t>
  </si>
  <si>
    <t>-607.120891818244 -146.408332420718 751.432397874278</t>
  </si>
  <si>
    <t>-473.685736192577 -188.611659663337 825.602719539446</t>
  </si>
  <si>
    <t>9763-20170724T104409.653564400.bin</t>
  </si>
  <si>
    <t>-649.081827477028 129.10620571279 -534.835883367225</t>
  </si>
  <si>
    <t>-646.440976533641 174.354642009241 -244.083828491403</t>
  </si>
  <si>
    <t>-410.042247379597 220.453975810382 -250.517431545424</t>
  </si>
  <si>
    <t>-608.629165023135 67.7552610746855 -99.8493186364894</t>
  </si>
  <si>
    <t>-627.713204316336 79.7009227426261 303.074703251464</t>
  </si>
  <si>
    <t>-700.23016002017 103.821359459146 744.439909106047</t>
  </si>
  <si>
    <t>-555.5496791147 127.045522377983 804.568900717598</t>
  </si>
  <si>
    <t>-555.37918163608 -134.519632122378 306.794844202614</t>
  </si>
  <si>
    <t>-607.146599827129 -146.563521134314 751.451349325168</t>
  </si>
  <si>
    <t>-473.73030904963 -188.847959965325 825.609381277439</t>
  </si>
  <si>
    <t>9763-20170724T104409.687655800.bin</t>
  </si>
  <si>
    <t>-648.848260395147 129.058232297654 -534.826867911416</t>
  </si>
  <si>
    <t>-646.135220808897 174.333052162675 -244.079445740809</t>
  </si>
  <si>
    <t>-409.738122080013 220.434388815376 -250.556170666868</t>
  </si>
  <si>
    <t>-608.469894829217 67.7257938322255 -99.8442678976669</t>
  </si>
  <si>
    <t>-627.647086075213 79.659778986098 303.075718768107</t>
  </si>
  <si>
    <t>-700.214475895341 103.790309565774 744.435804538089</t>
  </si>
  <si>
    <t>-555.482144966458 126.668317913665 804.572591681177</t>
  </si>
  <si>
    <t>-555.277213114335 -134.618890966373 306.803784242706</t>
  </si>
  <si>
    <t>-607.152290944022 -146.561847513474 751.455417127211</t>
  </si>
  <si>
    <t>-473.674708402347 -188.670352903689 825.603221035596</t>
  </si>
  <si>
    <t>9763-20170724T104409.751927400.bin</t>
  </si>
  <si>
    <t>-648.308784600694 129.128892146342 -534.817509112189</t>
  </si>
  <si>
    <t>-645.462751073165 174.775899787193 -244.129637939301</t>
  </si>
  <si>
    <t>-409.051270295903 220.791459057957 -250.689931662364</t>
  </si>
  <si>
    <t>-608.091702811757 67.7826952493269 -99.8313811928767</t>
  </si>
  <si>
    <t>-627.443529877185 79.7156983193295 303.080314279507</t>
  </si>
  <si>
    <t>-700.211451180004 103.84879062294 744.417799647868</t>
  </si>
  <si>
    <t>-555.530269130015 127.057416265296 804.551116946567</t>
  </si>
  <si>
    <t>-555.060918750052 -134.568612066168 306.826704973151</t>
  </si>
  <si>
    <t>-607.150606792782 -146.421392364418 751.449592743943</t>
  </si>
  <si>
    <t>-473.781198574032 -188.852536280694 825.608212854423</t>
  </si>
  <si>
    <t>9763-20170724T104409.786018700.bin</t>
  </si>
  <si>
    <t>-647.999982865313 129.150625216578 -534.802438832359</t>
  </si>
  <si>
    <t>-645.110450101889 174.91189650209 -244.132927891659</t>
  </si>
  <si>
    <t>-408.696404960261 220.9073299857 -250.743891629527</t>
  </si>
  <si>
    <t>-607.897640375873 67.8214954998134 -99.8249364008649</t>
  </si>
  <si>
    <t>-627.334805679967 79.7223017103552 303.083562671509</t>
  </si>
  <si>
    <t>-700.22046442055 103.90440252072 744.403057421229</t>
  </si>
  <si>
    <t>-555.564476053303 127.285543425677 804.530088314574</t>
  </si>
  <si>
    <t>-554.962305751748 -134.621268762355 306.835968595018</t>
  </si>
  <si>
    <t>-607.159534504851 -146.597198778985 751.447804921058</t>
  </si>
  <si>
    <t>-473.770120765654 -188.958575089491 825.610380046239</t>
  </si>
  <si>
    <t>9763-20170724T104409.854204000.bin</t>
  </si>
  <si>
    <t>-647.340740195091 129.387793233497 -534.765530737038</t>
  </si>
  <si>
    <t>-644.476320040314 175.290895930966 -244.118031521598</t>
  </si>
  <si>
    <t>-408.079813244873 221.376305965684 -250.728746234978</t>
  </si>
  <si>
    <t>-607.56188818332 67.8839156996773 -99.7988498966153</t>
  </si>
  <si>
    <t>-627.113682240633 79.7435164801063 303.105313645445</t>
  </si>
  <si>
    <t>-700.20811060533 103.906145679271 744.379468045939</t>
  </si>
  <si>
    <t>-555.540550907813 127.228447507135 804.501586123033</t>
  </si>
  <si>
    <t>-554.775803022936 -134.620996417034 306.834515596796</t>
  </si>
  <si>
    <t>-607.152147958692 -146.5005077512 751.437252236419</t>
  </si>
  <si>
    <t>-473.832705985125 -189.05406709735 825.615528096254</t>
  </si>
  <si>
    <t>9763-20170724T104409.886289300.bin</t>
  </si>
  <si>
    <t>-647.081952381877 129.568941332531 -534.718027251472</t>
  </si>
  <si>
    <t>-644.19523365529 175.490356550195 -244.073709150997</t>
  </si>
  <si>
    <t>-407.823140284587 221.688823591572 -250.767336878224</t>
  </si>
  <si>
    <t>-607.40358085795 67.9377646838773 -99.7838256921794</t>
  </si>
  <si>
    <t>-627.038752891673 79.765257009062 303.117254067044</t>
  </si>
  <si>
    <t>-700.20443214962 103.905113373218 744.375126553495</t>
  </si>
  <si>
    <t>-555.496396434951 126.97809371605 804.495945181768</t>
  </si>
  <si>
    <t>-554.714643876633 -134.589836900185 306.836810571261</t>
  </si>
  <si>
    <t>-607.141917421175 -146.326145065124 751.426261848842</t>
  </si>
  <si>
    <t>-473.822763652609 -188.876588639465 825.606817976475</t>
  </si>
  <si>
    <t>9763-20170724T104409.952471400.bin</t>
  </si>
  <si>
    <t>-646.496420860911 129.980883726922 -534.604125467768</t>
  </si>
  <si>
    <t>-643.39201979636 176.054635768214 -243.986283069704</t>
  </si>
  <si>
    <t>-407.075043376811 222.503231542036 -250.891188132822</t>
  </si>
  <si>
    <t>-607.067314547507 68.128421098447 -99.742743779408</t>
  </si>
  <si>
    <t>-626.902921830365 79.8905697897501 303.150379319673</t>
  </si>
  <si>
    <t>-700.199461599282 103.935067207353 744.380101599214</t>
  </si>
  <si>
    <t>-555.478347882623 126.938558080314 804.496126946277</t>
  </si>
  <si>
    <t>-554.624415214803 -134.599086579161 306.856487077584</t>
  </si>
  <si>
    <t>-607.178630255 -146.516241515837 751.445190017307</t>
  </si>
  <si>
    <t>-473.85921032289 -189.104618258821 825.603543910725</t>
  </si>
  <si>
    <t>9763-20170724T104409.985559200.bin</t>
  </si>
  <si>
    <t>-646.235283020434 130.071758574573 -534.570261698179</t>
  </si>
  <si>
    <t>-642.995195178429 176.289902255994 -243.976813364147</t>
  </si>
  <si>
    <t>-406.738295315092 223.022132284382 -251.021920065701</t>
  </si>
  <si>
    <t>-606.922780189949 68.1992190146495 -99.729301519811</t>
  </si>
  <si>
    <t>-626.836050401869 79.9373346372743 303.160707503976</t>
  </si>
  <si>
    <t>-700.19949499927 103.9630255513 744.384574759054</t>
  </si>
  <si>
    <t>-555.460989912608 126.863781959396 804.49799113516</t>
  </si>
  <si>
    <t>-554.63410246663 -134.648580979149 306.867502881541</t>
  </si>
  <si>
    <t>-607.185495972131 -146.540797363484 751.449519184277</t>
  </si>
  <si>
    <t>-473.706929873389 -188.674265656498 825.581504849106</t>
  </si>
  <si>
    <t>9763-20170724T104410.052763500.bin</t>
  </si>
  <si>
    <t>-645.631130838829 130.40848164562 -534.573567839846</t>
  </si>
  <si>
    <t>-642.153656362587 177.075147506451 -244.054467502406</t>
  </si>
  <si>
    <t>-406.040513191847 224.474048038899 -251.456476385737</t>
  </si>
  <si>
    <t>-606.668953695416 68.4124806934751 -99.7003692671937</t>
  </si>
  <si>
    <t>-626.698377344046 80.0407035661076 303.187034311577</t>
  </si>
  <si>
    <t>-700.190111938921 103.992635019277 744.393710913324</t>
  </si>
  <si>
    <t>-555.443001316769 126.832469813012 804.509501269887</t>
  </si>
  <si>
    <t>-554.542307045489 -134.616115836075 306.878897602157</t>
  </si>
  <si>
    <t>-607.189164628098 -146.671012576471 751.44336481346</t>
  </si>
  <si>
    <t>-473.747885571364 -188.904782503482 825.585277840016</t>
  </si>
  <si>
    <t>9763-20170724T104410.084849500.bin</t>
  </si>
  <si>
    <t>-645.276382153962 130.560321178761 -534.591014369348</t>
  </si>
  <si>
    <t>-641.627837394676 177.528098345226 -244.12250769678</t>
  </si>
  <si>
    <t>-405.626829906356 225.446455298565 -251.752594539352</t>
  </si>
  <si>
    <t>-606.56359229322 68.5157438553811 -99.6828075021007</t>
  </si>
  <si>
    <t>-626.612291454211 80.0780316072112 303.205474149359</t>
  </si>
  <si>
    <t>-700.191564103742 104.034359506825 744.400623753485</t>
  </si>
  <si>
    <t>-555.463050576163 126.990580959709 804.517074849848</t>
  </si>
  <si>
    <t>-554.499150602883 -134.677863645187 306.874009762993</t>
  </si>
  <si>
    <t>-607.196641154405 -146.862850492674 751.441360195347</t>
  </si>
  <si>
    <t>-473.66905705089 -188.825422522153 825.582033106863</t>
  </si>
  <si>
    <t>9763-20170724T104410.149550200.bin</t>
  </si>
  <si>
    <t>-644.551746312104 130.96507695594 -534.640877663276</t>
  </si>
  <si>
    <t>-639.995450454676 178.911109932876 -244.345143179639</t>
  </si>
  <si>
    <t>-404.190076082789 227.661901760684 -252.71532704084</t>
  </si>
  <si>
    <t>-606.345594074417 68.8237443155308 -99.6429012592866</t>
  </si>
  <si>
    <t>-626.518605981962 80.2947104615341 303.241873604103</t>
  </si>
  <si>
    <t>-700.1752589432 104.046482338467 744.423774299727</t>
  </si>
  <si>
    <t>-555.426430685541 126.861385399803 804.545027249947</t>
  </si>
  <si>
    <t>-554.385634570008 -134.406690858288 306.870082178284</t>
  </si>
  <si>
    <t>-607.173681479856 -146.502680402303 751.419822172276</t>
  </si>
  <si>
    <t>-473.86579995915 -189.104376972396 825.591214164539</t>
  </si>
  <si>
    <t>9763-20170724T104410.186644900.bin</t>
  </si>
  <si>
    <t>-644.281367747373 131.095565989512 -534.671471516389</t>
  </si>
  <si>
    <t>-639.020494664143 179.83359971497 -244.519635382273</t>
  </si>
  <si>
    <t>-403.249605992852 228.671964855751 -253.33915693877</t>
  </si>
  <si>
    <t>-606.275163533319 68.994719805803 -99.629742818345</t>
  </si>
  <si>
    <t>-626.529567735326 80.418893668156 303.252298432797</t>
  </si>
  <si>
    <t>-700.1847000676 104.115862945311 744.436675112588</t>
  </si>
  <si>
    <t>-555.471829346166 127.166450282531 804.55449238375</t>
  </si>
  <si>
    <t>-554.376842013071 -134.334651086049 306.873514446859</t>
  </si>
  <si>
    <t>-607.174398850886 -146.581882662941 751.411937521368</t>
  </si>
  <si>
    <t>-473.886590911563 -189.231784077764 825.591778776442</t>
  </si>
  <si>
    <t>9763-20170724T104410.254887200.bin</t>
  </si>
  <si>
    <t>-643.907311793837 130.950389006336 -534.805989193882</t>
  </si>
  <si>
    <t>-637.006571809492 181.374844976445 -244.976825790961</t>
  </si>
  <si>
    <t>-401.21228104311 230.013616195398 -254.262690008475</t>
  </si>
  <si>
    <t>-606.159793957682 69.2437982114491 -99.6099202870445</t>
  </si>
  <si>
    <t>-626.51588737031 80.5662449704971 303.269849301552</t>
  </si>
  <si>
    <t>-700.171815047811 104.140518173555 744.465152648364</t>
  </si>
  <si>
    <t>-555.418028326181 126.925878218761 804.585716463552</t>
  </si>
  <si>
    <t>-554.335654486674 -134.375857470125 306.858358361692</t>
  </si>
  <si>
    <t>-607.164465315036 -146.730288269893 751.394251622322</t>
  </si>
  <si>
    <t>-473.702955211082 -188.822328620883 825.580366260466</t>
  </si>
  <si>
    <t>9763-20170724T104410.286968700.bin</t>
  </si>
  <si>
    <t>-643.746567110828 130.971641818211 -534.866617636597</t>
  </si>
  <si>
    <t>-635.989728865095 182.097079972785 -245.181981516656</t>
  </si>
  <si>
    <t>-400.130924810965 230.391874230775 -254.622004432138</t>
  </si>
  <si>
    <t>-606.106223153689 69.4320296601311 -99.6030084919602</t>
  </si>
  <si>
    <t>-626.451889492124 80.6735015511572 303.279534245066</t>
  </si>
  <si>
    <t>-700.172141291258 104.153547676241 744.47312374272</t>
  </si>
  <si>
    <t>-555.418635425764 126.95924890263 804.586431198752</t>
  </si>
  <si>
    <t>-554.24873936789 -134.19093166934 306.858076663956</t>
  </si>
  <si>
    <t>-607.1451725601 -146.541308408076 751.373851788013</t>
  </si>
  <si>
    <t>-473.803105631707 -188.957246297184 825.590131841239</t>
  </si>
  <si>
    <t>9763-20170724T104410.350170800.bin</t>
  </si>
  <si>
    <t>-643.323754274631 131.167849680712 -534.905119712039</t>
  </si>
  <si>
    <t>-633.272097233331 183.605334659092 -245.525624259415</t>
  </si>
  <si>
    <t>-397.241410630512 230.907138548726 -255.669136196717</t>
  </si>
  <si>
    <t>-605.952417768458 69.7835477004949 -99.5946661031558</t>
  </si>
  <si>
    <t>-626.311443336071 80.8724518265117 303.291457048539</t>
  </si>
  <si>
    <t>-700.169342265282 104.18115269327 744.48022508685</t>
  </si>
  <si>
    <t>-555.3991384539 126.911386808959 804.581954735973</t>
  </si>
  <si>
    <t>-554.124861119853 -133.951285642201 306.866041664485</t>
  </si>
  <si>
    <t>-607.133822252066 -146.562330768622 751.349982693561</t>
  </si>
  <si>
    <t>-473.851418002629 -189.106313025784 825.600195472103</t>
  </si>
  <si>
    <t>9763-20170724T104410.388272800.bin</t>
  </si>
  <si>
    <t>-643.037616973621 131.311831252966 -534.955776039074</t>
  </si>
  <si>
    <t>-631.772981044545 184.340855797903 -245.728773710145</t>
  </si>
  <si>
    <t>-395.650515961394 231.087282733466 -256.303130802855</t>
  </si>
  <si>
    <t>-605.83432733874 69.9524207498464 -99.5958285321996</t>
  </si>
  <si>
    <t>-626.220109537274 80.964778011961 303.291021160711</t>
  </si>
  <si>
    <t>-700.169387441597 104.199841234829 744.475425369411</t>
  </si>
  <si>
    <t>-555.427823506602 127.131810571683 804.569538802936</t>
  </si>
  <si>
    <t>-554.132736299655 -133.936769103654 306.866817730161</t>
  </si>
  <si>
    <t>-607.1343642121 -146.606017438671 751.341263081019</t>
  </si>
  <si>
    <t>-473.704073571073 -188.696103072943 825.584580309915</t>
  </si>
  <si>
    <t>9763-20170724T104410.452949200.bin</t>
  </si>
  <si>
    <t>-642.587311973088 131.863623911662 -535.11742566524</t>
  </si>
  <si>
    <t>-629.511793955263 185.857138784387 -246.145244477624</t>
  </si>
  <si>
    <t>-393.24667895351 231.714814773968 -257.403354324285</t>
  </si>
  <si>
    <t>-605.558011639741 70.3385307205313 -99.5828980207453</t>
  </si>
  <si>
    <t>-625.93167431588 81.0781467184572 303.311958029027</t>
  </si>
  <si>
    <t>-700.147743307995 104.154321909925 744.473435945916</t>
  </si>
  <si>
    <t>-555.355234310211 126.804773072789 804.551492917609</t>
  </si>
  <si>
    <t>-554.268536466515 -133.611107961311 306.829218821214</t>
  </si>
  <si>
    <t>-607.120778009554 -146.453761997645 751.310771959598</t>
  </si>
  <si>
    <t>-474.021597939811 -189.478809377077 825.612463454077</t>
  </si>
  <si>
    <t>9763-20170724T104410.497065100.bin</t>
  </si>
  <si>
    <t>-642.424274104517 132.136944865993 -535.201026596011</t>
  </si>
  <si>
    <t>-628.782340459964 186.583161708569 -246.339961850445</t>
  </si>
  <si>
    <t>-392.463626663187 232.135698023701 -257.711622068953</t>
  </si>
  <si>
    <t>-605.399549980758 70.5853704105666 -99.5716130889111</t>
  </si>
  <si>
    <t>-625.770186828215 81.1556521525506 303.32788195962</t>
  </si>
  <si>
    <t>-700.13561699063 104.134624440167 744.471332001782</t>
  </si>
  <si>
    <t>-555.368813718506 126.985017765521 804.535761490558</t>
  </si>
  <si>
    <t>-554.34453213873 -133.520675994914 306.811461661856</t>
  </si>
  <si>
    <t>-607.116211811911 -146.399513701093 751.295580885913</t>
  </si>
  <si>
    <t>-473.959112275346 -189.232925326787 825.604371022629</t>
  </si>
  <si>
    <t>9763-20170724T104410.553118900.bin</t>
  </si>
  <si>
    <t>-642.165681260829 132.5468559957 -535.318791682944</t>
  </si>
  <si>
    <t>-627.757371375753 187.862812275406 -246.660297448713</t>
  </si>
  <si>
    <t>-391.298788801087 232.713874303619 -257.91171234906</t>
  </si>
  <si>
    <t>-605.008913475971 70.8738763045867 -99.5183863614139</t>
  </si>
  <si>
    <t>-625.398666090821 81.2197937212704 303.385909875047</t>
  </si>
  <si>
    <t>-700.121998446078 104.160536337324 744.472529738845</t>
  </si>
  <si>
    <t>-555.332698430845 126.905488392283 804.52273382162</t>
  </si>
  <si>
    <t>-554.167889811524 -133.431944517044 306.801718126429</t>
  </si>
  <si>
    <t>-607.124809830892 -146.534874528308 751.268060128317</t>
  </si>
  <si>
    <t>-473.905040126181 -189.142405446611 825.594294486225</t>
  </si>
  <si>
    <t>9763-20170724T104410.590221300.bin</t>
  </si>
  <si>
    <t>-642.045219116988 132.751289747043 -535.356337636874</t>
  </si>
  <si>
    <t>-627.268036864016 188.45289148119 -246.790523522019</t>
  </si>
  <si>
    <t>-390.747798726705 233.000490465636 -257.951035625512</t>
  </si>
  <si>
    <t>-604.820970786245 71.03693588088 -99.485132243646</t>
  </si>
  <si>
    <t>-625.225589010398 81.2748512868864 303.421159280502</t>
  </si>
  <si>
    <t>-700.106694536933 104.158045530657 744.481990643889</t>
  </si>
  <si>
    <t>-555.302858200381 126.806523240979 804.53359140021</t>
  </si>
  <si>
    <t>-553.968938709956 -133.223246394361 306.795352923756</t>
  </si>
  <si>
    <t>-607.106647080606 -146.294672740642 751.239049742473</t>
  </si>
  <si>
    <t>-474.108630279235 -189.515024965613 825.60846790681</t>
  </si>
  <si>
    <t>9763-20170724T104410.653941000.bin</t>
  </si>
  <si>
    <t>-641.984585254351 132.91797269032 -535.399912867537</t>
  </si>
  <si>
    <t>-626.264130211522 189.165980957955 -246.990116712925</t>
  </si>
  <si>
    <t>-389.583470969978 232.871960153707 -258.076064125431</t>
  </si>
  <si>
    <t>-604.668725286481 71.3188006720161 -99.4454060279879</t>
  </si>
  <si>
    <t>-625.14479933992 81.3509560586269 303.462479609998</t>
  </si>
  <si>
    <t>-700.084867784109 104.172623974553 744.509767915127</t>
  </si>
  <si>
    <t>-555.253494617382 126.637578814452 804.563890124563</t>
  </si>
  <si>
    <t>-553.824850777078 -133.069767823841 306.798667318215</t>
  </si>
  <si>
    <t>-607.110940170992 -146.4462502565 751.210919177046</t>
  </si>
  <si>
    <t>-474.127118032911 -189.661535829364 825.608691044433</t>
  </si>
  <si>
    <t>9763-20170724T104410.686026000.bin</t>
  </si>
  <si>
    <t>-641.981230546375 133.108272446892 -535.420925820555</t>
  </si>
  <si>
    <t>-625.913374200951 189.438321457752 -247.046286683768</t>
  </si>
  <si>
    <t>-389.191603737926 232.924346053331 -258.121092358661</t>
  </si>
  <si>
    <t>-604.632836528097 71.5603000487799 -99.4411316646222</t>
  </si>
  <si>
    <t>-625.174462227093 81.4932656397771 303.465906709489</t>
  </si>
  <si>
    <t>-700.079139927539 104.237799258663 744.522096257265</t>
  </si>
  <si>
    <t>-555.295354761444 127.004472400711 804.577224209024</t>
  </si>
  <si>
    <t>-553.79229282916 -132.933928015726 306.780284861145</t>
  </si>
  <si>
    <t>-607.097340371577 -146.289551573727 751.187168892403</t>
  </si>
  <si>
    <t>-474.145558726599 -189.564805533367 825.607292824438</t>
  </si>
  <si>
    <t>9763-20170724T104410.751713000.bin</t>
  </si>
  <si>
    <t>-641.957372316253 133.471653651436 -535.469606213186</t>
  </si>
  <si>
    <t>-625.59053833753 189.587301383069 -247.07000134152</t>
  </si>
  <si>
    <t>-388.832565359321 232.924999121894 -257.949771348457</t>
  </si>
  <si>
    <t>-604.625630794315 71.9464464702075 -99.4417687314653</t>
  </si>
  <si>
    <t>-625.226807003214 81.6792967989293 303.46704304108</t>
  </si>
  <si>
    <t>-700.051499611934 104.263127391076 744.549415600905</t>
  </si>
  <si>
    <t>-555.246209057922 126.862853894159 804.615862866598</t>
  </si>
  <si>
    <t>-553.742545482527 -132.760666918398 306.744993401575</t>
  </si>
  <si>
    <t>-607.09645511312 -146.403689899274 751.153399797514</t>
  </si>
  <si>
    <t>-474.072932305842 -189.413266126142 825.599461583527</t>
  </si>
  <si>
    <t>9763-20170724T104410.788816400.bin</t>
  </si>
  <si>
    <t>-641.906732659445 133.641427225263 -535.514251663379</t>
  </si>
  <si>
    <t>-625.684876884464 189.656179225432 -247.086713552775</t>
  </si>
  <si>
    <t>-388.911046188646 232.959117721037 -257.757870241839</t>
  </si>
  <si>
    <t>-604.599095555028 72.1244090342595 -99.4407480677979</t>
  </si>
  <si>
    <t>-625.281326047688 81.7832360601687 303.465738688528</t>
  </si>
  <si>
    <t>-700.048764084849 104.298176123254 744.561094875205</t>
  </si>
  <si>
    <t>-555.240291948044 126.874299977038 804.628648612353</t>
  </si>
  <si>
    <t>-553.746128447698 -132.706637115644 306.734513844449</t>
  </si>
  <si>
    <t>-607.099200481753 -146.499919814463 751.137074831574</t>
  </si>
  <si>
    <t>-474.107239510154 -189.57221727162 825.603211990483</t>
  </si>
  <si>
    <t>9763-20170724T104410.850553000.bin</t>
  </si>
  <si>
    <t>-641.835281810205 133.805670623037 -535.61300465205</t>
  </si>
  <si>
    <t>-626.392320434527 189.589457740657 -247.097996699323</t>
  </si>
  <si>
    <t>-389.570474526358 232.776275564417 -257.15745714582</t>
  </si>
  <si>
    <t>-604.666173845848 72.3532656419338 -99.4571255554832</t>
  </si>
  <si>
    <t>-625.166319281223 81.8052190633925 303.463565945927</t>
  </si>
  <si>
    <t>-700.008653928095 104.283115205253 744.579632891525</t>
  </si>
  <si>
    <t>-555.165849736514 126.616255990085 804.655442897352</t>
  </si>
  <si>
    <t>-553.776666954377 -132.499719968536 306.700778519145</t>
  </si>
  <si>
    <t>-607.079388531858 -146.49538660631 751.089041233051</t>
  </si>
  <si>
    <t>-474.009155011711 -189.255422311396 825.595380447325</t>
  </si>
  <si>
    <t>9763-20170724T104410.928761400.bin</t>
  </si>
  <si>
    <t>-641.788502229133 133.822702473936 -535.624707343228</t>
  </si>
  <si>
    <t>-627.076693014201 189.37682974992 -247.027228530786</t>
  </si>
  <si>
    <t>-390.220775153864 232.493870735904 -256.570816000728</t>
  </si>
  <si>
    <t>-604.749507021175 72.373090246489 -99.4688095739272</t>
  </si>
  <si>
    <t>-625.19320959594 81.7449670996587 303.456507403794</t>
  </si>
  <si>
    <t>-699.986898376427 104.288272789589 744.58232058949</t>
  </si>
  <si>
    <t>-555.181078833085 126.844765217158 804.663775462081</t>
  </si>
  <si>
    <t>-553.703458820413 -132.451156380953 306.690131665592</t>
  </si>
  <si>
    <t>-607.072463882574 -146.555949809244 751.065482611143</t>
  </si>
  <si>
    <t>-473.982701615811 -189.204857501545 825.600562116413</t>
  </si>
  <si>
    <t>9763-20170724T104410.985919900.bin</t>
  </si>
  <si>
    <t>-641.677040371624 134.119267474344 -535.550192910673</t>
  </si>
  <si>
    <t>-629.794866064211 188.086982200122 -246.521632663178</t>
  </si>
  <si>
    <t>-392.837053264809 231.052634706622 -253.994358586216</t>
  </si>
  <si>
    <t>-605.444363380543 72.3814801766541 -99.5632501107639</t>
  </si>
  <si>
    <t>-626.162561117415 81.7600757447683 303.347974516759</t>
  </si>
  <si>
    <t>-699.919136750958 104.359765809798 744.615113874195</t>
  </si>
  <si>
    <t>-555.0944796943 126.596308028745 804.770252667318</t>
  </si>
  <si>
    <t>-553.965525040731 -132.27759310214 306.624980951751</t>
  </si>
  <si>
    <t>-607.073317848013 -146.383746638859 751.028304405799</t>
  </si>
  <si>
    <t>-474.14215695504 -189.441476582758 825.611373823684</t>
  </si>
  <si>
    <t>9763-20170724T104411.050632600.bin</t>
  </si>
  <si>
    <t>-641.997203631878 134.1225723506 -535.490824734073</t>
  </si>
  <si>
    <t>-631.315884843431 186.546589797431 -246.131536278028</t>
  </si>
  <si>
    <t>-394.307797890223 229.482382563313 -252.009970570131</t>
  </si>
  <si>
    <t>-606.355944916625 72.2238385521109 -99.6896221190383</t>
  </si>
  <si>
    <t>-627.303002755326 81.8832302877338 303.20319560827</t>
  </si>
  <si>
    <t>-699.88747333431 104.466079776073 744.645974112687</t>
  </si>
  <si>
    <t>-555.064732090851 126.559613254831 804.858373445569</t>
  </si>
  <si>
    <t>-554.635445413424 -132.225188361002 306.54857121052</t>
  </si>
  <si>
    <t>-607.11762335595 -146.323277583678 751.051972603324</t>
  </si>
  <si>
    <t>-474.337231745083 -189.858440601846 825.626555605922</t>
  </si>
  <si>
    <t>9763-20170724T104411.089741800.bin</t>
  </si>
  <si>
    <t>-642.198303891979 133.990565294579 -535.444898310369</t>
  </si>
  <si>
    <t>-631.970564953264 185.662310107815 -245.933857739537</t>
  </si>
  <si>
    <t>-394.980641719313 228.76341214675 -251.316338513849</t>
  </si>
  <si>
    <t>-606.883865274665 72.0432147595393 -99.7409909014127</t>
  </si>
  <si>
    <t>-627.796848717982 81.8559267849516 303.149825643187</t>
  </si>
  <si>
    <t>-699.866045540981 104.468972273638 744.665245924534</t>
  </si>
  <si>
    <t>-555.035969372246 126.464876664923 804.895831484519</t>
  </si>
  <si>
    <t>-555.061895081955 -132.321102168908 306.509854916239</t>
  </si>
  <si>
    <t>-607.152463630823 -146.416429170761 751.080992270643</t>
  </si>
  <si>
    <t>-474.378152717593 -190.02197320826 825.625322623013</t>
  </si>
  <si>
    <t>9763-20170724T104411.151409200.bin</t>
  </si>
  <si>
    <t>-642.848843330523 133.624604610312 -535.370836079252</t>
  </si>
  <si>
    <t>-633.538529784543 184.001918064783 -245.600892972127</t>
  </si>
  <si>
    <t>-396.654711713289 227.798722917084 -249.93465117656</t>
  </si>
  <si>
    <t>-607.995995251496 71.5588573346722 -99.7980087804167</t>
  </si>
  <si>
    <t>-628.734505215884 81.6603775481951 303.094750156069</t>
  </si>
  <si>
    <t>-699.845969792337 104.524541122989 744.728898424388</t>
  </si>
  <si>
    <t>-555.021379890532 126.474038879281 804.989620421069</t>
  </si>
  <si>
    <t>-555.900895584609 -132.689672639347 306.439489151819</t>
  </si>
  <si>
    <t>-607.215164692201 -146.689262839658 751.124672939834</t>
  </si>
  <si>
    <t>-474.163122055356 -189.569071097452 825.594586007687</t>
  </si>
  <si>
    <t>9763-20170724T104411.186502400.bin</t>
  </si>
  <si>
    <t>-643.193736038735 133.45471135031 -535.335454761488</t>
  </si>
  <si>
    <t>-634.50334968716 183.345809119282 -245.462092640202</t>
  </si>
  <si>
    <t>-397.688810354979 227.589926342495 -248.957634524453</t>
  </si>
  <si>
    <t>-608.460209035014 71.3336866300026 -99.8153890568224</t>
  </si>
  <si>
    <t>-629.161458565541 81.6153186476643 303.074664419455</t>
  </si>
  <si>
    <t>-699.83904969157 104.550613031813 744.760734151379</t>
  </si>
  <si>
    <t>-554.99271678597 126.320620156394 805.034363924147</t>
  </si>
  <si>
    <t>-556.263641968826 -132.679789043563 306.427547988296</t>
  </si>
  <si>
    <t>-607.231792030516 -146.534749618222 751.152042493886</t>
  </si>
  <si>
    <t>-474.347888095809 -189.95454750796 825.60925361859</t>
  </si>
  <si>
    <t>9763-20170724T104411.251303600.bin</t>
  </si>
  <si>
    <t>-644.044983327263 132.770790432091 -535.300865623948</t>
  </si>
  <si>
    <t>-637.25904906802 181.517057718166 -245.181993473307</t>
  </si>
  <si>
    <t>-400.715749965228 227.301187404836 -246.576279416471</t>
  </si>
  <si>
    <t>-609.402438740995 70.8828125629022 -99.8621778941175</t>
  </si>
  <si>
    <t>-629.854878475281 81.4568332229783 303.033058858223</t>
  </si>
  <si>
    <t>-699.843415158105 104.649747419441 744.824306974432</t>
  </si>
  <si>
    <t>-554.984797697397 126.289160668452 805.115342045546</t>
  </si>
  <si>
    <t>-557.03806566619 -132.899300584951 306.414943276553</t>
  </si>
  <si>
    <t>-607.29742319873 -146.674188094499 751.233698309841</t>
  </si>
  <si>
    <t>-474.231763801363 -189.687902365756 825.602040806021</t>
  </si>
  <si>
    <t>9763-20170724T104411.283391000.bin</t>
  </si>
  <si>
    <t>-644.532357875683 132.508160116048 -535.290253184839</t>
  </si>
  <si>
    <t>-639.172498341447 180.507164234955 -245.016926024886</t>
  </si>
  <si>
    <t>-402.775838460457 227.062348054691 -244.661837039636</t>
  </si>
  <si>
    <t>-609.815562421493 70.7019880446705 -99.8702689483688</t>
  </si>
  <si>
    <t>-630.081360270947 81.4048245834124 303.031001672768</t>
  </si>
  <si>
    <t>-699.842077813632 104.684542129046 744.85404775425</t>
  </si>
  <si>
    <t>-555.001061785332 126.427364182258 805.150076661393</t>
  </si>
  <si>
    <t>-557.311617102949 -132.798967933729 306.408918025964</t>
  </si>
  <si>
    <t>-607.30145628971 -146.362452366285 751.257469273968</t>
  </si>
  <si>
    <t>-474.52726630528 -190.2644945378 825.627612550104</t>
  </si>
  <si>
    <t>9763-20170724T104411.350609400.bin</t>
  </si>
  <si>
    <t>-645.537375716293 131.766968969503 -535.238140888284</t>
  </si>
  <si>
    <t>-644.617203724024 177.341785654816 -244.526420026544</t>
  </si>
  <si>
    <t>-408.76359007773 226.309924648199 -239.423348145166</t>
  </si>
  <si>
    <t>-610.557932291754 70.2102489001036 -99.8639080962024</t>
  </si>
  <si>
    <t>-630.358236888759 81.1418867174989 303.054365100881</t>
  </si>
  <si>
    <t>-699.82385352688 104.658375908313 744.910245424476</t>
  </si>
  <si>
    <t>-554.957350671386 126.185327650746 805.222566292409</t>
  </si>
  <si>
    <t>-557.774951279764 -133.042507001398 306.409732784827</t>
  </si>
  <si>
    <t>-607.342863042585 -146.567891447591 751.31371253592</t>
  </si>
  <si>
    <t>-474.496055676224 -190.336573476037 825.632884372653</t>
  </si>
  <si>
    <t>9763-20170724T104411.384704700.bin</t>
  </si>
  <si>
    <t>-646.231464735959 131.483774368166 -535.134643045637</t>
  </si>
  <si>
    <t>-648.095123242145 175.227837166677 -244.146189682631</t>
  </si>
  <si>
    <t>-412.568211684305 225.267611583803 -235.546009954547</t>
  </si>
  <si>
    <t>-610.913601676589 69.9998761196998 -99.8630832809322</t>
  </si>
  <si>
    <t>-630.481577766938 80.964814008436 303.06556347696</t>
  </si>
  <si>
    <t>-699.810892560577 104.604700494219 744.932095121872</t>
  </si>
  <si>
    <t>-554.899771430684 125.821291119001 805.247207170313</t>
  </si>
  <si>
    <t>-557.976793144172 -133.203594104502 306.420473769424</t>
  </si>
  <si>
    <t>-607.367542727375 -146.675150971301 751.347776818351</t>
  </si>
  <si>
    <t>-474.353916062654 -190.001546053929 825.627552770254</t>
  </si>
  <si>
    <t>9763-20170724T104411.451385300.bin</t>
  </si>
  <si>
    <t>-647.980152335799 131.153221013853 -534.903335630273</t>
  </si>
  <si>
    <t>-656.252280860819 171.235051304073 -243.499285626994</t>
  </si>
  <si>
    <t>-421.627087397499 223.307055114909 -226.458240660441</t>
  </si>
  <si>
    <t>-611.75956101351 69.7675410401853 -99.9094074757169</t>
  </si>
  <si>
    <t>-630.929334055813 80.8911566279526 303.034073776947</t>
  </si>
  <si>
    <t>-699.82796332191 104.678801585902 744.961985386679</t>
  </si>
  <si>
    <t>-554.94036393398 126.070586083964 805.271725757061</t>
  </si>
  <si>
    <t>-558.358595166532 -133.206314767029 306.429910408453</t>
  </si>
  <si>
    <t>-607.392659620981 -146.586630739081 751.403666636714</t>
  </si>
  <si>
    <t>-474.517950997325 -190.389033938683 825.65291557355</t>
  </si>
  <si>
    <t>9763-20170724T104411.484472100.bin</t>
  </si>
  <si>
    <t>-648.945029214724 130.877254931203 -534.761595317846</t>
  </si>
  <si>
    <t>-660.680748468741 169.087799272871 -243.225291733473</t>
  </si>
  <si>
    <t>-426.567355744577 222.140462726949 -222.556391217039</t>
  </si>
  <si>
    <t>-612.283770812619 69.6294454589481 -99.9374467993536</t>
  </si>
  <si>
    <t>-631.240504694243 80.8287959611498 303.014030114394</t>
  </si>
  <si>
    <t>-699.839540398218 104.740154619299 744.979486600601</t>
  </si>
  <si>
    <t>-554.97438565328 126.27592981522 805.292005718363</t>
  </si>
  <si>
    <t>-558.532038255368 -133.412089361784 306.442765978842</t>
  </si>
  <si>
    <t>-607.423265915182 -146.898198479496 751.436358386772</t>
  </si>
  <si>
    <t>-474.197214490892 -189.722803429885 825.626425355061</t>
  </si>
  <si>
    <t>9763-20170724T104411.552679600.bin</t>
  </si>
  <si>
    <t>-651.28682076598 130.327400040791 -534.52632453511</t>
  </si>
  <si>
    <t>-668.951159238131 165.12142649342 -242.861101226692</t>
  </si>
  <si>
    <t>-435.922599045993 220.871164769905 -217.553059611468</t>
  </si>
  <si>
    <t>-613.514799638838 69.3450276580379 -100.028790843969</t>
  </si>
  <si>
    <t>-632.008398530146 80.7747616649076 302.9377164345</t>
  </si>
  <si>
    <t>-699.844337501851 104.771868597597 745.008440219233</t>
  </si>
  <si>
    <t>-554.994209539684 126.381683668074 805.330436511603</t>
  </si>
  <si>
    <t>-558.827832039898 -133.483436340874 306.455698752417</t>
  </si>
  <si>
    <t>-607.457723725259 -147.047555198163 751.481703973104</t>
  </si>
  <si>
    <t>-474.196809060254 -189.828622772283 825.634282625294</t>
  </si>
  <si>
    <t>9763-20170724T104411.585767100.bin</t>
  </si>
  <si>
    <t>-652.615110394581 129.99179534611 -534.461576914575</t>
  </si>
  <si>
    <t>-672.308080730009 163.688662553956 -242.797528657887</t>
  </si>
  <si>
    <t>-439.677187519429 220.543360931326 -216.316553577244</t>
  </si>
  <si>
    <t>-614.240945999985 69.2289511695185 -100.088676421998</t>
  </si>
  <si>
    <t>-632.483338866485 80.7742605730523 302.886024992347</t>
  </si>
  <si>
    <t>-699.845127122444 104.787880608977 745.027862633423</t>
  </si>
  <si>
    <t>-554.982795901265 126.289859441885 805.359113359835</t>
  </si>
  <si>
    <t>-558.987885543731 -133.430535874726 306.451874954481</t>
  </si>
  <si>
    <t>-607.472049290317 -147.081202568115 751.505133103876</t>
  </si>
  <si>
    <t>-474.222353827886 -189.930388978519 825.638365920337</t>
  </si>
  <si>
    <t>9763-20170724T104411.649790700.bin</t>
  </si>
  <si>
    <t>-655.420911405048 129.143399331312 -534.476245876821</t>
  </si>
  <si>
    <t>-676.954243237191 162.143834363272 -242.86260066922</t>
  </si>
  <si>
    <t>-444.813449510826 220.879347559063 -216.185235262302</t>
  </si>
  <si>
    <t>-615.801698098211 68.9867999966027 -100.205635472103</t>
  </si>
  <si>
    <t>-633.598083830525 80.8272048454298 302.780427049933</t>
  </si>
  <si>
    <t>-699.860095987292 104.900736946224 745.075533977508</t>
  </si>
  <si>
    <t>-555.028389967493 126.505457086222 805.443677202783</t>
  </si>
  <si>
    <t>-559.524699257184 -133.510415123468 306.427497737738</t>
  </si>
  <si>
    <t>-607.507280251192 -147.331607782086 751.548024185868</t>
  </si>
  <si>
    <t>-474.018805159796 -189.548914636377 825.614432380519</t>
  </si>
  <si>
    <t>9763-20170724T104411.686889900.bin</t>
  </si>
  <si>
    <t>-656.821274499344 128.827218332729 -534.542875831552</t>
  </si>
  <si>
    <t>-678.408965565265 162.103305194595 -242.964605736831</t>
  </si>
  <si>
    <t>-446.36411770867 221.410000467752 -216.719967462636</t>
  </si>
  <si>
    <t>-616.645758367936 68.9909203837208 -100.279302308793</t>
  </si>
  <si>
    <t>-634.241574537788 80.9985410021607 302.710575810827</t>
  </si>
  <si>
    <t>-699.864628236475 104.961745140913 745.099135593597</t>
  </si>
  <si>
    <t>-555.047454353982 126.604757017204 805.488302251703</t>
  </si>
  <si>
    <t>-559.856300405251 -133.270747735689 306.409347477565</t>
  </si>
  <si>
    <t>-607.502696038142 -147.069131945467 751.564365354925</t>
  </si>
  <si>
    <t>-474.251489149888 -190.026354147765 825.632463843198</t>
  </si>
  <si>
    <t>9763-20170724T104411.756098800.bin</t>
  </si>
  <si>
    <t>-659.279246591564 128.148029055898 -534.725334145642</t>
  </si>
  <si>
    <t>-680.230989169885 162.24239224978 -243.195126294764</t>
  </si>
  <si>
    <t>-448.176559563977 222.12053022319 -218.371200328798</t>
  </si>
  <si>
    <t>-618.434426092794 68.9592527961865 -100.42721888112</t>
  </si>
  <si>
    <t>-635.429439967794 81.2158994937881 302.58091565042</t>
  </si>
  <si>
    <t>-699.877731697071 105.025852809942 745.152315067492</t>
  </si>
  <si>
    <t>-555.057034740181 126.544641983027 805.577548083006</t>
  </si>
  <si>
    <t>-560.673310282847 -133.198452471904 306.364166238848</t>
  </si>
  <si>
    <t>-607.527295472056 -147.342917067066 751.608173514461</t>
  </si>
  <si>
    <t>-473.96310113645 -189.446745350391 825.602574987899</t>
  </si>
  <si>
    <t>9763-20170724T104411.816258500.bin</t>
  </si>
  <si>
    <t>-661.061715719383 127.714299924032 -534.97624204061</t>
  </si>
  <si>
    <t>-681.347617937601 162.461833137615 -243.476204218841</t>
  </si>
  <si>
    <t>-449.091625362011 221.987007614112 -219.711115023311</t>
  </si>
  <si>
    <t>-620.172726693289 69.0756458482056 -100.599447972284</t>
  </si>
  <si>
    <t>-636.564756488504 81.5223142305081 302.427940618221</t>
  </si>
  <si>
    <t>-699.893999523828 105.115567551763 745.196664031893</t>
  </si>
  <si>
    <t>-555.102674835522 126.740381627804 805.654293811276</t>
  </si>
  <si>
    <t>-561.530011567584 -132.762593250115 306.276613796804</t>
  </si>
  <si>
    <t>-607.508661278338 -147.033800148487 751.605229953138</t>
  </si>
  <si>
    <t>-474.197828718169 -189.906333908709 825.615011196705</t>
  </si>
  <si>
    <t>9763-20170724T104411.850864000.bin</t>
  </si>
  <si>
    <t>-661.898933466997 127.491978770148 -535.098929559351</t>
  </si>
  <si>
    <t>-681.881328499739 162.397805304199 -243.596744682872</t>
  </si>
  <si>
    <t>-449.510533159485 221.650507267025 -220.27742017849</t>
  </si>
  <si>
    <t>-621.002483662144 69.0975735951238 -100.682907452749</t>
  </si>
  <si>
    <t>-637.094266552918 81.6587891061356 302.353002755115</t>
  </si>
  <si>
    <t>-699.901310761381 105.136559368798 745.210137155813</t>
  </si>
  <si>
    <t>-555.120533496992 126.813275474729 805.674413131804</t>
  </si>
  <si>
    <t>-562.002626431972 -132.665778376455 306.2355387834</t>
  </si>
  <si>
    <t>-607.507055946463 -147.057835996278 751.612243864702</t>
  </si>
  <si>
    <t>-474.107594949479 -189.691666746912 825.600252831143</t>
  </si>
  <si>
    <t>9763-20170724T104411.889967500.bin</t>
  </si>
  <si>
    <t>-662.696467788832 127.256575694724 -535.202402284419</t>
  </si>
  <si>
    <t>-682.324863949836 162.344786935244 -243.698223520983</t>
  </si>
  <si>
    <t>-449.848010613502 221.298064877827 -220.678548981266</t>
  </si>
  <si>
    <t>-621.77543800395 69.1223620795997 -100.761029634645</t>
  </si>
  <si>
    <t>-637.597225424834 81.7668018579436 302.282963559447</t>
  </si>
  <si>
    <t>-699.903309910145 105.137680929037 745.224161737644</t>
  </si>
  <si>
    <t>-555.12015582382 126.772333232936 805.697911303987</t>
  </si>
  <si>
    <t>-562.490908702164 -132.591790735129 306.190559063607</t>
  </si>
  <si>
    <t>-607.520985830194 -147.068567776107 751.61468785939</t>
  </si>
  <si>
    <t>-474.093433077099 -189.638165531173 825.5891928565</t>
  </si>
  <si>
    <t>9763-20170724T104411.952648700.bin</t>
  </si>
  <si>
    <t>-664.239287419587 126.922292578806 -535.395568193578</t>
  </si>
  <si>
    <t>-683.247455544113 162.387444775585 -243.895872565902</t>
  </si>
  <si>
    <t>-450.642241291875 221.011784150471 -221.337919011686</t>
  </si>
  <si>
    <t>-623.23264998511 69.1952826986653 -100.889603683888</t>
  </si>
  <si>
    <t>-638.460449244058 81.9668840991715 302.173293200845</t>
  </si>
  <si>
    <t>-699.922080290323 105.213671062577 745.255065633904</t>
  </si>
  <si>
    <t>-555.183297224215 127.120245629226 805.737232247348</t>
  </si>
  <si>
    <t>-563.488747102509 -132.439095823787 306.109841540589</t>
  </si>
  <si>
    <t>-607.541039553353 -147.024526572459 751.624668296436</t>
  </si>
  <si>
    <t>-474.090253461344 -189.567627140293 825.572402108469</t>
  </si>
  <si>
    <t>9763-20170724T104411.984736200.bin</t>
  </si>
  <si>
    <t>-665.160935841274 126.694036736414 -535.462133993398</t>
  </si>
  <si>
    <t>-683.86858614202 162.309701496175 -243.961096540271</t>
  </si>
  <si>
    <t>-451.251339789945 220.91461662256 -221.477253192159</t>
  </si>
  <si>
    <t>-623.889181860895 69.1459284729417 -100.939988493693</t>
  </si>
  <si>
    <t>-638.800780045827 82.006755162007 302.131918326219</t>
  </si>
  <si>
    <t>-699.909956345868 105.17489065844 745.276099870539</t>
  </si>
  <si>
    <t>-555.138317944268 126.825572713208 805.771746201957</t>
  </si>
  <si>
    <t>-563.947847203849 -132.393724962642 306.075292664212</t>
  </si>
  <si>
    <t>-607.551688889308 -147.007470263539 751.632130533446</t>
  </si>
  <si>
    <t>-474.07796503259 -189.502615062613 825.566044382694</t>
  </si>
  <si>
    <t>9763-20170724T104412.049931600.bin</t>
  </si>
  <si>
    <t>-667.089019000949 126.447368019049 -535.481964483696</t>
  </si>
  <si>
    <t>-685.352670409765 162.382758358791 -243.992150725052</t>
  </si>
  <si>
    <t>-452.591588158349 220.47307204245 -221.662294295042</t>
  </si>
  <si>
    <t>-625.020035633032 69.090330899822 -101.017326670819</t>
  </si>
  <si>
    <t>-639.277489799808 82.053296301463 302.07492505723</t>
  </si>
  <si>
    <t>-699.899332810292 105.133485831444 745.308254543761</t>
  </si>
  <si>
    <t>-555.11606382144 126.675406164859 805.81478626796</t>
  </si>
  <si>
    <t>-564.768236373674 -132.163037955817 306.032044238206</t>
  </si>
  <si>
    <t>-607.564833745309 -146.756360139566 751.654469725651</t>
  </si>
  <si>
    <t>-474.265677207289 -189.805115124369 825.582958735073</t>
  </si>
  <si>
    <t>9763-20170724T104412.084023700.bin</t>
  </si>
  <si>
    <t>-668.104395157891 126.31134109759 -535.461491179673</t>
  </si>
  <si>
    <t>-686.093306935183 162.37159648005 -243.970030540638</t>
  </si>
  <si>
    <t>-453.239207458698 220.130705834586 -221.75080012964</t>
  </si>
  <si>
    <t>-625.527997698676 69.0123991268126 -101.035123255419</t>
  </si>
  <si>
    <t>-639.437649693875 82.0120237312053 302.068150158663</t>
  </si>
  <si>
    <t>-699.884148994731 105.075517139005 745.32613758106</t>
  </si>
  <si>
    <t>-555.099750302749 126.592171702086 805.838985320157</t>
  </si>
  <si>
    <t>-565.059615243952 -132.171265488416 306.013286384212</t>
  </si>
  <si>
    <t>-607.584524516737 -146.869922000568 751.664940209687</t>
  </si>
  <si>
    <t>-474.243113648608 -189.809497651156 825.580816848874</t>
  </si>
  <si>
    <t>9763-20170724T104412.119114400.bin</t>
  </si>
  <si>
    <t>-669.110730638105 126.138802814405 -535.429201789765</t>
  </si>
  <si>
    <t>-686.828234515167 162.194430633519 -243.92047635402</t>
  </si>
  <si>
    <t>-453.885584012296 219.661231984896 -221.871312403435</t>
  </si>
  <si>
    <t>-625.967105354673 68.9062589272107 -101.045412476361</t>
  </si>
  <si>
    <t>-639.55402738348 81.976537348258 302.066546292615</t>
  </si>
  <si>
    <t>-699.889122998153 105.093587402475 745.341730891754</t>
  </si>
  <si>
    <t>-555.127190864322 126.762208969873 805.853979078301</t>
  </si>
  <si>
    <t>-565.259630147114 -132.166897803404 306.004651768837</t>
  </si>
  <si>
    <t>-607.600092670117 -146.91658355988 751.677405798492</t>
  </si>
  <si>
    <t>-474.252828805226 -189.850220776703 825.586058349914</t>
  </si>
  <si>
    <t>9763-20170724T104412.186297900.bin</t>
  </si>
  <si>
    <t>-670.98517544491 125.644902285722 -535.323056447464</t>
  </si>
  <si>
    <t>-688.329492951298 161.531735031472 -243.77107905365</t>
  </si>
  <si>
    <t>-455.18760238057 218.48302427528 -222.504482913079</t>
  </si>
  <si>
    <t>-626.824540996957 68.4857892133418 -101.126818299064</t>
  </si>
  <si>
    <t>-639.670371611757 81.661728271303 302.006026677279</t>
  </si>
  <si>
    <t>-699.879981729365 105.029613134377 745.276308131388</t>
  </si>
  <si>
    <t>-555.095651662253 126.528112729741 805.795668529413</t>
  </si>
  <si>
    <t>-565.654055296326 -132.105350865823 305.976550591889</t>
  </si>
  <si>
    <t>-607.608528858383 -146.696871430255 751.685769212984</t>
  </si>
  <si>
    <t>-474.38060532923 -189.990138064549 825.599944835875</t>
  </si>
  <si>
    <t>9763-20170724T104412.252476700.bin</t>
  </si>
  <si>
    <t>-672.419858104106 125.36683267056 -535.205412749115</t>
  </si>
  <si>
    <t>-689.732261146698 160.94373611333 -243.613629011083</t>
  </si>
  <si>
    <t>-456.508733717557 217.722763941324 -222.785654536767</t>
  </si>
  <si>
    <t>-627.70103689042 68.1321632836043 -101.138019388547</t>
  </si>
  <si>
    <t>-640.00491752677 81.5036819529373 302.005263615769</t>
  </si>
  <si>
    <t>-699.86774921031 104.982161704368 745.326667550477</t>
  </si>
  <si>
    <t>-555.062378296515 126.295261236878 805.861403055008</t>
  </si>
  <si>
    <t>-566.026956044891 -132.113726606853 305.94970971882</t>
  </si>
  <si>
    <t>-607.621504636318 -146.612613587106 751.697575081117</t>
  </si>
  <si>
    <t>-474.423101671187 -190.007779787216 825.605119237416</t>
  </si>
  <si>
    <t>9763-20170724T104412.288571300.bin</t>
  </si>
  <si>
    <t>-672.967189528026 125.2506072478 -535.172331827535</t>
  </si>
  <si>
    <t>-690.329763908377 160.693216318596 -243.567208237738</t>
  </si>
  <si>
    <t>-457.098480905306 217.457375635503 -222.785814991951</t>
  </si>
  <si>
    <t>-628.143013616777 68.0024745261705 -101.134926644256</t>
  </si>
  <si>
    <t>-640.308191355391 81.4350907684316 302.010509800851</t>
  </si>
  <si>
    <t>-699.863350654464 104.967149082781 745.354676558917</t>
  </si>
  <si>
    <t>-555.103512045759 126.583041569234 805.890968827455</t>
  </si>
  <si>
    <t>-566.3034766244 -132.230311436549 305.936010267895</t>
  </si>
  <si>
    <t>-607.63725276555 -146.750735338499 751.710508077068</t>
  </si>
  <si>
    <t>-474.28025031674 -189.693181254205 825.596555953837</t>
  </si>
  <si>
    <t>9763-20170724T104412.353760400.bin</t>
  </si>
  <si>
    <t>-674.055264461 125.209663489088 -535.154571785698</t>
  </si>
  <si>
    <t>-691.621409136386 160.374001025007 -243.527844309706</t>
  </si>
  <si>
    <t>-458.421397601822 217.274967223466 -222.768858010421</t>
  </si>
  <si>
    <t>-629.097164510156 67.9441250421471 -101.141886672372</t>
  </si>
  <si>
    <t>-641.059411526537 81.442667572135 302.007373032749</t>
  </si>
  <si>
    <t>-699.859905186564 104.969753177387 745.431901994543</t>
  </si>
  <si>
    <t>-555.100650764697 126.539937188674 805.985977703685</t>
  </si>
  <si>
    <t>-566.942353854649 -132.094287642949 305.88353760338</t>
  </si>
  <si>
    <t>-607.649911307651 -146.607446278071 751.71937269502</t>
  </si>
  <si>
    <t>-474.360560440533 -189.768102421618 825.600379820481</t>
  </si>
  <si>
    <t>9763-20170724T104412.383838000.bin</t>
  </si>
  <si>
    <t>-674.516360284534 125.266815607572 -535.181030214279</t>
  </si>
  <si>
    <t>-692.214210311942 160.33306947029 -243.550482897923</t>
  </si>
  <si>
    <t>-459.032662476787 217.277146184095 -222.702955970317</t>
  </si>
  <si>
    <t>-629.569871765842 67.9719176433584 -101.144802395442</t>
  </si>
  <si>
    <t>-641.408733137075 81.4999817981045 302.007183724887</t>
  </si>
  <si>
    <t>-699.846059122244 104.924217031599 745.481913913727</t>
  </si>
  <si>
    <t>-555.048278030618 126.20824827556 806.045057734887</t>
  </si>
  <si>
    <t>-567.193910351627 -132.011461191767 305.855667276066</t>
  </si>
  <si>
    <t>-607.661466777694 -146.621571735161 751.727055086148</t>
  </si>
  <si>
    <t>-474.313178020971 -189.626658777491 825.592461043074</t>
  </si>
  <si>
    <t>9763-20170724T104412.453550000.bin</t>
  </si>
  <si>
    <t>-675.293096215644 125.255003807773 -535.231185818801</t>
  </si>
  <si>
    <t>-693.328223535237 160.182355379285 -243.604644728056</t>
  </si>
  <si>
    <t>-460.164919148093 217.235172225954 -222.851748234263</t>
  </si>
  <si>
    <t>-630.424655814985 68.0173515187512 -101.127650472651</t>
  </si>
  <si>
    <t>-641.843989407783 81.6430901943297 302.033133171393</t>
  </si>
  <si>
    <t>-699.825051180366 104.876250419061 745.581592461381</t>
  </si>
  <si>
    <t>-554.995805441803 125.871013386604 806.170430763995</t>
  </si>
  <si>
    <t>-567.635277442404 -131.858094304728 305.813708183581</t>
  </si>
  <si>
    <t>-607.67184133554 -146.65772513514 751.726528556404</t>
  </si>
  <si>
    <t>-474.285723177916 -189.561097166289 825.582765055842</t>
  </si>
  <si>
    <t>9763-20170724T104412.485635400.bin</t>
  </si>
  <si>
    <t>-675.648298429264 125.262975562881 -535.235829780825</t>
  </si>
  <si>
    <t>-693.76948772526 160.138948428838 -243.608448276089</t>
  </si>
  <si>
    <t>-460.611480508952 217.226840825928 -222.892632942979</t>
  </si>
  <si>
    <t>-630.877692035489 68.1373886499475 -101.104731780099</t>
  </si>
  <si>
    <t>-642.03871331529 81.7257934932618 302.064553830119</t>
  </si>
  <si>
    <t>-699.828894973493 104.907743669541 745.636558016933</t>
  </si>
  <si>
    <t>-555.018867295854 126.011037220562 806.233754137584</t>
  </si>
  <si>
    <t>-567.826694682546 -131.741591161738 305.804968018337</t>
  </si>
  <si>
    <t>-607.677859736106 -146.644084678659 751.730277476068</t>
  </si>
  <si>
    <t>-474.303521477632 -189.590503380296 825.582787577529</t>
  </si>
  <si>
    <t>9763-20170724T104412.556332700.bin</t>
  </si>
  <si>
    <t>-676.645370036838 125.447937618555 -535.234584074507</t>
  </si>
  <si>
    <t>-694.88009351213 160.218201037365 -243.601754433562</t>
  </si>
  <si>
    <t>-461.695104473095 217.265845211401 -223.078090327304</t>
  </si>
  <si>
    <t>-631.723957851664 68.3968944302208 -101.062619274002</t>
  </si>
  <si>
    <t>-642.599181124588 81.9734591259207 302.114868429157</t>
  </si>
  <si>
    <t>-699.828026475727 104.915050700338 745.753322475765</t>
  </si>
  <si>
    <t>-555.037705343798 126.116002210183 806.363263431393</t>
  </si>
  <si>
    <t>-568.258987088245 -131.432097131297 305.783744291546</t>
  </si>
  <si>
    <t>-607.689846939549 -146.412166989084 751.7332666716</t>
  </si>
  <si>
    <t>-474.351578493724 -189.48408659678 825.577938143298</t>
  </si>
  <si>
    <t>9763-20170724T104412.584405900.bin</t>
  </si>
  <si>
    <t>-677.119617469611 125.39492418231 -535.241765655937</t>
  </si>
  <si>
    <t>-695.402480413236 160.143363254533 -243.609164745321</t>
  </si>
  <si>
    <t>-462.203857333244 217.164633844661 -223.167683309996</t>
  </si>
  <si>
    <t>-632.09905763896 68.475394322656 -101.055338510111</t>
  </si>
  <si>
    <t>-642.914362827147 82.0655239548792 302.123206519594</t>
  </si>
  <si>
    <t>-699.825840457386 104.926496301104 745.812041268838</t>
  </si>
  <si>
    <t>-555.026897345998 126.01878502649 806.43944974978</t>
  </si>
  <si>
    <t>-568.490263030103 -131.41299548156 305.786655358341</t>
  </si>
  <si>
    <t>-607.706978099563 -146.572547550967 751.748799733566</t>
  </si>
  <si>
    <t>-474.222975311434 -189.231002923191 825.570060992209</t>
  </si>
  <si>
    <t>9763-20170724T104412.653447000.bin</t>
  </si>
  <si>
    <t>-677.839459233201 125.438639692605 -535.246392364353</t>
  </si>
  <si>
    <t>-696.220338253502 160.186674190853 -243.620008964005</t>
  </si>
  <si>
    <t>-463.030339802268 217.307507627208 -223.359285565964</t>
  </si>
  <si>
    <t>-632.79280980688 68.792660642715 -101.065722115316</t>
  </si>
  <si>
    <t>-643.381648089489 82.2931834286833 302.121942110894</t>
  </si>
  <si>
    <t>-699.827827286482 104.95644049094 745.904038826225</t>
  </si>
  <si>
    <t>-555.080212609622 126.340379690388 806.55191269719</t>
  </si>
  <si>
    <t>-568.888649704857 -131.156220135872 305.797178780859</t>
  </si>
  <si>
    <t>-607.72803708378 -146.559817486654 751.77569231128</t>
  </si>
  <si>
    <t>-474.272230879101 -189.324135665412 825.5866727934</t>
  </si>
  <si>
    <t>9763-20170724T104412.688540900.bin</t>
  </si>
  <si>
    <t>-678.138068695249 125.416406414758 -535.293329315321</t>
  </si>
  <si>
    <t>-696.545384430955 160.169030016535 -243.669188709708</t>
  </si>
  <si>
    <t>-463.351230473738 217.2856938798 -223.445040893393</t>
  </si>
  <si>
    <t>-633.086738371772 68.8667066425405 -101.068560905962</t>
  </si>
  <si>
    <t>-643.511416353452 82.4173611665731 302.121734546914</t>
  </si>
  <si>
    <t>-699.829597934498 104.960195863659 745.935608122353</t>
  </si>
  <si>
    <t>-555.092927204915 126.394862436626 806.591694167715</t>
  </si>
  <si>
    <t>-568.996720115874 -130.984115187893 305.793271404316</t>
  </si>
  <si>
    <t>-607.718096947769 -146.337116664947 751.773222523643</t>
  </si>
  <si>
    <t>-474.363946096656 -189.393032490975 825.598225983561</t>
  </si>
  <si>
    <t>9763-20170724T104412.756312200.bin</t>
  </si>
  <si>
    <t>-678.590902668993 125.058082816387 -535.357095681537</t>
  </si>
  <si>
    <t>-697.002179573283 160.089857800562 -243.766633400351</t>
  </si>
  <si>
    <t>-463.789594919477 217.16062936915 -223.625092454155</t>
  </si>
  <si>
    <t>-633.54457821427 68.8395499082872 -101.069799430643</t>
  </si>
  <si>
    <t>-643.784001056572 82.4707039708442 302.122504066019</t>
  </si>
  <si>
    <t>-699.831260971306 104.918671217077 745.97820626265</t>
  </si>
  <si>
    <t>-555.073745087879 126.22435540909 806.629778890475</t>
  </si>
  <si>
    <t>-569.209795279929 -130.994858341139 305.800612499461</t>
  </si>
  <si>
    <t>-607.740293150415 -146.469282124235 751.792420846202</t>
  </si>
  <si>
    <t>-474.152831154703 -188.84479280029 825.589547934358</t>
  </si>
  <si>
    <t>9763-20170724T104412.785387900.bin</t>
  </si>
  <si>
    <t>-678.645185454195 124.854224637659 -535.374047604353</t>
  </si>
  <si>
    <t>-696.95285760146 160.046790517838 -243.796384580743</t>
  </si>
  <si>
    <t>-463.731472589826 217.144201954747 -223.832841978162</t>
  </si>
  <si>
    <t>-633.726069366661 68.8052174893703 -101.073799125705</t>
  </si>
  <si>
    <t>-643.895996001817 82.4487884952134 302.119865945002</t>
  </si>
  <si>
    <t>-699.830379015789 104.920272611585 745.994027538348</t>
  </si>
  <si>
    <t>-555.103780897205 126.427020541199 806.648480609197</t>
  </si>
  <si>
    <t>-569.336110879597 -131.053231339993 305.80186949998</t>
  </si>
  <si>
    <t>-607.749432672716 -146.537245447444 751.797881501521</t>
  </si>
  <si>
    <t>-474.127193220415 -188.807212000242 825.592597079403</t>
  </si>
  <si>
    <t>9763-20170724T104412.855584100.bin</t>
  </si>
  <si>
    <t>-678.626341586102 124.641595825237 -535.467260244384</t>
  </si>
  <si>
    <t>-696.76578999432 160.14543645057 -243.916880749814</t>
  </si>
  <si>
    <t>-463.521798846832 217.212209478431 -224.130787153273</t>
  </si>
  <si>
    <t>-634.003806548012 68.746920807291 -101.11148252228</t>
  </si>
  <si>
    <t>-644.000426585106 82.4630283893875 302.084069410404</t>
  </si>
  <si>
    <t>-699.813821958027 104.851680728698 746.008143402696</t>
  </si>
  <si>
    <t>-555.069685398218 126.206467832828 806.674394925475</t>
  </si>
  <si>
    <t>-569.43047083802 -130.772913185971 305.788915536826</t>
  </si>
  <si>
    <t>-607.736187080529 -146.187172220932 751.792637314552</t>
  </si>
  <si>
    <t>-474.411935456066 -189.314084662144 825.63038220335</t>
  </si>
  <si>
    <t>9763-20170724T104412.886675100.bin</t>
  </si>
  <si>
    <t>-678.615670063348 124.473058774753 -535.498218221613</t>
  </si>
  <si>
    <t>-696.656982088342 160.105385386517 -243.957459011077</t>
  </si>
  <si>
    <t>-463.390128124642 217.110433813618 -224.263515145085</t>
  </si>
  <si>
    <t>-634.044647978611 68.6424941987298 -101.122595510568</t>
  </si>
  <si>
    <t>-644.029306153845 82.4075612503698 302.071526508033</t>
  </si>
  <si>
    <t>-699.803222203431 104.817188872844 746.009111404275</t>
  </si>
  <si>
    <t>-555.054616315792 126.106742078811 806.687772656426</t>
  </si>
  <si>
    <t>-569.480895006313 -130.843029690592 305.792266999762</t>
  </si>
  <si>
    <t>-607.752672766215 -146.276786550922 751.801021382177</t>
  </si>
  <si>
    <t>-474.27614100791 -188.961523358173 825.620659571315</t>
  </si>
  <si>
    <t>9763-20170724T104412.921764100.bin</t>
  </si>
  <si>
    <t>-678.661193425675 124.485258209228 -535.498513692647</t>
  </si>
  <si>
    <t>-696.543317627938 160.243809200109 -243.963465967201</t>
  </si>
  <si>
    <t>-463.24594869726 217.160533410065 -224.374485426701</t>
  </si>
  <si>
    <t>-634.070893360452 68.6206693826937 -101.13092013264</t>
  </si>
  <si>
    <t>-644.042351692513 82.4521241127566 302.061242162119</t>
  </si>
  <si>
    <t>-699.795266516685 104.810134502189 746.006447457596</t>
  </si>
  <si>
    <t>-555.076821526327 126.287376888742 806.69093519412</t>
  </si>
  <si>
    <t>-569.527691575696 -130.699173501289 305.788618714039</t>
  </si>
  <si>
    <t>-607.745278276125 -145.932946047808 751.796133801757</t>
  </si>
  <si>
    <t>-474.52181278577 -189.360663400558 825.639342930721</t>
  </si>
  <si>
    <t>9763-20170724T104412.987669300.bin</t>
  </si>
  <si>
    <t>-678.848657532971 124.352080330691 -535.474539051546</t>
  </si>
  <si>
    <t>-696.387508283487 160.294347881747 -243.941064976948</t>
  </si>
  <si>
    <t>-463.057842823536 217.147714940976 -224.555953167133</t>
  </si>
  <si>
    <t>-634.194936699818 68.4681974686803 -101.132760248741</t>
  </si>
  <si>
    <t>-644.049685321786 82.3064583194705 302.062061002424</t>
  </si>
  <si>
    <t>-699.759315538496 104.729078194831 746.005467104737</t>
  </si>
  <si>
    <t>-555.008536791999 125.884433953371 806.725655189984</t>
  </si>
  <si>
    <t>-569.715237669273 -130.805280994562 305.791347846811</t>
  </si>
  <si>
    <t>-607.771562158486 -145.948738237617 751.811633671389</t>
  </si>
  <si>
    <t>-474.377485010228 -188.894703362292 825.628705343532</t>
  </si>
  <si>
    <t>9763-20170724T104413.050336100.bin</t>
  </si>
  <si>
    <t>-679.025258351205 124.142140508189 -535.44992534034</t>
  </si>
  <si>
    <t>-696.313973508487 160.347015106624 -243.933923883207</t>
  </si>
  <si>
    <t>-462.934237612626 217.055412762076 -224.72601803332</t>
  </si>
  <si>
    <t>-634.205579104883 68.2125525098299 -101.112524319825</t>
  </si>
  <si>
    <t>-644.0250588 82.1538982328871 302.079586558191</t>
  </si>
  <si>
    <t>-699.74173818416 104.695924231561 746.011404784281</t>
  </si>
  <si>
    <t>-555.023107648611 126.001848667395 806.755710350101</t>
  </si>
  <si>
    <t>-569.824940185789 -130.964447055338 305.784038437024</t>
  </si>
  <si>
    <t>-607.798686581649 -145.999952303131 751.826340010507</t>
  </si>
  <si>
    <t>-474.356452535376 -188.824612558357 825.626828251514</t>
  </si>
  <si>
    <t>9763-20170724T104413.087496600.bin</t>
  </si>
  <si>
    <t>-679.078362988282 124.057228228769 -535.446852104615</t>
  </si>
  <si>
    <t>-696.216071073991 160.427409796834 -243.942606340128</t>
  </si>
  <si>
    <t>-462.819820037933 217.087613867528 -224.793603282823</t>
  </si>
  <si>
    <t>-634.228768906309 68.1198098396803 -101.107250696537</t>
  </si>
  <si>
    <t>-644.053340383389 82.1270166214447 302.082391747312</t>
  </si>
  <si>
    <t>-699.748129005791 104.715752582276 746.013251666623</t>
  </si>
  <si>
    <t>-555.075927331216 126.342213505275 806.754958913052</t>
  </si>
  <si>
    <t>-569.823130256235 -131.024214782026 305.783540447754</t>
  </si>
  <si>
    <t>-607.814194248033 -146.025727711158 751.834055449745</t>
  </si>
  <si>
    <t>-474.374487495593 -188.870484813893 825.627532104568</t>
  </si>
  <si>
    <t>9763-20170724T104413.153225200.bin</t>
  </si>
  <si>
    <t>-679.142539453009 123.877243776973 -535.395741860253</t>
  </si>
  <si>
    <t>-696.033974718907 160.423028045433 -243.899134538359</t>
  </si>
  <si>
    <t>-462.608322574057 217.018060675666 -224.916467313113</t>
  </si>
  <si>
    <t>-634.230321017852 67.8785936542424 -101.099047491002</t>
  </si>
  <si>
    <t>-644.023768648186 81.9560158653915 302.089015106459</t>
  </si>
  <si>
    <t>-699.728416723539 104.616522270787 746.015741297439</t>
  </si>
  <si>
    <t>-555.039625563571 126.132988785582 806.756950086436</t>
  </si>
  <si>
    <t>-569.923324168058 -131.075973253585 305.792825712865</t>
  </si>
  <si>
    <t>-607.84197191236 -146.031145143857 751.848193524094</t>
  </si>
  <si>
    <t>-474.41859021221 -188.942141148061 825.632622715118</t>
  </si>
  <si>
    <t>9763-20170724T104413.185309800.bin</t>
  </si>
  <si>
    <t>-679.205750546357 123.811086279941 -535.363327666212</t>
  </si>
  <si>
    <t>-695.99250316454 160.42642307865 -243.8692659797</t>
  </si>
  <si>
    <t>-462.553567552502 216.99557070157 -224.97391271138</t>
  </si>
  <si>
    <t>-634.258765874046 67.7623873092621 -101.098271232816</t>
  </si>
  <si>
    <t>-644.031139029982 81.8556577428651 302.089706620019</t>
  </si>
  <si>
    <t>-699.712274384727 104.565003290117 746.018794559753</t>
  </si>
  <si>
    <t>-554.996265643305 125.875248871208 806.767881859356</t>
  </si>
  <si>
    <t>-569.960093165558 -131.128061825768 305.792266490261</t>
  </si>
  <si>
    <t>-607.850864358197 -146.007732789688 751.849864690537</t>
  </si>
  <si>
    <t>-474.432415834652 -188.933899351014 825.63444142608</t>
  </si>
  <si>
    <t>9763-20170724T104413.251498900.bin</t>
  </si>
  <si>
    <t>-679.323445809008 123.739418380725 -535.255077719124</t>
  </si>
  <si>
    <t>-695.827230372495 160.288292138233 -243.736658759083</t>
  </si>
  <si>
    <t>-462.370079180926 216.830773884074 -224.98534260176</t>
  </si>
  <si>
    <t>-634.157436397218 67.4914424404885 -101.049685092028</t>
  </si>
  <si>
    <t>-643.976621249951 81.735767372262 302.131903472729</t>
  </si>
  <si>
    <t>-699.690846453564 104.499255443378 746.037932220665</t>
  </si>
  <si>
    <t>-554.99002395042 125.882838361895 806.797584684109</t>
  </si>
  <si>
    <t>-569.977228427786 -131.216301708503 305.791659387228</t>
  </si>
  <si>
    <t>-607.863039467668 -145.790604976715 751.852228783586</t>
  </si>
  <si>
    <t>-474.465597471209 -188.789893108962 825.632289636158</t>
  </si>
  <si>
    <t>9763-20170724T104413.286591800.bin</t>
  </si>
  <si>
    <t>-679.383001820294 123.765747388775 -535.1795976513</t>
  </si>
  <si>
    <t>-695.936895325487 160.299774003402 -243.662242019199</t>
  </si>
  <si>
    <t>-462.480438579426 216.858804692959 -224.95284718651</t>
  </si>
  <si>
    <t>-634.152058848794 67.4633745752474 -101.030188628149</t>
  </si>
  <si>
    <t>-643.875705742233 81.6803510266145 302.154593935826</t>
  </si>
  <si>
    <t>-699.693074862444 104.481967443503 746.043319371388</t>
  </si>
  <si>
    <t>-555.020289362421 126.086229741447 806.791491102874</t>
  </si>
  <si>
    <t>-569.994984892182 -131.156303810574 305.791914791442</t>
  </si>
  <si>
    <t>-607.862946009751 -145.63664607489 751.852865563064</t>
  </si>
  <si>
    <t>-474.5904271583 -188.999983217644 825.645564055936</t>
  </si>
  <si>
    <t>9763-20170724T104413.350262800.bin</t>
  </si>
  <si>
    <t>-679.5765191761 123.583851353532 -535.057332517913</t>
  </si>
  <si>
    <t>-696.42868867311 160.063342006396 -243.55009346736</t>
  </si>
  <si>
    <t>-463.0184759738 216.800404286923 -224.803353476948</t>
  </si>
  <si>
    <t>-634.15103548263 67.1532589595654 -100.991558675522</t>
  </si>
  <si>
    <t>-643.63245665021 81.3108379894309 302.201177135131</t>
  </si>
  <si>
    <t>-699.67498385534 104.339719797231 746.053246312959</t>
  </si>
  <si>
    <t>-554.939757408938 125.555129772099 806.789758412385</t>
  </si>
  <si>
    <t>-569.972451318278 -131.318218979903 305.800089546658</t>
  </si>
  <si>
    <t>-607.88053154795 -145.658410126788 751.858280058153</t>
  </si>
  <si>
    <t>-474.475717474319 -188.64027128567 825.635015713626</t>
  </si>
  <si>
    <t>9763-20170724T104413.388389500.bin</t>
  </si>
  <si>
    <t>-679.706013912868 123.383519190639 -535.043152035293</t>
  </si>
  <si>
    <t>-696.866201346578 159.913212465243 -243.560097630985</t>
  </si>
  <si>
    <t>-463.484836965487 216.738952950719 -224.722267664505</t>
  </si>
  <si>
    <t>-634.08641230779 66.9590438895646 -100.973863996686</t>
  </si>
  <si>
    <t>-643.571523593585 81.1622031257882 302.217154955457</t>
  </si>
  <si>
    <t>-699.669060690889 104.284795733348 746.054151070855</t>
  </si>
  <si>
    <t>-554.933939200912 125.526362416254 806.781674158003</t>
  </si>
  <si>
    <t>-569.968738395151 -131.399247478438 305.803037522834</t>
  </si>
  <si>
    <t>-607.891073391691 -145.734452412957 751.859527327076</t>
  </si>
  <si>
    <t>-474.515120802479 -188.79499845447 825.642703145262</t>
  </si>
  <si>
    <t>9763-20170724T104413.451218500.bin</t>
  </si>
  <si>
    <t>-680.267742422111 122.986594597432 -535.042057890761</t>
  </si>
  <si>
    <t>-698.734259091124 159.375308239277 -243.621222515814</t>
  </si>
  <si>
    <t>-465.343578567047 216.090868366225 -224.567700029223</t>
  </si>
  <si>
    <t>-634.007730761181 66.7177110267639 -100.959359009408</t>
  </si>
  <si>
    <t>-643.472729940069 80.9643125481516 302.230568650165</t>
  </si>
  <si>
    <t>-699.663281213005 104.219677731157 746.047795564773</t>
  </si>
  <si>
    <t>-554.953753551036 125.688775626078 806.756410956085</t>
  </si>
  <si>
    <t>-569.942249206384 -131.600974271907 305.799644561038</t>
  </si>
  <si>
    <t>-607.897877306604 -145.746304412329 751.856686788003</t>
  </si>
  <si>
    <t>-474.338459234487 -188.250232519729 825.630600264398</t>
  </si>
  <si>
    <t>9763-20170724T104413.485301100.bin</t>
  </si>
  <si>
    <t>-680.57948371897 122.956612114342 -535.02786713398</t>
  </si>
  <si>
    <t>-700.153077950885 159.083336848351 -243.646867902048</t>
  </si>
  <si>
    <t>-466.757428984278 215.745890075443 -224.497168068083</t>
  </si>
  <si>
    <t>-633.972569928219 66.6895263170347 -100.956478492671</t>
  </si>
  <si>
    <t>-643.373450475996 80.9321661200872 302.235154123749</t>
  </si>
  <si>
    <t>-699.651450511432 104.160527202806 746.045267639419</t>
  </si>
  <si>
    <t>-554.925921424152 125.525963543076 806.75223298268</t>
  </si>
  <si>
    <t>-569.981355279079 -131.466990585894 305.785460980218</t>
  </si>
  <si>
    <t>-607.888766979827 -145.572658515923 751.845501043143</t>
  </si>
  <si>
    <t>-474.565085212677 -188.751717686491 825.653693845532</t>
  </si>
  <si>
    <t>9763-20170724T104413.554020200.bin</t>
  </si>
  <si>
    <t>-681.347402407214 122.997737607796 -535.0790122452</t>
  </si>
  <si>
    <t>-703.884446648165 158.064990024412 -243.782660055119</t>
  </si>
  <si>
    <t>-470.577514808883 214.992629947889 -224.340653171433</t>
  </si>
  <si>
    <t>-634.075580843339 66.7533099504672 -100.948999073581</t>
  </si>
  <si>
    <t>-643.244382204511 80.8504572655793 302.253043105345</t>
  </si>
  <si>
    <t>-699.638768193349 104.061017180759 746.04598611752</t>
  </si>
  <si>
    <t>-554.897205897596 125.352448833861 806.740754092826</t>
  </si>
  <si>
    <t>-570.136711567686 -131.319578744937 305.75277468835</t>
  </si>
  <si>
    <t>-607.890020285499 -145.479632370781 751.830918293534</t>
  </si>
  <si>
    <t>-474.556562373491 -188.609435999437 825.650304442513</t>
  </si>
  <si>
    <t>9763-20170724T104413.591122600.bin</t>
  </si>
  <si>
    <t>-681.810788010044 122.985547458511 -535.125568292866</t>
  </si>
  <si>
    <t>-705.819196476152 157.478979154269 -243.878278504267</t>
  </si>
  <si>
    <t>-472.590640471258 214.601071389165 -224.069781609311</t>
  </si>
  <si>
    <t>-634.252411374582 66.8228290154382 -100.952764518416</t>
  </si>
  <si>
    <t>-643.296222788597 80.8820876101468 302.253410380994</t>
  </si>
  <si>
    <t>-699.632252334491 104.022074396478 746.051497090736</t>
  </si>
  <si>
    <t>-554.872523483573 125.189451033439 806.746314387316</t>
  </si>
  <si>
    <t>-570.191632167322 -131.263026870627 305.736513284853</t>
  </si>
  <si>
    <t>-607.888551622256 -145.45858369176 751.819081918176</t>
  </si>
  <si>
    <t>-474.607109184174 -188.726312583797 825.651752905895</t>
  </si>
  <si>
    <t>9763-20170724T104413.652786500.bin</t>
  </si>
  <si>
    <t>-682.912597045401 122.851426293248 -535.185937608518</t>
  </si>
  <si>
    <t>-709.109397564787 156.539014463034 -244.032865802195</t>
  </si>
  <si>
    <t>-475.960957564698 213.719264892453 -223.464366409385</t>
  </si>
  <si>
    <t>-634.772755084456 66.9750120549695 -101.008124075242</t>
  </si>
  <si>
    <t>-643.594080250935 81.0562402120047 302.202202755744</t>
  </si>
  <si>
    <t>-699.624509215295 104.02473520017 746.0513448426</t>
  </si>
  <si>
    <t>-554.897138947798 125.378167424336 806.758267807981</t>
  </si>
  <si>
    <t>-570.31950260364 -131.02589249999 305.727433917992</t>
  </si>
  <si>
    <t>-607.895708722473 -145.408052102718 751.814990434157</t>
  </si>
  <si>
    <t>-474.641856998956 -188.747683036646 825.655231771215</t>
  </si>
  <si>
    <t>9763-20170724T104413.685874700.bin</t>
  </si>
  <si>
    <t>-683.396865309311 122.669327633667 -535.14673219527</t>
  </si>
  <si>
    <t>-710.25956818963 156.237477325011 -244.040540685571</t>
  </si>
  <si>
    <t>-477.107495120534 213.292444614646 -223.166344891381</t>
  </si>
  <si>
    <t>-635.062726013187 67.0024603491245 -101.039897986611</t>
  </si>
  <si>
    <t>-643.794823450497 81.129177408827 302.170843405812</t>
  </si>
  <si>
    <t>-699.615658284392 104.036741653812 746.049688652601</t>
  </si>
  <si>
    <t>-554.891661431448 125.343819886517 806.78067460996</t>
  </si>
  <si>
    <t>-570.404927019313 -130.903385622047 305.722785311568</t>
  </si>
  <si>
    <t>-607.897937739894 -145.333299957728 751.816114713945</t>
  </si>
  <si>
    <t>-474.665232616505 -188.738678657975 825.656008210071</t>
  </si>
  <si>
    <t>9763-20170724T104413.720968300.bin</t>
  </si>
  <si>
    <t>-683.918096581529 122.519475011823 -535.173855493758</t>
  </si>
  <si>
    <t>-711.462670824361 156.04427187113 -244.126473463556</t>
  </si>
  <si>
    <t>-478.30382442495 212.955644993767 -222.939035295538</t>
  </si>
  <si>
    <t>-635.38419425919 67.0302732372768 -101.065937320123</t>
  </si>
  <si>
    <t>-644.040419155367 81.2112575868343 302.144432457463</t>
  </si>
  <si>
    <t>-699.606675579483 104.04366204532 746.054734530031</t>
  </si>
  <si>
    <t>-554.866210032052 125.167861149009 806.810565491378</t>
  </si>
  <si>
    <t>-570.532139901717 -130.792459325542 305.704973503945</t>
  </si>
  <si>
    <t>-607.890877371941 -145.122660445913 751.807808756633</t>
  </si>
  <si>
    <t>-474.708628239127 -188.669801476156 825.655237938144</t>
  </si>
  <si>
    <t>9763-20170724T104413.783171400.bin</t>
  </si>
  <si>
    <t>-685.307997659169 122.239141536042 -535.288643699475</t>
  </si>
  <si>
    <t>-714.224418958117 155.584452119557 -244.353644477844</t>
  </si>
  <si>
    <t>-481.071643130643 212.481951659284 -223.06155715679</t>
  </si>
  <si>
    <t>-636.071184841265 67.1033505736859 -101.092832970796</t>
  </si>
  <si>
    <t>-644.482095038606 81.2547593357931 302.123798832192</t>
  </si>
  <si>
    <t>-699.589511426544 103.998363508291 746.087458253585</t>
  </si>
  <si>
    <t>-554.840501930662 125.012444051851 806.861089003954</t>
  </si>
  <si>
    <t>-570.826408049894 -130.746583103707 305.662147939705</t>
  </si>
  <si>
    <t>-607.909710066893 -145.27193017861 751.804902132935</t>
  </si>
  <si>
    <t>-474.606177018852 -188.466973541918 825.640116414694</t>
  </si>
  <si>
    <t>9763-20170724T104413.855302400.bin</t>
  </si>
  <si>
    <t>-686.547135171261 122.16360811168 -535.286875536261</t>
  </si>
  <si>
    <t>-716.645118777659 155.278233431947 -244.445588575522</t>
  </si>
  <si>
    <t>-483.540617338578 212.395664909753 -223.214730777523</t>
  </si>
  <si>
    <t>-636.561730046926 67.0882603171578 -101.099882131512</t>
  </si>
  <si>
    <t>-644.826651588605 81.3375705116162 302.116283892476</t>
  </si>
  <si>
    <t>-699.589784414107 103.970005220058 746.120400634169</t>
  </si>
  <si>
    <t>-554.850863418304 125.035115081805 806.900308670227</t>
  </si>
  <si>
    <t>-571.137688596265 -130.571795084 305.628743562912</t>
  </si>
  <si>
    <t>-607.90938228062 -145.080257909457 751.799852628991</t>
  </si>
  <si>
    <t>-474.726200135157 -188.630004103942 825.643926097537</t>
  </si>
  <si>
    <t>9763-20170724T104413.889393400.bin</t>
  </si>
  <si>
    <t>-687.137132423683 122.0839654804 -535.287774099508</t>
  </si>
  <si>
    <t>-717.892883097001 154.988431735408 -244.491314831826</t>
  </si>
  <si>
    <t>-484.833625758075 212.272540192384 -223.212484227072</t>
  </si>
  <si>
    <t>-636.764878731104 67.0619866832185 -101.100572715366</t>
  </si>
  <si>
    <t>-644.952865958108 81.3533440572933 302.115727274964</t>
  </si>
  <si>
    <t>-699.583366949849 103.954410327082 746.136425375831</t>
  </si>
  <si>
    <t>-554.85539314928 125.068198127617 806.925611361886</t>
  </si>
  <si>
    <t>-571.238424567176 -130.574559351233 305.614064926106</t>
  </si>
  <si>
    <t>-607.913379447726 -145.080471850662 751.795652455232</t>
  </si>
  <si>
    <t>-474.622779989354 -188.315574438229 825.630965973576</t>
  </si>
  <si>
    <t>9763-20170724T104413.938027100.bin</t>
  </si>
  <si>
    <t>-687.764179485636 121.994185983005 -535.243145370052</t>
  </si>
  <si>
    <t>-719.044796881194 154.687067410522 -244.478773132416</t>
  </si>
  <si>
    <t>-486.025058093266 212.133367661349 -223.204842553183</t>
  </si>
  <si>
    <t>-636.978730264745 67.0332947794127 -101.098508837799</t>
  </si>
  <si>
    <t>-645.043305132692 81.334618415224 302.11995548401</t>
  </si>
  <si>
    <t>-699.587720601099 103.967615355593 746.153276502015</t>
  </si>
  <si>
    <t>-554.878838074432 125.201900249074 806.945953407969</t>
  </si>
  <si>
    <t>-571.325178464386 -130.553713982128 305.608890027895</t>
  </si>
  <si>
    <t>-607.916111410454 -145.042991246816 751.79796382472</t>
  </si>
  <si>
    <t>-474.570290952984 -188.117386590521 825.627439838567</t>
  </si>
  <si>
    <t>9763-20170724T104413.984192800.bin</t>
  </si>
  <si>
    <t>-688.904702174628 121.762215745039 -535.162685962495</t>
  </si>
  <si>
    <t>-720.737777289336 154.152457554761 -244.424403642011</t>
  </si>
  <si>
    <t>-487.782432531883 211.812466788708 -223.023683692841</t>
  </si>
  <si>
    <t>-637.373721005807 66.8607353592672 -101.104441832805</t>
  </si>
  <si>
    <t>-645.178783978486 81.1708964033223 302.118789592576</t>
  </si>
  <si>
    <t>-699.54821117204 103.813102403327 746.181921623317</t>
  </si>
  <si>
    <t>-554.766594560232 124.490445491704 806.993411702264</t>
  </si>
  <si>
    <t>-571.490526389541 -130.49095328603 305.607148690474</t>
  </si>
  <si>
    <t>-607.932047287597 -145.019501215452 751.809676611528</t>
  </si>
  <si>
    <t>-474.656321421087 -188.317042732003 825.635142459003</t>
  </si>
  <si>
    <t>9763-20170724T104414.052448600.bin</t>
  </si>
  <si>
    <t>-689.801283299528 121.396082173412 -535.108001689647</t>
  </si>
  <si>
    <t>-721.880057537793 153.696314863877 -244.38679401557</t>
  </si>
  <si>
    <t>-488.982858668258 211.511636184558 -222.772550613668</t>
  </si>
  <si>
    <t>-637.732921569828 66.5917356118287 -101.116174339578</t>
  </si>
  <si>
    <t>-645.450085045164 81.1160335750417 302.101079546632</t>
  </si>
  <si>
    <t>-699.536292348994 103.786888693866 746.202297339495</t>
  </si>
  <si>
    <t>-554.780805344374 124.568219331578 807.040401006477</t>
  </si>
  <si>
    <t>-571.660945926158 -130.562770463533 305.614184791063</t>
  </si>
  <si>
    <t>-607.943497292793 -144.910191765544 751.823215405611</t>
  </si>
  <si>
    <t>-474.626140735339 -188.107802270105 825.632070651033</t>
  </si>
  <si>
    <t>9763-20170724T104414.087543900.bin</t>
  </si>
  <si>
    <t>-690.254160671135 121.254608300198 -535.100819276647</t>
  </si>
  <si>
    <t>-722.484751292495 153.492575170168 -244.389403353238</t>
  </si>
  <si>
    <t>-489.628588315274 211.456439087885 -222.731290011228</t>
  </si>
  <si>
    <t>-637.93193042048 66.512970578794 -101.117683047118</t>
  </si>
  <si>
    <t>-645.593425505023 81.0799410316993 302.099088631594</t>
  </si>
  <si>
    <t>-699.539455502052 103.809442370085 746.212952859388</t>
  </si>
  <si>
    <t>-554.818292762023 124.813092818437 807.056494259148</t>
  </si>
  <si>
    <t>-571.800672161196 -130.606530452867 305.625694692811</t>
  </si>
  <si>
    <t>-607.964602652578 -144.981055927346 751.842910373215</t>
  </si>
  <si>
    <t>-474.644988303991 -188.198272718987 825.636213080992</t>
  </si>
  <si>
    <t>9763-20170724T104414.152349700.bin</t>
  </si>
  <si>
    <t>-691.165034598482 120.80888695029 -535.123354780152</t>
  </si>
  <si>
    <t>-723.555031718876 153.017098692805 -244.426413207115</t>
  </si>
  <si>
    <t>-490.758186446323 211.232022361991 -222.804245362554</t>
  </si>
  <si>
    <t>-638.346931816987 66.2499438793623 -101.117775966439</t>
  </si>
  <si>
    <t>-645.834985810244 80.9392024201854 302.097891703714</t>
  </si>
  <si>
    <t>-699.533023623087 103.807290077481 746.234192903908</t>
  </si>
  <si>
    <t>-554.83112071936 124.882417751133 807.098763799481</t>
  </si>
  <si>
    <t>-572.091889932791 -130.6796731395 305.628859094777</t>
  </si>
  <si>
    <t>-607.996917315604 -145.01408801305 751.877506464831</t>
  </si>
  <si>
    <t>-474.61616925349 -188.101658173914 825.636115843633</t>
  </si>
  <si>
    <t>9763-20170724T104414.186440700.bin</t>
  </si>
  <si>
    <t>-691.558696383586 120.603001239617 -535.137439868472</t>
  </si>
  <si>
    <t>-724.003570023414 152.861894998899 -244.452158330725</t>
  </si>
  <si>
    <t>-491.226043717056 211.168868330469 -222.870171815231</t>
  </si>
  <si>
    <t>-638.521284603266 66.135623633648 -101.121049863592</t>
  </si>
  <si>
    <t>-645.942787844715 80.8846803223657 302.09358162959</t>
  </si>
  <si>
    <t>-699.525717427483 103.78907549638 746.243813123649</t>
  </si>
  <si>
    <t>-554.858810036717 125.076376592991 807.117811791825</t>
  </si>
  <si>
    <t>-572.18149652629 -130.685906442154 305.625361285682</t>
  </si>
  <si>
    <t>-608.00121720043 -144.982026840853 751.881700185271</t>
  </si>
  <si>
    <t>-474.709014899926 -188.329474884922 825.648109774065</t>
  </si>
  <si>
    <t>9763-20170724T104414.230558800.bin</t>
  </si>
  <si>
    <t>-691.882205655299 120.287992579953 -535.165118798483</t>
  </si>
  <si>
    <t>-724.362773260391 152.640011017941 -244.494181150354</t>
  </si>
  <si>
    <t>-491.591284809997 210.969215910818 -222.906783864209</t>
  </si>
  <si>
    <t>-638.645026855728 65.9306938924942 -101.125224233266</t>
  </si>
  <si>
    <t>-646.060378108035 80.7789620557598 302.085915054989</t>
  </si>
  <si>
    <t>-699.504543729219 103.748088256238 746.24687638146</t>
  </si>
  <si>
    <t>-554.780232794027 124.535350543066 807.157140955982</t>
  </si>
  <si>
    <t>-572.317664679588 -130.854100262693 305.627994081848</t>
  </si>
  <si>
    <t>-608.01891647918 -145.152552923059 751.898898220263</t>
  </si>
  <si>
    <t>-474.554378644153 -188.006792312482 825.641940331366</t>
  </si>
  <si>
    <t>9763-20170724T104414.284288800.bin</t>
  </si>
  <si>
    <t>-692.471752620068 119.832783028167 -535.410024039798</t>
  </si>
  <si>
    <t>-725.034549248983 152.4269952626 -244.775481047198</t>
  </si>
  <si>
    <t>-492.279505363156 210.733033735255 -222.950278698869</t>
  </si>
  <si>
    <t>-638.953135700724 65.7144378657995 -101.187313710525</t>
  </si>
  <si>
    <t>-646.280620862686 80.8325968016084 302.015449591417</t>
  </si>
  <si>
    <t>-699.499554374779 103.844440393802 746.230764855101</t>
  </si>
  <si>
    <t>-554.839787032295 124.909031911342 807.199113277329</t>
  </si>
  <si>
    <t>-572.570030389021 -130.810587315934 305.641431542286</t>
  </si>
  <si>
    <t>-608.007334953809 -144.838870827464 751.9120495645</t>
  </si>
  <si>
    <t>-474.621634871159 -187.929364381212 825.660032512504</t>
  </si>
  <si>
    <t>9763-20170724T104414.350970100.bin</t>
  </si>
  <si>
    <t>-692.707309058578 119.089059007621 -535.70033073298</t>
  </si>
  <si>
    <t>-724.604479835594 152.770970329321 -245.115966036854</t>
  </si>
  <si>
    <t>-491.660984180991 210.301604548712 -223.24323115761</t>
  </si>
  <si>
    <t>-639.231407980873 65.2577290994436 -101.309209602347</t>
  </si>
  <si>
    <t>-646.357809930019 80.828927918991 301.879866171832</t>
  </si>
  <si>
    <t>-699.516306875401 103.911910049871 746.123000812423</t>
  </si>
  <si>
    <t>-554.893729056585 125.149735151591 807.119417456529</t>
  </si>
  <si>
    <t>-572.772886883547 -130.968748415745 305.690195981389</t>
  </si>
  <si>
    <t>-608.035488355349 -144.997141407276 751.964585881924</t>
  </si>
  <si>
    <t>-474.545196702162 -187.826779511331 825.675307321748</t>
  </si>
  <si>
    <t>9763-20170724T104414.384568600.bin</t>
  </si>
  <si>
    <t>-692.708192667652 118.855862953483 -535.810190403488</t>
  </si>
  <si>
    <t>-723.936729855886 153.261448325892 -245.237898968902</t>
  </si>
  <si>
    <t>-490.874589761093 210.398008196855 -223.596965406646</t>
  </si>
  <si>
    <t>-639.3268540276 65.0815629762949 -101.362908818735</t>
  </si>
  <si>
    <t>-646.346113790566 80.8005220747818 301.822359240889</t>
  </si>
  <si>
    <t>-699.524474951253 103.906904914536 746.053665878855</t>
  </si>
  <si>
    <t>-554.909196655935 125.200258163434 807.047891936756</t>
  </si>
  <si>
    <t>-572.805066801518 -130.922158748775 305.7173072882</t>
  </si>
  <si>
    <t>-608.020857450216 -144.656297999329 751.974630891024</t>
  </si>
  <si>
    <t>-474.714879110496 -188.038170634997 825.695890827564</t>
  </si>
  <si>
    <t>9763-20170724T104414.450245000.bin</t>
  </si>
  <si>
    <t>-692.65434926183 118.429388052401 -536.023419435478</t>
  </si>
  <si>
    <t>-722.146400210306 154.416168538891 -245.461213352146</t>
  </si>
  <si>
    <t>-488.751374740179 210.527254279549 -224.74498448184</t>
  </si>
  <si>
    <t>-639.424013848203 64.872353494959 -101.454717280015</t>
  </si>
  <si>
    <t>-646.322216908802 80.6373035432678 301.730818350996</t>
  </si>
  <si>
    <t>-699.53323164057 103.878827179862 745.930689240369</t>
  </si>
  <si>
    <t>-554.881888199562 124.917676037785 806.92794757146</t>
  </si>
  <si>
    <t>-572.919647734631 -131.129474454663 305.73926217631</t>
  </si>
  <si>
    <t>-608.045269728761 -144.937205133649 752.004860994555</t>
  </si>
  <si>
    <t>-474.454831893714 -187.508578361547 825.683728381814</t>
  </si>
  <si>
    <t>9763-20170724T104414.487384700.bin</t>
  </si>
  <si>
    <t>-692.58476351976 118.257074211314 -536.141748451913</t>
  </si>
  <si>
    <t>-721.054159644767 155.001952628226 -245.572570546755</t>
  </si>
  <si>
    <t>-487.47181660414 210.534462185617 -225.415683272718</t>
  </si>
  <si>
    <t>-639.43040988954 64.8122616604669 -101.503487630809</t>
  </si>
  <si>
    <t>-646.283583336293 80.6236083909957 301.680930263498</t>
  </si>
  <si>
    <t>-699.535835472492 103.870702414512 745.877463220549</t>
  </si>
  <si>
    <t>-554.858000352791 124.70503467068 806.881841188227</t>
  </si>
  <si>
    <t>-572.955197165495 -131.123707819395 305.743112661349</t>
  </si>
  <si>
    <t>-608.050730729852 -144.92736271469 752.01098168883</t>
  </si>
  <si>
    <t>-474.507261214648 -187.642599855498 825.691657592046</t>
  </si>
  <si>
    <t>9763-20170724T104414.551054300.bin</t>
  </si>
  <si>
    <t>-692.25679086611 118.268956113169 -536.286187431684</t>
  </si>
  <si>
    <t>-718.278451956193 156.83199246968 -245.723033010608</t>
  </si>
  <si>
    <t>-484.259516523966 211.040708132094 -227.084413069861</t>
  </si>
  <si>
    <t>-639.256371055437 64.8902794558737 -101.584476808239</t>
  </si>
  <si>
    <t>-646.120088531123 80.7368357054947 301.598411438661</t>
  </si>
  <si>
    <t>-699.564791787418 103.915503560332 745.772267352834</t>
  </si>
  <si>
    <t>-554.911764155972 124.969596249112 806.760139201445</t>
  </si>
  <si>
    <t>-573.044375317887 -131.043091376839 305.745421462827</t>
  </si>
  <si>
    <t>-608.055077670218 -144.799402001687 752.016241733866</t>
  </si>
  <si>
    <t>-474.544778331709 -187.632077125326 825.688893488853</t>
  </si>
  <si>
    <t>9763-20170724T104414.588658200.bin</t>
  </si>
  <si>
    <t>-691.930444303676 118.328517202116 -536.347062002836</t>
  </si>
  <si>
    <t>-716.562951869094 157.727505195916 -245.774903895304</t>
  </si>
  <si>
    <t>-482.316789232199 211.269991612211 -228.08842580064</t>
  </si>
  <si>
    <t>-639.131623889115 64.9371841140369 -101.603481847825</t>
  </si>
  <si>
    <t>-646.039205902797 80.7613551107718 301.579469619098</t>
  </si>
  <si>
    <t>-699.590547453697 103.963843407062 745.727803475722</t>
  </si>
  <si>
    <t>-554.979223523466 125.363197182845 806.694397319824</t>
  </si>
  <si>
    <t>-573.073559648376 -131.156650471804 305.739194608803</t>
  </si>
  <si>
    <t>-608.068968745123 -145.039679934712 752.018591404166</t>
  </si>
  <si>
    <t>-474.396229871135 -187.394406211755 825.672952428828</t>
  </si>
  <si>
    <t>9763-20170724T104414.650328100.bin</t>
  </si>
  <si>
    <t>-691.003948989888 118.441476887904 -536.398932460307</t>
  </si>
  <si>
    <t>-712.891016375712 159.44444924148 -245.828930537213</t>
  </si>
  <si>
    <t>-478.225807706122 211.740006704141 -230.071534350203</t>
  </si>
  <si>
    <t>-638.692116478558 64.9182770884888 -101.631328967109</t>
  </si>
  <si>
    <t>-645.729516935664 80.6783167262886 301.551981751649</t>
  </si>
  <si>
    <t>-699.579360776197 103.845071815217 745.660584802022</t>
  </si>
  <si>
    <t>-554.87011041386 124.610494760327 806.614120458168</t>
  </si>
  <si>
    <t>-573.032561141265 -131.051605235117 305.71906972026</t>
  </si>
  <si>
    <t>-608.052440068121 -144.69434724898 751.999633390044</t>
  </si>
  <si>
    <t>-474.543077371531 -187.51971233289 825.678189295867</t>
  </si>
  <si>
    <t>9763-20170724T104414.687549000.bin</t>
  </si>
  <si>
    <t>-690.464882486322 118.70140566774 -536.405787041882</t>
  </si>
  <si>
    <t>-711.320879802198 160.423983921748 -245.862378395637</t>
  </si>
  <si>
    <t>-476.468804204393 212.101315324201 -230.867627015088</t>
  </si>
  <si>
    <t>-638.414253180552 65.0548482627964 -101.637835511471</t>
  </si>
  <si>
    <t>-645.576902648948 80.7233392816145 301.546832832298</t>
  </si>
  <si>
    <t>-699.588501941264 103.848626837186 745.639695363209</t>
  </si>
  <si>
    <t>-554.89141291505 124.737778121882 806.579742270794</t>
  </si>
  <si>
    <t>-572.956668148057 -130.920308481013 305.707592254044</t>
  </si>
  <si>
    <t>-608.045150793166 -144.513604042865 751.990079097772</t>
  </si>
  <si>
    <t>-474.704371506109 -187.832102210796 825.685626834299</t>
  </si>
  <si>
    <t>9763-20170724T104414.754741200.bin</t>
  </si>
  <si>
    <t>-689.193895533237 118.984471526576 -536.402005037039</t>
  </si>
  <si>
    <t>-708.979958502233 161.282639475833 -245.867026196596</t>
  </si>
  <si>
    <t>-473.924027933208 212.29603759644 -231.823289484422</t>
  </si>
  <si>
    <t>-637.649507596865 65.0357876240785 -101.615036570732</t>
  </si>
  <si>
    <t>-645.048009217068 80.6815995076975 301.566208563853</t>
  </si>
  <si>
    <t>-699.590437112783 103.792734788606 745.601006193095</t>
  </si>
  <si>
    <t>-554.926060962709 124.991848891755 806.511735598515</t>
  </si>
  <si>
    <t>-572.656110742769 -131.168255093765 305.696361902821</t>
  </si>
  <si>
    <t>-608.062844120849 -144.895209184077 751.969192972894</t>
  </si>
  <si>
    <t>-474.49991246335 -187.543056180429 825.653582100406</t>
  </si>
  <si>
    <t>9763-20170724T104414.786825900.bin</t>
  </si>
  <si>
    <t>-688.566016321503 119.127402281533 -536.362189209798</t>
  </si>
  <si>
    <t>-708.197912770655 161.404350370084 -245.813629951171</t>
  </si>
  <si>
    <t>-473.111959712981 212.337804869847 -231.984273901025</t>
  </si>
  <si>
    <t>-637.244495407344 65.0144507021666 -101.594945819613</t>
  </si>
  <si>
    <t>-644.728027526979 80.5856732743205 301.587670308717</t>
  </si>
  <si>
    <t>-699.588550337928 103.750832159435 745.587309097413</t>
  </si>
  <si>
    <t>-554.913834769355 124.918512933837 806.48440519605</t>
  </si>
  <si>
    <t>-572.468121070487 -131.228381188535 305.683624565804</t>
  </si>
  <si>
    <t>-608.052831479084 -144.765757353814 751.947172455898</t>
  </si>
  <si>
    <t>-474.467093201043 -187.322700213961 825.642794870606</t>
  </si>
  <si>
    <t>9763-20170724T104414.851000100.bin</t>
  </si>
  <si>
    <t>-687.621440690013 119.478355904776 -536.251036128226</t>
  </si>
  <si>
    <t>-707.343877820119 161.537067112551 -245.676880147539</t>
  </si>
  <si>
    <t>-472.195555634118 212.133171496871 -231.670658708297</t>
  </si>
  <si>
    <t>-636.596769298836 65.0664449188473 -101.528617483548</t>
  </si>
  <si>
    <t>-644.291689505215 80.525470500708 301.654288461523</t>
  </si>
  <si>
    <t>-699.574057765567 103.666708811774 745.589306870607</t>
  </si>
  <si>
    <t>-554.890749882619 124.827429513817 806.468483830094</t>
  </si>
  <si>
    <t>-572.133924285106 -131.248961849306 305.669028248403</t>
  </si>
  <si>
    <t>-608.047069869605 -144.824029437211 751.90452300876</t>
  </si>
  <si>
    <t>-474.580114318632 -187.681216307867 825.641401535675</t>
  </si>
  <si>
    <t>9763-20170724T104414.884101700.bin</t>
  </si>
  <si>
    <t>-687.265887218768 119.678050976827 -536.171201024175</t>
  </si>
  <si>
    <t>-707.175447859385 161.429243447013 -245.565527367238</t>
  </si>
  <si>
    <t>-472.028650976511 211.983821483049 -231.385108178084</t>
  </si>
  <si>
    <t>-636.375417941598 65.111848543213 -101.501539190747</t>
  </si>
  <si>
    <t>-644.169869164974 80.5326608328051 301.680951329864</t>
  </si>
  <si>
    <t>-699.565818376142 103.639840732617 745.595455571106</t>
  </si>
  <si>
    <t>-554.883097203644 124.822517201129 806.468221802074</t>
  </si>
  <si>
    <t>-572.040378563104 -131.217190013998 305.658935940944</t>
  </si>
  <si>
    <t>-608.037481896541 -144.647324032918 751.884196842331</t>
  </si>
  <si>
    <t>-474.616453220354 -187.621559552956 825.636150163092</t>
  </si>
  <si>
    <t>9763-20170724T104414.954287000.bin</t>
  </si>
  <si>
    <t>-686.717143437813 120.036030886318 -536.005946159846</t>
  </si>
  <si>
    <t>-707.07049294992 161.088381684903 -245.331417347585</t>
  </si>
  <si>
    <t>-471.951227461225 211.6718883111 -230.801792964041</t>
  </si>
  <si>
    <t>-636.064660482307 65.1829741956612 -101.468316226432</t>
  </si>
  <si>
    <t>-643.970527931561 80.587748972554 301.712594268814</t>
  </si>
  <si>
    <t>-699.562579205088 103.63875343166 745.603211432994</t>
  </si>
  <si>
    <t>-554.918226200759 125.121257235089 806.461996029992</t>
  </si>
  <si>
    <t>-571.831740851105 -131.052237284054 305.639371533552</t>
  </si>
  <si>
    <t>-608.013920922688 -144.310840279514 751.843888512054</t>
  </si>
  <si>
    <t>-474.669025690992 -187.474665863201 825.622704239506</t>
  </si>
  <si>
    <t>9763-20170724T104414.988377700.bin</t>
  </si>
  <si>
    <t>-686.51257980205 120.161940584683 -535.931985035599</t>
  </si>
  <si>
    <t>-706.987971896468 160.913916007873 -245.22386631844</t>
  </si>
  <si>
    <t>-471.896839900793 211.582396647005 -230.53600905283</t>
  </si>
  <si>
    <t>-635.963021246076 65.1919854412913 -101.45223329942</t>
  </si>
  <si>
    <t>-643.926875152738 80.6212403437723 301.726684700076</t>
  </si>
  <si>
    <t>-699.562914444006 103.636417375993 745.607212881402</t>
  </si>
  <si>
    <t>-554.903795449346 125.023592515975 806.464547991478</t>
  </si>
  <si>
    <t>-571.694538669453 -131.019397899255 305.626383707162</t>
  </si>
  <si>
    <t>-608.013122912369 -144.277949675218 751.828930498849</t>
  </si>
  <si>
    <t>-474.727450827442 -187.595474541838 825.624646163383</t>
  </si>
  <si>
    <t>9763-20170724T104415.053065000.bin</t>
  </si>
  <si>
    <t>-686.234381193824 120.34669627248 -535.828433641633</t>
  </si>
  <si>
    <t>-706.778252993215 160.756253820619 -245.077307071758</t>
  </si>
  <si>
    <t>-471.726700484176 211.518529345517 -230.082704382699</t>
  </si>
  <si>
    <t>-635.976761090994 65.2391505778128 -101.446917723462</t>
  </si>
  <si>
    <t>-644.023033992631 80.7074793305419 301.728855803051</t>
  </si>
  <si>
    <t>-699.55149491492 103.607950040537 745.625011256248</t>
  </si>
  <si>
    <t>-554.871103492333 124.845170410403 806.484377968447</t>
  </si>
  <si>
    <t>-571.671081989981 -130.983318882982 305.616619347715</t>
  </si>
  <si>
    <t>-608.025630079937 -144.317377196142 751.818005018691</t>
  </si>
  <si>
    <t>-474.72010566414 -187.571547197524 825.615088523823</t>
  </si>
  <si>
    <t>9763-20170724T104415.085151700.bin</t>
  </si>
  <si>
    <t>-686.191538550332 120.413701211151 -535.798333133027</t>
  </si>
  <si>
    <t>-706.698462031084 160.72113567545 -245.030365390802</t>
  </si>
  <si>
    <t>-471.648086620594 211.446660157914 -229.89492696995</t>
  </si>
  <si>
    <t>-636.04421761761 65.2419193307112 -101.440229694815</t>
  </si>
  <si>
    <t>-644.148098126087 80.7289826947656 301.733617268075</t>
  </si>
  <si>
    <t>-699.540565169226 103.599743664035 745.641942678171</t>
  </si>
  <si>
    <t>-554.860738123792 124.820301953547 806.508543650713</t>
  </si>
  <si>
    <t>-571.743476874937 -131.054621578453 305.612336979535</t>
  </si>
  <si>
    <t>-608.039918687985 -144.418566457348 751.816934936714</t>
  </si>
  <si>
    <t>-474.587320598085 -187.247613649872 825.596284694385</t>
  </si>
  <si>
    <t>9763-20170724T104415.151833100.bin</t>
  </si>
  <si>
    <t>-686.159012703149 120.739588439463 -535.728496264595</t>
  </si>
  <si>
    <t>-706.541834826217 160.934180485418 -244.93620779333</t>
  </si>
  <si>
    <t>-471.549466360523 211.800828679473 -229.378463348049</t>
  </si>
  <si>
    <t>-636.225975024578 65.3937154570096 -101.429703634074</t>
  </si>
  <si>
    <t>-644.336805742953 80.8482051517419 301.745242472122</t>
  </si>
  <si>
    <t>-699.540897101678 103.646312296069 745.682160483284</t>
  </si>
  <si>
    <t>-554.866590995056 124.877223998791 806.558170661267</t>
  </si>
  <si>
    <t>-571.946375344482 -130.856823542373 305.586007677327</t>
  </si>
  <si>
    <t>-608.048254305793 -144.329792147278 751.81017178067</t>
  </si>
  <si>
    <t>-474.765663520887 -187.663722902347 825.601979913966</t>
  </si>
  <si>
    <t>9763-20170724T104415.184941400.bin</t>
  </si>
  <si>
    <t>-686.095542994346 120.897173747853 -535.704137950193</t>
  </si>
  <si>
    <t>-706.473204017719 161.051515439284 -244.905915611883</t>
  </si>
  <si>
    <t>-471.477991309233 211.839764305684 -229.13620505749</t>
  </si>
  <si>
    <t>-636.304383106233 65.4529427026107 -101.420040319689</t>
  </si>
  <si>
    <t>-644.373505576763 80.8783692642148 301.756845877636</t>
  </si>
  <si>
    <t>-699.534108195467 103.626904429308 745.702259125582</t>
  </si>
  <si>
    <t>-554.859287959619 124.866615709379 806.574027452233</t>
  </si>
  <si>
    <t>-572.036537973692 -130.814345982457 305.581340157835</t>
  </si>
  <si>
    <t>-608.055767761914 -144.308739122688 751.808881828809</t>
  </si>
  <si>
    <t>-474.742330412486 -187.55895838328 825.594059634162</t>
  </si>
  <si>
    <t>9763-20170724T104415.249612800.bin</t>
  </si>
  <si>
    <t>-686.088480855497 121.115746086347 -535.676120733312</t>
  </si>
  <si>
    <t>-706.345047426575 161.256726235578 -244.867752717398</t>
  </si>
  <si>
    <t>-471.321018504175 211.855679719582 -228.920441984557</t>
  </si>
  <si>
    <t>-636.3815338379 65.5212807517582 -101.396775793513</t>
  </si>
  <si>
    <t>-644.382643586551 80.94218140677 301.781693064552</t>
  </si>
  <si>
    <t>-699.517182737355 103.582260227864 745.736548298371</t>
  </si>
  <si>
    <t>-554.801774564274 124.530898063184 806.612629589028</t>
  </si>
  <si>
    <t>-572.14650854182 -130.727234120449 305.573953712996</t>
  </si>
  <si>
    <t>-608.055469035506 -144.167823058359 751.803361875046</t>
  </si>
  <si>
    <t>-474.863310539935 -187.766496419517 825.602383628346</t>
  </si>
  <si>
    <t>9763-20170724T104415.289302300.bin</t>
  </si>
  <si>
    <t>-686.188692811768 121.089537284277 -535.66587020644</t>
  </si>
  <si>
    <t>-706.297848251423 161.232418216591 -244.847426858397</t>
  </si>
  <si>
    <t>-471.253088643195 211.73962913329 -228.914850962709</t>
  </si>
  <si>
    <t>-636.512667093174 65.5784591889999 -101.38625865475</t>
  </si>
  <si>
    <t>-644.391732089499 80.944437794635 301.796739476204</t>
  </si>
  <si>
    <t>-699.512449158611 103.577564155927 745.75248799605</t>
  </si>
  <si>
    <t>-554.805597643525 124.585712695315 806.628412030001</t>
  </si>
  <si>
    <t>-572.203948765374 -130.699854494906 305.58085166247</t>
  </si>
  <si>
    <t>-608.060478037865 -144.177123991928 751.808620659392</t>
  </si>
  <si>
    <t>-474.754030836822 -187.446660101434 825.595096554363</t>
  </si>
  <si>
    <t>9763-20170724T104415.354478300.bin</t>
  </si>
  <si>
    <t>-686.424573555881 121.130804302942 -535.617704679146</t>
  </si>
  <si>
    <t>-706.305266513903 161.349672922851 -244.794071121286</t>
  </si>
  <si>
    <t>-471.240466622893 211.757696609589 -228.842424378999</t>
  </si>
  <si>
    <t>-636.783764726467 65.670707859266 -101.396265368323</t>
  </si>
  <si>
    <t>-644.475192395964 81.0362077677635 301.790267880861</t>
  </si>
  <si>
    <t>-699.503595503876 103.604526815314 745.772573750328</t>
  </si>
  <si>
    <t>-554.818961480396 124.74468403083 806.655787806489</t>
  </si>
  <si>
    <t>-572.359894781758 -130.493437163683 305.589814381435</t>
  </si>
  <si>
    <t>-608.070288243138 -143.996184066263 751.818558961022</t>
  </si>
  <si>
    <t>-474.929283845249 -187.757787156033 825.613298148359</t>
  </si>
  <si>
    <t>9763-20170724T104415.387566900.bin</t>
  </si>
  <si>
    <t>-686.636570405709 121.151839453185 -535.598836744446</t>
  </si>
  <si>
    <t>-706.309308270542 161.434746831571 -244.769859966149</t>
  </si>
  <si>
    <t>-471.260749130476 211.854657662913 -228.619147177588</t>
  </si>
  <si>
    <t>-636.966671002065 65.7046842803338 -101.394918858959</t>
  </si>
  <si>
    <t>-644.555620111092 81.095655422208 301.792604425465</t>
  </si>
  <si>
    <t>-699.493861258399 103.596514420954 745.786609862646</t>
  </si>
  <si>
    <t>-554.814123044484 124.755212472632 806.675013792824</t>
  </si>
  <si>
    <t>-572.399065236856 -130.484540051987 305.584307022961</t>
  </si>
  <si>
    <t>-608.082114023895 -144.016743878622 751.820268271053</t>
  </si>
  <si>
    <t>-474.910812155618 -187.696190390908 825.609276180661</t>
  </si>
  <si>
    <t>9763-20170724T104415.453244300.bin</t>
  </si>
  <si>
    <t>-687.309831259263 121.047842698912 -535.541860717397</t>
  </si>
  <si>
    <t>-706.270970640431 161.588166168662 -244.701391824942</t>
  </si>
  <si>
    <t>-471.334288455044 212.206959844716 -227.574297856976</t>
  </si>
  <si>
    <t>-637.364999373061 65.7560551916458 -101.395816464011</t>
  </si>
  <si>
    <t>-644.737535917007 81.1693294199713 301.794902118444</t>
  </si>
  <si>
    <t>-699.46854339184 103.564716839682 745.823186335726</t>
  </si>
  <si>
    <t>-554.752301439549 124.431798564867 806.725314417677</t>
  </si>
  <si>
    <t>-572.58772386256 -130.398021787252 305.575102831515</t>
  </si>
  <si>
    <t>-608.105176472798 -144.032256446194 751.829829871921</t>
  </si>
  <si>
    <t>-474.870579792271 -187.548268185898 825.601137907838</t>
  </si>
  <si>
    <t>9763-20170724T104415.484338800.bin</t>
  </si>
  <si>
    <t>-687.782164888534 121.040875708748 -535.484133260254</t>
  </si>
  <si>
    <t>-706.119299673871 161.785411138329 -244.632211197462</t>
  </si>
  <si>
    <t>-471.290034455818 212.632859070654 -226.726330344873</t>
  </si>
  <si>
    <t>-637.595842710882 65.8588401783461 -101.394047049731</t>
  </si>
  <si>
    <t>-644.819557801158 81.2246311165745 301.801183195174</t>
  </si>
  <si>
    <t>-699.470638431861 103.593391820465 745.840100154681</t>
  </si>
  <si>
    <t>-554.782750739301 124.650234765653 806.744359574333</t>
  </si>
  <si>
    <t>-572.730505428132 -130.355728904348 305.575088623154</t>
  </si>
  <si>
    <t>-608.123610959509 -144.120385693569 751.837543239678</t>
  </si>
  <si>
    <t>-474.787040281708 -187.349985255651 825.59283040012</t>
  </si>
  <si>
    <t>9763-20170724T104415.554026200.bin</t>
  </si>
  <si>
    <t>-689.098910128476 121.277358251604 -535.326724246153</t>
  </si>
  <si>
    <t>-705.597423234973 162.782499411024 -244.472211618052</t>
  </si>
  <si>
    <t>-471.134732525034 214.22941594253 -223.703618823351</t>
  </si>
  <si>
    <t>-638.092137817349 66.2052906233855 -101.364941906376</t>
  </si>
  <si>
    <t>-644.919963035167 81.4311285259446 301.842475041692</t>
  </si>
  <si>
    <t>-699.461251294303 103.621876728399 745.887208505651</t>
  </si>
  <si>
    <t>-554.807853917711 124.89884348295 806.796875342776</t>
  </si>
  <si>
    <t>-572.820785926235 -130.004878716808 305.555505205735</t>
  </si>
  <si>
    <t>-608.126010477498 -144.033508031102 751.817996121958</t>
  </si>
  <si>
    <t>-474.879087750215 -187.504394757914 825.593522004873</t>
  </si>
  <si>
    <t>9763-20170724T104415.589121500.bin</t>
  </si>
  <si>
    <t>-689.71021730421 121.396338920836 -535.220053441708</t>
  </si>
  <si>
    <t>-705.328067751722 163.216241056688 -244.362089223081</t>
  </si>
  <si>
    <t>-471.092945108412 215.018616838063 -221.972022933386</t>
  </si>
  <si>
    <t>-638.348877616206 66.2862538124809 -101.341880448968</t>
  </si>
  <si>
    <t>-644.943782945865 81.4550177409881 301.871558933479</t>
  </si>
  <si>
    <t>-699.441165959171 103.585767346356 745.923278899393</t>
  </si>
  <si>
    <t>-554.736742579117 124.474589811581 806.845916828089</t>
  </si>
  <si>
    <t>-572.835930317517 -129.857031351304 305.544605513642</t>
  </si>
  <si>
    <t>-608.13230932734 -144.056398067932 751.811245601788</t>
  </si>
  <si>
    <t>-474.89528979521 -187.550628843453 825.590898480231</t>
  </si>
  <si>
    <t>9763-20170724T104415.649282600.bin</t>
  </si>
  <si>
    <t>-690.824262787721 121.795231093674 -534.912779450866</t>
  </si>
  <si>
    <t>-704.698529873557 164.185483918263 -244.048902131066</t>
  </si>
  <si>
    <t>-470.925623869488 216.493670179796 -218.2624285557</t>
  </si>
  <si>
    <t>-638.948658766682 66.5468987494753 -101.280490142746</t>
  </si>
  <si>
    <t>-644.992840299614 81.4713503411799 301.950703802484</t>
  </si>
  <si>
    <t>-699.424344624902 103.590007639312 746.017262730894</t>
  </si>
  <si>
    <t>-554.715186849335 124.429906902473 806.945452163373</t>
  </si>
  <si>
    <t>-572.875974573886 -129.530092083101 305.526904964667</t>
  </si>
  <si>
    <t>-608.141054935162 -143.979640409028 751.785210594068</t>
  </si>
  <si>
    <t>-474.885099283676 -187.39824375204 825.575236131872</t>
  </si>
  <si>
    <t>9763-20170724T104415.685985100.bin</t>
  </si>
  <si>
    <t>-691.420822697365 122.039154690317 -534.741374817229</t>
  </si>
  <si>
    <t>-704.482226420065 164.675287636798 -243.875737812188</t>
  </si>
  <si>
    <t>-470.879665674925 216.965276116668 -216.554381404693</t>
  </si>
  <si>
    <t>-639.299646794379 66.5809901273979 -101.229043667026</t>
  </si>
  <si>
    <t>-645.090728489229 81.4969151312409 302.006160245094</t>
  </si>
  <si>
    <t>-699.424282654111 103.620353721694 746.078091418421</t>
  </si>
  <si>
    <t>-554.739667116697 124.638094911599 807.003474627225</t>
  </si>
  <si>
    <t>-572.999961514406 -129.413256029469 305.503643465166</t>
  </si>
  <si>
    <t>-608.148730687111 -143.901161053305 751.77506372272</t>
  </si>
  <si>
    <t>-474.877548754009 -187.270922188302 825.566281945566</t>
  </si>
  <si>
    <t>9763-20170724T104415.753668900.bin</t>
  </si>
  <si>
    <t>-692.608743465974 122.456990225021 -534.356962658436</t>
  </si>
  <si>
    <t>-704.18292743631 165.228418682163 -243.44823982809</t>
  </si>
  <si>
    <t>-470.939152624154 217.860377955504 -213.815792350283</t>
  </si>
  <si>
    <t>-640.193181897162 66.5912882219243 -101.146634466366</t>
  </si>
  <si>
    <t>-645.409673537194 81.4477789598964 302.098655338534</t>
  </si>
  <si>
    <t>-699.36993395304 103.499426109096 746.215216079423</t>
  </si>
  <si>
    <t>-554.576432357608 123.688254903007 807.162444273047</t>
  </si>
  <si>
    <t>-573.464351373129 -129.296508052847 305.464848967608</t>
  </si>
  <si>
    <t>-608.197304118067 -144.067685214313 751.780345132821</t>
  </si>
  <si>
    <t>-474.877691767863 -187.320411516129 825.55292689242</t>
  </si>
  <si>
    <t>9763-20170724T104415.785987400.bin</t>
  </si>
  <si>
    <t>-693.386971779716 122.591314548748 -534.152098288389</t>
  </si>
  <si>
    <t>-704.141151081139 165.357299132448 -243.211171521368</t>
  </si>
  <si>
    <t>-471.068484246737 218.268207339509 -212.741025571856</t>
  </si>
  <si>
    <t>-640.690946618981 66.5540335148373 -101.10780542848</t>
  </si>
  <si>
    <t>-645.59175842323 81.4335365823119 302.140492606989</t>
  </si>
  <si>
    <t>-699.361442645752 103.49330452827 746.284276803612</t>
  </si>
  <si>
    <t>-554.587492407268 123.839891556081 807.225368323104</t>
  </si>
  <si>
    <t>-573.77931166627 -129.293576009614 305.444993231475</t>
  </si>
  <si>
    <t>-608.219439612657 -144.159592918426 751.785607350585</t>
  </si>
  <si>
    <t>-474.879785450587 -187.362062020226 825.551200937718</t>
  </si>
  <si>
    <t>9763-20170724T104415.850663400.bin</t>
  </si>
  <si>
    <t>-694.837758902616 122.612882449125 -533.776317920632</t>
  </si>
  <si>
    <t>-704.400551931175 165.687648914716 -242.83935216239</t>
  </si>
  <si>
    <t>-471.619729317176 218.946909498505 -210.786732668125</t>
  </si>
  <si>
    <t>-641.538139913081 66.3626781994271 -101.030584311263</t>
  </si>
  <si>
    <t>-645.95016527327 81.3789060917586 302.218311718534</t>
  </si>
  <si>
    <t>-699.35081703139 103.501154097854 746.405581962708</t>
  </si>
  <si>
    <t>-554.587343939582 123.935271368216 807.3422816056</t>
  </si>
  <si>
    <t>-574.314615312135 -129.323706179197 305.438042481723</t>
  </si>
  <si>
    <t>-608.258778229182 -144.248945936403 751.816654004525</t>
  </si>
  <si>
    <t>-474.868915393924 -187.332525039081 825.560987534797</t>
  </si>
  <si>
    <t>9763-20170724T104415.885257900.bin</t>
  </si>
  <si>
    <t>-695.545734026878 122.552402710612 -533.616925607255</t>
  </si>
  <si>
    <t>-704.775302199654 165.806198474445 -242.69572968967</t>
  </si>
  <si>
    <t>-472.151547207841 219.461509410756 -210.166140922536</t>
  </si>
  <si>
    <t>-641.90357546147 66.1760053544881 -100.988027581658</t>
  </si>
  <si>
    <t>-646.080168232414 81.2956522336096 302.259586203827</t>
  </si>
  <si>
    <t>-699.337508630492 103.476458540006 746.458326432503</t>
  </si>
  <si>
    <t>-554.560663548543 123.801147481844 807.400101469156</t>
  </si>
  <si>
    <t>-574.513058272523 -129.422098745611 305.448111637447</t>
  </si>
  <si>
    <t>-608.278480882229 -144.307439489846 751.836372144024</t>
  </si>
  <si>
    <t>-474.756652176643 -187.018727696265 825.558613698779</t>
  </si>
  <si>
    <t>9763-20170724T104415.950934700.bin</t>
  </si>
  <si>
    <t>-697.023972335827 122.535484082643 -533.335280876826</t>
  </si>
  <si>
    <t>-706.016977999144 166.515958976626 -242.515598837493</t>
  </si>
  <si>
    <t>-473.649939167147 220.77601166153 -209.165247311749</t>
  </si>
  <si>
    <t>-642.604607400846 65.9830394691423 -100.910192963116</t>
  </si>
  <si>
    <t>-646.262857567264 81.1430610517698 302.340926525348</t>
  </si>
  <si>
    <t>-699.31260244173 103.422314630076 746.562952631502</t>
  </si>
  <si>
    <t>-554.517968848955 123.597242675871 807.511902883326</t>
  </si>
  <si>
    <t>-574.80633930288 -129.278226501872 305.449349212662</t>
  </si>
  <si>
    <t>-608.300628889865 -144.111689991421 751.862767572645</t>
  </si>
  <si>
    <t>-475.034405979136 -187.592380825914 825.597704706765</t>
  </si>
  <si>
    <t>9763-20170724T104415.984526800.bin</t>
  </si>
  <si>
    <t>-697.782027456192 122.469000744808 -533.243146619068</t>
  </si>
  <si>
    <t>-706.964658361736 166.787312106435 -242.480678364733</t>
  </si>
  <si>
    <t>-474.812058694358 221.86716034807 -208.980468061538</t>
  </si>
  <si>
    <t>-642.966370258793 65.8679884385137 -100.872506451377</t>
  </si>
  <si>
    <t>-646.359899849497 81.0161823983763 302.381381173447</t>
  </si>
  <si>
    <t>-699.303546091469 103.399433003839 746.611815236104</t>
  </si>
  <si>
    <t>-554.498610421295 123.49531319386 807.562365785715</t>
  </si>
  <si>
    <t>-574.956043545 -129.358766097796 305.452697692851</t>
  </si>
  <si>
    <t>-608.316248401719 -144.093600479353 751.876082590014</t>
  </si>
  <si>
    <t>-474.916387341886 -187.203607506542 825.586961285417</t>
  </si>
  <si>
    <t>9763-20170724T104416.054215600.bin</t>
  </si>
  <si>
    <t>-699.354303958156 122.09952866611 -533.083642084532</t>
  </si>
  <si>
    <t>-709.294596550956 166.56475558497 -242.368539951664</t>
  </si>
  <si>
    <t>-477.701042633277 224.64331908519 -210.085776000654</t>
  </si>
  <si>
    <t>-643.589396167511 65.4926732372085 -100.810112460529</t>
  </si>
  <si>
    <t>-646.640536183672 80.7709698110443 302.44158633452</t>
  </si>
  <si>
    <t>-699.284212989415 103.339075319836 746.698269782607</t>
  </si>
  <si>
    <t>-554.454193464452 123.243074131618 807.652248181035</t>
  </si>
  <si>
    <t>-575.259038049418 -129.518660808541 305.469876440379</t>
  </si>
  <si>
    <t>-608.354043907454 -144.175980388372 751.916053409132</t>
  </si>
  <si>
    <t>-474.783166510677 -186.825146830367 825.585382637871</t>
  </si>
  <si>
    <t>9763-20170724T104416.085801300.bin</t>
  </si>
  <si>
    <t>-700.070783228265 121.843071760524 -533.006894452153</t>
  </si>
  <si>
    <t>-710.507778837931 165.825195850548 -242.235640641907</t>
  </si>
  <si>
    <t>-479.539231204223 226.794111547745 -210.816301265864</t>
  </si>
  <si>
    <t>-643.879173904528 65.248650782112 -100.787187636305</t>
  </si>
  <si>
    <t>-646.805213904403 80.6595870995113 302.460383988141</t>
  </si>
  <si>
    <t>-699.274123685133 103.312361009507 746.731420851686</t>
  </si>
  <si>
    <t>-554.44001508999 123.167828811267 807.691500180542</t>
  </si>
  <si>
    <t>-575.340404582967 -129.605245374235 305.485096526503</t>
  </si>
  <si>
    <t>-608.370312520404 -144.208527306011 751.935651954871</t>
  </si>
  <si>
    <t>-474.77404424492 -186.796266901085 825.594454078731</t>
  </si>
  <si>
    <t>9763-20170724T104416.150478300.bin</t>
  </si>
  <si>
    <t>-701.673044411098 121.36898366526 -532.906711567518</t>
  </si>
  <si>
    <t>-712.904754758971 163.592642810241 -241.904703125281</t>
  </si>
  <si>
    <t>-483.928332332243 232.948045514991 -213.435907058172</t>
  </si>
  <si>
    <t>-644.511435247147 64.9463079509987 -100.787709476059</t>
  </si>
  <si>
    <t>-647.161876842879 80.5379827544848 302.45480014665</t>
  </si>
  <si>
    <t>-699.26218365976 103.287541611174 746.77820637338</t>
  </si>
  <si>
    <t>-554.470035676565 123.424508457418 807.745644010039</t>
  </si>
  <si>
    <t>-575.475064140788 -129.623680810051 305.506990733786</t>
  </si>
  <si>
    <t>-608.390755865557 -144.158868443477 751.96482112626</t>
  </si>
  <si>
    <t>-474.864827415842 -186.979422428264 825.616197967845</t>
  </si>
  <si>
    <t>9763-20170724T104416.185616300.bin</t>
  </si>
  <si>
    <t>-702.655201545355 120.937097169814 -532.917563867965</t>
  </si>
  <si>
    <t>-714.267174116199 162.614974504165 -241.851801309922</t>
  </si>
  <si>
    <t>-486.426179572355 236.313913482395 -215.246528551223</t>
  </si>
  <si>
    <t>-644.894472188288 64.7532189768708 -100.794964078078</t>
  </si>
  <si>
    <t>-647.325097359319 80.4317340138446 302.445625336719</t>
  </si>
  <si>
    <t>-699.260123903781 103.286232614373 746.790857923785</t>
  </si>
  <si>
    <t>-554.45707082005 123.319273321 807.766661814854</t>
  </si>
  <si>
    <t>-575.487068504701 -129.648388444285 305.530677968893</t>
  </si>
  <si>
    <t>-608.400260307064 -144.127590799869 751.985045930884</t>
  </si>
  <si>
    <t>-474.872014958493 -186.95994803012 825.625257564366</t>
  </si>
  <si>
    <t>9763-20170724T104416.252298000.bin</t>
  </si>
  <si>
    <t>-704.853113116463 119.982900742086 -532.973616868425</t>
  </si>
  <si>
    <t>-717.434729772868 161.906202733407 -241.983329159869</t>
  </si>
  <si>
    <t>-491.302706064421 242.179016877534 -220.270157672756</t>
  </si>
  <si>
    <t>-645.771413662363 64.3412602518272 -100.833926862579</t>
  </si>
  <si>
    <t>-647.848879356058 80.2671487850769 302.398913112254</t>
  </si>
  <si>
    <t>-699.255421256293 103.276840347187 746.79969702207</t>
  </si>
  <si>
    <t>-554.468517068416 123.384177154043 807.789493563395</t>
  </si>
  <si>
    <t>-575.584328980651 -129.603610417578 305.568660259026</t>
  </si>
  <si>
    <t>-608.411372798348 -143.930712298853 752.020840864085</t>
  </si>
  <si>
    <t>-474.981373056327 -187.074404831055 825.657574902809</t>
  </si>
  <si>
    <t>9763-20170724T104416.283382600.bin</t>
  </si>
  <si>
    <t>-706.1654322625 119.390446778604 -533.014341893251</t>
  </si>
  <si>
    <t>-719.047150266794 161.391036678837 -242.04832139971</t>
  </si>
  <si>
    <t>-493.763418519756 244.64441479698 -222.89153707261</t>
  </si>
  <si>
    <t>-646.345068886315 64.113550197766 -100.86348781498</t>
  </si>
  <si>
    <t>-648.216143978659 80.1987439875563 302.363993882068</t>
  </si>
  <si>
    <t>-699.259101087903 103.305229318252 746.799147839715</t>
  </si>
  <si>
    <t>-554.50081862754 123.594772916447 807.796452638857</t>
  </si>
  <si>
    <t>-575.632478600461 -129.695259126883 305.572213529919</t>
  </si>
  <si>
    <t>-608.422135097834 -144.03047286158 752.037978041915</t>
  </si>
  <si>
    <t>-474.929063842885 -186.995384987016 825.664886889767</t>
  </si>
  <si>
    <t>9763-20170724T104416.353087600.bin</t>
  </si>
  <si>
    <t>-709.233804338522 117.91781216597 -532.986880661476</t>
  </si>
  <si>
    <t>-722.260479964575 159.601856222806 -241.981920638525</t>
  </si>
  <si>
    <t>-498.579718766822 247.877033204218 -226.972812810786</t>
  </si>
  <si>
    <t>-647.96337912895 63.4912218052959 -100.944779534589</t>
  </si>
  <si>
    <t>-649.100765803509 79.9228611505721 302.271516736665</t>
  </si>
  <si>
    <t>-699.263959233704 103.38516772871 746.788401079808</t>
  </si>
  <si>
    <t>-554.522803825959 123.671560870586 807.827560118952</t>
  </si>
  <si>
    <t>-575.782427286876 -129.951971519662 305.558306343842</t>
  </si>
  <si>
    <t>-608.431205143849 -144.231141748311 752.047905353169</t>
  </si>
  <si>
    <t>-474.643113960133 -186.311108378343 825.650339778593</t>
  </si>
  <si>
    <t>9763-20170724T104416.383677200.bin</t>
  </si>
  <si>
    <t>-710.963087564195 117.252464867575 -532.864394687284</t>
  </si>
  <si>
    <t>-724.156758505592 158.594541787785 -241.818127044122</t>
  </si>
  <si>
    <t>-501.236359279279 249.030470656317 -228.450311746428</t>
  </si>
  <si>
    <t>-648.966242857487 63.1443289765446 -100.986001203532</t>
  </si>
  <si>
    <t>-649.606954381161 79.7802534970172 302.223042327603</t>
  </si>
  <si>
    <t>-699.265322417247 103.408398406571 746.783551805882</t>
  </si>
  <si>
    <t>-554.536434498323 123.732311432635 807.838987195144</t>
  </si>
  <si>
    <t>-575.78670125401 -129.904768460618 305.540503446644</t>
  </si>
  <si>
    <t>-608.411910726212 -144.121956567444 752.035501392404</t>
  </si>
  <si>
    <t>-474.778490543464 -186.628712673297 825.673667171745</t>
  </si>
  <si>
    <t>9763-20170724T104416.451879700.bin</t>
  </si>
  <si>
    <t>-714.799211708291 115.603679703578 -532.503285521368</t>
  </si>
  <si>
    <t>-728.513244841984 156.081622009372 -241.359459287036</t>
  </si>
  <si>
    <t>-506.840317215961 249.768839862247 -229.754944784864</t>
  </si>
  <si>
    <t>-651.374214198724 62.2061381314418 -101.081106132732</t>
  </si>
  <si>
    <t>-650.88563484756 79.4093241872727 302.104258000203</t>
  </si>
  <si>
    <t>-699.271765153043 103.433062027005 746.768749824558</t>
  </si>
  <si>
    <t>-554.571716680823 123.850289969072 807.861512704284</t>
  </si>
  <si>
    <t>-575.666775437976 -130.100553517377 305.517206070056</t>
  </si>
  <si>
    <t>-608.409985680556 -144.144652431323 752.04748848425</t>
  </si>
  <si>
    <t>-474.528204041385 -185.903197218726 825.662625933193</t>
  </si>
  <si>
    <t>9763-20170724T104416.483968600.bin</t>
  </si>
  <si>
    <t>-716.882042582287 114.50870878749 -532.311284452307</t>
  </si>
  <si>
    <t>-731.091602565397 154.279246779015 -241.093776009757</t>
  </si>
  <si>
    <t>-509.971200364242 249.299882063356 -229.792931176551</t>
  </si>
  <si>
    <t>-652.720360589204 61.5821514779461 -101.147919943185</t>
  </si>
  <si>
    <t>-651.529823395396 79.1400529608393 302.020751112263</t>
  </si>
  <si>
    <t>-699.284608745839 103.432049328576 746.733408981523</t>
  </si>
  <si>
    <t>-554.594828975329 123.849953953001 807.850404390573</t>
  </si>
  <si>
    <t>-575.760816679741 -130.060746895693 305.507852036043</t>
  </si>
  <si>
    <t>-608.398796491102 -144.033799397331 752.054181104367</t>
  </si>
  <si>
    <t>-474.686225117108 -186.311006685982 825.680800641444</t>
  </si>
  <si>
    <t>9763-20170724T104416.550148100.bin</t>
  </si>
  <si>
    <t>-721.078301304333 111.741483697723 -531.963680870696</t>
  </si>
  <si>
    <t>-736.400348942469 149.58407248571 -240.545872291174</t>
  </si>
  <si>
    <t>-516.42817173681 247.193604125875 -228.905839167324</t>
  </si>
  <si>
    <t>-655.420990659099 59.7712937690728 -101.355485422408</t>
  </si>
  <si>
    <t>-652.970222502492 78.2901887709963 301.764505964224</t>
  </si>
  <si>
    <t>-699.201976733976 103.194132106703 746.614255448203</t>
  </si>
  <si>
    <t>-554.583486612204 123.982195415039 807.775000232527</t>
  </si>
  <si>
    <t>-575.984362698665 -130.488375355064 305.449128512578</t>
  </si>
  <si>
    <t>-608.384119727816 -144.156854610292 752.042797113346</t>
  </si>
  <si>
    <t>-474.469324257735 -185.797380940822 825.664638464596</t>
  </si>
  <si>
    <t>9763-20170724T104416.585848900.bin</t>
  </si>
  <si>
    <t>-723.226552238786 110.415114932098 -531.809074140266</t>
  </si>
  <si>
    <t>-739.154327965746 147.132080801976 -240.279575501673</t>
  </si>
  <si>
    <t>-519.826512463373 246.122144265969 -228.150152402808</t>
  </si>
  <si>
    <t>-656.851231818042 58.9142392332544 -101.467125308777</t>
  </si>
  <si>
    <t>-653.833413957249 78.0216774062917 301.621494484115</t>
  </si>
  <si>
    <t>-699.219897622911 103.178680050208 746.549655221268</t>
  </si>
  <si>
    <t>-554.591759047698 123.847926765703 807.727951631832</t>
  </si>
  <si>
    <t>-576.209140362642 -130.71021463352 305.426049493097</t>
  </si>
  <si>
    <t>-608.358872435737 -144.034616467639 752.04153479346</t>
  </si>
  <si>
    <t>-474.398830657971 -185.526022713776 825.665342464647</t>
  </si>
  <si>
    <t>9763-20170724T104416.653032000.bin</t>
  </si>
  <si>
    <t>-727.415535092076 107.508694923522 -531.64477518892</t>
  </si>
  <si>
    <t>-744.921423691639 142.123204928739 -239.948816836744</t>
  </si>
  <si>
    <t>-526.962900805109 243.919680950775 -226.440961532215</t>
  </si>
  <si>
    <t>-659.755185682421 56.9618622270643 -101.693210467929</t>
  </si>
  <si>
    <t>-655.638741623753 77.1768006386019 301.331755703277</t>
  </si>
  <si>
    <t>-699.233697931907 103.013038809456 746.41137424071</t>
  </si>
  <si>
    <t>-554.645513579289 123.977819324106 807.583497029581</t>
  </si>
  <si>
    <t>-577.035234735266 -131.378602667177 305.387660193095</t>
  </si>
  <si>
    <t>-608.365535219072 -144.423103835532 752.092922853223</t>
  </si>
  <si>
    <t>-474.046614282179 -184.829275157972 825.666527386449</t>
  </si>
  <si>
    <t>9763-20170724T104416.686125100.bin</t>
  </si>
  <si>
    <t>-729.299048134041 106.088053813472 -531.63872562408</t>
  </si>
  <si>
    <t>-747.804238474776 139.786703171141 -239.897098221678</t>
  </si>
  <si>
    <t>-530.523805735183 242.900753610247 -225.488808024239</t>
  </si>
  <si>
    <t>-661.208178281496 56.0146046074985 -101.775889809933</t>
  </si>
  <si>
    <t>-656.567090891626 76.7188722411674 301.218492963263</t>
  </si>
  <si>
    <t>-699.239494907269 102.901671580782 746.354067846213</t>
  </si>
  <si>
    <t>-554.659780980089 123.946658920246 807.518593255522</t>
  </si>
  <si>
    <t>-577.467175289651 -131.70829721521 305.380439820617</t>
  </si>
  <si>
    <t>-608.377833414561 -144.67917726011 752.136250611494</t>
  </si>
  <si>
    <t>-473.891281974465 -184.602181077837 825.667311941158</t>
  </si>
  <si>
    <t>9763-20170724T104416.749796100.bin</t>
  </si>
  <si>
    <t>-732.781972258676 103.273638588611 -531.751571168697</t>
  </si>
  <si>
    <t>-753.234124247066 135.393770051541 -239.961901768365</t>
  </si>
  <si>
    <t>-537.351352205806 241.175310618901 -223.969686523376</t>
  </si>
  <si>
    <t>-663.89607905841 54.0913629238275 -101.926236110404</t>
  </si>
  <si>
    <t>-658.260595208403 75.8193892443421 301.001626721547</t>
  </si>
  <si>
    <t>-699.234908806138 102.718735054956 746.216727335988</t>
  </si>
  <si>
    <t>-554.730357625542 124.219806045754 807.400457323599</t>
  </si>
  <si>
    <t>-578.013047518628 -132.177680707882 305.34560571674</t>
  </si>
  <si>
    <t>-608.363810495851 -144.738334404186 752.181380897678</t>
  </si>
  <si>
    <t>-473.761251500259 -184.333157093843 825.677645587256</t>
  </si>
  <si>
    <t>9763-20170724T104416.785178500.bin</t>
  </si>
  <si>
    <t>-734.36451559088 101.949734089396 -531.808738423414</t>
  </si>
  <si>
    <t>-755.614440585439 133.397920466419 -240.002890860192</t>
  </si>
  <si>
    <t>-540.450695678586 240.530763476218 -223.329926287567</t>
  </si>
  <si>
    <t>-665.126593496542 53.2468832019015 -102.006430495183</t>
  </si>
  <si>
    <t>-658.959896928591 75.4634084971597 300.886974221499</t>
  </si>
  <si>
    <t>-699.235821555139 102.665100571863 746.137306819746</t>
  </si>
  <si>
    <t>-554.744383075652 124.165726574982 807.352001514418</t>
  </si>
  <si>
    <t>-578.077182992467 -132.388021555877 305.308752074016</t>
  </si>
  <si>
    <t>-608.321934194541 -144.723380958112 752.175688610106</t>
  </si>
  <si>
    <t>-473.684646138335 -184.184235411781 825.680405250083</t>
  </si>
  <si>
    <t>9763-20170724T104416.851359100.bin</t>
  </si>
  <si>
    <t>-737.324721577006 99.1852415473418 -531.957806577485</t>
  </si>
  <si>
    <t>-759.81882316011 129.604509287135 -240.136026304068</t>
  </si>
  <si>
    <t>-546.027250801633 239.321794665035 -222.639799449955</t>
  </si>
  <si>
    <t>-667.538334312793 51.5239415684375 -102.087500000668</t>
  </si>
  <si>
    <t>-659.912493293639 74.5538204016634 300.73524610777</t>
  </si>
  <si>
    <t>-699.24313893893 102.518241364415 746.02230357862</t>
  </si>
  <si>
    <t>-554.848711535957 124.554615170271 807.275475398292</t>
  </si>
  <si>
    <t>-578.168665934457 -132.849566892872 305.269273073501</t>
  </si>
  <si>
    <t>-608.258185742992 -144.80346693803 752.190245894841</t>
  </si>
  <si>
    <t>-473.383486525393 -183.490341862616 825.671050143062</t>
  </si>
  <si>
    <t>9763-20170724T104416.886180700.bin</t>
  </si>
  <si>
    <t>-738.674378867369 97.7871830975555 -532.056978084748</t>
  </si>
  <si>
    <t>-761.633921499451 127.979098262577 -240.247961236891</t>
  </si>
  <si>
    <t>-548.45958537236 238.830485379866 -222.372615350802</t>
  </si>
  <si>
    <t>-668.667147659642 50.7384148818489 -102.117827907079</t>
  </si>
  <si>
    <t>-660.189794445895 74.0815332922582 300.669838826602</t>
  </si>
  <si>
    <t>-699.201474982445 102.326807486625 745.973082433987</t>
  </si>
  <si>
    <t>-554.840229900235 124.54256377668 807.239504242281</t>
  </si>
  <si>
    <t>-578.311892802306 -133.057504084819 305.279231800016</t>
  </si>
  <si>
    <t>-608.236661542688 -144.972332618427 752.210286261746</t>
  </si>
  <si>
    <t>-473.173161912235 -183.059200673299 825.657870200815</t>
  </si>
  <si>
    <t>9763-20170724T104416.952867700.bin</t>
  </si>
  <si>
    <t>-740.550177184357 96.0335775462017 -532.207525534578</t>
  </si>
  <si>
    <t>-764.059235922511 126.181384356033 -240.437732673588</t>
  </si>
  <si>
    <t>-551.658055261956 238.441090423118 -222.15164706642</t>
  </si>
  <si>
    <t>-670.090431052364 49.7357590826225 -102.166715333031</t>
  </si>
  <si>
    <t>-660.684557420874 73.608389544816 300.569287707499</t>
  </si>
  <si>
    <t>-699.201057129508 102.182111008963 745.872158211614</t>
  </si>
  <si>
    <t>-554.905779025518 124.736602563028 807.17023231859</t>
  </si>
  <si>
    <t>-578.479909542495 -133.086425775856 305.289168745688</t>
  </si>
  <si>
    <t>-608.195145874392 -144.754408131674 752.240521202178</t>
  </si>
  <si>
    <t>-473.273917488956 -183.353738639311 825.681940918399</t>
  </si>
  <si>
    <t>9763-20170724T104416.999493200.bin</t>
  </si>
  <si>
    <t>-741.990907603838 94.3387338101647 -532.457670848001</t>
  </si>
  <si>
    <t>-765.921364372174 124.431393168966 -240.716525328184</t>
  </si>
  <si>
    <t>-554.155094906105 237.863452799973 -222.302230450462</t>
  </si>
  <si>
    <t>-671.032885696952 48.7266050035375 -102.336465998857</t>
  </si>
  <si>
    <t>-661.343820024931 73.2120638618289 300.356048489174</t>
  </si>
  <si>
    <t>-699.183913508522 101.890972026082 745.612777405295</t>
  </si>
  <si>
    <t>-554.942928820074 124.708112347263 806.941458178692</t>
  </si>
  <si>
    <t>-578.650377151259 -133.313724745558 305.283568813866</t>
  </si>
  <si>
    <t>-608.148832162644 -144.74890077261 752.260814502335</t>
  </si>
  <si>
    <t>-473.117815082502 -183.027421023007 825.668401817052</t>
  </si>
  <si>
    <t>9763-20170724T104417.022553700.bin</t>
  </si>
  <si>
    <t>-742.725518445069 93.315200834408 -532.632317081927</t>
  </si>
  <si>
    <t>-766.849452266242 123.394133378358 -240.905457595138</t>
  </si>
  <si>
    <t>-555.375891310795 237.363237577577 -222.444195286658</t>
  </si>
  <si>
    <t>-671.481642460498 48.127570509303 -102.450518610048</t>
  </si>
  <si>
    <t>-661.80900668968 72.9388106398719 300.222459914272</t>
  </si>
  <si>
    <t>-699.173571410019 101.79038534305 745.544434131534</t>
  </si>
  <si>
    <t>-554.992109926371 124.937088517401 806.8895639521</t>
  </si>
  <si>
    <t>-578.689646373048 -133.522148551802 305.2759171391</t>
  </si>
  <si>
    <t>-608.114844586781 -144.755709069131 752.265405794697</t>
  </si>
  <si>
    <t>-473.021721382225 -182.846314367943 825.656571782689</t>
  </si>
  <si>
    <t>9763-20170724T104417.083727500.bin</t>
  </si>
  <si>
    <t>-744.210482343455 91.7095746026644 -532.981084053586</t>
  </si>
  <si>
    <t>-768.605506343039 121.787379314316 -241.276735934578</t>
  </si>
  <si>
    <t>-557.423086936701 236.23054889127 -222.419784634099</t>
  </si>
  <si>
    <t>-672.520858470183 47.5602670940646 -102.629507461149</t>
  </si>
  <si>
    <t>-662.747163006428 72.6452713994581 300.024031921703</t>
  </si>
  <si>
    <t>-699.302041687851 101.835716946334 745.396121011936</t>
  </si>
  <si>
    <t>-555.118076606305 124.836072178977 806.790389780514</t>
  </si>
  <si>
    <t>-578.756655249434 -133.468440965238 305.222454677771</t>
  </si>
  <si>
    <t>-608.029902626001 -144.469595041328 752.251619603224</t>
  </si>
  <si>
    <t>-473.035316911918 -182.908085004983 825.642665523883</t>
  </si>
  <si>
    <t>9763-20170724T104417.151923300.bin</t>
  </si>
  <si>
    <t>-745.5449735354 90.4101814238932 -533.181672153068</t>
  </si>
  <si>
    <t>-770.267263979531 120.521765832797 -241.508376945213</t>
  </si>
  <si>
    <t>-559.051545282893 234.858633485272 -222.380095959798</t>
  </si>
  <si>
    <t>-673.535010473477 47.1743437361358 -102.701454422646</t>
  </si>
  <si>
    <t>-663.387499294193 72.3226401049501 299.9389439872</t>
  </si>
  <si>
    <t>-699.398393670275 101.876509410271 745.363471780342</t>
  </si>
  <si>
    <t>-555.267866115318 125.066084785409 806.812207471292</t>
  </si>
  <si>
    <t>-578.793250016209 -133.410090559333 305.208746818823</t>
  </si>
  <si>
    <t>-607.959745584343 -144.330448750254 752.251819241535</t>
  </si>
  <si>
    <t>-472.915280939022 -182.643075648599 825.616952423646</t>
  </si>
  <si>
    <t>9763-20170724T104417.183650800.bin</t>
  </si>
  <si>
    <t>-746.135959932924 89.7173164831165 -533.246983796445</t>
  </si>
  <si>
    <t>-770.856946108429 119.848980887004 -241.575568352714</t>
  </si>
  <si>
    <t>-559.609096622843 234.112885522476 -222.366966792819</t>
  </si>
  <si>
    <t>-673.890172738159 46.8375865994765 -102.718943709151</t>
  </si>
  <si>
    <t>-663.572323272135 72.1094192794303 299.909371245051</t>
  </si>
  <si>
    <t>-699.361355040989 101.693284961006 745.350858557202</t>
  </si>
  <si>
    <t>-555.298552520845 125.253155101125 806.817315248324</t>
  </si>
  <si>
    <t>-578.85937943575 -133.380602672847 305.210459861473</t>
  </si>
  <si>
    <t>-607.925178637395 -144.180254714731 752.257017128096</t>
  </si>
  <si>
    <t>-472.914986839979 -182.62898888067 825.613967544922</t>
  </si>
  <si>
    <t>9763-20170724T104417.249330300.bin</t>
  </si>
  <si>
    <t>-747.201225787512 88.5062808583664 -533.342453292855</t>
  </si>
  <si>
    <t>-771.82675965745 118.642339281804 -241.663484152759</t>
  </si>
  <si>
    <t>-560.506468092836 232.735248085002 -222.235879231291</t>
  </si>
  <si>
    <t>-674.684723460712 46.270743300596 -102.741426258738</t>
  </si>
  <si>
    <t>-663.897401155538 71.7320420325709 299.862621065225</t>
  </si>
  <si>
    <t>-699.380482710926 101.495131291056 745.324528465611</t>
  </si>
  <si>
    <t>-555.363983966561 125.257174162266 806.821794367848</t>
  </si>
  <si>
    <t>-578.860542792153 -133.437909446941 305.230409942447</t>
  </si>
  <si>
    <t>-607.853921286607 -144.069771972381 752.271692166647</t>
  </si>
  <si>
    <t>-472.743304061649 -182.227975692264 825.595489011398</t>
  </si>
  <si>
    <t>9763-20170724T104417.284926300.bin</t>
  </si>
  <si>
    <t>-747.663543701367 88.0892886478525 -533.385884500221</t>
  </si>
  <si>
    <t>-772.302077335009 118.128960883115 -241.698121239776</t>
  </si>
  <si>
    <t>-560.97254789428 232.204391299802 -222.269068433865</t>
  </si>
  <si>
    <t>-675.093438752112 46.0707856909719 -102.754335880721</t>
  </si>
  <si>
    <t>-664.089732159933 71.6052185452438 299.839265443973</t>
  </si>
  <si>
    <t>-699.404316447905 101.411638204937 745.318289393319</t>
  </si>
  <si>
    <t>-555.397553547904 125.201759129734 806.827332704703</t>
  </si>
  <si>
    <t>-578.903456956211 -133.480064211992 305.239108709122</t>
  </si>
  <si>
    <t>-607.829802155034 -144.116091291207 752.283480442777</t>
  </si>
  <si>
    <t>-472.63219172536 -182.011686492345 825.583014119279</t>
  </si>
  <si>
    <t>9763-20170724T104417.356621500.bin</t>
  </si>
  <si>
    <t>-748.119225617603 87.3345280953868 -533.554235016023</t>
  </si>
  <si>
    <t>-772.948692269317 117.268321557273 -241.871754905893</t>
  </si>
  <si>
    <t>-561.62780491043 231.324940723671 -222.239731082023</t>
  </si>
  <si>
    <t>-675.746791036382 45.6642481527213 -102.776135540862</t>
  </si>
  <si>
    <t>-664.458693881585 71.4042590146048 299.796461892186</t>
  </si>
  <si>
    <t>-699.498785070354 101.330248216809 745.299561036406</t>
  </si>
  <si>
    <t>-555.478925583054 124.978935275228 806.832666137906</t>
  </si>
  <si>
    <t>-579.187502648107 -133.527117817782 305.253053909476</t>
  </si>
  <si>
    <t>-607.772689807566 -144.000261010345 752.301207183095</t>
  </si>
  <si>
    <t>-472.523563944226 -181.761652098262 825.575054129765</t>
  </si>
  <si>
    <t>9763-20170724T104417.388728800.bin</t>
  </si>
  <si>
    <t>-748.200091830249 87.0474562914819 -533.641413133931</t>
  </si>
  <si>
    <t>-773.181461938145 116.990814921375 -241.972918908064</t>
  </si>
  <si>
    <t>-561.89646526508 231.094322295482 -222.226668416823</t>
  </si>
  <si>
    <t>-675.98938714948 45.4364654275241 -102.786473093321</t>
  </si>
  <si>
    <t>-664.586377469052 71.2720477980749 299.776782461308</t>
  </si>
  <si>
    <t>-699.515754231457 101.239836278869 745.285507772308</t>
  </si>
  <si>
    <t>-555.534885723944 125.09713958995 806.829326636042</t>
  </si>
  <si>
    <t>-579.282243347834 -133.590152795259 305.255031950116</t>
  </si>
  <si>
    <t>-607.739227650202 -144.09010039912 752.310967062976</t>
  </si>
  <si>
    <t>-472.476893028036 -181.805651391043 825.584109672945</t>
  </si>
  <si>
    <t>9763-20170724T104417.450897300.bin</t>
  </si>
  <si>
    <t>-748.159158215629 86.6459121837509 -533.780757899176</t>
  </si>
  <si>
    <t>-773.528859430119 116.610272045574 -242.147957390442</t>
  </si>
  <si>
    <t>-562.403350180507 230.975115865893 -222.209345400334</t>
  </si>
  <si>
    <t>-676.397509097227 45.0959192844293 -102.794749560222</t>
  </si>
  <si>
    <t>-664.820917728415 71.0888540039302 299.753406602447</t>
  </si>
  <si>
    <t>-699.527407220397 101.014992013635 745.276711617033</t>
  </si>
  <si>
    <t>-555.558844652266 124.90432558015 806.837026187944</t>
  </si>
  <si>
    <t>-579.445710897083 -133.642406207524 305.236483670496</t>
  </si>
  <si>
    <t>-607.665571024674 -143.925426953974 752.311413964895</t>
  </si>
  <si>
    <t>-472.384066659235 -181.568936865337 825.586014942846</t>
  </si>
  <si>
    <t>9763-20170724T104417.497132500.bin</t>
  </si>
  <si>
    <t>-747.856948934802 86.4578520482976 -533.871887145575</t>
  </si>
  <si>
    <t>-773.532828522362 116.420779547484 -242.265740472838</t>
  </si>
  <si>
    <t>-562.472839913281 230.876536418844 -222.15466080205</t>
  </si>
  <si>
    <t>-676.545814039729 44.9578319862808 -102.815703151986</t>
  </si>
  <si>
    <t>-664.888269223909 71.0201653960867 299.725608679307</t>
  </si>
  <si>
    <t>-699.600967913724 100.984277890914 745.204997305334</t>
  </si>
  <si>
    <t>-555.605404870835 124.684294991526 806.775045649169</t>
  </si>
  <si>
    <t>-579.470882586014 -133.648619906963 305.225663349419</t>
  </si>
  <si>
    <t>-607.628597094411 -143.881279952691 752.304691574572</t>
  </si>
  <si>
    <t>-472.364773857543 -181.570518927424 825.588409137073</t>
  </si>
  <si>
    <t>9763-20170724T104417.557296000.bin</t>
  </si>
  <si>
    <t>-746.544689185877 86.2266761490719 -534.17661945007</t>
  </si>
  <si>
    <t>-773.205336069131 116.036870609356 -242.643152326938</t>
  </si>
  <si>
    <t>-562.186651061542 230.430948923873 -221.763780916569</t>
  </si>
  <si>
    <t>-676.76109244098 44.6190204817249 -102.835464371521</t>
  </si>
  <si>
    <t>-664.884211579162 70.7675848447286 299.693878965747</t>
  </si>
  <si>
    <t>-699.666651537187 100.861251000626 745.222674290584</t>
  </si>
  <si>
    <t>-555.682224431168 124.640258965043 806.788228153558</t>
  </si>
  <si>
    <t>-579.577304919733 -133.803376501631 305.199376869214</t>
  </si>
  <si>
    <t>-607.560743141438 -144.001445168376 752.287369820203</t>
  </si>
  <si>
    <t>-472.230515167982 -181.432330241773 825.581031583782</t>
  </si>
  <si>
    <t>9763-20170724T104417.586376400.bin</t>
  </si>
  <si>
    <t>-745.979098236367 86.1218070630698 -534.348748223896</t>
  </si>
  <si>
    <t>-773.250206641829 115.755925678441 -242.853796770033</t>
  </si>
  <si>
    <t>-562.246606825205 230.085728269287 -221.475418359982</t>
  </si>
  <si>
    <t>-676.889322225582 44.4322710015913 -102.804676491637</t>
  </si>
  <si>
    <t>-664.848397029386 70.5961936266385 299.718804163095</t>
  </si>
  <si>
    <t>-699.628810693833 100.65028795645 745.249036898715</t>
  </si>
  <si>
    <t>-555.675263504342 124.634502285205 806.807363260067</t>
  </si>
  <si>
    <t>-579.640977445302 -133.875806448655 305.188280546865</t>
  </si>
  <si>
    <t>-607.524626959477 -143.963091870223 752.28030720521</t>
  </si>
  <si>
    <t>-472.158914433018 -181.254045601543 825.579698416137</t>
  </si>
  <si>
    <t>9763-20170724T104417.654060900.bin</t>
  </si>
  <si>
    <t>-744.803214785294 86.3414625911912 -534.665219144718</t>
  </si>
  <si>
    <t>-773.3492761318 115.668178220452 -243.261165244537</t>
  </si>
  <si>
    <t>-562.350000662057 229.817014248908 -220.895637057651</t>
  </si>
  <si>
    <t>-677.293882120561 44.3830286567852 -102.736250337943</t>
  </si>
  <si>
    <t>-664.996674565281 70.6072190027567 299.775521005472</t>
  </si>
  <si>
    <t>-699.752594309801 100.646642070563 745.308730547393</t>
  </si>
  <si>
    <t>-555.733717320076 124.242664516488 806.864405615473</t>
  </si>
  <si>
    <t>-579.762561700396 -133.720038014879 305.155981800341</t>
  </si>
  <si>
    <t>-607.450351444857 -143.728382414834 752.259069037505</t>
  </si>
  <si>
    <t>-472.239946384492 -181.493293825651 825.602423192984</t>
  </si>
  <si>
    <t>9763-20170724T104417.688465100.bin</t>
  </si>
  <si>
    <t>-744.009086800743 86.5605490630442 -534.8108451772</t>
  </si>
  <si>
    <t>-773.133379001569 115.727254093178 -243.447924984276</t>
  </si>
  <si>
    <t>-562.151451800196 229.816561074391 -220.619836582385</t>
  </si>
  <si>
    <t>-677.408348960239 44.3148744244445 -102.704684381821</t>
  </si>
  <si>
    <t>-665.163790151396 70.61739068368 299.803654549049</t>
  </si>
  <si>
    <t>-699.782334603409 100.576167086714 745.339966043247</t>
  </si>
  <si>
    <t>-555.770177597881 124.242014748555 806.884450298148</t>
  </si>
  <si>
    <t>-579.836701932571 -133.60003818725 305.152283001367</t>
  </si>
  <si>
    <t>-607.407426752214 -143.466844589366 752.247014994712</t>
  </si>
  <si>
    <t>-472.292956248778 -181.52686753425 825.614632864124</t>
  </si>
  <si>
    <t>9763-20170724T104417.754644600.bin</t>
  </si>
  <si>
    <t>-742.58917738328 86.8494934263233 -534.992871971537</t>
  </si>
  <si>
    <t>-772.560558587491 115.661886132401 -243.680772907574</t>
  </si>
  <si>
    <t>-561.559940049883 229.56006110007 -220.083451074547</t>
  </si>
  <si>
    <t>-677.455225250277 44.1393218875062 -102.673408192655</t>
  </si>
  <si>
    <t>-665.595391124653 70.6937550403925 299.829883828123</t>
  </si>
  <si>
    <t>-699.894784059061 100.579671722847 745.371781599213</t>
  </si>
  <si>
    <t>-555.84215861808 124.004348439497 806.913677612523</t>
  </si>
  <si>
    <t>-579.969562325915 -133.613494835286 305.159758693167</t>
  </si>
  <si>
    <t>-607.342135508393 -143.337796904325 752.249990808958</t>
  </si>
  <si>
    <t>-472.204648065204 -181.301826053499 825.624974295918</t>
  </si>
  <si>
    <t>9763-20170724T104417.787391100.bin</t>
  </si>
  <si>
    <t>-742.163519064043 86.9661196425632 -535.003017400093</t>
  </si>
  <si>
    <t>-772.41312185911 115.556366505775 -243.697766122205</t>
  </si>
  <si>
    <t>-561.376345884946 229.335314520636 -219.850525011623</t>
  </si>
  <si>
    <t>-677.4678189272 44.1550911684903 -102.677323988977</t>
  </si>
  <si>
    <t>-665.731899894666 70.6930216264186 299.830639709022</t>
  </si>
  <si>
    <t>-699.934117801493 100.554375469697 745.380890607578</t>
  </si>
  <si>
    <t>-555.857093777807 123.804306597979 806.932078058596</t>
  </si>
  <si>
    <t>-579.956921201411 -133.706377536979 305.171481126556</t>
  </si>
  <si>
    <t>-607.314861224379 -143.528224859493 752.259436695316</t>
  </si>
  <si>
    <t>-472.008167233628 -180.925830473826 825.613519316333</t>
  </si>
  <si>
    <t>9763-20170724T104417.854073500.bin</t>
  </si>
  <si>
    <t>-741.542332213072 87.1931378413149 -534.907228797083</t>
  </si>
  <si>
    <t>-772.274535733318 115.151230120872 -243.591063667492</t>
  </si>
  <si>
    <t>-561.263742379776 228.865592594315 -219.211682660085</t>
  </si>
  <si>
    <t>-677.24374192272 44.0323192527162 -102.653199726999</t>
  </si>
  <si>
    <t>-665.599742196571 70.5655648053278 299.857723684876</t>
  </si>
  <si>
    <t>-699.939089611107 100.353695613359 745.410483604477</t>
  </si>
  <si>
    <t>-555.917002454921 123.928543809765 806.966719956155</t>
  </si>
  <si>
    <t>-579.702949797577 -133.592554330601 305.177605418941</t>
  </si>
  <si>
    <t>-607.250531655472 -143.358757737635 752.254166697282</t>
  </si>
  <si>
    <t>-472.010602439438 -180.98252045226 825.615713786585</t>
  </si>
  <si>
    <t>9763-20170724T104417.885663800.bin</t>
  </si>
  <si>
    <t>-741.199850836456 87.3952626131463 -534.798650207093</t>
  </si>
  <si>
    <t>-772.241504554772 114.922347829937 -243.474345851817</t>
  </si>
  <si>
    <t>-561.310878449148 228.713167670731 -218.759742444207</t>
  </si>
  <si>
    <t>-677.032311104056 44.017052274975 -102.642132131887</t>
  </si>
  <si>
    <t>-665.411617710155 70.5290480990325 299.870979681909</t>
  </si>
  <si>
    <t>-699.970057543624 100.306545912771 745.421254137558</t>
  </si>
  <si>
    <t>-555.952705126884 123.903769569622 806.979866410797</t>
  </si>
  <si>
    <t>-579.528012025438 -133.545934998142 305.17237056776</t>
  </si>
  <si>
    <t>-607.219302902011 -143.280636178001 752.244066587651</t>
  </si>
  <si>
    <t>-471.958888024779 -180.827678190575 825.607158095012</t>
  </si>
  <si>
    <t>9763-20170724T104417.953345900.bin</t>
  </si>
  <si>
    <t>-740.587204124267 87.87400748253 -534.650061437774</t>
  </si>
  <si>
    <t>-772.355039858221 114.366348308556 -243.307988819766</t>
  </si>
  <si>
    <t>-561.595972369973 228.278717744443 -217.706255156451</t>
  </si>
  <si>
    <t>-676.432813277088 44.1165666812585 -102.616087159882</t>
  </si>
  <si>
    <t>-665.003132400763 70.4828890938882 299.911959288987</t>
  </si>
  <si>
    <t>-699.986166710621 100.103549284506 745.442709632439</t>
  </si>
  <si>
    <t>-555.999399605549 123.905845717102 806.993856372271</t>
  </si>
  <si>
    <t>-579.143820146638 -133.498308109118 305.16077671185</t>
  </si>
  <si>
    <t>-607.151349414243 -143.2538282255 752.219106164984</t>
  </si>
  <si>
    <t>-471.924469875318 -180.881128387767 825.602791119109</t>
  </si>
  <si>
    <t>9763-20170724T104417.984661800.bin</t>
  </si>
  <si>
    <t>-740.292866061333 88.1937754513096 -534.571140741154</t>
  </si>
  <si>
    <t>-772.490371655549 114.270701986879 -243.238857024665</t>
  </si>
  <si>
    <t>-561.770427328398 228.161044197878 -217.219680446349</t>
  </si>
  <si>
    <t>-676.131092370576 44.2272389674429 -102.605139921752</t>
  </si>
  <si>
    <t>-664.820388399742 70.5061202119819 299.93200867375</t>
  </si>
  <si>
    <t>-699.991585665761 100.015895798045 745.44497770865</t>
  </si>
  <si>
    <t>-556.025307716053 123.941325536045 806.99655487449</t>
  </si>
  <si>
    <t>-578.981511879324 -133.403304675322 305.16402668168</t>
  </si>
  <si>
    <t>-607.11167065902 -142.989478127308 752.199895837454</t>
  </si>
  <si>
    <t>-471.929309311713 -180.751557622864 825.596395131028</t>
  </si>
  <si>
    <t>9763-20170724T104418.054356300.bin</t>
  </si>
  <si>
    <t>-739.575214977229 88.9676728214242 -534.35559701066</t>
  </si>
  <si>
    <t>-772.329272673564 114.227307205186 -243.013359737841</t>
  </si>
  <si>
    <t>-561.697333635008 228.137793283538 -216.377761650256</t>
  </si>
  <si>
    <t>-675.535700922262 44.48946497779 -102.595386090278</t>
  </si>
  <si>
    <t>-664.608409325866 70.6590605040615 299.959477235465</t>
  </si>
  <si>
    <t>-700.067973415395 99.97001571786 745.462871207575</t>
  </si>
  <si>
    <t>-556.082322694564 123.793208253775 807.008789407763</t>
  </si>
  <si>
    <t>-578.687156986325 -133.378219504165 305.14616448143</t>
  </si>
  <si>
    <t>-607.044135342012 -143.102027584604 752.174335343054</t>
  </si>
  <si>
    <t>-471.741881388711 -180.424372605675 825.57498402702</t>
  </si>
  <si>
    <t>9763-20170724T104418.085943400.bin</t>
  </si>
  <si>
    <t>-739.002433512663 89.4709439296976 -534.252154106132</t>
  </si>
  <si>
    <t>-772.03408663147 114.30269679958 -242.904433167923</t>
  </si>
  <si>
    <t>-561.375053560525 228.107582203555 -216.032616042303</t>
  </si>
  <si>
    <t>-675.244755614377 44.5737371148182 -102.57376552855</t>
  </si>
  <si>
    <t>-664.484726534774 70.7474133292808 299.985376571736</t>
  </si>
  <si>
    <t>-700.063410411861 99.8821313073709 745.473096809252</t>
  </si>
  <si>
    <t>-556.078319228623 123.707538494675 807.019249676908</t>
  </si>
  <si>
    <t>-578.443526591838 -133.265034832649 305.116683351057</t>
  </si>
  <si>
    <t>-607.008018178208 -142.93931626928 752.146535844685</t>
  </si>
  <si>
    <t>-471.765638843927 -180.445154766912 825.563818940928</t>
  </si>
  <si>
    <t>9763-20170724T104418.153639200.bin</t>
  </si>
  <si>
    <t>-737.071004425753 90.5816673318475 -534.050102383071</t>
  </si>
  <si>
    <t>-770.931030321851 114.510566864174 -242.722016113358</t>
  </si>
  <si>
    <t>-560.045978935473 227.736983804124 -215.187495569136</t>
  </si>
  <si>
    <t>-674.369963651647 44.3511810474533 -102.450694098122</t>
  </si>
  <si>
    <t>-663.884901052149 71.0045811128289 300.084107923828</t>
  </si>
  <si>
    <t>-700.116359597463 99.9978409589928 745.489410891096</t>
  </si>
  <si>
    <t>-556.112105482185 123.665382854228 807.05175838294</t>
  </si>
  <si>
    <t>-577.559332156099 -133.291923667799 305.020771448042</t>
  </si>
  <si>
    <t>-606.920882543259 -142.703353155397 752.05819079468</t>
  </si>
  <si>
    <t>-471.788713884095 -180.504635786784 825.527011786527</t>
  </si>
  <si>
    <t>9763-20170724T104418.184221700.bin</t>
  </si>
  <si>
    <t>-735.519972869195 91.2662784702027 -533.980015082803</t>
  </si>
  <si>
    <t>-769.997033107329 114.720616092985 -242.685616093616</t>
  </si>
  <si>
    <t>-558.929065426958 227.450920439916 -214.523718158169</t>
  </si>
  <si>
    <t>-673.831739854882 44.0704190177364 -102.317740096758</t>
  </si>
  <si>
    <t>-663.407425222964 71.201477063046 300.186814217842</t>
  </si>
  <si>
    <t>-700.207264724438 100.331275415258 745.481056943474</t>
  </si>
  <si>
    <t>-556.147062286855 123.556724929838 807.0808571222</t>
  </si>
  <si>
    <t>-576.721182109494 -133.405755720903 304.930118190474</t>
  </si>
  <si>
    <t>-606.881963051348 -142.650682376631 751.986123233928</t>
  </si>
  <si>
    <t>-471.783245498989 -180.501675633362 825.490819546662</t>
  </si>
  <si>
    <t>9763-20170724T104418.252907600.bin</t>
  </si>
  <si>
    <t>-730.529434483701 92.0117695679328 -533.765854872666</t>
  </si>
  <si>
    <t>-767.325861829723 114.112366811268 -242.649376625404</t>
  </si>
  <si>
    <t>-555.880930047116 225.544428681624 -212.238540729633</t>
  </si>
  <si>
    <t>-671.752899101926 42.1954570896708 -101.60553415773</t>
  </si>
  <si>
    <t>-661.067141651676 71.1654702639505 300.763985634777</t>
  </si>
  <si>
    <t>-700.367252268179 101.003580166021 745.775428124541</t>
  </si>
  <si>
    <t>-556.211186646864 123.501469554661 807.420876331309</t>
  </si>
  <si>
    <t>-572.188738907328 -134.34002450688 304.718798631576</t>
  </si>
  <si>
    <t>-606.755524957728 -143.02579827257 751.73932211939</t>
  </si>
  <si>
    <t>-471.384367804566 -179.76574540091 825.306602002528</t>
  </si>
  <si>
    <t>9763-20170724T104418.285049800.bin</t>
  </si>
  <si>
    <t>-727.435924003726 92.2718238008613 -533.348810255391</t>
  </si>
  <si>
    <t>-766.110285241656 113.616715278906 -242.419506068946</t>
  </si>
  <si>
    <t>-554.414159645308 224.125494212703 -210.427446045502</t>
  </si>
  <si>
    <t>-671.046551379452 40.9313902009505 -100.895837922652</t>
  </si>
  <si>
    <t>-659.389516969778 70.6279921515791 301.393720470706</t>
  </si>
  <si>
    <t>-700.473280449135 101.182811712014 746.186508080106</t>
  </si>
  <si>
    <t>-556.216273746163 123.050715206422 807.822608161149</t>
  </si>
  <si>
    <t>-568.592644958825 -134.995385887096 304.691430020978</t>
  </si>
  <si>
    <t>-606.679671168724 -142.992886898461 751.571496320254</t>
  </si>
  <si>
    <t>-471.288535442472 -179.554699904047 825.190492149154</t>
  </si>
  <si>
    <t>9763-20170724T104418.355240700.bin</t>
  </si>
  <si>
    <t>-718.439480302784 92.2400580354774 -531.490744912931</t>
  </si>
  <si>
    <t>-762.35909510867 111.83118427312 -241.183160343231</t>
  </si>
  <si>
    <t>-550.084799387413 219.913870244707 -205.008302728084</t>
  </si>
  <si>
    <t>-668.849450186464 37.6426807640332 -98.3695899508178</t>
  </si>
  <si>
    <t>-655.81527580798 67.1385168968047 303.892510263713</t>
  </si>
  <si>
    <t>-700.559096289969 101.370212638397 747.952106656869</t>
  </si>
  <si>
    <t>-556.23197761391 122.69145067488 809.615510709922</t>
  </si>
  <si>
    <t>-558.061792825492 -136.855604177049 305.25755263048</t>
  </si>
  <si>
    <t>-606.513550325384 -143.172969351598 751.249133224332</t>
  </si>
  <si>
    <t>-470.88657802728 -178.682129454524 824.949170864922</t>
  </si>
  <si>
    <t>9763-20170724T104418.387328900.bin</t>
  </si>
  <si>
    <t>-713.273395063574 91.1772004847157 -530.038753982609</t>
  </si>
  <si>
    <t>-760.769209303113 109.499310775963 -240.211914676917</t>
  </si>
  <si>
    <t>-548.189670111562 216.11618110112 -201.564161892052</t>
  </si>
  <si>
    <t>-667.893896898135 33.8873055463946 -96.8013265016733</t>
  </si>
  <si>
    <t>-655.114331422501 65.452180394755 305.31182442951</t>
  </si>
  <si>
    <t>-700.508908622379 101.259234902848 748.960652022997</t>
  </si>
  <si>
    <t>-556.228753326115 122.874406047074 810.631640739034</t>
  </si>
  <si>
    <t>-551.579504849238 -138.800820315001 305.852794439527</t>
  </si>
  <si>
    <t>-606.459006778008 -143.097381479694 751.121177286377</t>
  </si>
  <si>
    <t>-470.751217895731 -178.306690899158 824.816424040187</t>
  </si>
  <si>
    <t>9763-20170724T104418.451001000.bin</t>
  </si>
  <si>
    <t>-701.288778682679 87.1542392446286 -527.068489496251</t>
  </si>
  <si>
    <t>-757.093567826585 103.215419820544 -238.591261120592</t>
  </si>
  <si>
    <t>-544.18941411124 206.879291327937 -194.13328315693</t>
  </si>
  <si>
    <t>-667.056336983368 27.1989356712641 -93.9534271489063</t>
  </si>
  <si>
    <t>-654.378337760979 62.0501375597103 307.891527296132</t>
  </si>
  <si>
    <t>-700.332735748575 100.733283594638 751.062780795748</t>
  </si>
  <si>
    <t>-556.16483231655 123.225549340029 812.682699327313</t>
  </si>
  <si>
    <t>-542.22973085233 -142.574007631919 307.353479893875</t>
  </si>
  <si>
    <t>-606.567283256069 -143.035289074453 751.093808354965</t>
  </si>
  <si>
    <t>-470.609099103717 -177.725296082688 824.573566497183</t>
  </si>
  <si>
    <t>9763-20170724T104418.484593800.bin</t>
  </si>
  <si>
    <t>-695.201448750852 84.7529485650898 -526.330163907005</t>
  </si>
  <si>
    <t>-755.71020821606 99.9984571773746 -238.758510730008</t>
  </si>
  <si>
    <t>-542.862287688113 202.110798661879 -190.594890255313</t>
  </si>
  <si>
    <t>-666.626508529491 23.8644643329378 -92.9011648444975</t>
  </si>
  <si>
    <t>-654.023388280381 60.7972148182248 308.760091956875</t>
  </si>
  <si>
    <t>-700.236450875892 100.407562717995 751.875046480261</t>
  </si>
  <si>
    <t>-556.142777943439 123.466989847878 813.458851191604</t>
  </si>
  <si>
    <t>-540.28865239772 -144.296345627596 308.056693756527</t>
  </si>
  <si>
    <t>-606.660963169804 -143.009855238141 751.212952966078</t>
  </si>
  <si>
    <t>-470.538074241458 -177.390991401528 824.532788759886</t>
  </si>
  <si>
    <t>9763-20170724T104418.552278600.bin</t>
  </si>
  <si>
    <t>-683.92542081855 80.6058606299923 -527.246060622424</t>
  </si>
  <si>
    <t>-754.763004911721 93.4561508808474 -241.925045003005</t>
  </si>
  <si>
    <t>-542.645510644145 192.416415155996 -184.794220656051</t>
  </si>
  <si>
    <t>-666.219735062397 19.1944802859919 -92.1641991565252</t>
  </si>
  <si>
    <t>-653.330370470635 58.433843300503 309.269283653541</t>
  </si>
  <si>
    <t>-699.986625514388 99.6397805187996 752.564708190016</t>
  </si>
  <si>
    <t>-556.081045514321 123.954327541197 814.10570364373</t>
  </si>
  <si>
    <t>-542.073206781801 -147.463947068258 308.810644430301</t>
  </si>
  <si>
    <t>-606.893894728677 -142.714346104935 751.766358433918</t>
  </si>
  <si>
    <t>-470.558148187564 -177.065619870449 824.703723558417</t>
  </si>
  <si>
    <t>9763-20170724T104418.585443000.bin</t>
  </si>
  <si>
    <t>-679.029340083049 78.7614006418275 -528.542243442924</t>
  </si>
  <si>
    <t>-755.146928819319 90.0279328652935 -244.516780146579</t>
  </si>
  <si>
    <t>-543.785890849176 187.685529568624 -182.545979423425</t>
  </si>
  <si>
    <t>-666.318966502157 17.472408884837 -92.3760668116597</t>
  </si>
  <si>
    <t>-653.81324931086 57.7456063090008 308.967143106079</t>
  </si>
  <si>
    <t>-699.963825517743 99.4439497036158 752.472207230058</t>
  </si>
  <si>
    <t>-556.118811120473 124.05927319934 814.03519604987</t>
  </si>
  <si>
    <t>-544.4139550113 -148.925252464704 308.966474551035</t>
  </si>
  <si>
    <t>-606.956807506103 -142.665532029043 752.054269373192</t>
  </si>
  <si>
    <t>-470.614340223507 -177.245160958067 824.871045627678</t>
  </si>
  <si>
    <t>9763-20170724T104418.650119300.bin</t>
  </si>
  <si>
    <t>-670.070462243478 76.6240691787179 -531.796305901246</t>
  </si>
  <si>
    <t>-756.537383721902 85.1414217170518 -250.651863129229</t>
  </si>
  <si>
    <t>-547.448017295219 181.528776161018 -179.64473058604</t>
  </si>
  <si>
    <t>-667.028282991336 16.2793374588582 -93.7217412038333</t>
  </si>
  <si>
    <t>-656.45494402128 57.4200630373384 307.588944585133</t>
  </si>
  <si>
    <t>-699.841924378899 99.1655627999371 751.634946817393</t>
  </si>
  <si>
    <t>-556.175300669003 124.314516996644 813.398391737819</t>
  </si>
  <si>
    <t>-549.686559950323 -150.507935779118 308.905827854197</t>
  </si>
  <si>
    <t>-607.006231044855 -142.758916761429 752.535798232374</t>
  </si>
  <si>
    <t>-470.508781329918 -177.060063155698 825.193607707641</t>
  </si>
  <si>
    <t>9763-20170724T104418.686719600.bin</t>
  </si>
  <si>
    <t>-665.848527175655 75.9200560721818 -533.345534065657</t>
  </si>
  <si>
    <t>-757.20460711781 83.838700982915 -253.734114200513</t>
  </si>
  <si>
    <t>-549.434348541106 180.11914814066 -178.817720836387</t>
  </si>
  <si>
    <t>-667.320178648316 16.1094350820647 -94.4561811864323</t>
  </si>
  <si>
    <t>-657.956640051719 57.2316292391467 306.886539568702</t>
  </si>
  <si>
    <t>-699.811556508457 99.1392168948146 751.132639194738</t>
  </si>
  <si>
    <t>-556.190897684965 124.258057356673 813.015035846722</t>
  </si>
  <si>
    <t>-551.542597315092 -150.771360900118 308.80948064019</t>
  </si>
  <si>
    <t>-607.061964314358 -142.804666145542 752.720454281919</t>
  </si>
  <si>
    <t>-470.460008981234 -176.923488711783 825.267761879047</t>
  </si>
  <si>
    <t>9763-20170724T104418.754427100.bin</t>
  </si>
  <si>
    <t>-658.33709405779 74.6730303800744 -536.01067511278</t>
  </si>
  <si>
    <t>-757.658434915445 84.0176369989103 -259.172881693336</t>
  </si>
  <si>
    <t>-552.306275006603 180.384601585692 -177.964493006528</t>
  </si>
  <si>
    <t>-667.527928853918 15.7735008838929 -95.6663201893164</t>
  </si>
  <si>
    <t>-660.915132816376 56.6139501360801 305.759908451248</t>
  </si>
  <si>
    <t>-699.632796706792 98.8975354032477 750.267234984683</t>
  </si>
  <si>
    <t>-556.201448123131 124.50705198835 812.387221535106</t>
  </si>
  <si>
    <t>-552.645247278664 -150.986112337667 308.60375859387</t>
  </si>
  <si>
    <t>-607.134373376744 -142.768195144069 752.84261817343</t>
  </si>
  <si>
    <t>-470.382065519627 -176.668728819623 825.208677087818</t>
  </si>
  <si>
    <t>9763-20170724T104418.787018400.bin</t>
  </si>
  <si>
    <t>-654.934733893954 74.0085584210924 -537.093844586342</t>
  </si>
  <si>
    <t>-757.083308267677 84.7063649845456 -261.335865761414</t>
  </si>
  <si>
    <t>-552.728496715965 181.495590429151 -178.138323624378</t>
  </si>
  <si>
    <t>-667.113728678198 15.5484875767074 -96.0618814858957</t>
  </si>
  <si>
    <t>-661.879406135877 56.5353147249361 305.369720876908</t>
  </si>
  <si>
    <t>-699.520102004053 98.7548835684529 749.936714833911</t>
  </si>
  <si>
    <t>-556.205385775734 124.736451886696 812.171487103165</t>
  </si>
  <si>
    <t>-551.904497200724 -150.774467523736 308.540574587674</t>
  </si>
  <si>
    <t>-607.144459561263 -142.633646545702 752.775105602655</t>
  </si>
  <si>
    <t>-470.461233679121 -176.855031152099 825.120818075146</t>
  </si>
  <si>
    <t>9763-20170724T104418.853195900.bin</t>
  </si>
  <si>
    <t>-649.910862566731 73.0287540748523 -539.012211478675</t>
  </si>
  <si>
    <t>-755.777292916189 86.232255527193 -264.769325453644</t>
  </si>
  <si>
    <t>-552.781615284567 184.573866943312 -180.078482071686</t>
  </si>
  <si>
    <t>-667.047801783196 15.8971772130753 -96.6167090288808</t>
  </si>
  <si>
    <t>-663.151346386926 56.5974101901656 304.859352357343</t>
  </si>
  <si>
    <t>-699.411482254564 98.6739856888623 749.499089365022</t>
  </si>
  <si>
    <t>-556.2046155849 124.843408659473 811.902900847572</t>
  </si>
  <si>
    <t>-551.003007014956 -150.472106298948 308.379084187557</t>
  </si>
  <si>
    <t>-607.135179442817 -142.802417202176 752.604663427543</t>
  </si>
  <si>
    <t>-470.224393311409 -176.160321962068 824.923175740188</t>
  </si>
  <si>
    <t>9763-20170724T104418.884282200.bin</t>
  </si>
  <si>
    <t>-648.478489476636 72.9618844898857 -539.839901143529</t>
  </si>
  <si>
    <t>-755.550025856095 87.165462103178 -266.115206355283</t>
  </si>
  <si>
    <t>-553.020147697946 186.404385964748 -181.355706017388</t>
  </si>
  <si>
    <t>-667.601520135935 16.3334951375762 -96.8016693571743</t>
  </si>
  <si>
    <t>-663.718583228196 56.7770594920771 304.700373778654</t>
  </si>
  <si>
    <t>-699.39765887706 98.6465290126478 749.378706725091</t>
  </si>
  <si>
    <t>-556.212058760219 124.89272731725 811.799038417681</t>
  </si>
  <si>
    <t>-551.325051315223 -150.034720029377 308.279959824016</t>
  </si>
  <si>
    <t>-607.120406490139 -142.594382361061 752.527409384606</t>
  </si>
  <si>
    <t>-470.3115082401 -176.301466425882 824.876928956941</t>
  </si>
  <si>
    <t>9763-20170724T104418.921381500.bin</t>
  </si>
  <si>
    <t>-647.620684784371 72.9710393112437 -540.551747141505</t>
  </si>
  <si>
    <t>-755.588612546868 88.0735683860946 -267.227715574434</t>
  </si>
  <si>
    <t>-553.515104548074 188.195021638531 -182.417120964115</t>
  </si>
  <si>
    <t>-668.24622567522 16.7839848732251 -96.9761600103268</t>
  </si>
  <si>
    <t>-664.348090127433 56.9872722768455 304.549911455333</t>
  </si>
  <si>
    <t>-699.402193993525 98.6252974655376 749.278637500357</t>
  </si>
  <si>
    <t>-556.223101381124 124.932054610794 811.688554619407</t>
  </si>
  <si>
    <t>-551.895367320767 -149.706387481473 308.174334482261</t>
  </si>
  <si>
    <t>-607.101967105669 -142.817972735293 752.476516429152</t>
  </si>
  <si>
    <t>-470.13116266847 -175.863656504708 824.824898154488</t>
  </si>
  <si>
    <t>9763-20170724T104418.983563400.bin</t>
  </si>
  <si>
    <t>-646.421188816643 73.7725102803583 -541.669726661362</t>
  </si>
  <si>
    <t>-756.016836356648 90.2396200958676 -269.073178541073</t>
  </si>
  <si>
    <t>-554.787401550787 191.483775585871 -183.590944809046</t>
  </si>
  <si>
    <t>-669.496647539282 18.038158622272 -97.3012206766963</t>
  </si>
  <si>
    <t>-665.749776907417 57.6027561667447 304.289713406496</t>
  </si>
  <si>
    <t>-699.483411518614 98.6554230111938 749.16300319171</t>
  </si>
  <si>
    <t>-556.227664569324 124.77172667138 811.476770192049</t>
  </si>
  <si>
    <t>-553.160229520964 -148.773672790387 307.874548012643</t>
  </si>
  <si>
    <t>-607.0469711708 -142.740273548741 752.335679392762</t>
  </si>
  <si>
    <t>-470.107878046353 -175.700822484095 824.782702868785</t>
  </si>
  <si>
    <t>9763-20170724T104419.052254000.bin</t>
  </si>
  <si>
    <t>-645.15431508584 75.2706244549572 -542.308201453534</t>
  </si>
  <si>
    <t>-756.312252669359 92.6872186204332 -270.404165420832</t>
  </si>
  <si>
    <t>-555.386365513986 193.47101856378 -183.673204578785</t>
  </si>
  <si>
    <t>-670.392690084649 19.5868334210397 -97.4923941200979</t>
  </si>
  <si>
    <t>-667.080934956191 58.5326742476354 304.162815556939</t>
  </si>
  <si>
    <t>-699.567015364052 98.7075178252069 749.17659597626</t>
  </si>
  <si>
    <t>-556.215066630767 124.571199947781 811.374486682837</t>
  </si>
  <si>
    <t>-553.769771618428 -147.624626229563 307.591178018421</t>
  </si>
  <si>
    <t>-607.005468581889 -142.265335185321 752.163348846074</t>
  </si>
  <si>
    <t>-470.302723777425 -175.917146338516 824.738816051944</t>
  </si>
  <si>
    <t>9763-20170724T104419.083846000.bin</t>
  </si>
  <si>
    <t>-644.681016771413 76.1227613094752 -542.437055899553</t>
  </si>
  <si>
    <t>-756.478151097225 93.8169681389084 -270.813140290311</t>
  </si>
  <si>
    <t>-555.565890947619 194.058517425465 -183.424509953354</t>
  </si>
  <si>
    <t>-670.985040358358 20.4439942224753 -97.5459531956955</t>
  </si>
  <si>
    <t>-667.675055756054 59.0236327851735 304.144649283745</t>
  </si>
  <si>
    <t>-699.647224575115 98.8157578167124 749.230317473435</t>
  </si>
  <si>
    <t>-556.199852759786 124.279239712317 811.373270508338</t>
  </si>
  <si>
    <t>-554.220326830251 -147.097440450221 307.434360991495</t>
  </si>
  <si>
    <t>-606.983253256719 -142.157536646431 752.073429090422</t>
  </si>
  <si>
    <t>-470.32380136378 -175.851996768957 824.710687075635</t>
  </si>
  <si>
    <t>9763-20170724T104419.119941700.bin</t>
  </si>
  <si>
    <t>-644.395001683649 77.0250738730103 -542.550083525405</t>
  </si>
  <si>
    <t>-756.639811386727 94.8725975797893 -271.120998352788</t>
  </si>
  <si>
    <t>-555.66414099391 194.458408134122 -183.130639960389</t>
  </si>
  <si>
    <t>-671.677461214711 21.3111824148355 -97.6003534165845</t>
  </si>
  <si>
    <t>-668.216056403992 59.452523216295 304.130846054819</t>
  </si>
  <si>
    <t>-699.640802352473 98.7743633120169 749.284122582933</t>
  </si>
  <si>
    <t>-556.181654123682 124.296067809944 811.37603240768</t>
  </si>
  <si>
    <t>-554.850158689449 -146.508947046833 307.265939405422</t>
  </si>
  <si>
    <t>-606.970797102318 -142.005063623507 751.992305144681</t>
  </si>
  <si>
    <t>-470.453230781593 -176.125686010856 824.697393696485</t>
  </si>
  <si>
    <t>9763-20170724T104419.186128300.bin</t>
  </si>
  <si>
    <t>-644.128213803548 78.8502578099158 -542.640983414796</t>
  </si>
  <si>
    <t>-756.948679166687 96.9019946159203 -271.464223255509</t>
  </si>
  <si>
    <t>-555.678701677561 195.164716625391 -182.66268106561</t>
  </si>
  <si>
    <t>-673.013770329182 23.148810924117 -97.7489250371774</t>
  </si>
  <si>
    <t>-669.360851090986 60.5140624282478 304.053480907106</t>
  </si>
  <si>
    <t>-699.687691891267 98.8379377801989 749.402969113091</t>
  </si>
  <si>
    <t>-556.152161539524 124.100467805062 811.424411196115</t>
  </si>
  <si>
    <t>-556.285417203247 -145.532401096156 306.950938187057</t>
  </si>
  <si>
    <t>-606.954066876207 -141.894779955751 751.865892582115</t>
  </si>
  <si>
    <t>-470.436149032005 -175.833456293807 824.655421575641</t>
  </si>
  <si>
    <t>9763-20170724T104419.249815200.bin</t>
  </si>
  <si>
    <t>-643.806955955816 80.659880168005 -542.634928713317</t>
  </si>
  <si>
    <t>-756.948833425385 99.1867041282644 -271.624091014467</t>
  </si>
  <si>
    <t>-555.258322295351 196.136505511038 -182.335283285156</t>
  </si>
  <si>
    <t>-674.24218667044 25.0053694616106 -97.8172405511382</t>
  </si>
  <si>
    <t>-670.301706482596 61.6684737473627 304.047117604232</t>
  </si>
  <si>
    <t>-699.723722670915 98.9354696386224 749.544722742686</t>
  </si>
  <si>
    <t>-556.086261446123 123.685350008446 811.536842860688</t>
  </si>
  <si>
    <t>-557.276847504323 -144.360332196968 306.695378569998</t>
  </si>
  <si>
    <t>-606.954752448068 -141.578796283865 751.752218159803</t>
  </si>
  <si>
    <t>-470.596438543475 -175.967100924444 824.629824234933</t>
  </si>
  <si>
    <t>9763-20170724T104419.319503300.bin</t>
  </si>
  <si>
    <t>-643.44264761574 81.9911417965732 -542.595974766033</t>
  </si>
  <si>
    <t>-756.655602919543 101.42243012362 -271.67816427936</t>
  </si>
  <si>
    <t>-554.472181059661 197.052019572228 -182.080688370452</t>
  </si>
  <si>
    <t>-675.109901522466 26.5160295906796 -97.8473188637445</t>
  </si>
  <si>
    <t>-670.772942962885 62.6316029257998 304.06255299956</t>
  </si>
  <si>
    <t>-699.721252136633 99.0052014341252 749.677951926019</t>
  </si>
  <si>
    <t>-556.022796343464 123.434341293197 811.655874288232</t>
  </si>
  <si>
    <t>-558.102812159705 -143.547863371429 306.504883833221</t>
  </si>
  <si>
    <t>-606.956875364438 -141.539352630441 751.650575794935</t>
  </si>
  <si>
    <t>-470.552307913066 -175.588705344002 824.600793919404</t>
  </si>
  <si>
    <t>9763-20170724T104419.352092500.bin</t>
  </si>
  <si>
    <t>-643.392386037171 82.5834525963294 -542.578835187713</t>
  </si>
  <si>
    <t>-756.541898701249 102.419325200716 -271.663832571251</t>
  </si>
  <si>
    <t>-554.098062857092 197.497260232583 -182.067303951194</t>
  </si>
  <si>
    <t>-675.479688796548 27.2035350922756 -97.8480654866377</t>
  </si>
  <si>
    <t>-670.885540851904 63.0405626411259 304.083872419331</t>
  </si>
  <si>
    <t>-699.691222139198 98.969743856002 749.752298708147</t>
  </si>
  <si>
    <t>-555.97921542968 123.353589953158 811.716592456294</t>
  </si>
  <si>
    <t>-558.483646720409 -143.03588257894 306.438920552542</t>
  </si>
  <si>
    <t>-606.964126299991 -141.45645494771 751.614808537728</t>
  </si>
  <si>
    <t>-470.651652796941 -175.782953800456 824.607256682591</t>
  </si>
  <si>
    <t>9763-20170724T104419.384256200.bin</t>
  </si>
  <si>
    <t>-643.495812033313 83.1250646897088 -542.579157405466</t>
  </si>
  <si>
    <t>-756.517459375336 103.339746112392 -271.638772308843</t>
  </si>
  <si>
    <t>-553.803973997748 197.944489554481 -182.151054753312</t>
  </si>
  <si>
    <t>-675.802373923771 27.8834143485615 -97.8354267910377</t>
  </si>
  <si>
    <t>-670.984943398585 63.4414315387521 304.118673656222</t>
  </si>
  <si>
    <t>-699.697777271576 99.0092069053555 749.816244031609</t>
  </si>
  <si>
    <t>-555.94653306273 123.165002126194 811.779115525227</t>
  </si>
  <si>
    <t>-558.854394437708 -142.594582912028 306.36712160644</t>
  </si>
  <si>
    <t>-606.968972077935 -141.320002825739 751.575977501677</t>
  </si>
  <si>
    <t>-470.708320432719 -175.764372704342 824.60964990732</t>
  </si>
  <si>
    <t>9763-20170724T104419.422358200.bin</t>
  </si>
  <si>
    <t>-643.599621795836 83.532455791591 -542.594394575515</t>
  </si>
  <si>
    <t>-756.506769433856 104.113851295558 -271.63385158846</t>
  </si>
  <si>
    <t>-553.536668318595 198.27852319902 -182.263728697829</t>
  </si>
  <si>
    <t>-676.033186735232 28.4466481254378 -97.8133762756293</t>
  </si>
  <si>
    <t>-671.021779177138 63.7782371066296 304.158350734528</t>
  </si>
  <si>
    <t>-699.683411182312 99.0135055463406 749.881492750188</t>
  </si>
  <si>
    <t>-555.917083744448 123.087713773425 811.840796580488</t>
  </si>
  <si>
    <t>-559.173175508851 -142.218319200269 306.299798462698</t>
  </si>
  <si>
    <t>-606.980905021207 -141.311999132706 751.547776688391</t>
  </si>
  <si>
    <t>-470.743197688551 -175.779998587326 824.613210693191</t>
  </si>
  <si>
    <t>9763-20170724T104419.484124800.bin</t>
  </si>
  <si>
    <t>-643.836400921385 84.1254259068039 -542.652401446422</t>
  </si>
  <si>
    <t>-756.532819644497 105.357467701963 -271.654503707299</t>
  </si>
  <si>
    <t>-553.146987679952 198.595054430604 -182.257642661321</t>
  </si>
  <si>
    <t>-676.38202665956 29.3971938863137 -97.7947629326477</t>
  </si>
  <si>
    <t>-670.945616491848 64.3358953554475 304.205793227207</t>
  </si>
  <si>
    <t>-699.620404150439 98.9732324531565 749.983150819195</t>
  </si>
  <si>
    <t>-555.840629506322 122.974454139806 811.939719282415</t>
  </si>
  <si>
    <t>-559.592303119164 -141.597124648798 306.223587862615</t>
  </si>
  <si>
    <t>-607.002088091446 -141.180286276887 751.500178446614</t>
  </si>
  <si>
    <t>-470.790713771199 -175.627388852619 824.624493774102</t>
  </si>
  <si>
    <t>9763-20170724T104419.553311500.bin</t>
  </si>
  <si>
    <t>-644.15035285623 84.631056890441 -542.71486533514</t>
  </si>
  <si>
    <t>-756.602213053272 106.410560116283 -271.65872697883</t>
  </si>
  <si>
    <t>-552.786422146992 198.714732002427 -182.272430221756</t>
  </si>
  <si>
    <t>-676.678288481456 30.30387067221 -97.7818641973654</t>
  </si>
  <si>
    <t>-670.985088887768 64.898795847299 304.244808024557</t>
  </si>
  <si>
    <t>-699.601928515309 99.0264466332962 750.063739531977</t>
  </si>
  <si>
    <t>-555.796017733129 122.870732696891 812.020308803488</t>
  </si>
  <si>
    <t>-559.760685926628 -140.841863605849 306.174257457586</t>
  </si>
  <si>
    <t>-607.031124391738 -140.771357716153 751.463032168455</t>
  </si>
  <si>
    <t>-470.97494095223 -175.705013603797 824.645366870605</t>
  </si>
  <si>
    <t>9763-20170724T104419.587404300.bin</t>
  </si>
  <si>
    <t>-644.240162413216 84.7695272806964 -542.738810679217</t>
  </si>
  <si>
    <t>-756.584216632135 106.704884981175 -271.650535206133</t>
  </si>
  <si>
    <t>-552.599591832814 198.630127850783 -182.258871441155</t>
  </si>
  <si>
    <t>-676.785891587536 30.6567651524724 -97.7717520191998</t>
  </si>
  <si>
    <t>-671.008577266853 65.0992251045907 304.266882614242</t>
  </si>
  <si>
    <t>-699.59399611464 99.0393990638568 750.10401575448</t>
  </si>
  <si>
    <t>-555.751606204143 122.67078550967 812.057396379088</t>
  </si>
  <si>
    <t>-559.859837402651 -140.623674646443 306.156695303016</t>
  </si>
  <si>
    <t>-607.049249258662 -140.818053670633 751.452732421787</t>
  </si>
  <si>
    <t>-470.92381788684 -175.470388926168 824.640069240315</t>
  </si>
  <si>
    <t>9763-20170724T104419.649571700.bin</t>
  </si>
  <si>
    <t>-644.160419173774 85.1802862027671 -542.833974738714</t>
  </si>
  <si>
    <t>-756.346648206681 107.415024755877 -271.704640725221</t>
  </si>
  <si>
    <t>-552.14622865438 198.774327796314 -182.225145600066</t>
  </si>
  <si>
    <t>-676.92385190562 31.2733619404084 -97.783266734258</t>
  </si>
  <si>
    <t>-671.058083742421 65.5013598040659 304.272357606335</t>
  </si>
  <si>
    <t>-699.550648149796 99.0255051671461 750.152033438913</t>
  </si>
  <si>
    <t>-555.711034858297 122.684444510061 812.101415476913</t>
  </si>
  <si>
    <t>-560.065076295002 -140.072754221457 306.123110186273</t>
  </si>
  <si>
    <t>-607.097170936778 -140.396688606551 751.434819432117</t>
  </si>
  <si>
    <t>-471.182276341411 -175.777727648786 824.664686283386</t>
  </si>
  <si>
    <t>9763-20170724T104419.686673100.bin</t>
  </si>
  <si>
    <t>-644.070678217619 85.2794473842482 -542.884493920018</t>
  </si>
  <si>
    <t>-756.179537746158 107.618970450489 -271.731831018879</t>
  </si>
  <si>
    <t>-551.907127615526 198.824323857441 -182.259890216141</t>
  </si>
  <si>
    <t>-677.010029975085 31.5089001305992 -97.7957799586256</t>
  </si>
  <si>
    <t>-671.063037839144 65.6095850947706 304.269399971915</t>
  </si>
  <si>
    <t>-699.505310137478 98.9649528676066 750.167230621783</t>
  </si>
  <si>
    <t>-555.67189808847 122.656420643208 812.118543787656</t>
  </si>
  <si>
    <t>-560.137492652357 -139.976400928597 306.12255530986</t>
  </si>
  <si>
    <t>-607.121068934434 -140.430716753576 751.435935374365</t>
  </si>
  <si>
    <t>-471.162957447305 -175.646356746994 824.665246610244</t>
  </si>
  <si>
    <t>9763-20170724T104419.757366500.bin</t>
  </si>
  <si>
    <t>-643.869019854279 85.200777366598 -542.993473839576</t>
  </si>
  <si>
    <t>-755.856866739196 107.88871653795 -271.819823026486</t>
  </si>
  <si>
    <t>-551.490646499037 199.071523782412 -182.539318579975</t>
  </si>
  <si>
    <t>-677.012633204514 31.7125323849421 -97.7863038219185</t>
  </si>
  <si>
    <t>-671.078807885339 65.7482649767128 304.2845261648</t>
  </si>
  <si>
    <t>-699.456650453686 98.9200986134522 750.197254612406</t>
  </si>
  <si>
    <t>-555.607662565623 122.509972226519 812.151122199694</t>
  </si>
  <si>
    <t>-560.153451310441 -139.924567457085 306.13705912979</t>
  </si>
  <si>
    <t>-607.180957042381 -140.572351144982 751.458613892657</t>
  </si>
  <si>
    <t>-471.141348009693 -175.512269235621 824.668697928645</t>
  </si>
  <si>
    <t>9763-20170724T104419.787590000.bin</t>
  </si>
  <si>
    <t>-643.823788323918 85.1214302050882 -543.055796236597</t>
  </si>
  <si>
    <t>-755.689689713309 108.000432765189 -271.847818650221</t>
  </si>
  <si>
    <t>-551.287582496183 199.249644084901 -182.71741755023</t>
  </si>
  <si>
    <t>-676.956623043259 31.7750067031484 -97.7809890483755</t>
  </si>
  <si>
    <t>-671.001888502799 65.7607436851958 304.293874075095</t>
  </si>
  <si>
    <t>-699.422880461885 98.8773785576045 750.208770524046</t>
  </si>
  <si>
    <t>-555.574296277933 122.456635822225 812.167567633857</t>
  </si>
  <si>
    <t>-560.135255466205 -139.854580473155 306.155729944472</t>
  </si>
  <si>
    <t>-607.212679982175 -140.378144587016 751.465053669411</t>
  </si>
  <si>
    <t>-471.237968928807 -175.566567779582 824.676751995972</t>
  </si>
  <si>
    <t>9763-20170724T104419.851268800.bin</t>
  </si>
  <si>
    <t>-643.8713634673 84.8351809766332 -543.168227396203</t>
  </si>
  <si>
    <t>-755.338392288325 108.113647612347 -271.830113126968</t>
  </si>
  <si>
    <t>-550.780773732104 199.555120284419 -183.255317286803</t>
  </si>
  <si>
    <t>-676.768178904933 31.7378046252002 -97.7704765654144</t>
  </si>
  <si>
    <t>-670.759388089749 65.736164885602 304.3024949886</t>
  </si>
  <si>
    <t>-699.375460847623 98.8320739763399 750.210159175866</t>
  </si>
  <si>
    <t>-555.539657555397 122.449565354102 812.184110600062</t>
  </si>
  <si>
    <t>-560.048984297732 -139.851525181836 306.2078056228</t>
  </si>
  <si>
    <t>-607.282659573139 -140.289662564727 751.500664515959</t>
  </si>
  <si>
    <t>-471.338926335913 -175.644908970378 824.689565048777</t>
  </si>
  <si>
    <t>9763-20170724T104419.888411000.bin</t>
  </si>
  <si>
    <t>-643.9479279143 84.7021561328243 -543.182342324621</t>
  </si>
  <si>
    <t>-754.987924693852 108.373121325233 -271.703053718229</t>
  </si>
  <si>
    <t>-550.091410317645 199.615428661471 -183.708267308322</t>
  </si>
  <si>
    <t>-676.596653596126 31.6319783588224 -97.7671666685206</t>
  </si>
  <si>
    <t>-670.58442676022 65.6239369605 304.306329825664</t>
  </si>
  <si>
    <t>-699.32005988352 98.7384501393476 750.204628925039</t>
  </si>
  <si>
    <t>-555.498884103765 122.426976040094 812.185392681585</t>
  </si>
  <si>
    <t>-559.975620661417 -140.065733556149 306.252929367371</t>
  </si>
  <si>
    <t>-607.326089527947 -140.556534283149 751.538295379669</t>
  </si>
  <si>
    <t>-471.219567078859 -175.381527188319 824.678811883339</t>
  </si>
  <si>
    <t>9763-20170724T104419.949579200.bin</t>
  </si>
  <si>
    <t>-644.491365356154 84.5653644974984 -543.357825183586</t>
  </si>
  <si>
    <t>-752.873239464201 110.616958625123 -271.023861261251</t>
  </si>
  <si>
    <t>-545.989095925197 200.118220292433 -185.939377945063</t>
  </si>
  <si>
    <t>-676.101808928856 31.3141385437941 -97.7960643104462</t>
  </si>
  <si>
    <t>-670.234180083838 65.3302895588029 304.277495684137</t>
  </si>
  <si>
    <t>-699.204329427154 98.5328047262681 750.150257209352</t>
  </si>
  <si>
    <t>-555.434041400603 122.477775424125 812.150526324525</t>
  </si>
  <si>
    <t>-559.910715231016 -140.244868037094 306.353573583436</t>
  </si>
  <si>
    <t>-607.424848146069 -140.539070853107 751.628022734699</t>
  </si>
  <si>
    <t>-471.231139998032 -175.214336977842 824.677290139797</t>
  </si>
  <si>
    <t>9763-20170724T104419.984730600.bin</t>
  </si>
  <si>
    <t>-644.915605146698 84.6150901754193 -543.351057251873</t>
  </si>
  <si>
    <t>-750.6013323647 112.927834431363 -270.184288715213</t>
  </si>
  <si>
    <t>-541.813420681523 200.740370451849 -188.041322159795</t>
  </si>
  <si>
    <t>-676.075483091537 31.1786828841102 -97.8062620882336</t>
  </si>
  <si>
    <t>-670.160634710709 65.1560346625533 304.2698329144</t>
  </si>
  <si>
    <t>-699.162561000067 98.449954949748 750.125902942745</t>
  </si>
  <si>
    <t>-555.42613453146 122.587758777735 812.129824016414</t>
  </si>
  <si>
    <t>-559.94352907371 -140.303920503313 306.397275741478</t>
  </si>
  <si>
    <t>-607.47143551642 -140.504756178444 751.67117923285</t>
  </si>
  <si>
    <t>-471.254854157493 -175.18753318601 824.674119722384</t>
  </si>
  <si>
    <t>9763-20170724T104420.053920400.bin</t>
  </si>
  <si>
    <t>-645.845584658868 85.1193666098136 -543.077956963609</t>
  </si>
  <si>
    <t>-743.253676439474 120.08363978206 -267.61397632036</t>
  </si>
  <si>
    <t>-529.922706700962 203.344969271508 -192.725383960614</t>
  </si>
  <si>
    <t>-676.18064088013 30.9925583665697 -97.8454501937746</t>
  </si>
  <si>
    <t>-670.337992396195 65.0818176460057 304.222249605535</t>
  </si>
  <si>
    <t>-699.157512582146 98.430907377551 750.061626425602</t>
  </si>
  <si>
    <t>-555.389182584468 122.34010266819 812.080274858086</t>
  </si>
  <si>
    <t>-560.508002241284 -140.462367377499 306.414147907693</t>
  </si>
  <si>
    <t>-607.528389197455 -140.568994958004 751.726328540433</t>
  </si>
  <si>
    <t>-471.277783366714 -175.21459528695 824.683450801686</t>
  </si>
  <si>
    <t>9763-20170724T104420.085012100.bin</t>
  </si>
  <si>
    <t>-646.272319165571 85.5707963498355 -542.92610481469</t>
  </si>
  <si>
    <t>-738.253738557543 124.333354431973 -266.10834217813</t>
  </si>
  <si>
    <t>-522.500562472519 205.082498082857 -195.532229297734</t>
  </si>
  <si>
    <t>-676.215801243163 30.8996535009137 -97.9091532281135</t>
  </si>
  <si>
    <t>-670.386513499416 65.074231750536 304.151493542645</t>
  </si>
  <si>
    <t>-699.129354577614 98.364933837971 750.008546819138</t>
  </si>
  <si>
    <t>-555.378576895465 122.380330970067 812.02671648906</t>
  </si>
  <si>
    <t>-561.141487952313 -140.632149180424 306.375733293996</t>
  </si>
  <si>
    <t>-607.541093102034 -140.64542522898 751.751906152416</t>
  </si>
  <si>
    <t>-471.246185707497 -175.127594793654 824.703840063279</t>
  </si>
  <si>
    <t>9763-20170724T104420.151191700.bin</t>
  </si>
  <si>
    <t>-647.169999063187 86.6368837916048 -542.521230810957</t>
  </si>
  <si>
    <t>-725.266125460914 133.640320267658 -262.73050705881</t>
  </si>
  <si>
    <t>-505.522529179682 209.466304413365 -199.37426858608</t>
  </si>
  <si>
    <t>-676.287660841929 30.7354960395137 -97.9729500865936</t>
  </si>
  <si>
    <t>-670.313141240612 65.0310168730052 304.075270925844</t>
  </si>
  <si>
    <t>-699.070505220273 98.1855476934099 749.926534143424</t>
  </si>
  <si>
    <t>-555.335732762032 122.350210650971 811.923975444329</t>
  </si>
  <si>
    <t>-562.480702818042 -140.770307669054 306.265172220952</t>
  </si>
  <si>
    <t>-607.564506784765 -140.43870916128 751.788539850438</t>
  </si>
  <si>
    <t>-471.414547493066 -175.454155414512 824.757037440189</t>
  </si>
  <si>
    <t>9763-20170724T104420.183281600.bin</t>
  </si>
  <si>
    <t>-647.458399957706 87.2595696606079 -542.231164824993</t>
  </si>
  <si>
    <t>-717.803806863701 137.940001543229 -261.029773741393</t>
  </si>
  <si>
    <t>-496.677029441678 211.98770802617 -200.443170629321</t>
  </si>
  <si>
    <t>-676.312272083748 30.7470529449192 -97.9687068035818</t>
  </si>
  <si>
    <t>-670.223971262759 65.1003746288939 304.072905553006</t>
  </si>
  <si>
    <t>-699.115635665612 98.2399939701431 749.906637340719</t>
  </si>
  <si>
    <t>-555.346661706015 122.231514809016 811.892055327942</t>
  </si>
  <si>
    <t>-563.050717283586 -140.827595868957 306.191614801174</t>
  </si>
  <si>
    <t>-607.567574127057 -140.404987916179 751.786792917436</t>
  </si>
  <si>
    <t>-471.435324187264 -175.455235474684 824.771580994367</t>
  </si>
  <si>
    <t>9763-20170724T104420.252469000.bin</t>
  </si>
  <si>
    <t>-647.812730338391 88.800248357888 -541.397950187591</t>
  </si>
  <si>
    <t>-703.059336565762 144.504709445181 -257.785547340225</t>
  </si>
  <si>
    <t>-480.130707425431 216.789953256817 -201.852355881774</t>
  </si>
  <si>
    <t>-676.335179581481 30.8183362518075 -97.8850360890921</t>
  </si>
  <si>
    <t>-670.227873645999 65.1987159258067 304.153907643669</t>
  </si>
  <si>
    <t>-699.178639830287 98.2409355812558 749.946065856476</t>
  </si>
  <si>
    <t>-555.341819113595 121.954883749327 811.88076265965</t>
  </si>
  <si>
    <t>-563.932871183948 -141.016720795002 306.061378751031</t>
  </si>
  <si>
    <t>-607.583286637477 -140.3799899017 751.788182596065</t>
  </si>
  <si>
    <t>-471.541396747223 -175.741910487783 824.791121027452</t>
  </si>
  <si>
    <t>9763-20170724T104420.283557100.bin</t>
  </si>
  <si>
    <t>-647.970058675003 89.7113904916305 -540.952484411575</t>
  </si>
  <si>
    <t>-696.461022366074 147.002691091626 -256.422146245807</t>
  </si>
  <si>
    <t>-473.044418491531 218.961479568971 -202.036174949218</t>
  </si>
  <si>
    <t>-676.179562249147 30.9807005087196 -97.8109876828295</t>
  </si>
  <si>
    <t>-670.247348293326 65.2580121718941 304.23940048211</t>
  </si>
  <si>
    <t>-699.21328148539 98.2520111017241 750.001605649302</t>
  </si>
  <si>
    <t>-555.33760254584 121.793398663967 811.911962381796</t>
  </si>
  <si>
    <t>-564.311004689425 -141.177812043396 306.018777679461</t>
  </si>
  <si>
    <t>-607.600852705591 -140.385417705225 751.797321221058</t>
  </si>
  <si>
    <t>-471.52770227749 -175.665154964991 824.781693684273</t>
  </si>
  <si>
    <t>9763-20170724T104420.353246600.bin</t>
  </si>
  <si>
    <t>-648.238811721184 91.5868891182008 -540.067754817332</t>
  </si>
  <si>
    <t>-686.826322837916 150.48120234075 -254.351595573919</t>
  </si>
  <si>
    <t>-462.045865164244 220.727589381039 -203.459138394291</t>
  </si>
  <si>
    <t>-675.503181026963 31.3829731840826 -97.6644696365055</t>
  </si>
  <si>
    <t>-670.270722858349 65.4674656929687 304.412083433372</t>
  </si>
  <si>
    <t>-699.235419071062 98.2038594726478 750.139771398554</t>
  </si>
  <si>
    <t>-555.302689252042 121.508126990846 812.007097326315</t>
  </si>
  <si>
    <t>-565.570572985894 -141.252449270956 305.921721312836</t>
  </si>
  <si>
    <t>-607.640516095185 -140.30497297301 751.81499413539</t>
  </si>
  <si>
    <t>-471.743244035743 -176.267879545709 824.793790412488</t>
  </si>
  <si>
    <t>9763-20170724T104420.385836600.bin</t>
  </si>
  <si>
    <t>-648.631650464519 92.5761318574882 -539.678156541829</t>
  </si>
  <si>
    <t>-684.170779373734 151.547442343189 -253.582769998816</t>
  </si>
  <si>
    <t>-458.749729767974 221.120522281768 -204.635763494315</t>
  </si>
  <si>
    <t>-675.074251602133 31.617314360499 -97.6144353884101</t>
  </si>
  <si>
    <t>-670.179475481221 65.5485435476526 304.47930807107</t>
  </si>
  <si>
    <t>-699.237495656219 98.1523794502352 750.199045115185</t>
  </si>
  <si>
    <t>-555.299290254213 121.501239816626 812.036951254487</t>
  </si>
  <si>
    <t>-566.503839619511 -141.390496070616 305.856902533924</t>
  </si>
  <si>
    <t>-607.637490952959 -140.326336607101 751.829789158022</t>
  </si>
  <si>
    <t>-471.781660466125 -176.434709384561 824.8139225648</t>
  </si>
  <si>
    <t>9763-20170724T104420.451013700.bin</t>
  </si>
  <si>
    <t>-650.24326423297 94.8613291268539 -539.029214059275</t>
  </si>
  <si>
    <t>-682.112735960385 153.086759254983 -252.349368143713</t>
  </si>
  <si>
    <t>-455.498830311824 221.239322277784 -207.047675584943</t>
  </si>
  <si>
    <t>-674.131261863521 32.3634898641694 -97.6064048073661</t>
  </si>
  <si>
    <t>-669.727217452083 65.8424551150822 304.530921621675</t>
  </si>
  <si>
    <t>-699.325941748315 98.110491057387 750.240538027375</t>
  </si>
  <si>
    <t>-555.321515077958 121.255994432576 812.000582967844</t>
  </si>
  <si>
    <t>-569.272331894373 -141.578274881281 305.739092704968</t>
  </si>
  <si>
    <t>-607.599484050273 -140.275468525218 751.897084014408</t>
  </si>
  <si>
    <t>-471.916328229564 -176.928290835821 824.930837517078</t>
  </si>
  <si>
    <t>9763-20170724T104420.484109600.bin</t>
  </si>
  <si>
    <t>-651.328565193592 96.3007321555604 -538.721465784841</t>
  </si>
  <si>
    <t>-682.082563761049 153.878449428659 -251.789144472317</t>
  </si>
  <si>
    <t>-455.019778385799 221.311299754351 -207.673901060677</t>
  </si>
  <si>
    <t>-673.647536187741 32.9436853066773 -97.6527438780015</t>
  </si>
  <si>
    <t>-669.386721844986 66.1816006560755 304.506101685709</t>
  </si>
  <si>
    <t>-699.430024575293 98.1839915090741 750.206100463286</t>
  </si>
  <si>
    <t>-555.343738947671 120.918725374881 811.927716357893</t>
  </si>
  <si>
    <t>-570.834224167307 -141.580717929901 305.67845081035</t>
  </si>
  <si>
    <t>-607.563596727112 -140.089681509857 751.934623044756</t>
  </si>
  <si>
    <t>-472.021392442315 -177.163465081273 825.017829152239</t>
  </si>
  <si>
    <t>9763-20170724T104420.552791700.bin</t>
  </si>
  <si>
    <t>-653.85108246962 98.566282856395 -538.257330378546</t>
  </si>
  <si>
    <t>-683.124968099171 153.879362963236 -250.725199034826</t>
  </si>
  <si>
    <t>-455.182841763484 220.31664603538 -209.745437463261</t>
  </si>
  <si>
    <t>-672.438461865748 34.1552856482119 -97.9540259875699</t>
  </si>
  <si>
    <t>-668.299133175405 66.7832927373156 304.256087437601</t>
  </si>
  <si>
    <t>-699.508931441027 98.1148387250144 749.931911703929</t>
  </si>
  <si>
    <t>-555.379312380883 120.737710355854 811.593527646211</t>
  </si>
  <si>
    <t>-573.736041655163 -141.070147045628 305.598345712713</t>
  </si>
  <si>
    <t>-607.491646513012 -139.845467487438 752.069160169139</t>
  </si>
  <si>
    <t>-472.227437340939 -177.800443867942 825.214975352584</t>
  </si>
  <si>
    <t>9763-20170724T104420.587938800.bin</t>
  </si>
  <si>
    <t>-655.478605276589 99.4003939777153 -538.090455893142</t>
  </si>
  <si>
    <t>-684.074120321653 153.203240417795 -250.203786204529</t>
  </si>
  <si>
    <t>-455.81143599434 219.633205660561 -211.036608268281</t>
  </si>
  <si>
    <t>-671.722284625756 34.6352529374087 -98.1376909005398</t>
  </si>
  <si>
    <t>-667.691064981828 67.0204356541203 304.093124305929</t>
  </si>
  <si>
    <t>-699.579109849288 98.1282948933444 749.749014960494</t>
  </si>
  <si>
    <t>-555.430523361464 120.720187570629 811.377689667603</t>
  </si>
  <si>
    <t>-574.908723998958 -140.939034590443 305.571670835654</t>
  </si>
  <si>
    <t>-607.460230659676 -139.999311524223 752.135527931881</t>
  </si>
  <si>
    <t>-472.266417870959 -178.177529849214 825.29521482682</t>
  </si>
  <si>
    <t>9763-20170724T104420.651119000.bin</t>
  </si>
  <si>
    <t>-658.934969969485 100.072648146932 -537.823592207502</t>
  </si>
  <si>
    <t>-685.944691026167 151.289397167297 -249.312675618967</t>
  </si>
  <si>
    <t>-457.292464254216 217.891782020856 -212.799987814867</t>
  </si>
  <si>
    <t>-670.242219535328 35.2324460346751 -98.5529973266171</t>
  </si>
  <si>
    <t>-666.461913285468 67.110438224393 303.720776393009</t>
  </si>
  <si>
    <t>-699.671174484525 98.0301138513119 749.320396904155</t>
  </si>
  <si>
    <t>-555.50063571583 120.688092287963 810.873357731484</t>
  </si>
  <si>
    <t>-576.768644499799 -140.673301469018 305.534567180659</t>
  </si>
  <si>
    <t>-607.379597827599 -140.154038762925 752.237378746194</t>
  </si>
  <si>
    <t>-472.224879633235 -178.433071361322 825.416867988643</t>
  </si>
  <si>
    <t>9763-20170724T104420.684209300.bin</t>
  </si>
  <si>
    <t>-660.69778951913 100.129231875906 -537.705706748313</t>
  </si>
  <si>
    <t>-686.811369334417 150.403272240194 -248.946753886294</t>
  </si>
  <si>
    <t>-458.072153741151 217.169715285345 -213.288803590604</t>
  </si>
  <si>
    <t>-669.574180052717 35.4389414131742 -98.7344131920238</t>
  </si>
  <si>
    <t>-665.825909020353 67.0854608367099 303.557921160469</t>
  </si>
  <si>
    <t>-699.692108901462 97.9499696099974 749.103960630157</t>
  </si>
  <si>
    <t>-555.52720603048 120.727334092039 810.626092700904</t>
  </si>
  <si>
    <t>-577.25785577378 -140.549839861202 305.496659382076</t>
  </si>
  <si>
    <t>-607.341939797353 -140.243547239971 752.265899104256</t>
  </si>
  <si>
    <t>-472.208593688029 -178.584538521449 825.452303936153</t>
  </si>
  <si>
    <t>9763-20170724T104420.751895300.bin</t>
  </si>
  <si>
    <t>-664.283620163743 100.531810840031 -537.462557464666</t>
  </si>
  <si>
    <t>-688.474862991568 149.325873872053 -248.282576022117</t>
  </si>
  <si>
    <t>-459.527485745947 216.036619598334 -213.878253711353</t>
  </si>
  <si>
    <t>-668.39728519729 36.1825799734752 -99.062916858574</t>
  </si>
  <si>
    <t>-664.426396486284 67.2834596116918 303.269780581986</t>
  </si>
  <si>
    <t>-699.889258149718 98.2137004091796 748.69139312766</t>
  </si>
  <si>
    <t>-555.636905521499 120.470993235762 810.198908805796</t>
  </si>
  <si>
    <t>-577.131220592606 -140.081815274291 305.416358360386</t>
  </si>
  <si>
    <t>-607.250482303687 -140.105943655047 752.259374690744</t>
  </si>
  <si>
    <t>-472.311518085697 -179.073107614955 825.473650115539</t>
  </si>
  <si>
    <t>9763-20170724T104420.783059600.bin</t>
  </si>
  <si>
    <t>-665.90424441825 100.448024996479 -537.260076213527</t>
  </si>
  <si>
    <t>-688.937604945158 148.577033463272 -247.874007115101</t>
  </si>
  <si>
    <t>-459.872681109478 215.273523192183 -214.233655324242</t>
  </si>
  <si>
    <t>-667.567005909146 36.2133888814369 -99.1359331192392</t>
  </si>
  <si>
    <t>-663.674667504955 67.2111663237154 303.205569269568</t>
  </si>
  <si>
    <t>-699.9063060294 98.1836298429478 748.536338664607</t>
  </si>
  <si>
    <t>-555.682544877903 120.660962947736 810.030825959516</t>
  </si>
  <si>
    <t>-576.56205476773 -140.0442728856 305.386084762866</t>
  </si>
  <si>
    <t>-607.218901712609 -140.288218485386 752.236734512249</t>
  </si>
  <si>
    <t>-472.193909569311 -178.971093432829 825.443180956186</t>
  </si>
  <si>
    <t>9763-20170724T104420.852754400.bin</t>
  </si>
  <si>
    <t>-669.247728728473 100.468419625629 -536.657952171693</t>
  </si>
  <si>
    <t>-689.461790555354 147.465765146539 -246.875549218156</t>
  </si>
  <si>
    <t>-460.19614661551 214.221451751999 -214.753815336385</t>
  </si>
  <si>
    <t>-666.165451039843 36.5548145095186 -99.2014280122299</t>
  </si>
  <si>
    <t>-662.427144823814 67.1416571967097 303.172960373209</t>
  </si>
  <si>
    <t>-699.970087956445 98.2193215452928 748.324405928147</t>
  </si>
  <si>
    <t>-555.721396850696 120.574083399265 809.80520906504</t>
  </si>
  <si>
    <t>-575.548467913736 -139.975673099652 305.358950617331</t>
  </si>
  <si>
    <t>-607.13773167597 -140.356710519115 752.168897540451</t>
  </si>
  <si>
    <t>-472.076173406124 -178.920202402542 825.370917052268</t>
  </si>
  <si>
    <t>9763-20170724T104420.884341100.bin</t>
  </si>
  <si>
    <t>-670.904981231766 100.687373933262 -536.337323355337</t>
  </si>
  <si>
    <t>-689.681400777837 147.31413097 -246.398541370814</t>
  </si>
  <si>
    <t>-460.311328683603 214.072978673183 -215.037812460196</t>
  </si>
  <si>
    <t>-665.4805372701 36.7949156186767 -99.2330547129287</t>
  </si>
  <si>
    <t>-661.859917859851 67.1133594872003 303.16268900025</t>
  </si>
  <si>
    <t>-699.932872308362 98.0916582755465 748.248262847576</t>
  </si>
  <si>
    <t>-555.736180704243 120.818185792192 809.714843029586</t>
  </si>
  <si>
    <t>-575.222546872047 -139.831478761206 305.351250714361</t>
  </si>
  <si>
    <t>-607.095922610289 -140.377005666351 752.133354809388</t>
  </si>
  <si>
    <t>-472.053723113211 -178.984338631726 825.347914964056</t>
  </si>
  <si>
    <t>9763-20170724T104420.952028500.bin</t>
  </si>
  <si>
    <t>-674.324483058772 101.44179070932 -535.742153854824</t>
  </si>
  <si>
    <t>-690.047122363403 147.559488925061 -245.540149203185</t>
  </si>
  <si>
    <t>-460.449028144285 214.225506653455 -215.686483847532</t>
  </si>
  <si>
    <t>-664.43895943588 37.6993735595747 -99.346511361057</t>
  </si>
  <si>
    <t>-660.863849058525 67.3534535075239 303.099113694392</t>
  </si>
  <si>
    <t>-700.001237851158 98.1281006526449 748.10672611478</t>
  </si>
  <si>
    <t>-555.78291840118 120.781203291043 809.5494218913</t>
  </si>
  <si>
    <t>-575.331513068793 -139.384923187822 305.357413512069</t>
  </si>
  <si>
    <t>-607.017264429731 -140.396067362479 752.094035471799</t>
  </si>
  <si>
    <t>-471.954925495697 -178.905032000198 825.323286966053</t>
  </si>
  <si>
    <t>9763-20170724T104420.993642300.bin</t>
  </si>
  <si>
    <t>-676.064487171837 101.912097710847 -535.531433717815</t>
  </si>
  <si>
    <t>-690.214569532412 147.82525012675 -245.216150662094</t>
  </si>
  <si>
    <t>-460.462608638833 214.396212324996 -216.350810140001</t>
  </si>
  <si>
    <t>-663.94723416116 38.4266083041093 -99.4601926234752</t>
  </si>
  <si>
    <t>-660.399280079518 67.5674865444148 303.023223777266</t>
  </si>
  <si>
    <t>-700.060661945446 98.1782551001256 748.021906257828</t>
  </si>
  <si>
    <t>-555.820172287778 120.743981525313 809.444855512404</t>
  </si>
  <si>
    <t>-575.783991195845 -138.942937175509 305.366710706229</t>
  </si>
  <si>
    <t>-606.985750841561 -140.261039066695 752.093662312097</t>
  </si>
  <si>
    <t>-472.047369267756 -179.162251938141 825.344088698846</t>
  </si>
  <si>
    <t>9763-20170724T104421.040769600.bin</t>
  </si>
  <si>
    <t>-678.583112697872 102.490912514898 -535.449370706352</t>
  </si>
  <si>
    <t>-690.405293620726 148.129499968459 -244.986724396243</t>
  </si>
  <si>
    <t>-460.386900051922 214.399913485877 -217.589163999664</t>
  </si>
  <si>
    <t>-663.146689625959 39.598312007786 -99.7178186049269</t>
  </si>
  <si>
    <t>-659.906845222388 67.8951424123379 302.828430630881</t>
  </si>
  <si>
    <t>-700.129048733267 98.2145182321933 747.839092684075</t>
  </si>
  <si>
    <t>-555.89070382432 120.852170908692 809.240626836698</t>
  </si>
  <si>
    <t>-576.93534991249 -138.540880162097 305.39242296083</t>
  </si>
  <si>
    <t>-606.967792135171 -140.575691618734 752.144166828275</t>
  </si>
  <si>
    <t>-471.975975501317 -179.306573938986 825.386431655649</t>
  </si>
  <si>
    <t>9763-20170724T104421.090906100.bin</t>
  </si>
  <si>
    <t>-681.021670183746 103.249886348228 -535.467849955699</t>
  </si>
  <si>
    <t>-690.614898061693 148.659959756813 -244.887274194878</t>
  </si>
  <si>
    <t>-460.307807203649 214.580315167454 -219.11822021892</t>
  </si>
  <si>
    <t>-662.262004431921 40.9448526763319 -100.080642115285</t>
  </si>
  <si>
    <t>-659.418279101534 68.5472486529147 302.516744343113</t>
  </si>
  <si>
    <t>-700.193275201671 98.2843725532227 747.552391349619</t>
  </si>
  <si>
    <t>-555.895334692673 120.539855840153 808.95340272441</t>
  </si>
  <si>
    <t>-578.494055602516 -137.872586096833 305.429168385926</t>
  </si>
  <si>
    <t>-606.938048930106 -140.485700327775 752.211849167359</t>
  </si>
  <si>
    <t>-472.04752059838 -179.554899400676 825.46092389014</t>
  </si>
  <si>
    <t>9763-20170724T104421.152082000.bin</t>
  </si>
  <si>
    <t>-684.014878636636 104.296922696975 -535.598483167776</t>
  </si>
  <si>
    <t>-691.091150798194 149.493930162274 -244.91237350447</t>
  </si>
  <si>
    <t>-460.39768173903 214.768903440481 -221.026198439972</t>
  </si>
  <si>
    <t>-661.087467150869 43.0661763786607 -100.739840315866</t>
  </si>
  <si>
    <t>-658.546825406897 69.4714772891941 301.939940501052</t>
  </si>
  <si>
    <t>-700.306458590967 98.4486614951848 747.030614417182</t>
  </si>
  <si>
    <t>-555.969922364749 120.478962654564 808.422364972451</t>
  </si>
  <si>
    <t>-580.674645768987 -136.955588949596 305.470515210534</t>
  </si>
  <si>
    <t>-606.913059846029 -140.549562318854 752.333242347668</t>
  </si>
  <si>
    <t>-472.121623740037 -179.980969685676 825.570664849828</t>
  </si>
  <si>
    <t>9763-20170724T104421.185175900.bin</t>
  </si>
  <si>
    <t>-685.323590155391 104.625708232812 -535.733421900609</t>
  </si>
  <si>
    <t>-691.378640210302 149.631086160009 -244.994501894769</t>
  </si>
  <si>
    <t>-460.500684434677 214.533987866299 -221.889726662261</t>
  </si>
  <si>
    <t>-660.429218373539 44.0095134653225 -101.097798599323</t>
  </si>
  <si>
    <t>-657.978506492663 69.9071926497311 301.615416296466</t>
  </si>
  <si>
    <t>-700.319768825611 98.4498284998811 746.716434536338</t>
  </si>
  <si>
    <t>-555.981690887447 120.482914331947 808.103489083224</t>
  </si>
  <si>
    <t>-581.592174056604 -136.468009046005 305.488718123748</t>
  </si>
  <si>
    <t>-606.893710201106 -140.657212517866 752.379599417002</t>
  </si>
  <si>
    <t>-472.119923894587 -180.148432880619 825.617296642066</t>
  </si>
  <si>
    <t>9763-20170724T104421.253363200.bin</t>
  </si>
  <si>
    <t>-687.402879326299 105.042926220613 -536.065963280282</t>
  </si>
  <si>
    <t>-692.017519848609 149.516706701511 -245.219001708841</t>
  </si>
  <si>
    <t>-460.695725059999 213.365650896732 -223.668902166685</t>
  </si>
  <si>
    <t>-659.098953445531 45.7334262092379 -101.738624707538</t>
  </si>
  <si>
    <t>-656.553169828791 70.4609131000407 301.047546865231</t>
  </si>
  <si>
    <t>-700.380187867884 98.505000131225 746.119626090434</t>
  </si>
  <si>
    <t>-556.053847404013 120.678903697605 807.483411120393</t>
  </si>
  <si>
    <t>-582.1088447907 -135.570996713918 305.432030478211</t>
  </si>
  <si>
    <t>-606.850243806961 -140.689946447133 752.404499562644</t>
  </si>
  <si>
    <t>-472.024206996722 -180.000322087793 825.643338621465</t>
  </si>
  <si>
    <t>9763-20170724T104421.286458800.bin</t>
  </si>
  <si>
    <t>-688.23711711231 105.21637835115 -536.193285016968</t>
  </si>
  <si>
    <t>-692.432582963966 149.294788028875 -245.27959823362</t>
  </si>
  <si>
    <t>-460.855009221021 212.545921529431 -224.737335077302</t>
  </si>
  <si>
    <t>-658.391487814452 46.4347631458029 -101.960072796982</t>
  </si>
  <si>
    <t>-655.816966396343 70.6450343577924 300.857392148596</t>
  </si>
  <si>
    <t>-700.392044542412 98.4990816759464 745.874669472017</t>
  </si>
  <si>
    <t>-556.079619908111 120.809489817513 807.221769452278</t>
  </si>
  <si>
    <t>-581.663382841923 -135.141459218566 305.376288953317</t>
  </si>
  <si>
    <t>-606.826154581159 -140.599799673209 752.371851121578</t>
  </si>
  <si>
    <t>-472.094616286695 -180.196018469507 825.630611112222</t>
  </si>
  <si>
    <t>9763-20170724T104421.352641500.bin</t>
  </si>
  <si>
    <t>-689.522013765977 105.354038319568 -536.30532984251</t>
  </si>
  <si>
    <t>-693.029580094868 148.638635517143 -245.263612520837</t>
  </si>
  <si>
    <t>-460.985953147494 210.875748533926 -227.009885729182</t>
  </si>
  <si>
    <t>-656.826639941905 47.6216471478642 -102.251923614473</t>
  </si>
  <si>
    <t>-654.491691071199 71.097892612959 300.610464405188</t>
  </si>
  <si>
    <t>-700.456318320549 98.5715079622819 745.485893371934</t>
  </si>
  <si>
    <t>-556.105901174177 120.745742116121 806.793068606126</t>
  </si>
  <si>
    <t>-580.484923745999 -134.391384467192 305.305742295548</t>
  </si>
  <si>
    <t>-606.792725717839 -140.412533899868 752.271650154863</t>
  </si>
  <si>
    <t>-472.29357504627 -180.699854203268 825.580502250183</t>
  </si>
  <si>
    <t>9763-20170724T104421.385769200.bin</t>
  </si>
  <si>
    <t>-690.114341177112 105.398740710587 -536.204961992086</t>
  </si>
  <si>
    <t>-693.182855315988 148.390580565627 -245.114869513078</t>
  </si>
  <si>
    <t>-460.953526370107 210.295879334147 -228.140478561932</t>
  </si>
  <si>
    <t>-656.010760772921 48.0647605013501 -102.350507692593</t>
  </si>
  <si>
    <t>-653.944915244378 71.2259251795595 300.531541086821</t>
  </si>
  <si>
    <t>-700.433246804914 98.5039077261099 745.325145247909</t>
  </si>
  <si>
    <t>-556.088351060229 120.777442755233 806.609093191504</t>
  </si>
  <si>
    <t>-580.095859854144 -134.080960251505 305.318657841617</t>
  </si>
  <si>
    <t>-606.786277827958 -140.249784958196 752.235463234061</t>
  </si>
  <si>
    <t>-472.364654251829 -180.777534460557 825.554201445929</t>
  </si>
  <si>
    <t>9763-20170724T104421.454459400.bin</t>
  </si>
  <si>
    <t>-692.163368503273 105.385594339012 -535.944028712031</t>
  </si>
  <si>
    <t>-693.969369876667 147.780756680612 -244.755806033264</t>
  </si>
  <si>
    <t>-461.55296132246 209.501786249019 -229.790157044136</t>
  </si>
  <si>
    <t>-654.878323315831 49.071109217283 -102.609401825758</t>
  </si>
  <si>
    <t>-653.122428399117 71.3797476284037 300.32231116525</t>
  </si>
  <si>
    <t>-700.403778215826 98.4903123128461 745.009288773207</t>
  </si>
  <si>
    <t>-556.056299524277 120.717296759528 806.304141356955</t>
  </si>
  <si>
    <t>-579.748432780582 -133.591311878748 305.298107734381</t>
  </si>
  <si>
    <t>-606.763035948453 -140.287401180854 752.160160716145</t>
  </si>
  <si>
    <t>-472.330578558972 -180.725515592246 825.508557457983</t>
  </si>
  <si>
    <t>9763-20170724T104421.487549700.bin</t>
  </si>
  <si>
    <t>-693.45675909984 105.305313973573 -535.879647073382</t>
  </si>
  <si>
    <t>-694.745903404777 147.342552952238 -244.636724035565</t>
  </si>
  <si>
    <t>-462.24582830543 208.871161090394 -230.186493976986</t>
  </si>
  <si>
    <t>-654.42069490401 49.4398965955077 -102.758042743827</t>
  </si>
  <si>
    <t>-652.771721188225 71.3718430681308 300.194727267722</t>
  </si>
  <si>
    <t>-700.351055105843 98.4249666115338 744.872840282878</t>
  </si>
  <si>
    <t>-556.051961185282 120.948427330031 806.173359849846</t>
  </si>
  <si>
    <t>-579.602480850842 -133.395319871979 305.257005928512</t>
  </si>
  <si>
    <t>-606.763279216376 -140.389727296868 752.124180157795</t>
  </si>
  <si>
    <t>-472.268537830688 -180.600473711782 825.483291706442</t>
  </si>
  <si>
    <t>9763-20170724T104421.551226100.bin</t>
  </si>
  <si>
    <t>-695.123604383663 105.473032462343 -535.778213636284</t>
  </si>
  <si>
    <t>-696.052033623657 146.53722613172 -244.39511738978</t>
  </si>
  <si>
    <t>-463.408447151499 207.552232351236 -230.078727418903</t>
  </si>
  <si>
    <t>-653.529775243386 49.8755321436165 -102.97733773491</t>
  </si>
  <si>
    <t>-652.269241459943 71.6447279235567 299.985647565064</t>
  </si>
  <si>
    <t>-700.326052985601 98.4935431854153 744.630771651816</t>
  </si>
  <si>
    <t>-556.00595724985 120.784360369925 805.966957630566</t>
  </si>
  <si>
    <t>-579.026530234042 -133.046373389532 305.174663612781</t>
  </si>
  <si>
    <t>-606.757846461789 -140.42554074159 752.034465824133</t>
  </si>
  <si>
    <t>-472.277249775831 -180.596848873292 825.441143225314</t>
  </si>
  <si>
    <t>9763-20170724T104421.587369000.bin</t>
  </si>
  <si>
    <t>-695.692407227543 105.598866207361 -535.688101438678</t>
  </si>
  <si>
    <t>-696.634143341735 146.115030910331 -244.228482685847</t>
  </si>
  <si>
    <t>-463.936518689539 206.943830947601 -229.996916948891</t>
  </si>
  <si>
    <t>-653.272222262212 50.013965169147 -103.031869230181</t>
  </si>
  <si>
    <t>-651.987534956959 71.7812465130285 299.931174089576</t>
  </si>
  <si>
    <t>-700.283404106047 98.461316003634 744.541280609913</t>
  </si>
  <si>
    <t>-555.965808540558 120.740829738758 805.887531840611</t>
  </si>
  <si>
    <t>-578.673744758961 -132.944216309499 305.137239019374</t>
  </si>
  <si>
    <t>-606.754653376906 -140.402576122203 751.988281151079</t>
  </si>
  <si>
    <t>-472.251948548483 -180.461042134315 825.416043180962</t>
  </si>
  <si>
    <t>9763-20170724T104421.616451800.bin</t>
  </si>
  <si>
    <t>-696.199243677858 105.851885237792 -535.545101142371</t>
  </si>
  <si>
    <t>-697.044565937216 145.826247578039 -244.010257817173</t>
  </si>
  <si>
    <t>-464.305124424114 206.515753533522 -229.86716684667</t>
  </si>
  <si>
    <t>-653.215806518759 50.2436052869009 -103.081049242865</t>
  </si>
  <si>
    <t>-651.812829915726 71.9962334205952 299.882372632141</t>
  </si>
  <si>
    <t>-700.277308360101 98.5113557531711 744.466514424373</t>
  </si>
  <si>
    <t>-555.926495999168 120.54006822015 805.824989733006</t>
  </si>
  <si>
    <t>-578.438834976457 -132.724315176335 305.10270834837</t>
  </si>
  <si>
    <t>-606.747330839632 -140.285233819048 751.946459816772</t>
  </si>
  <si>
    <t>-472.409522848233 -180.825149458381 825.411810981586</t>
  </si>
  <si>
    <t>9763-20170724T104421.687156200.bin</t>
  </si>
  <si>
    <t>-697.209244390186 106.029010493191 -535.335015652642</t>
  </si>
  <si>
    <t>-697.482050169809 145.320041094068 -243.706239634325</t>
  </si>
  <si>
    <t>-464.723050423749 206.019878814615 -229.935515021358</t>
  </si>
  <si>
    <t>-653.237008760754 50.5630198381241 -103.265574131495</t>
  </si>
  <si>
    <t>-651.706865409736 72.2122814392051 299.702953043872</t>
  </si>
  <si>
    <t>-700.293325209666 98.6505954291763 744.206552332328</t>
  </si>
  <si>
    <t>-555.934539980088 120.62107532615 805.56701826651</t>
  </si>
  <si>
    <t>-578.24182524123 -132.547686476535 305.026267704475</t>
  </si>
  <si>
    <t>-606.75556439345 -140.353467815276 751.880885260718</t>
  </si>
  <si>
    <t>-472.33639226793 -180.617097789061 825.349403185615</t>
  </si>
  <si>
    <t>9763-20170724T104421.720247200.bin</t>
  </si>
  <si>
    <t>-697.706330563679 106.119242166163 -535.247639918592</t>
  </si>
  <si>
    <t>-697.597196476343 145.3391562784 -243.609092012963</t>
  </si>
  <si>
    <t>-464.802497711631 205.967941439547 -230.132336855486</t>
  </si>
  <si>
    <t>-653.380688909053 50.7130371788212 -103.297693482804</t>
  </si>
  <si>
    <t>-651.815726218169 72.3626234949941 299.670708721915</t>
  </si>
  <si>
    <t>-700.311912940074 98.7485312232202 744.201977929209</t>
  </si>
  <si>
    <t>-555.923946921161 120.518978347422 805.565295643007</t>
  </si>
  <si>
    <t>-578.239289388359 -132.373213978312 304.999316322328</t>
  </si>
  <si>
    <t>-606.757141254938 -140.224979064301 751.858109590615</t>
  </si>
  <si>
    <t>-472.468506067398 -180.895990085112 825.340921962314</t>
  </si>
  <si>
    <t>9763-20170724T104421.784423900.bin</t>
  </si>
  <si>
    <t>-698.298360377195 105.983694948189 -535.126998625525</t>
  </si>
  <si>
    <t>-697.595992792126 145.147771581617 -243.481792066244</t>
  </si>
  <si>
    <t>-464.791936796043 205.831555182074 -230.42041191111</t>
  </si>
  <si>
    <t>-653.620973521065 50.7084233500368 -103.299936650931</t>
  </si>
  <si>
    <t>-651.871254959825 72.3722349706904 299.666916244341</t>
  </si>
  <si>
    <t>-700.270644948259 98.7776198927224 744.204308325898</t>
  </si>
  <si>
    <t>-555.899113594928 120.634063342767 805.575566169204</t>
  </si>
  <si>
    <t>-578.275906628385 -132.373836663474 304.993524513386</t>
  </si>
  <si>
    <t>-606.792145034769 -140.428573291333 751.856284755345</t>
  </si>
  <si>
    <t>-472.459097157468 -180.992137836132 825.317425508147</t>
  </si>
  <si>
    <t>9763-20170724T104421.829545500.bin</t>
  </si>
  <si>
    <t>-698.501251445902 105.86239168245 -535.064654292057</t>
  </si>
  <si>
    <t>-697.556260993135 145.036547012168 -243.421573837981</t>
  </si>
  <si>
    <t>-464.763280096106 205.759340242653 -230.342065285274</t>
  </si>
  <si>
    <t>-653.642791134385 50.5908687772214 -103.318785856098</t>
  </si>
  <si>
    <t>-651.886545033814 72.3718890335149 299.641739828569</t>
  </si>
  <si>
    <t>-700.292056902639 98.8736153970742 744.115345885575</t>
  </si>
  <si>
    <t>-555.956593968118 120.973471200577 805.484437984329</t>
  </si>
  <si>
    <t>-578.300195896119 -132.454462180604 304.99902947294</t>
  </si>
  <si>
    <t>-606.80515839279 -140.43725814075 751.855806042318</t>
  </si>
  <si>
    <t>-472.407482309641 -180.815574283899 825.300775435511</t>
  </si>
  <si>
    <t>9763-20170724T104421.884699700.bin</t>
  </si>
  <si>
    <t>-698.613238973608 105.723026806973 -534.963381654744</t>
  </si>
  <si>
    <t>-697.435168030883 144.807991108682 -243.3091628988</t>
  </si>
  <si>
    <t>-464.855449338431 206.19615882382 -229.559484995334</t>
  </si>
  <si>
    <t>-653.576556089599 50.4945986219886 -103.329257685494</t>
  </si>
  <si>
    <t>-652.054340637231 72.4006231058986 299.625458767472</t>
  </si>
  <si>
    <t>-700.261077945461 98.892046922105 744.147733994047</t>
  </si>
  <si>
    <t>-555.918809699903 120.95264756105 805.514961708422</t>
  </si>
  <si>
    <t>-578.330886591191 -132.597027792229 304.9867823138</t>
  </si>
  <si>
    <t>-606.823468347035 -140.519027585664 751.849354786443</t>
  </si>
  <si>
    <t>-472.436305460632 -180.941673200615 825.28908620767</t>
  </si>
  <si>
    <t>9763-20170724T104421.951379700.bin</t>
  </si>
  <si>
    <t>-698.421646459878 105.560103297019 -534.903786658692</t>
  </si>
  <si>
    <t>-697.24362944807 144.464922781538 -243.225374937938</t>
  </si>
  <si>
    <t>-464.929112375201 206.588202182557 -228.342226457209</t>
  </si>
  <si>
    <t>-653.112042635901 50.3956499272761 -103.29163511336</t>
  </si>
  <si>
    <t>-652.162316274278 72.3283545677273 299.663373945589</t>
  </si>
  <si>
    <t>-700.218793037581 98.8704041224503 744.197650346763</t>
  </si>
  <si>
    <t>-555.895701534136 121.109069364738 805.545710914028</t>
  </si>
  <si>
    <t>-578.367020950308 -132.768957834073 305.031706644023</t>
  </si>
  <si>
    <t>-606.849813290135 -140.595719184214 751.876285970474</t>
  </si>
  <si>
    <t>-472.470488436187 -181.08249618248 825.295041438246</t>
  </si>
  <si>
    <t>9763-20170724T104421.990990200.bin</t>
  </si>
  <si>
    <t>-698.497870216175 105.413084791032 -534.910729730609</t>
  </si>
  <si>
    <t>-697.441956657708 144.333571610026 -243.234054219972</t>
  </si>
  <si>
    <t>-465.173544903652 206.512512590691 -227.869870666646</t>
  </si>
  <si>
    <t>-652.865183790672 50.4291482721417 -103.286905727578</t>
  </si>
  <si>
    <t>-652.251690152698 72.3243419870273 299.670687915274</t>
  </si>
  <si>
    <t>-700.252999391986 98.9624880226672 744.211106642984</t>
  </si>
  <si>
    <t>-555.917558206837 121.145616605932 805.550156598683</t>
  </si>
  <si>
    <t>-578.341232374513 -132.922715054486 305.053497159984</t>
  </si>
  <si>
    <t>-606.866372625209 -140.671010920116 751.895693449563</t>
  </si>
  <si>
    <t>-472.391120422487 -180.880421738914 825.291158928358</t>
  </si>
  <si>
    <t>9763-20170724T104422.020065300.bin</t>
  </si>
  <si>
    <t>-698.785804647097 105.217467502435 -534.923750442159</t>
  </si>
  <si>
    <t>-697.763868761525 144.066894997611 -243.237432988715</t>
  </si>
  <si>
    <t>-465.524353158351 206.317315443521 -227.727733856481</t>
  </si>
  <si>
    <t>-652.565938250369 50.4548799092449 -103.299700810997</t>
  </si>
  <si>
    <t>-652.516713113155 72.3014410864184 299.661080731877</t>
  </si>
  <si>
    <t>-700.206690630066 98.8786826906619 744.225096481784</t>
  </si>
  <si>
    <t>-555.877542178213 121.128015753511 805.55499543829</t>
  </si>
  <si>
    <t>-578.292136383271 -133.112821717791 305.077376616309</t>
  </si>
  <si>
    <t>-606.882912499499 -140.826500937343 751.916752612797</t>
  </si>
  <si>
    <t>-472.308291914053 -180.744992029226 825.288937080776</t>
  </si>
  <si>
    <t>9763-20170724T104422.066200000.bin</t>
  </si>
  <si>
    <t>-699.210705377084 105.104993819795 -534.966637299983</t>
  </si>
  <si>
    <t>-697.994381942613 143.838925601269 -243.265721188032</t>
  </si>
  <si>
    <t>-465.742916837026 206.107237825417 -228.007836479309</t>
  </si>
  <si>
    <t>-652.287710699522 50.5530828132635 -103.335950899993</t>
  </si>
  <si>
    <t>-653.038635230241 72.3547610707808 299.626516967729</t>
  </si>
  <si>
    <t>-700.214323324187 98.9361567224976 744.236949503535</t>
  </si>
  <si>
    <t>-555.877573198117 121.120517067602 805.572517851762</t>
  </si>
  <si>
    <t>-578.288664528232 -133.108267277993 305.088690236679</t>
  </si>
  <si>
    <t>-606.891027516126 -140.707773533071 751.926019891328</t>
  </si>
  <si>
    <t>-472.457458279561 -181.091227889466 825.302321070103</t>
  </si>
  <si>
    <t>9763-20170724T104422.151941700.bin</t>
  </si>
  <si>
    <t>-700.716485194587 104.283979628496 -535.314282037989</t>
  </si>
  <si>
    <t>-697.598291255859 142.604739690609 -243.572968085581</t>
  </si>
  <si>
    <t>-465.314199310979 204.979694798416 -229.279048555829</t>
  </si>
  <si>
    <t>-651.560655064228 50.5361583231465 -103.431380300558</t>
  </si>
  <si>
    <t>-655.424205339296 72.1569051630981 299.523063653807</t>
  </si>
  <si>
    <t>-700.109758158974 98.8867823050143 744.342616128925</t>
  </si>
  <si>
    <t>-555.83715276324 121.349111714999 805.727983903304</t>
  </si>
  <si>
    <t>-578.727867622917 -133.783511208846 305.045074410802</t>
  </si>
  <si>
    <t>-606.969635305639 -140.969483899603 751.967991756525</t>
  </si>
  <si>
    <t>-472.235838876186 -180.531556679295 825.241041271591</t>
  </si>
  <si>
    <t>9763-20170724T104422.185523900.bin</t>
  </si>
  <si>
    <t>-701.241646379976 104.017122800823 -535.495536655069</t>
  </si>
  <si>
    <t>-697.537862300879 142.12451523359 -243.733065913987</t>
  </si>
  <si>
    <t>-465.21772413408 204.452284454265 -229.823391580681</t>
  </si>
  <si>
    <t>-651.513889338801 50.5203164870047 -103.400066397914</t>
  </si>
  <si>
    <t>-656.444516185565 72.1316131171247 299.543266456841</t>
  </si>
  <si>
    <t>-700.1459222248 98.9571150505528 744.451591313984</t>
  </si>
  <si>
    <t>-555.853017739984 121.280403150155 805.84001827292</t>
  </si>
  <si>
    <t>-579.070251473694 -134.137890259219 304.991830815647</t>
  </si>
  <si>
    <t>-606.997075160844 -141.160749924537 751.983699744521</t>
  </si>
  <si>
    <t>-472.204170925908 -180.588104830575 825.220662746045</t>
  </si>
  <si>
    <t>9763-20170724T104422.253707700.bin</t>
  </si>
  <si>
    <t>-702.235948393011 104.695459234151 -535.849150233565</t>
  </si>
  <si>
    <t>-697.408124143847 141.935364100701 -243.991150479099</t>
  </si>
  <si>
    <t>-465.102418202886 204.49580789426 -230.910152959184</t>
  </si>
  <si>
    <t>-652.159990308446 51.3165930438597 -103.271998661236</t>
  </si>
  <si>
    <t>-658.872905552866 72.2041042641747 299.683775878198</t>
  </si>
  <si>
    <t>-700.258191504664 99.1197585506304 744.795544847195</t>
  </si>
  <si>
    <t>-555.799995501396 120.363733055553 806.178161043606</t>
  </si>
  <si>
    <t>-580.657921655794 -134.556322869342 304.852930461218</t>
  </si>
  <si>
    <t>-607.040405408951 -141.198384054198 751.96536174597</t>
  </si>
  <si>
    <t>-472.211651018526 -180.58216361489 825.159776319075</t>
  </si>
  <si>
    <t>9763-20170724T104422.286804000.bin</t>
  </si>
  <si>
    <t>-702.615435825652 105.513304937973 -536.031429745832</t>
  </si>
  <si>
    <t>-697.086737423014 142.144669849665 -244.108778324036</t>
  </si>
  <si>
    <t>-464.842381558204 205.043283328709 -231.570756561141</t>
  </si>
  <si>
    <t>-652.622479964251 51.782665970788 -103.210585027578</t>
  </si>
  <si>
    <t>-660.42244015359 72.4526918363947 299.736800224778</t>
  </si>
  <si>
    <t>-700.338534197785 99.2752644949881 744.971054297202</t>
  </si>
  <si>
    <t>-555.801539470038 119.940281390487 806.36595560806</t>
  </si>
  <si>
    <t>-581.856893627879 -134.78695158814 304.748523399596</t>
  </si>
  <si>
    <t>-607.056788919588 -141.263897470013 751.955979797684</t>
  </si>
  <si>
    <t>-472.226405276307 -180.663195569388 825.139103345093</t>
  </si>
  <si>
    <t>9763-20170724T104422.355497400.bin</t>
  </si>
  <si>
    <t>-702.944596195806 106.909396113416 -536.158352442972</t>
  </si>
  <si>
    <t>-696.019099127183 142.271803230817 -244.108990258374</t>
  </si>
  <si>
    <t>-463.91381177074 205.948254837125 -233.004965090521</t>
  </si>
  <si>
    <t>-653.209000080962 52.0134806647445 -103.116185322088</t>
  </si>
  <si>
    <t>-664.021961331787 72.8727688850202 299.75182740842</t>
  </si>
  <si>
    <t>-700.305336692601 99.2277341430993 745.282372207845</t>
  </si>
  <si>
    <t>-555.689892365555 119.189263459795 806.725103435805</t>
  </si>
  <si>
    <t>-584.960635031749 -135.803979263357 304.608423366863</t>
  </si>
  <si>
    <t>-607.110409954434 -141.682760586917 752.005489166342</t>
  </si>
  <si>
    <t>-472.077299175646 -180.504115434933 825.123568473079</t>
  </si>
  <si>
    <t>9763-20170724T104422.387669500.bin</t>
  </si>
  <si>
    <t>-702.542710298914 107.590671384085 -536.174731570047</t>
  </si>
  <si>
    <t>-694.875358983508 142.509973367114 -244.090746706231</t>
  </si>
  <si>
    <t>-462.829781968537 206.49530615332 -233.527573420822</t>
  </si>
  <si>
    <t>-653.374844675988 51.9927487589814 -103.092167921112</t>
  </si>
  <si>
    <t>-666.050653434535 73.2095613718179 299.702880603891</t>
  </si>
  <si>
    <t>-700.321634859707 99.303645140531 745.385049444844</t>
  </si>
  <si>
    <t>-555.677237492456 118.956066667858 806.859178850998</t>
  </si>
  <si>
    <t>-586.649704230518 -136.447050537014 304.601953041595</t>
  </si>
  <si>
    <t>-607.140251260268 -141.913828282052 752.066207385523</t>
  </si>
  <si>
    <t>-472.003043803323 -180.457420239654 825.139046860726</t>
  </si>
  <si>
    <t>9763-20170724T104422.450337000.bin</t>
  </si>
  <si>
    <t>-700.676480958901 108.652544540398 -536.342716866751</t>
  </si>
  <si>
    <t>-692.250636237742 142.832697268607 -244.192294328072</t>
  </si>
  <si>
    <t>-460.312103932254 207.334493196759 -234.450371166097</t>
  </si>
  <si>
    <t>-653.571639955902 51.5093800243328 -103.076912380896</t>
  </si>
  <si>
    <t>-669.305270112772 73.4205062372168 299.573079909427</t>
  </si>
  <si>
    <t>-700.415576724453 99.5336734679008 745.536748767179</t>
  </si>
  <si>
    <t>-555.723204160489 118.656634159158 807.064943968464</t>
  </si>
  <si>
    <t>-588.872871881674 -137.531367974693 304.537191161123</t>
  </si>
  <si>
    <t>-607.147225797615 -142.088423195159 752.16293720636</t>
  </si>
  <si>
    <t>-471.897304360723 -180.354423888086 825.17304484086</t>
  </si>
  <si>
    <t>9763-20170724T104422.485526400.bin</t>
  </si>
  <si>
    <t>-699.52235701364 108.748775563548 -536.444407530417</t>
  </si>
  <si>
    <t>-691.039453126979 142.562262442377 -244.252816933309</t>
  </si>
  <si>
    <t>-459.15629932472 207.270587619748 -234.561529014752</t>
  </si>
  <si>
    <t>-653.666167187797 50.8860730739227 -103.033407019691</t>
  </si>
  <si>
    <t>-670.270060278772 73.2012201472344 299.559424157321</t>
  </si>
  <si>
    <t>-700.457407300266 99.5839990271406 745.613154189521</t>
  </si>
  <si>
    <t>-555.74983293141 118.562299836246 807.150338454918</t>
  </si>
  <si>
    <t>-589.425976769688 -138.202737083024 304.483043376593</t>
  </si>
  <si>
    <t>-607.135307451841 -142.24938373575 752.193994366875</t>
  </si>
  <si>
    <t>-471.764764118756 -180.145603893427 825.173304108973</t>
  </si>
  <si>
    <t>9763-20170724T104422.552207800.bin</t>
  </si>
  <si>
    <t>-697.529779823309 108.74285488592 -536.397083393168</t>
  </si>
  <si>
    <t>-689.394572798201 142.062295869569 -244.138885792772</t>
  </si>
  <si>
    <t>-457.630308800948 207.159323995801 -234.211013971814</t>
  </si>
  <si>
    <t>-653.986745867826 49.7813499579447 -102.835667882705</t>
  </si>
  <si>
    <t>-671.850397622324 72.6968061498319 299.669539055309</t>
  </si>
  <si>
    <t>-700.546860977695 99.6318659215835 745.741202342298</t>
  </si>
  <si>
    <t>-555.816999997194 118.448232270796 807.275862430177</t>
  </si>
  <si>
    <t>-590.409505862703 -139.363312644392 304.522283750118</t>
  </si>
  <si>
    <t>-607.07400529228 -142.487890876653 752.244966547971</t>
  </si>
  <si>
    <t>-471.606019968013 -180.074524972313 825.203655707444</t>
  </si>
  <si>
    <t>9763-20170724T104422.584797000.bin</t>
  </si>
  <si>
    <t>-696.999578154324 108.85644311636 -536.255759770934</t>
  </si>
  <si>
    <t>-689.253899269526 142.167805027683 -243.985953124377</t>
  </si>
  <si>
    <t>-457.542227323768 207.415190163728 -233.818850726599</t>
  </si>
  <si>
    <t>-654.136621136249 49.4246519619871 -102.677427135165</t>
  </si>
  <si>
    <t>-672.802057251685 72.5574237903727 299.778953913518</t>
  </si>
  <si>
    <t>-700.610464020782 99.7048942164583 745.805748935301</t>
  </si>
  <si>
    <t>-555.877516621576 118.504783895633 807.338265512002</t>
  </si>
  <si>
    <t>-590.927685409813 -139.839478246369 304.585858662595</t>
  </si>
  <si>
    <t>-607.030203203642 -142.563966539745 752.282871511928</t>
  </si>
  <si>
    <t>-471.50513173647 -179.966066248977 825.230273074206</t>
  </si>
  <si>
    <t>9763-20170724T104422.650986100.bin</t>
  </si>
  <si>
    <t>-696.411119956741 108.943363658869 -536.243377889071</t>
  </si>
  <si>
    <t>-690.016562941468 142.185178332817 -243.93321457393</t>
  </si>
  <si>
    <t>-458.391295306112 207.596296827806 -232.886774837774</t>
  </si>
  <si>
    <t>-654.581232672685 48.9371901024895 -102.37636658038</t>
  </si>
  <si>
    <t>-675.095217140604 72.4148129909479 299.970083470034</t>
  </si>
  <si>
    <t>-700.707405211556 99.8252031871898 745.948479252953</t>
  </si>
  <si>
    <t>-555.973596210961 118.552303165798 807.501115672184</t>
  </si>
  <si>
    <t>-592.160861019542 -140.51772342297 304.706535826578</t>
  </si>
  <si>
    <t>-606.948072818807 -142.658985934392 752.373109543201</t>
  </si>
  <si>
    <t>-471.46037374088 -180.236836572853 825.299777417748</t>
  </si>
  <si>
    <t>9763-20170724T104422.682392600.bin</t>
  </si>
  <si>
    <t>-696.39865271278 108.745734311198 -536.342232036236</t>
  </si>
  <si>
    <t>-690.73249454171 141.939601843537 -244.011555221853</t>
  </si>
  <si>
    <t>-459.123213515051 207.344864817873 -232.601535885701</t>
  </si>
  <si>
    <t>-654.872596828304 48.5915515196846 -102.262202127411</t>
  </si>
  <si>
    <t>-676.20344292891 72.26112468511 300.030581218551</t>
  </si>
  <si>
    <t>-700.72004131932 99.8240185283598 746.037996865929</t>
  </si>
  <si>
    <t>-556.014733632519 118.732205209079 807.602269202582</t>
  </si>
  <si>
    <t>-592.575017346399 -140.880284946731 304.741221250293</t>
  </si>
  <si>
    <t>-606.908034603065 -142.769700998533 752.410029115575</t>
  </si>
  <si>
    <t>-471.417607296983 -180.363014127408 825.323586932114</t>
  </si>
  <si>
    <t>9763-20170724T104422.751580400.bin</t>
  </si>
  <si>
    <t>-696.348937557237 107.948957535293 -536.626916495782</t>
  </si>
  <si>
    <t>-691.725991790202 140.986095492527 -244.25999311682</t>
  </si>
  <si>
    <t>-460.123193390583 206.355981974034 -232.52180468084</t>
  </si>
  <si>
    <t>-655.280650093212 47.947415886149 -102.123233368342</t>
  </si>
  <si>
    <t>-678.030530959351 71.5458516195729 300.095940957442</t>
  </si>
  <si>
    <t>-700.686772786613 99.6468649600504 746.259924455594</t>
  </si>
  <si>
    <t>-556.085083236087 119.300513194253 807.834064882227</t>
  </si>
  <si>
    <t>-592.948415105538 -141.333468194752 304.755007589177</t>
  </si>
  <si>
    <t>-606.84471261977 -142.770792439874 752.452569073464</t>
  </si>
  <si>
    <t>-471.402446450348 -180.596267383809 825.335454183355</t>
  </si>
  <si>
    <t>9763-20170724T104422.787190800.bin</t>
  </si>
  <si>
    <t>-696.205625275944 107.433596364997 -536.753131447663</t>
  </si>
  <si>
    <t>-691.82391672385 140.316986041294 -244.365350445121</t>
  </si>
  <si>
    <t>-460.178332569663 205.515610880386 -232.518789472324</t>
  </si>
  <si>
    <t>-655.272648396358 47.5779570247839 -102.078938943988</t>
  </si>
  <si>
    <t>-678.702766877303 71.2000300371562 300.099771148709</t>
  </si>
  <si>
    <t>-700.730472518303 99.6942537962643 746.349334086069</t>
  </si>
  <si>
    <t>-556.106636326543 119.154155127995 807.933123322023</t>
  </si>
  <si>
    <t>-593.114926186541 -141.636852408861 304.754853340555</t>
  </si>
  <si>
    <t>-606.829834852405 -142.911277699229 752.481694257542</t>
  </si>
  <si>
    <t>-471.284525437367 -180.437201186417 825.327838117197</t>
  </si>
  <si>
    <t>9763-20170724T104422.854377500.bin</t>
  </si>
  <si>
    <t>-695.867230909194 106.510982933011 -536.824782856846</t>
  </si>
  <si>
    <t>-691.784768188776 138.979021607507 -244.386227082058</t>
  </si>
  <si>
    <t>-460.144315239736 204.106080946893 -232.05610161187</t>
  </si>
  <si>
    <t>-654.889762178645 46.8572348036655 -102.039107709842</t>
  </si>
  <si>
    <t>-679.104998730139 70.7867799035098 300.074919830056</t>
  </si>
  <si>
    <t>-700.925168728803 99.8816560159437 746.416226730981</t>
  </si>
  <si>
    <t>-556.324489059143 119.586752373996 807.976252552672</t>
  </si>
  <si>
    <t>-593.137817545836 -142.236800278755 304.784716649796</t>
  </si>
  <si>
    <t>-606.785821089133 -143.113889175313 752.538877483415</t>
  </si>
  <si>
    <t>-471.120141036688 -180.309706103117 825.330399893401</t>
  </si>
  <si>
    <t>9763-20170724T104422.890006600.bin</t>
  </si>
  <si>
    <t>-695.577261955789 106.332809058521 -536.764465466531</t>
  </si>
  <si>
    <t>-691.752169920768 138.616091916948 -244.30189864495</t>
  </si>
  <si>
    <t>-460.092094412228 203.618012716076 -231.682522566483</t>
  </si>
  <si>
    <t>-654.478395175559 46.5958696085393 -101.996518391822</t>
  </si>
  <si>
    <t>-678.994511856995 70.6078732016576 300.094303641272</t>
  </si>
  <si>
    <t>-700.949807355454 99.8484953748 746.414857933796</t>
  </si>
  <si>
    <t>-556.357035164028 119.66990227156 807.956095389335</t>
  </si>
  <si>
    <t>-592.971006752465 -142.41809049175 304.821556264047</t>
  </si>
  <si>
    <t>-606.757634298042 -143.097353323917 752.556900422045</t>
  </si>
  <si>
    <t>-471.08834776653 -180.306524956114 825.334789632431</t>
  </si>
  <si>
    <t>9763-20170724T104422.952141700.bin</t>
  </si>
  <si>
    <t>-695.190303892458 106.118556999799 -536.726571896999</t>
  </si>
  <si>
    <t>-692.017528859351 137.747814669217 -244.184803340032</t>
  </si>
  <si>
    <t>-460.31664533153 202.512909177399 -231.106924374685</t>
  </si>
  <si>
    <t>-653.81010611146 46.3663726647637 -101.923914574752</t>
  </si>
  <si>
    <t>-678.591425152991 70.2644972537773 300.157511530793</t>
  </si>
  <si>
    <t>-700.997662990337 99.7426944193828 746.411911911111</t>
  </si>
  <si>
    <t>-556.364807236609 119.371169496383 807.920951648896</t>
  </si>
  <si>
    <t>-592.652283397318 -142.768460104748 304.874320640309</t>
  </si>
  <si>
    <t>-606.686350795407 -143.254730588267 752.587483368364</t>
  </si>
  <si>
    <t>-470.972606139969 -180.332865093904 825.34938907498</t>
  </si>
  <si>
    <t>9763-20170724T104422.984230900.bin</t>
  </si>
  <si>
    <t>-694.985513818818 105.974791941173 -536.750378038782</t>
  </si>
  <si>
    <t>-692.134243785395 137.382585793871 -244.181461299751</t>
  </si>
  <si>
    <t>-460.377745481702 201.880438708979 -230.770700921371</t>
  </si>
  <si>
    <t>-653.434060662761 46.2840012298061 -101.89979440223</t>
  </si>
  <si>
    <t>-678.358467975952 70.1488367925783 300.174737380377</t>
  </si>
  <si>
    <t>-701.029568255071 99.7189852259596 746.407030680292</t>
  </si>
  <si>
    <t>-556.391443116157 119.378071592487 807.893898572704</t>
  </si>
  <si>
    <t>-592.492835802411 -142.893566072118 304.896117309414</t>
  </si>
  <si>
    <t>-606.65306062402 -143.261352737207 752.596546461474</t>
  </si>
  <si>
    <t>-470.920788202173 -180.28207702527 825.353110087824</t>
  </si>
  <si>
    <t>9763-20170724T104423.054424300.bin</t>
  </si>
  <si>
    <t>-694.639051762008 105.552868273074 -536.754383454986</t>
  </si>
  <si>
    <t>-692.40972969102 136.597452284731 -244.14118326841</t>
  </si>
  <si>
    <t>-460.614939609107 200.845314385711 -230.204555429281</t>
  </si>
  <si>
    <t>-652.555117302614 46.0889543640719 -101.865021302052</t>
  </si>
  <si>
    <t>-677.874953720281 70.0563836403417 300.178670715095</t>
  </si>
  <si>
    <t>-701.107996421548 99.739685136828 746.370572578602</t>
  </si>
  <si>
    <t>-556.510481879493 119.867954650231 807.801280413241</t>
  </si>
  <si>
    <t>-592.086421061204 -143.015794542511 304.948434240055</t>
  </si>
  <si>
    <t>-606.5751121475 -143.311354773834 752.60377172505</t>
  </si>
  <si>
    <t>-470.825255060081 -180.245599758833 825.371433401617</t>
  </si>
  <si>
    <t>9763-20170724T104423.085099900.bin</t>
  </si>
  <si>
    <t>-694.617111567748 105.300222233666 -536.751059532045</t>
  </si>
  <si>
    <t>-692.588080880194 136.249052683117 -244.126201670112</t>
  </si>
  <si>
    <t>-460.7891483602 200.459752110191 -230.085568275841</t>
  </si>
  <si>
    <t>-652.109015872377 46.0672857948507 -101.866579196445</t>
  </si>
  <si>
    <t>-677.583305619521 69.9610064460435 300.171724533839</t>
  </si>
  <si>
    <t>-701.136031970431 99.712668737732 746.348691867025</t>
  </si>
  <si>
    <t>-556.533445928982 119.869977204071 807.757693152851</t>
  </si>
  <si>
    <t>-591.789630487625 -143.046339590944 304.968926969266</t>
  </si>
  <si>
    <t>-606.532041177629 -143.285298122734 752.603417517658</t>
  </si>
  <si>
    <t>-470.758827096651 -180.118850700783 825.378562588297</t>
  </si>
  <si>
    <t>9763-20170724T104423.153783700.bin</t>
  </si>
  <si>
    <t>-694.769909608594 105.055313328561 -536.763933492209</t>
  </si>
  <si>
    <t>-693.10174201979 135.946472617786 -244.130800813032</t>
  </si>
  <si>
    <t>-461.369110743692 200.049682085285 -228.58569725802</t>
  </si>
  <si>
    <t>-651.23608726747 46.1884797776893 -101.892892501084</t>
  </si>
  <si>
    <t>-676.901497272401 69.872288754163 300.145728823209</t>
  </si>
  <si>
    <t>-701.1922969533 99.7171349670455 746.299866602522</t>
  </si>
  <si>
    <t>-556.596839524512 120.037912121767 807.671807164419</t>
  </si>
  <si>
    <t>-591.063240340553 -142.972175025211 304.974540216926</t>
  </si>
  <si>
    <t>-606.466777028714 -143.340985531902 752.598517955052</t>
  </si>
  <si>
    <t>-470.832069550325 -180.629770436611 825.400026232188</t>
  </si>
  <si>
    <t>9763-20170724T104423.186376200.bin</t>
  </si>
  <si>
    <t>-694.931599421387 104.889331745027 -536.767549418787</t>
  </si>
  <si>
    <t>-693.649839795396 135.51889218357 -244.104998351602</t>
  </si>
  <si>
    <t>-462.079421501757 199.867318966345 -227.214631865197</t>
  </si>
  <si>
    <t>-650.748862101076 46.1939599470584 -101.891662875053</t>
  </si>
  <si>
    <t>-676.506095514821 69.8222563346128 300.144252392673</t>
  </si>
  <si>
    <t>-701.212413783343 99.7186175757013 746.280709447654</t>
  </si>
  <si>
    <t>-556.599829599474 119.949656109358 807.642096705232</t>
  </si>
  <si>
    <t>-590.671604664337 -142.943011434899 304.974927467987</t>
  </si>
  <si>
    <t>-606.432176523292 -143.186777820117 752.581150625699</t>
  </si>
  <si>
    <t>-470.845328122068 -180.621597840069 825.397069389453</t>
  </si>
  <si>
    <t>9763-20170724T104423.253063800.bin</t>
  </si>
  <si>
    <t>-695.261547954293 104.628613738197 -536.631750678606</t>
  </si>
  <si>
    <t>-695.102244824553 134.276695551122 -243.865453994158</t>
  </si>
  <si>
    <t>-463.770317942391 198.878225924547 -224.811548142033</t>
  </si>
  <si>
    <t>-649.618803751471 46.2644046950957 -101.870618326997</t>
  </si>
  <si>
    <t>-675.623980339317 69.7071626726088 300.160224008817</t>
  </si>
  <si>
    <t>-701.260767304114 99.7477461994856 746.247202313452</t>
  </si>
  <si>
    <t>-556.631977798267 119.963600334396 807.575181726239</t>
  </si>
  <si>
    <t>-589.796950355781 -142.923660155085 304.974804303554</t>
  </si>
  <si>
    <t>-606.365139747233 -143.1522299605 752.550023501241</t>
  </si>
  <si>
    <t>-470.842160606751 -180.766628385653 825.392062997116</t>
  </si>
  <si>
    <t>9763-20170724T104423.288660200.bin</t>
  </si>
  <si>
    <t>-695.324958748543 104.51321793977 -536.502826186934</t>
  </si>
  <si>
    <t>-695.950000618225 133.718186688535 -243.69244047996</t>
  </si>
  <si>
    <t>-464.615622504755 198.063566186076 -223.819862364723</t>
  </si>
  <si>
    <t>-648.987331143247 46.2679775202876 -101.847930280844</t>
  </si>
  <si>
    <t>-675.160167445974 69.6245616959575 300.177128813424</t>
  </si>
  <si>
    <t>-701.282434634079 99.7537180564154 746.235458067777</t>
  </si>
  <si>
    <t>-556.674480183389 120.174668110038 807.544657288712</t>
  </si>
  <si>
    <t>-589.332217391637 -143.011874994403 304.975502820665</t>
  </si>
  <si>
    <t>-606.348383736912 -143.173565213296 752.539619264728</t>
  </si>
  <si>
    <t>-470.745057116286 -180.511244152068 825.374577691818</t>
  </si>
  <si>
    <t>9763-20170724T104423.323755100.bin</t>
  </si>
  <si>
    <t>-695.313710293146 104.450081451852 -536.387072007748</t>
  </si>
  <si>
    <t>-696.549030602805 133.166246737781 -243.53035550357</t>
  </si>
  <si>
    <t>-465.176285863558 197.284336830197 -223.371208719019</t>
  </si>
  <si>
    <t>-648.388215065678 46.297916930451 -101.844976265621</t>
  </si>
  <si>
    <t>-674.597900071764 69.5328078059254 300.184707759227</t>
  </si>
  <si>
    <t>-701.296547348903 99.723519828178 746.218804139285</t>
  </si>
  <si>
    <t>-556.672671129484 120.097821588213 807.50594983317</t>
  </si>
  <si>
    <t>-588.86580180255 -143.012429699904 304.986037409505</t>
  </si>
  <si>
    <t>-606.332192796059 -143.159874727999 752.530212434956</t>
  </si>
  <si>
    <t>-470.824352360625 -180.816392636422 825.378656299934</t>
  </si>
  <si>
    <t>9763-20170724T104423.387462900.bin</t>
  </si>
  <si>
    <t>-695.063122322703 104.141308346224 -536.192067398494</t>
  </si>
  <si>
    <t>-696.85854957617 132.214915772513 -243.27577906279</t>
  </si>
  <si>
    <t>-465.04754003209 194.80344677472 -223.346299611359</t>
  </si>
  <si>
    <t>-647.270441852175 46.12622754884 -101.874955470062</t>
  </si>
  <si>
    <t>-673.572265116739 69.2215832910556 300.156772661096</t>
  </si>
  <si>
    <t>-701.30401799622 99.6343453519837 746.15886101004</t>
  </si>
  <si>
    <t>-556.650756323695 119.882104994193 807.418516507898</t>
  </si>
  <si>
    <t>-588.119048859099 -143.137292239119 304.991521480907</t>
  </si>
  <si>
    <t>-606.300446595507 -143.14037652622 752.520456284852</t>
  </si>
  <si>
    <t>-470.718080024428 -180.549042628965 825.358128241869</t>
  </si>
  <si>
    <t>9763-20170724T104423.455138600.bin</t>
  </si>
  <si>
    <t>-694.588320724298 104.166060330698 -535.991535568916</t>
  </si>
  <si>
    <t>-696.572754158026 130.883733798908 -242.949770374501</t>
  </si>
  <si>
    <t>-464.700166543669 193.201907604255 -222.890118185096</t>
  </si>
  <si>
    <t>-646.344294785391 45.9999397083736 -101.883035948914</t>
  </si>
  <si>
    <t>-672.897311004137 69.1057779497835 300.131555542562</t>
  </si>
  <si>
    <t>-701.335828301837 99.6424716503407 746.089092359662</t>
  </si>
  <si>
    <t>-556.692329864618 120.034759840921 807.323946137668</t>
  </si>
  <si>
    <t>-587.64196939819 -143.14451490409 304.999769147531</t>
  </si>
  <si>
    <t>-606.268478187981 -142.939948092709 752.503350752511</t>
  </si>
  <si>
    <t>-470.866644583796 -180.961730610501 825.359240156761</t>
  </si>
  <si>
    <t>9763-20170724T104423.484807400.bin</t>
  </si>
  <si>
    <t>-694.157994746451 104.292220449644 -535.866333573055</t>
  </si>
  <si>
    <t>-696.562977311703 130.216683357495 -242.75642078546</t>
  </si>
  <si>
    <t>-464.679694185527 192.416532158413 -222.454167771919</t>
  </si>
  <si>
    <t>-645.898423110152 45.8575247161059 -101.86367749805</t>
  </si>
  <si>
    <t>-672.690150466082 69.0399724279494 300.130627272364</t>
  </si>
  <si>
    <t>-701.335377824993 99.6004633785246 746.060366293956</t>
  </si>
  <si>
    <t>-556.688567612448 119.98196075903 807.291079982765</t>
  </si>
  <si>
    <t>-587.581929389393 -143.348724250127 305.012430894315</t>
  </si>
  <si>
    <t>-606.265933173025 -143.049806859534 752.509998605555</t>
  </si>
  <si>
    <t>-470.794557635561 -180.852272298376 825.35071397725</t>
  </si>
  <si>
    <t>9763-20170724T104423.521905900.bin</t>
  </si>
  <si>
    <t>-693.64269594251 104.464017270742 -535.772094686015</t>
  </si>
  <si>
    <t>-696.803381976546 129.922831586172 -242.628562395039</t>
  </si>
  <si>
    <t>-464.89982111627 191.903578511792 -221.892202401762</t>
  </si>
  <si>
    <t>-645.623568933251 45.8452327015343 -101.857281230347</t>
  </si>
  <si>
    <t>-672.537103501339 68.9698674508181 300.132305729578</t>
  </si>
  <si>
    <t>-701.331353243243 99.5387721597178 746.038372173573</t>
  </si>
  <si>
    <t>-556.633239914224 119.547710860958 807.270641851283</t>
  </si>
  <si>
    <t>-587.679510303028 -143.531477296656 305.028121612772</t>
  </si>
  <si>
    <t>-606.257301937478 -143.079340625374 752.514847060203</t>
  </si>
  <si>
    <t>-470.666964342057 -180.493112758364 825.335019232924</t>
  </si>
  <si>
    <t>9763-20170724T104423.586083000.bin</t>
  </si>
  <si>
    <t>-692.538960897993 104.831875947831 -535.720797609731</t>
  </si>
  <si>
    <t>-698.035085444072 129.345646819563 -242.531235666611</t>
  </si>
  <si>
    <t>-466.006936803556 190.414263203576 -220.520695283347</t>
  </si>
  <si>
    <t>-645.372853536359 45.8271802991712 -101.855032478715</t>
  </si>
  <si>
    <t>-672.335468755529 68.9358141536229 300.132078304548</t>
  </si>
  <si>
    <t>-701.338407973666 99.4922330142563 746.003581547232</t>
  </si>
  <si>
    <t>-556.631596077128 119.478696731401 807.222707557083</t>
  </si>
  <si>
    <t>-587.875676513515 -143.627141037011 305.031813357435</t>
  </si>
  <si>
    <t>-606.235835391393 -143.13330398469 752.526662633505</t>
  </si>
  <si>
    <t>-470.674416053313 -180.664806442234 825.340055214622</t>
  </si>
  <si>
    <t>9763-20170724T104423.649251600.bin</t>
  </si>
  <si>
    <t>-691.723610935777 104.942693837211 -535.706908420636</t>
  </si>
  <si>
    <t>-699.478511085459 128.493538608048 -242.489442613006</t>
  </si>
  <si>
    <t>-467.254592756327 187.842041228951 -217.981189876144</t>
  </si>
  <si>
    <t>-645.299052144127 45.6929639690491 -101.838939939476</t>
  </si>
  <si>
    <t>-672.359852484455 68.8897275034096 300.136560123102</t>
  </si>
  <si>
    <t>-701.356733387364 99.5127893774165 745.986614694177</t>
  </si>
  <si>
    <t>-556.667489163378 119.655539644401 807.195962479751</t>
  </si>
  <si>
    <t>-587.977654027571 -143.731023689802 305.01885244866</t>
  </si>
  <si>
    <t>-606.213363402748 -143.287779633847 752.527067421056</t>
  </si>
  <si>
    <t>-470.669825647238 -180.88076772947 825.342045559321</t>
  </si>
  <si>
    <t>9763-20170724T104423.685230500.bin</t>
  </si>
  <si>
    <t>-691.502531865746 104.918095492319 -535.671147384817</t>
  </si>
  <si>
    <t>-700.120609157454 127.967839412702 -242.43804472373</t>
  </si>
  <si>
    <t>-467.782335656559 186.279707851289 -216.56302238948</t>
  </si>
  <si>
    <t>-645.336758497617 45.6462308084858 -101.836053892345</t>
  </si>
  <si>
    <t>-672.431771829396 68.8785737928113 300.135069109464</t>
  </si>
  <si>
    <t>-701.360264874041 99.5061844685158 745.983592805867</t>
  </si>
  <si>
    <t>-556.662038333256 119.581499834228 807.193982781542</t>
  </si>
  <si>
    <t>-587.981927614505 -143.715042360436 305.02227707363</t>
  </si>
  <si>
    <t>-606.197195116539 -143.154602679518 752.529123649613</t>
  </si>
  <si>
    <t>-470.708350067498 -180.93699993671 825.347839979231</t>
  </si>
  <si>
    <t>9763-20170724T104423.752409700.bin</t>
  </si>
  <si>
    <t>-691.411512640806 104.726302491873 -535.57128989882</t>
  </si>
  <si>
    <t>-701.447498952771 126.273442599248 -242.268943286602</t>
  </si>
  <si>
    <t>-468.980443665887 183.427220558391 -215.004164005658</t>
  </si>
  <si>
    <t>-645.578680073703 45.5948773791292 -101.857564188205</t>
  </si>
  <si>
    <t>-672.648709455835 68.8622862173404 300.113234860898</t>
  </si>
  <si>
    <t>-701.380653406046 99.5769717103337 745.98112625766</t>
  </si>
  <si>
    <t>-556.670802892668 119.533033090167 807.202831722918</t>
  </si>
  <si>
    <t>-587.916084726097 -143.788213564513 305.031659304315</t>
  </si>
  <si>
    <t>-606.176900721513 -143.269984352216 752.538149742544</t>
  </si>
  <si>
    <t>-470.615348314795 -180.820612136537 825.341416804295</t>
  </si>
  <si>
    <t>9763-20170724T104423.789322800.bin</t>
  </si>
  <si>
    <t>-691.549721212962 104.587484222388 -535.531060224645</t>
  </si>
  <si>
    <t>-702.139892401907 125.62597380547 -242.211349113584</t>
  </si>
  <si>
    <t>-469.587095893201 182.149015082499 -214.36859158427</t>
  </si>
  <si>
    <t>-645.806544757955 45.607357401195 -101.884850507501</t>
  </si>
  <si>
    <t>-672.777639601295 68.8640657674803 300.093199234741</t>
  </si>
  <si>
    <t>-701.391222103625 99.6279501843946 745.975272174866</t>
  </si>
  <si>
    <t>-556.714216511727 119.803379837891 807.20270109672</t>
  </si>
  <si>
    <t>-587.9207478233 -143.832852132106 305.020877126293</t>
  </si>
  <si>
    <t>-606.161759294708 -143.354497426341 752.53969908686</t>
  </si>
  <si>
    <t>-470.5320267719 -180.674065780599 825.334801823688</t>
  </si>
  <si>
    <t>9763-20170724T104423.850486000.bin</t>
  </si>
  <si>
    <t>-691.77260830335 104.53861058188 -535.517435999598</t>
  </si>
  <si>
    <t>-703.400162685982 125.075831903651 -242.201410437893</t>
  </si>
  <si>
    <t>-470.690713010818 180.615121015205 -213.696216489413</t>
  </si>
  <si>
    <t>-646.334657123478 45.6415524906815 -101.926917225775</t>
  </si>
  <si>
    <t>-673.096014663339 68.935803720045 300.06292498097</t>
  </si>
  <si>
    <t>-701.390799046492 99.7055345931697 745.97198884751</t>
  </si>
  <si>
    <t>-556.722758150769 119.78584224418 807.251906887109</t>
  </si>
  <si>
    <t>-588.027837367593 -143.826944904124 304.994173964602</t>
  </si>
  <si>
    <t>-606.13296834592 -143.422968028899 752.531208627653</t>
  </si>
  <si>
    <t>-470.50636827041 -180.746782516087 825.329987549657</t>
  </si>
  <si>
    <t>9763-20170724T104423.886100000.bin</t>
  </si>
  <si>
    <t>-691.91173610007 104.550640724276 -535.511279856682</t>
  </si>
  <si>
    <t>-703.825212110791 125.083139934063 -242.206529910005</t>
  </si>
  <si>
    <t>-471.028623699409 180.323792382073 -213.832589330225</t>
  </si>
  <si>
    <t>-646.669184553255 45.6677315292577 -101.949894548814</t>
  </si>
  <si>
    <t>-673.262156867165 68.9770561596376 300.050312523265</t>
  </si>
  <si>
    <t>-701.390714442224 99.7381842223606 745.973685919154</t>
  </si>
  <si>
    <t>-556.730228692537 119.798118159283 807.27809710266</t>
  </si>
  <si>
    <t>-588.204863228128 -143.895406935185 304.993722677565</t>
  </si>
  <si>
    <t>-606.116177159202 -143.529717946564 752.53118136864</t>
  </si>
  <si>
    <t>-470.398357250398 -180.540147639795 825.319836425157</t>
  </si>
  <si>
    <t>9763-20170724T104423.932223000.bin</t>
  </si>
  <si>
    <t>-692.021789954879 104.688993868397 -535.569580945179</t>
  </si>
  <si>
    <t>-704.120321099907 125.395551633745 -242.284606475387</t>
  </si>
  <si>
    <t>-471.242313724194 180.476905865491 -214.270789560895</t>
  </si>
  <si>
    <t>-647.080388007079 45.7946889189311 -101.975463010091</t>
  </si>
  <si>
    <t>-673.472625347527 69.1032907740762 300.038029601228</t>
  </si>
  <si>
    <t>-701.408608022658 99.7891477490673 745.971532132244</t>
  </si>
  <si>
    <t>-556.770922495428 119.993294767017 807.282457493523</t>
  </si>
  <si>
    <t>-588.438805093801 -143.758988233526 304.98048409328</t>
  </si>
  <si>
    <t>-606.096684761878 -143.3720231789 752.527192757517</t>
  </si>
  <si>
    <t>-470.530525574491 -180.897532730674 825.334706537435</t>
  </si>
  <si>
    <t>9763-20170724T104423.985875500.bin</t>
  </si>
  <si>
    <t>-692.035589342044 104.78612378422 -535.890240559684</t>
  </si>
  <si>
    <t>-704.549390581448 125.920447367349 -242.653247404589</t>
  </si>
  <si>
    <t>-471.52896039822 180.719588326562 -215.277869101305</t>
  </si>
  <si>
    <t>-647.973757653193 46.0079689539757 -102.02441123699</t>
  </si>
  <si>
    <t>-674.077690294879 69.2966727496234 300.008999798754</t>
  </si>
  <si>
    <t>-701.437263466291 99.8432459360888 745.974366569516</t>
  </si>
  <si>
    <t>-556.778364936724 119.865506821346 807.294811724607</t>
  </si>
  <si>
    <t>-589.020661251667 -143.696282091864 304.942042921833</t>
  </si>
  <si>
    <t>-606.063500627865 -143.412536090814 752.52400588383</t>
  </si>
  <si>
    <t>-470.432939667616 -180.719970733168 825.323871162134</t>
  </si>
  <si>
    <t>9763-20170724T104424.053563600.bin</t>
  </si>
  <si>
    <t>-691.788232100874 104.48815138548 -536.314356481049</t>
  </si>
  <si>
    <t>-704.97327565019 126.152824700991 -243.145417948029</t>
  </si>
  <si>
    <t>-471.912423065074 180.684237820798 -215.579934001595</t>
  </si>
  <si>
    <t>-648.665540004044 46.0897742778434 -102.042860930272</t>
  </si>
  <si>
    <t>-674.809693433483 69.4901385896944 299.981471136285</t>
  </si>
  <si>
    <t>-701.467641660564 99.9053476200284 745.98826066963</t>
  </si>
  <si>
    <t>-556.833370275728 120.098614683058 807.310849781457</t>
  </si>
  <si>
    <t>-589.539882228953 -143.789642935185 304.928865115688</t>
  </si>
  <si>
    <t>-606.038160859266 -143.61057177883 752.533025455806</t>
  </si>
  <si>
    <t>-470.298276494186 -180.562587842315 825.310276024114</t>
  </si>
  <si>
    <t>9763-20170724T104424.086170400.bin</t>
  </si>
  <si>
    <t>-691.645346806569 104.373977841906 -536.543574612641</t>
  </si>
  <si>
    <t>-705.140426406653 126.349919841276 -243.411965551626</t>
  </si>
  <si>
    <t>-472.085846055869 180.785870211078 -215.605800902567</t>
  </si>
  <si>
    <t>-648.924671633231 46.212243263345 -102.061293289248</t>
  </si>
  <si>
    <t>-675.07742117494 69.5971445581392 299.963411180261</t>
  </si>
  <si>
    <t>-701.477756217464 99.9319350216781 745.998755163771</t>
  </si>
  <si>
    <t>-556.831857144893 119.997718234105 807.335653529457</t>
  </si>
  <si>
    <t>-589.730499886521 -143.71465225801 304.926058758895</t>
  </si>
  <si>
    <t>-606.023475097415 -143.561921035265 752.531049719241</t>
  </si>
  <si>
    <t>-470.349396344089 -180.740726964403 825.315595870135</t>
  </si>
  <si>
    <t>9763-20170724T104424.151334100.bin</t>
  </si>
  <si>
    <t>-691.322043337899 104.225523219019 -536.948947204821</t>
  </si>
  <si>
    <t>-705.406631047536 126.568907074078 -243.872786791737</t>
  </si>
  <si>
    <t>-472.368395818817 181.099673998203 -216.116016336932</t>
  </si>
  <si>
    <t>-649.261595917002 46.4745372613208 -102.113776273542</t>
  </si>
  <si>
    <t>-675.14748473428 69.8107570432176 299.931076782059</t>
  </si>
  <si>
    <t>-701.507527840928 100.01189965359 746.009504009316</t>
  </si>
  <si>
    <t>-556.857189319018 120.0009004547 807.360937335884</t>
  </si>
  <si>
    <t>-589.890609389235 -143.494837105168 304.898796448111</t>
  </si>
  <si>
    <t>-605.986740224891 -143.335403444047 752.5205021557</t>
  </si>
  <si>
    <t>-470.402009594133 -180.809307266318 825.320137498522</t>
  </si>
  <si>
    <t>9763-20170724T104424.183024500.bin</t>
  </si>
  <si>
    <t>-691.255497346975 104.107826617565 -537.078277824893</t>
  </si>
  <si>
    <t>-705.510338757275 126.612027124776 -244.022697729191</t>
  </si>
  <si>
    <t>-472.461257914611 181.175449621144 -216.421662607687</t>
  </si>
  <si>
    <t>-649.344988476556 46.536873058262 -102.129978172016</t>
  </si>
  <si>
    <t>-675.032837462708 69.8521614836864 299.928747933851</t>
  </si>
  <si>
    <t>-701.519307553121 100.014005828996 746.006809676304</t>
  </si>
  <si>
    <t>-556.844667994191 119.820266926372 807.360367770079</t>
  </si>
  <si>
    <t>-589.908304803823 -143.494076944249 304.89890748793</t>
  </si>
  <si>
    <t>-605.97073091528 -143.493555844658 752.518022903798</t>
  </si>
  <si>
    <t>-470.304222117215 -180.675328513977 825.315007654351</t>
  </si>
  <si>
    <t>9763-20170724T104424.252208000.bin</t>
  </si>
  <si>
    <t>-691.235865127262 104.063407681653 -537.344845291361</t>
  </si>
  <si>
    <t>-705.700539476048 127.103315694776 -244.341195393166</t>
  </si>
  <si>
    <t>-472.620096807358 181.671116461806 -217.014804448593</t>
  </si>
  <si>
    <t>-649.497529184621 46.9320981009955 -102.189338949148</t>
  </si>
  <si>
    <t>-674.778313853501 70.0576445428021 299.906102000015</t>
  </si>
  <si>
    <t>-701.549632145748 100.030691009188 745.982391924133</t>
  </si>
  <si>
    <t>-556.901366995603 120.087934861748 807.316565820474</t>
  </si>
  <si>
    <t>-589.831281708863 -143.174192862197 304.910949457392</t>
  </si>
  <si>
    <t>-605.926377379186 -143.316388104096 752.503022620397</t>
  </si>
  <si>
    <t>-470.433105770921 -181.051071548799 825.338095652944</t>
  </si>
  <si>
    <t>9763-20170724T104424.283295800.bin</t>
  </si>
  <si>
    <t>-691.034854863737 104.048874417167 -537.5461488855</t>
  </si>
  <si>
    <t>-705.764071303422 127.316431975095 -244.57363428886</t>
  </si>
  <si>
    <t>-472.679794909423 181.864074298447 -217.239798684834</t>
  </si>
  <si>
    <t>-649.565610626007 47.0931571449482 -102.207080825075</t>
  </si>
  <si>
    <t>-674.782372398465 70.1694402050857 299.895206317973</t>
  </si>
  <si>
    <t>-701.558849663156 100.018942955236 745.969721238259</t>
  </si>
  <si>
    <t>-556.874495909515 119.824939213646 807.300447844317</t>
  </si>
  <si>
    <t>-589.79145262486 -142.997919288287 304.91050829329</t>
  </si>
  <si>
    <t>-605.909509927414 -143.248046185131 752.49648851217</t>
  </si>
  <si>
    <t>-470.478899035735 -181.181333520676 825.345031117397</t>
  </si>
  <si>
    <t>9763-20170724T104424.351476500.bin</t>
  </si>
  <si>
    <t>-690.160870268811 103.810960914071 -538.167979404305</t>
  </si>
  <si>
    <t>-706.007081500582 127.620117544581 -245.297335179913</t>
  </si>
  <si>
    <t>-472.978309930066 182.162271909967 -217.483086889296</t>
  </si>
  <si>
    <t>-649.814420039139 47.4563339327531 -102.27671274308</t>
  </si>
  <si>
    <t>-675.085959367807 70.4459887913122 299.827159626016</t>
  </si>
  <si>
    <t>-701.580870474897 100.028751214526 745.940232875275</t>
  </si>
  <si>
    <t>-556.912749762483 119.992885840477 807.258094067297</t>
  </si>
  <si>
    <t>-589.974195749555 -142.741584915903 304.920105143208</t>
  </si>
  <si>
    <t>-605.88702617002 -143.190784672988 752.497901701914</t>
  </si>
  <si>
    <t>-470.436765425296 -181.053474533066 825.346699328894</t>
  </si>
  <si>
    <t>9763-20170724T104424.385571400.bin</t>
  </si>
  <si>
    <t>-689.585680610769 103.624646673735 -538.580862744181</t>
  </si>
  <si>
    <t>-706.146226448807 127.850261109081 -245.783761529581</t>
  </si>
  <si>
    <t>-473.164447948102 182.349116081633 -217.495439239633</t>
  </si>
  <si>
    <t>-650.063204786961 47.6046517330997 -102.323261891653</t>
  </si>
  <si>
    <t>-675.381652401678 70.5796151056713 299.778392970879</t>
  </si>
  <si>
    <t>-701.580837137743 100.045578745528 745.924586449965</t>
  </si>
  <si>
    <t>-556.914936768657 120.015212615613 807.245804413729</t>
  </si>
  <si>
    <t>-590.156871752439 -142.67280448985 304.919066699209</t>
  </si>
  <si>
    <t>-605.879737951275 -143.287160112466 752.505161924631</t>
  </si>
  <si>
    <t>-470.443294157285 -181.199858923142 825.353555553994</t>
  </si>
  <si>
    <t>9763-20170724T104424.421668100.bin</t>
  </si>
  <si>
    <t>-688.900572756214 103.364846108403 -539.046986840595</t>
  </si>
  <si>
    <t>-706.307065684478 128.107091866027 -246.342290385261</t>
  </si>
  <si>
    <t>-473.377365586909 182.529734733273 -217.483733807056</t>
  </si>
  <si>
    <t>-650.302416531449 47.748489868166 -102.385492102788</t>
  </si>
  <si>
    <t>-675.615176540935 70.7299439755875 299.716233201608</t>
  </si>
  <si>
    <t>-701.582670279044 100.055497422929 745.904775382682</t>
  </si>
  <si>
    <t>-556.882580897931 119.748943255807 807.234715858204</t>
  </si>
  <si>
    <t>-590.385220643687 -142.617223142057 304.915364604345</t>
  </si>
  <si>
    <t>-605.871519365715 -143.268222252037 752.5042749781</t>
  </si>
  <si>
    <t>-470.362924459239 -180.934317673942 825.346357141857</t>
  </si>
  <si>
    <t>9763-20170724T104424.484358600.bin</t>
  </si>
  <si>
    <t>-687.624258494996 102.813623782814 -540.068161802809</t>
  </si>
  <si>
    <t>-706.819296358994 128.744313754693 -247.578131632898</t>
  </si>
  <si>
    <t>-473.961977988457 182.826000511959 -217.519899689985</t>
  </si>
  <si>
    <t>-650.809791324205 48.1039060986789 -102.52342359835</t>
  </si>
  <si>
    <t>-675.906721289261 71.1125331048793 299.59019551937</t>
  </si>
  <si>
    <t>-701.589029063853 100.109328690441 745.840454684586</t>
  </si>
  <si>
    <t>-556.916302895436 119.982247735116 807.176975452864</t>
  </si>
  <si>
    <t>-590.706417262278 -142.3298536846 304.915113075584</t>
  </si>
  <si>
    <t>-605.853234486511 -143.089645720939 752.506599845043</t>
  </si>
  <si>
    <t>-470.429359624583 -181.031584724742 825.36309362604</t>
  </si>
  <si>
    <t>9763-20170724T104424.551538800.bin</t>
  </si>
  <si>
    <t>-686.765197654384 102.28380366684 -541.062328168276</t>
  </si>
  <si>
    <t>-707.89080889223 129.18851933069 -248.793505847417</t>
  </si>
  <si>
    <t>-475.131394299302 183.0786223694 -217.651737361321</t>
  </si>
  <si>
    <t>-651.471478721714 48.4946172240684 -102.644606539281</t>
  </si>
  <si>
    <t>-676.299928239024 71.4263440245898 299.490098900851</t>
  </si>
  <si>
    <t>-701.602667183776 100.145726594771 745.776836840347</t>
  </si>
  <si>
    <t>-556.909857070441 119.883832992906 807.109553389078</t>
  </si>
  <si>
    <t>-591.092014008665 -142.093013042349 304.895069856085</t>
  </si>
  <si>
    <t>-605.845013872173 -143.182873908692 752.503685983217</t>
  </si>
  <si>
    <t>-470.445040524214 -181.193891705926 825.368627094393</t>
  </si>
  <si>
    <t>9763-20170724T104424.583679200.bin</t>
  </si>
  <si>
    <t>-686.460816847132 101.93345182999 -541.579893436377</t>
  </si>
  <si>
    <t>-708.656519866088 129.284257352017 -249.431797789975</t>
  </si>
  <si>
    <t>-475.930739312624 183.008673045902 -217.757841914843</t>
  </si>
  <si>
    <t>-651.896741650495 48.5473172741035 -102.690474456495</t>
  </si>
  <si>
    <t>-676.509680507744 71.5230499859517 299.455053029681</t>
  </si>
  <si>
    <t>-701.602718086916 100.151514970512 745.754361068882</t>
  </si>
  <si>
    <t>-556.907398910737 119.88591116826 807.082223817848</t>
  </si>
  <si>
    <t>-591.331190593791 -142.033127930246 304.879606199149</t>
  </si>
  <si>
    <t>-605.841046176996 -143.172099878139 752.502826144899</t>
  </si>
  <si>
    <t>-470.417128028615 -181.109585870228 825.361599874438</t>
  </si>
  <si>
    <t>9763-20170724T104424.652863100.bin</t>
  </si>
  <si>
    <t>-685.757332230411 101.190576870403 -542.609362559642</t>
  </si>
  <si>
    <t>-710.535620305243 129.415897121722 -250.752319516929</t>
  </si>
  <si>
    <t>-477.88549378822 182.82585118815 -218.008121845967</t>
  </si>
  <si>
    <t>-653.261179655448 48.4274042190796 -102.774025179748</t>
  </si>
  <si>
    <t>-676.943552354833 71.5877014410619 299.416708310517</t>
  </si>
  <si>
    <t>-701.606758341876 100.180604535157 745.737641282984</t>
  </si>
  <si>
    <t>-556.938052587322 120.147720452911 807.053066810363</t>
  </si>
  <si>
    <t>-591.882236088536 -141.875038077505 304.825114149883</t>
  </si>
  <si>
    <t>-605.842225822185 -143.250530336006 752.486409033429</t>
  </si>
  <si>
    <t>-470.480458799261 -181.397622268714 825.351308790927</t>
  </si>
  <si>
    <t>9763-20170724T104424.684028400.bin</t>
  </si>
  <si>
    <t>-685.312342303172 100.668302142586 -543.157334063436</t>
  </si>
  <si>
    <t>-711.74218632594 129.286216816758 -251.483332410036</t>
  </si>
  <si>
    <t>-479.171159559862 182.656752174364 -218.119493277726</t>
  </si>
  <si>
    <t>-654.345057560793 48.1042330843138 -102.786665071636</t>
  </si>
  <si>
    <t>-677.165345061553 71.5687562379117 299.436283639616</t>
  </si>
  <si>
    <t>-701.607008161833 100.189034789608 745.75220522246</t>
  </si>
  <si>
    <t>-556.946994073481 120.238589541426 807.061212242458</t>
  </si>
  <si>
    <t>-592.306939996103 -141.81932014461 304.783123913566</t>
  </si>
  <si>
    <t>-605.840484476461 -143.186689231185 752.47421337765</t>
  </si>
  <si>
    <t>-470.487699012124 -181.366914376512 825.338303838346</t>
  </si>
  <si>
    <t>9763-20170724T104424.753212600.bin</t>
  </si>
  <si>
    <t>-683.331733865448 99.3556922817145 -544.498781601067</t>
  </si>
  <si>
    <t>-714.76556621366 129.008866241612 -253.425149106138</t>
  </si>
  <si>
    <t>-482.3721630122 182.2696344099 -218.67690821931</t>
  </si>
  <si>
    <t>-657.217815518044 47.3433812958879 -102.822818695641</t>
  </si>
  <si>
    <t>-677.669547327789 71.3188175351218 299.497329616365</t>
  </si>
  <si>
    <t>-701.607294844923 100.188429713349 745.800942111932</t>
  </si>
  <si>
    <t>-556.987533747068 120.548635981336 807.102500534397</t>
  </si>
  <si>
    <t>-593.392831963651 -141.708370969415 304.710900827787</t>
  </si>
  <si>
    <t>-605.831400788061 -143.086765621122 752.452587262459</t>
  </si>
  <si>
    <t>-470.550620698563 -181.507832526379 825.323956436245</t>
  </si>
  <si>
    <t>9763-20170724T104424.786094200.bin</t>
  </si>
  <si>
    <t>-681.396029640007 98.591921937398 -545.401454343922</t>
  </si>
  <si>
    <t>-716.425994321247 128.707835372828 -254.786245833906</t>
  </si>
  <si>
    <t>-484.178281173595 182.065198708231 -219.220934852219</t>
  </si>
  <si>
    <t>-658.879389924615 46.8146154825649 -102.872504720027</t>
  </si>
  <si>
    <t>-678.099041470898 71.0781376467824 299.491210697777</t>
  </si>
  <si>
    <t>-701.59860899074 100.175809621187 745.815524430481</t>
  </si>
  <si>
    <t>-556.979695128703 120.49041925084 807.134259940074</t>
  </si>
  <si>
    <t>-594.192438272131 -141.706862380871 304.687915774107</t>
  </si>
  <si>
    <t>-605.828626441314 -143.074143029635 752.451502541891</t>
  </si>
  <si>
    <t>-470.622905744555 -181.746827950573 825.329164768679</t>
  </si>
  <si>
    <t>9763-20170724T104424.850265300.bin</t>
  </si>
  <si>
    <t>-676.993986039449 97.0691690707195 -547.283738831558</t>
  </si>
  <si>
    <t>-718.977774834213 128.288914260685 -257.708393567572</t>
  </si>
  <si>
    <t>-487.139710651359 182.243667626674 -220.413755558453</t>
  </si>
  <si>
    <t>-662.269284826497 45.7729708963666 -103.040614133137</t>
  </si>
  <si>
    <t>-679.889085450771 71.0168811516774 299.33606167984</t>
  </si>
  <si>
    <t>-701.625277932707 100.270366537785 745.762709698493</t>
  </si>
  <si>
    <t>-557.069090223692 120.871894915612 807.133664569604</t>
  </si>
  <si>
    <t>-596.188202356672 -142.122552863037 304.710558768767</t>
  </si>
  <si>
    <t>-605.814048368509 -143.318071905571 752.495037966414</t>
  </si>
  <si>
    <t>-470.595568151471 -181.967650931024 825.361196061916</t>
  </si>
  <si>
    <t>9763-20170724T104424.888969900.bin</t>
  </si>
  <si>
    <t>-674.991406911269 96.8725967481842 -548.077114854649</t>
  </si>
  <si>
    <t>-719.82920913157 128.814088623672 -259.008698082029</t>
  </si>
  <si>
    <t>-488.254096221391 183.361159948259 -220.950201296567</t>
  </si>
  <si>
    <t>-663.902195752798 45.6412344181003 -103.123169973283</t>
  </si>
  <si>
    <t>-681.407779554964 71.3367444470923 299.229815411261</t>
  </si>
  <si>
    <t>-701.651075927162 100.370075033089 745.716298373004</t>
  </si>
  <si>
    <t>-557.131342665201 121.109202061293 807.126690469371</t>
  </si>
  <si>
    <t>-597.341322223506 -142.359299470705 304.715333911495</t>
  </si>
  <si>
    <t>-605.793977459845 -143.285955988385 752.529290607671</t>
  </si>
  <si>
    <t>-470.588153969808 -181.999310102884 825.385103736062</t>
  </si>
  <si>
    <t>9763-20170724T104424.952138200.bin</t>
  </si>
  <si>
    <t>-671.822400288216 97.5203036988639 -549.299136030736</t>
  </si>
  <si>
    <t>-721.095543476726 130.490854893571 -261.069633465983</t>
  </si>
  <si>
    <t>-490.154818471445 186.877119244846 -221.853964903275</t>
  </si>
  <si>
    <t>-667.057666264607 46.0750371879533 -103.199868595776</t>
  </si>
  <si>
    <t>-684.941006855804 72.0990696352569 299.115472094088</t>
  </si>
  <si>
    <t>-701.695741413076 100.532349909991 745.691393365717</t>
  </si>
  <si>
    <t>-557.179538757053 121.014384759636 807.196262360664</t>
  </si>
  <si>
    <t>-599.693074983898 -142.301442111581 304.716374351936</t>
  </si>
  <si>
    <t>-605.729455173112 -143.290193823451 752.583625370946</t>
  </si>
  <si>
    <t>-470.597406676465 -182.285551193074 825.42576073633</t>
  </si>
  <si>
    <t>9763-20170724T104424.985073300.bin</t>
  </si>
  <si>
    <t>-670.460618794467 97.808777170736 -549.806321339451</t>
  </si>
  <si>
    <t>-721.493215068046 130.965744420621 -261.904394055985</t>
  </si>
  <si>
    <t>-490.833508767586 188.344641329754 -222.475392674237</t>
  </si>
  <si>
    <t>-668.540611299816 46.2844629077156 -103.227205145727</t>
  </si>
  <si>
    <t>-686.501179946757 72.3850774024754 299.079678779007</t>
  </si>
  <si>
    <t>-701.729059637405 100.658925561635 745.707550407591</t>
  </si>
  <si>
    <t>-557.210632628294 120.992414010408 807.256472986895</t>
  </si>
  <si>
    <t>-600.718346012485 -142.165817737847 304.708935734505</t>
  </si>
  <si>
    <t>-605.698064386306 -143.323124705413 752.603866485558</t>
  </si>
  <si>
    <t>-470.586556041935 -182.403467866552 825.438693320032</t>
  </si>
  <si>
    <t>9763-20170724T104425.052252900.bin</t>
  </si>
  <si>
    <t>-668.37159561225 98.0226311378906 -550.537473749785</t>
  </si>
  <si>
    <t>-722.043456159453 131.428548748913 -263.144790244002</t>
  </si>
  <si>
    <t>-491.769596916957 190.405846530805 -223.819034119544</t>
  </si>
  <si>
    <t>-670.805569780004 46.3208023436362 -103.247793564016</t>
  </si>
  <si>
    <t>-688.695091983898 72.7905988053017 299.03818732598</t>
  </si>
  <si>
    <t>-701.852802465028 100.835929822629 745.738839237141</t>
  </si>
  <si>
    <t>-557.34371063594 121.040888694777 807.351955464659</t>
  </si>
  <si>
    <t>-601.998258638783 -142.200458666607 304.757498155058</t>
  </si>
  <si>
    <t>-605.620873154388 -143.444020208015 752.639881456526</t>
  </si>
  <si>
    <t>-470.496585392605 -182.513696317591 825.456643979305</t>
  </si>
  <si>
    <t>9763-20170724T104425.085885200.bin</t>
  </si>
  <si>
    <t>-667.630855704708 97.8752468050229 -550.769910655309</t>
  </si>
  <si>
    <t>-722.119526029133 131.46092205781 -263.551862817055</t>
  </si>
  <si>
    <t>-491.94942986719 190.980909181928 -224.437083747829</t>
  </si>
  <si>
    <t>-671.575729916849 46.2007816164514 -103.244404509333</t>
  </si>
  <si>
    <t>-689.426999349638 72.8028092297996 299.03450696598</t>
  </si>
  <si>
    <t>-701.869680075908 100.871860571644 745.732137322983</t>
  </si>
  <si>
    <t>-557.367990919297 121.08441341933 807.360112661841</t>
  </si>
  <si>
    <t>-602.406622085319 -142.317993392934 304.780806816998</t>
  </si>
  <si>
    <t>-605.577413278743 -143.636618696166 752.657604172804</t>
  </si>
  <si>
    <t>-470.430949913793 -182.636763011962 825.470527498762</t>
  </si>
  <si>
    <t>9763-20170724T104425.151058700.bin</t>
  </si>
  <si>
    <t>-666.777862748755 97.5863597570467 -550.990108726557</t>
  </si>
  <si>
    <t>-721.987808936869 131.371964223997 -263.933299636833</t>
  </si>
  <si>
    <t>-491.890696633773 191.620108625273 -225.510385515091</t>
  </si>
  <si>
    <t>-672.408805538652 45.765646301692 -103.181396657356</t>
  </si>
  <si>
    <t>-690.389938393863 72.758891589966 299.065683316646</t>
  </si>
  <si>
    <t>-701.926910696126 100.925726118341 745.733669757663</t>
  </si>
  <si>
    <t>-557.45301569702 121.297515903167 807.374265066208</t>
  </si>
  <si>
    <t>-602.764225985638 -142.52897839513 304.802057337685</t>
  </si>
  <si>
    <t>-605.468696142961 -143.562261014509 752.671920892953</t>
  </si>
  <si>
    <t>-470.418448642835 -182.878546409046 825.493354318769</t>
  </si>
  <si>
    <t>9763-20170724T104425.183675100.bin</t>
  </si>
  <si>
    <t>-666.77423343618 97.3686105754477 -550.972457327414</t>
  </si>
  <si>
    <t>-722.017726063776 131.081004675885 -263.913544083403</t>
  </si>
  <si>
    <t>-491.901874932645 191.643366579725 -226.101308599114</t>
  </si>
  <si>
    <t>-672.668122895276 45.5208306034899 -103.147970710012</t>
  </si>
  <si>
    <t>-690.692946793304 72.6378615558435 299.088817012647</t>
  </si>
  <si>
    <t>-702.002778396702 101.04725621122 745.741013176839</t>
  </si>
  <si>
    <t>-557.504507049223 121.218766395783 807.390529410603</t>
  </si>
  <si>
    <t>-602.783362552876 -142.839984294778 304.8145336072</t>
  </si>
  <si>
    <t>-605.42333899717 -143.770114170244 752.684207199541</t>
  </si>
  <si>
    <t>-470.206629221261 -182.551773958967 825.483372557148</t>
  </si>
  <si>
    <t>9763-20170724T104425.252858600.bin</t>
  </si>
  <si>
    <t>-667.537656169104 96.7723758945583 -550.775200699795</t>
  </si>
  <si>
    <t>-722.028108488167 130.168718574101 -263.535363205994</t>
  </si>
  <si>
    <t>-491.823999936848 191.165461267274 -226.979398235048</t>
  </si>
  <si>
    <t>-672.780076205478 44.8703207361145 -103.077167768327</t>
  </si>
  <si>
    <t>-690.883242655007 72.2094020391592 299.141053147523</t>
  </si>
  <si>
    <t>-702.123278874111 101.189271206869 745.786933346333</t>
  </si>
  <si>
    <t>-557.602880524703 121.194936704001 807.438596775998</t>
  </si>
  <si>
    <t>-602.457868413792 -143.339627815335 304.815051983126</t>
  </si>
  <si>
    <t>-605.323601493207 -143.948171023469 752.697829179418</t>
  </si>
  <si>
    <t>-470.07844079932 -182.65143820806 825.485896699113</t>
  </si>
  <si>
    <t>9763-20170724T104425.284988400.bin</t>
  </si>
  <si>
    <t>-668.076812810852 96.458217231507 -550.554179518547</t>
  </si>
  <si>
    <t>-721.886335892564 129.552717365363 -263.151282615404</t>
  </si>
  <si>
    <t>-491.645727480332 190.787661171382 -227.228953038062</t>
  </si>
  <si>
    <t>-672.534317295106 44.3781541309454 -103.030121647177</t>
  </si>
  <si>
    <t>-690.65549643341 71.8509330994223 299.178195042629</t>
  </si>
  <si>
    <t>-702.118910131439 101.101481040137 745.805647389492</t>
  </si>
  <si>
    <t>-557.666952555383 121.63059946465 807.44555485742</t>
  </si>
  <si>
    <t>-602.112213513006 -143.63671235309 304.816213309903</t>
  </si>
  <si>
    <t>-605.272368330152 -143.927354981138 752.701548222214</t>
  </si>
  <si>
    <t>-470.049025778481 -182.708213398357 825.488893222455</t>
  </si>
  <si>
    <t>9763-20170724T104425.349159100.bin</t>
  </si>
  <si>
    <t>-669.541000360565 96.2956504948452 -549.860407644544</t>
  </si>
  <si>
    <t>-721.401867157113 128.593931970055 -262.009009033067</t>
  </si>
  <si>
    <t>-491.027730181313 190.313498090683 -227.814200924981</t>
  </si>
  <si>
    <t>-671.73977743657 43.7357470799539 -102.931383954732</t>
  </si>
  <si>
    <t>-689.943058272175 71.3936960899762 299.260558332893</t>
  </si>
  <si>
    <t>-702.207633737403 101.119664379165 745.83167086348</t>
  </si>
  <si>
    <t>-557.721754637927 121.446324930373 807.459163650965</t>
  </si>
  <si>
    <t>-601.190076983744 -144.20668755385 304.854292530667</t>
  </si>
  <si>
    <t>-605.184574914345 -143.892939480889 752.726872186546</t>
  </si>
  <si>
    <t>-470.002464156313 -182.865731912015 825.488141089076</t>
  </si>
  <si>
    <t>9763-20170724T104425.385765400.bin</t>
  </si>
  <si>
    <t>-670.44945776314 96.1831623336755 -549.444956952555</t>
  </si>
  <si>
    <t>-721.022507382346 127.947075166742 -261.305153749622</t>
  </si>
  <si>
    <t>-490.579015988157 189.95751203141 -228.117845559976</t>
  </si>
  <si>
    <t>-671.217013803602 43.531009790242 -102.880629595831</t>
  </si>
  <si>
    <t>-689.519581468166 71.1680159611383 299.30820677348</t>
  </si>
  <si>
    <t>-702.383068042651 101.268312551188 745.843121913021</t>
  </si>
  <si>
    <t>-557.891245627405 121.588220838003 807.45901619907</t>
  </si>
  <si>
    <t>-600.675968010914 -144.482968836533 304.875206569138</t>
  </si>
  <si>
    <t>-605.131237814891 -143.870796094011 752.741260160131</t>
  </si>
  <si>
    <t>-469.941321157291 -182.842241414201 825.488991581528</t>
  </si>
  <si>
    <t>9763-20170724T104425.450937500.bin</t>
  </si>
  <si>
    <t>-672.686127881964 95.6024860114928 -548.54366510891</t>
  </si>
  <si>
    <t>-720.414520917019 126.123455896936 -259.784793992393</t>
  </si>
  <si>
    <t>-489.747134054643 188.482248530372 -228.885161143499</t>
  </si>
  <si>
    <t>-669.676943886201 42.8400817435331 -102.803703538574</t>
  </si>
  <si>
    <t>-688.217199003872 70.4945299834742 299.373096891372</t>
  </si>
  <si>
    <t>-702.467087024291 101.276228953569 745.823596971488</t>
  </si>
  <si>
    <t>-557.970627626856 121.657309896485 807.408256575386</t>
  </si>
  <si>
    <t>-599.551557649206 -145.181574657078 304.921331751573</t>
  </si>
  <si>
    <t>-605.04322138458 -144.270219546975 752.77758729588</t>
  </si>
  <si>
    <t>-469.738245029632 -182.907139467068 825.489558415475</t>
  </si>
  <si>
    <t>9763-20170724T104425.494648600.bin</t>
  </si>
  <si>
    <t>-674.067706974349 95.1760396541551 -548.079093003078</t>
  </si>
  <si>
    <t>-720.059903783324 125.153828414309 -258.981658356282</t>
  </si>
  <si>
    <t>-489.262137972634 187.609531802424 -229.273859955973</t>
  </si>
  <si>
    <t>-668.735395390401 42.5128285347143 -102.788172640823</t>
  </si>
  <si>
    <t>-687.388847838092 70.1415765616873 299.385146626931</t>
  </si>
  <si>
    <t>-702.522746177372 101.29443054787 745.796980560008</t>
  </si>
  <si>
    <t>-558.051077127981 121.92861880178 807.355617785605</t>
  </si>
  <si>
    <t>-598.919641192545 -145.453895698694 304.939376618986</t>
  </si>
  <si>
    <t>-604.993034079197 -144.265028000034 752.788161731764</t>
  </si>
  <si>
    <t>-469.590213842254 -182.595157361475 825.480349193129</t>
  </si>
  <si>
    <t>9763-20170724T104425.550798300.bin</t>
  </si>
  <si>
    <t>-676.981221648644 94.7196577615534 -547.01020089961</t>
  </si>
  <si>
    <t>-719.19928720688 123.349238777593 -257.201181221385</t>
  </si>
  <si>
    <t>-488.139105320581 186.152121667527 -230.408431710525</t>
  </si>
  <si>
    <t>-666.555750901131 41.9836520288277 -102.74505775828</t>
  </si>
  <si>
    <t>-685.489334623584 69.4995113198165 299.422906314197</t>
  </si>
  <si>
    <t>-702.629299337487 101.231551848104 745.737933328237</t>
  </si>
  <si>
    <t>-558.119298590174 121.753427551174 807.244119691629</t>
  </si>
  <si>
    <t>-597.261373328219 -145.931511319621 304.968294782997</t>
  </si>
  <si>
    <t>-604.899007268156 -144.49918905668 752.807858315079</t>
  </si>
  <si>
    <t>-469.396308831278 -182.520712788296 825.476229290799</t>
  </si>
  <si>
    <t>9763-20170724T104425.584905300.bin</t>
  </si>
  <si>
    <t>-678.254482820402 94.7417754106175 -546.387844331472</t>
  </si>
  <si>
    <t>-718.545937635473 122.601021158999 -256.229884315415</t>
  </si>
  <si>
    <t>-487.3890812747 185.689026676628 -230.985001027189</t>
  </si>
  <si>
    <t>-665.315530027417 41.8465001073398 -102.719068143726</t>
  </si>
  <si>
    <t>-684.423724812334 69.2807886431467 299.446175561812</t>
  </si>
  <si>
    <t>-702.691167968924 101.238847573011 745.700376189308</t>
  </si>
  <si>
    <t>-558.202878461501 122.028351906604 807.167728242809</t>
  </si>
  <si>
    <t>-596.386625691816 -146.060941623346 304.984201831916</t>
  </si>
  <si>
    <t>-604.851593979991 -144.462020024854 752.815549780159</t>
  </si>
  <si>
    <t>-469.348809701376 -182.502176593867 825.473918499629</t>
  </si>
  <si>
    <t>9763-20170724T104425.653083800.bin</t>
  </si>
  <si>
    <t>-680.314314373851 95.186638362638 -544.984080040613</t>
  </si>
  <si>
    <t>-716.923804108331 121.378539621133 -254.183552305409</t>
  </si>
  <si>
    <t>-485.685388023707 185.309275036091 -231.99035183738</t>
  </si>
  <si>
    <t>-662.761159712992 41.7553255013149 -102.658564653138</t>
  </si>
  <si>
    <t>-682.19475122655 68.8078105264101 299.516984488756</t>
  </si>
  <si>
    <t>-702.780204966958 101.117177056976 745.647596835292</t>
  </si>
  <si>
    <t>-558.211025198194 121.534821052562 807.049430337675</t>
  </si>
  <si>
    <t>-594.766974018936 -146.181385232595 305.016196473382</t>
  </si>
  <si>
    <t>-604.764970499218 -144.393269689314 752.801673370292</t>
  </si>
  <si>
    <t>-469.332878854377 -182.671561158276 825.466659036782</t>
  </si>
  <si>
    <t>9763-20170724T104425.683761900.bin</t>
  </si>
  <si>
    <t>-680.878150068038 95.466909777834 -544.273688030865</t>
  </si>
  <si>
    <t>-715.854216324542 120.952015113006 -253.209483714703</t>
  </si>
  <si>
    <t>-484.582800524546 185.228360793363 -232.400655848369</t>
  </si>
  <si>
    <t>-661.450568043403 41.781082795374 -102.634306967557</t>
  </si>
  <si>
    <t>-681.085567144379 68.5823691493779 299.548242020268</t>
  </si>
  <si>
    <t>-702.824216701662 101.079833232109 745.630589010051</t>
  </si>
  <si>
    <t>-558.264921383994 121.681966772102 806.993891106346</t>
  </si>
  <si>
    <t>-594.03377972644 -146.400457211756 305.021888373685</t>
  </si>
  <si>
    <t>-604.730773001001 -144.565188444992 752.7994750056</t>
  </si>
  <si>
    <t>-469.061793068533 -182.05717209744 825.432577722522</t>
  </si>
  <si>
    <t>9763-20170724T104425.756465900.bin</t>
  </si>
  <si>
    <t>-681.531785109562 96.749217238045 -543.017699543188</t>
  </si>
  <si>
    <t>-713.799964783484 121.083242301938 -251.542531119171</t>
  </si>
  <si>
    <t>-482.465413882809 185.792640573437 -232.890027371862</t>
  </si>
  <si>
    <t>-659.124002087702 42.2608919890927 -102.610633145236</t>
  </si>
  <si>
    <t>-678.917408693167 68.488332893829 299.601967407163</t>
  </si>
  <si>
    <t>-702.906854399684 101.047168869202 745.596130554748</t>
  </si>
  <si>
    <t>-558.378167660739 122.057346062961 806.893119617962</t>
  </si>
  <si>
    <t>-592.795856003832 -146.356845886209 305.029555683877</t>
  </si>
  <si>
    <t>-604.672430411907 -144.550665983027 752.779090669876</t>
  </si>
  <si>
    <t>-469.077014576309 -182.297492683865 825.417617561817</t>
  </si>
  <si>
    <t>9763-20170724T104425.785723600.bin</t>
  </si>
  <si>
    <t>-681.79123551417 97.5722664748887 -542.474268051865</t>
  </si>
  <si>
    <t>-712.833979371194 121.439651232309 -250.827462587732</t>
  </si>
  <si>
    <t>-481.460214340327 186.272653416322 -233.115132020031</t>
  </si>
  <si>
    <t>-658.084457947258 42.5797198617536 -102.609350386493</t>
  </si>
  <si>
    <t>-677.957262315053 68.5078578169887 299.618768227738</t>
  </si>
  <si>
    <t>-702.921982290045 100.979390565264 745.580154603988</t>
  </si>
  <si>
    <t>-558.341721653228 121.674978727412 806.862605651892</t>
  </si>
  <si>
    <t>-592.229765844036 -146.231266721666 305.030351479792</t>
  </si>
  <si>
    <t>-604.641103382779 -144.376669301843 752.761881537731</t>
  </si>
  <si>
    <t>-469.108670166133 -182.332845256187 825.408848142506</t>
  </si>
  <si>
    <t>9763-20170724T104425.850897200.bin</t>
  </si>
  <si>
    <t>-682.436875541091 98.9942194268774 -541.517279845655</t>
  </si>
  <si>
    <t>-710.968342504553 122.112658396847 -249.553726559673</t>
  </si>
  <si>
    <t>-479.495423758182 187.077048855628 -233.717684240591</t>
  </si>
  <si>
    <t>-656.230244115388 43.2133228253354 -102.614161996296</t>
  </si>
  <si>
    <t>-676.43870422541 68.6696739341796 299.627428127281</t>
  </si>
  <si>
    <t>-702.962260049673 100.925135547578 745.539275456082</t>
  </si>
  <si>
    <t>-558.3456943578 121.411304150218 806.806200777143</t>
  </si>
  <si>
    <t>-591.131687974116 -146.114733619121 305.036726647575</t>
  </si>
  <si>
    <t>-604.593081964966 -144.432024852607 752.740341197773</t>
  </si>
  <si>
    <t>-469.016855067513 -182.236603178931 825.38471505947</t>
  </si>
  <si>
    <t>9763-20170724T104425.887520700.bin</t>
  </si>
  <si>
    <t>-682.816321829216 99.5970014107795 -541.099899277279</t>
  </si>
  <si>
    <t>-710.059790080829 122.528658587656 -248.998651974255</t>
  </si>
  <si>
    <t>-478.509894991889 187.441947504137 -234.106312995796</t>
  </si>
  <si>
    <t>-655.449399151528 43.5631822958455 -102.614860414038</t>
  </si>
  <si>
    <t>-675.896016955164 68.8535620940745 299.625113513156</t>
  </si>
  <si>
    <t>-702.980571045748 100.916953977973 745.515953693676</t>
  </si>
  <si>
    <t>-558.365426562237 121.439931322409 806.773977590647</t>
  </si>
  <si>
    <t>-590.629348120124 -145.985969964669 305.041627195357</t>
  </si>
  <si>
    <t>-604.561875469801 -144.430786303936 752.725261332341</t>
  </si>
  <si>
    <t>-468.985879736823 -182.222296086775 825.376798290091</t>
  </si>
  <si>
    <t>9763-20170724T104425.949685700.bin</t>
  </si>
  <si>
    <t>-683.10592861162 100.556432360888 -540.546280947758</t>
  </si>
  <si>
    <t>-708.385532533329 123.361495513207 -248.258627944423</t>
  </si>
  <si>
    <t>-476.702119244411 188.12327779716 -234.858110313087</t>
  </si>
  <si>
    <t>-654.147946612893 44.4119225866359 -102.648128194009</t>
  </si>
  <si>
    <t>-675.046870548741 69.291767249498 299.594213717129</t>
  </si>
  <si>
    <t>-703.033956863105 101.016167054908 745.463363215257</t>
  </si>
  <si>
    <t>-558.435180755012 121.679201614885 806.713057078594</t>
  </si>
  <si>
    <t>-589.746579297442 -145.532741572629 305.045534693164</t>
  </si>
  <si>
    <t>-604.511148246537 -144.416027431432 752.696462462793</t>
  </si>
  <si>
    <t>-468.936511693713 -182.187401781532 825.36096856367</t>
  </si>
  <si>
    <t>9763-20170724T104425.991806900.bin</t>
  </si>
  <si>
    <t>-682.895111757839 100.902123024856 -540.406427686913</t>
  </si>
  <si>
    <t>-707.470256098607 123.703259765621 -248.058378490165</t>
  </si>
  <si>
    <t>-475.72076290986 188.333826393608 -235.175869972647</t>
  </si>
  <si>
    <t>-653.443959637312 44.8023426755408 -102.681097539477</t>
  </si>
  <si>
    <t>-674.593569745599 69.4831286640374 299.560446052911</t>
  </si>
  <si>
    <t>-703.052319034236 101.055844757102 745.434506914148</t>
  </si>
  <si>
    <t>-558.465305502934 121.794991221077 806.686193894779</t>
  </si>
  <si>
    <t>-589.27520965696 -145.17472839326 305.037612611313</t>
  </si>
  <si>
    <t>-604.482684595103 -144.312397625977 752.671449428639</t>
  </si>
  <si>
    <t>-468.912676402742 -182.073440969056 825.350007522371</t>
  </si>
  <si>
    <t>9763-20170724T104426.052969400.bin</t>
  </si>
  <si>
    <t>-682.385206147124 101.603972522939 -540.130672061317</t>
  </si>
  <si>
    <t>-705.969186045587 124.581173158868 -247.714768383067</t>
  </si>
  <si>
    <t>-474.101844627041 188.956883154126 -235.708272151344</t>
  </si>
  <si>
    <t>-652.05552494926 45.5996837732735 -102.756164253227</t>
  </si>
  <si>
    <t>-673.537865317684 70.0480667698773 299.481908432378</t>
  </si>
  <si>
    <t>-703.103158697121 101.184675533813 745.352185680301</t>
  </si>
  <si>
    <t>-558.521718747564 121.980687076013 806.597833967048</t>
  </si>
  <si>
    <t>-588.18623777576 -144.667371862086 305.042401424884</t>
  </si>
  <si>
    <t>-604.427527194728 -144.332548344275 752.629671324398</t>
  </si>
  <si>
    <t>-468.81174825004 -181.883489207313 825.331656846601</t>
  </si>
  <si>
    <t>9763-20170724T104426.085565400.bin</t>
  </si>
  <si>
    <t>-682.003362294792 102.216435187281 -539.99842015481</t>
  </si>
  <si>
    <t>-705.230292387799 125.350553198237 -247.566201012061</t>
  </si>
  <si>
    <t>-473.312201696088 189.614970555898 -235.947175091145</t>
  </si>
  <si>
    <t>-651.408514017331 46.2179377165496 -102.809565641627</t>
  </si>
  <si>
    <t>-672.942657446238 70.3700358671663 299.443659196314</t>
  </si>
  <si>
    <t>-703.122037481574 101.197488514519 745.298734667152</t>
  </si>
  <si>
    <t>-558.501368357315 121.725977845083 806.542021219298</t>
  </si>
  <si>
    <t>-587.690922557862 -144.307187140072 305.043913920968</t>
  </si>
  <si>
    <t>-604.398328639242 -144.215903213828 752.607980312834</t>
  </si>
  <si>
    <t>-468.777512109444 -181.718177984874 825.325789215326</t>
  </si>
  <si>
    <t>9763-20170724T104426.150738200.bin</t>
  </si>
  <si>
    <t>-681.255244438668 103.918127718714 -539.707623797725</t>
  </si>
  <si>
    <t>-704.018011143143 126.944568281338 -247.230592436496</t>
  </si>
  <si>
    <t>-471.922620626557 190.718915976888 -236.48684646615</t>
  </si>
  <si>
    <t>-650.063166096113 47.6428170855911 -102.866557108653</t>
  </si>
  <si>
    <t>-671.68743469529 71.0303849468783 299.426930152935</t>
  </si>
  <si>
    <t>-703.155375318366 101.240269282146 745.221743616932</t>
  </si>
  <si>
    <t>-558.520946075106 121.735357545238 806.443650867336</t>
  </si>
  <si>
    <t>-586.696326955717 -143.387027101981 305.01522644781</t>
  </si>
  <si>
    <t>-604.346538674475 -144.235751477241 752.539218819556</t>
  </si>
  <si>
    <t>-468.80701667712 -181.923563492237 825.312623013448</t>
  </si>
  <si>
    <t>9763-20170724T104426.183410300.bin</t>
  </si>
  <si>
    <t>-680.86970997156 104.630064306737 -539.526368779397</t>
  </si>
  <si>
    <t>-703.476755745544 127.400015661973 -247.01699448693</t>
  </si>
  <si>
    <t>-471.276804813448 190.874264572942 -236.766608997672</t>
  </si>
  <si>
    <t>-649.207062257462 48.2041582935437 -102.871626921596</t>
  </si>
  <si>
    <t>-671.012351030714 71.3788744436151 299.42446258915</t>
  </si>
  <si>
    <t>-703.171258249814 101.260221741426 745.187371708192</t>
  </si>
  <si>
    <t>-558.530547530941 121.733872606358 806.401625754491</t>
  </si>
  <si>
    <t>-586.086435295936 -142.945009294102 305.007194379082</t>
  </si>
  <si>
    <t>-604.325329581878 -144.076961732533 752.504666929203</t>
  </si>
  <si>
    <t>-468.865271704895 -181.998952895719 825.304425984519</t>
  </si>
  <si>
    <t>9763-20170724T104426.251591300.bin</t>
  </si>
  <si>
    <t>-679.88966985992 105.918741433295 -539.271469902643</t>
  </si>
  <si>
    <t>-702.115650443571 128.044206616567 -246.683558780846</t>
  </si>
  <si>
    <t>-469.699211611865 190.818846651499 -237.048859909141</t>
  </si>
  <si>
    <t>-647.239704378669 49.4842644901005 -102.86257481702</t>
  </si>
  <si>
    <t>-669.557851596779 71.9762094186417 299.444094594104</t>
  </si>
  <si>
    <t>-703.20261559174 101.311359545038 745.138300743304</t>
  </si>
  <si>
    <t>-558.564600291209 121.879081826767 806.327439697833</t>
  </si>
  <si>
    <t>-585.012131406182 -142.340865345815 305.00836130737</t>
  </si>
  <si>
    <t>-604.296700094654 -144.147773119355 752.453827120775</t>
  </si>
  <si>
    <t>-468.746663341587 -181.712607992598 825.271294776381</t>
  </si>
  <si>
    <t>9763-20170724T104426.283684400.bin</t>
  </si>
  <si>
    <t>-679.504097828803 106.553907804756 -539.127195675016</t>
  </si>
  <si>
    <t>-701.404532822136 128.660035131184 -246.51316695239</t>
  </si>
  <si>
    <t>-468.844506485826 190.936824572356 -237.114716620946</t>
  </si>
  <si>
    <t>-646.088623097243 50.1476704521704 -102.83480883624</t>
  </si>
  <si>
    <t>-668.713638772957 72.2747497507321 299.474934947932</t>
  </si>
  <si>
    <t>-703.206961633286 101.281491542496 745.117723682594</t>
  </si>
  <si>
    <t>-558.55603900835 121.815392243795 806.287562297879</t>
  </si>
  <si>
    <t>-584.418345940656 -141.826492146698 305.014887043713</t>
  </si>
  <si>
    <t>-604.276417345748 -143.829847082499 752.42106597333</t>
  </si>
  <si>
    <t>-468.899216371068 -181.951165868759 825.270796053715</t>
  </si>
  <si>
    <t>9763-20170724T104426.349860500.bin</t>
  </si>
  <si>
    <t>-678.928922866912 107.902767845869 -538.828584989489</t>
  </si>
  <si>
    <t>-700.508871428841 129.591620230258 -246.159609284316</t>
  </si>
  <si>
    <t>-467.634788240465 190.755452682155 -237.243340088821</t>
  </si>
  <si>
    <t>-643.671417398263 51.5024790384646 -102.780253702064</t>
  </si>
  <si>
    <t>-666.732408314114 72.6556024333768 299.557198793971</t>
  </si>
  <si>
    <t>-703.203544389272 101.15986584536 745.101398621687</t>
  </si>
  <si>
    <t>-558.542655416999 121.836147575387 806.199793517775</t>
  </si>
  <si>
    <t>-582.847420841519 -140.886786132612 305.017999745728</t>
  </si>
  <si>
    <t>-604.250151426664 -143.593728640211 752.342365847809</t>
  </si>
  <si>
    <t>-468.946569313321 -181.884680825185 825.239858530644</t>
  </si>
  <si>
    <t>9763-20170724T104426.387504800.bin</t>
  </si>
  <si>
    <t>-678.532630471535 108.454427475889 -538.655644737978</t>
  </si>
  <si>
    <t>-699.927222788816 129.984134068314 -245.961281254147</t>
  </si>
  <si>
    <t>-466.888459908453 190.565073543554 -237.37436757584</t>
  </si>
  <si>
    <t>-642.247894939154 51.9662937405633 -102.731354803829</t>
  </si>
  <si>
    <t>-665.59297237568 72.7449682299289 299.609220862594</t>
  </si>
  <si>
    <t>-703.203203498679 101.098688763299 745.087431897436</t>
  </si>
  <si>
    <t>-558.527125752084 121.806007638091 806.139296982623</t>
  </si>
  <si>
    <t>-581.94310447954 -140.45856879413 305.026774321622</t>
  </si>
  <si>
    <t>-604.240169514586 -143.449026692556 752.300188404135</t>
  </si>
  <si>
    <t>-469.080249622511 -182.169626499263 825.237203972868</t>
  </si>
  <si>
    <t>9763-20170724T104426.452678000.bin</t>
  </si>
  <si>
    <t>-678.001510113607 109.418530435173 -538.201683775931</t>
  </si>
  <si>
    <t>-698.881310792054 130.710398465072 -245.452913492493</t>
  </si>
  <si>
    <t>-465.563024809268 190.279103330348 -237.38987507449</t>
  </si>
  <si>
    <t>-639.549520206357 52.7715860355574 -102.620854880736</t>
  </si>
  <si>
    <t>-663.405395675647 72.7303229971174 299.73125578041</t>
  </si>
  <si>
    <t>-703.182036989805 100.926764950357 745.050974269494</t>
  </si>
  <si>
    <t>-558.495973247314 121.844867114901 806.007427037247</t>
  </si>
  <si>
    <t>-580.090538497546 -139.810757444403 305.056495064014</t>
  </si>
  <si>
    <t>-604.216422546622 -143.116507601849 752.209036090294</t>
  </si>
  <si>
    <t>-469.186341553487 -182.156760472141 825.21601185979</t>
  </si>
  <si>
    <t>9763-20170724T104426.488276100.bin</t>
  </si>
  <si>
    <t>-678.107615044231 109.765258014333 -537.9833377958</t>
  </si>
  <si>
    <t>-698.561080386464 130.933644481052 -245.195500725313</t>
  </si>
  <si>
    <t>-465.140247498087 190.152763386473 -237.535718637645</t>
  </si>
  <si>
    <t>-638.46032515289 53.1305690727552 -102.617766621311</t>
  </si>
  <si>
    <t>-662.471051898456 72.7399257386585 299.742297194709</t>
  </si>
  <si>
    <t>-703.16851640726 100.859478145978 744.963845649913</t>
  </si>
  <si>
    <t>-558.447491711982 121.644696807535 805.882711170418</t>
  </si>
  <si>
    <t>-579.242085612834 -139.548633492297 305.055514984951</t>
  </si>
  <si>
    <t>-604.21912069406 -143.04110904832 752.1625103304</t>
  </si>
  <si>
    <t>-469.231769354255 -182.17986555428 825.19593774939</t>
  </si>
  <si>
    <t>9763-20170724T104426.551444300.bin</t>
  </si>
  <si>
    <t>-678.805358782519 109.884862948272 -537.545727692615</t>
  </si>
  <si>
    <t>-698.01037267193 130.912902863475 -244.6632004428</t>
  </si>
  <si>
    <t>-464.504880763235 189.944855290043 -238.23913600101</t>
  </si>
  <si>
    <t>-636.653678551651 53.7514944496725 -102.613153575569</t>
  </si>
  <si>
    <t>-660.857215170986 72.755213628885 299.764461555572</t>
  </si>
  <si>
    <t>-703.12767932918 100.819209103612 744.90786278429</t>
  </si>
  <si>
    <t>-558.408129087882 121.722243071561 805.789925877545</t>
  </si>
  <si>
    <t>-577.794194728255 -139.176762654618 305.101408420916</t>
  </si>
  <si>
    <t>-604.252043207622 -143.012691185407 752.114560333989</t>
  </si>
  <si>
    <t>-469.221253903202 -181.988061779338 825.154985790062</t>
  </si>
  <si>
    <t>9763-20170724T104426.587149300.bin</t>
  </si>
  <si>
    <t>-679.253746826181 109.844855829059 -537.31685456745</t>
  </si>
  <si>
    <t>-697.572291503874 130.957054505777 -244.383540975919</t>
  </si>
  <si>
    <t>-464.043856996579 189.980517376179 -238.763534257831</t>
  </si>
  <si>
    <t>-635.866343145365 53.9512003492734 -102.586893332299</t>
  </si>
  <si>
    <t>-660.134392411718 72.8492849156908 299.791767188799</t>
  </si>
  <si>
    <t>-703.111543598718 100.884023834886 744.889184053149</t>
  </si>
  <si>
    <t>-558.442518623418 122.12660593461 805.773726729318</t>
  </si>
  <si>
    <t>-577.123803821028 -139.008302814207 305.126714175158</t>
  </si>
  <si>
    <t>-604.266571187261 -142.899740651959 752.100535396614</t>
  </si>
  <si>
    <t>-469.333375289541 -182.192712646086 825.151091546834</t>
  </si>
  <si>
    <t>9763-20170724T104426.649311900.bin</t>
  </si>
  <si>
    <t>-680.262729397424 109.744573858827 -536.835143778866</t>
  </si>
  <si>
    <t>-696.717261619356 131.283219758092 -243.822326031452</t>
  </si>
  <si>
    <t>-463.200902157553 190.500044614806 -240.037380259823</t>
  </si>
  <si>
    <t>-634.696850794534 54.3331227412161 -102.563895349036</t>
  </si>
  <si>
    <t>-658.755957101044 72.9055833836078 299.84247651235</t>
  </si>
  <si>
    <t>-703.087424219795 100.898517365763 744.827568860071</t>
  </si>
  <si>
    <t>-558.451458698865 122.442686258588 805.684568431421</t>
  </si>
  <si>
    <t>-575.856719990202 -138.75185026454 305.205996033079</t>
  </si>
  <si>
    <t>-604.298754839431 -142.937317710621 752.083020690402</t>
  </si>
  <si>
    <t>-469.296115116088 -181.996924375035 825.130644128594</t>
  </si>
  <si>
    <t>9763-20170724T104426.687996100.bin</t>
  </si>
  <si>
    <t>-680.603748029347 109.762716610195 -536.637833104177</t>
  </si>
  <si>
    <t>-696.445882754869 131.426002028646 -243.600462124708</t>
  </si>
  <si>
    <t>-462.943846543816 190.747733295216 -240.664414472836</t>
  </si>
  <si>
    <t>-634.245715698894 54.4422013766912 -102.55898537672</t>
  </si>
  <si>
    <t>-658.056258690943 72.9019547034573 299.867354906185</t>
  </si>
  <si>
    <t>-703.0721290074 100.851026272511 744.786041269993</t>
  </si>
  <si>
    <t>-558.431861461111 122.446916121715 805.614526586894</t>
  </si>
  <si>
    <t>-575.323649793371 -138.642674046463 305.241640426311</t>
  </si>
  <si>
    <t>-604.310068851638 -142.949172722718 752.064522995097</t>
  </si>
  <si>
    <t>-469.258883158401 -181.827418677012 825.11893763184</t>
  </si>
  <si>
    <t>9763-20170724T104426.754171800.bin</t>
  </si>
  <si>
    <t>-681.298142114437 109.868096792776 -536.419307968911</t>
  </si>
  <si>
    <t>-696.072240189535 131.987830162167 -243.360267754805</t>
  </si>
  <si>
    <t>-462.53982163295 191.232678685853 -241.485892218167</t>
  </si>
  <si>
    <t>-633.701459738963 54.94749617303 -102.605549944901</t>
  </si>
  <si>
    <t>-656.884562262459 73.0064758513533 299.875605056727</t>
  </si>
  <si>
    <t>-703.037081345921 100.760120820691 744.693536688633</t>
  </si>
  <si>
    <t>-558.364369824875 122.277595033558 805.472735083326</t>
  </si>
  <si>
    <t>-574.587155890297 -138.38911174045 305.281130375126</t>
  </si>
  <si>
    <t>-604.340791336371 -142.890962667926 752.042274506236</t>
  </si>
  <si>
    <t>-469.298068226287 -181.769886835477 825.11206214022</t>
  </si>
  <si>
    <t>9763-20170724T104426.784267300.bin</t>
  </si>
  <si>
    <t>-681.67028691325 109.909359766371 -536.345976685394</t>
  </si>
  <si>
    <t>-695.90816011439 132.201165409295 -243.273341995372</t>
  </si>
  <si>
    <t>-462.354121825931 191.372909903903 -241.829114584992</t>
  </si>
  <si>
    <t>-633.538483801641 55.1642744122823 -102.630587596785</t>
  </si>
  <si>
    <t>-656.515632286963 73.1111411929594 299.867428395607</t>
  </si>
  <si>
    <t>-703.022280985359 100.748881352258 744.650805409546</t>
  </si>
  <si>
    <t>-558.378982455669 122.528407498151 805.406578216636</t>
  </si>
  <si>
    <t>-574.379716126161 -138.251378952017 305.295383419925</t>
  </si>
  <si>
    <t>-604.368577196681 -142.914394465003 752.034470576311</t>
  </si>
  <si>
    <t>-469.319057620936 -181.765296998391 825.106591637436</t>
  </si>
  <si>
    <t>9763-20170724T104426.853449400.bin</t>
  </si>
  <si>
    <t>-682.3969187152 110.172788301835 -536.228905769916</t>
  </si>
  <si>
    <t>-695.739075751226 132.530284372404 -243.119163467826</t>
  </si>
  <si>
    <t>-462.127211774117 191.488162159936 -242.529203045523</t>
  </si>
  <si>
    <t>-633.45746018466 55.5338350092788 -102.677689817031</t>
  </si>
  <si>
    <t>-656.239000954714 73.2703120985925 299.840742023272</t>
  </si>
  <si>
    <t>-702.972340439448 100.686223160218 744.595150286934</t>
  </si>
  <si>
    <t>-558.312670553045 122.423202858064 805.327186366975</t>
  </si>
  <si>
    <t>-574.380229209096 -137.933292892211 305.270591893883</t>
  </si>
  <si>
    <t>-604.401199915961 -142.640867439121 752.003580506132</t>
  </si>
  <si>
    <t>-469.450626935551 -181.783456962268 825.102793277088</t>
  </si>
  <si>
    <t>9763-20170724T104426.884137700.bin</t>
  </si>
  <si>
    <t>-682.815680477932 110.220253689812 -536.210789046471</t>
  </si>
  <si>
    <t>-695.806960050645 132.767500308516 -243.099856691079</t>
  </si>
  <si>
    <t>-462.1317038714 191.47607887026 -242.844100671975</t>
  </si>
  <si>
    <t>-633.556154335095 55.6811959441088 -102.709239162213</t>
  </si>
  <si>
    <t>-656.262911571121 73.3663689010905 299.815712687844</t>
  </si>
  <si>
    <t>-702.944733518942 100.671646224303 744.574969593461</t>
  </si>
  <si>
    <t>-558.261106101089 122.243227862905 805.308843186069</t>
  </si>
  <si>
    <t>-574.526327976528 -137.835016568667 305.257841888493</t>
  </si>
  <si>
    <t>-604.431348974516 -142.665134329282 752.002118414108</t>
  </si>
  <si>
    <t>-469.520526839523 -181.935029598671 825.106454170841</t>
  </si>
  <si>
    <t>9763-20170724T104426.951318700.bin</t>
  </si>
  <si>
    <t>-683.521330492459 110.169552647143 -536.317338537288</t>
  </si>
  <si>
    <t>-696.026815944945 133.061777991944 -243.212009377304</t>
  </si>
  <si>
    <t>-462.269119013385 191.440837758684 -243.528884462088</t>
  </si>
  <si>
    <t>-634.012041417441 55.8899627236465 -102.778495544751</t>
  </si>
  <si>
    <t>-656.479848277644 73.4541481845165 299.765130046832</t>
  </si>
  <si>
    <t>-702.867291666041 100.650257144033 744.563706150391</t>
  </si>
  <si>
    <t>-558.197067708866 122.208842014078 805.334301906328</t>
  </si>
  <si>
    <t>-574.987331817461 -137.721820509137 305.223597578674</t>
  </si>
  <si>
    <t>-604.494156242208 -142.691243307422 752.007630782723</t>
  </si>
  <si>
    <t>-469.549155775989 -181.866084634818 825.099881924454</t>
  </si>
  <si>
    <t>9763-20170724T104426.987146000.bin</t>
  </si>
  <si>
    <t>-683.8715628987 110.182714319419 -536.379219274105</t>
  </si>
  <si>
    <t>-696.279117212951 133.28189583058 -243.286029762462</t>
  </si>
  <si>
    <t>-462.489629591737 191.532107893768 -243.798559351119</t>
  </si>
  <si>
    <t>-634.307043574697 55.9227750988341 -102.799778112488</t>
  </si>
  <si>
    <t>-656.566116483814 73.4588404795434 299.756605984213</t>
  </si>
  <si>
    <t>-702.812632352002 100.59504440681 744.569856410628</t>
  </si>
  <si>
    <t>-558.110144349109 121.835394187415 805.375607629681</t>
  </si>
  <si>
    <t>-575.285946936221 -137.707892747129 305.20387972113</t>
  </si>
  <si>
    <t>-604.525424505455 -142.7344647019 752.009236324108</t>
  </si>
  <si>
    <t>-469.544174482276 -181.796258244977 825.095005992857</t>
  </si>
  <si>
    <t>9763-20170724T104427.056330900.bin</t>
  </si>
  <si>
    <t>-685.304547813427 109.921604478141 -536.553328807596</t>
  </si>
  <si>
    <t>-697.632725650806 133.495977426534 -243.494306726379</t>
  </si>
  <si>
    <t>-463.749992672268 191.368267203114 -244.197824650119</t>
  </si>
  <si>
    <t>-635.127647742539 55.9168088644644 -102.858867863134</t>
  </si>
  <si>
    <t>-656.571472677357 73.5327382977093 299.73837249644</t>
  </si>
  <si>
    <t>-702.75237223273 100.632648053718 744.58495377777</t>
  </si>
  <si>
    <t>-558.040663952827 121.705680672927 805.42683013315</t>
  </si>
  <si>
    <t>-575.844897042255 -137.557070476071 305.138600629667</t>
  </si>
  <si>
    <t>-604.582677416677 -142.659201553997 752.006871920504</t>
  </si>
  <si>
    <t>-469.60093318979 -181.73136199164 825.086264344099</t>
  </si>
  <si>
    <t>9763-20170724T104427.086932500.bin</t>
  </si>
  <si>
    <t>-686.167453326763 109.673206504144 -536.639171784444</t>
  </si>
  <si>
    <t>-698.399371322487 133.476489187897 -243.594721785938</t>
  </si>
  <si>
    <t>-464.444041061917 191.054129435451 -244.35919467575</t>
  </si>
  <si>
    <t>-635.576730427063 55.8565223275891 -102.89387542811</t>
  </si>
  <si>
    <t>-656.628127486474 73.6179105662277 299.717624297025</t>
  </si>
  <si>
    <t>-702.731004664666 100.654535954132 744.577548479412</t>
  </si>
  <si>
    <t>-558.025184481881 121.733111402682 805.431537747286</t>
  </si>
  <si>
    <t>-576.161674725236 -137.452901499257 305.129227092924</t>
  </si>
  <si>
    <t>-604.618336379077 -142.589222588183 752.01196119847</t>
  </si>
  <si>
    <t>-469.676413708545 -181.800320582705 825.090375253112</t>
  </si>
  <si>
    <t>9763-20170724T104427.151102800.bin</t>
  </si>
  <si>
    <t>-687.827896470528 109.2306972958 -536.740303149694</t>
  </si>
  <si>
    <t>-699.803117516842 133.31417575076 -243.708364084962</t>
  </si>
  <si>
    <t>-465.734595350265 190.427033346518 -244.679262838437</t>
  </si>
  <si>
    <t>-636.382165032304 55.690186064119 -102.932474892275</t>
  </si>
  <si>
    <t>-656.993192811225 73.7250187173031 299.689706407256</t>
  </si>
  <si>
    <t>-702.680736596774 100.666680684864 744.563491209936</t>
  </si>
  <si>
    <t>-557.979977043349 121.72301217693 805.437428592707</t>
  </si>
  <si>
    <t>-576.876018572595 -137.523227704236 305.120044685854</t>
  </si>
  <si>
    <t>-604.675878233827 -142.73491623637 752.037665539314</t>
  </si>
  <si>
    <t>-469.630454079969 -181.620087696606 825.098971984773</t>
  </si>
  <si>
    <t>9763-20170724T104427.189149100.bin</t>
  </si>
  <si>
    <t>-688.473476209849 109.014118869592 -536.778802204844</t>
  </si>
  <si>
    <t>-700.360798092676 133.199894983815 -243.751576598352</t>
  </si>
  <si>
    <t>-466.249283140634 190.134989626429 -244.790503112517</t>
  </si>
  <si>
    <t>-636.786716549436 55.6055670459027 -102.950117303237</t>
  </si>
  <si>
    <t>-657.237063143575 73.7252021327652 299.676414026882</t>
  </si>
  <si>
    <t>-702.664549271903 100.690905617025 744.567511627219</t>
  </si>
  <si>
    <t>-557.962024012024 121.717916190893 805.447246163315</t>
  </si>
  <si>
    <t>-577.243685985798 -137.624619226699 305.106287971894</t>
  </si>
  <si>
    <t>-604.707280620848 -142.949711923579 752.054514033041</t>
  </si>
  <si>
    <t>-469.561222627447 -181.51084495266 825.101648331434</t>
  </si>
  <si>
    <t>9763-20170724T104427.252317000.bin</t>
  </si>
  <si>
    <t>-689.022824272951 109.070329946039 -536.786636901258</t>
  </si>
  <si>
    <t>-700.838813403475 133.300677607293 -243.760181761178</t>
  </si>
  <si>
    <t>-466.713970322138 190.178750945904 -244.915353708774</t>
  </si>
  <si>
    <t>-637.317359923498 55.5004068625724 -102.979652206259</t>
  </si>
  <si>
    <t>-657.52368055254 73.8140433901237 299.650477248183</t>
  </si>
  <si>
    <t>-702.617107493355 100.649119716604 744.572868493012</t>
  </si>
  <si>
    <t>-557.889951862055 121.494408853082 805.45661769276</t>
  </si>
  <si>
    <t>-577.699110710663 -137.445059896663 305.102423375407</t>
  </si>
  <si>
    <t>-604.744243835266 -142.616230446772 752.071108110407</t>
  </si>
  <si>
    <t>-469.766558887406 -181.747419628618 825.126392899454</t>
  </si>
  <si>
    <t>9763-20170724T104427.284056400.bin</t>
  </si>
  <si>
    <t>-689.026507144867 109.199367683575 -536.75740248259</t>
  </si>
  <si>
    <t>-700.83225953742 133.54129333752 -243.739893600207</t>
  </si>
  <si>
    <t>-466.702208733055 190.398208409333 -244.882635063832</t>
  </si>
  <si>
    <t>-637.549352870183 55.5780854875352 -102.986393307015</t>
  </si>
  <si>
    <t>-657.442815894344 73.8001577254847 299.663385442274</t>
  </si>
  <si>
    <t>-702.603126302009 100.656542925 744.577330347296</t>
  </si>
  <si>
    <t>-557.915893979992 121.806419070751 805.450678585206</t>
  </si>
  <si>
    <t>-577.775879036115 -137.279389418648 305.094097142966</t>
  </si>
  <si>
    <t>-604.760663528725 -142.423557318417 752.074041877153</t>
  </si>
  <si>
    <t>-469.970202356392 -182.163805906712 825.14606951139</t>
  </si>
  <si>
    <t>9763-20170724T104427.349230300.bin</t>
  </si>
  <si>
    <t>-688.573260190809 108.960413370824 -536.788421812139</t>
  </si>
  <si>
    <t>-700.779975561679 133.655146328308 -243.816831180838</t>
  </si>
  <si>
    <t>-466.59320335167 190.280470466289 -244.811482855307</t>
  </si>
  <si>
    <t>-637.987744897797 55.381581422806 -102.995662273409</t>
  </si>
  <si>
    <t>-657.112802091281 73.53098944831 299.694712737672</t>
  </si>
  <si>
    <t>-702.551669879922 100.582343415839 744.593456346444</t>
  </si>
  <si>
    <t>-557.820277371094 121.436383167862 805.464033946464</t>
  </si>
  <si>
    <t>-577.751695844305 -137.193736509233 305.08444118198</t>
  </si>
  <si>
    <t>-604.802382474445 -142.417595294463 752.068916674581</t>
  </si>
  <si>
    <t>-469.868999599196 -181.695843711868 825.127197539957</t>
  </si>
  <si>
    <t>9763-20170724T104427.387336300.bin</t>
  </si>
  <si>
    <t>-688.331313628889 108.835453524593 -536.838299421119</t>
  </si>
  <si>
    <t>-700.760338005433 133.591738263332 -243.881091992649</t>
  </si>
  <si>
    <t>-466.529314611627 190.036413546379 -244.726629028686</t>
  </si>
  <si>
    <t>-638.157802788514 55.1799996721134 -102.973802669314</t>
  </si>
  <si>
    <t>-657.036345050422 73.4627144622666 299.722176092225</t>
  </si>
  <si>
    <t>-702.526205644505 100.529322332046 744.601985971668</t>
  </si>
  <si>
    <t>-557.794560496875 121.402838853932 805.46532494573</t>
  </si>
  <si>
    <t>-577.776330816791 -137.136972376103 305.074813754886</t>
  </si>
  <si>
    <t>-604.820103791358 -142.36189713439 752.058447511534</t>
  </si>
  <si>
    <t>-469.973594046376 -181.907415950301 825.132936018471</t>
  </si>
  <si>
    <t>9763-20170724T104427.451507300.bin</t>
  </si>
  <si>
    <t>-688.236273727753 108.990043053704 -536.812527490751</t>
  </si>
  <si>
    <t>-700.793651634106 133.893114837502 -243.87335654708</t>
  </si>
  <si>
    <t>-466.511291008914 190.125296186806 -244.650988335433</t>
  </si>
  <si>
    <t>-638.577597409943 55.1588915694144 -102.914938944687</t>
  </si>
  <si>
    <t>-657.613921981605 73.6022122115814 299.766199012772</t>
  </si>
  <si>
    <t>-702.487330123783 100.474634278979 744.65143835371</t>
  </si>
  <si>
    <t>-557.701918110835 120.99049374303 805.508491485596</t>
  </si>
  <si>
    <t>-578.198558533859 -137.212924760285 305.04627566531</t>
  </si>
  <si>
    <t>-604.863140387538 -142.460089820054 752.058094985491</t>
  </si>
  <si>
    <t>-469.958594913036 -181.81221128733 825.129652485237</t>
  </si>
  <si>
    <t>9763-20170724T104427.488611100.bin</t>
  </si>
  <si>
    <t>-688.309115159994 109.318064839161 -536.784634509861</t>
  </si>
  <si>
    <t>-700.862036721509 134.30161492177 -243.852104637704</t>
  </si>
  <si>
    <t>-466.558617979913 190.443847299029 -244.772450163481</t>
  </si>
  <si>
    <t>-638.803468761328 55.3479451342143 -102.883315625531</t>
  </si>
  <si>
    <t>-658.065037837209 73.7521306997892 299.788932038932</t>
  </si>
  <si>
    <t>-702.475716992253 100.487913546622 744.702620105776</t>
  </si>
  <si>
    <t>-557.701877618244 121.105426550295 805.552720235226</t>
  </si>
  <si>
    <t>-578.454790708557 -137.099115154681 305.035345346895</t>
  </si>
  <si>
    <t>-604.885776484068 -142.510905671259 752.062791550441</t>
  </si>
  <si>
    <t>-469.993704733433 -181.906771908967 825.133926557086</t>
  </si>
  <si>
    <t>9763-20170724T104427.551781400.bin</t>
  </si>
  <si>
    <t>-688.468915929698 110.094028465438 -536.812899760868</t>
  </si>
  <si>
    <t>-701.295593378284 134.952218335081 -243.881550330738</t>
  </si>
  <si>
    <t>-466.914571208965 190.76011947331 -245.253403283711</t>
  </si>
  <si>
    <t>-639.066008066044 55.7226715575794 -102.838571446142</t>
  </si>
  <si>
    <t>-658.710565752406 73.9615208055336 299.822748985517</t>
  </si>
  <si>
    <t>-702.440938312269 100.487378425781 744.824087799528</t>
  </si>
  <si>
    <t>-557.683951928095 121.248857743809 805.665535036926</t>
  </si>
  <si>
    <t>-578.790544905684 -136.661446910266 304.988436878328</t>
  </si>
  <si>
    <t>-604.920351007612 -142.420310680336 752.04336923663</t>
  </si>
  <si>
    <t>-470.15104500749 -182.189934574036 825.138519356901</t>
  </si>
  <si>
    <t>9763-20170724T104427.585883100.bin</t>
  </si>
  <si>
    <t>-688.586446653782 110.333294669698 -536.812068157744</t>
  </si>
  <si>
    <t>-701.489404022901 135.158696196241 -243.881284860483</t>
  </si>
  <si>
    <t>-467.075392798266 190.821431866996 -245.489855251447</t>
  </si>
  <si>
    <t>-639.115516151703 55.8215503175484 -102.794414874307</t>
  </si>
  <si>
    <t>-658.929463686656 73.9773414996173 299.862328520566</t>
  </si>
  <si>
    <t>-702.422001731905 100.440898683179 744.884093551255</t>
  </si>
  <si>
    <t>-557.639635375313 121.057875906756 805.714287275872</t>
  </si>
  <si>
    <t>-578.821709260365 -136.552738386378 304.977952798552</t>
  </si>
  <si>
    <t>-604.925867994748 -142.330448836629 752.030929435135</t>
  </si>
  <si>
    <t>-470.059009068156 -181.775974905269 825.121730833444</t>
  </si>
  <si>
    <t>9763-20170724T104427.628997900.bin</t>
  </si>
  <si>
    <t>-688.678366935726 110.61324245366 -536.816056921931</t>
  </si>
  <si>
    <t>-701.662294968422 135.370349880856 -243.883098541247</t>
  </si>
  <si>
    <t>-467.237175118783 190.981333932846 -245.657571005839</t>
  </si>
  <si>
    <t>-639.245113363455 56.0277126951471 -102.749223551607</t>
  </si>
  <si>
    <t>-659.212823782057 74.0543032957044 299.905722463086</t>
  </si>
  <si>
    <t>-702.410886791216 100.42141465688 744.948226652008</t>
  </si>
  <si>
    <t>-557.663261667783 121.343215788096 805.756962252001</t>
  </si>
  <si>
    <t>-578.88364284533 -136.456408586844 304.969640241488</t>
  </si>
  <si>
    <t>-604.942593012645 -142.441594309822 752.030378448529</t>
  </si>
  <si>
    <t>-470.071120741222 -181.865938643987 825.124300622654</t>
  </si>
  <si>
    <t>9763-20170724T104427.683053100.bin</t>
  </si>
  <si>
    <t>-688.809883879489 111.056257915109 -536.843658081824</t>
  </si>
  <si>
    <t>-702.112863205264 135.540585973838 -243.902055698383</t>
  </si>
  <si>
    <t>-467.648906527851 190.984336450797 -245.780711191445</t>
  </si>
  <si>
    <t>-639.724319848432 56.4252696420558 -102.705163240208</t>
  </si>
  <si>
    <t>-659.923186996509 74.2894763861568 299.945451836783</t>
  </si>
  <si>
    <t>-702.359476191727 100.316114843409 745.078100506114</t>
  </si>
  <si>
    <t>-557.529658947278 120.674596888471 805.882389872663</t>
  </si>
  <si>
    <t>-579.280992216403 -136.142896310006 304.937384022028</t>
  </si>
  <si>
    <t>-604.966928385838 -142.374007359493 752.021545428979</t>
  </si>
  <si>
    <t>-470.158193008043 -181.992629832692 825.126050796922</t>
  </si>
  <si>
    <t>9763-20170724T104427.751233800.bin</t>
  </si>
  <si>
    <t>-688.882550313482 111.624304092138 -536.81894275546</t>
  </si>
  <si>
    <t>-702.689158237575 135.830521055743 -243.877633628539</t>
  </si>
  <si>
    <t>-468.216338143787 191.248125711143 -245.379764765742</t>
  </si>
  <si>
    <t>-640.456848478389 56.8912772228393 -102.710797585503</t>
  </si>
  <si>
    <t>-660.43851954326 74.5437089210022 299.960001532495</t>
  </si>
  <si>
    <t>-702.289094177914 100.346021086881 745.198054442207</t>
  </si>
  <si>
    <t>-557.462759618587 120.508925142814 806.075798895592</t>
  </si>
  <si>
    <t>-579.609987928303 -135.810090985722 304.911981772505</t>
  </si>
  <si>
    <t>-604.994396162351 -142.275913843446 752.021530897942</t>
  </si>
  <si>
    <t>-470.205210513199 -181.962337944565 825.125331494767</t>
  </si>
  <si>
    <t>9763-20170724T104427.783326900.bin</t>
  </si>
  <si>
    <t>-688.912735925484 111.74524045627 -536.806178579824</t>
  </si>
  <si>
    <t>-702.832218187079 135.929540737164 -243.86820990326</t>
  </si>
  <si>
    <t>-468.403100950842 191.537714311666 -245.128126395015</t>
  </si>
  <si>
    <t>-640.754965236355 56.9911895365665 -102.708012426163</t>
  </si>
  <si>
    <t>-660.484168487453 74.6271542221198 299.975992901697</t>
  </si>
  <si>
    <t>-702.273127502253 100.412020767482 745.241145812168</t>
  </si>
  <si>
    <t>-557.495313048633 120.831096734811 806.148760316296</t>
  </si>
  <si>
    <t>-579.622101298802 -135.786848540656 304.89473228207</t>
  </si>
  <si>
    <t>-605.007172150782 -142.47744169267 752.023666897852</t>
  </si>
  <si>
    <t>-470.088598057155 -181.741035484404 825.11718491412</t>
  </si>
  <si>
    <t>9763-20170724T104427.850505700.bin</t>
  </si>
  <si>
    <t>-688.816641848238 112.350528056522 -536.758579287866</t>
  </si>
  <si>
    <t>-702.96011419579 136.696677636913 -243.844836607501</t>
  </si>
  <si>
    <t>-468.616415090439 192.664922197994 -245.045191585422</t>
  </si>
  <si>
    <t>-641.182148910062 57.2294429506642 -102.680696868425</t>
  </si>
  <si>
    <t>-660.467097538613 74.8784115029446 300.024244177176</t>
  </si>
  <si>
    <t>-702.258392572339 100.609164364137 745.301872415932</t>
  </si>
  <si>
    <t>-557.567749964901 121.489368215511 806.260212907657</t>
  </si>
  <si>
    <t>-579.642952456042 -135.478513129193 304.870217457244</t>
  </si>
  <si>
    <t>-604.993408383372 -142.118287044543 751.984010364118</t>
  </si>
  <si>
    <t>-470.282318540286 -181.978309185934 825.137298685741</t>
  </si>
  <si>
    <t>9763-20170724T104427.884358100.bin</t>
  </si>
  <si>
    <t>-688.686462575047 112.60521094877 -536.723405330183</t>
  </si>
  <si>
    <t>-702.881393735257 137.193809520785 -243.832476983621</t>
  </si>
  <si>
    <t>-468.551501926545 193.218411358288 -245.109111080936</t>
  </si>
  <si>
    <t>-641.370966299026 57.2705663708769 -102.661724197237</t>
  </si>
  <si>
    <t>-660.402491976522 74.9364679120222 300.054596866336</t>
  </si>
  <si>
    <t>-702.237409233454 100.606447893408 745.330918451682</t>
  </si>
  <si>
    <t>-557.511482705943 121.172211903462 806.312410479759</t>
  </si>
  <si>
    <t>-579.768527237356 -135.587318106108 304.857712535654</t>
  </si>
  <si>
    <t>-605.004365859598 -142.306540798752 751.98354423724</t>
  </si>
  <si>
    <t>-470.098125806665 -181.518199466218 825.127554834785</t>
  </si>
  <si>
    <t>9763-20170724T104427.953541900.bin</t>
  </si>
  <si>
    <t>-688.445951001821 113.387186019593 -536.667205044364</t>
  </si>
  <si>
    <t>-702.550124518808 138.514823423952 -243.817654260065</t>
  </si>
  <si>
    <t>-468.216662686294 194.520012308565 -245.266825529744</t>
  </si>
  <si>
    <t>-641.726904662243 57.6574842367413 -102.62397180764</t>
  </si>
  <si>
    <t>-660.556426877035 75.1662672134457 300.108675350452</t>
  </si>
  <si>
    <t>-702.22630776798 100.610239601137 745.383258417275</t>
  </si>
  <si>
    <t>-557.49651333181 121.148216751902 806.365098903374</t>
  </si>
  <si>
    <t>-580.191708780481 -135.305167285485 304.829201638401</t>
  </si>
  <si>
    <t>-605.006184731614 -141.996915029504 751.973506249374</t>
  </si>
  <si>
    <t>-470.305359645434 -181.835709361723 825.157231864294</t>
  </si>
  <si>
    <t>9763-20170724T104427.983638500.bin</t>
  </si>
  <si>
    <t>-688.350421840788 113.710083876793 -536.635662313833</t>
  </si>
  <si>
    <t>-702.384505395605 138.994927731477 -243.7963082001</t>
  </si>
  <si>
    <t>-468.033723178439 194.922127592349 -245.444924446914</t>
  </si>
  <si>
    <t>-641.807490107799 57.7112058646171 -102.582208723996</t>
  </si>
  <si>
    <t>-660.74741110883 75.2796190986571 300.142638208453</t>
  </si>
  <si>
    <t>-702.21247322222 100.562735746878 745.418099584441</t>
  </si>
  <si>
    <t>-557.448078450744 120.861858252729 806.397693146058</t>
  </si>
  <si>
    <t>-580.320114617664 -135.263413638564 304.815930339277</t>
  </si>
  <si>
    <t>-605.016957388684 -142.009836887409 751.971319230235</t>
  </si>
  <si>
    <t>-470.331075699515 -181.88244200341 825.164185267397</t>
  </si>
  <si>
    <t>9763-20170724T104428.049812400.bin</t>
  </si>
  <si>
    <t>-688.295329289831 114.458366234647 -536.458532036334</t>
  </si>
  <si>
    <t>-702.231244183117 139.74491450785 -243.614585831166</t>
  </si>
  <si>
    <t>-467.825539709555 195.420718272757 -245.857916105394</t>
  </si>
  <si>
    <t>-642.033661646094 58.0103344092918 -102.515263748336</t>
  </si>
  <si>
    <t>-661.201422743575 75.534898460121 300.200715397555</t>
  </si>
  <si>
    <t>-702.200513606609 100.530069994619 745.512428803833</t>
  </si>
  <si>
    <t>-557.404394927714 120.661884412014 806.472157972767</t>
  </si>
  <si>
    <t>-580.426795743833 -135.141479228754 304.811610836177</t>
  </si>
  <si>
    <t>-605.04036387323 -142.067907089977 751.980809238962</t>
  </si>
  <si>
    <t>-470.356393219965 -181.967940349252 825.162109518529</t>
  </si>
  <si>
    <t>9763-20170724T104428.086937000.bin</t>
  </si>
  <si>
    <t>-688.232632631019 114.765600026788 -536.316229706271</t>
  </si>
  <si>
    <t>-702.14149053878 139.857419521455 -243.454302165562</t>
  </si>
  <si>
    <t>-467.73238638953 195.508578573563 -245.937724303019</t>
  </si>
  <si>
    <t>-642.139904878831 58.1381799722431 -102.47832344393</t>
  </si>
  <si>
    <t>-661.385655537195 75.6095706229285 300.23624186907</t>
  </si>
  <si>
    <t>-702.192786993427 100.514393527559 745.570027749255</t>
  </si>
  <si>
    <t>-557.395644650819 120.654246792766 806.524778928431</t>
  </si>
  <si>
    <t>-580.44454470432 -135.065728164867 304.819117731071</t>
  </si>
  <si>
    <t>-605.045149940802 -142.002998396035 751.977116287467</t>
  </si>
  <si>
    <t>-470.337454260725 -181.828005757729 825.155660553994</t>
  </si>
  <si>
    <t>9763-20170724T104428.153113100.bin</t>
  </si>
  <si>
    <t>-688.188932187137 115.636933408236 -536.037729141112</t>
  </si>
  <si>
    <t>-702.092967181888 140.058252418836 -243.118915402352</t>
  </si>
  <si>
    <t>-467.705486610732 195.782914124853 -245.970041978379</t>
  </si>
  <si>
    <t>-642.297931985999 58.5661048841716 -102.421180147804</t>
  </si>
  <si>
    <t>-661.602759744885 75.8288107047572 300.299566473581</t>
  </si>
  <si>
    <t>-702.194949591655 100.561730898044 745.673664595647</t>
  </si>
  <si>
    <t>-557.427200890838 120.95518728373 806.613878263867</t>
  </si>
  <si>
    <t>-580.379338871239 -134.835580372396 304.813786666359</t>
  </si>
  <si>
    <t>-605.047960095226 -141.915110277656 751.961033377652</t>
  </si>
  <si>
    <t>-470.375174884319 -181.833969704358 825.152779131744</t>
  </si>
  <si>
    <t>9763-20170724T104428.187215700.bin</t>
  </si>
  <si>
    <t>-688.178071233043 116.090595839295 -535.885460797999</t>
  </si>
  <si>
    <t>-702.130323211698 140.166506831002 -242.940157790889</t>
  </si>
  <si>
    <t>-467.755631618037 195.935044924722 -245.979823230253</t>
  </si>
  <si>
    <t>-642.324421741624 58.6938048818495 -102.379447842208</t>
  </si>
  <si>
    <t>-661.721778865389 75.914813301797 300.338646674705</t>
  </si>
  <si>
    <t>-702.184075388079 100.517720622204 745.728744900355</t>
  </si>
  <si>
    <t>-557.386437993673 120.715919117589 806.663062911459</t>
  </si>
  <si>
    <t>-580.322142462878 -134.794801922455 304.794909039409</t>
  </si>
  <si>
    <t>-605.046975508844 -141.897388386902 751.947668594704</t>
  </si>
  <si>
    <t>-470.343120694752 -181.701344481359 825.144639515792</t>
  </si>
  <si>
    <t>9763-20170724T104428.253392100.bin</t>
  </si>
  <si>
    <t>-688.30974815534 116.787514754481 -535.533284430426</t>
  </si>
  <si>
    <t>-702.359834628094 140.092755159438 -242.530438718634</t>
  </si>
  <si>
    <t>-468.011453223578 195.955191017845 -245.858480608792</t>
  </si>
  <si>
    <t>-642.427005464892 58.6806859031544 -102.301867810498</t>
  </si>
  <si>
    <t>-661.983433852655 75.9632670149658 300.405864548728</t>
  </si>
  <si>
    <t>-702.179364980548 100.488420796176 745.825284153453</t>
  </si>
  <si>
    <t>-557.403737368487 120.92414198969 806.732690905698</t>
  </si>
  <si>
    <t>-580.231198316507 -134.771798998687 304.769238155275</t>
  </si>
  <si>
    <t>-605.049266181657 -141.818787562637 751.934192061504</t>
  </si>
  <si>
    <t>-470.353147294291 -181.625574536181 825.144025971851</t>
  </si>
  <si>
    <t>9763-20170724T104428.288492000.bin</t>
  </si>
  <si>
    <t>-688.557638828912 116.889855074625 -535.313426021752</t>
  </si>
  <si>
    <t>-702.489767552521 139.980102555287 -242.287949710423</t>
  </si>
  <si>
    <t>-468.148399270687 195.867471114909 -245.693573699405</t>
  </si>
  <si>
    <t>-642.549222740714 58.5425718958741 -102.260625749395</t>
  </si>
  <si>
    <t>-662.011666986911 75.8829302507133 300.449193155197</t>
  </si>
  <si>
    <t>-702.16484788772 100.44475462624 745.872439717311</t>
  </si>
  <si>
    <t>-557.40455607564 121.015244147773 806.770796200254</t>
  </si>
  <si>
    <t>-580.239214633806 -134.765082600271 304.763245245221</t>
  </si>
  <si>
    <t>-605.060546031673 -141.847696616612 751.936971932179</t>
  </si>
  <si>
    <t>-470.374024137402 -181.686541409536 825.147026519498</t>
  </si>
  <si>
    <t>9763-20170724T104428.351659900.bin</t>
  </si>
  <si>
    <t>-689.289090964193 116.79217784077 -534.842942595993</t>
  </si>
  <si>
    <t>-702.804111088 139.757041973681 -241.788049520842</t>
  </si>
  <si>
    <t>-468.439083553852 195.536573123635 -245.327000035379</t>
  </si>
  <si>
    <t>-643.029780678319 58.1029869702165 -102.147025998831</t>
  </si>
  <si>
    <t>-662.048233336386 75.6050615414297 300.576991798349</t>
  </si>
  <si>
    <t>-702.15438416975 100.485158233392 745.986571852008</t>
  </si>
  <si>
    <t>-557.423829559842 121.190198531837 806.910085688153</t>
  </si>
  <si>
    <t>-580.242442751309 -134.962825883133 304.760243618288</t>
  </si>
  <si>
    <t>-605.07177039156 -141.975690488526 751.940733114367</t>
  </si>
  <si>
    <t>-470.307814100936 -181.579359942819 825.135869019555</t>
  </si>
  <si>
    <t>9763-20170724T104428.385698000.bin</t>
  </si>
  <si>
    <t>-689.547942920283 117.110726128134 -534.556625489773</t>
  </si>
  <si>
    <t>-702.83710026071 140.107603471398 -241.493911676949</t>
  </si>
  <si>
    <t>-468.456835466766 195.80968291336 -245.241655445377</t>
  </si>
  <si>
    <t>-643.235229397087 57.9260685072318 -102.107915199123</t>
  </si>
  <si>
    <t>-662.159074398057 75.5377540634888 300.615802349769</t>
  </si>
  <si>
    <t>-702.143890243229 100.488350389886 746.034029891239</t>
  </si>
  <si>
    <t>-557.435644710599 121.287512054246 806.978304522286</t>
  </si>
  <si>
    <t>-580.279581225907 -135.037888453148 304.763740315152</t>
  </si>
  <si>
    <t>-605.072935343928 -141.973570273605 751.946495121325</t>
  </si>
  <si>
    <t>-470.303352861908 -181.55643979543 825.142453925665</t>
  </si>
  <si>
    <t>9763-20170724T104428.447862000.bin</t>
  </si>
  <si>
    <t>-689.832869219978 117.38084713224 -534.116832608537</t>
  </si>
  <si>
    <t>-702.31435005361 141.104898228585 -241.076511968011</t>
  </si>
  <si>
    <t>-468.01958019593 197.100824339145 -245.691773846215</t>
  </si>
  <si>
    <t>-643.555774632897 57.4821005227666 -102.098888608867</t>
  </si>
  <si>
    <t>-662.390234464135 75.4571124073173 300.612958184167</t>
  </si>
  <si>
    <t>-702.126543707968 100.525799579905 746.069515161422</t>
  </si>
  <si>
    <t>-557.429955994542 121.250060962752 807.067080169472</t>
  </si>
  <si>
    <t>-580.462815423056 -135.228196678789 304.799225047921</t>
  </si>
  <si>
    <t>-605.074691965986 -142.007940544206 751.969922707399</t>
  </si>
  <si>
    <t>-470.207115739511 -181.268243507621 825.159239053323</t>
  </si>
  <si>
    <t>9763-20170724T104428.495655400.bin</t>
  </si>
  <si>
    <t>-690.118297385543 117.272316143656 -534.049716762872</t>
  </si>
  <si>
    <t>-701.934844679009 141.491457859356 -241.022479832696</t>
  </si>
  <si>
    <t>-467.72649371599 197.797763156702 -246.211785443274</t>
  </si>
  <si>
    <t>-643.766307500117 57.250911039024 -102.109224824291</t>
  </si>
  <si>
    <t>-662.432714485305 75.3681594562263 300.604029419924</t>
  </si>
  <si>
    <t>-702.126076647687 100.549892721179 746.071201571154</t>
  </si>
  <si>
    <t>-557.436264386357 121.274074150448 807.084900287289</t>
  </si>
  <si>
    <t>-580.568075321325 -135.36074982843 304.81182042858</t>
  </si>
  <si>
    <t>-605.078173993045 -142.136295580314 751.989397356629</t>
  </si>
  <si>
    <t>-470.18996345837 -181.33178884775 825.175362455689</t>
  </si>
  <si>
    <t>9763-20170724T104428.554812900.bin</t>
  </si>
  <si>
    <t>-690.973413600385 117.051725383491 -533.980241050294</t>
  </si>
  <si>
    <t>-701.366808126256 142.353796397106 -240.990560054483</t>
  </si>
  <si>
    <t>-467.354972497625 199.333113967123 -247.521692004133</t>
  </si>
  <si>
    <t>-644.050390705296 56.9053110235704 -102.090433759536</t>
  </si>
  <si>
    <t>-662.451932709372 75.1560285802805 300.629061977148</t>
  </si>
  <si>
    <t>-702.119133565382 100.470655209828 746.067608990054</t>
  </si>
  <si>
    <t>-557.384802022919 120.85822012399 807.088998638643</t>
  </si>
  <si>
    <t>-580.682432214936 -135.400566551993 304.821675602443</t>
  </si>
  <si>
    <t>-605.051299658158 -141.862623527678 751.99393438723</t>
  </si>
  <si>
    <t>-470.243856113689 -181.288208504637 825.205129095597</t>
  </si>
  <si>
    <t>9763-20170724T104428.587906700.bin</t>
  </si>
  <si>
    <t>-691.320682912422 117.065435418245 -533.974183806175</t>
  </si>
  <si>
    <t>-701.089010749562 143.008014845308 -241.019048066492</t>
  </si>
  <si>
    <t>-467.180333117891 200.33982584516 -248.137495966089</t>
  </si>
  <si>
    <t>-644.152857301226 56.8618725193094 -102.077362392886</t>
  </si>
  <si>
    <t>-662.454303137361 75.1436553569197 300.645269323553</t>
  </si>
  <si>
    <t>-702.134845263959 100.508954927315 746.068582280518</t>
  </si>
  <si>
    <t>-557.437620883698 121.165228687767 807.08765638982</t>
  </si>
  <si>
    <t>-580.664214952813 -135.438670656156 304.820625258668</t>
  </si>
  <si>
    <t>-605.044008475234 -141.895003655948 751.998731153535</t>
  </si>
  <si>
    <t>-470.267690788157 -181.408611436898 825.219754362793</t>
  </si>
  <si>
    <t>9763-20170724T104428.649069300.bin</t>
  </si>
  <si>
    <t>-691.63459513151 116.747868420025 -534.087051531776</t>
  </si>
  <si>
    <t>-700.28159924249 144.338852293984 -241.247260074772</t>
  </si>
  <si>
    <t>-466.512590778191 202.123273982695 -249.23960740405</t>
  </si>
  <si>
    <t>-644.325698543366 56.6371302619361 -102.09479337148</t>
  </si>
  <si>
    <t>-662.46820102301 75.1914653430435 300.622595194245</t>
  </si>
  <si>
    <t>-702.143696955276 100.589705509546 746.053159627598</t>
  </si>
  <si>
    <t>-557.45480423848 121.171300380015 807.117340437711</t>
  </si>
  <si>
    <t>-580.538661532626 -135.547761919778 304.849507649698</t>
  </si>
  <si>
    <t>-605.036427294375 -142.033174231874 752.022197732599</t>
  </si>
  <si>
    <t>-470.064291846676 -180.915561269142 825.220480367643</t>
  </si>
  <si>
    <t>9763-20170724T104428.686182600.bin</t>
  </si>
  <si>
    <t>-691.759195414104 116.479358229078 -534.197102109937</t>
  </si>
  <si>
    <t>-699.837920926969 145.074224406817 -241.437473778413</t>
  </si>
  <si>
    <t>-466.087598126047 202.881083888843 -249.805667366414</t>
  </si>
  <si>
    <t>-644.434245249779 56.5371267959906 -102.116233207605</t>
  </si>
  <si>
    <t>-662.452379283768 75.2037100871505 300.601522440413</t>
  </si>
  <si>
    <t>-702.138733678501 100.581141050879 746.031874663504</t>
  </si>
  <si>
    <t>-557.451816235194 121.10935595432 807.118582139601</t>
  </si>
  <si>
    <t>-580.471733272642 -135.517466086008 304.865489682977</t>
  </si>
  <si>
    <t>-605.026610488429 -142.035945381063 752.028573595767</t>
  </si>
  <si>
    <t>-470.073660925618 -180.973268418129 825.232970356429</t>
  </si>
  <si>
    <t>9763-20170724T104428.751348700.bin</t>
  </si>
  <si>
    <t>-692.188514799861 116.140304785218 -534.527049313756</t>
  </si>
  <si>
    <t>-699.159293148827 146.476831053939 -241.914264452377</t>
  </si>
  <si>
    <t>-465.415498707202 204.192554456098 -251.058299072946</t>
  </si>
  <si>
    <t>-644.671403958344 56.6334640604082 -102.152267327652</t>
  </si>
  <si>
    <t>-662.550624540717 75.3775161033473 300.568028924808</t>
  </si>
  <si>
    <t>-702.16704329767 100.673917066383 745.99449447202</t>
  </si>
  <si>
    <t>-557.512096964416 121.357071955112 807.104439076664</t>
  </si>
  <si>
    <t>-580.224263685027 -135.319636046113 304.878220872694</t>
  </si>
  <si>
    <t>-604.99293323238 -141.893379219527 752.021136852917</t>
  </si>
  <si>
    <t>-470.059616536506 -180.862769213246 825.244724455103</t>
  </si>
  <si>
    <t>9763-20170724T104428.782979900.bin</t>
  </si>
  <si>
    <t>-692.452559599599 116.040884920599 -534.723714751449</t>
  </si>
  <si>
    <t>-698.930611843514 147.115592045494 -242.176957237839</t>
  </si>
  <si>
    <t>-465.192662231551 204.806376511637 -251.623554628759</t>
  </si>
  <si>
    <t>-644.817592626471 56.850128812795 -102.177923169562</t>
  </si>
  <si>
    <t>-662.652383409122 75.5302134672347 300.547330517606</t>
  </si>
  <si>
    <t>-702.18500161532 100.71312156207 745.981167891115</t>
  </si>
  <si>
    <t>-557.563166483783 121.613181654257 807.095821028043</t>
  </si>
  <si>
    <t>-580.167218460506 -135.178066045219 304.877658781289</t>
  </si>
  <si>
    <t>-604.990679646075 -141.856384622214 752.024820780261</t>
  </si>
  <si>
    <t>-470.080964274633 -180.910999247874 825.246348073941</t>
  </si>
  <si>
    <t>9763-20170724T104428.853168000.bin</t>
  </si>
  <si>
    <t>-692.630746182862 115.815089013173 -535.172110538566</t>
  </si>
  <si>
    <t>-698.467314388674 148.211415584653 -242.755173128124</t>
  </si>
  <si>
    <t>-464.707871852533 205.78544876744 -252.380499493839</t>
  </si>
  <si>
    <t>-644.980128668455 57.2548261291724 -102.222504184977</t>
  </si>
  <si>
    <t>-662.729383546795 75.8741268170445 300.509369583461</t>
  </si>
  <si>
    <t>-702.217628582863 100.817113628737 745.95927339298</t>
  </si>
  <si>
    <t>-557.636246490083 121.945886356687 807.091102109442</t>
  </si>
  <si>
    <t>-580.052749488974 -134.946152849625 304.891700583486</t>
  </si>
  <si>
    <t>-604.961986711351 -141.982014558335 752.021028022687</t>
  </si>
  <si>
    <t>-470.008047737192 -180.868961418747 825.250429366381</t>
  </si>
  <si>
    <t>9763-20170724T104428.885275600.bin</t>
  </si>
  <si>
    <t>-692.469359144495 115.765850263764 -535.413457042485</t>
  </si>
  <si>
    <t>-698.067420602453 148.759250003605 -243.058649675023</t>
  </si>
  <si>
    <t>-464.264824791614 206.184589386554 -252.522774110373</t>
  </si>
  <si>
    <t>-645.014724748892 57.4605347329043 -102.2563125877</t>
  </si>
  <si>
    <t>-662.703484583912 76.0214408171689 300.480920842454</t>
  </si>
  <si>
    <t>-702.215940474375 100.801608823786 745.946137712664</t>
  </si>
  <si>
    <t>-557.613774220076 121.738912477039 807.094646020267</t>
  </si>
  <si>
    <t>-579.956469268603 -134.79625839248 304.886998501358</t>
  </si>
  <si>
    <t>-604.94447214841 -141.917117919327 752.013952140207</t>
  </si>
  <si>
    <t>-470.002628459413 -180.827533243341 825.253067811286</t>
  </si>
  <si>
    <t>9763-20170724T104428.949446300.bin</t>
  </si>
  <si>
    <t>-692.087471607032 115.825637908499 -535.750452404415</t>
  </si>
  <si>
    <t>-697.482180587054 149.749284625285 -243.498402210454</t>
  </si>
  <si>
    <t>-463.542435225758 206.677052507657 -252.568713166901</t>
  </si>
  <si>
    <t>-644.954915834682 57.746920930181 -102.304736111787</t>
  </si>
  <si>
    <t>-662.551518141755 76.2582695924898 300.438795230697</t>
  </si>
  <si>
    <t>-702.210637953362 100.775152314807 745.912922109273</t>
  </si>
  <si>
    <t>-557.599932219245 121.564062100726 807.09190368343</t>
  </si>
  <si>
    <t>-579.794427529325 -134.549124009293 304.87615853359</t>
  </si>
  <si>
    <t>-604.923285879827 -141.921460854775 752.000183385505</t>
  </si>
  <si>
    <t>-469.983094838248 -180.820254857783 825.248572687196</t>
  </si>
  <si>
    <t>9763-20170724T104429.010199100.bin</t>
  </si>
  <si>
    <t>-691.77581239607 116.159299177861 -535.883971703919</t>
  </si>
  <si>
    <t>-697.065273398654 150.402155386388 -243.667217069452</t>
  </si>
  <si>
    <t>-463.024054916434 206.935745372946 -252.586666322575</t>
  </si>
  <si>
    <t>-644.914581887033 58.0269949178162 -102.317381225827</t>
  </si>
  <si>
    <t>-662.469947043073 76.4773570878397 300.430718706113</t>
  </si>
  <si>
    <t>-702.238939471315 100.808938333746 745.894988159023</t>
  </si>
  <si>
    <t>-557.634710937447 121.655505190326 807.069621361539</t>
  </si>
  <si>
    <t>-579.743425083991 -134.268024185817 304.858778161729</t>
  </si>
  <si>
    <t>-604.900723371631 -141.682805585081 751.980961325325</t>
  </si>
  <si>
    <t>-470.098400889033 -181.015514965745 825.251526710032</t>
  </si>
  <si>
    <t>9763-20170724T104429.023239900.bin</t>
  </si>
  <si>
    <t>-691.657342981166 116.264416192927 -535.914258421029</t>
  </si>
  <si>
    <t>-696.92013386293 150.61516698543 -243.709622332763</t>
  </si>
  <si>
    <t>-462.848177569619 207.028250377027 -252.58529567175</t>
  </si>
  <si>
    <t>-644.886220789635 58.0890624261472 -102.31475582908</t>
  </si>
  <si>
    <t>-662.450079615272 76.5024885811929 300.43466476354</t>
  </si>
  <si>
    <t>-702.227430920132 100.72892686306 745.89314875114</t>
  </si>
  <si>
    <t>-557.571389579583 121.21266206289 807.06798686236</t>
  </si>
  <si>
    <t>-579.759708962875 -134.240420254915 304.849204248136</t>
  </si>
  <si>
    <t>-604.898246014478 -141.726156702832 751.978130168214</t>
  </si>
  <si>
    <t>-470.115610049797 -181.122690799929 825.250632279804</t>
  </si>
  <si>
    <t>9763-20170724T104429.087410200.bin</t>
  </si>
  <si>
    <t>-691.318229416915 116.787563980819 -536.005345632371</t>
  </si>
  <si>
    <t>-696.334766757169 151.522288344384 -243.841780134785</t>
  </si>
  <si>
    <t>-462.162928771154 207.542381168963 -252.569130951653</t>
  </si>
  <si>
    <t>-644.861012821905 58.5598615318397 -102.296462432337</t>
  </si>
  <si>
    <t>-662.424675840681 76.7765129231577 300.461909183989</t>
  </si>
  <si>
    <t>-702.287609016395 100.775697793088 745.901791881771</t>
  </si>
  <si>
    <t>-557.658509754503 121.624945247674 807.016711917215</t>
  </si>
  <si>
    <t>-579.82529912056 -134.137333811888 304.8373112626</t>
  </si>
  <si>
    <t>-604.887431922831 -141.90216419953 751.973259621373</t>
  </si>
  <si>
    <t>-469.899861587679 -180.637660147782 825.220764336022</t>
  </si>
  <si>
    <t>9763-20170724T104429.150577800.bin</t>
  </si>
  <si>
    <t>-690.815865298136 117.475692785014 -536.048739628888</t>
  </si>
  <si>
    <t>-695.752846711441 152.478925886487 -243.91589060637</t>
  </si>
  <si>
    <t>-461.472971977737 208.052520269707 -252.596651968325</t>
  </si>
  <si>
    <t>-644.63947900369 59.0132613646624 -102.26108451984</t>
  </si>
  <si>
    <t>-662.28976263405 77.0700378971201 300.500795661136</t>
  </si>
  <si>
    <t>-702.331474837998 100.713911958164 745.93298047543</t>
  </si>
  <si>
    <t>-557.66112770412 121.480646448552 806.978123911098</t>
  </si>
  <si>
    <t>-579.755260122329 -133.817659129537 304.838239537846</t>
  </si>
  <si>
    <t>-604.86506329156 -141.730067903621 751.961274247851</t>
  </si>
  <si>
    <t>-469.989436938204 -180.825768763002 825.223643129829</t>
  </si>
  <si>
    <t>9763-20170724T104429.187696000.bin</t>
  </si>
  <si>
    <t>-690.503800617984 117.871370588507 -536.031915876395</t>
  </si>
  <si>
    <t>-695.447885944819 152.913332772391 -243.903796066149</t>
  </si>
  <si>
    <t>-461.124254552648 208.286926963389 -252.681636860789</t>
  </si>
  <si>
    <t>-644.474317267542 59.3225945580923 -102.241418273468</t>
  </si>
  <si>
    <t>-662.155714476683 77.2142485614452 300.526435366581</t>
  </si>
  <si>
    <t>-702.352601299153 100.684113291465 745.946542072322</t>
  </si>
  <si>
    <t>-557.6910653681 121.623366075734 806.953851751295</t>
  </si>
  <si>
    <t>-579.701500540531 -133.64435954508 304.834268589704</t>
  </si>
  <si>
    <t>-604.85478892648 -141.61840341238 751.953370739921</t>
  </si>
  <si>
    <t>-470.046142736044 -180.93005006951 825.22358087807</t>
  </si>
  <si>
    <t>9763-20170724T104429.249868100.bin</t>
  </si>
  <si>
    <t>-689.858881714231 118.735587272716 -535.877614901091</t>
  </si>
  <si>
    <t>-694.399287531726 153.495630396624 -243.709189916502</t>
  </si>
  <si>
    <t>-459.995547246278 208.464511010849 -252.884491780126</t>
  </si>
  <si>
    <t>-644.146559139291 59.8156206163944 -102.212491092166</t>
  </si>
  <si>
    <t>-661.802990194977 77.4020926686342 300.569882108896</t>
  </si>
  <si>
    <t>-702.359071784448 100.622557672381 745.99036992122</t>
  </si>
  <si>
    <t>-557.665708721947 121.408707598608 806.974542017169</t>
  </si>
  <si>
    <t>-579.511773012025 -133.360655178984 304.831526222273</t>
  </si>
  <si>
    <t>-604.835990079544 -141.50787302395 751.938232725353</t>
  </si>
  <si>
    <t>-470.135759978006 -181.164993742503 825.221625242331</t>
  </si>
  <si>
    <t>9763-20170724T104429.284494400.bin</t>
  </si>
  <si>
    <t>-689.573691498493 119.105793815707 -535.74706797458</t>
  </si>
  <si>
    <t>-693.748191681837 153.791829576915 -243.564574819443</t>
  </si>
  <si>
    <t>-459.309818664953 208.560466459111 -253.048371306227</t>
  </si>
  <si>
    <t>-643.979164779051 59.9734462647893 -102.184072616977</t>
  </si>
  <si>
    <t>-661.614212073191 77.4465729343503 300.604108009317</t>
  </si>
  <si>
    <t>-702.368966671391 100.633840793658 746.014128099401</t>
  </si>
  <si>
    <t>-557.690912215329 121.545538416133 806.991713423364</t>
  </si>
  <si>
    <t>-579.383926714904 -133.322418205561 304.822276800244</t>
  </si>
  <si>
    <t>-604.831130862235 -141.575790480061 751.931572991217</t>
  </si>
  <si>
    <t>-470.028367661433 -180.900977639522 825.205350869163</t>
  </si>
  <si>
    <t>9763-20170724T104429.353691600.bin</t>
  </si>
  <si>
    <t>-689.271539857217 119.834302405769 -535.444177282748</t>
  </si>
  <si>
    <t>-692.456966802648 154.465614171849 -243.242615329365</t>
  </si>
  <si>
    <t>-457.978586172698 208.917107668367 -253.528784702403</t>
  </si>
  <si>
    <t>-643.754955487562 60.2143752520183 -102.101448810034</t>
  </si>
  <si>
    <t>-661.333045433038 77.5688994385278 300.694417987973</t>
  </si>
  <si>
    <t>-702.35015000048 100.628932328741 746.080797698469</t>
  </si>
  <si>
    <t>-557.66519478247 121.376980224018 807.097796660414</t>
  </si>
  <si>
    <t>-579.162256428462 -133.155675024561 304.805878728294</t>
  </si>
  <si>
    <t>-604.820715886313 -141.586086285712 751.913484506465</t>
  </si>
  <si>
    <t>-470.086516415835 -181.122435630347 825.19961826203</t>
  </si>
  <si>
    <t>9763-20170724T104429.385272400.bin</t>
  </si>
  <si>
    <t>-689.229686630874 120.13854851032 -535.275782195525</t>
  </si>
  <si>
    <t>-691.883011579639 154.948598725583 -243.090090098037</t>
  </si>
  <si>
    <t>-457.403150942066 209.317518577618 -253.770406698603</t>
  </si>
  <si>
    <t>-643.69479028709 60.3598216827761 -102.047355212976</t>
  </si>
  <si>
    <t>-661.273078384292 77.6118708239385 300.752913958934</t>
  </si>
  <si>
    <t>-702.346075407635 100.638631780477 746.129726271025</t>
  </si>
  <si>
    <t>-557.666684958381 121.374034785828 807.164335640792</t>
  </si>
  <si>
    <t>-579.053596654967 -133.07343154389 304.803434123383</t>
  </si>
  <si>
    <t>-604.817679035291 -141.635084098281 751.912360002601</t>
  </si>
  <si>
    <t>-470.050451759436 -181.065764931425 825.194870809848</t>
  </si>
  <si>
    <t>9763-20170724T104429.429390100.bin</t>
  </si>
  <si>
    <t>-689.139815866876 120.495876284113 -535.112437880528</t>
  </si>
  <si>
    <t>-691.277655977215 155.467770161921 -242.941989098671</t>
  </si>
  <si>
    <t>-456.80789998168 209.806760937893 -253.990697807839</t>
  </si>
  <si>
    <t>-643.67307744779 60.4756173381782 -101.991560697687</t>
  </si>
  <si>
    <t>-661.254835173103 77.6574563986972 300.81158223451</t>
  </si>
  <si>
    <t>-702.333851524564 100.61911219758 746.183520091633</t>
  </si>
  <si>
    <t>-557.613332310423 120.994423806681 807.241754040135</t>
  </si>
  <si>
    <t>-578.973787706483 -132.934631783139 304.809169655337</t>
  </si>
  <si>
    <t>-604.804998103713 -141.50922569419 751.902445179788</t>
  </si>
  <si>
    <t>-470.074729629014 -181.051134332661 825.192868714325</t>
  </si>
  <si>
    <t>9763-20170724T104429.485544100.bin</t>
  </si>
  <si>
    <t>-688.734155564471 121.185919852382 -534.854133159401</t>
  </si>
  <si>
    <t>-690.031744155737 156.563619424129 -242.727472164489</t>
  </si>
  <si>
    <t>-455.585906063074 210.88190480408 -254.371572438702</t>
  </si>
  <si>
    <t>-643.564158624467 60.7961325350952 -101.908683948345</t>
  </si>
  <si>
    <t>-661.224007404851 77.874785097282 300.89536925796</t>
  </si>
  <si>
    <t>-702.330922778427 100.638411528452 746.27352103511</t>
  </si>
  <si>
    <t>-557.606050623715 120.892630825249 807.361771046673</t>
  </si>
  <si>
    <t>-578.854477200542 -132.645469877647 304.823171979444</t>
  </si>
  <si>
    <t>-604.78517824826 -141.367329275194 751.892087926316</t>
  </si>
  <si>
    <t>-470.120779317245 -181.105611152997 825.19731969587</t>
  </si>
  <si>
    <t>9763-20170724T104429.552722200.bin</t>
  </si>
  <si>
    <t>-688.406223248146 121.785302140504 -534.694264448242</t>
  </si>
  <si>
    <t>-688.70407581118 157.711386424763 -242.631929721924</t>
  </si>
  <si>
    <t>-454.223106436763 211.791229977082 -254.67072470639</t>
  </si>
  <si>
    <t>-643.49133363747 61.2070517891871 -101.846668482341</t>
  </si>
  <si>
    <t>-661.177536887446 78.1069485061435 300.963830160195</t>
  </si>
  <si>
    <t>-702.337949910548 100.670932701074 746.352512601403</t>
  </si>
  <si>
    <t>-557.626729007868 120.995368655415 807.449779149924</t>
  </si>
  <si>
    <t>-578.707283806858 -132.409938636006 304.83292745573</t>
  </si>
  <si>
    <t>-604.757706290065 -141.354341729643 751.882517887167</t>
  </si>
  <si>
    <t>-470.163909933142 -181.285975228985 825.212393458622</t>
  </si>
  <si>
    <t>9763-20170724T104429.584813200.bin</t>
  </si>
  <si>
    <t>-688.242515004696 122.087785229446 -534.642002179941</t>
  </si>
  <si>
    <t>-688.115958835238 158.169986050627 -242.598797220896</t>
  </si>
  <si>
    <t>-453.596127788539 212.037947430554 -254.827434754008</t>
  </si>
  <si>
    <t>-643.460594420022 61.4207276478032 -101.811234020342</t>
  </si>
  <si>
    <t>-661.157735777149 78.2367570359181 301.002305119172</t>
  </si>
  <si>
    <t>-702.33356922374 100.651036056444 746.395173385605</t>
  </si>
  <si>
    <t>-557.615799332461 120.922397313546 807.494505215884</t>
  </si>
  <si>
    <t>-578.648114680296 -132.27135163506 304.831875246898</t>
  </si>
  <si>
    <t>-604.749155341972 -141.397511923841 751.876805010457</t>
  </si>
  <si>
    <t>-470.169943478131 -181.362546774852 825.215368924883</t>
  </si>
  <si>
    <t>9763-20170724T104429.652998500.bin</t>
  </si>
  <si>
    <t>-688.077926846484 122.651311710275 -534.557778419472</t>
  </si>
  <si>
    <t>-687.485662391101 158.839775923678 -242.528308977894</t>
  </si>
  <si>
    <t>-452.895148205919 212.333519291397 -255.041072025805</t>
  </si>
  <si>
    <t>-643.42180797258 61.845223499641 -101.739624645221</t>
  </si>
  <si>
    <t>-661.137687885495 78.440874191786 301.082087366536</t>
  </si>
  <si>
    <t>-702.347882470144 100.664652218391 746.484365372295</t>
  </si>
  <si>
    <t>-557.593962482438 120.704284300909 807.574530849605</t>
  </si>
  <si>
    <t>-578.599729018818 -132.12247454577 304.824045399826</t>
  </si>
  <si>
    <t>-604.742645007922 -141.62040296518 751.869304308647</t>
  </si>
  <si>
    <t>-470.004527142296 -181.05858625247 825.201156708031</t>
  </si>
  <si>
    <t>9763-20170724T104429.684591600.bin</t>
  </si>
  <si>
    <t>-687.957190150702 122.931792398959 -534.518750136467</t>
  </si>
  <si>
    <t>-687.207106900948 159.215813339197 -242.501404366033</t>
  </si>
  <si>
    <t>-452.585834658163 212.564125575774 -255.058487265727</t>
  </si>
  <si>
    <t>-643.380754067628 62.0423044859567 -101.705672751006</t>
  </si>
  <si>
    <t>-661.147617757872 78.5722372748385 301.116614912749</t>
  </si>
  <si>
    <t>-702.344108588903 100.649192384853 746.528176131671</t>
  </si>
  <si>
    <t>-557.575208331778 120.579851713626 807.618426165001</t>
  </si>
  <si>
    <t>-578.557929222085 -131.992834433721 304.818564741915</t>
  </si>
  <si>
    <t>-604.730395863734 -141.590428256994 751.858599141352</t>
  </si>
  <si>
    <t>-470.036807633298 -181.158899478882 825.202163913181</t>
  </si>
  <si>
    <t>9763-20170724T104429.721690400.bin</t>
  </si>
  <si>
    <t>-687.777699970613 123.224750810819 -534.488799418384</t>
  </si>
  <si>
    <t>-686.829735278687 159.685024326227 -242.494033678319</t>
  </si>
  <si>
    <t>-452.169984191588 212.854391264525 -255.091711348306</t>
  </si>
  <si>
    <t>-643.335590179338 62.268672428851 -101.684247729727</t>
  </si>
  <si>
    <t>-661.12835865759 78.73976421974 301.139281919747</t>
  </si>
  <si>
    <t>-702.347729563706 100.685811320893 746.563665967377</t>
  </si>
  <si>
    <t>-557.578237345153 120.590019158114 807.661251473734</t>
  </si>
  <si>
    <t>-578.533474425768 -131.789470988501 304.822825625775</t>
  </si>
  <si>
    <t>-604.718260880709 -141.388516170011 751.851825639306</t>
  </si>
  <si>
    <t>-470.071579796918 -181.100376119155 825.204021606877</t>
  </si>
  <si>
    <t>9763-20170724T104429.787935200.bin</t>
  </si>
  <si>
    <t>-687.118875827161 123.796431585651 -534.539949371366</t>
  </si>
  <si>
    <t>-685.73290337329 160.726495020483 -242.606045860658</t>
  </si>
  <si>
    <t>-451.017569381613 213.645072345482 -255.223124370851</t>
  </si>
  <si>
    <t>-643.253820674577 62.7779292068499 -101.648770769342</t>
  </si>
  <si>
    <t>-661.080151542499 79.0445178285813 301.18159600333</t>
  </si>
  <si>
    <t>-702.332642239673 100.70943242552 746.635359197333</t>
  </si>
  <si>
    <t>-557.578834264501 120.623211338983 807.766925735479</t>
  </si>
  <si>
    <t>-578.527045627923 -131.489788200489 304.829091540322</t>
  </si>
  <si>
    <t>-604.706867691396 -141.387887288513 751.8488463763</t>
  </si>
  <si>
    <t>-470.106564630032 -181.232842495893 825.213882467511</t>
  </si>
  <si>
    <t>9763-20170724T104429.853108400.bin</t>
  </si>
  <si>
    <t>-686.25367823687 124.222113984013 -534.688214968265</t>
  </si>
  <si>
    <t>-684.73506322318 161.539150631916 -242.804070086099</t>
  </si>
  <si>
    <t>-449.925544575265 214.069012258759 -255.291669444214</t>
  </si>
  <si>
    <t>-643.004684522404 63.1291586675802 -101.585899650275</t>
  </si>
  <si>
    <t>-660.974738393895 79.2766249034632 301.242928161026</t>
  </si>
  <si>
    <t>-702.318011353034 100.730654653639 746.698711710892</t>
  </si>
  <si>
    <t>-557.528814388725 120.278001151773 807.86463976839</t>
  </si>
  <si>
    <t>-578.532642932812 -131.352870093536 304.830220991417</t>
  </si>
  <si>
    <t>-604.694520993682 -141.487872631319 751.840096236652</t>
  </si>
  <si>
    <t>-470.027050338328 -181.09579766086 825.210289915004</t>
  </si>
  <si>
    <t>9763-20170724T104429.886204000.bin</t>
  </si>
  <si>
    <t>-685.83191932673 124.538609601369 -534.727906170273</t>
  </si>
  <si>
    <t>-684.180352792904 162.102357822802 -242.87605578302</t>
  </si>
  <si>
    <t>-449.328216463048 214.432212160685 -255.403391638363</t>
  </si>
  <si>
    <t>-642.929608753722 63.3809415541991 -101.556365766415</t>
  </si>
  <si>
    <t>-660.986974477832 79.4503857607299 301.271614022388</t>
  </si>
  <si>
    <t>-702.311977848399 100.724447267748 746.728411169796</t>
  </si>
  <si>
    <t>-557.527083168027 120.277459007732 807.902770304188</t>
  </si>
  <si>
    <t>-578.590569360699 -131.243138659087 304.826023044323</t>
  </si>
  <si>
    <t>-604.689234582236 -141.478897932251 751.834209544609</t>
  </si>
  <si>
    <t>-470.117546563485 -181.379803137408 825.221234818865</t>
  </si>
  <si>
    <t>9763-20170724T104429.949370100.bin</t>
  </si>
  <si>
    <t>-685.022439170924 125.097412255638 -534.834833396645</t>
  </si>
  <si>
    <t>-683.027837914295 163.022737307956 -243.031898048167</t>
  </si>
  <si>
    <t>-448.116183669579 215.03708076407 -255.755698926943</t>
  </si>
  <si>
    <t>-642.787456142251 63.8805292431505 -101.510911125274</t>
  </si>
  <si>
    <t>-661.091891136007 79.7933664909099 301.312114182762</t>
  </si>
  <si>
    <t>-702.311202128068 100.735882105531 746.790524214153</t>
  </si>
  <si>
    <t>-557.513331855419 120.178969679371 807.969371883044</t>
  </si>
  <si>
    <t>-578.752331736898 -130.955120465841 304.816763578301</t>
  </si>
  <si>
    <t>-604.683766331241 -141.25353503443 751.829860857381</t>
  </si>
  <si>
    <t>-470.183518554128 -181.385018143503 825.222346269819</t>
  </si>
  <si>
    <t>9763-20170724T104429.982464600.bin</t>
  </si>
  <si>
    <t>-684.640237374079 125.334243759309 -534.890746583626</t>
  </si>
  <si>
    <t>-682.552939530264 163.377248679829 -243.103819782926</t>
  </si>
  <si>
    <t>-447.598700132017 215.200703457765 -255.82029451921</t>
  </si>
  <si>
    <t>-642.685545417353 64.1289863869226 -101.496651109353</t>
  </si>
  <si>
    <t>-661.112246116251 79.9325658900341 301.32506646003</t>
  </si>
  <si>
    <t>-702.315207205025 100.75873451164 746.817345045924</t>
  </si>
  <si>
    <t>-557.521751043505 120.251111325707 807.990865446021</t>
  </si>
  <si>
    <t>-578.800329721136 -130.862270070347 304.821305672473</t>
  </si>
  <si>
    <t>-604.67610786879 -141.275997552551 751.823750009481</t>
  </si>
  <si>
    <t>-470.175842742461 -181.392563567874 825.224245793143</t>
  </si>
  <si>
    <t>9763-20170724T104430.051649200.bin</t>
  </si>
  <si>
    <t>-683.678399914828 125.719958966441 -534.968348996762</t>
  </si>
  <si>
    <t>-681.584249856254 164.085663614797 -243.223750166519</t>
  </si>
  <si>
    <t>-446.486802662135 215.321159299935 -255.67392858188</t>
  </si>
  <si>
    <t>-642.262183264446 64.4294148268789 -101.445286586859</t>
  </si>
  <si>
    <t>-660.873995337052 80.133010233106 301.371900137888</t>
  </si>
  <si>
    <t>-702.318010834927 100.733852449206 746.86528109202</t>
  </si>
  <si>
    <t>-557.485415720398 119.991770905307 808.020424194154</t>
  </si>
  <si>
    <t>-578.701764952655 -130.733249394355 304.830900899178</t>
  </si>
  <si>
    <t>-604.672704409878 -141.334411316139 751.82973052241</t>
  </si>
  <si>
    <t>-470.125486469816 -181.289553592942 825.232206816902</t>
  </si>
  <si>
    <t>9763-20170724T104430.085255000.bin</t>
  </si>
  <si>
    <t>-683.245240238647 125.951288253686 -535.00122786304</t>
  </si>
  <si>
    <t>-681.192499808376 164.382040821907 -243.26495617865</t>
  </si>
  <si>
    <t>-446.043735510422 215.414049517787 -255.580248884995</t>
  </si>
  <si>
    <t>-642.035599758943 64.6678857097982 -101.419988696634</t>
  </si>
  <si>
    <t>-660.692434548059 80.2239020886304 301.400846698749</t>
  </si>
  <si>
    <t>-702.327872458374 100.733247961607 746.882554892662</t>
  </si>
  <si>
    <t>-557.517078023205 120.232765315205 808.012774181765</t>
  </si>
  <si>
    <t>-578.646725391017 -130.659865143123 304.844413752301</t>
  </si>
  <si>
    <t>-604.665324167756 -141.292439945146 751.828700023292</t>
  </si>
  <si>
    <t>-470.147640464201 -181.333869278423 825.238350571133</t>
  </si>
  <si>
    <t>9763-20170724T104430.150428900.bin</t>
  </si>
  <si>
    <t>-682.530282131184 126.518761556371 -535.012817149342</t>
  </si>
  <si>
    <t>-680.379769146289 165.055774441723 -243.291230791582</t>
  </si>
  <si>
    <t>-445.164194229808 215.76067198034 -255.680534636917</t>
  </si>
  <si>
    <t>-641.594407508766 65.0345862102549 -101.362006915188</t>
  </si>
  <si>
    <t>-660.259308505027 80.4266355221232 301.46470148653</t>
  </si>
  <si>
    <t>-702.351900389063 100.69251147883 746.915598605378</t>
  </si>
  <si>
    <t>-557.530714428116 120.329222197362 807.977240764135</t>
  </si>
  <si>
    <t>-578.472658454361 -130.499256187671 304.864589349126</t>
  </si>
  <si>
    <t>-604.678908203323 -141.412601541246 751.841088408124</t>
  </si>
  <si>
    <t>-470.219005861374 -181.655740319161 825.246260123456</t>
  </si>
  <si>
    <t>9763-20170724T104430.188613500.bin</t>
  </si>
  <si>
    <t>-682.176077814448 126.760800054381 -535.008499105926</t>
  </si>
  <si>
    <t>-679.92601985991 165.363623476797 -243.296396198402</t>
  </si>
  <si>
    <t>-444.696119527353 215.97675952474 -255.788791943158</t>
  </si>
  <si>
    <t>-641.364134824156 65.1850001736971 -101.334016273901</t>
  </si>
  <si>
    <t>-660.085756997012 80.4859217363676 301.493599844556</t>
  </si>
  <si>
    <t>-702.366198922721 100.664143182781 746.927962704034</t>
  </si>
  <si>
    <t>-557.546087227782 120.438927792366 807.947630011293</t>
  </si>
  <si>
    <t>-578.41598962288 -130.45233784782 304.878324819354</t>
  </si>
  <si>
    <t>-604.68076377478 -141.340062664802 751.8418947624</t>
  </si>
  <si>
    <t>-470.250613767588 -181.691032192659 825.242384347931</t>
  </si>
  <si>
    <t>9763-20170724T104430.249776700.bin</t>
  </si>
  <si>
    <t>-681.493461350286 127.03240166469 -535.01295722559</t>
  </si>
  <si>
    <t>-679.215383341127 165.752897173413 -243.316557616003</t>
  </si>
  <si>
    <t>-443.956830313182 216.186573138775 -255.994343430851</t>
  </si>
  <si>
    <t>-640.897204092907 65.29482184125 -101.26821925636</t>
  </si>
  <si>
    <t>-659.763543742649 80.5040722288693 301.556000693858</t>
  </si>
  <si>
    <t>-702.368049871657 100.565494873059 746.961996524364</t>
  </si>
  <si>
    <t>-557.491337554265 120.08970795476 807.927866291254</t>
  </si>
  <si>
    <t>-578.215207714263 -130.423803672696 304.887045785326</t>
  </si>
  <si>
    <t>-604.693510848409 -141.32373814311 751.852708873786</t>
  </si>
  <si>
    <t>-470.312303514706 -181.866367904051 825.237182516955</t>
  </si>
  <si>
    <t>9763-20170724T104430.283781000.bin</t>
  </si>
  <si>
    <t>-681.188016018316 127.121897627171 -535.006021689042</t>
  </si>
  <si>
    <t>-678.936608339055 165.904971824381 -243.317793067758</t>
  </si>
  <si>
    <t>-443.654753139086 216.222558868808 -256.024715327027</t>
  </si>
  <si>
    <t>-640.680773253818 65.3257972535812 -101.235729557598</t>
  </si>
  <si>
    <t>-659.599436747654 80.500699577223 301.58736961359</t>
  </si>
  <si>
    <t>-702.367825330175 100.552416353523 746.981230760847</t>
  </si>
  <si>
    <t>-557.468108579432 119.950173389331 807.932916037646</t>
  </si>
  <si>
    <t>-578.108424845808 -130.440527780951 304.898567810345</t>
  </si>
  <si>
    <t>-604.7009872308 -141.313119475443 751.856628325419</t>
  </si>
  <si>
    <t>-470.338129511871 -181.937212510364 825.229782195932</t>
  </si>
  <si>
    <t>9763-20170724T104430.349957400.bin</t>
  </si>
  <si>
    <t>-680.79594337611 127.2786909361 -534.939366531494</t>
  </si>
  <si>
    <t>-678.491161466785 166.111034740095 -243.258115515077</t>
  </si>
  <si>
    <t>-443.176836893315 216.270504765205 -255.987970392723</t>
  </si>
  <si>
    <t>-640.362197565156 65.3550146682435 -101.148668995461</t>
  </si>
  <si>
    <t>-659.436217894862 80.4955354105325 301.668418852581</t>
  </si>
  <si>
    <t>-702.391790690603 100.604755003506 747.034298179295</t>
  </si>
  <si>
    <t>-557.546585426076 120.523203497805 807.947502962374</t>
  </si>
  <si>
    <t>-577.948446157345 -130.50206326852 304.908652989815</t>
  </si>
  <si>
    <t>-604.697948372837 -141.264026855479 751.851436792864</t>
  </si>
  <si>
    <t>-470.293391667516 -181.767997856142 825.214483457005</t>
  </si>
  <si>
    <t>9763-20170724T104430.384590100.bin</t>
  </si>
  <si>
    <t>-680.54292196792 127.409853818554 -534.892640564843</t>
  </si>
  <si>
    <t>-678.204532452329 166.137368804572 -243.19778666281</t>
  </si>
  <si>
    <t>-442.861593269067 216.146221114838 -255.990453596222</t>
  </si>
  <si>
    <t>-640.184313902249 65.3723548664648 -101.113888591322</t>
  </si>
  <si>
    <t>-659.302754631437 80.4724110200814 301.702684716559</t>
  </si>
  <si>
    <t>-702.383121647623 100.560955849903 747.057179285216</t>
  </si>
  <si>
    <t>-557.488873671863 120.117735887933 807.971083099686</t>
  </si>
  <si>
    <t>-577.911238915339 -130.497547133212 304.924042537051</t>
  </si>
  <si>
    <t>-604.693138096778 -141.190356916607 751.853601514525</t>
  </si>
  <si>
    <t>-470.3053275621 -181.750449917597 825.21623995149</t>
  </si>
  <si>
    <t>9763-20170724T104430.454777100.bin</t>
  </si>
  <si>
    <t>-680.068626425182 127.669840604917 -534.818670819316</t>
  </si>
  <si>
    <t>-677.803681027731 166.014686690334 -243.072688653231</t>
  </si>
  <si>
    <t>-442.447785357996 215.935758585855 -255.971429186934</t>
  </si>
  <si>
    <t>-639.904963516826 65.3775995264864 -101.072034099335</t>
  </si>
  <si>
    <t>-659.065212482931 80.4732592830253 301.74268634531</t>
  </si>
  <si>
    <t>-702.396188909649 100.590078793487 747.088676761102</t>
  </si>
  <si>
    <t>-557.528398835184 120.427188047359 807.974796925169</t>
  </si>
  <si>
    <t>-577.960426978879 -130.686521332086 304.941920686745</t>
  </si>
  <si>
    <t>-604.709409550609 -141.444131644251 751.876050286947</t>
  </si>
  <si>
    <t>-470.206924525555 -181.669563212124 825.212942143719</t>
  </si>
  <si>
    <t>9763-20170724T104430.487369200.bin</t>
  </si>
  <si>
    <t>-679.956959292644 127.849323666917 -534.77649350483</t>
  </si>
  <si>
    <t>-677.688549353283 166.034272180031 -243.009623583532</t>
  </si>
  <si>
    <t>-442.327198051035 215.921276587707 -255.938146196571</t>
  </si>
  <si>
    <t>-639.808458733609 65.3918479660997 -101.055471979212</t>
  </si>
  <si>
    <t>-658.967407103816 80.4716228282964 301.759896257615</t>
  </si>
  <si>
    <t>-702.391291451444 100.565988839036 747.100853657274</t>
  </si>
  <si>
    <t>-557.498621397671 120.240522868946 807.980304507735</t>
  </si>
  <si>
    <t>-577.926363141267 -130.61907466606 304.936823538381</t>
  </si>
  <si>
    <t>-604.699764817653 -141.256291302536 751.868790964081</t>
  </si>
  <si>
    <t>-470.337746036864 -181.917671718275 825.222758888659</t>
  </si>
  <si>
    <t>9763-20170724T104430.550537800.bin</t>
  </si>
  <si>
    <t>-679.788740548525 128.031799048658 -534.645951235379</t>
  </si>
  <si>
    <t>-677.385596907869 166.063272614105 -242.860004871399</t>
  </si>
  <si>
    <t>-442.013798537674 215.824255071123 -256.082227548541</t>
  </si>
  <si>
    <t>-639.620171821244 65.2817903911957 -101.033095493295</t>
  </si>
  <si>
    <t>-658.855402689826 80.3589900260952 301.77870878046</t>
  </si>
  <si>
    <t>-702.387484809631 100.542319250116 747.109499880971</t>
  </si>
  <si>
    <t>-557.516923956884 120.432148963451 807.97173578035</t>
  </si>
  <si>
    <t>-577.887947541505 -130.736501009565 304.941096914366</t>
  </si>
  <si>
    <t>-604.704077120381 -141.361328082569 751.877561429945</t>
  </si>
  <si>
    <t>-470.310487436974 -181.93009436415 825.224925563694</t>
  </si>
  <si>
    <t>9763-20170724T104430.585401700.bin</t>
  </si>
  <si>
    <t>-679.648231355869 127.991208791098 -534.606495765757</t>
  </si>
  <si>
    <t>-677.024979259179 166.024872977496 -242.822795862716</t>
  </si>
  <si>
    <t>-441.669425922784 215.821767562469 -256.198176222244</t>
  </si>
  <si>
    <t>-639.56985540826 65.1752987623904 -101.024678745973</t>
  </si>
  <si>
    <t>-658.85061915329 80.3020985662877 301.783107188063</t>
  </si>
  <si>
    <t>-702.368705872968 100.504147721364 747.115922789186</t>
  </si>
  <si>
    <t>-557.434461074907 119.871110096691 807.99512181559</t>
  </si>
  <si>
    <t>-577.865689969875 -130.775110945709 304.942361363814</t>
  </si>
  <si>
    <t>-604.705840928783 -141.244836807322 751.882736300626</t>
  </si>
  <si>
    <t>-470.324238874141 -181.86681725761 825.222557437121</t>
  </si>
  <si>
    <t>9763-20170724T104430.649572800.bin</t>
  </si>
  <si>
    <t>-679.419339182561 127.800390259877 -534.560107792629</t>
  </si>
  <si>
    <t>-676.16803880549 166.063861390025 -242.812760591857</t>
  </si>
  <si>
    <t>-440.876864608993 216.06546331476 -256.552056248422</t>
  </si>
  <si>
    <t>-639.554500453388 65.0445068455135 -101.003145377752</t>
  </si>
  <si>
    <t>-658.981134750383 80.3117258120071 301.792381041253</t>
  </si>
  <si>
    <t>-702.367103482952 100.604067710414 747.132441973104</t>
  </si>
  <si>
    <t>-557.474554679418 120.168364087447 808.047731753202</t>
  </si>
  <si>
    <t>-577.886175563911 -130.877727664778 304.962565462951</t>
  </si>
  <si>
    <t>-604.714715527547 -141.354675066597 751.903634971549</t>
  </si>
  <si>
    <t>-470.397194827038 -182.199980398524 825.236788927442</t>
  </si>
  <si>
    <t>9763-20170724T104430.686178300.bin</t>
  </si>
  <si>
    <t>-679.246473741419 127.729984428626 -534.575181320008</t>
  </si>
  <si>
    <t>-675.65238638964 166.234218625605 -242.863405771943</t>
  </si>
  <si>
    <t>-440.399792543212 216.349895727184 -256.845568132334</t>
  </si>
  <si>
    <t>-639.465700464729 64.9798394908464 -100.988236230799</t>
  </si>
  <si>
    <t>-659.068823319915 80.3227279729074 301.795787416056</t>
  </si>
  <si>
    <t>-702.352289682509 100.597840838929 747.138658863801</t>
  </si>
  <si>
    <t>-557.439515623911 119.919700635016 808.083260568958</t>
  </si>
  <si>
    <t>-577.930369349425 -130.869695487201 304.974848833936</t>
  </si>
  <si>
    <t>-604.701570421097 -141.259216359423 751.906671805228</t>
  </si>
  <si>
    <t>-470.411430067595 -182.17964312378 825.248232893447</t>
  </si>
  <si>
    <t>9763-20170724T104430.753356900.bin</t>
  </si>
  <si>
    <t>-679.233820276441 127.597019953553 -534.74954018762</t>
  </si>
  <si>
    <t>-675.060502607869 166.60896329444 -243.113039908218</t>
  </si>
  <si>
    <t>-439.889721914789 217.059575168725 -257.265953300419</t>
  </si>
  <si>
    <t>-639.617753627502 65.0793319212962 -100.981258877275</t>
  </si>
  <si>
    <t>-659.168984308174 80.3721468413944 301.807244452599</t>
  </si>
  <si>
    <t>-702.345690023065 100.681951121176 747.156702828028</t>
  </si>
  <si>
    <t>-557.4797766477 120.23256917063 808.139897510995</t>
  </si>
  <si>
    <t>-577.947065201914 -130.818054233521 304.939716464617</t>
  </si>
  <si>
    <t>-604.666160117117 -141.208180941848 751.886128691671</t>
  </si>
  <si>
    <t>-470.354796196699 -182.004839351706 825.257686898621</t>
  </si>
  <si>
    <t>9763-20170724T104430.788960600.bin</t>
  </si>
  <si>
    <t>-679.219286436908 127.556287876385 -534.824072907699</t>
  </si>
  <si>
    <t>-674.788279341467 166.957598203711 -243.243714040254</t>
  </si>
  <si>
    <t>-439.624826769486 217.426190168351 -257.454601991605</t>
  </si>
  <si>
    <t>-639.68018783107 65.0737855764951 -100.971244459869</t>
  </si>
  <si>
    <t>-659.125328788927 80.4167298779664 301.820453110278</t>
  </si>
  <si>
    <t>-702.334105209502 100.668564352208 747.167216405711</t>
  </si>
  <si>
    <t>-557.466852837075 120.15244071827 808.168552977794</t>
  </si>
  <si>
    <t>-577.927296064368 -130.663587256122 304.93140609559</t>
  </si>
  <si>
    <t>-604.646897022937 -141.033551961269 751.872991102269</t>
  </si>
  <si>
    <t>-470.471016025791 -182.225457004141 825.271520738664</t>
  </si>
  <si>
    <t>9763-20170724T104430.853131700.bin</t>
  </si>
  <si>
    <t>-679.047557044462 127.317559275328 -534.962921281824</t>
  </si>
  <si>
    <t>-674.457589618275 167.352906785255 -243.471405672677</t>
  </si>
  <si>
    <t>-439.278198277793 217.684512189754 -257.90260921608</t>
  </si>
  <si>
    <t>-639.661510626964 65.0546024881364 -100.96257065214</t>
  </si>
  <si>
    <t>-659.054974623509 80.4129965720745 301.831037102383</t>
  </si>
  <si>
    <t>-702.348613840239 100.687495438285 747.166207411153</t>
  </si>
  <si>
    <t>-557.456834270323 120.017165782461 808.158307789729</t>
  </si>
  <si>
    <t>-577.928281509793 -130.800275587177 304.939420277379</t>
  </si>
  <si>
    <t>-604.648454503086 -141.397246374001 751.879472848301</t>
  </si>
  <si>
    <t>-470.216707826607 -181.767638078024 825.266391037735</t>
  </si>
  <si>
    <t>9763-20170724T104430.883726900.bin</t>
  </si>
  <si>
    <t>-679.09973900416 127.283769712837 -535.048854377209</t>
  </si>
  <si>
    <t>-674.428735081468 167.456940615272 -243.577463609492</t>
  </si>
  <si>
    <t>-439.236147774961 217.699739672286 -258.101895054224</t>
  </si>
  <si>
    <t>-639.693838803022 65.1522348899846 -100.965107350093</t>
  </si>
  <si>
    <t>-659.052748480775 80.4593922587346 301.832148136347</t>
  </si>
  <si>
    <t>-702.358654896018 100.668932145594 747.163628550645</t>
  </si>
  <si>
    <t>-557.454439788962 119.97946028158 808.132154013465</t>
  </si>
  <si>
    <t>-577.933037393312 -130.720462777273 304.933483893494</t>
  </si>
  <si>
    <t>-604.639258226332 -141.274911265085 751.875011952891</t>
  </si>
  <si>
    <t>-470.299665913889 -181.928879280253 825.274146229465</t>
  </si>
  <si>
    <t>9763-20170724T104430.952911400.bin</t>
  </si>
  <si>
    <t>-679.387657521978 127.236424267229 -535.15419880913</t>
  </si>
  <si>
    <t>-674.488917819166 167.693350044764 -243.725916624714</t>
  </si>
  <si>
    <t>-439.243611814274 217.651271366517 -258.379634972056</t>
  </si>
  <si>
    <t>-639.865107063314 65.3887451005569 -100.972899414575</t>
  </si>
  <si>
    <t>-659.166528348911 80.6007043273626 301.830658158446</t>
  </si>
  <si>
    <t>-702.38297080087 100.687668860073 747.167060060425</t>
  </si>
  <si>
    <t>-557.456817648145 119.938092835039 808.10252795636</t>
  </si>
  <si>
    <t>-577.977410016986 -130.508998944964 304.924679384867</t>
  </si>
  <si>
    <t>-604.633617505988 -141.297858077732 751.879750647233</t>
  </si>
  <si>
    <t>-470.405272722368 -182.308692767139 825.283710315208</t>
  </si>
  <si>
    <t>9763-20170724T104430.987507100.bin</t>
  </si>
  <si>
    <t>-679.517652220489 127.193845548833 -535.190647350237</t>
  </si>
  <si>
    <t>-674.509721874119 167.711496182356 -243.772672412914</t>
  </si>
  <si>
    <t>-439.245758928093 217.554977089606 -258.515029538038</t>
  </si>
  <si>
    <t>-639.947927981195 65.4843444590142 -100.977165393467</t>
  </si>
  <si>
    <t>-659.207246596061 80.6496936380561 301.830213021389</t>
  </si>
  <si>
    <t>-702.387449847705 100.689729357049 747.177719665752</t>
  </si>
  <si>
    <t>-557.445886129809 119.83402093249 808.109970941965</t>
  </si>
  <si>
    <t>-577.990048238573 -130.475186495124 304.934070051853</t>
  </si>
  <si>
    <t>-604.624162001595 -141.288516497627 751.87942128955</t>
  </si>
  <si>
    <t>-470.301866435916 -182.009035390798 825.273392651041</t>
  </si>
  <si>
    <t>9763-20170724T104431.054687400.bin</t>
  </si>
  <si>
    <t>-679.760617312597 127.103829846302 -535.318024775139</t>
  </si>
  <si>
    <t>-674.643119177973 167.845158551317 -243.933164209398</t>
  </si>
  <si>
    <t>-439.300556995382 217.338103409527 -258.603366058807</t>
  </si>
  <si>
    <t>-640.094175098462 65.7402041167331 -100.97885107074</t>
  </si>
  <si>
    <t>-659.307467845647 80.8460616307061 301.832953202488</t>
  </si>
  <si>
    <t>-702.40745918522 100.758230814395 747.196410100123</t>
  </si>
  <si>
    <t>-557.51020897523 120.28060918712 808.114101449556</t>
  </si>
  <si>
    <t>-577.941159301443 -130.232636480291 304.914405725828</t>
  </si>
  <si>
    <t>-604.614691530571 -141.244225720616 751.877466953298</t>
  </si>
  <si>
    <t>-470.40469717951 -182.317152714413 825.280385931059</t>
  </si>
  <si>
    <t>9763-20170724T104431.086791400.bin</t>
  </si>
  <si>
    <t>-679.950497014694 127.052515282496 -535.34312611871</t>
  </si>
  <si>
    <t>-674.720197490822 167.905489560775 -243.975928932352</t>
  </si>
  <si>
    <t>-439.324526599191 217.163148213525 -258.584817531461</t>
  </si>
  <si>
    <t>-640.160036366698 65.7501192452753 -100.963596199734</t>
  </si>
  <si>
    <t>-659.298459474837 80.8918853100306 301.850396759585</t>
  </si>
  <si>
    <t>-702.410395409806 100.74441142654 747.212970337507</t>
  </si>
  <si>
    <t>-557.468036909652 119.924870116807 808.131859899232</t>
  </si>
  <si>
    <t>-577.920513371004 -130.183686918012 304.923913277339</t>
  </si>
  <si>
    <t>-604.602865850557 -141.172853452642 751.87357793494</t>
  </si>
  <si>
    <t>-470.363564626763 -182.154364570026 825.27400100868</t>
  </si>
  <si>
    <t>9763-20170724T104431.152963900.bin</t>
  </si>
  <si>
    <t>-680.422890505887 127.118196895359 -535.40800724878</t>
  </si>
  <si>
    <t>-674.932959601785 168.184195902759 -244.075486883932</t>
  </si>
  <si>
    <t>-439.463414500448 217.118988509313 -258.578886407983</t>
  </si>
  <si>
    <t>-640.440647895564 66.0482779784381 -100.951478428912</t>
  </si>
  <si>
    <t>-659.341045055708 80.9971320551315 301.880899329621</t>
  </si>
  <si>
    <t>-702.422616561858 100.766319860192 747.244744187804</t>
  </si>
  <si>
    <t>-557.497912574474 120.097673058465 808.157932442764</t>
  </si>
  <si>
    <t>-577.998028412416 -130.015193617041 304.90827444671</t>
  </si>
  <si>
    <t>-604.592580622243 -141.173748368033 751.874760018585</t>
  </si>
  <si>
    <t>-470.380410617114 -182.250098451329 825.271850479348</t>
  </si>
  <si>
    <t>9763-20170724T104431.185066200.bin</t>
  </si>
  <si>
    <t>-680.721008998072 127.293251016393 -535.44780382271</t>
  </si>
  <si>
    <t>-675.068385471555 168.560602448076 -244.146898957892</t>
  </si>
  <si>
    <t>-439.570660619037 217.36313932085 -258.638646548721</t>
  </si>
  <si>
    <t>-640.564230813605 66.2444642628436 -100.944129881367</t>
  </si>
  <si>
    <t>-659.369234213269 81.1134418721476 301.895722677538</t>
  </si>
  <si>
    <t>-702.431830271954 100.803257854083 747.259566862074</t>
  </si>
  <si>
    <t>-557.531649850809 120.310506454371 808.17513691396</t>
  </si>
  <si>
    <t>-578.058159272484 -129.775681995512 304.903123477422</t>
  </si>
  <si>
    <t>-604.58389854296 -141.05217746893 751.873535365658</t>
  </si>
  <si>
    <t>-470.572688272948 -182.75145658072 825.286581691389</t>
  </si>
  <si>
    <t>9763-20170724T104431.255244100.bin</t>
  </si>
  <si>
    <t>-681.355046728964 127.487250433495 -535.42989620164</t>
  </si>
  <si>
    <t>-675.004341371904 169.354864551454 -244.228761819826</t>
  </si>
  <si>
    <t>-439.456303117817 217.861286247521 -258.895500232406</t>
  </si>
  <si>
    <t>-640.732574461595 66.4762738453007 -100.922891361097</t>
  </si>
  <si>
    <t>-659.433509558415 81.2647343723195 301.924820523358</t>
  </si>
  <si>
    <t>-702.428790450895 100.82794403045 747.296573795642</t>
  </si>
  <si>
    <t>-557.492918834797 119.945292018486 808.250834333582</t>
  </si>
  <si>
    <t>-578.214348540744 -129.759011341026 304.918498458179</t>
  </si>
  <si>
    <t>-604.590030085855 -141.347328289516 751.887506864568</t>
  </si>
  <si>
    <t>-470.370446046599 -182.412642783907 825.277245803419</t>
  </si>
  <si>
    <t>9763-20170724T104431.297362800.bin</t>
  </si>
  <si>
    <t>-681.728054334458 127.643088344753 -535.439360455731</t>
  </si>
  <si>
    <t>-674.920859806863 169.835145592276 -244.295574947788</t>
  </si>
  <si>
    <t>-439.375059865632 218.290323379491 -259.166615061758</t>
  </si>
  <si>
    <t>-640.898556844625 66.6445954909389 -100.908860330905</t>
  </si>
  <si>
    <t>-659.541119651138 81.3698068468939 301.94385408501</t>
  </si>
  <si>
    <t>-702.415931097769 100.825212728314 747.323857531251</t>
  </si>
  <si>
    <t>-557.500900799419 120.019063854565 808.303585562498</t>
  </si>
  <si>
    <t>-578.257809298565 -129.731303700563 304.919646133057</t>
  </si>
  <si>
    <t>-604.575649175015 -141.478953959428 751.884795844068</t>
  </si>
  <si>
    <t>-470.201582449206 -182.047311402481 825.2680585331</t>
  </si>
  <si>
    <t>9763-20170724T104431.350504700.bin</t>
  </si>
  <si>
    <t>-682.258800598467 128.190794204062 -535.504684102876</t>
  </si>
  <si>
    <t>-674.809167279793 170.907277703169 -244.4530858215</t>
  </si>
  <si>
    <t>-439.251735455953 219.184712992623 -259.711906091207</t>
  </si>
  <si>
    <t>-641.237282791208 67.1496169969953 -100.872759838958</t>
  </si>
  <si>
    <t>-659.75965626121 81.7662049199428 301.989402905581</t>
  </si>
  <si>
    <t>-702.434560157806 100.928889273603 747.387497149991</t>
  </si>
  <si>
    <t>-557.536098015392 120.161711902806 808.394364493935</t>
  </si>
  <si>
    <t>-578.338415819265 -129.245906732412 304.900777530155</t>
  </si>
  <si>
    <t>-604.53744782501 -141.287637122755 751.869374942386</t>
  </si>
  <si>
    <t>-470.406955863418 -182.578458327617 825.295409946504</t>
  </si>
  <si>
    <t>9763-20170724T104431.385348200.bin</t>
  </si>
  <si>
    <t>-682.404039255195 128.419923796732 -535.548821336905</t>
  </si>
  <si>
    <t>-674.881771378409 171.281028060152 -244.520396961381</t>
  </si>
  <si>
    <t>-439.294388794577 219.373856337275 -259.90099280821</t>
  </si>
  <si>
    <t>-641.362934033034 67.3740042688339 -100.85277081165</t>
  </si>
  <si>
    <t>-659.815782573399 81.9016449927592 302.015792830068</t>
  </si>
  <si>
    <t>-702.446438709686 100.934462600211 747.420734526468</t>
  </si>
  <si>
    <t>-557.528581113911 120.030426187181 808.424474934975</t>
  </si>
  <si>
    <t>-578.354624902257 -129.070421810907 304.892966872637</t>
  </si>
  <si>
    <t>-604.519298224036 -141.249769519709 751.858805458088</t>
  </si>
  <si>
    <t>-470.366135540408 -182.453377764812 825.29244780969</t>
  </si>
  <si>
    <t>9763-20170724T104431.449518600.bin</t>
  </si>
  <si>
    <t>-682.600008765362 128.833967614123 -535.601076044469</t>
  </si>
  <si>
    <t>-675.21414697991 171.690031226859 -244.568250973131</t>
  </si>
  <si>
    <t>-439.526744835558 219.31959484286 -259.855994351934</t>
  </si>
  <si>
    <t>-641.470830902885 67.8272677810328 -100.819379464284</t>
  </si>
  <si>
    <t>-659.803694654221 82.1350038160763 302.062516995527</t>
  </si>
  <si>
    <t>-702.474661129325 100.96857791489 747.479343905893</t>
  </si>
  <si>
    <t>-557.556901654345 120.14403883122 808.458280070189</t>
  </si>
  <si>
    <t>-578.290307890107 -128.940866869167 304.888656385128</t>
  </si>
  <si>
    <t>-604.505039445736 -141.600084453581 751.850502179073</t>
  </si>
  <si>
    <t>-470.18768044992 -182.261826132422 825.285963106176</t>
  </si>
  <si>
    <t>9763-20170724T104431.485358200.bin</t>
  </si>
  <si>
    <t>-682.750722592613 129.238876732077 -535.584557114395</t>
  </si>
  <si>
    <t>-675.302878050429 172.042883480268 -244.545784906401</t>
  </si>
  <si>
    <t>-439.568227691266 219.44676238252 -259.807677184404</t>
  </si>
  <si>
    <t>-641.502863205587 68.1759346454176 -100.804779295288</t>
  </si>
  <si>
    <t>-659.785904990454 82.3477244331095 302.084315342737</t>
  </si>
  <si>
    <t>-702.481309340488 101.001275946441 747.507200371857</t>
  </si>
  <si>
    <t>-557.568497939752 120.18572788588 808.495215348727</t>
  </si>
  <si>
    <t>-578.146554961403 -128.598417760001 304.883398409876</t>
  </si>
  <si>
    <t>-604.471486217925 -141.226531848154 751.846961011576</t>
  </si>
  <si>
    <t>-470.366963223776 -182.551705545013 825.301049186738</t>
  </si>
  <si>
    <t>9763-20170724T104431.549529300.bin</t>
  </si>
  <si>
    <t>-683.028149742836 129.688178442546 -535.430905858753</t>
  </si>
  <si>
    <t>-675.036425912563 172.636739672126 -244.427984781861</t>
  </si>
  <si>
    <t>-439.227474653075 219.61000895028 -259.872563794189</t>
  </si>
  <si>
    <t>-641.423180953122 68.5624250242174 -100.742651438697</t>
  </si>
  <si>
    <t>-659.672440268071 82.5347251896965 302.154897803232</t>
  </si>
  <si>
    <t>-702.471185413244 101.019240624504 747.583412734722</t>
  </si>
  <si>
    <t>-557.541079707835 119.927143724453 808.61653318122</t>
  </si>
  <si>
    <t>-577.885578622369 -128.478174236811 304.92430937213</t>
  </si>
  <si>
    <t>-604.468157137714 -141.538616877143 751.852584834292</t>
  </si>
  <si>
    <t>-470.130135107314 -182.143936442697 825.281414198055</t>
  </si>
  <si>
    <t>9763-20170724T104431.586287900.bin</t>
  </si>
  <si>
    <t>-683.201419373218 129.993770736882 -535.344463317343</t>
  </si>
  <si>
    <t>-674.832485188741 173.045063172402 -244.367127474845</t>
  </si>
  <si>
    <t>-439.014092088323 219.894290764369 -260.041763384968</t>
  </si>
  <si>
    <t>-641.408765022093 68.8001248476749 -100.715907940888</t>
  </si>
  <si>
    <t>-659.608070252459 82.6542840023167 302.187911472964</t>
  </si>
  <si>
    <t>-702.468469813259 101.039890596929 747.615069559484</t>
  </si>
  <si>
    <t>-557.545357740209 119.934522965785 808.669004148526</t>
  </si>
  <si>
    <t>-577.774307179055 -128.269152324296 304.943603524094</t>
  </si>
  <si>
    <t>-604.449341910553 -141.360912487886 751.842434709612</t>
  </si>
  <si>
    <t>-470.206374519369 -182.248155858564 825.288781588273</t>
  </si>
  <si>
    <t>9763-20170724T104431.652463200.bin</t>
  </si>
  <si>
    <t>-683.520277465043 130.576603642755 -535.190669254525</t>
  </si>
  <si>
    <t>-674.323130215897 173.891252310917 -244.277659271569</t>
  </si>
  <si>
    <t>-438.514400775856 220.656329551368 -260.344548357025</t>
  </si>
  <si>
    <t>-641.323653731338 69.2255049565667 -100.647649393543</t>
  </si>
  <si>
    <t>-659.453152632958 82.8930871746495 302.265738619608</t>
  </si>
  <si>
    <t>-702.478932724247 101.140184858138 747.676528594237</t>
  </si>
  <si>
    <t>-557.633500893618 120.535001252936 808.757999273181</t>
  </si>
  <si>
    <t>-577.603112047193 -127.954088634047 304.945447148857</t>
  </si>
  <si>
    <t>-604.421411574923 -141.29196987499 751.833987380687</t>
  </si>
  <si>
    <t>-470.242529710877 -182.362429526376 825.295150327529</t>
  </si>
  <si>
    <t>9763-20170724T104431.689134000.bin</t>
  </si>
  <si>
    <t>-683.616585389584 130.905268298177 -535.135092135118</t>
  </si>
  <si>
    <t>-673.944974534752 174.505418584434 -244.279963717234</t>
  </si>
  <si>
    <t>-438.128781446986 221.205984620005 -260.425200855788</t>
  </si>
  <si>
    <t>-641.262715985151 69.4322272633342 -100.623546880556</t>
  </si>
  <si>
    <t>-659.402415698351 83.0275031179663 302.291779460423</t>
  </si>
  <si>
    <t>-702.48686881528 101.17925239673 747.704175296001</t>
  </si>
  <si>
    <t>-557.655143302118 120.640557709477 808.796947062915</t>
  </si>
  <si>
    <t>-577.491719710977 -127.741982787156 304.941691732997</t>
  </si>
  <si>
    <t>-604.396590927568 -141.080337452649 751.817598817988</t>
  </si>
  <si>
    <t>-470.304523185439 -182.400362581814 825.297293749781</t>
  </si>
  <si>
    <t>9763-20170724T104431.751298300.bin</t>
  </si>
  <si>
    <t>-683.907676587055 131.323524728869 -535.002320329757</t>
  </si>
  <si>
    <t>-673.443047585888 175.227037249509 -244.220306014265</t>
  </si>
  <si>
    <t>-437.600480906002 221.658379620831 -260.752338250211</t>
  </si>
  <si>
    <t>-641.285926402162 69.6738708340793 -100.579518078027</t>
  </si>
  <si>
    <t>-659.280859155159 83.1204248199729 302.347331578324</t>
  </si>
  <si>
    <t>-702.478902664386 101.144431950077 747.758292875799</t>
  </si>
  <si>
    <t>-557.621637279243 120.352332410319 808.870645947268</t>
  </si>
  <si>
    <t>-577.30161548442 -127.703133949326 304.932512279029</t>
  </si>
  <si>
    <t>-604.381018056008 -141.485435060905 751.807540094637</t>
  </si>
  <si>
    <t>-470.137057820018 -182.30741129608 825.288285226175</t>
  </si>
  <si>
    <t>9763-20170724T104431.782886100.bin</t>
  </si>
  <si>
    <t>-684.078169446034 131.574721117924 -534.910859275593</t>
  </si>
  <si>
    <t>-673.162044601384 175.623219861624 -244.167465401145</t>
  </si>
  <si>
    <t>-437.304879322671 221.896802745729 -260.930988678553</t>
  </si>
  <si>
    <t>-641.315402467877 69.8378336513476 -100.55988729105</t>
  </si>
  <si>
    <t>-659.264200269153 83.1783908220893 302.372519705361</t>
  </si>
  <si>
    <t>-702.478009671979 101.141355589072 747.782398825182</t>
  </si>
  <si>
    <t>-557.603435427205 120.191354596766 808.90325177681</t>
  </si>
  <si>
    <t>-577.241285419788 -127.661945505693 304.929887420806</t>
  </si>
  <si>
    <t>-604.370855074359 -141.621402814856 751.796560323059</t>
  </si>
  <si>
    <t>-470.028655878275 -182.119436959168 825.276999086269</t>
  </si>
  <si>
    <t>9763-20170724T104431.854075600.bin</t>
  </si>
  <si>
    <t>-684.016481935124 132.305025407049 -534.75905642023</t>
  </si>
  <si>
    <t>-672.305311644448 176.418893081989 -244.056524233762</t>
  </si>
  <si>
    <t>-436.410047060253 222.368736018542 -261.170733297488</t>
  </si>
  <si>
    <t>-641.240418019489 70.205343821038 -100.527616131899</t>
  </si>
  <si>
    <t>-659.31765454303 83.4545546544516 302.402100848388</t>
  </si>
  <si>
    <t>-702.484869024267 101.13920286245 747.832716609032</t>
  </si>
  <si>
    <t>-557.58230521967 119.972649327293 808.954248899322</t>
  </si>
  <si>
    <t>-577.122316401334 -127.14942083868 304.913890486397</t>
  </si>
  <si>
    <t>-604.32839759648 -141.146426271815 751.765337625684</t>
  </si>
  <si>
    <t>-470.294889822569 -182.576286197959 825.290018789643</t>
  </si>
  <si>
    <t>9763-20170724T104431.885816800.bin</t>
  </si>
  <si>
    <t>-683.911010667011 132.55547715524 -534.706421355566</t>
  </si>
  <si>
    <t>-672.100029110391 176.614832037457 -243.999570443198</t>
  </si>
  <si>
    <t>-436.179102339138 222.383049620049 -261.246474323841</t>
  </si>
  <si>
    <t>-641.195021960409 70.4064648472558 -100.524154426445</t>
  </si>
  <si>
    <t>-659.321005917197 83.5831888734392 302.405736581683</t>
  </si>
  <si>
    <t>-702.51300495098 101.211300314662 747.847525424228</t>
  </si>
  <si>
    <t>-557.647381807013 120.369721288659 808.955676113234</t>
  </si>
  <si>
    <t>-577.091405284282 -127.098287592113 304.913394817306</t>
  </si>
  <si>
    <t>-604.321033468783 -141.225720007728 751.759814987849</t>
  </si>
  <si>
    <t>-470.202985383053 -182.386840835765 825.281296827842</t>
  </si>
  <si>
    <t>9763-20170724T104431.951992500.bin</t>
  </si>
  <si>
    <t>-683.60758604169 133.191459559954 -534.590697172922</t>
  </si>
  <si>
    <t>-671.580836357337 177.115790629651 -243.872328135146</t>
  </si>
  <si>
    <t>-435.625783361461 222.653886224323 -261.260690988851</t>
  </si>
  <si>
    <t>-641.003273131779 70.8369797344885 -100.478685489984</t>
  </si>
  <si>
    <t>-659.237974892977 83.8009536434604 302.453172671066</t>
  </si>
  <si>
    <t>-702.527178506973 101.221291701176 747.889654363849</t>
  </si>
  <si>
    <t>-557.656153506873 120.385106053484 808.98311689368</t>
  </si>
  <si>
    <t>-576.958142865576 -126.883062493785 304.911487044223</t>
  </si>
  <si>
    <t>-604.298525668873 -141.105247702266 751.742097771947</t>
  </si>
  <si>
    <t>-470.265780830996 -182.51839280262 825.277716487922</t>
  </si>
  <si>
    <t>9763-20170724T104431.987094500.bin</t>
  </si>
  <si>
    <t>-683.407408828158 133.530966058432 -534.520330971614</t>
  </si>
  <si>
    <t>-671.25664847884 177.412838019935 -243.800615769368</t>
  </si>
  <si>
    <t>-435.294861193843 222.87052065994 -261.307843682011</t>
  </si>
  <si>
    <t>-640.917071168849 71.0329844478779 -100.449217254474</t>
  </si>
  <si>
    <t>-659.152451729532 83.8805508541773 302.486300567107</t>
  </si>
  <si>
    <t>-702.525731089951 101.211705740439 747.917580561371</t>
  </si>
  <si>
    <t>-557.628587337951 120.162882726092 809.015483656529</t>
  </si>
  <si>
    <t>-576.880765028651 -126.818695701675 304.90831156572</t>
  </si>
  <si>
    <t>-604.285028664858 -141.179589831222 751.729168721978</t>
  </si>
  <si>
    <t>-470.199569245605 -182.414702477397 825.268579968062</t>
  </si>
  <si>
    <t>9763-20170724T104432.051267300.bin</t>
  </si>
  <si>
    <t>-682.777363837144 134.056512155857 -534.416256068196</t>
  </si>
  <si>
    <t>-670.275053818214 177.945836636781 -243.71267225027</t>
  </si>
  <si>
    <t>-434.313724545049 223.307134384235 -261.474600349309</t>
  </si>
  <si>
    <t>-640.659351478052 71.332078577082 -100.403761591441</t>
  </si>
  <si>
    <t>-659.004653201889 84.0445255408306 302.531076117762</t>
  </si>
  <si>
    <t>-702.538457773856 101.222587364933 747.962195379035</t>
  </si>
  <si>
    <t>-557.625700351009 120.073181844122 809.054316649024</t>
  </si>
  <si>
    <t>-576.682990323287 -126.571200506751 304.904339238377</t>
  </si>
  <si>
    <t>-604.266438789423 -141.066654642289 751.717240012584</t>
  </si>
  <si>
    <t>-470.312292718002 -182.698409319442 825.272468935311</t>
  </si>
  <si>
    <t>9763-20170724T104432.085372800.bin</t>
  </si>
  <si>
    <t>-682.47524015038 134.202913743631 -534.373084041241</t>
  </si>
  <si>
    <t>-669.733794625281 178.15932548546 -243.689879357439</t>
  </si>
  <si>
    <t>-433.76672709541 223.436197378536 -261.590210914425</t>
  </si>
  <si>
    <t>-640.527741476886 71.425399287175 -100.388157202454</t>
  </si>
  <si>
    <t>-658.94902353962 84.1047635767468 302.544339464221</t>
  </si>
  <si>
    <t>-702.536181085635 101.208205413358 747.97967919185</t>
  </si>
  <si>
    <t>-557.629324672144 120.110641301339 809.069738827212</t>
  </si>
  <si>
    <t>-576.587218668062 -126.528464438678 304.911862120537</t>
  </si>
  <si>
    <t>-604.262702413294 -141.118924282048 751.715224034119</t>
  </si>
  <si>
    <t>-470.338556735446 -182.843060951424 825.272868770824</t>
  </si>
  <si>
    <t>9763-20170724T104432.152551700.bin</t>
  </si>
  <si>
    <t>-681.850627069422 134.421312058423 -534.277571272287</t>
  </si>
  <si>
    <t>-668.669385300346 178.535994745012 -243.637911953405</t>
  </si>
  <si>
    <t>-432.686901839796 223.606589355163 -261.853250228129</t>
  </si>
  <si>
    <t>-640.249389447586 71.5613706642487 -100.330521073479</t>
  </si>
  <si>
    <t>-658.820614440569 84.1318170517084 302.598511049552</t>
  </si>
  <si>
    <t>-702.53482721507 101.180140579489 748.020667336534</t>
  </si>
  <si>
    <t>-557.596185963366 119.848630168238 809.107309337784</t>
  </si>
  <si>
    <t>-576.440207502453 -126.477721903142 304.916360571767</t>
  </si>
  <si>
    <t>-604.250074041923 -140.975909617125 751.710023834373</t>
  </si>
  <si>
    <t>-470.302423098882 -182.642235510758 825.257646901321</t>
  </si>
  <si>
    <t>9763-20170724T104432.185191400.bin</t>
  </si>
  <si>
    <t>-681.512442934411 134.548280271687 -534.242271382459</t>
  </si>
  <si>
    <t>-668.155859432246 178.727517145247 -243.620455884855</t>
  </si>
  <si>
    <t>-432.168307162626 223.71320731737 -261.979171969599</t>
  </si>
  <si>
    <t>-640.155448670129 71.6485444394243 -100.305569683417</t>
  </si>
  <si>
    <t>-658.789148999562 84.1655316011654 302.622185475263</t>
  </si>
  <si>
    <t>-702.547277631281 101.202677020295 748.038344851958</t>
  </si>
  <si>
    <t>-557.635546070302 120.121578441378 809.11166226482</t>
  </si>
  <si>
    <t>-576.421201968771 -126.508296374064 304.921513379708</t>
  </si>
  <si>
    <t>-604.247242074849 -141.011212977623 751.709381628041</t>
  </si>
  <si>
    <t>-470.189474378221 -182.346591938568 825.242903354726</t>
  </si>
  <si>
    <t>9763-20170724T104432.251367000.bin</t>
  </si>
  <si>
    <t>-680.759117526371 134.778102399981 -534.204317282513</t>
  </si>
  <si>
    <t>-666.901339684758 179.036258064992 -243.618069252671</t>
  </si>
  <si>
    <t>-430.906514442247 223.943247237282 -262.075673301827</t>
  </si>
  <si>
    <t>-639.935873200857 71.7735982406725 -100.274081443614</t>
  </si>
  <si>
    <t>-658.752849621901 84.2322792980749 302.646900568329</t>
  </si>
  <si>
    <t>-702.553434686818 101.211141141935 748.069356835937</t>
  </si>
  <si>
    <t>-557.650502059436 120.214585015251 809.137269584462</t>
  </si>
  <si>
    <t>-576.33511938914 -126.479389270045 304.930445504681</t>
  </si>
  <si>
    <t>-604.236629186583 -141.019936336658 751.710323374289</t>
  </si>
  <si>
    <t>-470.197180132924 -182.41779045499 825.242171195154</t>
  </si>
  <si>
    <t>9763-20170724T104432.284462300.bin</t>
  </si>
  <si>
    <t>-680.403587082738 134.856012749254 -534.183820731011</t>
  </si>
  <si>
    <t>-666.202586462839 179.205442114019 -243.628044042642</t>
  </si>
  <si>
    <t>-430.197078566009 224.073738979838 -262.042679943476</t>
  </si>
  <si>
    <t>-639.814207919258 71.8445694742381 -100.256117787512</t>
  </si>
  <si>
    <t>-658.722672012269 84.292035891666 302.661003935104</t>
  </si>
  <si>
    <t>-702.560565604055 101.232368387068 748.082611730993</t>
  </si>
  <si>
    <t>-557.660126428132 120.241339690077 809.154802646795</t>
  </si>
  <si>
    <t>-576.293900001554 -126.394754409604 304.931826319696</t>
  </si>
  <si>
    <t>-604.234190549086 -140.976851590736 751.715929241218</t>
  </si>
  <si>
    <t>-470.329962308123 -182.793974126586 825.256960402058</t>
  </si>
  <si>
    <t>9763-20170724T104432.353645800.bin</t>
  </si>
  <si>
    <t>-679.656205065996 134.88193650309 -534.128463229002</t>
  </si>
  <si>
    <t>-665.051897967901 179.303674917893 -243.603694756169</t>
  </si>
  <si>
    <t>-429.036857255793 224.075680269867 -262.130308090125</t>
  </si>
  <si>
    <t>-639.479569002597 71.8401881765794 -100.201481755684</t>
  </si>
  <si>
    <t>-658.606103987897 84.3098877291573 302.704695423759</t>
  </si>
  <si>
    <t>-702.561296774387 101.242432984491 748.103551830325</t>
  </si>
  <si>
    <t>-557.657629477593 120.210920370591 809.180665500234</t>
  </si>
  <si>
    <t>-576.151786679335 -126.476026999212 304.964643650714</t>
  </si>
  <si>
    <t>-604.222697693922 -140.995480730202 751.726742009083</t>
  </si>
  <si>
    <t>-470.18880045339 -182.433602164969 825.246132184425</t>
  </si>
  <si>
    <t>9763-20170724T104432.383317800.bin</t>
  </si>
  <si>
    <t>-679.355173472774 134.941988063683 -534.11063580761</t>
  </si>
  <si>
    <t>-664.680956468296 179.318783190445 -243.582570111348</t>
  </si>
  <si>
    <t>-428.665138672481 224.047891466117 -262.202365059774</t>
  </si>
  <si>
    <t>-639.339572044998 71.8997265393587 -100.187483896374</t>
  </si>
  <si>
    <t>-658.529671618099 84.3101264069071 302.717474777205</t>
  </si>
  <si>
    <t>-702.565193509151 101.247472865935 748.111697640663</t>
  </si>
  <si>
    <t>-557.664963327098 120.244704867464 809.188013966269</t>
  </si>
  <si>
    <t>-576.096045037426 -126.504910513638 304.9695711584</t>
  </si>
  <si>
    <t>-604.216251284313 -141.01466813742 751.726145167038</t>
  </si>
  <si>
    <t>-470.17785213564 -182.436486139207 825.246411842222</t>
  </si>
  <si>
    <t>9763-20170724T104432.454504900.bin</t>
  </si>
  <si>
    <t>-678.712238687855 134.920451352912 -534.072584835429</t>
  </si>
  <si>
    <t>-663.924731856204 179.32699610537 -243.55482435396</t>
  </si>
  <si>
    <t>-427.900222826787 223.961272161794 -262.29234546763</t>
  </si>
  <si>
    <t>-638.995157796783 71.7935090357309 -100.144265500963</t>
  </si>
  <si>
    <t>-658.318131389567 84.2281894366076 302.753502712286</t>
  </si>
  <si>
    <t>-702.558045689233 101.178866127167 748.13283970455</t>
  </si>
  <si>
    <t>-557.61903136921 119.871810106371 809.211147544083</t>
  </si>
  <si>
    <t>-575.928061115817 -126.682310658607 304.979761504005</t>
  </si>
  <si>
    <t>-604.214891504957 -141.204723700936 751.738480559696</t>
  </si>
  <si>
    <t>-470.026416565334 -182.171269091294 825.240161108305</t>
  </si>
  <si>
    <t>9763-20170724T104432.485387800.bin</t>
  </si>
  <si>
    <t>-678.384031946371 134.996474540123 -534.016143644777</t>
  </si>
  <si>
    <t>-663.454792680176 179.464448493807 -243.514854123402</t>
  </si>
  <si>
    <t>-427.425865852984 224.040778052283 -262.334198192056</t>
  </si>
  <si>
    <t>-638.778186710642 71.814527398521 -100.118821385174</t>
  </si>
  <si>
    <t>-658.20683344381 84.2187135233862 302.774953242224</t>
  </si>
  <si>
    <t>-702.573479127959 101.21072609295 748.140214628551</t>
  </si>
  <si>
    <t>-557.666306408315 120.179067455346 809.209237054432</t>
  </si>
  <si>
    <t>-575.78331708303 -126.739960375013 304.99223905841</t>
  </si>
  <si>
    <t>-604.213862200475 -141.363623841119 751.74131570181</t>
  </si>
  <si>
    <t>-470.037255237768 -182.367354838156 825.244030458517</t>
  </si>
  <si>
    <t>9763-20170724T104432.519478200.bin</t>
  </si>
  <si>
    <t>-678.057004645119 135.053128903198 -533.963464746377</t>
  </si>
  <si>
    <t>-662.986208614277 179.536780458745 -243.472024997085</t>
  </si>
  <si>
    <t>-426.959044041221 224.068154400408 -262.419844232024</t>
  </si>
  <si>
    <t>-638.559510311283 71.7689285156287 -100.089489141242</t>
  </si>
  <si>
    <t>-658.069526229903 84.163669259636 302.800578255519</t>
  </si>
  <si>
    <t>-702.570418556574 101.17709868569 748.150573279061</t>
  </si>
  <si>
    <t>-557.617556806455 119.776732595639 809.224449647921</t>
  </si>
  <si>
    <t>-575.656302179217 -126.791213673993 305.000659258992</t>
  </si>
  <si>
    <t>-604.2127930087 -141.290109355304 751.746677106481</t>
  </si>
  <si>
    <t>-469.968513380202 -182.09532634651 825.236064353167</t>
  </si>
  <si>
    <t>9763-20170724T104432.591680100.bin</t>
  </si>
  <si>
    <t>-677.33974995907 135.31157333509 -533.862880950827</t>
  </si>
  <si>
    <t>-661.984273809275 179.84662436749 -243.394250615511</t>
  </si>
  <si>
    <t>-425.954972056323 224.276857925454 -262.550682330323</t>
  </si>
  <si>
    <t>-638.137938078609 71.8530771622836 -100.02435170743</t>
  </si>
  <si>
    <t>-657.822412955318 84.1871535119878 302.859119655205</t>
  </si>
  <si>
    <t>-702.587768728844 101.204105742675 748.172428844295</t>
  </si>
  <si>
    <t>-557.650558255125 119.944823254581 809.240477506719</t>
  </si>
  <si>
    <t>-575.42666500634 -126.68491835302 305.044044335667</t>
  </si>
  <si>
    <t>-604.21081890471 -141.184384842422 751.763606688413</t>
  </si>
  <si>
    <t>-470.181765491334 -182.684070001294 825.257056083545</t>
  </si>
  <si>
    <t>9763-20170724T104432.649834100.bin</t>
  </si>
  <si>
    <t>-667.909037911256 0.0119932695397438 -555.420374234442</t>
  </si>
  <si>
    <t>-676.493527195721 135.499021803505 -533.818952342599</t>
  </si>
  <si>
    <t>-660.792817022913 180.336219529657 -243.415212798818</t>
  </si>
  <si>
    <t>-424.740347712512 224.618752328012 -262.629328017679</t>
  </si>
  <si>
    <t>-637.662467890836 71.9252161984318 -99.9694792829924</t>
  </si>
  <si>
    <t>-657.638858723632 84.2431361482907 302.900089437947</t>
  </si>
  <si>
    <t>-702.604791328141 101.235534463125 748.190652312433</t>
  </si>
  <si>
    <t>-557.696766177933 120.212769387432 809.254561594332</t>
  </si>
  <si>
    <t>-575.270564328459 -126.835378981183 305.101826181936</t>
  </si>
  <si>
    <t>-604.251415418856 -141.325264709859 751.820994681794</t>
  </si>
  <si>
    <t>-470.094000437121 -182.516208747968 825.253875742497</t>
  </si>
  <si>
    <t>9763-20170724T104432.685934700.bin</t>
  </si>
  <si>
    <t>-667.525121076277 0.0950948950446673 -555.410404253585</t>
  </si>
  <si>
    <t>-676.033725241627 135.592138888517 -533.835337257946</t>
  </si>
  <si>
    <t>-660.180058523506 180.592107912249 -243.465107871198</t>
  </si>
  <si>
    <t>-424.109858689599 224.77487996941 -262.689625374535</t>
  </si>
  <si>
    <t>-637.384547134406 72.0034012324879 -99.9324100007124</t>
  </si>
  <si>
    <t>-657.497212833853 84.2513224702739 302.932510839544</t>
  </si>
  <si>
    <t>-702.599047242338 101.195165921932 748.211795520629</t>
  </si>
  <si>
    <t>-557.668067652547 119.995387519592 809.276280201181</t>
  </si>
  <si>
    <t>-575.168871245382 -126.834184807486 305.139846305677</t>
  </si>
  <si>
    <t>-604.256592527167 -141.35084686424 751.846541784331</t>
  </si>
  <si>
    <t>-470.082702382926 -182.528005948674 825.256941848148</t>
  </si>
  <si>
    <t>9763-20170724T104432.752110700.bin</t>
  </si>
  <si>
    <t>-666.679349711879 0.370705161456954 -555.386939270269</t>
  </si>
  <si>
    <t>-675.011623924536 135.8926301453 -533.8866959858</t>
  </si>
  <si>
    <t>-659.153189834275 181.117811724785 -243.551698958866</t>
  </si>
  <si>
    <t>-423.027353607435 225.02065689097 -262.735039098285</t>
  </si>
  <si>
    <t>-636.766813333795 72.2663672313315 -99.8472749785748</t>
  </si>
  <si>
    <t>-657.090058622865 84.3870013485409 303.010944941376</t>
  </si>
  <si>
    <t>-702.62349423352 101.166058487248 748.245593252833</t>
  </si>
  <si>
    <t>-557.694293915868 120.094151178169 809.274690118933</t>
  </si>
  <si>
    <t>-574.884606528563 -126.793398604998 305.185426496444</t>
  </si>
  <si>
    <t>-604.242938197227 -141.356263355149 751.864737887556</t>
  </si>
  <si>
    <t>-470.133660654218 -182.743007119356 825.275408411521</t>
  </si>
  <si>
    <t>9763-20170724T104432.783749700.bin</t>
  </si>
  <si>
    <t>-666.249099849827 0.611748714197347 -555.38036691159</t>
  </si>
  <si>
    <t>-674.498616318143 136.137454660396 -533.916218783611</t>
  </si>
  <si>
    <t>-658.706560450009 181.476486382192 -243.595488141225</t>
  </si>
  <si>
    <t>-422.549845161044 225.239218308203 -262.718084204229</t>
  </si>
  <si>
    <t>-636.514697689967 72.5292518826179 -99.8180892675434</t>
  </si>
  <si>
    <t>-656.896086260485 84.5168981150157 303.041193600623</t>
  </si>
  <si>
    <t>-702.655564209376 101.183144889015 748.255376327901</t>
  </si>
  <si>
    <t>-557.743281691649 120.364972238215 809.245482210095</t>
  </si>
  <si>
    <t>-574.740979936815 -126.708888135321 305.201986794385</t>
  </si>
  <si>
    <t>-604.234130552726 -141.320339585008 751.869555297537</t>
  </si>
  <si>
    <t>-470.137327951088 -182.749564544444 825.279052800895</t>
  </si>
  <si>
    <t>9763-20170724T104432.855944500.bin</t>
  </si>
  <si>
    <t>-665.470040861087 1.00381101576249 -555.3894251473</t>
  </si>
  <si>
    <t>-673.580548766702 136.551121447759 -533.973425141977</t>
  </si>
  <si>
    <t>-657.81517881053 182.064045395348 -243.678244091614</t>
  </si>
  <si>
    <t>-421.593140809227 225.520632061071 -262.692405931353</t>
  </si>
  <si>
    <t>-636.088477167055 72.8848157283585 -99.7770287345513</t>
  </si>
  <si>
    <t>-656.70767371871 84.6996300129483 303.075172867395</t>
  </si>
  <si>
    <t>-702.681726881212 101.166972108482 748.27283615174</t>
  </si>
  <si>
    <t>-557.77005038216 120.485284621768 809.221274058054</t>
  </si>
  <si>
    <t>-574.463996174528 -126.474820281606 305.215795479039</t>
  </si>
  <si>
    <t>-604.205909847922 -141.192056086032 751.860756447146</t>
  </si>
  <si>
    <t>-470.191289589641 -182.854824594495 825.288273049678</t>
  </si>
  <si>
    <t>9763-20170724T104432.889695600.bin</t>
  </si>
  <si>
    <t>-665.115964593108 1.15896870013103 -555.401675394448</t>
  </si>
  <si>
    <t>-673.162186903239 136.711148116562 -534.001847020841</t>
  </si>
  <si>
    <t>-657.363557881098 182.282652932769 -243.71768871297</t>
  </si>
  <si>
    <t>-421.115399129508 225.600356542097 -262.723019414292</t>
  </si>
  <si>
    <t>-635.918880894739 73.0410155695595 -99.7582387310648</t>
  </si>
  <si>
    <t>-656.662877082202 84.7682953363378 303.090136282435</t>
  </si>
  <si>
    <t>-702.676758938762 101.116975030962 748.289316106161</t>
  </si>
  <si>
    <t>-557.716287571789 120.071847629618 809.235809327517</t>
  </si>
  <si>
    <t>-574.361552438376 -126.410597561912 305.213336008059</t>
  </si>
  <si>
    <t>-604.195737829593 -141.207743462706 751.856393089693</t>
  </si>
  <si>
    <t>-470.199364813649 -182.918196491794 825.29011372039</t>
  </si>
  <si>
    <t>9763-20170724T104432.930808300.bin</t>
  </si>
  <si>
    <t>-664.827057424484 1.38700199744767 -555.405363569746</t>
  </si>
  <si>
    <t>-672.817481033295 136.938965255939 -534.011633823624</t>
  </si>
  <si>
    <t>-656.916994666186 182.591525335496 -243.745842423498</t>
  </si>
  <si>
    <t>-420.643358318094 225.767772766465 -262.757773704615</t>
  </si>
  <si>
    <t>-635.811520669196 73.2314043279739 -99.7373144951868</t>
  </si>
  <si>
    <t>-656.671572007457 84.8708752933219 303.1076681587</t>
  </si>
  <si>
    <t>-702.696280372652 101.178230710933 748.306768930382</t>
  </si>
  <si>
    <t>-557.753003684151 120.282884898965 809.247354310832</t>
  </si>
  <si>
    <t>-574.284659599214 -126.336930356256 305.203230469217</t>
  </si>
  <si>
    <t>-604.182162232415 -141.210954427501 751.848017154461</t>
  </si>
  <si>
    <t>-470.221549535949 -183.015464519704 825.293437163167</t>
  </si>
  <si>
    <t>9763-20170724T104432.984954500.bin</t>
  </si>
  <si>
    <t>-664.135898103681 1.70347800811351 -555.415980746354</t>
  </si>
  <si>
    <t>-672.004686144294 137.264790518185 -534.002171071492</t>
  </si>
  <si>
    <t>-655.727875306641 183.102652479519 -243.78655319763</t>
  </si>
  <si>
    <t>-419.398171994213 226.02053403575 -262.686128171753</t>
  </si>
  <si>
    <t>-635.579623513338 73.4520424212417 -99.67890020757</t>
  </si>
  <si>
    <t>-656.622310888197 84.9742207227494 303.159871658462</t>
  </si>
  <si>
    <t>-702.687668689188 101.13433689633 748.359940006244</t>
  </si>
  <si>
    <t>-557.680422397463 119.688659106391 809.318282640244</t>
  </si>
  <si>
    <t>-574.112963163151 -126.316686870388 305.19331570941</t>
  </si>
  <si>
    <t>-604.165262487807 -141.32452544514 751.839050123929</t>
  </si>
  <si>
    <t>-470.138355133541 -182.921877653105 825.281208611382</t>
  </si>
  <si>
    <t>9763-20170724T104433.052132700.bin</t>
  </si>
  <si>
    <t>-663.259623414167 2.19565348198648 -555.402778256625</t>
  </si>
  <si>
    <t>-670.948544043048 137.760201265602 -533.945360481259</t>
  </si>
  <si>
    <t>-654.634783808946 183.698293187763 -243.747653559919</t>
  </si>
  <si>
    <t>-418.241316196217 226.326664986824 -262.50481305968</t>
  </si>
  <si>
    <t>-635.353728415839 73.7179376843114 -99.6075745495922</t>
  </si>
  <si>
    <t>-656.589419790093 85.1247114037114 303.224386359978</t>
  </si>
  <si>
    <t>-702.707728694586 101.182583206129 748.413436680629</t>
  </si>
  <si>
    <t>-557.752761494463 120.169026092729 809.3631334195</t>
  </si>
  <si>
    <t>-574.020726427981 -126.303766634712 305.207310314028</t>
  </si>
  <si>
    <t>-604.157086809205 -141.475412340154 751.83556760106</t>
  </si>
  <si>
    <t>-469.962273796874 -182.567477031587 825.255457523326</t>
  </si>
  <si>
    <t>9763-20170724T104433.093246800.bin</t>
  </si>
  <si>
    <t>-662.855256079184 2.47000528695366 -555.382674698742</t>
  </si>
  <si>
    <t>-670.456398042746 138.037309171581 -533.910797323205</t>
  </si>
  <si>
    <t>-654.093739594726 183.997295605943 -243.719243317151</t>
  </si>
  <si>
    <t>-417.671759925157 226.523158623038 -262.349660945342</t>
  </si>
  <si>
    <t>-635.243998098822 73.8289600062051 -99.5792974685512</t>
  </si>
  <si>
    <t>-656.560872195418 85.197473564752 303.249408764956</t>
  </si>
  <si>
    <t>-702.717484524853 101.180038198398 748.411838986306</t>
  </si>
  <si>
    <t>-557.748863966293 120.054173051281 809.363998874338</t>
  </si>
  <si>
    <t>-574.030752575435 -126.210650145103 305.209297270539</t>
  </si>
  <si>
    <t>-604.145810472889 -141.381248074875 751.829423202627</t>
  </si>
  <si>
    <t>-470.060983343059 -182.809625592467 825.261387442572</t>
  </si>
  <si>
    <t>9763-20170724T104433.155413900.bin</t>
  </si>
  <si>
    <t>-662.128568721966 2.95617634118116 -555.369474646588</t>
  </si>
  <si>
    <t>-669.540095009377 138.523529759368 -533.842278274554</t>
  </si>
  <si>
    <t>-652.887059203871 184.571255815555 -243.681217683845</t>
  </si>
  <si>
    <t>-416.408078130753 226.834720236544 -262.184062745326</t>
  </si>
  <si>
    <t>-634.973595313537 74.013393490919 -99.5138917780025</t>
  </si>
  <si>
    <t>-656.573471394129 85.3666675976067 303.300272499901</t>
  </si>
  <si>
    <t>-702.713610419474 101.187079793845 748.48126661104</t>
  </si>
  <si>
    <t>-557.745270961205 120.012762061108 809.449151077559</t>
  </si>
  <si>
    <t>-574.046629492983 -126.123749734141 305.209868788858</t>
  </si>
  <si>
    <t>-604.125701328574 -141.257793027146 751.829036165657</t>
  </si>
  <si>
    <t>-470.115428362579 -182.92145788479 825.263847425892</t>
  </si>
  <si>
    <t>9763-20170724T104433.186014400.bin</t>
  </si>
  <si>
    <t>-661.826540170894 3.20769429871916 -555.361976512016</t>
  </si>
  <si>
    <t>-669.106321719909 138.775639341471 -533.791136512873</t>
  </si>
  <si>
    <t>-652.118865466432 184.9788278508 -243.674024793425</t>
  </si>
  <si>
    <t>-415.610916595724 227.083809543662 -262.168270633931</t>
  </si>
  <si>
    <t>-634.846738518246 74.0824298398211 -99.4718093314051</t>
  </si>
  <si>
    <t>-656.574398865936 85.4288801116898 303.335623782711</t>
  </si>
  <si>
    <t>-702.710076658144 101.174375144687 748.513006565481</t>
  </si>
  <si>
    <t>-557.715429449296 119.767375953349 809.489754656144</t>
  </si>
  <si>
    <t>-574.071059385898 -126.017956542338 305.205024165031</t>
  </si>
  <si>
    <t>-604.108151031301 -141.137592328685 751.823594742451</t>
  </si>
  <si>
    <t>-470.228516059849 -183.193168929476 825.273418334913</t>
  </si>
  <si>
    <t>9763-20170724T104433.249179800.bin</t>
  </si>
  <si>
    <t>-661.266024720623 3.49950823085487 -555.347633264347</t>
  </si>
  <si>
    <t>-668.256321179165 139.07062521846 -533.693150896131</t>
  </si>
  <si>
    <t>-650.585836151448 185.40060572178 -243.637211892503</t>
  </si>
  <si>
    <t>-414.025367210406 227.155335188521 -262.252543976872</t>
  </si>
  <si>
    <t>-634.600894519867 74.1717740303657 -99.4129375585461</t>
  </si>
  <si>
    <t>-656.525910747749 85.4459671422499 303.385866982118</t>
  </si>
  <si>
    <t>-702.743307350947 101.281875993934 748.567311458025</t>
  </si>
  <si>
    <t>-557.787717431659 120.191924834014 809.539326274354</t>
  </si>
  <si>
    <t>-574.071642340666 -126.176959305271 305.200129099846</t>
  </si>
  <si>
    <t>-604.093360605701 -141.379156203979 751.82764631555</t>
  </si>
  <si>
    <t>-469.987418057033 -182.736197167418 825.261207134773</t>
  </si>
  <si>
    <t>9763-20170724T104433.286286400.bin</t>
  </si>
  <si>
    <t>-660.9434794977 3.72883657478246 -555.333101647339</t>
  </si>
  <si>
    <t>-667.798703720827 139.300055958885 -533.637401421894</t>
  </si>
  <si>
    <t>-649.987576780622 185.557386111833 -243.578494182057</t>
  </si>
  <si>
    <t>-413.403373783744 227.158701926148 -262.235384369189</t>
  </si>
  <si>
    <t>-634.39330042239 74.2076666832202 -99.3808700286104</t>
  </si>
  <si>
    <t>-656.46346256895 85.4465313816538 303.410978602609</t>
  </si>
  <si>
    <t>-702.739254896194 101.24329262604 748.595075614889</t>
  </si>
  <si>
    <t>-557.76528028395 120.020056853243 809.564514824018</t>
  </si>
  <si>
    <t>-574.015810019712 -126.131249345734 305.199139378823</t>
  </si>
  <si>
    <t>-604.078605461538 -141.294598672464 751.823310144099</t>
  </si>
  <si>
    <t>-470.049378853095 -182.878846990672 825.268630040606</t>
  </si>
  <si>
    <t>9763-20170724T104433.352461000.bin</t>
  </si>
  <si>
    <t>-660.323020518438 4.10995676742323 -555.292487848387</t>
  </si>
  <si>
    <t>-666.955416710693 139.670323719733 -533.479073167099</t>
  </si>
  <si>
    <t>-648.711041096957 185.814201122375 -243.428991824488</t>
  </si>
  <si>
    <t>-412.104365199584 227.318992510859 -262.017233439951</t>
  </si>
  <si>
    <t>-633.947408594713 74.2622542304209 -99.3076135018368</t>
  </si>
  <si>
    <t>-656.300553049047 85.4387535534834 303.470354209411</t>
  </si>
  <si>
    <t>-702.757958968669 101.266387329214 748.640120419051</t>
  </si>
  <si>
    <t>-557.789905238618 120.119599838512 809.600082562099</t>
  </si>
  <si>
    <t>-573.915943456131 -126.286374212926 305.214159563511</t>
  </si>
  <si>
    <t>-604.081142998297 -141.574293722928 751.835335485123</t>
  </si>
  <si>
    <t>-469.923884652165 -182.785233245446 825.257267123801</t>
  </si>
  <si>
    <t>9763-20170724T104433.384547400.bin</t>
  </si>
  <si>
    <t>-660.019452610448 4.42430455962608 -555.267028332266</t>
  </si>
  <si>
    <t>-666.532725085582 139.982654566089 -533.391871246243</t>
  </si>
  <si>
    <t>-647.958356248859 186.044221909899 -243.349478597457</t>
  </si>
  <si>
    <t>-411.348204883106 227.522714789308 -261.951372664192</t>
  </si>
  <si>
    <t>-633.734564018764 74.3283619375418 -99.2696859984774</t>
  </si>
  <si>
    <t>-656.197706849487 85.4708750377422 303.503058333612</t>
  </si>
  <si>
    <t>-702.762407089166 101.267166740724 748.663035970075</t>
  </si>
  <si>
    <t>-557.791413085058 120.10682198749 809.620278714899</t>
  </si>
  <si>
    <t>-573.842255731866 -126.193236982832 305.213465205778</t>
  </si>
  <si>
    <t>-604.066338245615 -141.410047965091 751.833412554856</t>
  </si>
  <si>
    <t>-470.061093722391 -183.09023077519 825.268142219134</t>
  </si>
  <si>
    <t>9763-20170724T104433.453737600.bin</t>
  </si>
  <si>
    <t>-659.361837339081 4.8814522614573 -555.215762394624</t>
  </si>
  <si>
    <t>-665.715987910305 140.429433854041 -533.207114510029</t>
  </si>
  <si>
    <t>-646.437261787659 186.347707731837 -243.187912821165</t>
  </si>
  <si>
    <t>-409.849043907199 227.829095216168 -262.060964219888</t>
  </si>
  <si>
    <t>-633.303447410737 74.4150830529238 -99.2020125206296</t>
  </si>
  <si>
    <t>-655.977367247716 85.4982532404613 303.560607494503</t>
  </si>
  <si>
    <t>-702.778972923661 101.281114045799 748.695545435513</t>
  </si>
  <si>
    <t>-557.811314861866 120.169016251281 809.645659873512</t>
  </si>
  <si>
    <t>-573.677619590914 -126.207838865486 305.23818653067</t>
  </si>
  <si>
    <t>-604.049341599154 -141.419003198061 751.837160881002</t>
  </si>
  <si>
    <t>-470.012163410535 -183.012011161277 825.262940331482</t>
  </si>
  <si>
    <t>9763-20170724T104433.487341000.bin</t>
  </si>
  <si>
    <t>-659.019458810785 5.0653648727307 -555.195561314377</t>
  </si>
  <si>
    <t>-665.295626550766 140.60650154807 -533.134000997561</t>
  </si>
  <si>
    <t>-645.750069432499 186.479105442617 -243.125573944525</t>
  </si>
  <si>
    <t>-409.164292088542 227.948486391911 -262.055549922378</t>
  </si>
  <si>
    <t>-633.022445746672 74.4447991529314 -99.1668610976408</t>
  </si>
  <si>
    <t>-655.831795481358 85.4923446298299 303.589081645248</t>
  </si>
  <si>
    <t>-702.775219116023 101.240143471702 748.710679100613</t>
  </si>
  <si>
    <t>-557.792525614562 120.012958998475 809.660622605239</t>
  </si>
  <si>
    <t>-573.535719109799 -126.226411009817 305.243517146354</t>
  </si>
  <si>
    <t>-604.038055150703 -141.466765389973 751.835435407593</t>
  </si>
  <si>
    <t>-469.949316361598 -182.894966852296 825.260279067861</t>
  </si>
  <si>
    <t>9763-20170724T104433.551510300.bin</t>
  </si>
  <si>
    <t>-658.43230588592 5.47283445516541 -555.141964487852</t>
  </si>
  <si>
    <t>-664.556522056651 141.005337571474 -532.999976160128</t>
  </si>
  <si>
    <t>-644.330693741168 186.96571735793 -243.052161721807</t>
  </si>
  <si>
    <t>-407.710316577353 228.316567427768 -261.807933306349</t>
  </si>
  <si>
    <t>-632.424184810927 74.5789961637367 -99.0882264180533</t>
  </si>
  <si>
    <t>-655.515336249984 85.5364390575276 303.654165825215</t>
  </si>
  <si>
    <t>-702.799974278164 101.270626609328 748.739023794406</t>
  </si>
  <si>
    <t>-557.811235206941 120.023339753091 809.68080293184</t>
  </si>
  <si>
    <t>-573.236657503322 -126.224859260063 305.255021919291</t>
  </si>
  <si>
    <t>-604.006635234088 -141.435316066897 751.827170532215</t>
  </si>
  <si>
    <t>-469.972670138652 -183.011016194349 825.268670283536</t>
  </si>
  <si>
    <t>9763-20170724T104433.585098500.bin</t>
  </si>
  <si>
    <t>-658.198932957965 5.68177136176519 -555.11563303212</t>
  </si>
  <si>
    <t>-664.213999945108 141.213686886443 -532.925639491699</t>
  </si>
  <si>
    <t>-643.562972272491 187.247775669944 -243.019529110056</t>
  </si>
  <si>
    <t>-406.922857886788 228.527690509848 -261.681767539225</t>
  </si>
  <si>
    <t>-632.132986648956 74.6979403668117 -99.0523106496203</t>
  </si>
  <si>
    <t>-655.288729536108 85.5720373152662 303.688630723001</t>
  </si>
  <si>
    <t>-702.810802091872 101.255728591845 748.750533053183</t>
  </si>
  <si>
    <t>-557.823925447536 120.070274629985 809.677712316536</t>
  </si>
  <si>
    <t>-573.03910225334 -126.162556365559 305.266207973879</t>
  </si>
  <si>
    <t>-603.988509967378 -141.329158903493 751.819776227751</t>
  </si>
  <si>
    <t>-470.002233587727 -183.042236170473 825.270411998013</t>
  </si>
  <si>
    <t>9763-20170724T104433.653790400.bin</t>
  </si>
  <si>
    <t>-657.797038563443 6.0813314421523 -555.07687360878</t>
  </si>
  <si>
    <t>-663.550402057977 141.612952677139 -532.825763286614</t>
  </si>
  <si>
    <t>-642.238441733869 187.674082061495 -242.971753680182</t>
  </si>
  <si>
    <t>-405.558437932972 228.706389290543 -261.674548324962</t>
  </si>
  <si>
    <t>-631.541205116053 74.8623694490429 -99.0050994284333</t>
  </si>
  <si>
    <t>-654.799175308764 85.6172744783471 303.733160170602</t>
  </si>
  <si>
    <t>-702.835573089868 101.209196279702 748.756436730475</t>
  </si>
  <si>
    <t>-557.824706744104 119.976062433296 809.641023664233</t>
  </si>
  <si>
    <t>-572.695716818304 -126.055979230512 305.288506162286</t>
  </si>
  <si>
    <t>-603.961775718447 -141.300123170718 751.81161945745</t>
  </si>
  <si>
    <t>-470.092606896867 -183.349566874772 825.283947561699</t>
  </si>
  <si>
    <t>9763-20170724T104433.683871900.bin</t>
  </si>
  <si>
    <t>-657.652596545676 6.32084157416193 -555.051724300066</t>
  </si>
  <si>
    <t>-663.254703975423 141.853425740857 -532.781242153016</t>
  </si>
  <si>
    <t>-641.752655857234 187.961767217676 -242.948711526601</t>
  </si>
  <si>
    <t>-405.041847828901 228.876285836586 -261.518728865133</t>
  </si>
  <si>
    <t>-631.200386254363 74.978084811454 -98.9880051599851</t>
  </si>
  <si>
    <t>-654.494719404154 85.6242582155221 303.751002719748</t>
  </si>
  <si>
    <t>-702.836782291063 101.146761324427 748.749603203342</t>
  </si>
  <si>
    <t>-557.795156504213 119.735497434483 809.615507537393</t>
  </si>
  <si>
    <t>-572.528100134116 -125.994905109307 305.296614182257</t>
  </si>
  <si>
    <t>-603.935186903557 -141.186477772922 751.797431372647</t>
  </si>
  <si>
    <t>-470.082056790489 -183.262505688761 825.283792182869</t>
  </si>
  <si>
    <t>9763-20170724T104433.751582500.bin</t>
  </si>
  <si>
    <t>-657.388333726751 6.84382710426848 -555.005181899073</t>
  </si>
  <si>
    <t>-662.644291374238 142.392812918953 -532.738887165293</t>
  </si>
  <si>
    <t>-640.646380409203 188.635771698176 -242.965090043262</t>
  </si>
  <si>
    <t>-403.874035207272 229.334051433551 -261.224082254273</t>
  </si>
  <si>
    <t>-630.540777126652 75.3190824994699 -98.954927483198</t>
  </si>
  <si>
    <t>-653.910178084076 85.7141465204925 303.786296894114</t>
  </si>
  <si>
    <t>-702.853197506462 101.089939904692 748.736153829262</t>
  </si>
  <si>
    <t>-557.825990461386 119.94243250685 809.555467331159</t>
  </si>
  <si>
    <t>-572.178722358832 -125.848229225097 305.317662993891</t>
  </si>
  <si>
    <t>-603.912958749049 -141.208024820176 751.789956715772</t>
  </si>
  <si>
    <t>-470.163416021929 -183.575122397909 825.297787084621</t>
  </si>
  <si>
    <t>9763-20170724T104433.789739900.bin</t>
  </si>
  <si>
    <t>-657.324494098412 7.20303801103796 -554.976106324879</t>
  </si>
  <si>
    <t>-662.376984016419 142.760872983587 -532.721902350727</t>
  </si>
  <si>
    <t>-640.181466846077 189.006112477081 -242.963496256699</t>
  </si>
  <si>
    <t>-403.376366842614 229.541329671324 -261.159905698445</t>
  </si>
  <si>
    <t>-630.193339752515 75.5242855129852 -98.9293749499082</t>
  </si>
  <si>
    <t>-653.632230430961 85.7837237037868 303.811296166718</t>
  </si>
  <si>
    <t>-702.86163597207 101.091927722538 748.731222736541</t>
  </si>
  <si>
    <t>-557.848837012403 120.123801521121 809.528972969917</t>
  </si>
  <si>
    <t>-571.979617446671 -125.69288544331 305.319375968234</t>
  </si>
  <si>
    <t>-603.895728335202 -141.125991442808 751.772025927469</t>
  </si>
  <si>
    <t>-470.268431454627 -183.837823132819 825.302528081416</t>
  </si>
  <si>
    <t>9763-20170724T104433.850901700.bin</t>
  </si>
  <si>
    <t>-657.200175846409 7.61956845759801 -554.89067455234</t>
  </si>
  <si>
    <t>-661.87998725045 143.198421231377 -532.665767349921</t>
  </si>
  <si>
    <t>-639.396744117628 189.465133626926 -242.932967597904</t>
  </si>
  <si>
    <t>-402.533019533699 229.762119939957 -260.893954308884</t>
  </si>
  <si>
    <t>-629.468359547432 75.7887062736188 -98.8720925853125</t>
  </si>
  <si>
    <t>-653.040404092747 85.817187070546 303.86659023082</t>
  </si>
  <si>
    <t>-702.863517507539 101.05857029732 748.729185735258</t>
  </si>
  <si>
    <t>-557.814874754121 119.881162113665 809.50681066209</t>
  </si>
  <si>
    <t>-571.596112180987 -125.672581089766 305.347632169125</t>
  </si>
  <si>
    <t>-603.889356388494 -141.226444479729 751.762098530876</t>
  </si>
  <si>
    <t>-470.140470231837 -183.567726748041 825.285890543847</t>
  </si>
  <si>
    <t>9763-20170724T104433.887508300.bin</t>
  </si>
  <si>
    <t>-657.086495619217 7.84134630597464 -554.860107669126</t>
  </si>
  <si>
    <t>-661.595855594852 143.424782944832 -532.642245813774</t>
  </si>
  <si>
    <t>-638.82083593538 189.776982767142 -242.945920263277</t>
  </si>
  <si>
    <t>-401.928914551877 229.977589744034 -260.750247155015</t>
  </si>
  <si>
    <t>-629.111410612916 75.9419077054565 -98.8530559868412</t>
  </si>
  <si>
    <t>-652.780657632918 85.84560913425 303.883028058776</t>
  </si>
  <si>
    <t>-702.849358807358 100.993108988613 748.725111623581</t>
  </si>
  <si>
    <t>-557.758106436511 119.494478013988 809.499475292078</t>
  </si>
  <si>
    <t>-571.437534634359 -125.550411948812 305.367271415232</t>
  </si>
  <si>
    <t>-603.877158518053 -141.021269902065 751.758847530979</t>
  </si>
  <si>
    <t>-470.240827561423 -183.697255030406 825.293691433825</t>
  </si>
  <si>
    <t>9763-20170724T104433.919593300.bin</t>
  </si>
  <si>
    <t>-656.887396442215 7.99932447317155 -554.845874146172</t>
  </si>
  <si>
    <t>-661.228392721751 143.58989341389 -532.642133407531</t>
  </si>
  <si>
    <t>-638.192896552108 190.081736411384 -242.988863839981</t>
  </si>
  <si>
    <t>-401.279271016868 230.205436439097 -260.678198820089</t>
  </si>
  <si>
    <t>-628.78216572147 76.0801367126435 -98.8282873087614</t>
  </si>
  <si>
    <t>-652.536745966992 85.8882700643649 303.90516974369</t>
  </si>
  <si>
    <t>-702.857406686445 101.029022055859 748.719399783166</t>
  </si>
  <si>
    <t>-557.772075756406 119.599208620312 809.486817039367</t>
  </si>
  <si>
    <t>-571.290922954924 -125.5905931691 305.388604123547</t>
  </si>
  <si>
    <t>-603.890957743852 -141.283230719594 751.770818178929</t>
  </si>
  <si>
    <t>-470.121873213638 -183.570999035742 825.288548856995</t>
  </si>
  <si>
    <t>9763-20170724T104433.985280600.bin</t>
  </si>
  <si>
    <t>-656.453556065372 8.4138860114283 -554.82802401763</t>
  </si>
  <si>
    <t>-660.474071308606 144.032845806078 -532.710094365579</t>
  </si>
  <si>
    <t>-637.066879257314 190.699138137365 -243.114635611763</t>
  </si>
  <si>
    <t>-400.076909082208 230.517419329812 -260.468315736606</t>
  </si>
  <si>
    <t>-628.063175305971 76.4357038078049 -98.7837115806666</t>
  </si>
  <si>
    <t>-652.044217406266 86.0775730500054 303.940274690966</t>
  </si>
  <si>
    <t>-702.852221907831 101.029665904759 748.709962946227</t>
  </si>
  <si>
    <t>-557.758078068715 119.532868494888 809.476796494497</t>
  </si>
  <si>
    <t>-570.960845040787 -125.401588264901 305.417663384769</t>
  </si>
  <si>
    <t>-603.868548547173 -141.159931654245 751.761045903253</t>
  </si>
  <si>
    <t>-470.248996148348 -183.871321434442 825.305854895718</t>
  </si>
  <si>
    <t>9763-20170724T104434.055530100.bin</t>
  </si>
  <si>
    <t>-656.02653402745 8.87055099443728 -554.787260332597</t>
  </si>
  <si>
    <t>-659.709705247113 144.505453934605 -532.737344314162</t>
  </si>
  <si>
    <t>-635.993733067846 191.483833679542 -243.217352447415</t>
  </si>
  <si>
    <t>-398.930959969729 231.043288889807 -260.162471793839</t>
  </si>
  <si>
    <t>-627.381190215437 76.9194528923067 -98.7493414094197</t>
  </si>
  <si>
    <t>-651.627388408649 86.2902592823548 303.965174725534</t>
  </si>
  <si>
    <t>-702.857902900231 101.078551828796 748.687601610716</t>
  </si>
  <si>
    <t>-557.789910655923 119.81104177817 809.446706566486</t>
  </si>
  <si>
    <t>-570.746192090872 -125.366222256729 305.451024381944</t>
  </si>
  <si>
    <t>-603.866286387873 -141.374486790598 751.763806816972</t>
  </si>
  <si>
    <t>-470.157461599873 -183.810312486622 825.30593024469</t>
  </si>
  <si>
    <t>9763-20170724T104434.088158900.bin</t>
  </si>
  <si>
    <t>-655.827466225719 9.18706990354985 -554.78214983257</t>
  </si>
  <si>
    <t>-659.326710328724 144.840019973237 -532.767080739289</t>
  </si>
  <si>
    <t>-635.39733711966 191.926266138961 -243.282226028623</t>
  </si>
  <si>
    <t>-398.297109618299 231.339538794592 -260.043279921457</t>
  </si>
  <si>
    <t>-627.020027985831 77.176094811452 -98.7321830669881</t>
  </si>
  <si>
    <t>-651.400296304875 86.431653156749 303.976880066866</t>
  </si>
  <si>
    <t>-702.863293763098 101.107956973304 748.677595460214</t>
  </si>
  <si>
    <t>-557.788963571445 119.801533089432 809.433488582568</t>
  </si>
  <si>
    <t>-570.603804690668 -125.217861674774 305.448658442997</t>
  </si>
  <si>
    <t>-603.840974704215 -141.205830409778 751.7434560814</t>
  </si>
  <si>
    <t>-470.236035403297 -183.919178504852 825.313771363918</t>
  </si>
  <si>
    <t>9763-20170724T104434.154335200.bin</t>
  </si>
  <si>
    <t>-655.343361566467 9.87609609473498 -554.769213097015</t>
  </si>
  <si>
    <t>-658.491889435557 145.543327683991 -532.824905773599</t>
  </si>
  <si>
    <t>-634.377503777583 192.662851669344 -243.360890350292</t>
  </si>
  <si>
    <t>-397.200310202118 231.724667371113 -259.853853021557</t>
  </si>
  <si>
    <t>-626.257267155355 77.6289932094026 -98.6991491800715</t>
  </si>
  <si>
    <t>-650.732840518973 86.6855164424289 304.008695085481</t>
  </si>
  <si>
    <t>-702.884642275449 101.10422214374 748.654011646456</t>
  </si>
  <si>
    <t>-557.820454755163 120.056112039316 809.353996348059</t>
  </si>
  <si>
    <t>-570.201376320813 -124.935931280493 305.438343815619</t>
  </si>
  <si>
    <t>-603.800716314923 -141.057408518941 751.696800453939</t>
  </si>
  <si>
    <t>-470.287047061801 -183.970864837007 825.316229527443</t>
  </si>
  <si>
    <t>9763-20170724T104434.188441800.bin</t>
  </si>
  <si>
    <t>-655.102520963302 10.2477062254102 -554.742348727603</t>
  </si>
  <si>
    <t>-658.102456959326 145.923060350905 -532.806852934145</t>
  </si>
  <si>
    <t>-633.930640496798 193.015493743549 -243.343083313956</t>
  </si>
  <si>
    <t>-396.724250564045 231.951358478462 -259.713398633372</t>
  </si>
  <si>
    <t>-625.875237686553 77.8395950704769 -98.6760978991326</t>
  </si>
  <si>
    <t>-650.293616586847 86.7507397952711 304.038428468983</t>
  </si>
  <si>
    <t>-702.885394592129 101.01708047497 748.646062400149</t>
  </si>
  <si>
    <t>-557.793911132691 119.91037538563 809.299224365707</t>
  </si>
  <si>
    <t>-569.927805158601 -124.831314145677 305.435272031511</t>
  </si>
  <si>
    <t>-603.783855322021 -141.049468211849 751.672871755322</t>
  </si>
  <si>
    <t>-470.31227844113 -184.043472579071 825.321762583189</t>
  </si>
  <si>
    <t>9763-20170724T104434.251611800.bin</t>
  </si>
  <si>
    <t>-654.958089441978 11.0041582454949 -554.669827795493</t>
  </si>
  <si>
    <t>-657.729437512001 146.679196575636 -532.703580294292</t>
  </si>
  <si>
    <t>-633.36965739829 193.618498256355 -243.230788734642</t>
  </si>
  <si>
    <t>-396.108485280688 232.26906671167 -259.482425089751</t>
  </si>
  <si>
    <t>-625.258738529733 78.2552254014704 -98.6210377391013</t>
  </si>
  <si>
    <t>-649.629381645911 86.8890803069548 304.102438585354</t>
  </si>
  <si>
    <t>-702.890668149646 100.928006795994 748.635630316343</t>
  </si>
  <si>
    <t>-557.754237320455 119.728356315144 809.209971776915</t>
  </si>
  <si>
    <t>-569.369907106264 -124.60329113651 305.416870018531</t>
  </si>
  <si>
    <t>-603.745844364023 -140.912737129855 751.613705217505</t>
  </si>
  <si>
    <t>-470.443523904089 -184.324741464608 825.323870069779</t>
  </si>
  <si>
    <t>9763-20170724T104434.286707100.bin</t>
  </si>
  <si>
    <t>-654.910268203877 11.1847502073147 -554.616283030924</t>
  </si>
  <si>
    <t>-657.581326672641 146.851611218027 -532.599580560702</t>
  </si>
  <si>
    <t>-633.131972344319 193.697469070256 -243.119207276147</t>
  </si>
  <si>
    <t>-395.854059937279 232.251712398622 -259.356981134795</t>
  </si>
  <si>
    <t>-624.933767942281 78.2544797798259 -98.5795925542385</t>
  </si>
  <si>
    <t>-649.385087218876 86.8590768324016 304.139597449885</t>
  </si>
  <si>
    <t>-702.881956683598 100.916061383659 748.638168061692</t>
  </si>
  <si>
    <t>-557.722860515679 119.576000872743 809.201701512215</t>
  </si>
  <si>
    <t>-569.139470246208 -124.618534195928 305.421102763006</t>
  </si>
  <si>
    <t>-603.741388623596 -140.989962643384 751.593518522728</t>
  </si>
  <si>
    <t>-470.394551780059 -184.245014755394 825.31548376474</t>
  </si>
  <si>
    <t>9763-20170724T104434.355894400.bin</t>
  </si>
  <si>
    <t>-654.820082170128 11.5480125477079 -554.49854599923</t>
  </si>
  <si>
    <t>-657.30510648471 147.191129059842 -532.330883759915</t>
  </si>
  <si>
    <t>-632.825822577152 193.609781695776 -242.784190846794</t>
  </si>
  <si>
    <t>-395.527642240637 232.081954782044 -258.919136858323</t>
  </si>
  <si>
    <t>-624.36433734809 78.2578929158951 -98.492481407439</t>
  </si>
  <si>
    <t>-649.062704270395 86.7650361396595 304.213711519283</t>
  </si>
  <si>
    <t>-702.881326183965 100.920070722985 748.652419712471</t>
  </si>
  <si>
    <t>-557.753019322207 119.93687985684 809.178678565578</t>
  </si>
  <si>
    <t>-568.758152572814 -124.750329043155 305.431216962949</t>
  </si>
  <si>
    <t>-603.734348680252 -141.105571144223 751.569016388963</t>
  </si>
  <si>
    <t>-470.250869707856 -183.92665030341 825.296990663262</t>
  </si>
  <si>
    <t>9763-20170724T104434.383470500.bin</t>
  </si>
  <si>
    <t>-654.746764298432 11.8049280584526 -554.45557497071</t>
  </si>
  <si>
    <t>-657.13556497192 147.435866924252 -532.195432074476</t>
  </si>
  <si>
    <t>-632.623735149832 193.572367095378 -242.606334084225</t>
  </si>
  <si>
    <t>-395.322056474084 232.044674124435 -258.689478613688</t>
  </si>
  <si>
    <t>-624.114649570645 78.2932907674376 -98.4634610109244</t>
  </si>
  <si>
    <t>-648.963609000273 86.7673659791092 304.234200606053</t>
  </si>
  <si>
    <t>-702.880753630403 100.925397041028 748.660700178818</t>
  </si>
  <si>
    <t>-557.768795453618 120.127544751819 809.167748399572</t>
  </si>
  <si>
    <t>-568.638427790727 -124.681446838226 305.427734448162</t>
  </si>
  <si>
    <t>-603.721974743725 -140.962088332133 751.557941319344</t>
  </si>
  <si>
    <t>-470.33127432329 -184.044852485291 825.301303601664</t>
  </si>
  <si>
    <t>9763-20170724T104434.454161100.bin</t>
  </si>
  <si>
    <t>-654.597551262914 12.2675298699585 -554.384600265547</t>
  </si>
  <si>
    <t>-656.806683890173 147.862132945576 -531.89587146011</t>
  </si>
  <si>
    <t>-632.022077970034 193.384871707581 -242.232900223435</t>
  </si>
  <si>
    <t>-394.74102385423 231.951731859343 -258.39375119207</t>
  </si>
  <si>
    <t>-623.727051292602 78.3505664078509 -98.4189006561746</t>
  </si>
  <si>
    <t>-648.733305921015 86.7543340594386 304.270517691162</t>
  </si>
  <si>
    <t>-702.872226978244 100.992363089785 748.673467368087</t>
  </si>
  <si>
    <t>-557.751899431041 120.090258522919 809.193474294529</t>
  </si>
  <si>
    <t>-568.52613336283 -124.757433107214 305.432446649278</t>
  </si>
  <si>
    <t>-603.734331473659 -141.070122283574 751.565401326719</t>
  </si>
  <si>
    <t>-470.324811949254 -184.112400009432 825.298414161344</t>
  </si>
  <si>
    <t>9763-20170724T104434.486749700.bin</t>
  </si>
  <si>
    <t>-654.423111048312 12.5867379354361 -554.344117596823</t>
  </si>
  <si>
    <t>-656.536044113152 148.162008848028 -531.756012671814</t>
  </si>
  <si>
    <t>-631.577899322539 193.517894622364 -242.081836498701</t>
  </si>
  <si>
    <t>-394.311652287247 232.145263430471 -258.314878836743</t>
  </si>
  <si>
    <t>-623.513597166614 78.3941868764607 -98.3860047316139</t>
  </si>
  <si>
    <t>-648.658262787107 86.7619881434941 304.295504858574</t>
  </si>
  <si>
    <t>-702.860354919073 100.992270120443 748.68833507968</t>
  </si>
  <si>
    <t>-557.747403222922 120.135087080833 809.211712625763</t>
  </si>
  <si>
    <t>-568.450344440977 -124.768919791294 305.434966058102</t>
  </si>
  <si>
    <t>-603.734732171255 -141.100967435806 751.56237307408</t>
  </si>
  <si>
    <t>-470.312248885375 -184.100893262389 825.296636640994</t>
  </si>
  <si>
    <t>9763-20170724T104434.517875500.bin</t>
  </si>
  <si>
    <t>-654.147045298595 12.8907317966548 -554.318543955224</t>
  </si>
  <si>
    <t>-656.14701481212 148.460372644545 -531.646889285834</t>
  </si>
  <si>
    <t>-631.040429583597 193.692260087374 -241.966075873281</t>
  </si>
  <si>
    <t>-393.779622043388 232.355787557276 -258.193090890876</t>
  </si>
  <si>
    <t>-623.295738737135 78.4322243504992 -98.353309682856</t>
  </si>
  <si>
    <t>-648.569693636834 86.8030870079824 304.320058200643</t>
  </si>
  <si>
    <t>-702.847610499976 100.988144765149 748.698895135542</t>
  </si>
  <si>
    <t>-557.717291503564 119.953056361859 809.236701648158</t>
  </si>
  <si>
    <t>-568.395806479344 -124.731021763471 305.438060978205</t>
  </si>
  <si>
    <t>-603.731810217596 -141.043023353783 751.559413165906</t>
  </si>
  <si>
    <t>-470.408781898718 -184.330371523677 825.305376997747</t>
  </si>
  <si>
    <t>9763-20170724T104434.586591800.bin</t>
  </si>
  <si>
    <t>-653.468537990907 13.4498551597903 -554.266465509847</t>
  </si>
  <si>
    <t>-655.208070429763 148.99816330763 -531.443333061075</t>
  </si>
  <si>
    <t>-629.857590180353 193.979002150923 -241.744753403652</t>
  </si>
  <si>
    <t>-392.594225662558 232.693120110986 -257.812791113369</t>
  </si>
  <si>
    <t>-622.919219125224 78.6562636473393 -98.3098674766178</t>
  </si>
  <si>
    <t>-648.31817985602 86.8775290411947 304.358691398253</t>
  </si>
  <si>
    <t>-702.844073267942 101.038729573372 748.707318778109</t>
  </si>
  <si>
    <t>-557.723771799118 120.07664775868 809.246339061742</t>
  </si>
  <si>
    <t>-568.348742782878 -124.684287966658 305.456779464808</t>
  </si>
  <si>
    <t>-603.724592867789 -141.050478483474 751.562137863989</t>
  </si>
  <si>
    <t>-470.352318285869 -184.184845209052 825.308740079901</t>
  </si>
  <si>
    <t>9763-20170724T104434.628755000.bin</t>
  </si>
  <si>
    <t>-653.165299749844 13.769085107062 -554.246245267202</t>
  </si>
  <si>
    <t>-654.75494742208 149.305662944241 -531.345958062222</t>
  </si>
  <si>
    <t>-629.267169508415 194.163456225416 -241.640252887265</t>
  </si>
  <si>
    <t>-391.98988667761 232.846276765716 -257.577401239343</t>
  </si>
  <si>
    <t>-622.725402169485 78.777370519856 -98.2844693244624</t>
  </si>
  <si>
    <t>-648.261058194799 86.9370029414476 304.376686330006</t>
  </si>
  <si>
    <t>-702.838286140039 101.055908875846 748.714860405504</t>
  </si>
  <si>
    <t>-557.722167457619 120.114026369294 809.257552351053</t>
  </si>
  <si>
    <t>-568.316790060444 -124.639460881725 305.456401346766</t>
  </si>
  <si>
    <t>-603.726552879784 -141.036137985531 751.56272680922</t>
  </si>
  <si>
    <t>-470.360279260593 -184.194100765786 825.306304220527</t>
  </si>
  <si>
    <t>9763-20170724T104434.737571300.bin</t>
  </si>
  <si>
    <t>-652.637177919036 14.1037923203762 -554.235482660581</t>
  </si>
  <si>
    <t>-653.946956791777 149.627421301162 -531.234329068683</t>
  </si>
  <si>
    <t>-628.368764031754 194.264229205798 -241.502440964711</t>
  </si>
  <si>
    <t>-391.054690421797 232.856203426622 -257.109378895312</t>
  </si>
  <si>
    <t>-622.414530645371 78.9313384447721 -98.2593817665115</t>
  </si>
  <si>
    <t>-648.099804611097 87.0063643160181 304.393977969261</t>
  </si>
  <si>
    <t>-702.831561127181 101.088007838468 748.728763184394</t>
  </si>
  <si>
    <t>-557.700402454168 120.017346606733 809.27562163266</t>
  </si>
  <si>
    <t>-568.353529383647 -124.634996083319 305.470771679394</t>
  </si>
  <si>
    <t>-603.737442788043 -141.228307471365 751.571754225918</t>
  </si>
  <si>
    <t>-470.392539818034 -184.453548422474 825.31466626036</t>
  </si>
  <si>
    <t>9763-20170724T104434.739576200.bin</t>
  </si>
  <si>
    <t>-652.446257761364 14.2279333520751 -554.237364846666</t>
  </si>
  <si>
    <t>-653.65803278144 149.746024978808 -531.203945856087</t>
  </si>
  <si>
    <t>-628.066101698638 194.295314507081 -241.459893706781</t>
  </si>
  <si>
    <t>-390.738699540122 232.846230104335 -256.965251219848</t>
  </si>
  <si>
    <t>-622.317271268413 78.9951912771967 -98.2560918106301</t>
  </si>
  <si>
    <t>-648.030510279295 87.0318757057835 304.396248744581</t>
  </si>
  <si>
    <t>-702.824722906709 101.07229077623 748.730481010615</t>
  </si>
  <si>
    <t>-557.688075833222 119.954787536037 809.278778012926</t>
  </si>
  <si>
    <t>-568.356813415542 -124.603177778459 305.470903854097</t>
  </si>
  <si>
    <t>-603.7386388675 -141.233051175594 751.571636916582</t>
  </si>
  <si>
    <t>-470.403448196249 -184.485859926472 825.315971765991</t>
  </si>
  <si>
    <t>9763-20170724T104434.785699300.bin</t>
  </si>
  <si>
    <t>-651.377331864185 14.8734405506837 -554.249054610371</t>
  </si>
  <si>
    <t>-652.006050083284 150.374215735008 -531.082982069974</t>
  </si>
  <si>
    <t>-626.183987223456 194.490223882338 -241.293019629337</t>
  </si>
  <si>
    <t>-388.739926317587 232.721703045453 -255.768944510561</t>
  </si>
  <si>
    <t>-621.786167285581 79.4433938686141 -98.1929171060447</t>
  </si>
  <si>
    <t>-647.687578775143 87.2601396525076 304.451696683282</t>
  </si>
  <si>
    <t>-702.805159194653 101.101698685894 748.758639698171</t>
  </si>
  <si>
    <t>-557.63046364868 119.696548173634 809.304748612532</t>
  </si>
  <si>
    <t>-568.442895989548 -124.497009850465 305.474130165883</t>
  </si>
  <si>
    <t>-603.752995888087 -141.358755742682 751.571824421562</t>
  </si>
  <si>
    <t>-470.351279287103 -184.422155103615 825.306614439162</t>
  </si>
  <si>
    <t>9763-20170724T104434.854384200.bin</t>
  </si>
  <si>
    <t>-650.744235327861 15.2547723447256 -554.24419791959</t>
  </si>
  <si>
    <t>-650.903483541265 150.753968050395 -531.059913998674</t>
  </si>
  <si>
    <t>-625.3259089787 194.785027854055 -241.235265065868</t>
  </si>
  <si>
    <t>-387.72719907791 232.52473710838 -254.405314133347</t>
  </si>
  <si>
    <t>-621.423305055673 79.8450617969304 -98.14294858544</t>
  </si>
  <si>
    <t>-647.506231865068 87.5289094143852 304.492497328879</t>
  </si>
  <si>
    <t>-702.806575113682 101.149272617847 748.784560370631</t>
  </si>
  <si>
    <t>-557.63619112283 119.871472424059 809.301856360392</t>
  </si>
  <si>
    <t>-568.489730397009 -124.367581347037 305.491728392151</t>
  </si>
  <si>
    <t>-603.76092418185 -141.347002208315 751.574395603072</t>
  </si>
  <si>
    <t>-470.372494096639 -184.456821473315 825.306189848843</t>
  </si>
  <si>
    <t>9763-20170724T104434.883467000.bin</t>
  </si>
  <si>
    <t>-650.496957113809 15.5137634122493 -554.23264766558</t>
  </si>
  <si>
    <t>-650.411314538266 151.00747834823 -531.036138422477</t>
  </si>
  <si>
    <t>-625.158394561863 194.884554893728 -241.1597318346</t>
  </si>
  <si>
    <t>-387.497344836431 232.425632301026 -253.759089960402</t>
  </si>
  <si>
    <t>-621.312662585185 80.0789165701217 -98.1151972747808</t>
  </si>
  <si>
    <t>-647.443941669397 87.636998526832 304.519510253107</t>
  </si>
  <si>
    <t>-702.802072176048 101.107905750227 748.803930965266</t>
  </si>
  <si>
    <t>-557.58429796766 119.528982485054 809.299967792986</t>
  </si>
  <si>
    <t>-568.53380027728 -124.228564154345 305.491951666244</t>
  </si>
  <si>
    <t>-603.75653974361 -141.295075776881 751.571195498005</t>
  </si>
  <si>
    <t>-470.376672522947 -184.421632082149 825.308592422267</t>
  </si>
  <si>
    <t>9763-20170724T104434.949644100.bin</t>
  </si>
  <si>
    <t>-650.103327916291 16.1369644993301 -554.243044223549</t>
  </si>
  <si>
    <t>-649.580682009821 151.612946816523 -530.956296271299</t>
  </si>
  <si>
    <t>-625.212392114825 195.020563268728 -240.933663972873</t>
  </si>
  <si>
    <t>-387.372385980682 231.892292613311 -252.043443362127</t>
  </si>
  <si>
    <t>-621.189903857687 80.595927843942 -98.0663136012766</t>
  </si>
  <si>
    <t>-647.232819925122 87.8445152140728 304.57982607571</t>
  </si>
  <si>
    <t>-702.801102993749 101.050528721962 748.859210235914</t>
  </si>
  <si>
    <t>-557.54131155209 119.355714749702 809.289467569342</t>
  </si>
  <si>
    <t>-568.581102780971 -123.907182089821 305.449348902132</t>
  </si>
  <si>
    <t>-603.735710376826 -141.271609847549 751.531331384866</t>
  </si>
  <si>
    <t>-470.437396697827 -184.563303154508 825.319439932453</t>
  </si>
  <si>
    <t>9763-20170724T104434.987262000.bin</t>
  </si>
  <si>
    <t>-649.829004570326 16.4235499789465 -554.226270489107</t>
  </si>
  <si>
    <t>-649.066825440599 151.885788277164 -530.856531936334</t>
  </si>
  <si>
    <t>-625.550409743344 194.771594011691 -240.685952149804</t>
  </si>
  <si>
    <t>-387.627037841139 231.354656421154 -250.932664001312</t>
  </si>
  <si>
    <t>-621.175729299792 80.6745680251486 -98.0221165637247</t>
  </si>
  <si>
    <t>-647.21883508338 87.8840937889504 304.62467786954</t>
  </si>
  <si>
    <t>-702.804970580772 101.049206718908 748.891297479781</t>
  </si>
  <si>
    <t>-557.540659809217 119.429430247472 809.287920145442</t>
  </si>
  <si>
    <t>-568.610366626781 -123.910156576787 305.413667538412</t>
  </si>
  <si>
    <t>-603.745214503887 -141.502348148417 751.515555703841</t>
  </si>
  <si>
    <t>-470.372328778415 -184.541751125813 825.316523711512</t>
  </si>
  <si>
    <t>9763-20170724T104435.049932700.bin</t>
  </si>
  <si>
    <t>-649.201887839062 17.1365942747186 -554.196313770476</t>
  </si>
  <si>
    <t>-648.031660197233 152.569064018293 -530.633864932029</t>
  </si>
  <si>
    <t>-627.182000940647 193.534599128151 -239.982338585808</t>
  </si>
  <si>
    <t>-389.153437958996 230.061466754993 -247.666282984877</t>
  </si>
  <si>
    <t>-621.421290295664 80.7466452820931 -97.9018504125155</t>
  </si>
  <si>
    <t>-647.397693248782 87.9838461852275 304.748779792135</t>
  </si>
  <si>
    <t>-702.793507757268 100.946382240808 749.007379225086</t>
  </si>
  <si>
    <t>-557.450141918791 118.929488622661 809.333205799738</t>
  </si>
  <si>
    <t>-568.893713155214 -123.606530085812 305.339792951545</t>
  </si>
  <si>
    <t>-603.723807306271 -141.315974868955 751.465822139943</t>
  </si>
  <si>
    <t>-470.575468400119 -184.95748996577 825.318551825606</t>
  </si>
  <si>
    <t>9763-20170724T104435.087534000.bin</t>
  </si>
  <si>
    <t>-649.022883842244 17.5217188628289 -554.183013420479</t>
  </si>
  <si>
    <t>-647.736978410549 152.938324795996 -530.514500699469</t>
  </si>
  <si>
    <t>-629.198675146586 192.239731114036 -239.476818215893</t>
  </si>
  <si>
    <t>-391.239397273999 229.529974252912 -245.450679707798</t>
  </si>
  <si>
    <t>-621.730158910268 80.8447074695428 -97.8395698006304</t>
  </si>
  <si>
    <t>-647.525276560031 88.0666146197348 304.822998740084</t>
  </si>
  <si>
    <t>-702.783607384167 100.888467370388 749.091698298489</t>
  </si>
  <si>
    <t>-557.399140875019 118.63947087917 809.387385679005</t>
  </si>
  <si>
    <t>-569.125107961914 -123.439929302446 305.287669124464</t>
  </si>
  <si>
    <t>-603.722404011094 -141.263924963708 751.44340329338</t>
  </si>
  <si>
    <t>-470.713472271415 -185.286119906119 825.321515203967</t>
  </si>
  <si>
    <t>9763-20170724T104435.150974400.bin</t>
  </si>
  <si>
    <t>-648.587072180557 18.3776462521998 -554.081316489887</t>
  </si>
  <si>
    <t>-647.2159277119 153.739699023222 -530.17729683957</t>
  </si>
  <si>
    <t>-636.666483183288 188.420653776374 -238.154723239126</t>
  </si>
  <si>
    <t>-398.913692675266 227.459956396803 -237.507516232282</t>
  </si>
  <si>
    <t>-622.180265247393 80.9251041144773 -97.6418608939503</t>
  </si>
  <si>
    <t>-647.843995741991 88.2221677388122 305.02772184587</t>
  </si>
  <si>
    <t>-702.768660393731 100.863384491309 749.305628279142</t>
  </si>
  <si>
    <t>-557.368476311791 118.619214166111 809.561924840267</t>
  </si>
  <si>
    <t>-569.822350354074 -123.250662846761 305.218342025639</t>
  </si>
  <si>
    <t>-603.725401161451 -141.312320777839 751.422826678752</t>
  </si>
  <si>
    <t>-470.819288550667 -185.609623813708 825.321485739685</t>
  </si>
  <si>
    <t>9763-20170724T104435.185572500.bin</t>
  </si>
  <si>
    <t>-648.369811000566 19.1714174147494 -553.976208007372</t>
  </si>
  <si>
    <t>-647.003998354232 154.49652117167 -529.908232558105</t>
  </si>
  <si>
    <t>-641.508140777642 186.505459444076 -237.442123186427</t>
  </si>
  <si>
    <t>-403.853149858054 225.815467647788 -232.372339219751</t>
  </si>
  <si>
    <t>-622.417238816016 81.1400006576919 -97.557087353478</t>
  </si>
  <si>
    <t>-647.959710002506 88.3652928804486 305.12149541272</t>
  </si>
  <si>
    <t>-702.754657354413 100.876592772289 749.419101736487</t>
  </si>
  <si>
    <t>-557.330138427712 118.42173565664 809.678372132655</t>
  </si>
  <si>
    <t>-570.259037557018 -123.173707722688 305.22781251774</t>
  </si>
  <si>
    <t>-603.732106885115 -141.327404795915 751.429981192185</t>
  </si>
  <si>
    <t>-470.854091644198 -185.700012646891 825.334070114818</t>
  </si>
  <si>
    <t>9763-20170724T104435.217156500.bin</t>
  </si>
  <si>
    <t>-648.284839373356 20.2860057180415 -553.848406448654</t>
  </si>
  <si>
    <t>-646.941278451858 155.570180474932 -529.553963150425</t>
  </si>
  <si>
    <t>-646.106016156405 184.950694245026 -236.761624279654</t>
  </si>
  <si>
    <t>-408.621661878348 224.388322280454 -226.926738295182</t>
  </si>
  <si>
    <t>-622.687106292384 81.4272508150943 -97.4946789760149</t>
  </si>
  <si>
    <t>-647.996472329118 88.5971749468436 305.199652599408</t>
  </si>
  <si>
    <t>-702.744650562903 100.95161045261 749.525196143027</t>
  </si>
  <si>
    <t>-557.335838375232 118.609893227034 809.789301702783</t>
  </si>
  <si>
    <t>-570.687927699118 -122.941808135763 305.226935695206</t>
  </si>
  <si>
    <t>-603.729977835958 -141.249893121954 751.437246880716</t>
  </si>
  <si>
    <t>-471.058200392167 -186.198577876445 825.36372238415</t>
  </si>
  <si>
    <t>9763-20170724T104435.287848800.bin</t>
  </si>
  <si>
    <t>-648.795091092526 22.4093634513313 -553.555211693467</t>
  </si>
  <si>
    <t>-648.109618209164 157.591067016305 -528.629741795804</t>
  </si>
  <si>
    <t>-653.704384032076 182.414476812208 -235.468117377425</t>
  </si>
  <si>
    <t>-416.840763478509 222.64266751156 -217.352578553815</t>
  </si>
  <si>
    <t>-623.900698523286 81.9284389890186 -97.4095877329734</t>
  </si>
  <si>
    <t>-648.260876590896 88.9377240065307 305.34609574603</t>
  </si>
  <si>
    <t>-702.696569608061 100.997107172589 749.758444126339</t>
  </si>
  <si>
    <t>-557.272772153338 118.466526365444 810.041414833561</t>
  </si>
  <si>
    <t>-571.441815697199 -122.774110930843 305.248940189871</t>
  </si>
  <si>
    <t>-603.757368435099 -141.502446665662 751.485529143489</t>
  </si>
  <si>
    <t>-470.921930902068 -186.005911307542 825.387395195321</t>
  </si>
  <si>
    <t>9763-20170724T104435.354098200.bin</t>
  </si>
  <si>
    <t>-617.40472595766 1.90273056307365 -687.299963029271</t>
  </si>
  <si>
    <t>-649.707484811261 23.9812349854467 -553.252096191322</t>
  </si>
  <si>
    <t>-650.310774516637 159.025125086385 -527.528281448967</t>
  </si>
  <si>
    <t>-658.14420658497 180.750794287737 -234.172123470546</t>
  </si>
  <si>
    <t>-421.731381627748 222.585463849467 -213.931861289146</t>
  </si>
  <si>
    <t>-625.692769906481 81.8860637224107 -97.3879030698207</t>
  </si>
  <si>
    <t>-649.301280724484 89.1714150535106 305.407656965063</t>
  </si>
  <si>
    <t>-702.679514588579 101.213551967066 749.923411728347</t>
  </si>
  <si>
    <t>-557.318371254641 119.085556032456 810.239529338744</t>
  </si>
  <si>
    <t>-572.007655407094 -122.726923262419 305.258640852566</t>
  </si>
  <si>
    <t>-603.778515461746 -141.743785970969 751.527844232863</t>
  </si>
  <si>
    <t>-470.818518986119 -185.89064298141 825.419578927634</t>
  </si>
  <si>
    <t>9763-20170724T104435.407252800.bin</t>
  </si>
  <si>
    <t>-618.208555902836 2.52102322424025 -687.363943236548</t>
  </si>
  <si>
    <t>-650.642174134751 24.0334850788065 -553.192976245869</t>
  </si>
  <si>
    <t>-652.326204969093 159.003808864558 -527.12976924866</t>
  </si>
  <si>
    <t>-658.754556832654 180.281658970817 -233.706578026077</t>
  </si>
  <si>
    <t>-422.486123976365 223.403041866932 -214.506296833633</t>
  </si>
  <si>
    <t>-627.560959240867 81.6973236663803 -97.4590744890802</t>
  </si>
  <si>
    <t>-650.515235016329 89.252077579458 305.369360630723</t>
  </si>
  <si>
    <t>-702.654870024157 101.300064123464 750.031218763036</t>
  </si>
  <si>
    <t>-557.292767921312 119.048210940385 810.381457877951</t>
  </si>
  <si>
    <t>-572.551311416321 -122.684284936444 305.264134167637</t>
  </si>
  <si>
    <t>-603.816200409805 -141.836833539063 751.573516307821</t>
  </si>
  <si>
    <t>-470.779024116855 -185.811515012259 825.428981667461</t>
  </si>
  <si>
    <t>9763-20170724T104435.449362700.bin</t>
  </si>
  <si>
    <t>-618.989620425253 2.00978681366155 -687.5015775392</t>
  </si>
  <si>
    <t>-651.571199621012 23.1541772577102 -553.298249997409</t>
  </si>
  <si>
    <t>-654.084613319713 158.114493814977 -527.29134481924</t>
  </si>
  <si>
    <t>-658.715753624471 180.31973163706 -233.903131386916</t>
  </si>
  <si>
    <t>-422.557464324552 224.401466386521 -215.54802390482</t>
  </si>
  <si>
    <t>-629.664689107642 81.2794999128594 -97.5921143274354</t>
  </si>
  <si>
    <t>-651.963890464532 89.2608348578469 305.264840749905</t>
  </si>
  <si>
    <t>-702.639739393088 101.440798378128 750.112315423097</t>
  </si>
  <si>
    <t>-557.326062626879 119.44817200027 810.502306374122</t>
  </si>
  <si>
    <t>-573.300795338798 -122.648143300381 305.234947900197</t>
  </si>
  <si>
    <t>-603.823879847583 -141.853478866198 751.60292647691</t>
  </si>
  <si>
    <t>-470.81929516314 -185.943524714666 825.448257952288</t>
  </si>
  <si>
    <t>9763-20170724T104435.487466500.bin</t>
  </si>
  <si>
    <t>-619.271808370595 1.64954878908361 -687.587876603004</t>
  </si>
  <si>
    <t>-652.013570273835 22.5899717867128 -553.392055396235</t>
  </si>
  <si>
    <t>-654.902802425505 157.565425299258 -527.538309729833</t>
  </si>
  <si>
    <t>-659.055218252074 180.674551219877 -234.212837528333</t>
  </si>
  <si>
    <t>-422.991061321342 225.211041434878 -215.744827427416</t>
  </si>
  <si>
    <t>-631.119108781464 81.0808712524522 -97.6915533151742</t>
  </si>
  <si>
    <t>-652.93941242039 89.3100371772111 305.186603004524</t>
  </si>
  <si>
    <t>-702.646699071496 101.571214681043 750.150259732036</t>
  </si>
  <si>
    <t>-557.366702249784 119.797362407121 810.555756042612</t>
  </si>
  <si>
    <t>-573.905643145239 -122.552561817652 305.214407094111</t>
  </si>
  <si>
    <t>-603.827940629607 -141.74394529877 751.616285601558</t>
  </si>
  <si>
    <t>-470.887091149251 -186.02309882609 825.46334816094</t>
  </si>
  <si>
    <t>9763-20170724T104435.554180700.bin</t>
  </si>
  <si>
    <t>-619.297835096458 0.944285181031546 -687.727608180787</t>
  </si>
  <si>
    <t>-652.515526225202 21.6077393511362 -553.59746547134</t>
  </si>
  <si>
    <t>-655.975963146103 156.667245514186 -528.264997859167</t>
  </si>
  <si>
    <t>-660.224034045222 181.734645111066 -235.101527289658</t>
  </si>
  <si>
    <t>-424.266827770463 226.752352516354 -216.434308395768</t>
  </si>
  <si>
    <t>-634.075434800004 80.6721093378253 -97.8633829079409</t>
  </si>
  <si>
    <t>-655.054558144143 89.2618274811741 305.051903295668</t>
  </si>
  <si>
    <t>-702.641854987473 101.670640541365 750.227439923508</t>
  </si>
  <si>
    <t>-557.346538334973 119.687336385996 810.658983624437</t>
  </si>
  <si>
    <t>-575.762269864941 -122.67155291976 305.145038719605</t>
  </si>
  <si>
    <t>-603.863881028131 -141.952298822516 751.662642147115</t>
  </si>
  <si>
    <t>-470.726364693569 -185.721171627778 825.459540130346</t>
  </si>
  <si>
    <t>9763-20170724T104435.588275900.bin</t>
  </si>
  <si>
    <t>-619.375641331827 0.405304524493431 -687.815585715715</t>
  </si>
  <si>
    <t>-652.837713456836 21.0462633806555 -553.741477125785</t>
  </si>
  <si>
    <t>-656.469501621735 156.169185310692 -528.686319947656</t>
  </si>
  <si>
    <t>-660.621907830189 182.252276052165 -235.610123083107</t>
  </si>
  <si>
    <t>-424.701337883275 227.388177265901 -216.766613629387</t>
  </si>
  <si>
    <t>-635.543767577306 80.4488409647961 -97.9573357058587</t>
  </si>
  <si>
    <t>-656.21507404189 89.2284027916737 304.969806507895</t>
  </si>
  <si>
    <t>-702.631647568139 101.697979621186 750.263551279687</t>
  </si>
  <si>
    <t>-557.340725491377 119.695983910598 810.711090120729</t>
  </si>
  <si>
    <t>-576.956653797722 -122.645685755009 305.088824687941</t>
  </si>
  <si>
    <t>-603.871098429993 -141.89449638494 751.675724997295</t>
  </si>
  <si>
    <t>-470.814459937983 -185.911289728117 825.471054851297</t>
  </si>
  <si>
    <t>9763-20170724T104435.649607300.bin</t>
  </si>
  <si>
    <t>-653.70607384491 19.7697789023787 -554.050548112448</t>
  </si>
  <si>
    <t>-657.642092357978 154.968700715959 -529.493178781514</t>
  </si>
  <si>
    <t>-660.861088631302 183.176421070773 -236.60226392864</t>
  </si>
  <si>
    <t>-425.03639380801 228.796545731397 -217.723728830854</t>
  </si>
  <si>
    <t>-638.768174623995 79.8165317029118 -98.2379879315311</t>
  </si>
  <si>
    <t>-658.808308768276 89.33336190252 304.704327092056</t>
  </si>
  <si>
    <t>-702.587203701292 101.9750349147 750.299197077841</t>
  </si>
  <si>
    <t>-557.355300721289 119.932559186263 810.90042049537</t>
  </si>
  <si>
    <t>-579.577287505571 -122.94477067355 304.989030885923</t>
  </si>
  <si>
    <t>-603.905075678598 -142.017139522799 751.732299044504</t>
  </si>
  <si>
    <t>-470.777123369079 -185.888910095595 825.485402431745</t>
  </si>
  <si>
    <t>9763-20170724T104435.686207600.bin</t>
  </si>
  <si>
    <t>-654.162848506388 18.7177656489309 -554.204639524473</t>
  </si>
  <si>
    <t>-658.312024785223 153.954065259878 -529.859194319414</t>
  </si>
  <si>
    <t>-660.804882354177 183.296832621616 -237.0724332803</t>
  </si>
  <si>
    <t>-425.071785153018 229.403642763208 -218.232879528646</t>
  </si>
  <si>
    <t>-640.427155515748 79.2889091488032 -98.4009322424196</t>
  </si>
  <si>
    <t>-659.998912847164 89.2959433925962 304.552575176296</t>
  </si>
  <si>
    <t>-702.575617247319 102.139380826196 750.281821332817</t>
  </si>
  <si>
    <t>-557.352111134697 119.888435977063 810.964769573509</t>
  </si>
  <si>
    <t>-580.960778648998 -123.217834732191 304.969264723831</t>
  </si>
  <si>
    <t>-603.933276265872 -142.205176299211 751.786136393452</t>
  </si>
  <si>
    <t>-470.654361526517 -185.687927477855 825.497038286903</t>
  </si>
  <si>
    <t>9763-20170724T104435.754435900.bin</t>
  </si>
  <si>
    <t>-654.999700135143 16.105074279541 -554.52862058639</t>
  </si>
  <si>
    <t>-659.631479545384 151.412413012845 -530.680229671397</t>
  </si>
  <si>
    <t>-660.542345092679 182.817880550718 -238.098557883192</t>
  </si>
  <si>
    <t>-425.011505535282 230.013882023942 -219.427465145062</t>
  </si>
  <si>
    <t>-643.568267998065 77.9875320184676 -98.7430586137777</t>
  </si>
  <si>
    <t>-662.064388413729 89.0181018100204 304.234441973495</t>
  </si>
  <si>
    <t>-702.604226736775 102.534599864538 750.158482923673</t>
  </si>
  <si>
    <t>-557.410642399903 120.096474435002 810.967131184926</t>
  </si>
  <si>
    <t>-583.423959857207 -123.651952436249 304.954197483993</t>
  </si>
  <si>
    <t>-603.968239312008 -142.357217436539 751.894549554005</t>
  </si>
  <si>
    <t>-470.797810282638 -186.235587028506 825.567017042078</t>
  </si>
  <si>
    <t>9763-20170724T104435.785519100.bin</t>
  </si>
  <si>
    <t>-655.514641631476 14.5405636291218 -554.703234305022</t>
  </si>
  <si>
    <t>-660.406517820626 149.887042642154 -531.167802550001</t>
  </si>
  <si>
    <t>-660.486177695523 182.526958019381 -238.719841252148</t>
  </si>
  <si>
    <t>-425.042221748596 230.20819703542 -220.185848521514</t>
  </si>
  <si>
    <t>-645.019921905157 77.2772139582814 -98.912147424911</t>
  </si>
  <si>
    <t>-662.985793675292 88.7927850861975 304.075793514</t>
  </si>
  <si>
    <t>-702.629267062231 102.729718870869 750.074733949129</t>
  </si>
  <si>
    <t>-557.484535957764 120.512796544985 810.935785632079</t>
  </si>
  <si>
    <t>-584.425377361597 -123.966946667825 304.956376144771</t>
  </si>
  <si>
    <t>-603.989397254102 -142.351776175025 751.954597165586</t>
  </si>
  <si>
    <t>-470.762112983274 -186.121950545982 825.588485616871</t>
  </si>
  <si>
    <t>9763-20170724T104435.850694000.bin</t>
  </si>
  <si>
    <t>-656.660217217001 11.0779544434788 -554.970021373322</t>
  </si>
  <si>
    <t>-661.924400259845 146.526261476442 -532.087876376979</t>
  </si>
  <si>
    <t>-660.317665004757 181.379201311785 -239.899606289511</t>
  </si>
  <si>
    <t>-425.072930132626 230.153076666249 -221.681859617877</t>
  </si>
  <si>
    <t>-647.536193889936 75.6463979087453 -99.1912129924192</t>
  </si>
  <si>
    <t>-664.649500637364 88.0393651112204 303.807830427116</t>
  </si>
  <si>
    <t>-702.647117539705 102.892364641688 749.904281503009</t>
  </si>
  <si>
    <t>-557.473450421445 120.13845195281 810.850787632213</t>
  </si>
  <si>
    <t>-586.166401164914 -124.907174714741 305.017866813498</t>
  </si>
  <si>
    <t>-604.057890675581 -142.762389223854 752.110241329907</t>
  </si>
  <si>
    <t>-470.570846618206 -185.936382268867 825.625680721624</t>
  </si>
  <si>
    <t>9763-20170724T104435.885826000.bin</t>
  </si>
  <si>
    <t>-657.272317213407 9.39116950305561 -555.09598046678</t>
  </si>
  <si>
    <t>-662.595880674907 144.896929213129 -532.592169073077</t>
  </si>
  <si>
    <t>-660.349844868214 180.89569097958 -240.547189636201</t>
  </si>
  <si>
    <t>-425.165691025974 230.088606428054 -222.676119798159</t>
  </si>
  <si>
    <t>-648.564654215676 74.926862629532 -99.3157896335595</t>
  </si>
  <si>
    <t>-665.397961800105 87.6386680127644 303.685174272139</t>
  </si>
  <si>
    <t>-702.662017410317 102.915400998231 749.813390445127</t>
  </si>
  <si>
    <t>-557.506617002259 120.277142416138 810.770557689887</t>
  </si>
  <si>
    <t>-587.071358968216 -125.259519792018 305.060961061159</t>
  </si>
  <si>
    <t>-604.079077320646 -142.746250409988 752.182895996879</t>
  </si>
  <si>
    <t>-470.612155900786 -186.064645133057 825.649930334734</t>
  </si>
  <si>
    <t>9763-20170724T104435.953523600.bin</t>
  </si>
  <si>
    <t>-658.648848689691 6.10221669815178 -555.432734119144</t>
  </si>
  <si>
    <t>-663.997082390049 141.732893126073 -533.669328741259</t>
  </si>
  <si>
    <t>-660.418607935797 180.006014043867 -241.927051603984</t>
  </si>
  <si>
    <t>-425.383752349439 230.134964925222 -224.706636190017</t>
  </si>
  <si>
    <t>-650.34626138586 73.6958751062418 -99.6096993827432</t>
  </si>
  <si>
    <t>-666.494354685953 86.9420727515583 303.402048575498</t>
  </si>
  <si>
    <t>-702.674792354402 102.895759131662 749.609815619877</t>
  </si>
  <si>
    <t>-557.493459927476 119.971833824043 810.58607423877</t>
  </si>
  <si>
    <t>-588.996419953566 -125.953015097057 305.135382723341</t>
  </si>
  <si>
    <t>-604.139387384289 -142.913483976359 752.326562633271</t>
  </si>
  <si>
    <t>-470.530438247088 -185.984854295479 825.680643582491</t>
  </si>
  <si>
    <t>9763-20170724T104435.984608200.bin</t>
  </si>
  <si>
    <t>-659.417159463642 4.42761491912302 -555.637104151296</t>
  </si>
  <si>
    <t>-664.524167280666 140.141068332535 -534.338540302909</t>
  </si>
  <si>
    <t>-660.582335240727 179.499913582633 -242.745427750878</t>
  </si>
  <si>
    <t>-425.634649072931 230.063040839932 -225.604285965192</t>
  </si>
  <si>
    <t>-651.231366496678 73.3171643132976 -99.7997768433382</t>
  </si>
  <si>
    <t>-666.761084302527 86.6825324290353 303.23229481304</t>
  </si>
  <si>
    <t>-702.698018647509 102.942329345779 749.482009555721</t>
  </si>
  <si>
    <t>-557.547952149066 120.294663349957 810.454563846373</t>
  </si>
  <si>
    <t>-589.969049943886 -126.158345459517 305.161063647785</t>
  </si>
  <si>
    <t>-604.165274055989 -143.082076519064 752.390451303472</t>
  </si>
  <si>
    <t>-470.527060376705 -186.13001145577 825.704851409484</t>
  </si>
  <si>
    <t>9763-20170724T104436.036283600.bin</t>
  </si>
  <si>
    <t>-660.250142726225 2.86595294835729 -555.832319164773</t>
  </si>
  <si>
    <t>-665.036798136579 138.653158832059 -535.109760464767</t>
  </si>
  <si>
    <t>-660.764768135092 179.182464114514 -243.681628505343</t>
  </si>
  <si>
    <t>-425.852288240317 229.956752013824 -226.683697943702</t>
  </si>
  <si>
    <t>-652.065381564509 72.9589779686924 -99.9954394550844</t>
  </si>
  <si>
    <t>-666.886328394118 86.5116941205454 303.057142319824</t>
  </si>
  <si>
    <t>-702.706908579436 102.92095680561 749.338965991881</t>
  </si>
  <si>
    <t>-557.539318565062 120.100814984037 810.318547191783</t>
  </si>
  <si>
    <t>-590.913540497833 -126.328162869537 305.194424491401</t>
  </si>
  <si>
    <t>-604.196436059081 -143.149723737296 752.460360691154</t>
  </si>
  <si>
    <t>-470.573843069408 -186.321711798534 825.730260565472</t>
  </si>
  <si>
    <t>9763-20170724T104436.084414800.bin</t>
  </si>
  <si>
    <t>-661.719493616203 1.79684117059901 -556.125696840801</t>
  </si>
  <si>
    <t>-666.891277703143 137.680827143396 -536.067583033316</t>
  </si>
  <si>
    <t>-661.056335864716 180.063293642969 -244.930394176589</t>
  </si>
  <si>
    <t>-426.430631723593 232.505277936449 -229.071093858098</t>
  </si>
  <si>
    <t>-653.706211169364 72.7932450900394 -100.465730208146</t>
  </si>
  <si>
    <t>-666.733715504237 86.5285022298306 302.642581166181</t>
  </si>
  <si>
    <t>-702.769229983338 103.163611239321 748.984918906953</t>
  </si>
  <si>
    <t>-557.675876038832 120.862414693749 809.992733111154</t>
  </si>
  <si>
    <t>-593.45835282398 -126.906840698018 305.361496274058</t>
  </si>
  <si>
    <t>-604.357571816173 -143.531397755376 752.690607153905</t>
  </si>
  <si>
    <t>-470.545294766578 -186.453190003928 825.761026808825</t>
  </si>
  <si>
    <t>9763-20170724T104436.151927600.bin</t>
  </si>
  <si>
    <t>-661.907622794335 1.91397044123596 -556.372576081868</t>
  </si>
  <si>
    <t>-668.172804844363 137.79062453251 -536.450674127258</t>
  </si>
  <si>
    <t>-661.121509885845 180.567197082749 -245.398108851222</t>
  </si>
  <si>
    <t>-427.043396394933 235.820835162926 -231.067682504664</t>
  </si>
  <si>
    <t>-655.542118978182 73.0966196743732 -101.105234414702</t>
  </si>
  <si>
    <t>-666.429697582067 87.6071284114637 302.039377799352</t>
  </si>
  <si>
    <t>-702.916789926889 103.797858035651 748.408419435212</t>
  </si>
  <si>
    <t>-557.900761397997 121.810494575831 809.508146700201</t>
  </si>
  <si>
    <t>-596.70519775629 -126.890430890126 305.710846848132</t>
  </si>
  <si>
    <t>-604.454869849276 -143.933114227991 752.967816713332</t>
  </si>
  <si>
    <t>-470.529532447689 -186.775118365559 825.877753971225</t>
  </si>
  <si>
    <t>9763-20170724T104436.220687200.bin</t>
  </si>
  <si>
    <t>-661.42850467196 1.55455756293372 -556.580798514912</t>
  </si>
  <si>
    <t>-668.2863497796 137.513412076487 -537.270038011688</t>
  </si>
  <si>
    <t>-661.411260330289 180.785434062657 -246.286456170509</t>
  </si>
  <si>
    <t>-427.683365604802 237.711947932832 -232.81338570326</t>
  </si>
  <si>
    <t>-656.557836832238 73.2534149848807 -101.515621867119</t>
  </si>
  <si>
    <t>-667.404117079199 88.8986590098 301.587688861811</t>
  </si>
  <si>
    <t>-703.050082366677 104.105382196178 747.812288497513</t>
  </si>
  <si>
    <t>-558.07908922892 122.36360825583 808.946189911189</t>
  </si>
  <si>
    <t>-597.572191593108 -126.715970879103 305.765045565673</t>
  </si>
  <si>
    <t>-604.338308377607 -143.874919866601 753.078868666693</t>
  </si>
  <si>
    <t>-470.590344752849 -187.194203679159 826.032431660771</t>
  </si>
  <si>
    <t>9763-20170724T104436.254765600.bin</t>
  </si>
  <si>
    <t>-661.640743562141 0.944587560283026 -556.750560429703</t>
  </si>
  <si>
    <t>-668.526079452442 136.974706757962 -537.969379114514</t>
  </si>
  <si>
    <t>-662.07731127638 180.544963165239 -247.020577973606</t>
  </si>
  <si>
    <t>-428.394542297379 237.670158914878 -233.606373391392</t>
  </si>
  <si>
    <t>-657.401300821549 73.6662362686341 -101.659766503924</t>
  </si>
  <si>
    <t>-668.314369824554 89.350623039179 301.440157363731</t>
  </si>
  <si>
    <t>-703.146690065407 104.328905208251 747.643980053238</t>
  </si>
  <si>
    <t>-558.162701908862 122.469743568247 808.781841345942</t>
  </si>
  <si>
    <t>-597.518152932033 -126.723968762341 305.698107827975</t>
  </si>
  <si>
    <t>-604.289361675988 -143.980764501739 753.075534635067</t>
  </si>
  <si>
    <t>-470.457764275587 -187.032675876883 826.034042574139</t>
  </si>
  <si>
    <t>9763-20170724T104436.282842000.bin</t>
  </si>
  <si>
    <t>-662.024962306873 0.0175113324246468 -556.938460961613</t>
  </si>
  <si>
    <t>-668.826553549881 136.116753979409 -538.713907824114</t>
  </si>
  <si>
    <t>-662.934227746925 180.184811809236 -247.828191985984</t>
  </si>
  <si>
    <t>-429.234022132917 237.220606219669 -234.337761510909</t>
  </si>
  <si>
    <t>-658.3154652119 74.0454045534989 -101.771478943032</t>
  </si>
  <si>
    <t>-669.172477209125 89.6384977976459 301.3335409861</t>
  </si>
  <si>
    <t>-703.219629876583 104.48350505965 747.55982416587</t>
  </si>
  <si>
    <t>-558.210847299416 122.421421895758 808.698964584728</t>
  </si>
  <si>
    <t>-597.544948944484 -126.496653483471 305.63558101009</t>
  </si>
  <si>
    <t>-604.238158366134 -143.912939278038 753.044690576166</t>
  </si>
  <si>
    <t>-470.459432460252 -187.097002416283 826.022051836386</t>
  </si>
  <si>
    <t>9763-20170724T104436.350562200.bin</t>
  </si>
  <si>
    <t>-669.337699409638 134.200083157826 -539.945476870681</t>
  </si>
  <si>
    <t>-664.154891623255 179.669192471392 -249.2619733416</t>
  </si>
  <si>
    <t>-430.291154440572 235.985589912563 -235.583754128339</t>
  </si>
  <si>
    <t>-658.998653471254 74.1339129895323 -101.905914858725</t>
  </si>
  <si>
    <t>-669.914447621658 89.7961434720344 301.194828387968</t>
  </si>
  <si>
    <t>-703.330484113713 104.688100408733 747.502835728817</t>
  </si>
  <si>
    <t>-558.317588132746 122.63878690024 808.628264023929</t>
  </si>
  <si>
    <t>-597.411162563586 -125.991388211915 305.523697871868</t>
  </si>
  <si>
    <t>-604.122811351489 -143.655294430828 752.938496357956</t>
  </si>
  <si>
    <t>-470.513089178516 -187.247760736158 825.98257568509</t>
  </si>
  <si>
    <t>9763-20170724T104436.388166300.bin</t>
  </si>
  <si>
    <t>-669.63986755036 134.112437328447 -540.188015179536</t>
  </si>
  <si>
    <t>-664.36168642007 179.981667915437 -249.569050342862</t>
  </si>
  <si>
    <t>-430.463804306384 236.141633643027 -235.830658068902</t>
  </si>
  <si>
    <t>-658.875257618104 74.1965905768579 -101.90570874666</t>
  </si>
  <si>
    <t>-669.783051661671 89.8481850772089 301.195686600637</t>
  </si>
  <si>
    <t>-703.3221616004 104.648602255815 747.497277917548</t>
  </si>
  <si>
    <t>-558.314228420288 122.651446123167 808.619330724482</t>
  </si>
  <si>
    <t>-597.328136788219 -125.805922657245 305.442166248993</t>
  </si>
  <si>
    <t>-604.061451933283 -143.641407241739 752.873082357632</t>
  </si>
  <si>
    <t>-470.522665369473 -187.377827493023 825.960895198918</t>
  </si>
  <si>
    <t>9763-20170724T104436.452906200.bin</t>
  </si>
  <si>
    <t>-670.323385141077 135.10426337623 -540.150345702601</t>
  </si>
  <si>
    <t>-664.632235288786 180.182669362544 -249.415564750773</t>
  </si>
  <si>
    <t>-430.948133160283 237.078696428912 -235.081530626368</t>
  </si>
  <si>
    <t>-658.608539250065 74.7771561656448 -101.845324069509</t>
  </si>
  <si>
    <t>-669.270428833885 90.0963649370058 301.275386383251</t>
  </si>
  <si>
    <t>-703.446754141325 104.910216894155 747.526912728258</t>
  </si>
  <si>
    <t>-558.390846332938 122.473696758496 808.66265218455</t>
  </si>
  <si>
    <t>-596.872962122416 -125.566162570708 305.272324680068</t>
  </si>
  <si>
    <t>-603.96422565561 -143.794107560696 752.73923496074</t>
  </si>
  <si>
    <t>-470.428616329404 -187.412160734826 825.903576247627</t>
  </si>
  <si>
    <t>9763-20170724T104436.483994700.bin</t>
  </si>
  <si>
    <t>-670.344168778591 135.699846996995 -540.074966735424</t>
  </si>
  <si>
    <t>-664.43278785045 179.961354898965 -249.219075505623</t>
  </si>
  <si>
    <t>-430.947661255648 237.538559064336 -234.372881989261</t>
  </si>
  <si>
    <t>-658.355070547407 75.0697228763945 -101.834443238599</t>
  </si>
  <si>
    <t>-668.891650107034 90.2701569476615 301.294073891871</t>
  </si>
  <si>
    <t>-703.495572134434 105.023688675104 747.515485963822</t>
  </si>
  <si>
    <t>-558.423183549224 122.452510251443 808.650899499671</t>
  </si>
  <si>
    <t>-596.563936343952 -125.497472990654 305.226555323092</t>
  </si>
  <si>
    <t>-603.923806151226 -143.902881770086 752.683327784466</t>
  </si>
  <si>
    <t>-470.318318629342 -187.268934600954 825.869830757979</t>
  </si>
  <si>
    <t>9763-20170724T104436.553188000.bin</t>
  </si>
  <si>
    <t>-664.982021951553 0.0863982126386418 -557.320408673659</t>
  </si>
  <si>
    <t>-669.991733627362 136.36305703631 -539.986422563994</t>
  </si>
  <si>
    <t>-663.24719294386 179.7032846615 -249.009962930466</t>
  </si>
  <si>
    <t>-429.899815945089 237.83775539973 -234.169261317357</t>
  </si>
  <si>
    <t>-657.444584297833 75.3481921842817 -101.804695577635</t>
  </si>
  <si>
    <t>-667.883214402784 90.2941717405754 301.335896520418</t>
  </si>
  <si>
    <t>-703.510474882159 105.038173643608 747.546320563622</t>
  </si>
  <si>
    <t>-558.437981550521 122.542769819916 808.659606178084</t>
  </si>
  <si>
    <t>-595.898446203573 -125.094400966156 305.201953160362</t>
  </si>
  <si>
    <t>-603.827590846818 -143.561764867446 752.596863497432</t>
  </si>
  <si>
    <t>-470.420403405668 -187.4151876162 825.854700695852</t>
  </si>
  <si>
    <t>9763-20170724T104436.585805500.bin</t>
  </si>
  <si>
    <t>-669.681177094139 136.303647128659 -540.010974316014</t>
  </si>
  <si>
    <t>-662.391922286311 179.465274950808 -249.020964481485</t>
  </si>
  <si>
    <t>-429.126629343107 237.877402079677 -233.98086340477</t>
  </si>
  <si>
    <t>-656.916065380556 75.379921911901 -101.763336076881</t>
  </si>
  <si>
    <t>-667.353681111152 90.1704338824695 301.383031872436</t>
  </si>
  <si>
    <t>-703.516011786903 105.031153260997 747.554466832397</t>
  </si>
  <si>
    <t>-558.445410652604 122.588650341515 808.65734445937</t>
  </si>
  <si>
    <t>-595.494169794546 -125.087520432394 305.190041303835</t>
  </si>
  <si>
    <t>-603.80948959385 -143.715357985534 752.57806429639</t>
  </si>
  <si>
    <t>-470.291320082067 -187.217967256364 825.842750634371</t>
  </si>
  <si>
    <t>9763-20170724T104436.650399300.bin</t>
  </si>
  <si>
    <t>-668.804161776118 136.127811775837 -540.195429296366</t>
  </si>
  <si>
    <t>-660.684956532184 178.91147184065 -249.171799794272</t>
  </si>
  <si>
    <t>-427.548217887123 237.781690507441 -233.925916701713</t>
  </si>
  <si>
    <t>-655.819160453105 75.5786997350049 -101.685130278726</t>
  </si>
  <si>
    <t>-666.397053493024 89.969680085592 301.47204404972</t>
  </si>
  <si>
    <t>-703.547055988223 105.052897302268 747.575425027269</t>
  </si>
  <si>
    <t>-558.455751223749 122.482550168407 808.665494350459</t>
  </si>
  <si>
    <t>-594.661166675949 -124.987405148094 305.199359672103</t>
  </si>
  <si>
    <t>-603.787641744745 -143.778207260163 752.547488064287</t>
  </si>
  <si>
    <t>-470.353716884024 -187.500397544135 825.835117406524</t>
  </si>
  <si>
    <t>9763-20170724T104436.681986400.bin</t>
  </si>
  <si>
    <t>-668.412221547739 136.086680524158 -540.321871214084</t>
  </si>
  <si>
    <t>-659.911752711726 178.666594283917 -249.279099349466</t>
  </si>
  <si>
    <t>-426.895687103706 237.997431201296 -233.974144342916</t>
  </si>
  <si>
    <t>-655.258967990663 75.8097487322684 -101.668803614253</t>
  </si>
  <si>
    <t>-665.956820567643 89.9433431781072 301.494263962396</t>
  </si>
  <si>
    <t>-703.607111687177 105.154140557552 747.57450977209</t>
  </si>
  <si>
    <t>-558.470010705846 122.209271083071 808.66165619895</t>
  </si>
  <si>
    <t>-594.395606419136 -125.009467658839 305.230511081265</t>
  </si>
  <si>
    <t>-603.78111113637 -143.882402937875 752.544282453978</t>
  </si>
  <si>
    <t>-470.184125386752 -187.124245262909 825.819657480904</t>
  </si>
  <si>
    <t>9763-20170724T104436.753696400.bin</t>
  </si>
  <si>
    <t>-667.494924587036 136.395523191323 -540.498061911121</t>
  </si>
  <si>
    <t>-658.593675470264 178.020710761888 -249.329182141843</t>
  </si>
  <si>
    <t>-426.008486359545 238.819282725178 -233.249236005803</t>
  </si>
  <si>
    <t>-653.990063365946 76.3534854983993 -101.674489109994</t>
  </si>
  <si>
    <t>-664.974353329771 90.0403670409225 301.496296981889</t>
  </si>
  <si>
    <t>-703.618896912605 105.059544047056 747.548411405823</t>
  </si>
  <si>
    <t>-558.463007139391 122.113818559322 808.591017167047</t>
  </si>
  <si>
    <t>-593.95138668759 -124.755146236957 305.287526152154</t>
  </si>
  <si>
    <t>-603.75820500317 -143.649112638482 752.545155976942</t>
  </si>
  <si>
    <t>-470.439044261698 -187.682659670051 825.855146400359</t>
  </si>
  <si>
    <t>9763-20170724T104436.786285700.bin</t>
  </si>
  <si>
    <t>-664.932193122142 0.0401496595441131 -557.198961809465</t>
  </si>
  <si>
    <t>-666.937874919133 136.490412474882 -540.619909433706</t>
  </si>
  <si>
    <t>-657.967431226075 177.563947876978 -249.374857889801</t>
  </si>
  <si>
    <t>-425.613953202473 239.183158242923 -233.070672608239</t>
  </si>
  <si>
    <t>-653.388085570262 76.6292997103808 -101.717040860633</t>
  </si>
  <si>
    <t>-664.490034632849 90.0451962248376 301.459645718729</t>
  </si>
  <si>
    <t>-703.579788740716 104.927674369967 747.495885847142</t>
  </si>
  <si>
    <t>-558.438125213198 122.187041248418 808.514740327898</t>
  </si>
  <si>
    <t>-593.788941736695 -124.712485435403 305.31727955442</t>
  </si>
  <si>
    <t>-603.763294236089 -143.689215465512 752.556660022774</t>
  </si>
  <si>
    <t>-470.325510178971 -187.385129256968 825.852773997976</t>
  </si>
  <si>
    <t>9763-20170724T104436.850486000.bin</t>
  </si>
  <si>
    <t>-665.613841152457 136.353266580549 -540.974754921195</t>
  </si>
  <si>
    <t>-656.330286863768 176.159255136702 -249.563449774505</t>
  </si>
  <si>
    <t>-424.915817207506 240.716604923425 -231.382501289217</t>
  </si>
  <si>
    <t>-652.016754152012 77.0047341894694 -101.836863789889</t>
  </si>
  <si>
    <t>-663.404161312216 90.0590503628782 301.343718275949</t>
  </si>
  <si>
    <t>-703.552573263069 104.822353666142 747.324306552577</t>
  </si>
  <si>
    <t>-558.411499611255 122.18545136518 808.315184120543</t>
  </si>
  <si>
    <t>-593.315294351475 -124.605859769335 305.384813704831</t>
  </si>
  <si>
    <t>-603.785609712242 -143.618071692338 752.593785344297</t>
  </si>
  <si>
    <t>-470.455932783465 -187.665325162009 825.876376239938</t>
  </si>
  <si>
    <t>9763-20170724T104436.889114500.bin</t>
  </si>
  <si>
    <t>-664.722604311834 136.200786585858 -541.162109710032</t>
  </si>
  <si>
    <t>-655.199912030385 175.11992685728 -249.638788337341</t>
  </si>
  <si>
    <t>-424.346153379874 241.493553786695 -230.877545453873</t>
  </si>
  <si>
    <t>-651.359358351867 77.17413878149 -101.912659560941</t>
  </si>
  <si>
    <t>-662.808024518366 90.0628568515083 301.271478766739</t>
  </si>
  <si>
    <t>-703.540081121009 104.779834004808 747.211042841122</t>
  </si>
  <si>
    <t>-558.426277994873 122.441282080569 808.181120995763</t>
  </si>
  <si>
    <t>-593.117610032831 -124.595406728342 305.420231076682</t>
  </si>
  <si>
    <t>-603.810054840115 -143.665268527568 752.614836684741</t>
  </si>
  <si>
    <t>-470.540819964738 -187.913555649136 825.886259439771</t>
  </si>
  <si>
    <t>9763-20170724T104436.922311700.bin</t>
  </si>
  <si>
    <t>-663.644897111431 135.920438264749 -541.39097920911</t>
  </si>
  <si>
    <t>-654.025318201889 173.90453525412 -249.747539550234</t>
  </si>
  <si>
    <t>-423.865712062896 242.47207925455 -230.358509341933</t>
  </si>
  <si>
    <t>-650.657200430396 77.2089343877576 -101.985267155155</t>
  </si>
  <si>
    <t>-662.242327184534 89.9753813906384 301.1989269374</t>
  </si>
  <si>
    <t>-703.518860499777 104.672482768096 747.095299746169</t>
  </si>
  <si>
    <t>-558.375166707395 122.170826873474 808.04133986572</t>
  </si>
  <si>
    <t>-592.934872580924 -124.667532347114 305.446212902882</t>
  </si>
  <si>
    <t>-603.821175288858 -143.629175256309 752.626210989443</t>
  </si>
  <si>
    <t>-470.484419678915 -187.708015980592 825.876856010023</t>
  </si>
  <si>
    <t>9763-20170724T104436.986483100.bin</t>
  </si>
  <si>
    <t>-661.470832268653 135.177991469857 -542.011099353755</t>
  </si>
  <si>
    <t>-652.029696957952 171.539212015354 -250.155029155332</t>
  </si>
  <si>
    <t>-423.151181872373 243.965016181673 -229.660444599835</t>
  </si>
  <si>
    <t>-649.448815711459 77.34566124056 -102.121731699854</t>
  </si>
  <si>
    <t>-661.350781805716 89.8178185897586 301.062390630953</t>
  </si>
  <si>
    <t>-703.487284924516 104.508244891206 746.876217933181</t>
  </si>
  <si>
    <t>-558.343498713641 122.177663255732 807.772415224085</t>
  </si>
  <si>
    <t>-592.542917117222 -124.917064130348 305.466527023532</t>
  </si>
  <si>
    <t>-603.870271679197 -143.835119611103 752.649265280007</t>
  </si>
  <si>
    <t>-470.43560415741 -187.68376537007 825.859881252022</t>
  </si>
  <si>
    <t>9763-20170724T104437.054433800.bin</t>
  </si>
  <si>
    <t>-659.546887713633 134.313655591293 -542.64687267344</t>
  </si>
  <si>
    <t>-650.398786641068 169.800273096155 -250.673807511537</t>
  </si>
  <si>
    <t>-422.519023477198 244.963930708125 -228.945975231919</t>
  </si>
  <si>
    <t>-648.367109761133 77.5734511983269 -102.261674249551</t>
  </si>
  <si>
    <t>-660.636064083191 89.9236669146258 300.915217275793</t>
  </si>
  <si>
    <t>-703.46430328381 104.476500207337 746.669528061435</t>
  </si>
  <si>
    <t>-558.34481512433 122.440006638271 807.537879709268</t>
  </si>
  <si>
    <t>-592.263531752075 -124.941320336929 305.495965999918</t>
  </si>
  <si>
    <t>-603.9104011721 -143.775625420105 752.668817559166</t>
  </si>
  <si>
    <t>-470.631387876361 -188.125183114097 825.86124639875</t>
  </si>
  <si>
    <t>9763-20170724T104437.088023800.bin</t>
  </si>
  <si>
    <t>-658.593183194485 133.882188123668 -542.935652783854</t>
  </si>
  <si>
    <t>-649.716626557112 168.986006833525 -250.908077324243</t>
  </si>
  <si>
    <t>-422.309324489685 245.363283708199 -228.473716181037</t>
  </si>
  <si>
    <t>-647.851579722325 77.6418788031938 -102.33970011959</t>
  </si>
  <si>
    <t>-660.292555149877 89.9352458483993 300.833593746922</t>
  </si>
  <si>
    <t>-703.448089777327 104.459405388991 746.564776498861</t>
  </si>
  <si>
    <t>-558.344690642277 122.567816841914 807.428386986134</t>
  </si>
  <si>
    <t>-592.094670515953 -124.943589043761 305.514007370361</t>
  </si>
  <si>
    <t>-603.922937309574 -143.753198197456 752.669891734866</t>
  </si>
  <si>
    <t>-470.718729358917 -188.322410582537 825.864981834072</t>
  </si>
  <si>
    <t>9763-20170724T104437.126628700.bin</t>
  </si>
  <si>
    <t>-657.682818597296 133.532877769111 -543.204519872848</t>
  </si>
  <si>
    <t>-648.986731750134 168.205609120676 -251.119916956152</t>
  </si>
  <si>
    <t>-422.208567395845 246.105040865357 -227.577642128196</t>
  </si>
  <si>
    <t>-647.339265559558 77.7288492487771 -102.425824794207</t>
  </si>
  <si>
    <t>-659.904533570306 89.9504828015022 300.745865923197</t>
  </si>
  <si>
    <t>-703.427393568241 104.455524305586 746.449687230848</t>
  </si>
  <si>
    <t>-558.319144683056 122.511064467811 807.317341763135</t>
  </si>
  <si>
    <t>-591.903337547831 -124.896147488185 305.519664587041</t>
  </si>
  <si>
    <t>-603.918899295774 -143.600485315538 752.665167310043</t>
  </si>
  <si>
    <t>-470.842832002221 -188.522391946188 825.877678619463</t>
  </si>
  <si>
    <t>9763-20170724T104437.183795000.bin</t>
  </si>
  <si>
    <t>-655.845569160962 132.844100147172 -543.644227042948</t>
  </si>
  <si>
    <t>-647.450683856872 166.612526754977 -251.444795402893</t>
  </si>
  <si>
    <t>-421.865182021061 247.144596006305 -225.432130114242</t>
  </si>
  <si>
    <t>-646.284292856855 77.7790965240795 -102.594037737351</t>
  </si>
  <si>
    <t>-658.929539824524 89.8951301236179 300.578321596417</t>
  </si>
  <si>
    <t>-703.399145768778 104.486322300578 746.213291783588</t>
  </si>
  <si>
    <t>-558.289616829487 122.532914838819 807.080616021579</t>
  </si>
  <si>
    <t>-591.361597355953 -125.022798992327 305.532722528359</t>
  </si>
  <si>
    <t>-603.950006330249 -143.634644520322 752.675182670316</t>
  </si>
  <si>
    <t>-470.79358293191 -188.337102660282 825.876062025815</t>
  </si>
  <si>
    <t>9763-20170724T104437.252999300.bin</t>
  </si>
  <si>
    <t>-654.092101274961 132.325230827724 -543.886976674802</t>
  </si>
  <si>
    <t>-645.917946433395 166.010721993366 -251.671820651121</t>
  </si>
  <si>
    <t>-420.987787527772 247.646966451085 -223.515388816287</t>
  </si>
  <si>
    <t>-644.973866256935 77.685903498764 -102.691556316702</t>
  </si>
  <si>
    <t>-657.818371205807 89.793532371828 300.474775197735</t>
  </si>
  <si>
    <t>-703.375530409011 104.530940676311 745.988854935607</t>
  </si>
  <si>
    <t>-558.299613142441 122.879566367058 806.846034283302</t>
  </si>
  <si>
    <t>-590.700539155453 -125.271644398372 305.539401526194</t>
  </si>
  <si>
    <t>-603.985290883616 -143.670178222393 752.671105271341</t>
  </si>
  <si>
    <t>-470.832998542834 -188.388927079279 825.86945495789</t>
  </si>
  <si>
    <t>9763-20170724T104437.282085700.bin</t>
  </si>
  <si>
    <t>-653.31423732923 132.189306275495 -543.917192371685</t>
  </si>
  <si>
    <t>-645.021764101983 166.181460740005 -251.740903412162</t>
  </si>
  <si>
    <t>-420.218750701417 247.948917930131 -222.956076101659</t>
  </si>
  <si>
    <t>-644.36645252214 77.6876249758038 -102.731394419857</t>
  </si>
  <si>
    <t>-657.365840982647 89.7528609497735 300.43124297654</t>
  </si>
  <si>
    <t>-703.358242730915 104.539808117962 745.882851682242</t>
  </si>
  <si>
    <t>-558.252715375615 122.640050490753 806.743715972263</t>
  </si>
  <si>
    <t>-590.410049640044 -125.413580134448 305.550004700845</t>
  </si>
  <si>
    <t>-604.001286499954 -143.759253216849 752.672135815143</t>
  </si>
  <si>
    <t>-470.857660225751 -188.509250914728 825.867129738033</t>
  </si>
  <si>
    <t>9763-20170724T104437.356286200.bin</t>
  </si>
  <si>
    <t>-651.946429324772 131.82539701956 -543.945839929299</t>
  </si>
  <si>
    <t>-643.292989517754 166.348442919138 -251.842408377228</t>
  </si>
  <si>
    <t>-418.557897246662 248.128932770539 -222.568633971682</t>
  </si>
  <si>
    <t>-643.315781749735 77.621518113169 -102.77956703131</t>
  </si>
  <si>
    <t>-656.704735867416 89.5200312803215 300.375278055098</t>
  </si>
  <si>
    <t>-703.329013874397 104.586224059469 745.724564989461</t>
  </si>
  <si>
    <t>-558.235834741996 122.80647350488 806.579258048409</t>
  </si>
  <si>
    <t>-589.858521535582 -125.751746907316 305.553833349489</t>
  </si>
  <si>
    <t>-604.062779371134 -144.031232189527 752.677724516431</t>
  </si>
  <si>
    <t>-470.746350322747 -188.320236174897 825.838607407806</t>
  </si>
  <si>
    <t>9763-20170724T104437.386870500.bin</t>
  </si>
  <si>
    <t>-651.315072292379 131.631736693671 -543.922975832154</t>
  </si>
  <si>
    <t>-642.334177004287 166.453356499905 -251.864788546026</t>
  </si>
  <si>
    <t>-417.611170582867 248.216241975819 -222.449653736479</t>
  </si>
  <si>
    <t>-642.758534151116 77.4714001381856 -102.799528092383</t>
  </si>
  <si>
    <t>-656.39421656311 89.391144797529 300.3464368037</t>
  </si>
  <si>
    <t>-703.314014549289 104.61363653236 745.655095318004</t>
  </si>
  <si>
    <t>-558.245807360878 123.059344664357 806.501235762878</t>
  </si>
  <si>
    <t>-589.60392658052 -125.921891654895 305.559781630724</t>
  </si>
  <si>
    <t>-604.083882534073 -143.999479098814 752.676617665101</t>
  </si>
  <si>
    <t>-470.714278096765 -188.151767421391 825.82310890418</t>
  </si>
  <si>
    <t>9763-20170724T104437.452548200.bin</t>
  </si>
  <si>
    <t>-650.22416101516 131.453534869867 -543.828332279157</t>
  </si>
  <si>
    <t>-640.355249692147 166.568920175024 -251.833881801484</t>
  </si>
  <si>
    <t>-415.582720693026 248.221387340647 -222.489624400395</t>
  </si>
  <si>
    <t>-641.672256822135 77.2120261039831 -102.823517100553</t>
  </si>
  <si>
    <t>-655.689847175609 89.1090243062768 300.31001785739</t>
  </si>
  <si>
    <t>-703.278373056324 104.617523588902 745.52971060262</t>
  </si>
  <si>
    <t>-558.205551518043 123.074512117521 806.361565960557</t>
  </si>
  <si>
    <t>-588.950119594432 -126.203208997878 305.564085643168</t>
  </si>
  <si>
    <t>-604.120782169184 -144.007770650152 752.674062194021</t>
  </si>
  <si>
    <t>-470.735405379761 -188.13678083489 825.805980746241</t>
  </si>
  <si>
    <t>9763-20170724T104437.484643500.bin</t>
  </si>
  <si>
    <t>-649.761580424296 131.491765334774 -543.708219840474</t>
  </si>
  <si>
    <t>-639.36807515955 166.660989125736 -251.738545900766</t>
  </si>
  <si>
    <t>-414.49564174876 248.133659113397 -222.66194434895</t>
  </si>
  <si>
    <t>-641.051188719523 77.1091036137939 -102.827983365166</t>
  </si>
  <si>
    <t>-655.266324213513 89.025473892277 300.298052742535</t>
  </si>
  <si>
    <t>-703.271666973727 104.656330711208 745.470149222953</t>
  </si>
  <si>
    <t>-558.228235681329 123.408667288457 806.281659891276</t>
  </si>
  <si>
    <t>-588.532305332858 -126.323260811752 305.56310775807</t>
  </si>
  <si>
    <t>-604.14288462672 -144.064382653284 752.67448308744</t>
  </si>
  <si>
    <t>-470.818320388076 -188.379714618568 825.804512880325</t>
  </si>
  <si>
    <t>9763-20170724T104437.554828800.bin</t>
  </si>
  <si>
    <t>-649.054739194452 131.800575175738 -543.39419595095</t>
  </si>
  <si>
    <t>-637.688895777058 166.821870618073 -251.443035087255</t>
  </si>
  <si>
    <t>-412.545974415093 247.800244906063 -223.08761939173</t>
  </si>
  <si>
    <t>-639.981549903232 76.973549363719 -102.816415356226</t>
  </si>
  <si>
    <t>-654.46384597658 88.7764025216161 300.303461124718</t>
  </si>
  <si>
    <t>-703.230265096384 104.614452618037 745.374751933274</t>
  </si>
  <si>
    <t>-558.173141375628 123.343182574223 806.160920035734</t>
  </si>
  <si>
    <t>-587.870170975648 -126.564813344594 305.586248845387</t>
  </si>
  <si>
    <t>-604.184921641121 -144.127354377007 752.674335442545</t>
  </si>
  <si>
    <t>-470.845998225868 -188.42173637151 825.790870486154</t>
  </si>
  <si>
    <t>9763-20170724T104437.584912300.bin</t>
  </si>
  <si>
    <t>-648.740023892188 131.942110177803 -543.243459138814</t>
  </si>
  <si>
    <t>-636.996259804966 166.766421537952 -251.283589581899</t>
  </si>
  <si>
    <t>-411.800569169831 247.688108377596 -223.1869248799</t>
  </si>
  <si>
    <t>-639.489655184898 76.8327602700156 -102.795405865081</t>
  </si>
  <si>
    <t>-654.125841643636 88.5787848717637 300.320544386564</t>
  </si>
  <si>
    <t>-703.208351764134 104.593676289139 745.341756508881</t>
  </si>
  <si>
    <t>-558.135570450255 123.256108902343 806.111100239055</t>
  </si>
  <si>
    <t>-587.627257387312 -126.753085296075 305.578996994315</t>
  </si>
  <si>
    <t>-604.213987276577 -144.306849099552 752.666338820701</t>
  </si>
  <si>
    <t>-470.791322052659 -188.361726592942 825.774826335036</t>
  </si>
  <si>
    <t>9763-20170724T104437.652096500.bin</t>
  </si>
  <si>
    <t>-647.933615931505 132.338191667779 -542.964612691767</t>
  </si>
  <si>
    <t>-635.788934733268 166.607289351808 -250.95547044984</t>
  </si>
  <si>
    <t>-410.453927904808 247.286095690824 -223.280002637302</t>
  </si>
  <si>
    <t>-638.683365517112 76.7015840327831 -102.770955044962</t>
  </si>
  <si>
    <t>-653.610822106082 88.4065162586185 300.335588537528</t>
  </si>
  <si>
    <t>-703.188727909785 104.557977633732 745.291542557657</t>
  </si>
  <si>
    <t>-558.129421159908 123.540789461804 805.993690099855</t>
  </si>
  <si>
    <t>-587.23323495792 -126.872716277888 305.55031088077</t>
  </si>
  <si>
    <t>-604.238661579418 -144.194773230871 752.636668769046</t>
  </si>
  <si>
    <t>-470.917727683347 -188.539073652355 825.755744026296</t>
  </si>
  <si>
    <t>9763-20170724T104437.685208300.bin</t>
  </si>
  <si>
    <t>-647.464115434413 132.497626894269 -542.866516825981</t>
  </si>
  <si>
    <t>-635.216631359491 166.535409435044 -250.834549061262</t>
  </si>
  <si>
    <t>-409.82887432543 247.105373041694 -223.271895858197</t>
  </si>
  <si>
    <t>-638.381930324664 76.6403133315014 -102.759587931386</t>
  </si>
  <si>
    <t>-653.428641638211 88.3656614834679 300.341888356185</t>
  </si>
  <si>
    <t>-703.172458981849 104.56168926151 745.28118534246</t>
  </si>
  <si>
    <t>-558.116917447406 123.63131155289 805.964961485833</t>
  </si>
  <si>
    <t>-587.138889672998 -126.946784133274 305.532938831751</t>
  </si>
  <si>
    <t>-604.262788496772 -144.314345871975 752.628166921606</t>
  </si>
  <si>
    <t>-470.988851105595 -188.788210619394 825.754317201259</t>
  </si>
  <si>
    <t>9763-20170724T104437.749380400.bin</t>
  </si>
  <si>
    <t>-646.6174396748 132.614332549712 -542.696741000878</t>
  </si>
  <si>
    <t>-634.051018043743 166.392309823578 -250.648193582368</t>
  </si>
  <si>
    <t>-408.569863322249 246.776201794398 -223.306264672576</t>
  </si>
  <si>
    <t>-637.916626854086 76.4797021796526 -102.720854191205</t>
  </si>
  <si>
    <t>-653.309103538162 88.3100176676403 300.364483467996</t>
  </si>
  <si>
    <t>-703.1429173495 104.649453928226 745.276933833898</t>
  </si>
  <si>
    <t>-558.097996936527 123.823145987989 805.953412742339</t>
  </si>
  <si>
    <t>-587.104960994911 -127.207280356237 305.514592694255</t>
  </si>
  <si>
    <t>-604.311995162755 -144.448409888779 752.619742104543</t>
  </si>
  <si>
    <t>-470.951737921147 -188.68354202794 825.733329275704</t>
  </si>
  <si>
    <t>9763-20170724T104437.785991200.bin</t>
  </si>
  <si>
    <t>-646.312449576214 132.715323022271 -542.645718403011</t>
  </si>
  <si>
    <t>-633.479534347427 166.431794568 -250.601682549698</t>
  </si>
  <si>
    <t>-407.952758508071 246.695876264479 -223.284325327348</t>
  </si>
  <si>
    <t>-637.801187616109 76.4456736755158 -102.715993257026</t>
  </si>
  <si>
    <t>-653.324395305495 88.3506688122716 300.362131608138</t>
  </si>
  <si>
    <t>-703.114533027772 104.681399368763 745.281332305137</t>
  </si>
  <si>
    <t>-558.082129881564 123.927435759276 805.964851922519</t>
  </si>
  <si>
    <t>-587.142705928095 -127.18184215468 305.507409908411</t>
  </si>
  <si>
    <t>-604.330457744756 -144.331037064865 752.618430625622</t>
  </si>
  <si>
    <t>-471.098473733558 -188.945098600927 825.735630448097</t>
  </si>
  <si>
    <t>9763-20170724T104437.851211700.bin</t>
  </si>
  <si>
    <t>-645.796630346991 132.534296943223 -542.58479265274</t>
  </si>
  <si>
    <t>-632.439931085155 166.428831010626 -250.58490989536</t>
  </si>
  <si>
    <t>-406.720581724742 246.201527757648 -223.41892212394</t>
  </si>
  <si>
    <t>-637.6467427238 76.3271175760597 -102.692410051015</t>
  </si>
  <si>
    <t>-653.269525897932 88.3080720123953 300.379642481312</t>
  </si>
  <si>
    <t>-703.079188331232 104.806256937016 745.289763701846</t>
  </si>
  <si>
    <t>-558.082979056213 124.271873145307 805.989828574388</t>
  </si>
  <si>
    <t>-587.238111371296 -127.487695815811 305.517660358843</t>
  </si>
  <si>
    <t>-604.394049750326 -144.741905457905 752.631095253672</t>
  </si>
  <si>
    <t>-470.916717489821 -188.667427558664 825.717695715413</t>
  </si>
  <si>
    <t>9763-20170724T104437.882799800.bin</t>
  </si>
  <si>
    <t>-645.541022089666 132.584941858423 -542.571623991816</t>
  </si>
  <si>
    <t>-631.877643874021 166.6516983326 -250.605966309644</t>
  </si>
  <si>
    <t>-406.056668199471 246.185831164906 -223.585422763096</t>
  </si>
  <si>
    <t>-637.531691730287 76.2949526818493 -102.676829103456</t>
  </si>
  <si>
    <t>-653.199536812079 88.3296678681593 300.391881240905</t>
  </si>
  <si>
    <t>-703.04848853266 104.823081106798 745.29192278545</t>
  </si>
  <si>
    <t>-558.041130188522 124.156368807961 806.007558262288</t>
  </si>
  <si>
    <t>-587.24064117829 -127.40549054457 305.52356153864</t>
  </si>
  <si>
    <t>-604.399291565734 -144.527302340968 752.630468546981</t>
  </si>
  <si>
    <t>-471.14956427909 -189.10264702576 825.739007159007</t>
  </si>
  <si>
    <t>9763-20170724T104437.954195000.bin</t>
  </si>
  <si>
    <t>-645.151128882841 132.397382194999 -542.640904393198</t>
  </si>
  <si>
    <t>-630.687082447421 166.810076732801 -250.754310379952</t>
  </si>
  <si>
    <t>-404.671841448137 245.873207726262 -223.976962322599</t>
  </si>
  <si>
    <t>-637.403845413095 76.2915620947235 -102.67314964256</t>
  </si>
  <si>
    <t>-653.040603761138 88.3369565223134 300.396474101836</t>
  </si>
  <si>
    <t>-703.000820275205 104.909812059583 745.284275865213</t>
  </si>
  <si>
    <t>-557.996133011583 124.169397044036 806.029703226223</t>
  </si>
  <si>
    <t>-587.284454874108 -127.50581882474 305.537316225272</t>
  </si>
  <si>
    <t>-604.435129663637 -144.530851056824 752.640077588163</t>
  </si>
  <si>
    <t>-471.07006721372 -188.786322560726 825.732686133544</t>
  </si>
  <si>
    <t>9763-20170724T104437.984277100.bin</t>
  </si>
  <si>
    <t>-645.069151471789 132.263731285839 -542.683880484954</t>
  </si>
  <si>
    <t>-630.186832720383 166.895954869336 -250.844263168161</t>
  </si>
  <si>
    <t>-404.088785383123 245.762310458692 -224.186575100808</t>
  </si>
  <si>
    <t>-637.325430552985 76.2787458450168 -102.668123728561</t>
  </si>
  <si>
    <t>-652.982727781123 88.334874327712 300.400306207609</t>
  </si>
  <si>
    <t>-702.966682352497 104.918539166746 745.282663772898</t>
  </si>
  <si>
    <t>-557.940090212075 123.93213148215 806.053208294471</t>
  </si>
  <si>
    <t>-587.301666400068 -127.592957011701 305.539189606015</t>
  </si>
  <si>
    <t>-604.454412598771 -144.684151907605 752.64411197772</t>
  </si>
  <si>
    <t>-471.041520559683 -188.795185258193 825.736536430234</t>
  </si>
  <si>
    <t>9763-20170724T104438.054465900.bin</t>
  </si>
  <si>
    <t>-644.967267709762 132.103457541885 -542.750971920126</t>
  </si>
  <si>
    <t>-629.076654347105 167.220078755383 -251.022557240754</t>
  </si>
  <si>
    <t>-402.838489485378 245.752287488542 -224.567605398855</t>
  </si>
  <si>
    <t>-637.07316866688 76.3480394768603 -102.668672230365</t>
  </si>
  <si>
    <t>-652.899787065308 88.3967827629363 300.393330927474</t>
  </si>
  <si>
    <t>-702.939446740405 105.029029146639 745.262443969132</t>
  </si>
  <si>
    <t>-557.956681542875 124.349451985108 806.040977245416</t>
  </si>
  <si>
    <t>-587.312087525754 -127.636116420738 305.546594239204</t>
  </si>
  <si>
    <t>-604.487231284034 -144.758605479784 752.655629001103</t>
  </si>
  <si>
    <t>-471.15426996926 -189.093459278333 825.758551643065</t>
  </si>
  <si>
    <t>9763-20170724T104438.084053300.bin</t>
  </si>
  <si>
    <t>-644.946419344456 131.917933793285 -542.774784311456</t>
  </si>
  <si>
    <t>-628.611020421517 167.22719372169 -251.093982858183</t>
  </si>
  <si>
    <t>-402.337683708831 245.63638806738 -224.57506674536</t>
  </si>
  <si>
    <t>-636.920929121005 76.3094355335531 -102.672805087792</t>
  </si>
  <si>
    <t>-652.794685847748 88.3426588582408 300.387864094756</t>
  </si>
  <si>
    <t>-702.917365051813 105.015716241442 745.24960362627</t>
  </si>
  <si>
    <t>-557.930618613281 124.32613336029 806.02170917598</t>
  </si>
  <si>
    <t>-587.258758326051 -127.77001789519 305.55514721306</t>
  </si>
  <si>
    <t>-604.512218514327 -144.921151035115 752.664212010632</t>
  </si>
  <si>
    <t>-471.032483092107 -188.836291291935 825.752632317308</t>
  </si>
  <si>
    <t>9763-20170724T104438.151733300.bin</t>
  </si>
  <si>
    <t>-645.077614659356 131.83593796295 -542.747549706811</t>
  </si>
  <si>
    <t>-627.929842710103 167.391807991182 -251.143429559129</t>
  </si>
  <si>
    <t>-401.557037405156 245.492204195915 -224.562414630886</t>
  </si>
  <si>
    <t>-636.534252126844 76.3299080684299 -102.669588777061</t>
  </si>
  <si>
    <t>-652.520986496648 88.2274643622161 300.390642643095</t>
  </si>
  <si>
    <t>-702.889084107311 104.997975524191 745.220641390556</t>
  </si>
  <si>
    <t>-557.853694203753 124.045541366398 805.959603110156</t>
  </si>
  <si>
    <t>-587.05628592387 -127.736334387708 305.578100779183</t>
  </si>
  <si>
    <t>-604.534847374452 -144.730384679666 752.674159798623</t>
  </si>
  <si>
    <t>-471.178812419533 -189.013109863107 825.766615115649</t>
  </si>
  <si>
    <t>9763-20170724T104438.183822200.bin</t>
  </si>
  <si>
    <t>-645.225751113516 131.879915121914 -542.696529466283</t>
  </si>
  <si>
    <t>-627.622710466889 167.550345455319 -251.133717719997</t>
  </si>
  <si>
    <t>-401.194765137217 245.482744901202 -224.529024465295</t>
  </si>
  <si>
    <t>-636.330844121659 76.3494440782708 -102.664649705426</t>
  </si>
  <si>
    <t>-652.3698129657 88.1909293339593 300.395171390376</t>
  </si>
  <si>
    <t>-702.881729741497 105.010480135687 745.203638143414</t>
  </si>
  <si>
    <t>-557.843849465365 124.108140251435 805.920927677672</t>
  </si>
  <si>
    <t>-586.942911095267 -127.694570730596 305.579411968206</t>
  </si>
  <si>
    <t>-604.540623914712 -144.591166950787 752.667015054538</t>
  </si>
  <si>
    <t>-471.223584357245 -188.978988783171 825.766852135415</t>
  </si>
  <si>
    <t>9763-20170724T104438.252571600.bin</t>
  </si>
  <si>
    <t>-645.589960019672 131.902057047522 -542.566438818957</t>
  </si>
  <si>
    <t>-627.229303840235 167.725991506885 -251.069157767297</t>
  </si>
  <si>
    <t>-400.67965583575 245.27655874053 -224.38584268109</t>
  </si>
  <si>
    <t>-635.952617276849 76.3619450813358 -102.659294077194</t>
  </si>
  <si>
    <t>-652.073553220013 88.0811261871761 300.400817623784</t>
  </si>
  <si>
    <t>-702.857674230803 105.007478991336 745.174883727063</t>
  </si>
  <si>
    <t>-557.805773085207 124.101379680951 805.859809467558</t>
  </si>
  <si>
    <t>-586.693226923 -127.857532200977 305.573504912299</t>
  </si>
  <si>
    <t>-604.585526144817 -144.899709608631 752.666021038787</t>
  </si>
  <si>
    <t>-471.175146230089 -189.016466132605 825.759688617332</t>
  </si>
  <si>
    <t>9763-20170724T104438.285162600.bin</t>
  </si>
  <si>
    <t>-645.81286600072 132.005788785399 -542.482008860965</t>
  </si>
  <si>
    <t>-626.995800597837 167.866784169684 -251.018197255802</t>
  </si>
  <si>
    <t>-400.398717563409 245.281215705186 -224.341891156587</t>
  </si>
  <si>
    <t>-635.795961278049 76.3853232785948 -102.662528572948</t>
  </si>
  <si>
    <t>-651.899920017199 88.0436720742566 300.400002217867</t>
  </si>
  <si>
    <t>-702.852811935867 105.047976139586 745.16188890188</t>
  </si>
  <si>
    <t>-557.800412783249 124.175526743207 805.835128376089</t>
  </si>
  <si>
    <t>-586.498125071418 -127.845927424016 305.565243550633</t>
  </si>
  <si>
    <t>-604.595665825297 -144.839514774363 752.660308789499</t>
  </si>
  <si>
    <t>-471.203446620517 -189.007787209652 825.755998382855</t>
  </si>
  <si>
    <t>9763-20170724T104438.352846400.bin</t>
  </si>
  <si>
    <t>-646.209097108093 132.186502783328 -542.247150952926</t>
  </si>
  <si>
    <t>-626.318883982661 167.91143878854 -250.838042714964</t>
  </si>
  <si>
    <t>-399.604129398688 245.078512471599 -224.446324618061</t>
  </si>
  <si>
    <t>-635.429211772118 76.2938531334967 -102.628270236564</t>
  </si>
  <si>
    <t>-651.600760913902 87.9223960788072 300.432462710739</t>
  </si>
  <si>
    <t>-702.829876244899 105.106746541727 745.150748804785</t>
  </si>
  <si>
    <t>-557.788273259904 124.35958117056 805.810238214924</t>
  </si>
  <si>
    <t>-586.101621220375 -127.90681626727 305.550492621419</t>
  </si>
  <si>
    <t>-604.622941888879 -144.751079910896 752.642967443287</t>
  </si>
  <si>
    <t>-471.258567820594 -188.994355079072 825.744145164334</t>
  </si>
  <si>
    <t>9763-20170724T104438.388449800.bin</t>
  </si>
  <si>
    <t>-646.406494983839 132.32783434113 -542.110281771397</t>
  </si>
  <si>
    <t>-626.00286579913 167.885763910667 -250.716136198272</t>
  </si>
  <si>
    <t>-399.247577677586 244.985491060604 -224.476672452524</t>
  </si>
  <si>
    <t>-635.260557986901 76.2338615097076 -102.601298332195</t>
  </si>
  <si>
    <t>-651.532052977535 87.8559883267276 300.455569461454</t>
  </si>
  <si>
    <t>-702.81463310178 105.096495332839 745.157522388133</t>
  </si>
  <si>
    <t>-557.719081538755 123.956023604858 805.81136461316</t>
  </si>
  <si>
    <t>-585.939257695263 -127.966603914938 305.541941354573</t>
  </si>
  <si>
    <t>-604.646905578685 -144.857100544611 752.636847588648</t>
  </si>
  <si>
    <t>-471.302366066463 -189.156498309999 825.740168636112</t>
  </si>
  <si>
    <t>9763-20170724T104438.450119100.bin</t>
  </si>
  <si>
    <t>-646.795636016424 132.762183309946 -541.768968006715</t>
  </si>
  <si>
    <t>-625.473938075435 168.228107385197 -250.429336569161</t>
  </si>
  <si>
    <t>-398.581051593815 245.025503345496 -224.494341532106</t>
  </si>
  <si>
    <t>-634.981893831113 76.1974535601576 -102.550461254182</t>
  </si>
  <si>
    <t>-651.448453309155 87.7966546062466 300.499120505902</t>
  </si>
  <si>
    <t>-702.794589591592 105.143830869138 745.175276529287</t>
  </si>
  <si>
    <t>-557.72107119672 124.231078533556 805.810622316108</t>
  </si>
  <si>
    <t>-585.608103205152 -128.008971209237 305.532931539259</t>
  </si>
  <si>
    <t>-604.663717056335 -144.810455408246 752.611821899231</t>
  </si>
  <si>
    <t>-471.33021169528 -189.121906662302 825.727916785212</t>
  </si>
  <si>
    <t>9763-20170724T104438.482709000.bin</t>
  </si>
  <si>
    <t>-646.954535358744 132.936679335108 -541.600776039692</t>
  </si>
  <si>
    <t>-625.292019367733 168.385777378187 -250.284250079364</t>
  </si>
  <si>
    <t>-398.330716717487 245.010097431575 -224.435513123595</t>
  </si>
  <si>
    <t>-634.891053695959 76.1531831775139 -102.533983159829</t>
  </si>
  <si>
    <t>-651.391805390037 87.7557927292871 300.514083256997</t>
  </si>
  <si>
    <t>-702.780308824984 105.161020469559 745.184674559417</t>
  </si>
  <si>
    <t>-557.7280788046 124.445493708039 805.808492634414</t>
  </si>
  <si>
    <t>-585.479025394841 -128.066715052034 305.525126920554</t>
  </si>
  <si>
    <t>-604.677260886541 -144.868248841909 752.600708998727</t>
  </si>
  <si>
    <t>-471.271174306829 -188.958807354383 825.718029279136</t>
  </si>
  <si>
    <t>9763-20170724T104438.556096100.bin</t>
  </si>
  <si>
    <t>-647.241186564678 133.174985603825 -541.340119065174</t>
  </si>
  <si>
    <t>-624.844405526287 168.60040478067 -250.076162853547</t>
  </si>
  <si>
    <t>-397.717822250961 244.823388221218 -224.495012416458</t>
  </si>
  <si>
    <t>-634.712051507946 76.0109356544476 -102.496934306299</t>
  </si>
  <si>
    <t>-651.310204984724 87.5826760631348 300.548080465852</t>
  </si>
  <si>
    <t>-702.762610407532 105.157038502565 745.209513568235</t>
  </si>
  <si>
    <t>-557.70735898414 124.523790144054 805.799988729914</t>
  </si>
  <si>
    <t>-585.156853140309 -128.34396639902 305.510741066592</t>
  </si>
  <si>
    <t>-604.728363315597 -145.313099276823 752.587360383671</t>
  </si>
  <si>
    <t>-471.080763618368 -188.69318730449 825.688631846365</t>
  </si>
  <si>
    <t>9763-20170724T104438.583688700.bin</t>
  </si>
  <si>
    <t>-647.419001415284 133.431664656713 -541.249757817983</t>
  </si>
  <si>
    <t>-624.625418563885 168.835299304394 -250.014041138504</t>
  </si>
  <si>
    <t>-397.401202601046 244.836568675737 -224.639941662779</t>
  </si>
  <si>
    <t>-634.584377476414 76.003275691709 -102.483431198298</t>
  </si>
  <si>
    <t>-651.266063399784 87.5764850133153 300.5580520344</t>
  </si>
  <si>
    <t>-702.744183169755 105.106874725829 745.219609141116</t>
  </si>
  <si>
    <t>-557.658858786192 124.316309565445 805.788059699596</t>
  </si>
  <si>
    <t>-585.043603905694 -128.189000961722 305.499274283847</t>
  </si>
  <si>
    <t>-604.716487044885 -144.923033686352 752.571145978319</t>
  </si>
  <si>
    <t>-471.342706386204 -189.083407129646 825.705146005912</t>
  </si>
  <si>
    <t>9763-20170724T104438.652953000.bin</t>
  </si>
  <si>
    <t>-647.903606920564 133.93195866011 -541.062499129421</t>
  </si>
  <si>
    <t>-624.289233021415 169.276694585183 -249.885059090814</t>
  </si>
  <si>
    <t>-396.900842038233 244.967330555026 -225.058683903378</t>
  </si>
  <si>
    <t>-634.452594964402 76.034425998293 -102.463077319791</t>
  </si>
  <si>
    <t>-651.216778173173 87.5824806007681 300.575671415712</t>
  </si>
  <si>
    <t>-702.741800708442 105.167545653941 745.234898144363</t>
  </si>
  <si>
    <t>-557.675341624573 124.654577690186 805.759920071529</t>
  </si>
  <si>
    <t>-584.95697494501 -128.131243420657 305.502412495972</t>
  </si>
  <si>
    <t>-604.741133046161 -144.77110019732 752.56758796093</t>
  </si>
  <si>
    <t>-471.496046514344 -189.300751254565 825.712337322344</t>
  </si>
  <si>
    <t>9763-20170724T104438.687049700.bin</t>
  </si>
  <si>
    <t>-648.153815031154 134.078155274356 -540.975463843187</t>
  </si>
  <si>
    <t>-624.155061660492 169.432497201503 -249.830505378551</t>
  </si>
  <si>
    <t>-396.672452195456 244.93207327534 -225.286829419283</t>
  </si>
  <si>
    <t>-634.42452480966 75.9750584299666 -102.442693338317</t>
  </si>
  <si>
    <t>-651.178077330195 87.5256122814644 300.596478190509</t>
  </si>
  <si>
    <t>-702.731271125643 105.166547785715 745.246772690692</t>
  </si>
  <si>
    <t>-557.668583387433 124.719782952796 805.759592654952</t>
  </si>
  <si>
    <t>-584.977598429773 -128.265862825445 305.510146013797</t>
  </si>
  <si>
    <t>-604.764419563538 -144.886210360159 752.572082283473</t>
  </si>
  <si>
    <t>-471.291646918467 -188.774236551145 825.689481904948</t>
  </si>
  <si>
    <t>9763-20170724T104438.751230200.bin</t>
  </si>
  <si>
    <t>-648.446519671842 134.173550139807 -540.905252425444</t>
  </si>
  <si>
    <t>-623.833976177249 169.860749757709 -249.852179491531</t>
  </si>
  <si>
    <t>-396.175974815148 244.977961916989 -225.766653869139</t>
  </si>
  <si>
    <t>-634.30792659813 75.7967203795263 -102.405820686406</t>
  </si>
  <si>
    <t>-651.17081345098 87.4021633563889 300.627217518679</t>
  </si>
  <si>
    <t>-702.696047283034 105.138396216152 745.265640655869</t>
  </si>
  <si>
    <t>-557.616046306331 124.589356844199 805.769779911464</t>
  </si>
  <si>
    <t>-585.032349434887 -128.47630985653 305.522328234845</t>
  </si>
  <si>
    <t>-604.816730712598 -145.130176466697 752.596047283073</t>
  </si>
  <si>
    <t>-471.265843275561 -188.820025183206 825.689587336578</t>
  </si>
  <si>
    <t>9763-20170724T104438.783313100.bin</t>
  </si>
  <si>
    <t>-648.591329058848 134.161917180946 -540.906994947434</t>
  </si>
  <si>
    <t>-623.621813235002 170.021919208056 -249.905557811452</t>
  </si>
  <si>
    <t>-395.907778490396 245.02355004839 -225.989733437172</t>
  </si>
  <si>
    <t>-634.298727152072 75.7547367532075 -102.388072953208</t>
  </si>
  <si>
    <t>-651.164251339453 87.3796303021711 300.644277122593</t>
  </si>
  <si>
    <t>-702.680431013159 105.144268501486 745.277658469765</t>
  </si>
  <si>
    <t>-557.610477838073 124.667732881471 805.782417741945</t>
  </si>
  <si>
    <t>-585.049800576904 -128.516037799162 305.534720900345</t>
  </si>
  <si>
    <t>-604.837022574573 -145.193312830412 752.60307033055</t>
  </si>
  <si>
    <t>-471.326850361055 -189.004178360587 825.698549466493</t>
  </si>
  <si>
    <t>9763-20170724T104438.855509000.bin</t>
  </si>
  <si>
    <t>-648.901897566801 134.172471023737 -540.931344367783</t>
  </si>
  <si>
    <t>-623.185397507092 170.404013441383 -250.040953333762</t>
  </si>
  <si>
    <t>-395.37348657175 245.21304474377 -226.456790874588</t>
  </si>
  <si>
    <t>-634.206633038692 75.7103680137977 -102.359967974179</t>
  </si>
  <si>
    <t>-651.159455798679 87.4074585915091 300.666644624746</t>
  </si>
  <si>
    <t>-702.656376827859 105.191832856661 745.29290725838</t>
  </si>
  <si>
    <t>-557.599761871628 124.791819318053 805.80510738948</t>
  </si>
  <si>
    <t>-585.062531313789 -128.533217399778 305.556111570527</t>
  </si>
  <si>
    <t>-604.860042300593 -145.117784003291 752.617280607386</t>
  </si>
  <si>
    <t>-471.446738641277 -189.225678021005 825.711009576749</t>
  </si>
  <si>
    <t>9763-20170724T104438.885591200.bin</t>
  </si>
  <si>
    <t>-649.031080254803 134.207190142859 -540.957856720948</t>
  </si>
  <si>
    <t>-623.014872305313 170.614263309175 -250.116189678875</t>
  </si>
  <si>
    <t>-395.161920026963 245.323427963715 -226.612151630239</t>
  </si>
  <si>
    <t>-634.158438591003 75.6982499621254 -102.349565697451</t>
  </si>
  <si>
    <t>-651.150127244129 87.4073733723499 300.675056695173</t>
  </si>
  <si>
    <t>-702.646686390507 105.217573620172 745.298973314585</t>
  </si>
  <si>
    <t>-557.568728704092 124.630892951413 805.820074243312</t>
  </si>
  <si>
    <t>-585.057674436111 -128.556049426362 305.557537779191</t>
  </si>
  <si>
    <t>-604.869544568808 -145.072634515062 752.620855509007</t>
  </si>
  <si>
    <t>-471.392422928158 -189.00062459742 825.706286494972</t>
  </si>
  <si>
    <t>9763-20170724T104438.954777800.bin</t>
  </si>
  <si>
    <t>-649.271558510936 134.311739863374 -541.048773581739</t>
  </si>
  <si>
    <t>-622.90347681325 171.127364911735 -250.290221751178</t>
  </si>
  <si>
    <t>-394.922482535278 245.506570319055 -226.981880244252</t>
  </si>
  <si>
    <t>-634.043597602685 75.7374252001609 -102.323745228294</t>
  </si>
  <si>
    <t>-651.070992539525 87.4276505559424 300.699959278717</t>
  </si>
  <si>
    <t>-702.628509910583 105.267973049 745.315763357722</t>
  </si>
  <si>
    <t>-557.542775121119 124.600842107293 805.843978292836</t>
  </si>
  <si>
    <t>-585.037672080505 -128.543654089235 305.560201684523</t>
  </si>
  <si>
    <t>-604.89807561661 -145.12583829158 752.633093767977</t>
  </si>
  <si>
    <t>-471.564289308557 -189.472278471905 825.727521115351</t>
  </si>
  <si>
    <t>9763-20170724T104438.986366000.bin</t>
  </si>
  <si>
    <t>-649.329433560285 134.349609656819 -541.101191116874</t>
  </si>
  <si>
    <t>-622.760868003442 171.389317053679 -250.389447939797</t>
  </si>
  <si>
    <t>-394.717170647614 245.613744752506 -227.201700127356</t>
  </si>
  <si>
    <t>-633.933089320591 75.7307256921238 -102.30905484747</t>
  </si>
  <si>
    <t>-651.020986514779 87.4439803956166 300.71137540544</t>
  </si>
  <si>
    <t>-702.619004198471 105.278729113079 745.323179127542</t>
  </si>
  <si>
    <t>-557.523892007961 124.526540193967 805.85615155701</t>
  </si>
  <si>
    <t>-585.011195893101 -128.56079422285 305.563604766466</t>
  </si>
  <si>
    <t>-604.901847080987 -145.097666585915 752.633553449665</t>
  </si>
  <si>
    <t>-471.509377389482 -189.275939729826 825.722676375554</t>
  </si>
  <si>
    <t>9763-20170724T104439.052044900.bin</t>
  </si>
  <si>
    <t>-649.461605247688 134.379853690697 -541.279238779691</t>
  </si>
  <si>
    <t>-622.429441582346 171.831217777079 -250.662898854301</t>
  </si>
  <si>
    <t>-394.298889616079 245.868966255136 -227.734729842172</t>
  </si>
  <si>
    <t>-633.718844967114 75.8512454790607 -102.296757534819</t>
  </si>
  <si>
    <t>-650.929909214299 87.4905094841085 300.720558079061</t>
  </si>
  <si>
    <t>-702.607647042985 105.309826937221 745.32494782534</t>
  </si>
  <si>
    <t>-557.515202881065 124.605705610986 805.849005179493</t>
  </si>
  <si>
    <t>-584.892123495438 -128.580045718867 305.566267473431</t>
  </si>
  <si>
    <t>-604.911149703775 -145.104607907817 752.629870890986</t>
  </si>
  <si>
    <t>-471.484092263839 -189.172543065332 825.722542783031</t>
  </si>
  <si>
    <t>9763-20170724T104439.084148500.bin</t>
  </si>
  <si>
    <t>-649.617675453476 134.388522415976 -541.351581958381</t>
  </si>
  <si>
    <t>-622.284693041821 171.976267895961 -250.780972039156</t>
  </si>
  <si>
    <t>-394.125492179102 245.982847645787 -228.037170199585</t>
  </si>
  <si>
    <t>-633.595305552771 75.8964636775099 -102.291365151722</t>
  </si>
  <si>
    <t>-650.854659307363 87.5376748876947 300.723863756354</t>
  </si>
  <si>
    <t>-702.620298058119 105.373013296113 745.317341217985</t>
  </si>
  <si>
    <t>-557.555313991939 124.92461199515 805.825050374552</t>
  </si>
  <si>
    <t>-584.80961909628 -128.551350008193 305.568976369214</t>
  </si>
  <si>
    <t>-604.915194050302 -145.152810045925 752.628424582338</t>
  </si>
  <si>
    <t>-471.547451075902 -189.378449369356 825.734069210316</t>
  </si>
  <si>
    <t>9763-20170724T104439.152212100.bin</t>
  </si>
  <si>
    <t>-650.230276801399 134.397090790132 -541.475169994649</t>
  </si>
  <si>
    <t>-622.186560118569 172.260028914589 -251.007955474366</t>
  </si>
  <si>
    <t>-393.964973990252 246.195366510316 -228.662782749441</t>
  </si>
  <si>
    <t>-633.194759238009 75.9226501326739 -102.278876284972</t>
  </si>
  <si>
    <t>-650.66858724709 87.5112412157162 300.728575911736</t>
  </si>
  <si>
    <t>-702.600547537107 105.307856159963 745.305198876593</t>
  </si>
  <si>
    <t>-557.502727545733 124.699513844635 805.785692612128</t>
  </si>
  <si>
    <t>-584.546496377282 -128.724597107618 305.567127172633</t>
  </si>
  <si>
    <t>-604.93394232171 -145.367782093822 752.620849526478</t>
  </si>
  <si>
    <t>-471.398600279485 -189.09337832343 825.721337965917</t>
  </si>
  <si>
    <t>9763-20170724T104439.186307400.bin</t>
  </si>
  <si>
    <t>-650.626799407895 134.356844742917 -541.524232762913</t>
  </si>
  <si>
    <t>-622.075590700848 172.411797561028 -251.131610129586</t>
  </si>
  <si>
    <t>-393.840200926555 246.315220437899 -228.821573165645</t>
  </si>
  <si>
    <t>-632.987333335887 75.863532857468 -102.256396138833</t>
  </si>
  <si>
    <t>-650.602218897975 87.4790082855909 300.744210166858</t>
  </si>
  <si>
    <t>-702.606099587937 105.320410102997 745.300054073074</t>
  </si>
  <si>
    <t>-557.491741327848 124.640868092263 805.76369397758</t>
  </si>
  <si>
    <t>-584.354070670186 -128.824259396779 305.556605078653</t>
  </si>
  <si>
    <t>-604.940276069694 -145.440485455091 752.61469773681</t>
  </si>
  <si>
    <t>-471.368579814295 -189.053956981017 825.715808178894</t>
  </si>
  <si>
    <t>9763-20170724T104439.252487000.bin</t>
  </si>
  <si>
    <t>-650.84850679055 134.13097561402 -541.569374387282</t>
  </si>
  <si>
    <t>-621.477649918215 172.748559982145 -251.332878030004</t>
  </si>
  <si>
    <t>-393.160170707941 246.453611649789 -229.206704338211</t>
  </si>
  <si>
    <t>-632.806770155745 75.7207226472203 -102.216272474249</t>
  </si>
  <si>
    <t>-650.568561163527 87.3877127615106 300.776419002934</t>
  </si>
  <si>
    <t>-702.587731646166 105.350077457317 745.318183537223</t>
  </si>
  <si>
    <t>-557.48429041858 124.746384067112 805.783686532425</t>
  </si>
  <si>
    <t>-583.834827450769 -128.935195149986 305.551371746484</t>
  </si>
  <si>
    <t>-604.943788845191 -145.330717018101 752.601289577902</t>
  </si>
  <si>
    <t>-471.359938771437 -188.909775508721 825.700594967482</t>
  </si>
  <si>
    <t>9763-20170724T104439.285581500.bin</t>
  </si>
  <si>
    <t>-650.589248180093 133.970279176543 -541.575243658194</t>
  </si>
  <si>
    <t>-620.976527237945 172.823279516697 -251.39473161102</t>
  </si>
  <si>
    <t>-392.625890612896 246.457726505882 -229.376001049989</t>
  </si>
  <si>
    <t>-632.641325410788 75.5773032957447 -102.187335054831</t>
  </si>
  <si>
    <t>-650.553606004329 87.3733631609664 300.79487936475</t>
  </si>
  <si>
    <t>-702.586787630671 105.386841582275 745.333625332849</t>
  </si>
  <si>
    <t>-557.528766753246 125.133903414555 805.79450852405</t>
  </si>
  <si>
    <t>-583.595841285955 -128.930710985808 305.562093950943</t>
  </si>
  <si>
    <t>-604.954260877521 -145.274750140956 752.597188874774</t>
  </si>
  <si>
    <t>-471.441450407472 -189.062912449067 825.701423809732</t>
  </si>
  <si>
    <t>9763-20170724T104439.353763900.bin</t>
  </si>
  <si>
    <t>-649.785860278085 133.490403534206 -541.543950547906</t>
  </si>
  <si>
    <t>-619.578016743564 172.681854661957 -251.470203107482</t>
  </si>
  <si>
    <t>-391.171592317284 246.171461799957 -229.546164803358</t>
  </si>
  <si>
    <t>-632.305460703769 75.2282880809539 -102.116508986436</t>
  </si>
  <si>
    <t>-650.449932990306 87.2212366769454 300.849524403287</t>
  </si>
  <si>
    <t>-702.578365058491 105.43367929565 745.361854727992</t>
  </si>
  <si>
    <t>-557.514759767279 125.106772791384 805.833454830781</t>
  </si>
  <si>
    <t>-583.247322583718 -129.293417330552 305.593103211413</t>
  </si>
  <si>
    <t>-604.992138973422 -145.547082131557 752.611132258453</t>
  </si>
  <si>
    <t>-471.307054979026 -188.85319624374 825.687656267945</t>
  </si>
  <si>
    <t>9763-20170724T104439.384873200.bin</t>
  </si>
  <si>
    <t>-649.34590024082 133.331367974298 -541.573279882649</t>
  </si>
  <si>
    <t>-618.853444294161 172.660163294379 -251.548140735384</t>
  </si>
  <si>
    <t>-390.435750632662 246.133218026966 -229.686526697752</t>
  </si>
  <si>
    <t>-632.166862966001 75.172503142481 -102.090238989366</t>
  </si>
  <si>
    <t>-650.399078104222 87.158078989921 300.872076012153</t>
  </si>
  <si>
    <t>-702.563358654681 105.406009590497 745.375163229161</t>
  </si>
  <si>
    <t>-557.506978907298 125.130303946429 805.847396239205</t>
  </si>
  <si>
    <t>-583.167690636357 -129.398360014508 305.6022905055</t>
  </si>
  <si>
    <t>-605.001390021061 -145.531079858491 752.6189990012</t>
  </si>
  <si>
    <t>-471.307514409585 -188.826427730636 825.685758849902</t>
  </si>
  <si>
    <t>9763-20170724T104439.452862800.bin</t>
  </si>
  <si>
    <t>-648.367276343331 132.951693486499 -541.701816358638</t>
  </si>
  <si>
    <t>-617.388187857394 172.655140062036 -251.779312828402</t>
  </si>
  <si>
    <t>-388.94103751755 246.079220695078 -230.061461919526</t>
  </si>
  <si>
    <t>-631.818236869346 74.9875158577274 -102.068092698897</t>
  </si>
  <si>
    <t>-650.304606303376 87.0582034596553 300.880071249344</t>
  </si>
  <si>
    <t>-702.55165414126 105.382393905693 745.37721692707</t>
  </si>
  <si>
    <t>-557.462385109642 124.893448680333 805.839772426893</t>
  </si>
  <si>
    <t>-583.126237132673 -129.561690650426 305.633847303854</t>
  </si>
  <si>
    <t>-605.021763752768 -145.559783447984 752.637830079344</t>
  </si>
  <si>
    <t>-471.365971609825 -188.990867899269 825.693744008282</t>
  </si>
  <si>
    <t>9763-20170724T104439.486458700.bin</t>
  </si>
  <si>
    <t>-647.826106000609 132.698835484485 -541.793360217828</t>
  </si>
  <si>
    <t>-616.681407291677 172.646933248445 -251.922080509216</t>
  </si>
  <si>
    <t>-388.205646291313 245.996697117946 -230.253631547863</t>
  </si>
  <si>
    <t>-631.647970941803 74.9159183209406 -102.069300920282</t>
  </si>
  <si>
    <t>-650.203587950225 87.0168605945814 300.874740521543</t>
  </si>
  <si>
    <t>-702.55451711167 105.389622744407 745.366266371301</t>
  </si>
  <si>
    <t>-557.446657603249 124.787767487738 805.82068453029</t>
  </si>
  <si>
    <t>-583.072106658616 -129.654871750917 305.642600016586</t>
  </si>
  <si>
    <t>-605.032135460756 -145.606427940641 752.645096610988</t>
  </si>
  <si>
    <t>-471.360537278836 -188.99614740193 825.696672623828</t>
  </si>
  <si>
    <t>9763-20170724T104439.553662300.bin</t>
  </si>
  <si>
    <t>-646.475978854148 132.1261343839 -541.998831544143</t>
  </si>
  <si>
    <t>-614.876225871625 172.553443823908 -252.243243790399</t>
  </si>
  <si>
    <t>-386.321634526437 245.718455557884 -230.782946380428</t>
  </si>
  <si>
    <t>-631.217734884166 74.7542834733511 -102.078006038912</t>
  </si>
  <si>
    <t>-649.999601556488 86.904577328728 300.85410371937</t>
  </si>
  <si>
    <t>-702.553099981713 105.434489759024 745.325275219954</t>
  </si>
  <si>
    <t>-557.464090891068 124.985058318609 805.775645971919</t>
  </si>
  <si>
    <t>-582.939370615124 -129.885022103573 305.668383143448</t>
  </si>
  <si>
    <t>-605.047967006613 -145.661965717995 752.66380551353</t>
  </si>
  <si>
    <t>-471.252292753987 -188.701857451869 825.69507770125</t>
  </si>
  <si>
    <t>9763-20170724T104439.583248300.bin</t>
  </si>
  <si>
    <t>-645.876839348758 131.758927420416 -542.126630370242</t>
  </si>
  <si>
    <t>-613.837649756801 172.403843341739 -252.449745926171</t>
  </si>
  <si>
    <t>-385.264698481001 245.538568136713 -231.082941454424</t>
  </si>
  <si>
    <t>-630.998853516335 74.6818530981234 -102.086024281571</t>
  </si>
  <si>
    <t>-649.887557183498 86.8744064953237 300.839806662339</t>
  </si>
  <si>
    <t>-702.552978608917 105.469124554367 745.303876123422</t>
  </si>
  <si>
    <t>-557.492020007901 125.224434606958 805.754940448262</t>
  </si>
  <si>
    <t>-582.842967365562 -129.960515096849 305.676082202966</t>
  </si>
  <si>
    <t>-605.055106379932 -145.675031775322 752.673186268322</t>
  </si>
  <si>
    <t>-471.314088419778 -188.880983724632 825.706670835388</t>
  </si>
  <si>
    <t>9763-20170724T104439.650431800.bin</t>
  </si>
  <si>
    <t>-644.699187171372 131.085489647178 -542.371877346766</t>
  </si>
  <si>
    <t>-611.996304521055 172.207397832986 -252.836614750595</t>
  </si>
  <si>
    <t>-383.379534291891 245.249352068927 -231.62045914356</t>
  </si>
  <si>
    <t>-630.573906441936 74.5554201255934 -102.092654869401</t>
  </si>
  <si>
    <t>-649.741689360898 86.8492508420231 300.816874428963</t>
  </si>
  <si>
    <t>-702.539780998551 105.478069249241 745.256385949929</t>
  </si>
  <si>
    <t>-557.493523452251 125.317871598511 805.715145090934</t>
  </si>
  <si>
    <t>-582.777499717127 -130.150160833886 305.708603018269</t>
  </si>
  <si>
    <t>-605.084245594144 -145.657064050245 752.698385336417</t>
  </si>
  <si>
    <t>-471.30984789199 -188.801674255076 825.706835438596</t>
  </si>
  <si>
    <t>9763-20170724T104439.686040100.bin</t>
  </si>
  <si>
    <t>-644.154529353213 130.782027170163 -542.496640605736</t>
  </si>
  <si>
    <t>-611.224385126513 172.322570612896 -253.046738540526</t>
  </si>
  <si>
    <t>-382.583810939265 245.292401116491 -231.83991722067</t>
  </si>
  <si>
    <t>-630.390330321993 74.5485575710968 -102.112952777375</t>
  </si>
  <si>
    <t>-649.674112784001 86.8358702088788 300.791319913504</t>
  </si>
  <si>
    <t>-702.543170980166 105.524056005079 745.222385216848</t>
  </si>
  <si>
    <t>-557.516351175165 125.51679150857 805.677490673589</t>
  </si>
  <si>
    <t>-582.818420766075 -130.246985146141 305.735183382485</t>
  </si>
  <si>
    <t>-605.103130789705 -145.782915470755 752.716145467224</t>
  </si>
  <si>
    <t>-471.29756735337 -188.853389227787 825.711378146373</t>
  </si>
  <si>
    <t>9763-20170724T104439.752714800.bin</t>
  </si>
  <si>
    <t>-643.167634323434 130.403761212391 -542.811338023678</t>
  </si>
  <si>
    <t>-609.704707269992 172.730301599792 -253.536450073106</t>
  </si>
  <si>
    <t>-381.060122922602 245.67501745915 -232.285903644026</t>
  </si>
  <si>
    <t>-630.032245966463 74.5897493971852 -102.157077096311</t>
  </si>
  <si>
    <t>-649.568946621184 86.8946485720955 300.734466516634</t>
  </si>
  <si>
    <t>-702.52651760961 105.527182022457 745.159712419319</t>
  </si>
  <si>
    <t>-557.487894412589 125.401982132311 805.625275910955</t>
  </si>
  <si>
    <t>-582.733721577831 -130.15800143801 305.742636153503</t>
  </si>
  <si>
    <t>-605.09771460827 -145.4232966625 752.722907947816</t>
  </si>
  <si>
    <t>-471.510273695967 -189.140215407501 825.733273380488</t>
  </si>
  <si>
    <t>9763-20170724T104439.784807200.bin</t>
  </si>
  <si>
    <t>-642.715764878482 130.135884508723 -542.935071746841</t>
  </si>
  <si>
    <t>-608.986361344106 172.779764875823 -253.73784396936</t>
  </si>
  <si>
    <t>-380.325942127998 245.691368295978 -232.544345465678</t>
  </si>
  <si>
    <t>-629.873234134239 74.5589301720354 -102.181796527592</t>
  </si>
  <si>
    <t>-649.497607882432 86.8972078943059 300.704481615335</t>
  </si>
  <si>
    <t>-702.522303815342 105.54306508637 745.124111445636</t>
  </si>
  <si>
    <t>-557.490016086732 125.460634249501 805.590776580516</t>
  </si>
  <si>
    <t>-582.705405527691 -130.291634391122 305.755477666075</t>
  </si>
  <si>
    <t>-605.116241439567 -145.679593771431 752.738059327562</t>
  </si>
  <si>
    <t>-471.393002402422 -189.00859940025 825.731204928852</t>
  </si>
  <si>
    <t>9763-20170724T104439.849505000.bin</t>
  </si>
  <si>
    <t>-641.786617819182 129.790673402468 -543.14336027154</t>
  </si>
  <si>
    <t>-607.802040781496 172.834741821406 -254.035316891254</t>
  </si>
  <si>
    <t>-379.085176833555 245.628544126319 -233.046179268263</t>
  </si>
  <si>
    <t>-629.511737033514 74.580742353641 -102.216953224707</t>
  </si>
  <si>
    <t>-649.299951186402 86.9001477526931 300.661826333454</t>
  </si>
  <si>
    <t>-702.525069338045 105.568403103962 745.056114977897</t>
  </si>
  <si>
    <t>-557.491631494426 125.511078890968 805.511810345197</t>
  </si>
  <si>
    <t>-582.584476681194 -130.386429156311 305.771465801565</t>
  </si>
  <si>
    <t>-605.129699487013 -145.744651040913 752.744180300177</t>
  </si>
  <si>
    <t>-471.346447484071 -188.899880891234 825.730205835386</t>
  </si>
  <si>
    <t>9763-20170724T104439.887107800.bin</t>
  </si>
  <si>
    <t>-641.391664429715 129.765167116232 -543.233756749944</t>
  </si>
  <si>
    <t>-607.38083119231 172.918056124792 -254.145048746649</t>
  </si>
  <si>
    <t>-378.635069252457 245.671262834703 -233.331259826161</t>
  </si>
  <si>
    <t>-629.324438747083 74.6138653236681 -102.222779231546</t>
  </si>
  <si>
    <t>-649.184174338118 86.9004672279682 300.653496663653</t>
  </si>
  <si>
    <t>-702.518544174035 105.5502886771 745.025295171255</t>
  </si>
  <si>
    <t>-557.488142651676 125.54722283548 805.470291574249</t>
  </si>
  <si>
    <t>-582.487687725047 -130.368123345064 305.767392507882</t>
  </si>
  <si>
    <t>-605.130864398979 -145.669626366106 752.74235130558</t>
  </si>
  <si>
    <t>-471.420975706059 -189.040465704601 825.735142391395</t>
  </si>
  <si>
    <t>9763-20170724T104439.950278100.bin</t>
  </si>
  <si>
    <t>-641.074196406473 129.63154362463 -543.426936643593</t>
  </si>
  <si>
    <t>-607.00566314279 173.156968992221 -254.400899706094</t>
  </si>
  <si>
    <t>-378.181903536829 245.876516137183 -234.340917365332</t>
  </si>
  <si>
    <t>-628.962817204235 74.6991173122485 -102.245926874039</t>
  </si>
  <si>
    <t>-648.90976553675 86.9052266062286 300.628458217377</t>
  </si>
  <si>
    <t>-702.517518290552 105.511846009033 744.968711559432</t>
  </si>
  <si>
    <t>-557.475699420548 125.525819572838 805.380873942531</t>
  </si>
  <si>
    <t>-582.248515196403 -130.372836297342 305.762143718678</t>
  </si>
  <si>
    <t>-605.126267363877 -145.74965425402 752.722533538659</t>
  </si>
  <si>
    <t>-471.441749266866 -189.16551244016 825.734875596109</t>
  </si>
  <si>
    <t>9763-20170724T104439.993399300.bin</t>
  </si>
  <si>
    <t>-641.01836377761 129.379756631827 -543.539546085825</t>
  </si>
  <si>
    <t>-607.270194046142 173.298491419864 -254.535375185721</t>
  </si>
  <si>
    <t>-378.32698880827 245.771940912472 -234.952020203076</t>
  </si>
  <si>
    <t>-628.812340055178 74.6224003738262 -102.256581867897</t>
  </si>
  <si>
    <t>-648.752871750808 86.8479240290492 300.617532696966</t>
  </si>
  <si>
    <t>-702.514733076488 105.465863471266 744.93908457413</t>
  </si>
  <si>
    <t>-557.436492985339 125.275424943148 805.330940589396</t>
  </si>
  <si>
    <t>-582.088778518218 -130.577919534387 305.750755624968</t>
  </si>
  <si>
    <t>-605.125126452681 -146.026435182934 752.704944091436</t>
  </si>
  <si>
    <t>-471.169440150074 -188.604808955303 825.713507057279</t>
  </si>
  <si>
    <t>9763-20170724T104440.050192200.bin</t>
  </si>
  <si>
    <t>-640.902340301621 129.230431531803 -543.792747696344</t>
  </si>
  <si>
    <t>-609.709748340382 174.229037337507 -254.667482375777</t>
  </si>
  <si>
    <t>-380.378962436743 245.824394457569 -236.437087998085</t>
  </si>
  <si>
    <t>-628.707142453126 74.8330636488433 -102.295701415855</t>
  </si>
  <si>
    <t>-648.714999260433 86.9019655411846 300.579885163627</t>
  </si>
  <si>
    <t>-702.512520265176 105.398856035783 744.888800059402</t>
  </si>
  <si>
    <t>-557.408939653675 125.164888758711 805.234144771528</t>
  </si>
  <si>
    <t>-581.796475293233 -130.239424801512 305.690920099722</t>
  </si>
  <si>
    <t>-605.07772182415 -145.601563554168 752.634719188726</t>
  </si>
  <si>
    <t>-471.516192876411 -189.248405386098 825.734424194829</t>
  </si>
  <si>
    <t>9763-20170724T104440.083786000.bin</t>
  </si>
  <si>
    <t>-640.722139620844 129.23879230082 -543.919596901314</t>
  </si>
  <si>
    <t>-612.012249956611 174.20865384937 -254.533014306834</t>
  </si>
  <si>
    <t>-382.486398336185 245.333938632212 -236.927193474273</t>
  </si>
  <si>
    <t>-628.59388740914 74.8697515676515 -102.30208172546</t>
  </si>
  <si>
    <t>-648.800266329758 86.9671191621653 300.562641436018</t>
  </si>
  <si>
    <t>-702.512053329771 105.415964551068 744.874941432064</t>
  </si>
  <si>
    <t>-557.420372870024 125.309268917151 805.20705304017</t>
  </si>
  <si>
    <t>-581.732260918539 -130.025909117904 305.664464730957</t>
  </si>
  <si>
    <t>-605.062008763859 -145.329305500369 752.608646726396</t>
  </si>
  <si>
    <t>-471.677910570984 -189.46766023064 825.737113460664</t>
  </si>
  <si>
    <t>9763-20170724T104440.152469900.bin</t>
  </si>
  <si>
    <t>-640.580225984799 129.20620060766 -543.827970051848</t>
  </si>
  <si>
    <t>-618.370093542721 172.310485753844 -253.586778126748</t>
  </si>
  <si>
    <t>-388.489553670984 242.727046652443 -237.861304749425</t>
  </si>
  <si>
    <t>-628.538927878702 74.939625948303 -102.299537787045</t>
  </si>
  <si>
    <t>-648.850415711761 87.0609080356583 300.559171838552</t>
  </si>
  <si>
    <t>-702.497583721805 105.477272849847 744.880796932985</t>
  </si>
  <si>
    <t>-557.421471643924 125.438294347594 805.227973145229</t>
  </si>
  <si>
    <t>-581.84442180554 -130.003822458396 305.633878364153</t>
  </si>
  <si>
    <t>-605.07863627376 -145.410496464204 752.585108833361</t>
  </si>
  <si>
    <t>-471.566703191414 -189.176161519326 825.704321226121</t>
  </si>
  <si>
    <t>9763-20170724T104440.184558100.bin</t>
  </si>
  <si>
    <t>-640.601911814349 129.574947565113 -543.657463186741</t>
  </si>
  <si>
    <t>-621.785421226198 171.719071656581 -253.035629547012</t>
  </si>
  <si>
    <t>-391.885240301696 242.110816127431 -237.486544065356</t>
  </si>
  <si>
    <t>-628.526807143848 75.0439482131912 -102.279843447322</t>
  </si>
  <si>
    <t>-648.820613184847 87.1252633311481 300.581056731936</t>
  </si>
  <si>
    <t>-702.476034761204 105.442065318886 744.900337893003</t>
  </si>
  <si>
    <t>-557.34588758251 124.965306804596 805.260688773909</t>
  </si>
  <si>
    <t>-581.96584428947 -129.966873927912 305.61681491808</t>
  </si>
  <si>
    <t>-605.089241594796 -145.548808373397 752.577225789474</t>
  </si>
  <si>
    <t>-471.596917270569 -189.369606296124 825.699255817053</t>
  </si>
  <si>
    <t>9763-20170724T104440.253347700.bin</t>
  </si>
  <si>
    <t>-641.284099344356 130.453302874218 -543.419503180241</t>
  </si>
  <si>
    <t>-627.57871524842 170.681035454327 -252.24069179519</t>
  </si>
  <si>
    <t>-398.165073262617 242.723643083227 -237.071675634056</t>
  </si>
  <si>
    <t>-628.516696905474 75.3491749077775 -102.237248253326</t>
  </si>
  <si>
    <t>-648.773046439192 87.3583237281364 300.627648094907</t>
  </si>
  <si>
    <t>-702.457453451283 105.512825235221 744.940388617677</t>
  </si>
  <si>
    <t>-557.354089151424 125.154825840063 805.326622036324</t>
  </si>
  <si>
    <t>-582.212861778834 -129.818542261256 305.584315602466</t>
  </si>
  <si>
    <t>-605.1044704935 -145.523998063971 752.571486099297</t>
  </si>
  <si>
    <t>-471.670794709524 -189.527947661868 825.690590458057</t>
  </si>
  <si>
    <t>9763-20170724T104440.285433800.bin</t>
  </si>
  <si>
    <t>-641.88466746224 130.433209439879 -543.342557069887</t>
  </si>
  <si>
    <t>-629.885418485471 169.881117348397 -251.981848772835</t>
  </si>
  <si>
    <t>-400.969472345361 243.283306444472 -235.841775048352</t>
  </si>
  <si>
    <t>-628.635525027926 75.3482568022523 -102.216090510024</t>
  </si>
  <si>
    <t>-648.745821745148 87.4067343265178 300.654655193451</t>
  </si>
  <si>
    <t>-702.452115597085 105.575199288028 744.96248182855</t>
  </si>
  <si>
    <t>-557.324343553378 124.966693542226 805.371025882849</t>
  </si>
  <si>
    <t>-582.209083461108 -129.870793571304 305.57818936952</t>
  </si>
  <si>
    <t>-605.116654037344 -145.716518374515 752.567990260186</t>
  </si>
  <si>
    <t>-471.554551626487 -189.346598650449 825.67661862739</t>
  </si>
  <si>
    <t>9763-20170724T104440.352616500.bin</t>
  </si>
  <si>
    <t>-642.702021288773 130.112093452057 -543.22111946399</t>
  </si>
  <si>
    <t>-634.887584058542 168.093467439884 -251.523456429219</t>
  </si>
  <si>
    <t>-406.409076349925 242.615442834918 -234.350174161566</t>
  </si>
  <si>
    <t>-628.711654038737 75.2245242608201 -102.166119119088</t>
  </si>
  <si>
    <t>-648.658183869921 87.3572824715268 300.710530735323</t>
  </si>
  <si>
    <t>-702.443729959447 105.654984927973 744.9993466772</t>
  </si>
  <si>
    <t>-557.323431664969 124.999330192835 805.441039449755</t>
  </si>
  <si>
    <t>-582.143315795847 -129.713743386892 305.595088491067</t>
  </si>
  <si>
    <t>-605.117312222483 -145.556948452677 752.570226862779</t>
  </si>
  <si>
    <t>-471.632639744897 -189.420520580007 825.680544729681</t>
  </si>
  <si>
    <t>9763-20170724T104440.382199300.bin</t>
  </si>
  <si>
    <t>-643.008636540678 129.966649215476 -543.180708184018</t>
  </si>
  <si>
    <t>-637.220334453921 167.008697304383 -251.315029800655</t>
  </si>
  <si>
    <t>-409.225708818088 242.777871949163 -233.195431195293</t>
  </si>
  <si>
    <t>-628.639330195175 75.0945635046555 -102.142137063256</t>
  </si>
  <si>
    <t>-648.577843746943 87.3299373187713 300.731788699697</t>
  </si>
  <si>
    <t>-702.426030374606 105.624499981708 745.014409061323</t>
  </si>
  <si>
    <t>-557.263211219485 124.604197732546 805.469527685955</t>
  </si>
  <si>
    <t>-582.123010574638 -129.691984421445 305.601239752039</t>
  </si>
  <si>
    <t>-605.114886049938 -145.478118109268 752.56941656625</t>
  </si>
  <si>
    <t>-471.739127049584 -189.65461468635 825.690190412801</t>
  </si>
  <si>
    <t>9763-20170724T104440.451901900.bin</t>
  </si>
  <si>
    <t>-643.860126446931 130.332254399297 -543.056026259824</t>
  </si>
  <si>
    <t>-642.066722095266 164.357310991733 -250.771351751662</t>
  </si>
  <si>
    <t>-415.925714372178 244.376041473173 -228.230134426764</t>
  </si>
  <si>
    <t>-628.657684688769 75.3185031769606 -102.113790388739</t>
  </si>
  <si>
    <t>-648.400346787842 87.4508876767818 300.772911397574</t>
  </si>
  <si>
    <t>-702.439031032794 105.732972641588 745.034826430247</t>
  </si>
  <si>
    <t>-557.304592823851 124.938451915176 805.486864377</t>
  </si>
  <si>
    <t>-582.074548652804 -129.6329981282 305.612829216379</t>
  </si>
  <si>
    <t>-605.12692485958 -145.569421230442 752.581947544039</t>
  </si>
  <si>
    <t>-471.789375991475 -189.863832808906 825.701152507618</t>
  </si>
  <si>
    <t>9763-20170724T104440.486013700.bin</t>
  </si>
  <si>
    <t>-644.200112521479 130.68962375182 -542.942785253829</t>
  </si>
  <si>
    <t>-644.406653617037 164.111200007229 -250.583147717595</t>
  </si>
  <si>
    <t>-419.020326178654 245.66676670304 -226.07618640453</t>
  </si>
  <si>
    <t>-628.650496877839 75.4025316153957 -102.103447118363</t>
  </si>
  <si>
    <t>-648.373689127037 87.5356745715183 300.784144182595</t>
  </si>
  <si>
    <t>-702.443705043683 105.781642508909 745.043576105613</t>
  </si>
  <si>
    <t>-557.299471269377 124.899597137604 805.499722246477</t>
  </si>
  <si>
    <t>-582.162575071563 -129.636381437539 305.634070483279</t>
  </si>
  <si>
    <t>-605.133297391217 -145.612089926354 752.594887790136</t>
  </si>
  <si>
    <t>-471.694318654655 -189.629221889575 825.696315030058</t>
  </si>
  <si>
    <t>9763-20170724T104440.521097700.bin</t>
  </si>
  <si>
    <t>-644.597190547879 131.023557236913 -542.803274047396</t>
  </si>
  <si>
    <t>-646.235815954482 164.620700855001 -250.468380450088</t>
  </si>
  <si>
    <t>-420.878561118833 246.306344355421 -226.128889838142</t>
  </si>
  <si>
    <t>-628.733466735601 75.5368575048071 -102.107370390851</t>
  </si>
  <si>
    <t>-648.352674710482 87.6450048207585 300.786116865086</t>
  </si>
  <si>
    <t>-702.469469261201 105.903532433409 745.044074209837</t>
  </si>
  <si>
    <t>-557.36941823615 125.379697096053 805.491843514329</t>
  </si>
  <si>
    <t>-582.245819534745 -129.626221520392 305.653470043997</t>
  </si>
  <si>
    <t>-605.137437105702 -145.632185409192 752.60134953113</t>
  </si>
  <si>
    <t>-471.654173930336 -189.52548451325 825.696465248044</t>
  </si>
  <si>
    <t>9763-20170724T104440.612364300.bin</t>
  </si>
  <si>
    <t>-645.19645634115 131.140909974374 -542.718488141277</t>
  </si>
  <si>
    <t>-646.201707270954 164.912552415245 -250.40070035192</t>
  </si>
  <si>
    <t>-420.537160725576 246.014199058448 -226.971727872086</t>
  </si>
  <si>
    <t>-628.906963659907 75.6203203376608 -102.112692348758</t>
  </si>
  <si>
    <t>-648.432854988916 87.7091465911915 300.785886546728</t>
  </si>
  <si>
    <t>-702.484117810482 105.960867914187 745.040307487282</t>
  </si>
  <si>
    <t>-557.407559615768 125.638761324662 805.479158344256</t>
  </si>
  <si>
    <t>-582.272116876113 -129.611791875093 305.644384367261</t>
  </si>
  <si>
    <t>-605.136878154627 -145.622653841725 752.60685510051</t>
  </si>
  <si>
    <t>-471.663330938617 -189.54495194825 825.702325250527</t>
  </si>
  <si>
    <t>9763-20170724T104440.654466800.bin</t>
  </si>
  <si>
    <t>-647.189712523885 130.421888621798 -542.575449140301</t>
  </si>
  <si>
    <t>-645.976135818795 164.588340894579 -250.304266724564</t>
  </si>
  <si>
    <t>-419.624152601682 245.177951718879 -232.389365736326</t>
  </si>
  <si>
    <t>-629.267766945199 75.2651285127508 -102.129229039692</t>
  </si>
  <si>
    <t>-648.626782302573 87.5604627172258 300.771123230675</t>
  </si>
  <si>
    <t>-702.498442553248 106.004624852531 745.035898755687</t>
  </si>
  <si>
    <t>-557.36708577666 125.27056007373 805.475965478515</t>
  </si>
  <si>
    <t>-582.153127539404 -129.760286564558 305.662850838134</t>
  </si>
  <si>
    <t>-605.153904867324 -145.810537957119 752.640986020347</t>
  </si>
  <si>
    <t>-471.591452670312 -189.507531157982 825.709023976</t>
  </si>
  <si>
    <t>9763-20170724T104440.702615600.bin</t>
  </si>
  <si>
    <t>-647.70420170862 130.373291328829 -542.499715368769</t>
  </si>
  <si>
    <t>-645.999952981672 164.738543672758 -250.254441195658</t>
  </si>
  <si>
    <t>-419.173044742406 244.258055831771 -233.60875980456</t>
  </si>
  <si>
    <t>-629.327040570202 75.2527252866448 -102.137057208916</t>
  </si>
  <si>
    <t>-648.6469521859 87.5450602224532 300.76530078982</t>
  </si>
  <si>
    <t>-702.512559880597 106.049282054165 745.033453879225</t>
  </si>
  <si>
    <t>-557.387608379157 125.38260211409 805.467525248474</t>
  </si>
  <si>
    <t>-582.142299918426 -129.794717700675 305.681029302282</t>
  </si>
  <si>
    <t>-605.1597716958 -145.866789509092 752.653247461501</t>
  </si>
  <si>
    <t>-471.640264159019 -189.705854225296 825.71476353313</t>
  </si>
  <si>
    <t>9763-20170724T104440.715656100.bin</t>
  </si>
  <si>
    <t>-648.236900402955 130.419051371271 -542.449229746309</t>
  </si>
  <si>
    <t>-646.244705324681 164.938788700804 -250.224019691225</t>
  </si>
  <si>
    <t>-418.907518098941 243.203856822236 -234.628398867181</t>
  </si>
  <si>
    <t>-629.403806550529 75.3483392895555 -102.141107485787</t>
  </si>
  <si>
    <t>-648.640664802466 87.5824804248607 300.767038840559</t>
  </si>
  <si>
    <t>-702.519987987189 106.057832513337 745.032855612701</t>
  </si>
  <si>
    <t>-557.407620578657 125.513655103164 805.457816543259</t>
  </si>
  <si>
    <t>-582.169128077153 -129.698284789989 305.68101768781</t>
  </si>
  <si>
    <t>-605.15618815536 -145.750011520574 752.659221205168</t>
  </si>
  <si>
    <t>-471.756782203909 -189.946905595499 825.724421741908</t>
  </si>
  <si>
    <t>9763-20170724T104440.787845300.bin</t>
  </si>
  <si>
    <t>-649.232572011662 130.378128105055 -542.332677738278</t>
  </si>
  <si>
    <t>-646.424572973198 164.579324506368 -250.076637160127</t>
  </si>
  <si>
    <t>-418.37269961359 241.05943584719 -236.148147957047</t>
  </si>
  <si>
    <t>-629.463936280929 75.3984610417197 -102.140046714773</t>
  </si>
  <si>
    <t>-648.586384484242 87.5167452249405 300.777010110319</t>
  </si>
  <si>
    <t>-702.5350566236 106.042479144041 745.027915171187</t>
  </si>
  <si>
    <t>-557.39665388327 125.357662035817 805.43541161416</t>
  </si>
  <si>
    <t>-582.162993192144 -129.728505831396 305.68826104578</t>
  </si>
  <si>
    <t>-605.159552860086 -145.867797038844 752.661939273149</t>
  </si>
  <si>
    <t>-471.630987701526 -189.69518170407 825.713802762027</t>
  </si>
  <si>
    <t>9763-20170724T104440.850017000.bin</t>
  </si>
  <si>
    <t>-649.824404544949 130.35099904344 -542.374014296419</t>
  </si>
  <si>
    <t>-646.015149884524 164.667006580873 -250.142689481477</t>
  </si>
  <si>
    <t>-417.443367527982 239.808502757183 -237.511425559686</t>
  </si>
  <si>
    <t>-629.48286613608 75.5154471077824 -102.174191519832</t>
  </si>
  <si>
    <t>-648.553674061185 87.5841386220879 300.746853325864</t>
  </si>
  <si>
    <t>-702.534642360217 106.055927243057 745.00928340579</t>
  </si>
  <si>
    <t>-557.394849624433 125.354280528588 805.418783936031</t>
  </si>
  <si>
    <t>-582.208475916477 -129.572280813818 305.701553534647</t>
  </si>
  <si>
    <t>-605.152516070687 -145.753210332854 752.668326934091</t>
  </si>
  <si>
    <t>-471.7315333967 -189.896514417589 825.726652484496</t>
  </si>
  <si>
    <t>9763-20170724T104440.883107700.bin</t>
  </si>
  <si>
    <t>-649.882354484418 130.257644031176 -542.487248654866</t>
  </si>
  <si>
    <t>-645.666554326108 164.809982433073 -250.289338833111</t>
  </si>
  <si>
    <t>-416.918252730398 239.419749029096 -237.701234332593</t>
  </si>
  <si>
    <t>-629.46394778561 75.5727031042695 -102.200014554562</t>
  </si>
  <si>
    <t>-648.538611167188 87.621689242839 300.721340609158</t>
  </si>
  <si>
    <t>-702.541237082137 106.078601733815 744.992969848184</t>
  </si>
  <si>
    <t>-557.392790417337 125.300554693768 805.406148350571</t>
  </si>
  <si>
    <t>-582.268578829791 -129.526809379696 305.709569038033</t>
  </si>
  <si>
    <t>-605.145826620822 -145.707824199251 752.666588123668</t>
  </si>
  <si>
    <t>-471.731729790094 -189.859857232769 825.732106429963</t>
  </si>
  <si>
    <t>9763-20170724T104440.952294400.bin</t>
  </si>
  <si>
    <t>-649.654327004641 129.984683413062 -542.77567865278</t>
  </si>
  <si>
    <t>-644.697653176062 165.098425022598 -250.656337675078</t>
  </si>
  <si>
    <t>-415.724634252376 238.972001385255 -237.813017921906</t>
  </si>
  <si>
    <t>-629.421264630095 75.7128018292835 -102.240725208503</t>
  </si>
  <si>
    <t>-648.475444046664 87.6057102228226 300.68629020126</t>
  </si>
  <si>
    <t>-702.544148586362 106.072364043714 744.956332785464</t>
  </si>
  <si>
    <t>-557.380703742501 125.17948893418 805.369885158451</t>
  </si>
  <si>
    <t>-582.530326081267 -129.692311394756 305.728620101079</t>
  </si>
  <si>
    <t>-605.179128194828 -146.105285290241 752.690963320076</t>
  </si>
  <si>
    <t>-471.425202186866 -189.293364480541 825.711353873043</t>
  </si>
  <si>
    <t>9763-20170724T104440.985390700.bin</t>
  </si>
  <si>
    <t>-649.370983581528 129.995223302905 -542.924023567257</t>
  </si>
  <si>
    <t>-644.126244208258 165.347127731691 -250.838523024355</t>
  </si>
  <si>
    <t>-415.078924306271 238.953180354517 -237.786370883105</t>
  </si>
  <si>
    <t>-629.354664915675 75.855670435255 -102.255459330251</t>
  </si>
  <si>
    <t>-648.427825126237 87.6917936269153 300.672261574874</t>
  </si>
  <si>
    <t>-702.544152489242 106.063439061829 744.936459636022</t>
  </si>
  <si>
    <t>-557.371892748263 125.102738416363 805.34996231867</t>
  </si>
  <si>
    <t>-582.663450755686 -129.560723888085 305.743804846199</t>
  </si>
  <si>
    <t>-605.176745567361 -145.939710428272 752.703592108769</t>
  </si>
  <si>
    <t>-471.602261224362 -189.663467933786 825.733576395551</t>
  </si>
  <si>
    <t>9763-20170724T104441.015451300.bin</t>
  </si>
  <si>
    <t>-649.065087658792 130.043213972087 -543.091420502741</t>
  </si>
  <si>
    <t>-643.604696016036 165.721218041851 -251.04964004451</t>
  </si>
  <si>
    <t>-414.379775988208 238.841999989732 -238.393578814415</t>
  </si>
  <si>
    <t>-629.298605790817 76.0526571394307 -102.282325855929</t>
  </si>
  <si>
    <t>-648.398051124123 87.7974663040588 300.646893247849</t>
  </si>
  <si>
    <t>-702.537689506639 106.055506139575 744.9122508667</t>
  </si>
  <si>
    <t>-557.349611243538 124.935315678193 805.337990625011</t>
  </si>
  <si>
    <t>-582.739175866673 -129.461405071876 305.751906962577</t>
  </si>
  <si>
    <t>-605.177704080609 -145.874355907735 752.713225002198</t>
  </si>
  <si>
    <t>-471.643293127206 -189.723449529453 825.741403681238</t>
  </si>
  <si>
    <t>9763-20170724T104441.084138700.bin</t>
  </si>
  <si>
    <t>-648.570419627967 129.952002981445 -543.565635563965</t>
  </si>
  <si>
    <t>-642.303578575282 166.192702957496 -251.60926758923</t>
  </si>
  <si>
    <t>-413.034377976316 239.151664189576 -238.822757376684</t>
  </si>
  <si>
    <t>-629.140082585577 76.4119144878273 -102.43922072704</t>
  </si>
  <si>
    <t>-648.281291304056 87.9897672486968 300.49284548177</t>
  </si>
  <si>
    <t>-702.52833890402 106.0561689107 744.731247837608</t>
  </si>
  <si>
    <t>-557.31740151149 124.694724754109 805.176980659655</t>
  </si>
  <si>
    <t>-582.77249484698 -129.292129644109 305.729695291033</t>
  </si>
  <si>
    <t>-605.184186372856 -145.841104253512 752.704820169121</t>
  </si>
  <si>
    <t>-471.705940233302 -189.859315188423 825.733935395241</t>
  </si>
  <si>
    <t>9763-20170724T104441.156834200.bin</t>
  </si>
  <si>
    <t>-648.102154614155 129.767830484485 -543.962861222764</t>
  </si>
  <si>
    <t>-640.914503283499 167.074302869783 -252.161820520348</t>
  </si>
  <si>
    <t>-411.519795982178 239.665626499329 -239.536398629418</t>
  </si>
  <si>
    <t>-628.954626122182 76.7235673805733 -102.462961482209</t>
  </si>
  <si>
    <t>-648.235392515091 88.1597216189753 300.466505177717</t>
  </si>
  <si>
    <t>-702.529037360158 106.112936109409 744.724930457528</t>
  </si>
  <si>
    <t>-557.341462045718 124.888448564847 805.184477925344</t>
  </si>
  <si>
    <t>-582.801572153256 -129.293079705701 305.740814462923</t>
  </si>
  <si>
    <t>-605.206469304179 -146.015981553744 752.715549354747</t>
  </si>
  <si>
    <t>-471.57217688653 -189.606086548366 825.716189630332</t>
  </si>
  <si>
    <t>9763-20170724T104441.184410300.bin</t>
  </si>
  <si>
    <t>-647.778794802245 129.747468546239 -544.125412135902</t>
  </si>
  <si>
    <t>-640.141432190807 167.56401458379 -252.401654310187</t>
  </si>
  <si>
    <t>-410.71889308796 240.08941016953 -239.900831170272</t>
  </si>
  <si>
    <t>-628.885783308441 76.9218752240758 -102.461716562406</t>
  </si>
  <si>
    <t>-648.295326188706 88.2600757816228 300.464316824892</t>
  </si>
  <si>
    <t>-702.528692846247 106.148285201064 744.727323816014</t>
  </si>
  <si>
    <t>-557.357152572776 125.012788100302 805.197622340799</t>
  </si>
  <si>
    <t>-582.723396088627 -129.326255242704 305.759296939014</t>
  </si>
  <si>
    <t>-605.22801302302 -146.18177063064 752.733720623558</t>
  </si>
  <si>
    <t>-471.488088519376 -189.485650619552 825.711156990167</t>
  </si>
  <si>
    <t>9763-20170724T104441.251958000.bin</t>
  </si>
  <si>
    <t>-646.985085179442 129.886827607 -544.392235835935</t>
  </si>
  <si>
    <t>-638.449647610587 168.516866429194 -252.800113332855</t>
  </si>
  <si>
    <t>-408.903232262067 240.734877143927 -240.805854588105</t>
  </si>
  <si>
    <t>-628.507297060361 77.2162898304396 -102.440037711428</t>
  </si>
  <si>
    <t>-648.230535826882 88.4920955474547 300.472455596838</t>
  </si>
  <si>
    <t>-702.537961134145 106.268878193411 744.732202600503</t>
  </si>
  <si>
    <t>-557.405858983843 125.357974864823 805.226643118105</t>
  </si>
  <si>
    <t>-582.436906376984 -129.168523566606 305.767794851903</t>
  </si>
  <si>
    <t>-605.22417621745 -146.221971753884 752.726015273077</t>
  </si>
  <si>
    <t>-471.621071193165 -189.921194545528 825.718282639744</t>
  </si>
  <si>
    <t>9763-20170724T104441.284046200.bin</t>
  </si>
  <si>
    <t>-646.566590161956 129.978273944829 -544.43291682241</t>
  </si>
  <si>
    <t>-637.76954368829 168.911710473993 -252.888742748606</t>
  </si>
  <si>
    <t>-408.136695723865 240.875136460214 -241.017991060476</t>
  </si>
  <si>
    <t>-628.294904530961 77.3371254113038 -102.421391070993</t>
  </si>
  <si>
    <t>-648.13709709887 88.5366505312952 300.487468644207</t>
  </si>
  <si>
    <t>-702.544629616201 106.289935764318 744.734158994492</t>
  </si>
  <si>
    <t>-557.417002150045 125.426275989611 805.224444929906</t>
  </si>
  <si>
    <t>-582.234311046814 -129.252039647729 305.775583502299</t>
  </si>
  <si>
    <t>-605.232122373945 -146.377047766047 752.728566687366</t>
  </si>
  <si>
    <t>-471.457697604478 -189.580667816997 825.702084600575</t>
  </si>
  <si>
    <t>9763-20170724T104441.349221900.bin</t>
  </si>
  <si>
    <t>-645.886632962559 130.596103133112 -544.366682990259</t>
  </si>
  <si>
    <t>-636.453534364297 169.599631046297 -252.851699029958</t>
  </si>
  <si>
    <t>-406.799065525825 241.526836796614 -241.18205098166</t>
  </si>
  <si>
    <t>-627.899507587307 77.5607320913043 -102.361675833885</t>
  </si>
  <si>
    <t>-647.985011516638 88.6401246345829 300.538458593672</t>
  </si>
  <si>
    <t>-702.553391767986 106.300751091157 744.744968354434</t>
  </si>
  <si>
    <t>-557.422052484621 125.450127836157 805.222145316938</t>
  </si>
  <si>
    <t>-582.007748480282 -129.114562631601 305.786547698018</t>
  </si>
  <si>
    <t>-605.218276051279 -146.079644590489 752.710307378623</t>
  </si>
  <si>
    <t>-471.556075656051 -189.613680399757 825.693187881798</t>
  </si>
  <si>
    <t>9763-20170724T104441.387344700.bin</t>
  </si>
  <si>
    <t>-645.633185881228 130.910462368945 -544.285468335292</t>
  </si>
  <si>
    <t>-635.8045959537 169.840100267978 -252.773580779705</t>
  </si>
  <si>
    <t>-406.102167787196 241.643041486518 -241.284991448065</t>
  </si>
  <si>
    <t>-627.657025297436 77.6058321301598 -102.33099106593</t>
  </si>
  <si>
    <t>-647.877947961182 88.6288733184051 300.563888041138</t>
  </si>
  <si>
    <t>-702.542911973661 106.258972080719 744.757214019746</t>
  </si>
  <si>
    <t>-557.40175989204 125.358145033614 805.226736275635</t>
  </si>
  <si>
    <t>-581.917191587773 -129.121344408317 305.780677716565</t>
  </si>
  <si>
    <t>-605.221325893011 -146.169529599667 752.708140990488</t>
  </si>
  <si>
    <t>-471.544254465312 -189.658107791675 825.690911770315</t>
  </si>
  <si>
    <t>9763-20170724T104441.452039400.bin</t>
  </si>
  <si>
    <t>-644.972549090378 131.661744728427 -543.981609128126</t>
  </si>
  <si>
    <t>-634.450588234521 170.35014269631 -252.46203588594</t>
  </si>
  <si>
    <t>-404.60130280522 241.768117769331 -241.522538706789</t>
  </si>
  <si>
    <t>-627.213294897154 77.5991150835976 -102.239667976629</t>
  </si>
  <si>
    <t>-647.669787573437 88.6095268690356 300.643652041709</t>
  </si>
  <si>
    <t>-702.567952607423 106.286606594881 744.798383251953</t>
  </si>
  <si>
    <t>-557.465083917078 125.812710981561 805.223430349567</t>
  </si>
  <si>
    <t>-581.6721897322 -129.211152450745 305.771193537239</t>
  </si>
  <si>
    <t>-605.224129074839 -146.228759228942 752.694007496629</t>
  </si>
  <si>
    <t>-471.510813316638 -189.606209059761 825.676548355433</t>
  </si>
  <si>
    <t>9763-20170724T104441.485632200.bin</t>
  </si>
  <si>
    <t>-644.519079195843 132.073104618643 -543.789403324698</t>
  </si>
  <si>
    <t>-633.727336617131 170.50074047702 -252.245156023122</t>
  </si>
  <si>
    <t>-403.795210539431 241.671978036825 -241.440350441649</t>
  </si>
  <si>
    <t>-626.991702166576 77.5748865747687 -102.18389620783</t>
  </si>
  <si>
    <t>-647.577467141498 88.5700893984886 300.693254794584</t>
  </si>
  <si>
    <t>-702.561621076327 106.213280645731 744.830413351002</t>
  </si>
  <si>
    <t>-557.414329804159 125.453256138031 805.240630269704</t>
  </si>
  <si>
    <t>-581.54688212379 -129.204142862128 305.759129717904</t>
  </si>
  <si>
    <t>-605.214520595203 -146.158103732808 752.679362236553</t>
  </si>
  <si>
    <t>-471.63356863556 -189.905407452618 825.683476030756</t>
  </si>
  <si>
    <t>9763-20170724T104441.549805000.bin</t>
  </si>
  <si>
    <t>-643.350224424149 132.838772623006 -543.434987887895</t>
  </si>
  <si>
    <t>-632.185787563418 170.661069093628 -251.82557375663</t>
  </si>
  <si>
    <t>-402.060398926288 241.258475194199 -241.376635160145</t>
  </si>
  <si>
    <t>-626.457992064201 77.573897263871 -102.060241251256</t>
  </si>
  <si>
    <t>-647.36292258636 88.5597456423623 300.800738698042</t>
  </si>
  <si>
    <t>-702.560894630137 106.202600125334 744.901842136299</t>
  </si>
  <si>
    <t>-557.403000420949 125.421387029496 805.29318374311</t>
  </si>
  <si>
    <t>-581.281673975902 -129.184298403116 305.749256059447</t>
  </si>
  <si>
    <t>-605.195676134094 -145.942873061296 752.655908876006</t>
  </si>
  <si>
    <t>-471.719302795215 -189.969458737616 825.683277999223</t>
  </si>
  <si>
    <t>9763-20170724T104441.586405300.bin</t>
  </si>
  <si>
    <t>-642.626900226645 133.088451294371 -543.289806061548</t>
  </si>
  <si>
    <t>-631.335434327228 170.660655154048 -251.652945102712</t>
  </si>
  <si>
    <t>-401.136981263156 241.03110848303 -241.282636154583</t>
  </si>
  <si>
    <t>-626.104716375862 77.5276214978471 -102.006516600171</t>
  </si>
  <si>
    <t>-647.221485890008 88.5107935247192 300.843481509399</t>
  </si>
  <si>
    <t>-702.553054185385 106.150569965516 744.931925094907</t>
  </si>
  <si>
    <t>-557.393166667545 125.385922309606 805.313239612257</t>
  </si>
  <si>
    <t>-581.202713934316 -129.246522802026 305.751986922394</t>
  </si>
  <si>
    <t>-605.193085050457 -146.003638760444 752.650283981632</t>
  </si>
  <si>
    <t>-471.68408684257 -189.924596498176 825.681857184451</t>
  </si>
  <si>
    <t>9763-20170724T104441.649915900.bin</t>
  </si>
  <si>
    <t>-641.028190139727 133.657208068227 -543.055689021735</t>
  </si>
  <si>
    <t>-629.293312491992 170.845048128924 -251.387062640875</t>
  </si>
  <si>
    <t>-398.99643638647 240.929180097671 -241.267095549802</t>
  </si>
  <si>
    <t>-625.354337029962 77.6055704316207 -101.895414189934</t>
  </si>
  <si>
    <t>-646.856366091293 88.5373153182647 300.935579293572</t>
  </si>
  <si>
    <t>-702.563583179643 106.228627584394 744.988102770273</t>
  </si>
  <si>
    <t>-557.449207227552 125.820583050213 805.364157731674</t>
  </si>
  <si>
    <t>-580.947216883538 -129.366467356191 305.773417003426</t>
  </si>
  <si>
    <t>-605.205037559264 -146.129075946774 752.658055443701</t>
  </si>
  <si>
    <t>-471.712086077349 -190.095737782726 825.691211551872</t>
  </si>
  <si>
    <t>9763-20170724T104441.684509400.bin</t>
  </si>
  <si>
    <t>-640.262141308996 133.869348467897 -542.9487155049</t>
  </si>
  <si>
    <t>-628.230099559755 170.939357641857 -251.277333045189</t>
  </si>
  <si>
    <t>-397.884934719627 240.890040393294 -241.334302165524</t>
  </si>
  <si>
    <t>-624.972218697205 77.6438013883887 -101.844882549134</t>
  </si>
  <si>
    <t>-646.641370798219 88.5526841562983 300.977785912874</t>
  </si>
  <si>
    <t>-702.570835867862 106.269453322517 745.013315410763</t>
  </si>
  <si>
    <t>-557.45215189613 125.82060632756 805.392132634329</t>
  </si>
  <si>
    <t>-580.832606378444 -129.409400251251 305.780540260545</t>
  </si>
  <si>
    <t>-605.200453892753 -146.118594194632 752.655737952038</t>
  </si>
  <si>
    <t>-471.714959756551 -190.103180464011 825.691799110523</t>
  </si>
  <si>
    <t>9763-20170724T104441.752710900.bin</t>
  </si>
  <si>
    <t>-638.816433049289 134.147720524371 -542.753723719108</t>
  </si>
  <si>
    <t>-626.294421002713 171.096473028723 -251.08746048775</t>
  </si>
  <si>
    <t>-395.849284052794 240.752184189141 -241.392781704821</t>
  </si>
  <si>
    <t>-624.322117096251 77.7000168043699 -101.735060503132</t>
  </si>
  <si>
    <t>-646.341666063929 88.5014481262824 301.071501897343</t>
  </si>
  <si>
    <t>-702.569767432463 106.243499025582 745.055460909016</t>
  </si>
  <si>
    <t>-557.454195070623 125.873281514567 805.416461608881</t>
  </si>
  <si>
    <t>-580.577445695249 -129.494350891698 305.80430452656</t>
  </si>
  <si>
    <t>-605.206644249367 -146.285224901825 752.659059905149</t>
  </si>
  <si>
    <t>-471.736320586772 -190.30328794136 825.70280081982</t>
  </si>
  <si>
    <t>9763-20170724T104441.784801200.bin</t>
  </si>
  <si>
    <t>-638.106789381031 134.239866538122 -542.652235336756</t>
  </si>
  <si>
    <t>-625.298982226941 171.175933827241 -250.996870632556</t>
  </si>
  <si>
    <t>-394.78724777826 240.643635627868 -241.537327199766</t>
  </si>
  <si>
    <t>-624.058476875143 77.7369062454231 -101.684876896873</t>
  </si>
  <si>
    <t>-646.214735281977 88.4631965321871 301.116200894144</t>
  </si>
  <si>
    <t>-702.570946529531 106.229002163168 745.075534812911</t>
  </si>
  <si>
    <t>-557.422266139226 125.646606496013 805.42551481806</t>
  </si>
  <si>
    <t>-580.477086843346 -129.52152311483 305.810807932037</t>
  </si>
  <si>
    <t>-605.208189337347 -146.341139852886 752.663602157594</t>
  </si>
  <si>
    <t>-471.796634233339 -190.526860153648 825.713432202774</t>
  </si>
  <si>
    <t>9763-20170724T104441.849262800.bin</t>
  </si>
  <si>
    <t>-636.865734302161 134.429400140814 -542.514023725661</t>
  </si>
  <si>
    <t>-623.543348021908 171.310039581594 -250.874675670092</t>
  </si>
  <si>
    <t>-392.954415081461 240.575854230505 -241.825751369137</t>
  </si>
  <si>
    <t>-623.473101227896 77.7392178393293 -101.600617460707</t>
  </si>
  <si>
    <t>-645.994941713225 88.4340986865764 301.181012535399</t>
  </si>
  <si>
    <t>-702.572836010663 106.18086035027 745.117080593779</t>
  </si>
  <si>
    <t>-557.405314049342 125.555552695675 805.435449794884</t>
  </si>
  <si>
    <t>-580.110164828892 -129.521056781754 305.805122980669</t>
  </si>
  <si>
    <t>-605.184537987826 -146.09241868532 752.647234848335</t>
  </si>
  <si>
    <t>-471.815100545436 -190.383894834073 825.709932547871</t>
  </si>
  <si>
    <t>9763-20170724T104441.887365900.bin</t>
  </si>
  <si>
    <t>-636.348348285309 134.463633161976 -542.463905824716</t>
  </si>
  <si>
    <t>-622.85572700671 171.329350224527 -250.830386276208</t>
  </si>
  <si>
    <t>-392.220983037073 240.464681437083 -241.953985489027</t>
  </si>
  <si>
    <t>-623.28454184103 77.7622635073976 -101.564150115083</t>
  </si>
  <si>
    <t>-645.927410030524 88.4094329927441 301.211938415008</t>
  </si>
  <si>
    <t>-702.570105197201 106.10846767951 745.139813414528</t>
  </si>
  <si>
    <t>-557.374872208539 125.341172880808 805.436931580424</t>
  </si>
  <si>
    <t>-579.972034549908 -129.537834179999 305.813473870665</t>
  </si>
  <si>
    <t>-605.18417535394 -146.165792387016 752.646119224805</t>
  </si>
  <si>
    <t>-471.777629789472 -190.344179324727 825.709499764461</t>
  </si>
  <si>
    <t>9763-20170724T104441.949114100.bin</t>
  </si>
  <si>
    <t>-635.374672573104 134.632155789423 -542.363977767943</t>
  </si>
  <si>
    <t>-621.608076088049 171.508043976075 -250.744556232605</t>
  </si>
  <si>
    <t>-390.843739520684 240.268671781442 -242.33735492933</t>
  </si>
  <si>
    <t>-623.012727313755 77.8514660516682 -101.50135620322</t>
  </si>
  <si>
    <t>-645.970858769301 88.3798175130964 301.260058626075</t>
  </si>
  <si>
    <t>-702.573294531564 106.049214918057 745.185379474648</t>
  </si>
  <si>
    <t>-557.38921436451 125.500632113106 805.439190857716</t>
  </si>
  <si>
    <t>-579.789111990903 -129.658169103247 305.799451073723</t>
  </si>
  <si>
    <t>-605.182468874043 -146.382958100515 752.627146312095</t>
  </si>
  <si>
    <t>-471.61614719661 -190.077971006209 825.689363200095</t>
  </si>
  <si>
    <t>9763-20170724T104441.988220100.bin</t>
  </si>
  <si>
    <t>-634.862362672362 134.886554044512 -542.30928272148</t>
  </si>
  <si>
    <t>-620.898345573982 171.811864347457 -250.705419105498</t>
  </si>
  <si>
    <t>-390.079292209575 240.413241289239 -242.500895518953</t>
  </si>
  <si>
    <t>-622.917387174007 77.925232364727 -101.47429368722</t>
  </si>
  <si>
    <t>-645.984253461033 88.4910911657425 301.279863933555</t>
  </si>
  <si>
    <t>-702.591581609462 106.152199656289 745.216798751549</t>
  </si>
  <si>
    <t>-557.431148818529 125.785368079065 805.468515293967</t>
  </si>
  <si>
    <t>-579.706147920618 -129.524035063873 305.789489979531</t>
  </si>
  <si>
    <t>-605.173114748212 -146.29646415448 752.615651269217</t>
  </si>
  <si>
    <t>-471.841250786466 -190.655736460841 825.705873437034</t>
  </si>
  <si>
    <t>9763-20170724T104442.050997200.bin</t>
  </si>
  <si>
    <t>-634.137138439424 135.104509344824 -542.215075479813</t>
  </si>
  <si>
    <t>-619.74270902163 172.204394122597 -250.654460792836</t>
  </si>
  <si>
    <t>-388.832310798285 240.527850452619 -242.706590235177</t>
  </si>
  <si>
    <t>-622.825365883526 78.0386639450765 -101.431283609762</t>
  </si>
  <si>
    <t>-645.898547089569 88.5512971167636 301.32396639097</t>
  </si>
  <si>
    <t>-702.568103551358 106.1194235717 745.271439302534</t>
  </si>
  <si>
    <t>-557.386265908649 125.528495232282 805.544411240992</t>
  </si>
  <si>
    <t>-579.588620250774 -129.495594784423 305.778824285722</t>
  </si>
  <si>
    <t>-605.157726104434 -146.249774760621 752.594417138943</t>
  </si>
  <si>
    <t>-471.737788699797 -190.328217200757 825.693810295095</t>
  </si>
  <si>
    <t>9763-20170724T104442.086099600.bin</t>
  </si>
  <si>
    <t>-633.901400322207 135.14952933845 -542.177982951135</t>
  </si>
  <si>
    <t>-619.294768109674 172.249585729725 -250.628086236707</t>
  </si>
  <si>
    <t>-388.354343357619 240.491535964842 -242.85460509983</t>
  </si>
  <si>
    <t>-622.760003091554 78.0595900967812 -101.400478582616</t>
  </si>
  <si>
    <t>-645.867768836889 88.5884399190372 301.352346202726</t>
  </si>
  <si>
    <t>-702.57024200391 106.140722510978 745.291268507315</t>
  </si>
  <si>
    <t>-557.381472276814 125.484189523723 805.568562668909</t>
  </si>
  <si>
    <t>-579.549388463734 -129.440724035034 305.780145891959</t>
  </si>
  <si>
    <t>-605.148866803937 -146.155399407956 752.592460386095</t>
  </si>
  <si>
    <t>-471.759970826929 -190.318806100831 825.697083724086</t>
  </si>
  <si>
    <t>9763-20170724T104442.149302300.bin</t>
  </si>
  <si>
    <t>-633.462302565424 135.218967163174 -542.092266891358</t>
  </si>
  <si>
    <t>-618.332791546409 172.481028815334 -250.589520721277</t>
  </si>
  <si>
    <t>-387.304096676094 240.456594830463 -243.111720411551</t>
  </si>
  <si>
    <t>-622.564885415685 78.209740538291 -101.355552826082</t>
  </si>
  <si>
    <t>-645.755264904422 88.6833802054446 301.393992348753</t>
  </si>
  <si>
    <t>-702.580777550157 106.233543508017 745.317632709351</t>
  </si>
  <si>
    <t>-557.42129521692 125.78635081185 805.597891930336</t>
  </si>
  <si>
    <t>-579.507965897002 -129.384552773349 305.810621586113</t>
  </si>
  <si>
    <t>-605.15389491232 -146.22619993171 752.607162954115</t>
  </si>
  <si>
    <t>-471.845670796587 -190.631181548291 825.712602768464</t>
  </si>
  <si>
    <t>9763-20170724T104442.184367300.bin</t>
  </si>
  <si>
    <t>-633.354538530967 135.174760693862 -542.070394843486</t>
  </si>
  <si>
    <t>-617.965816327065 172.534901082214 -250.593762212395</t>
  </si>
  <si>
    <t>-386.873620304591 240.311362193787 -243.269834264847</t>
  </si>
  <si>
    <t>-622.482058184704 78.2125412065004 -101.342998378204</t>
  </si>
  <si>
    <t>-645.677127455294 88.6744207700631 301.406509034686</t>
  </si>
  <si>
    <t>-702.581830071223 106.27994802796 745.326402778882</t>
  </si>
  <si>
    <t>-557.435748516357 125.916907857334 805.611513327222</t>
  </si>
  <si>
    <t>-579.469561742854 -129.435344599799 305.810519590332</t>
  </si>
  <si>
    <t>-605.153526635179 -146.280778404161 752.60797846929</t>
  </si>
  <si>
    <t>-471.669310440483 -190.17922493175 825.698213390329</t>
  </si>
  <si>
    <t>9763-20170724T104442.231493900.bin</t>
  </si>
  <si>
    <t>-633.26396109109 135.079401310972 -542.036165918198</t>
  </si>
  <si>
    <t>-617.587850251215 172.478130692155 -250.579803169175</t>
  </si>
  <si>
    <t>-386.445459571683 240.0970213128 -243.385127249813</t>
  </si>
  <si>
    <t>-622.387819787067 78.1862335808551 -101.347970516292</t>
  </si>
  <si>
    <t>-645.535133410238 88.6356995017672 301.404691943166</t>
  </si>
  <si>
    <t>-702.588259969842 106.3366635266 745.260158528879</t>
  </si>
  <si>
    <t>-557.435734694562 125.901404718502 805.553343625987</t>
  </si>
  <si>
    <t>-579.426054128563 -129.510071578664 305.814305739926</t>
  </si>
  <si>
    <t>-605.154988411817 -146.375148270326 752.608347880271</t>
  </si>
  <si>
    <t>-471.569650980674 -189.974203405572 825.693007723318</t>
  </si>
  <si>
    <t>9763-20170724T104442.283632900.bin</t>
  </si>
  <si>
    <t>-632.973632825039 135.14866065802 -541.970782988734</t>
  </si>
  <si>
    <t>-616.723061491762 172.67008512077 -250.561558259743</t>
  </si>
  <si>
    <t>-385.50724776279 240.049639957721 -243.48126566513</t>
  </si>
  <si>
    <t>-622.166471771341 78.2871930737801 -101.331167572701</t>
  </si>
  <si>
    <t>-645.341889779749 88.6246096556174 301.422707581569</t>
  </si>
  <si>
    <t>-702.580107846928 106.336818528725 745.28215267841</t>
  </si>
  <si>
    <t>-557.386382227538 125.543105665271 805.591251105189</t>
  </si>
  <si>
    <t>-579.37540358935 -129.46897719247 305.84458268333</t>
  </si>
  <si>
    <t>-605.168136077931 -146.483543105174 752.617875596645</t>
  </si>
  <si>
    <t>-471.742582256514 -190.556278046932 825.710400294795</t>
  </si>
  <si>
    <t>9763-20170724T104442.349844900.bin</t>
  </si>
  <si>
    <t>-632.734769776688 135.32471467995 -541.956180924685</t>
  </si>
  <si>
    <t>-615.980360975897 172.978127191633 -250.592586420893</t>
  </si>
  <si>
    <t>-384.72381000974 240.22772732332 -243.609022819288</t>
  </si>
  <si>
    <t>-621.96203163458 78.4581417294748 -101.282737865235</t>
  </si>
  <si>
    <t>-645.254381696902 88.738008756555 301.465937245166</t>
  </si>
  <si>
    <t>-702.58256359778 106.368427323472 745.31352412957</t>
  </si>
  <si>
    <t>-557.40627807276 125.702451676186 805.623843952625</t>
  </si>
  <si>
    <t>-579.348040965207 -129.420733018356 305.865052333035</t>
  </si>
  <si>
    <t>-605.179122115972 -146.500336042331 752.636500241596</t>
  </si>
  <si>
    <t>-471.73575388409 -190.542739472303 825.714768070498</t>
  </si>
  <si>
    <t>9763-20170724T104442.385441300.bin</t>
  </si>
  <si>
    <t>-632.662178743829 135.322926982019 -541.949143663309</t>
  </si>
  <si>
    <t>-615.626607710784 173.151604125057 -250.624577217936</t>
  </si>
  <si>
    <t>-384.347402036545 240.320384838032 -243.613196754966</t>
  </si>
  <si>
    <t>-621.9050242688 78.5292931964086 -101.295935848104</t>
  </si>
  <si>
    <t>-645.229914474673 88.7447866958987 301.452454357085</t>
  </si>
  <si>
    <t>-702.586659975179 106.401571918428 745.273385983775</t>
  </si>
  <si>
    <t>-557.409618722665 125.716998994977 805.587802653324</t>
  </si>
  <si>
    <t>-579.337317599549 -129.451854308378 305.864154469258</t>
  </si>
  <si>
    <t>-605.196618905578 -146.670529144421 752.645206754434</t>
  </si>
  <si>
    <t>-471.641391106584 -190.405175616638 825.703946949867</t>
  </si>
  <si>
    <t>9763-20170724T104442.451127600.bin</t>
  </si>
  <si>
    <t>-632.457863452084 135.423188314267 -541.919266032256</t>
  </si>
  <si>
    <t>-614.819312516608 173.600698243457 -250.676089789329</t>
  </si>
  <si>
    <t>-383.498544464696 240.618896210312 -243.594675018493</t>
  </si>
  <si>
    <t>-621.687731787892 78.6636887892194 -101.268627867022</t>
  </si>
  <si>
    <t>-645.122043862031 88.7946493855966 301.475569498672</t>
  </si>
  <si>
    <t>-702.586096924318 106.42202109209 745.310048353852</t>
  </si>
  <si>
    <t>-557.389112823109 125.56286350132 805.631989601053</t>
  </si>
  <si>
    <t>-579.222215755945 -129.461437470166 305.871973681684</t>
  </si>
  <si>
    <t>-605.190596453798 -146.646359767068 752.646758274502</t>
  </si>
  <si>
    <t>-471.603048852145 -190.291990701536 825.699620720413</t>
  </si>
  <si>
    <t>9763-20170724T104442.489244800.bin</t>
  </si>
  <si>
    <t>-632.275756620466 135.519552094221 -541.900613169423</t>
  </si>
  <si>
    <t>-614.355845818395 173.843322634382 -250.693808940055</t>
  </si>
  <si>
    <t>-383.027202067984 240.832712623533 -243.59620472983</t>
  </si>
  <si>
    <t>-621.531874513414 78.7608094916213 -101.239301765011</t>
  </si>
  <si>
    <t>-645.033897349132 88.8680326191918 301.501487646317</t>
  </si>
  <si>
    <t>-702.591117199151 106.448105416083 745.328624350612</t>
  </si>
  <si>
    <t>-557.400276623037 125.652924741145 805.645232289784</t>
  </si>
  <si>
    <t>-579.109379663235 -129.364042948947 305.889967344244</t>
  </si>
  <si>
    <t>-605.186373313284 -146.560625334896 752.649870802816</t>
  </si>
  <si>
    <t>-471.727181735435 -190.579819009399 825.71331192465</t>
  </si>
  <si>
    <t>9763-20170724T104442.551411500.bin</t>
  </si>
  <si>
    <t>-631.801092053169 135.668504640488 -541.900186770849</t>
  </si>
  <si>
    <t>-613.442515222794 174.347401575331 -250.767718676727</t>
  </si>
  <si>
    <t>-382.115050712459 241.309388837109 -243.380445858969</t>
  </si>
  <si>
    <t>-621.294901456354 79.0060121641923 -101.191072466803</t>
  </si>
  <si>
    <t>-644.871299395371 88.9718323472073 301.548925608105</t>
  </si>
  <si>
    <t>-702.604575071877 106.505911486385 745.3591374404</t>
  </si>
  <si>
    <t>-557.419299944435 125.785314505301 805.665230418257</t>
  </si>
  <si>
    <t>-578.897421076888 -129.261858404634 305.904808120129</t>
  </si>
  <si>
    <t>-605.172937464893 -146.45207296239 752.646842953833</t>
  </si>
  <si>
    <t>-471.687246001647 -190.390481816001 825.710343134053</t>
  </si>
  <si>
    <t>9763-20170724T104442.583498300.bin</t>
  </si>
  <si>
    <t>-631.509161730945 135.719943605593 -541.911154554164</t>
  </si>
  <si>
    <t>-613.019349629939 174.52619763297 -250.803853119233</t>
  </si>
  <si>
    <t>-381.698684732036 241.500875051909 -243.319762841858</t>
  </si>
  <si>
    <t>-621.191360955232 79.0925127789305 -101.176092393112</t>
  </si>
  <si>
    <t>-644.818562465995 89.0091620800629 301.562116189108</t>
  </si>
  <si>
    <t>-702.601920620881 106.513381729852 745.371668434893</t>
  </si>
  <si>
    <t>-557.420129087642 125.816318767094 805.678564795879</t>
  </si>
  <si>
    <t>-578.806794079161 -129.206760017906 305.912025706156</t>
  </si>
  <si>
    <t>-605.17415872318 -146.432114932026 752.647963854154</t>
  </si>
  <si>
    <t>-471.747147302223 -190.54363674183 825.714348093638</t>
  </si>
  <si>
    <t>9763-20170724T104442.651691000.bin</t>
  </si>
  <si>
    <t>-630.823662679719 135.687008472426 -541.93076031777</t>
  </si>
  <si>
    <t>-611.971896548341 174.738163179271 -250.879472454841</t>
  </si>
  <si>
    <t>-380.646543477777 241.6748772003 -243.2059715141</t>
  </si>
  <si>
    <t>-620.952983971377 79.1420910397012 -101.130589578634</t>
  </si>
  <si>
    <t>-644.736302670793 89.0959603024723 301.597503764758</t>
  </si>
  <si>
    <t>-702.616763662505 106.595694929126 745.399516391496</t>
  </si>
  <si>
    <t>-557.439310627031 125.935198381251 805.705163868017</t>
  </si>
  <si>
    <t>-578.763605335679 -129.368090440434 305.927222947167</t>
  </si>
  <si>
    <t>-605.20465004883 -146.787430521039 752.662674580314</t>
  </si>
  <si>
    <t>-471.569486229506 -190.310147280568 825.701850276272</t>
  </si>
  <si>
    <t>9763-20170724T104442.696825600.bin</t>
  </si>
  <si>
    <t>-630.506449037254 135.800390274992 -541.960984724292</t>
  </si>
  <si>
    <t>-611.454956273656 174.995641961626 -250.942063957864</t>
  </si>
  <si>
    <t>-380.117703601449 241.879537910973 -243.164568514856</t>
  </si>
  <si>
    <t>-620.859696470331 79.2559361655894 -101.12373837374</t>
  </si>
  <si>
    <t>-644.710612514332 89.1725176224413 301.601273845849</t>
  </si>
  <si>
    <t>-702.610805505234 106.580534317678 745.359434883466</t>
  </si>
  <si>
    <t>-557.39828053223 125.639583885166 805.669935907433</t>
  </si>
  <si>
    <t>-578.74153667524 -129.239566430119 305.925880063037</t>
  </si>
  <si>
    <t>-605.192089608366 -146.562089291304 752.660300773196</t>
  </si>
  <si>
    <t>-471.778793795099 -190.729258390009 825.71823470776</t>
  </si>
  <si>
    <t>9763-20170724T104442.727912700.bin</t>
  </si>
  <si>
    <t>-630.192063325442 135.91532178777 -541.999700828878</t>
  </si>
  <si>
    <t>-610.953676424368 175.285840178713 -251.016758572828</t>
  </si>
  <si>
    <t>-379.581053959082 242.041867887357 -243.193392274897</t>
  </si>
  <si>
    <t>-620.792287251176 79.3960750537367 -101.134707617806</t>
  </si>
  <si>
    <t>-644.70510086513 89.2561086204325 301.588044310103</t>
  </si>
  <si>
    <t>-702.62491357518 106.64514415872 745.344192843799</t>
  </si>
  <si>
    <t>-557.427165010685 125.838761640735 805.64780911453</t>
  </si>
  <si>
    <t>-578.742802049253 -129.17541705192 305.923747344644</t>
  </si>
  <si>
    <t>-605.190826993605 -146.546132728527 752.659546393848</t>
  </si>
  <si>
    <t>-471.790749940889 -190.754167831187 825.716851319847</t>
  </si>
  <si>
    <t>9763-20170724T104442.785567000.bin</t>
  </si>
  <si>
    <t>-629.626132275264 135.950741342823 -542.065914104764</t>
  </si>
  <si>
    <t>-609.948877293294 175.611061606905 -251.151688350186</t>
  </si>
  <si>
    <t>-378.521554053994 242.179791723578 -243.348997686686</t>
  </si>
  <si>
    <t>-620.654140274757 79.5388573911418 -101.104533382609</t>
  </si>
  <si>
    <t>-644.698511830841 89.3126568081982 301.612519284273</t>
  </si>
  <si>
    <t>-702.623214619088 106.638065831208 745.399264888216</t>
  </si>
  <si>
    <t>-557.416270880217 125.767954997556 805.700912168332</t>
  </si>
  <si>
    <t>-578.73362196151 -129.25139510323 305.930046426737</t>
  </si>
  <si>
    <t>-605.211477501632 -146.854616324979 752.669203822564</t>
  </si>
  <si>
    <t>-471.684233654742 -190.70479149511 825.709808730052</t>
  </si>
  <si>
    <t>9763-20170724T104442.852866200.bin</t>
  </si>
  <si>
    <t>-629.09203977096 136.077249587332 -542.088398053531</t>
  </si>
  <si>
    <t>-609.007098797608 175.985743188438 -251.23614009242</t>
  </si>
  <si>
    <t>-377.523720557893 242.351065956857 -243.364953406119</t>
  </si>
  <si>
    <t>-620.45405456064 79.6622083745028 -101.058027357298</t>
  </si>
  <si>
    <t>-644.556093315138 89.4160015774169 301.65603058817</t>
  </si>
  <si>
    <t>-702.627591097513 106.68096638075 745.441179739689</t>
  </si>
  <si>
    <t>-557.427000675402 125.849156535135 805.745939806335</t>
  </si>
  <si>
    <t>-578.646273276035 -129.173527881759 305.951545557268</t>
  </si>
  <si>
    <t>-605.198631578288 -146.718658547069 752.672537704588</t>
  </si>
  <si>
    <t>-471.689054467775 -190.615105594738 825.71766724259</t>
  </si>
  <si>
    <t>9763-20170724T104442.885967100.bin</t>
  </si>
  <si>
    <t>-628.988983730497 136.208033346482 -542.119628039106</t>
  </si>
  <si>
    <t>-608.662947196743 176.225434050656 -251.298857470954</t>
  </si>
  <si>
    <t>-377.149081651913 242.480278212965 -243.393294509478</t>
  </si>
  <si>
    <t>-620.417131024908 79.8567544700018 -101.050321476373</t>
  </si>
  <si>
    <t>-644.496951884854 89.5091045787196 301.667513650294</t>
  </si>
  <si>
    <t>-702.644236210795 106.753240875024 745.447236214965</t>
  </si>
  <si>
    <t>-557.50167382311 126.38708574514 805.7418849971</t>
  </si>
  <si>
    <t>-578.62374429756 -129.095007674478 305.958188346</t>
  </si>
  <si>
    <t>-605.193125091282 -146.709469883702 752.672915156259</t>
  </si>
  <si>
    <t>-471.735683095085 -190.747401591128 825.728100715077</t>
  </si>
  <si>
    <t>9763-20170724T104442.953738000.bin</t>
  </si>
  <si>
    <t>-635.776404767457 0.0135600988139686 -557.431585563963</t>
  </si>
  <si>
    <t>-628.949659330448 136.457077658046 -542.152862076988</t>
  </si>
  <si>
    <t>-608.150036501402 176.702538987038 -251.397092838212</t>
  </si>
  <si>
    <t>-376.583254528923 242.776152011117 -243.524875916577</t>
  </si>
  <si>
    <t>-620.255794778122 80.1057771959402 -101.047254238979</t>
  </si>
  <si>
    <t>-644.461218879595 89.6664188022394 301.665295920328</t>
  </si>
  <si>
    <t>-702.649625977613 106.766718321065 745.449821699687</t>
  </si>
  <si>
    <t>-557.468619399529 126.112491707611 805.745142543359</t>
  </si>
  <si>
    <t>-578.601568196262 -128.859928149058 306.00066929272</t>
  </si>
  <si>
    <t>-605.18304206613 -146.422659489365 752.689699570837</t>
  </si>
  <si>
    <t>-471.903147563687 -190.974053220492 825.757871760679</t>
  </si>
  <si>
    <t>9763-20170724T104443.007904600.bin</t>
  </si>
  <si>
    <t>-636.070705861424 0.00613785143559653 -557.420387673644</t>
  </si>
  <si>
    <t>-629.02993465419 136.453902598758 -542.222310794029</t>
  </si>
  <si>
    <t>-607.897697598909 176.889625557118 -251.517019351815</t>
  </si>
  <si>
    <t>-376.277524092427 242.765480817907 -243.557535359619</t>
  </si>
  <si>
    <t>-620.191804604042 80.2280701099287 -101.051620386149</t>
  </si>
  <si>
    <t>-644.429722270115 89.6977246609476 301.661109663573</t>
  </si>
  <si>
    <t>-702.646633946761 106.779065988151 745.442802661677</t>
  </si>
  <si>
    <t>-557.483221307179 126.263843500979 805.735593064147</t>
  </si>
  <si>
    <t>-578.640163487756 -128.979710360225 306.031516458113</t>
  </si>
  <si>
    <t>-605.206071245285 -146.818616031621 752.713526368495</t>
  </si>
  <si>
    <t>-471.732101047655 -190.817699819061 825.761939873995</t>
  </si>
  <si>
    <t>9763-20170724T104443.050006000.bin</t>
  </si>
  <si>
    <t>-636.4009354484 0.111874511005681 -557.418638586696</t>
  </si>
  <si>
    <t>-629.184228710959 136.555890682594 -542.336703043932</t>
  </si>
  <si>
    <t>-607.722090143456 177.210031123559 -251.686147390613</t>
  </si>
  <si>
    <t>-376.048631360661 242.893232326953 -243.684357693007</t>
  </si>
  <si>
    <t>-620.139867939317 80.3916121307454 -101.051562908036</t>
  </si>
  <si>
    <t>-644.362279789913 89.7905720161414 301.663695135612</t>
  </si>
  <si>
    <t>-702.650022967864 106.79859360109 745.439756384849</t>
  </si>
  <si>
    <t>-557.480644190997 126.230929300614 805.735065619197</t>
  </si>
  <si>
    <t>-578.618613641899 -128.822253380252 306.034189359624</t>
  </si>
  <si>
    <t>-605.194087796907 -146.663599099248 752.716493838409</t>
  </si>
  <si>
    <t>-471.877037948861 -191.099538820557 825.787152750981</t>
  </si>
  <si>
    <t>9763-20170724T104443.083093200.bin</t>
  </si>
  <si>
    <t>-636.616363840046 0.163803812510878 -557.412256512252</t>
  </si>
  <si>
    <t>-629.293944106484 136.613764688229 -542.41406644498</t>
  </si>
  <si>
    <t>-607.576979915704 177.356658568087 -251.79461940816</t>
  </si>
  <si>
    <t>-375.845146776598 242.837677904186 -243.829642626346</t>
  </si>
  <si>
    <t>-620.059427289306 80.4930899263125 -101.050680852228</t>
  </si>
  <si>
    <t>-644.273585803297 89.8327104044722 301.666470492226</t>
  </si>
  <si>
    <t>-702.64326054629 106.781203332853 745.433133024291</t>
  </si>
  <si>
    <t>-557.464816231581 126.14607467673 805.728371174922</t>
  </si>
  <si>
    <t>-578.597995280465 -128.79971733301 306.047213943898</t>
  </si>
  <si>
    <t>-605.195363415653 -146.738998383062 752.718615800616</t>
  </si>
  <si>
    <t>-471.830347280884 -191.031860479119 825.788510060549</t>
  </si>
  <si>
    <t>9763-20170724T104443.153826100.bin</t>
  </si>
  <si>
    <t>-637.149995548307 0.190509194361539 -557.425906954734</t>
  </si>
  <si>
    <t>-629.615159726054 136.651956158803 -542.630054219252</t>
  </si>
  <si>
    <t>-607.376180715595 177.846621397607 -252.113918192822</t>
  </si>
  <si>
    <t>-375.41708564297 242.450419879765 -243.617786038861</t>
  </si>
  <si>
    <t>-620.055566934095 80.7889368473495 -101.065368888445</t>
  </si>
  <si>
    <t>-644.130475261081 89.8869355060219 301.665705343371</t>
  </si>
  <si>
    <t>-702.644210479593 106.742344109945 745.416933131235</t>
  </si>
  <si>
    <t>-557.425313218253 125.865114021966 805.691937755695</t>
  </si>
  <si>
    <t>-578.644026069084 -128.676837881637 306.05993453903</t>
  </si>
  <si>
    <t>-605.205590016743 -146.882557707483 752.728235530484</t>
  </si>
  <si>
    <t>-471.903566866076 -191.352366409529 825.805650936895</t>
  </si>
  <si>
    <t>9763-20170724T104443.183903600.bin</t>
  </si>
  <si>
    <t>-637.434617139167 0.138953379555915 -557.438528305414</t>
  </si>
  <si>
    <t>-629.742786906271 136.602590273439 -542.755245500145</t>
  </si>
  <si>
    <t>-607.238456691387 178.055043726189 -252.296216276023</t>
  </si>
  <si>
    <t>-375.216804012135 242.398234341874 -243.533585078488</t>
  </si>
  <si>
    <t>-620.069188931957 80.9212786138237 -101.087122826889</t>
  </si>
  <si>
    <t>-644.078290250263 89.9381988332984 301.649679215894</t>
  </si>
  <si>
    <t>-702.641117809646 106.748631471653 745.402086201454</t>
  </si>
  <si>
    <t>-557.415655919669 125.80945924744 805.681084480233</t>
  </si>
  <si>
    <t>-578.628873986998 -128.680294124061 306.067309056391</t>
  </si>
  <si>
    <t>-605.214064312384 -147.05110669797 752.733723017707</t>
  </si>
  <si>
    <t>-471.77179230699 -191.117988059462 825.799356692503</t>
  </si>
  <si>
    <t>9763-20170724T104443.253596600.bin</t>
  </si>
  <si>
    <t>-638.107405475974 0.203548411881911 -557.466812776418</t>
  </si>
  <si>
    <t>-630.031138837126 136.670349261733 -543.014522834431</t>
  </si>
  <si>
    <t>-606.71459038725 178.366173620333 -252.654327402161</t>
  </si>
  <si>
    <t>-374.656652468073 242.616837254409 -244.179541572789</t>
  </si>
  <si>
    <t>-620.165385685241 81.3772405427032 -101.151767840329</t>
  </si>
  <si>
    <t>-644.014617738767 90.2211422478422 301.598333476829</t>
  </si>
  <si>
    <t>-702.638347238885 106.767053419072 745.369253299196</t>
  </si>
  <si>
    <t>-557.392309339681 125.650202765628 805.654630654362</t>
  </si>
  <si>
    <t>-578.594099371313 -128.263286380958 306.071064329431</t>
  </si>
  <si>
    <t>-605.183626909568 -146.725666021069 752.718407131859</t>
  </si>
  <si>
    <t>-471.978091606668 -191.443920642512 825.820153823045</t>
  </si>
  <si>
    <t>9763-20170724T104443.288190500.bin</t>
  </si>
  <si>
    <t>-638.544066032716 0.179351309446247 -557.475522482163</t>
  </si>
  <si>
    <t>-630.240445360539 136.647929535855 -543.153523583602</t>
  </si>
  <si>
    <t>-606.541478952908 178.143233203236 -252.795686572375</t>
  </si>
  <si>
    <t>-374.398368760361 242.154489703363 -244.858195320582</t>
  </si>
  <si>
    <t>-620.199484394687 81.5888688444184 -101.178040722307</t>
  </si>
  <si>
    <t>-644.038220516956 90.372414011877 301.574022545398</t>
  </si>
  <si>
    <t>-702.652124433528 106.82707747111 745.346712050717</t>
  </si>
  <si>
    <t>-557.420523275807 125.844528406364 805.624576925162</t>
  </si>
  <si>
    <t>-578.596964579897 -128.147843605291 306.075005107141</t>
  </si>
  <si>
    <t>-605.178205381403 -146.776342586139 752.712986851921</t>
  </si>
  <si>
    <t>-471.940248466702 -191.385958368732 825.821969660126</t>
  </si>
  <si>
    <t>9763-20170724T104443.352529100.bin</t>
  </si>
  <si>
    <t>-639.592203816298 0.108402488093816 -557.538576293813</t>
  </si>
  <si>
    <t>-631.001278936229 136.598201387828 -543.544927754518</t>
  </si>
  <si>
    <t>-607.130460926387 177.601593740196 -253.131237110636</t>
  </si>
  <si>
    <t>-375.015553921777 241.872478450921 -246.589642237125</t>
  </si>
  <si>
    <t>-620.366843144595 82.0348956053854 -101.27783277904</t>
  </si>
  <si>
    <t>-643.951175843756 90.5854499031759 301.494243243839</t>
  </si>
  <si>
    <t>-702.670433340841 106.880421777316 745.283309531967</t>
  </si>
  <si>
    <t>-557.407096056763 125.712652209798 805.542941952798</t>
  </si>
  <si>
    <t>-578.522849821711 -127.758060949912 306.069436590833</t>
  </si>
  <si>
    <t>-605.144041209831 -146.545599639275 752.683946064498</t>
  </si>
  <si>
    <t>-472.053123558477 -191.518028612516 825.838421780839</t>
  </si>
  <si>
    <t>9763-20170724T104443.383611600.bin</t>
  </si>
  <si>
    <t>-631.572294088749 136.400140998789 -543.773421520554</t>
  </si>
  <si>
    <t>-608.038553741855 177.671281709215 -253.370128064068</t>
  </si>
  <si>
    <t>-375.833278555386 241.676271816785 -247.458831295074</t>
  </si>
  <si>
    <t>-620.449039332414 82.0893966124811 -101.313373112048</t>
  </si>
  <si>
    <t>-643.876173429 90.5956260610953 301.468770536624</t>
  </si>
  <si>
    <t>-702.69039325112 106.920789740863 745.246695523817</t>
  </si>
  <si>
    <t>-557.43349362495 125.886209244749 805.479869397797</t>
  </si>
  <si>
    <t>-578.448219442233 -127.696527500155 306.041318055282</t>
  </si>
  <si>
    <t>-605.131623323076 -146.609364997236 752.65853258541</t>
  </si>
  <si>
    <t>-471.941753836745 -191.266812456874 825.826051245747</t>
  </si>
  <si>
    <t>9763-20170724T104443.452747100.bin</t>
  </si>
  <si>
    <t>-632.781426551131 135.909834451126 -544.169195177768</t>
  </si>
  <si>
    <t>-611.682929633871 177.568956930274 -253.634198617127</t>
  </si>
  <si>
    <t>-379.217725567355 240.72456095849 -248.926951550333</t>
  </si>
  <si>
    <t>-620.684417649989 82.0547542764793 -101.360078413203</t>
  </si>
  <si>
    <t>-643.770531798624 90.4984838962498 301.44307546956</t>
  </si>
  <si>
    <t>-702.712277569184 106.893088750594 745.187458240401</t>
  </si>
  <si>
    <t>-557.444238647779 125.967902951139 805.359356809722</t>
  </si>
  <si>
    <t>-578.131202498382 -127.560884810682 305.973291831038</t>
  </si>
  <si>
    <t>-605.085446564059 -146.458495113543 752.587258162285</t>
  </si>
  <si>
    <t>-472.080221273486 -191.541746062351 825.829478239428</t>
  </si>
  <si>
    <t>9763-20170724T104443.486340300.bin</t>
  </si>
  <si>
    <t>-633.534836836904 135.787402197517 -544.195961464774</t>
  </si>
  <si>
    <t>-613.891539187407 177.291985221832 -253.536822905022</t>
  </si>
  <si>
    <t>-381.40093216907 240.386575336363 -249.286175892828</t>
  </si>
  <si>
    <t>-620.871928801572 81.9597608543827 -101.376804262352</t>
  </si>
  <si>
    <t>-643.836650077929 90.4341161688885 301.432661968868</t>
  </si>
  <si>
    <t>-702.698074055837 106.778920683411 745.16971895518</t>
  </si>
  <si>
    <t>-557.368573007215 125.432538835484 805.325182343107</t>
  </si>
  <si>
    <t>-578.062596676103 -127.554826359976 305.954191126313</t>
  </si>
  <si>
    <t>-605.094497891155 -146.486958777299 752.572920290857</t>
  </si>
  <si>
    <t>-472.040934386828 -191.43065465434 825.812982538706</t>
  </si>
  <si>
    <t>9763-20170724T104443.517912900.bin</t>
  </si>
  <si>
    <t>-634.394975968619 135.78529492877 -544.15485832346</t>
  </si>
  <si>
    <t>-616.154094070689 177.014707307036 -253.365101306913</t>
  </si>
  <si>
    <t>-383.692486817096 240.23351303023 -249.379285021087</t>
  </si>
  <si>
    <t>-621.120404914239 81.8852074528766 -101.398130069723</t>
  </si>
  <si>
    <t>-644.000597030556 90.3859397155336 301.415619268292</t>
  </si>
  <si>
    <t>-702.690572600708 106.765823506554 745.164385323094</t>
  </si>
  <si>
    <t>-557.355730479788 125.383028162059 805.31819902722</t>
  </si>
  <si>
    <t>-578.140160604684 -127.490855087951 305.927176965217</t>
  </si>
  <si>
    <t>-605.092006239769 -146.319884725015 752.557735366746</t>
  </si>
  <si>
    <t>-472.164532302179 -191.622478033341 825.805577549623</t>
  </si>
  <si>
    <t>9763-20170724T104443.587601700.bin</t>
  </si>
  <si>
    <t>-636.0736838541 135.666870254446 -544.081457527591</t>
  </si>
  <si>
    <t>-621.631189535728 175.995883930355 -252.952256799234</t>
  </si>
  <si>
    <t>-389.659936310849 240.966202507326 -248.583735189123</t>
  </si>
  <si>
    <t>-621.644049828268 81.6320656404585 -101.44036378052</t>
  </si>
  <si>
    <t>-644.335002216052 90.3509641088478 301.379407763946</t>
  </si>
  <si>
    <t>-702.682205725616 106.809578853038 745.176793088502</t>
  </si>
  <si>
    <t>-557.353792514953 125.43322943437 805.344240002221</t>
  </si>
  <si>
    <t>-578.280287764287 -127.612786313843 305.903954860994</t>
  </si>
  <si>
    <t>-605.127749625111 -146.612899748877 752.549620107267</t>
  </si>
  <si>
    <t>-472.031815321905 -191.458824294798 825.772728252795</t>
  </si>
  <si>
    <t>9763-20170724T104443.652280500.bin</t>
  </si>
  <si>
    <t>-637.596840413203 135.921818913814 -544.037635230435</t>
  </si>
  <si>
    <t>-628.254901832473 175.348382970207 -252.576710724058</t>
  </si>
  <si>
    <t>-396.648121464882 241.466402819757 -246.445491224775</t>
  </si>
  <si>
    <t>-622.095625295921 81.5680894061272 -101.439272907084</t>
  </si>
  <si>
    <t>-644.501858404248 90.450527588665 301.392826423619</t>
  </si>
  <si>
    <t>-702.681023999159 106.901935953024 745.203110455561</t>
  </si>
  <si>
    <t>-557.370292919642 125.605380142249 805.38834864008</t>
  </si>
  <si>
    <t>-578.284251755604 -127.512972366475 305.870683770135</t>
  </si>
  <si>
    <t>-605.116740589466 -146.318096969392 752.530263428573</t>
  </si>
  <si>
    <t>-472.158896134962 -191.552949751856 825.764930841888</t>
  </si>
  <si>
    <t>9763-20170724T104443.686371900.bin</t>
  </si>
  <si>
    <t>-638.325616737148 136.108397707154 -544.040305742532</t>
  </si>
  <si>
    <t>-632.082164463552 174.532942548568 -252.362834666461</t>
  </si>
  <si>
    <t>-401.105387386682 242.658132330501 -244.645320715448</t>
  </si>
  <si>
    <t>-622.339690083993 81.6580593713609 -101.427503982092</t>
  </si>
  <si>
    <t>-644.548154551017 90.5845687483411 301.414569577167</t>
  </si>
  <si>
    <t>-702.678163004788 106.972213659237 745.226845986272</t>
  </si>
  <si>
    <t>-557.417648967696 126.001332001452 805.431359407381</t>
  </si>
  <si>
    <t>-578.299622652387 -127.378288769232 305.860663164557</t>
  </si>
  <si>
    <t>-605.110909866997 -146.157667409051 752.525333798847</t>
  </si>
  <si>
    <t>-472.289010496557 -191.777552826798 825.76778227398</t>
  </si>
  <si>
    <t>9763-20170724T104443.757577700.bin</t>
  </si>
  <si>
    <t>-639.794215569676 136.253226799257 -544.022459239745</t>
  </si>
  <si>
    <t>-639.970593341972 172.069790186836 -251.946545033288</t>
  </si>
  <si>
    <t>-410.379784668206 244.096819119691 -239.654962983846</t>
  </si>
  <si>
    <t>-622.826580093167 81.7078023687889 -101.413049167058</t>
  </si>
  <si>
    <t>-644.641416230482 90.7842436432265 301.447225681688</t>
  </si>
  <si>
    <t>-702.671659332726 107.089756186838 745.272804994637</t>
  </si>
  <si>
    <t>-557.413829650737 125.973675870904 805.529470389903</t>
  </si>
  <si>
    <t>-578.477048261811 -127.307034000853 305.898906459555</t>
  </si>
  <si>
    <t>-605.142815798113 -146.427311154979 752.546211562672</t>
  </si>
  <si>
    <t>-472.168252156696 -191.650474653952 825.757802979295</t>
  </si>
  <si>
    <t>9763-20170724T104443.784643900.bin</t>
  </si>
  <si>
    <t>-640.308635750565 136.357153559148 -543.961936357082</t>
  </si>
  <si>
    <t>-644.173730300993 170.955475721351 -251.764654536853</t>
  </si>
  <si>
    <t>-415.438189818088 245.175916007902 -236.855909738952</t>
  </si>
  <si>
    <t>-623.032431245254 81.7166762851689 -101.402163052206</t>
  </si>
  <si>
    <t>-644.69254330352 90.8496417273698 301.465131944861</t>
  </si>
  <si>
    <t>-702.681600679933 107.164129753751 745.289633375593</t>
  </si>
  <si>
    <t>-557.412040543446 125.895283125521 805.565494156884</t>
  </si>
  <si>
    <t>-578.577815702425 -127.296907584968 305.918552590914</t>
  </si>
  <si>
    <t>-605.153428363095 -146.546054007183 752.558942570598</t>
  </si>
  <si>
    <t>-472.129607617921 -191.635977706322 825.763166157219</t>
  </si>
  <si>
    <t>9763-20170724T104443.855841900.bin</t>
  </si>
  <si>
    <t>-641.212300853684 136.657916495323 -543.822118968508</t>
  </si>
  <si>
    <t>-652.040457372914 168.883711967348 -251.528631870439</t>
  </si>
  <si>
    <t>-424.646431882852 246.518005301405 -233.760290889509</t>
  </si>
  <si>
    <t>-623.504881744316 81.8718684204259 -101.40416587255</t>
  </si>
  <si>
    <t>-644.788265372303 91.0541007320169 301.482179133041</t>
  </si>
  <si>
    <t>-702.694526452946 107.31390472013 745.320746329676</t>
  </si>
  <si>
    <t>-557.445028222181 126.102017128869 805.627394548963</t>
  </si>
  <si>
    <t>-578.65873110656 -127.198838577856 305.936274528841</t>
  </si>
  <si>
    <t>-605.16147363877 -146.617057187371 752.573060607874</t>
  </si>
  <si>
    <t>-472.126674572558 -191.683011756959 825.772096377238</t>
  </si>
  <si>
    <t>9763-20170724T104443.885919800.bin</t>
  </si>
  <si>
    <t>-641.829802144329 136.695971391806 -543.698716591694</t>
  </si>
  <si>
    <t>-654.408885041598 168.219471966619 -251.398867918816</t>
  </si>
  <si>
    <t>-427.261906671013 246.70774002007 -234.231655092794</t>
  </si>
  <si>
    <t>-623.823261398163 81.9237336167082 -101.423325067201</t>
  </si>
  <si>
    <t>-644.835954080274 91.1143357444553 301.476937963569</t>
  </si>
  <si>
    <t>-702.697603677441 107.379344778641 745.327343184728</t>
  </si>
  <si>
    <t>-557.457664026283 126.185532706435 805.65125677471</t>
  </si>
  <si>
    <t>-578.707342045756 -127.140555913663 305.942598274486</t>
  </si>
  <si>
    <t>-605.160759233318 -146.572598694171 752.581029902208</t>
  </si>
  <si>
    <t>-472.094795172892 -191.557290519441 825.773426723884</t>
  </si>
  <si>
    <t>9763-20170724T104443.931070300.bin</t>
  </si>
  <si>
    <t>-642.614868122437 136.670558210733 -543.571697309308</t>
  </si>
  <si>
    <t>-655.017712956086 167.977572645 -251.241077006686</t>
  </si>
  <si>
    <t>-427.86361276032 246.708215624623 -235.322978871734</t>
  </si>
  <si>
    <t>-624.203692059417 81.9406087152759 -101.447220363884</t>
  </si>
  <si>
    <t>-644.993169165541 91.1955747736167 301.46322068104</t>
  </si>
  <si>
    <t>-702.701320053816 107.443495441149 745.335620387013</t>
  </si>
  <si>
    <t>-557.471528177411 126.256421812966 805.682071762717</t>
  </si>
  <si>
    <t>-578.765627045687 -127.004242758143 305.941307191918</t>
  </si>
  <si>
    <t>-605.158147386505 -146.486073929773 752.590112861897</t>
  </si>
  <si>
    <t>-472.188969808822 -191.750571307865 825.785798078985</t>
  </si>
  <si>
    <t>9763-20170724T104443.986201000.bin</t>
  </si>
  <si>
    <t>-643.737012503643 136.139379095505 -543.584397743182</t>
  </si>
  <si>
    <t>-653.905171034225 167.244753348886 -251.145990142518</t>
  </si>
  <si>
    <t>-426.559971402915 246.093262616256 -238.983521205153</t>
  </si>
  <si>
    <t>-624.894767929913 81.8966614392855 -101.512230395365</t>
  </si>
  <si>
    <t>-645.649634463178 91.2808985786623 301.397022188062</t>
  </si>
  <si>
    <t>-702.698447564991 107.561249195392 745.343450782343</t>
  </si>
  <si>
    <t>-557.50739136171 126.509534922673 805.740626610045</t>
  </si>
  <si>
    <t>-578.974130889148 -127.031240918187 305.954016983055</t>
  </si>
  <si>
    <t>-605.182233769469 -146.697587547369 752.611787747705</t>
  </si>
  <si>
    <t>-472.025107671436 -191.464341980232 825.771973755087</t>
  </si>
  <si>
    <t>9763-20170724T104444.052395700.bin</t>
  </si>
  <si>
    <t>-644.013427298401 135.497105595054 -543.784850592939</t>
  </si>
  <si>
    <t>-652.715109661887 167.73787200666 -251.422103842781</t>
  </si>
  <si>
    <t>-424.552483286198 244.568791042594 -241.950632633743</t>
  </si>
  <si>
    <t>-625.26139832965 81.7569718589068 -101.584101904797</t>
  </si>
  <si>
    <t>-646.211098304824 91.3830879545305 301.309376114807</t>
  </si>
  <si>
    <t>-702.706705831047 107.689335048466 745.336175784932</t>
  </si>
  <si>
    <t>-557.531932949045 126.570185235366 805.793537984388</t>
  </si>
  <si>
    <t>-579.250609773207 -127.034441349965 305.944695709585</t>
  </si>
  <si>
    <t>-605.191623949358 -146.623058875154 752.630341800883</t>
  </si>
  <si>
    <t>-472.052483145344 -191.478499250137 825.769054955</t>
  </si>
  <si>
    <t>9763-20170724T104444.085483500.bin</t>
  </si>
  <si>
    <t>-644.037018309813 135.245223891007 -543.887229413447</t>
  </si>
  <si>
    <t>-652.274935800025 167.995316349148 -251.567538907511</t>
  </si>
  <si>
    <t>-423.635680268241 243.496221745641 -242.93124550664</t>
  </si>
  <si>
    <t>-625.462436755433 81.8386687605955 -101.621896021628</t>
  </si>
  <si>
    <t>-646.359145703958 91.3797683051016 301.276326504647</t>
  </si>
  <si>
    <t>-702.703557193558 107.682776410329 745.330223725131</t>
  </si>
  <si>
    <t>-557.519978713963 126.446115161694 805.802983606683</t>
  </si>
  <si>
    <t>-579.425457269041 -127.082431788978 305.939147845459</t>
  </si>
  <si>
    <t>-605.201411649904 -146.739550606997 752.640919587804</t>
  </si>
  <si>
    <t>-471.983467340674 -191.393130294256 825.759492627101</t>
  </si>
  <si>
    <t>9763-20170724T104444.153279500.bin</t>
  </si>
  <si>
    <t>-643.81559517608 134.996475397984 -544.028302689381</t>
  </si>
  <si>
    <t>-650.50849672978 168.720126897884 -251.779889994547</t>
  </si>
  <si>
    <t>-420.97216335987 241.517629503067 -243.750397773312</t>
  </si>
  <si>
    <t>-625.602834214372 81.9816190096062 -101.655790272321</t>
  </si>
  <si>
    <t>-646.476662389025 91.4081965034875 301.246261196383</t>
  </si>
  <si>
    <t>-702.711433604441 107.708201115846 745.310611831779</t>
  </si>
  <si>
    <t>-557.535042344862 126.454893479807 805.805796564773</t>
  </si>
  <si>
    <t>-579.576314019177 -127.085546026907 305.941440650797</t>
  </si>
  <si>
    <t>-605.21344475474 -146.79611348744 752.660536419311</t>
  </si>
  <si>
    <t>-471.946219687987 -191.348107888077 825.751355218231</t>
  </si>
  <si>
    <t>9763-20170724T104444.186358900.bin</t>
  </si>
  <si>
    <t>-643.415268545746 134.788550419285 -544.073991715639</t>
  </si>
  <si>
    <t>-649.033689296787 169.15378353656 -251.877686837031</t>
  </si>
  <si>
    <t>-419.024857403903 240.479050677146 -244.162685476097</t>
  </si>
  <si>
    <t>-625.549047925921 81.9716333202241 -101.663351712091</t>
  </si>
  <si>
    <t>-646.461520108139 91.3931454724759 301.23687483893</t>
  </si>
  <si>
    <t>-702.716148250392 107.704283864605 745.301868977797</t>
  </si>
  <si>
    <t>-557.506867825907 126.142504915492 805.812919259857</t>
  </si>
  <si>
    <t>-579.573489827451 -127.187272902779 305.946268967273</t>
  </si>
  <si>
    <t>-605.22808873571 -146.992886683436 752.673129199602</t>
  </si>
  <si>
    <t>-471.817855013496 -191.152911195247 825.740966844104</t>
  </si>
  <si>
    <t>9763-20170724T104444.250560300.bin</t>
  </si>
  <si>
    <t>-642.256322316201 134.335829523784 -544.205335340753</t>
  </si>
  <si>
    <t>-645.386285811573 169.796068469677 -252.102554946455</t>
  </si>
  <si>
    <t>-414.709967928549 239.065139980184 -245.689767574512</t>
  </si>
  <si>
    <t>-625.316269108519 81.8762869886011 -101.678749187719</t>
  </si>
  <si>
    <t>-646.321675223208 91.3216241879911 301.216079126852</t>
  </si>
  <si>
    <t>-702.712426623167 107.610534850693 745.262646323984</t>
  </si>
  <si>
    <t>-557.470473339447 125.77347934466 805.778675592331</t>
  </si>
  <si>
    <t>-579.645463047478 -127.251838272896 305.989396953503</t>
  </si>
  <si>
    <t>-605.236665571323 -147.031769096588 752.701494681989</t>
  </si>
  <si>
    <t>-471.769057713638 -191.060755312043 825.743512436425</t>
  </si>
  <si>
    <t>9763-20170724T104444.284653800.bin</t>
  </si>
  <si>
    <t>-641.66686396054 134.257211455051 -544.272274794438</t>
  </si>
  <si>
    <t>-643.76167895461 170.250361018363 -252.225516724611</t>
  </si>
  <si>
    <t>-412.920419407474 239.021607667076 -246.421888498531</t>
  </si>
  <si>
    <t>-625.223109123567 81.9983958169692 -101.697997668009</t>
  </si>
  <si>
    <t>-646.265092500433 91.3695441262234 301.19662097005</t>
  </si>
  <si>
    <t>-702.739244007932 107.675725725089 745.241641137488</t>
  </si>
  <si>
    <t>-557.553020293429 126.327606330487 805.742584480339</t>
  </si>
  <si>
    <t>-579.715910959995 -127.233144976581 306.003070534296</t>
  </si>
  <si>
    <t>-605.242215193344 -147.063687349419 752.712731011891</t>
  </si>
  <si>
    <t>-471.837719651996 -191.293032578893 825.749020069355</t>
  </si>
  <si>
    <t>9763-20170724T104444.350846400.bin</t>
  </si>
  <si>
    <t>-640.533992780323 134.354361896956 -544.31410959791</t>
  </si>
  <si>
    <t>-641.491235944226 171.199213030602 -252.36772408129</t>
  </si>
  <si>
    <t>-410.434505293589 239.283869212378 -247.060693759195</t>
  </si>
  <si>
    <t>-624.944895874517 82.0339148679302 -101.6867768903</t>
  </si>
  <si>
    <t>-646.012411261914 91.3454535016701 301.207928751814</t>
  </si>
  <si>
    <t>-702.746597707445 107.618599605282 745.213029922842</t>
  </si>
  <si>
    <t>-557.541334744158 126.184277872097 805.694878305448</t>
  </si>
  <si>
    <t>-579.683583826269 -127.267753678807 306.010666503648</t>
  </si>
  <si>
    <t>-605.246334990082 -147.030356356221 752.721431052323</t>
  </si>
  <si>
    <t>-471.862596830204 -191.335665163105 825.749635738464</t>
  </si>
  <si>
    <t>9763-20170724T104444.385939200.bin</t>
  </si>
  <si>
    <t>-639.978066755568 134.478463091934 -544.265333000006</t>
  </si>
  <si>
    <t>-640.561099563565 171.656900388351 -252.360204605604</t>
  </si>
  <si>
    <t>-409.440689426482 239.542488296191 -247.28341699568</t>
  </si>
  <si>
    <t>-624.771370762883 82.0373944754108 -101.662502124267</t>
  </si>
  <si>
    <t>-645.893166290122 91.3653721488645 301.228872731498</t>
  </si>
  <si>
    <t>-702.770816049939 107.676442992929 745.20779065769</t>
  </si>
  <si>
    <t>-557.633598308227 126.827057576776 805.670509343372</t>
  </si>
  <si>
    <t>-579.642032397735 -127.279394070864 306.003511884584</t>
  </si>
  <si>
    <t>-605.237572839626 -146.860035338902 752.716203336874</t>
  </si>
  <si>
    <t>-471.871548206932 -191.22303407735 825.741632069318</t>
  </si>
  <si>
    <t>9763-20170724T104444.417563000.bin</t>
  </si>
  <si>
    <t>-639.475652138132 134.464721862315 -544.166969782342</t>
  </si>
  <si>
    <t>-639.491534783728 171.863938581329 -252.289492356992</t>
  </si>
  <si>
    <t>-408.302684149302 239.52917420468 -247.392011231288</t>
  </si>
  <si>
    <t>-624.539828232814 81.8414756013476 -101.617853877355</t>
  </si>
  <si>
    <t>-645.75080608357 91.2497273919676 301.267041239111</t>
  </si>
  <si>
    <t>-702.771417497942 107.641637017395 745.217130046036</t>
  </si>
  <si>
    <t>-557.577701579973 126.354735995439 805.681041125647</t>
  </si>
  <si>
    <t>-579.540499550557 -127.482027404503 306.005155164377</t>
  </si>
  <si>
    <t>-605.254612202471 -147.124204708934 752.720483343102</t>
  </si>
  <si>
    <t>-471.743899741972 -191.072499623617 825.732198662386</t>
  </si>
  <si>
    <t>9763-20170724T104444.491282900.bin</t>
  </si>
  <si>
    <t>-638.528855285873 134.583215418202 -543.875744757456</t>
  </si>
  <si>
    <t>-637.058055010329 172.399172108591 -252.055624196794</t>
  </si>
  <si>
    <t>-405.726443392482 239.641097478632 -248.173010233452</t>
  </si>
  <si>
    <t>-624.373475916681 81.6587541736337 -101.538566441508</t>
  </si>
  <si>
    <t>-645.696139206614 91.0894467352525 301.339970010236</t>
  </si>
  <si>
    <t>-702.779571152526 107.61062039735 745.255093758064</t>
  </si>
  <si>
    <t>-557.605394258388 126.543262549061 805.697749590192</t>
  </si>
  <si>
    <t>-579.290955607816 -127.674830864985 306.031565346867</t>
  </si>
  <si>
    <t>-605.276304767683 -147.35239967464 752.728896793897</t>
  </si>
  <si>
    <t>-471.765378037807 -191.315022949397 825.731899643644</t>
  </si>
  <si>
    <t>9763-20170724T104444.520303300.bin</t>
  </si>
  <si>
    <t>-638.14236399709 134.610367924744 -543.791312378713</t>
  </si>
  <si>
    <t>-635.929158411874 172.469626674228 -251.981451580379</t>
  </si>
  <si>
    <t>-404.60532496581 239.763798798331 -248.568528212724</t>
  </si>
  <si>
    <t>-624.315539085 81.5113545810088 -101.495023320582</t>
  </si>
  <si>
    <t>-645.738392145564 91.0002913512776 301.376734006457</t>
  </si>
  <si>
    <t>-702.782765351057 107.610732130863 745.286412293407</t>
  </si>
  <si>
    <t>-557.575218809917 126.276455633604 805.73181037655</t>
  </si>
  <si>
    <t>-579.246481771558 -127.681485026157 306.035488643932</t>
  </si>
  <si>
    <t>-605.265101095253 -147.127781723898 752.728329133969</t>
  </si>
  <si>
    <t>-471.808047455509 -191.253296241291 825.731435099771</t>
  </si>
  <si>
    <t>9763-20170724T104444.585477600.bin</t>
  </si>
  <si>
    <t>-637.480372993745 134.488584697989 -543.66998520633</t>
  </si>
  <si>
    <t>-634.037353083181 172.498773170993 -251.891509052575</t>
  </si>
  <si>
    <t>-402.671594640043 239.69501579148 -249.56739372958</t>
  </si>
  <si>
    <t>-624.054030631128 81.230483649548 -101.406584884499</t>
  </si>
  <si>
    <t>-645.800565883359 90.8916271804837 301.443810543733</t>
  </si>
  <si>
    <t>-702.79755576404 107.657820542453 745.346358520923</t>
  </si>
  <si>
    <t>-557.662170970912 126.897996533818 805.784954617815</t>
  </si>
  <si>
    <t>-579.157223262693 -127.976571255951 306.052341367577</t>
  </si>
  <si>
    <t>-605.285176833447 -147.326953210241 752.745958235051</t>
  </si>
  <si>
    <t>-471.772696800821 -191.312127092277 825.732357683633</t>
  </si>
  <si>
    <t>9763-20170724T104444.652661700.bin</t>
  </si>
  <si>
    <t>-637.041247537302 134.652726368953 -543.562634537199</t>
  </si>
  <si>
    <t>-632.375947770918 173.118656733823 -251.861085776656</t>
  </si>
  <si>
    <t>-400.896018250544 239.944978452274 -250.387197401138</t>
  </si>
  <si>
    <t>-623.858366111694 81.1942309542944 -101.343076890783</t>
  </si>
  <si>
    <t>-645.719651664362 90.8715144057037 301.500670969031</t>
  </si>
  <si>
    <t>-702.805430044029 107.705470402125 745.404613746801</t>
  </si>
  <si>
    <t>-557.713413287146 127.264653513298 805.845215336059</t>
  </si>
  <si>
    <t>-579.059085170229 -127.907785848003 306.060611812581</t>
  </si>
  <si>
    <t>-605.272819157815 -147.088178744184 752.753137342999</t>
  </si>
  <si>
    <t>-471.978314525404 -191.706826139435 825.753368383554</t>
  </si>
  <si>
    <t>9763-20170724T104444.686753100.bin</t>
  </si>
  <si>
    <t>-636.917755815324 134.617195830955 -543.548365997258</t>
  </si>
  <si>
    <t>-631.698984892922 173.256045647258 -251.879175280105</t>
  </si>
  <si>
    <t>-400.153340966244 239.863087231289 -250.875193283107</t>
  </si>
  <si>
    <t>-623.784814685457 81.1487332775507 -101.315334964288</t>
  </si>
  <si>
    <t>-645.657730917353 90.8093755273349 301.528248099484</t>
  </si>
  <si>
    <t>-702.817516230635 107.745853820269 745.428074090139</t>
  </si>
  <si>
    <t>-557.74064945849 127.419846539347 805.86745229584</t>
  </si>
  <si>
    <t>-579.022916161645 -128.076876912517 306.067935476125</t>
  </si>
  <si>
    <t>-605.289199105003 -147.358258879054 752.765717103752</t>
  </si>
  <si>
    <t>-471.743081436534 -191.259331718109 825.741177301281</t>
  </si>
  <si>
    <t>9763-20170724T104444.717849700.bin</t>
  </si>
  <si>
    <t>-636.805205553502 134.592731748142 -543.544126328357</t>
  </si>
  <si>
    <t>-631.02538171138 173.428068174678 -251.911554979029</t>
  </si>
  <si>
    <t>-399.399263202905 239.759349703793 -251.305384702501</t>
  </si>
  <si>
    <t>-623.614562090571 81.0385258933586 -101.287987226286</t>
  </si>
  <si>
    <t>-645.583788660872 90.7523385288687 301.549049381334</t>
  </si>
  <si>
    <t>-702.807929037992 107.693467281713 745.445237509735</t>
  </si>
  <si>
    <t>-557.684365223629 126.994180001033 805.8929480436</t>
  </si>
  <si>
    <t>-579.011770664436 -128.159254752457 306.083485701824</t>
  </si>
  <si>
    <t>-605.285282591164 -147.371495457604 752.771645899615</t>
  </si>
  <si>
    <t>-471.705700066692 -191.174755812839 825.744660018405</t>
  </si>
  <si>
    <t>9763-20170724T104444.786030700.bin</t>
  </si>
  <si>
    <t>-636.65461345474 134.642603074805 -543.688670568435</t>
  </si>
  <si>
    <t>-629.999180038414 174.024529405278 -252.147933668879</t>
  </si>
  <si>
    <t>-398.212261080712 239.794423642069 -251.951537019506</t>
  </si>
  <si>
    <t>-623.509162010963 81.1925901538521 -101.299829736752</t>
  </si>
  <si>
    <t>-645.433580190042 90.7666042069459 301.542902653028</t>
  </si>
  <si>
    <t>-702.812669041937 107.656602473287 745.447318719446</t>
  </si>
  <si>
    <t>-557.68699488095 126.995802490217 805.877762040387</t>
  </si>
  <si>
    <t>-579.063834622475 -128.025624306465 306.106478963278</t>
  </si>
  <si>
    <t>-605.281450784234 -147.3529341044 752.789019513547</t>
  </si>
  <si>
    <t>-471.926973080677 -191.792934577491 825.788849384329</t>
  </si>
  <si>
    <t>9763-20170724T104444.855340800.bin</t>
  </si>
  <si>
    <t>-636.579956152501 134.528590014412 -543.981730750713</t>
  </si>
  <si>
    <t>-629.621670828268 174.2318845401 -252.491677380613</t>
  </si>
  <si>
    <t>-397.672505708213 239.42734658195 -252.327857544988</t>
  </si>
  <si>
    <t>-623.344161250299 81.3478130833387 -101.323435440016</t>
  </si>
  <si>
    <t>-645.186901584714 90.8127631617729 301.526375194647</t>
  </si>
  <si>
    <t>-702.80893671744 107.51359747368 745.41147449106</t>
  </si>
  <si>
    <t>-557.639403798718 126.655988890193 805.799161877097</t>
  </si>
  <si>
    <t>-579.111298509711 -127.913478089041 306.133318127319</t>
  </si>
  <si>
    <t>-605.262251509179 -147.113874692592 752.790729358348</t>
  </si>
  <si>
    <t>-471.883774968627 -191.469872644011 825.797755636163</t>
  </si>
  <si>
    <t>9763-20170724T104444.885404600.bin</t>
  </si>
  <si>
    <t>-636.689872714184 134.573153460972 -544.117653501004</t>
  </si>
  <si>
    <t>-629.544832587648 174.40419312628 -252.649584644599</t>
  </si>
  <si>
    <t>-397.539065099698 239.397013807718 -252.313208264582</t>
  </si>
  <si>
    <t>-623.325169570446 81.5157441498977 -101.353062490215</t>
  </si>
  <si>
    <t>-645.145032560525 90.8592181600234 301.500869150791</t>
  </si>
  <si>
    <t>-702.82098661572 107.513073539166 745.386479381075</t>
  </si>
  <si>
    <t>-557.687385495984 127.016175889756 805.745017225238</t>
  </si>
  <si>
    <t>-579.18447476066 -127.837902822198 306.143743530036</t>
  </si>
  <si>
    <t>-605.265760676835 -147.178124147499 752.79262662907</t>
  </si>
  <si>
    <t>-471.953919030146 -191.714493847226 825.811554358052</t>
  </si>
  <si>
    <t>9763-20170724T104444.951585600.bin</t>
  </si>
  <si>
    <t>-637.15316369259 134.582813733824 -544.393591582817</t>
  </si>
  <si>
    <t>-629.566595583805 174.809086960115 -252.99091911484</t>
  </si>
  <si>
    <t>-397.451324398861 239.406443374491 -252.266410063587</t>
  </si>
  <si>
    <t>-623.375968385221 81.7080440188624 -101.402777301771</t>
  </si>
  <si>
    <t>-645.215241179057 90.9336967760387 301.452692853605</t>
  </si>
  <si>
    <t>-702.827134410911 107.44878713955 745.35083032061</t>
  </si>
  <si>
    <t>-557.679622880715 126.963521615855 805.672176694831</t>
  </si>
  <si>
    <t>-579.250262073225 -127.696873447316 306.127693362158</t>
  </si>
  <si>
    <t>-605.247508450722 -146.998191113763 752.780830506879</t>
  </si>
  <si>
    <t>-471.958212049419 -191.578547643495 825.813858954018</t>
  </si>
  <si>
    <t>9763-20170724T104444.986682700.bin</t>
  </si>
  <si>
    <t>-637.462643421296 134.512339271483 -544.526574916895</t>
  </si>
  <si>
    <t>-629.742496559507 174.849718440594 -253.142767391973</t>
  </si>
  <si>
    <t>-397.563998619496 239.21862636791 -252.334862049427</t>
  </si>
  <si>
    <t>-623.462032268411 81.7472648420749 -101.43200585985</t>
  </si>
  <si>
    <t>-645.279614136469 90.9513073402152 301.42524990404</t>
  </si>
  <si>
    <t>-702.817055814139 107.371082888204 745.332780278358</t>
  </si>
  <si>
    <t>-557.638909457294 126.691025890678 805.643031383502</t>
  </si>
  <si>
    <t>-579.269875170099 -127.612451428715 306.124057413152</t>
  </si>
  <si>
    <t>-605.244300058928 -146.988368946569 752.777973903177</t>
  </si>
  <si>
    <t>-472.097256307896 -191.960057832137 825.830745723512</t>
  </si>
  <si>
    <t>9763-20170724T104445.049863900.bin</t>
  </si>
  <si>
    <t>-638.325757896408 134.12160914789 -544.794895674106</t>
  </si>
  <si>
    <t>-630.732384945966 174.594814668265 -253.426712994182</t>
  </si>
  <si>
    <t>-398.463144535431 238.62527278923 -252.03103416478</t>
  </si>
  <si>
    <t>-623.82055329836 81.7789401402993 -101.502051795985</t>
  </si>
  <si>
    <t>-645.53119652396 90.8768939077218 301.363342894732</t>
  </si>
  <si>
    <t>-702.831219141092 107.33504712338 745.307328491961</t>
  </si>
  <si>
    <t>-557.662089070256 126.873530466171 805.569013467771</t>
  </si>
  <si>
    <t>-579.361523320485 -127.627210289658 306.098052282668</t>
  </si>
  <si>
    <t>-605.24100557445 -147.130995484176 752.759340369358</t>
  </si>
  <si>
    <t>-471.967849029224 -191.712712752038 825.821090577232</t>
  </si>
  <si>
    <t>9763-20170724T104445.084962700.bin</t>
  </si>
  <si>
    <t>-638.852561861457 133.986944954956 -544.907233118587</t>
  </si>
  <si>
    <t>-631.64422618586 174.335257286112 -253.511795421217</t>
  </si>
  <si>
    <t>-399.323798526033 238.169440982236 -251.698430855858</t>
  </si>
  <si>
    <t>-624.055649375879 81.7521144603004 -101.529042252224</t>
  </si>
  <si>
    <t>-645.663393207448 90.8058136247132 301.342939727405</t>
  </si>
  <si>
    <t>-702.832498673952 107.268019840024 745.297509184347</t>
  </si>
  <si>
    <t>-557.634209828451 126.667804345895 805.533780283985</t>
  </si>
  <si>
    <t>-579.383056929742 -127.50160453909 306.072096352518</t>
  </si>
  <si>
    <t>-605.22295089904 -146.934949004538 752.739781097829</t>
  </si>
  <si>
    <t>-472.067660644061 -191.830950749304 825.82415625631</t>
  </si>
  <si>
    <t>9763-20170724T104445.150144000.bin</t>
  </si>
  <si>
    <t>-639.957448236921 133.919665119011 -544.944079511133</t>
  </si>
  <si>
    <t>-633.538738193438 173.583879476359 -253.436295089418</t>
  </si>
  <si>
    <t>-401.097111336094 236.952966125901 -250.958843387467</t>
  </si>
  <si>
    <t>-624.354567466893 81.5810870040464 -101.568059684074</t>
  </si>
  <si>
    <t>-645.901521974758 90.6392274070936 301.307065716418</t>
  </si>
  <si>
    <t>-702.82735432735 107.145049786241 745.282431858752</t>
  </si>
  <si>
    <t>-557.598233382212 126.471171519094 805.46780997592</t>
  </si>
  <si>
    <t>-579.493500826356 -127.495872842177 306.026148971622</t>
  </si>
  <si>
    <t>-605.220324422233 -146.897124792102 752.718369332489</t>
  </si>
  <si>
    <t>-472.043298753735 -191.711690283783 825.813068437984</t>
  </si>
  <si>
    <t>9763-20170724T104445.184237200.bin</t>
  </si>
  <si>
    <t>-640.530252209731 134.13587757542 -544.881203166722</t>
  </si>
  <si>
    <t>-634.319856788851 173.270098385376 -253.297364613724</t>
  </si>
  <si>
    <t>-401.856117968969 236.552677462858 -250.692971486411</t>
  </si>
  <si>
    <t>-624.53177373321 81.5268674508914 -101.57294542643</t>
  </si>
  <si>
    <t>-646.074822015616 90.6138679076657 301.301705486729</t>
  </si>
  <si>
    <t>-702.828793568869 107.116730629461 745.286831280985</t>
  </si>
  <si>
    <t>-557.577550737129 126.328566449814 805.455658657948</t>
  </si>
  <si>
    <t>-579.566101803602 -127.465628818739 306.004488723896</t>
  </si>
  <si>
    <t>-605.226044491966 -146.9251499508 752.711823220157</t>
  </si>
  <si>
    <t>-472.137704034428 -191.991868793192 825.812993387097</t>
  </si>
  <si>
    <t>9763-20170724T104445.251057800.bin</t>
  </si>
  <si>
    <t>-641.373304890785 134.614015840476 -544.621498531369</t>
  </si>
  <si>
    <t>-635.614339381456 172.65462483631 -252.883759202945</t>
  </si>
  <si>
    <t>-403.130394583935 235.85491565524 -250.087827220104</t>
  </si>
  <si>
    <t>-624.798592279502 81.4837406210231 -101.538133071971</t>
  </si>
  <si>
    <t>-646.330035302374 90.6021545120459 301.336445083814</t>
  </si>
  <si>
    <t>-702.835216604565 107.144681612938 745.33985817491</t>
  </si>
  <si>
    <t>-557.581359873725 126.381146703681 805.494377398008</t>
  </si>
  <si>
    <t>-579.884820045604 -127.441637000414 305.971787706012</t>
  </si>
  <si>
    <t>-605.239362335115 -146.967464584663 752.702050360309</t>
  </si>
  <si>
    <t>-472.12675423887 -191.976787077543 825.794285783922</t>
  </si>
  <si>
    <t>9763-20170724T104445.286150600.bin</t>
  </si>
  <si>
    <t>-641.653227665051 134.933544187443 -544.438445250198</t>
  </si>
  <si>
    <t>-636.298290425248 172.410796415223 -252.62005312953</t>
  </si>
  <si>
    <t>-403.787973305611 235.500548967722 -249.536928990666</t>
  </si>
  <si>
    <t>-624.92764955454 81.4148754154892 -101.497059618254</t>
  </si>
  <si>
    <t>-646.4061556044 90.5726526248166 301.379411817581</t>
  </si>
  <si>
    <t>-702.832199159944 107.11515141531 745.382091592478</t>
  </si>
  <si>
    <t>-557.518443467744 125.899551613398 805.534828484262</t>
  </si>
  <si>
    <t>-580.060504977046 -127.604060339992 305.953545656441</t>
  </si>
  <si>
    <t>-605.273029624496 -147.35139291669 752.708154977162</t>
  </si>
  <si>
    <t>-471.977716169637 -191.856979148946 825.775966394162</t>
  </si>
  <si>
    <t>9763-20170724T104445.316252500.bin</t>
  </si>
  <si>
    <t>-641.831525911614 135.349083756053 -544.237583682987</t>
  </si>
  <si>
    <t>-637.01044646669 172.2159728853 -252.332243770485</t>
  </si>
  <si>
    <t>-404.459447028948 235.139914236204 -248.944339349225</t>
  </si>
  <si>
    <t>-625.071269041678 81.4914672292477 -101.452186106715</t>
  </si>
  <si>
    <t>-646.478093075408 90.5883186673518 301.429560243974</t>
  </si>
  <si>
    <t>-702.83246832 107.105121906024 745.434899011047</t>
  </si>
  <si>
    <t>-557.51517972871 125.886943048354 805.579946728909</t>
  </si>
  <si>
    <t>-580.221785602162 -127.541950930148 305.933717466441</t>
  </si>
  <si>
    <t>-605.27024977907 -147.265829226352 752.69607237007</t>
  </si>
  <si>
    <t>-472.047486233444 -191.976899667265 825.77079564183</t>
  </si>
  <si>
    <t>9763-20170724T104445.387433900.bin</t>
  </si>
  <si>
    <t>-642.274060864588 136.033069459483 -543.828655864538</t>
  </si>
  <si>
    <t>-638.333806797697 171.777568773579 -251.770325137445</t>
  </si>
  <si>
    <t>-405.713430633657 234.394258911421 -247.554942849919</t>
  </si>
  <si>
    <t>-625.341166482054 81.6132807372649 -101.373214439701</t>
  </si>
  <si>
    <t>-646.530361513853 90.6754825163673 301.520772458929</t>
  </si>
  <si>
    <t>-702.795190743807 107.088761588846 745.545669410834</t>
  </si>
  <si>
    <t>-557.473794100093 125.709810104384 805.730770929377</t>
  </si>
  <si>
    <t>-580.532097845244 -127.261845385168 305.914874674327</t>
  </si>
  <si>
    <t>-605.251081876596 -146.978420553846 752.680139087775</t>
  </si>
  <si>
    <t>-472.182582485084 -192.109778202362 825.777450468842</t>
  </si>
  <si>
    <t>9763-20170724T104445.450140900.bin</t>
  </si>
  <si>
    <t>-642.939633820239 136.538414405307 -543.457545624107</t>
  </si>
  <si>
    <t>-639.189000355382 171.344917851391 -251.283552816605</t>
  </si>
  <si>
    <t>-406.572713010948 233.937308487094 -246.51554215615</t>
  </si>
  <si>
    <t>-625.765511715476 81.8071217279437 -101.312841304603</t>
  </si>
  <si>
    <t>-646.773585787563 90.8230979127843 301.591645526319</t>
  </si>
  <si>
    <t>-702.782605574744 107.17111964967 745.644438565651</t>
  </si>
  <si>
    <t>-557.494453573912 125.933902773649 805.865835653416</t>
  </si>
  <si>
    <t>-580.837033337216 -127.07824077713 305.899299436483</t>
  </si>
  <si>
    <t>-605.247884995486 -146.953137705567 752.67528655658</t>
  </si>
  <si>
    <t>-472.170771246632 -192.044305705209 825.781798574234</t>
  </si>
  <si>
    <t>9763-20170724T104445.518835700.bin</t>
  </si>
  <si>
    <t>-649.813817560579 0.166676898300693 -557.315885654743</t>
  </si>
  <si>
    <t>-643.8814945768 136.780137266961 -543.226370945938</t>
  </si>
  <si>
    <t>-639.739320245799 171.22574122682 -251.014730150799</t>
  </si>
  <si>
    <t>-407.120849830082 233.788041872371 -245.964311456669</t>
  </si>
  <si>
    <t>-626.230288008551 81.9559061553191 -101.248061669918</t>
  </si>
  <si>
    <t>-647.173272154489 90.9447555663303 301.660433315329</t>
  </si>
  <si>
    <t>-702.756099684985 107.203505118403 745.762451682819</t>
  </si>
  <si>
    <t>-557.455576974976 125.70657492563 806.03430316952</t>
  </si>
  <si>
    <t>-581.081864062609 -126.919700303852 305.871300646191</t>
  </si>
  <si>
    <t>-605.243641032792 -146.970349478569 752.659293072583</t>
  </si>
  <si>
    <t>-472.194638143198 -192.114077402132 825.78455345908</t>
  </si>
  <si>
    <t>9763-20170724T104445.549914700.bin</t>
  </si>
  <si>
    <t>-650.231210864512 0.330648403171153 -557.292108238965</t>
  </si>
  <si>
    <t>-644.238972403595 136.929482556566 -543.132487545833</t>
  </si>
  <si>
    <t>-639.852615108094 171.310422070208 -250.916926383914</t>
  </si>
  <si>
    <t>-407.251215872825 233.919171098324 -245.663246914825</t>
  </si>
  <si>
    <t>-626.465790290768 82.0765874281574 -101.21791486664</t>
  </si>
  <si>
    <t>-647.481595642122 91.032765453803 301.687507741861</t>
  </si>
  <si>
    <t>-702.755506707797 107.280135693335 745.828439511379</t>
  </si>
  <si>
    <t>-557.50795266249 126.127900087529 806.121122405656</t>
  </si>
  <si>
    <t>-581.249627120213 -126.901403751775 305.860099406548</t>
  </si>
  <si>
    <t>-605.251408733616 -147.074740103867 752.65960055079</t>
  </si>
  <si>
    <t>-472.088723568652 -191.897609143469 825.775356165333</t>
  </si>
  <si>
    <t>9763-20170724T104445.599048000.bin</t>
  </si>
  <si>
    <t>-650.467359518327 0.623716328703267 -557.264864286354</t>
  </si>
  <si>
    <t>-644.373479029664 137.214704850292 -543.040548782967</t>
  </si>
  <si>
    <t>-639.753038768228 171.533361704131 -250.821261204574</t>
  </si>
  <si>
    <t>-407.153940729373 234.144882637283 -245.497681371379</t>
  </si>
  <si>
    <t>-626.620216960658 82.1866832296698 -101.179468508415</t>
  </si>
  <si>
    <t>-647.777191303221 91.1626395000083 301.71812485758</t>
  </si>
  <si>
    <t>-702.747996772881 107.301999960121 745.897492781929</t>
  </si>
  <si>
    <t>-557.461056606058 125.758503531928 806.21632687069</t>
  </si>
  <si>
    <t>-581.413151163853 -126.727621030759 305.850208074528</t>
  </si>
  <si>
    <t>-605.236894116309 -146.955428286164 752.64810911646</t>
  </si>
  <si>
    <t>-472.208240686239 -192.142671191052 825.783565723907</t>
  </si>
  <si>
    <t>9763-20170724T104445.648763500.bin</t>
  </si>
  <si>
    <t>-651.234813761023 1.18337469192261 -557.209679709432</t>
  </si>
  <si>
    <t>-644.946442516925 137.755846638506 -542.902149375297</t>
  </si>
  <si>
    <t>-639.748609233863 172.118564489366 -250.69788172777</t>
  </si>
  <si>
    <t>-407.114080691713 234.59665437303 -245.355421577864</t>
  </si>
  <si>
    <t>-627.00318056225 82.5637883771883 -101.124526508047</t>
  </si>
  <si>
    <t>-648.362823765547 91.4717241789604 301.763848509847</t>
  </si>
  <si>
    <t>-702.755966092636 107.435356906992 746.017903410209</t>
  </si>
  <si>
    <t>-557.487484575288 125.923972092924 806.371393477747</t>
  </si>
  <si>
    <t>-581.662705183541 -126.545859682383 305.812032962323</t>
  </si>
  <si>
    <t>-605.224706254223 -147.022118511204 752.630083038034</t>
  </si>
  <si>
    <t>-472.119344801076 -191.964167367019 825.777042985692</t>
  </si>
  <si>
    <t>9763-20170724T104445.686865900.bin</t>
  </si>
  <si>
    <t>-651.626917593071 1.48952724563378 -557.175961728115</t>
  </si>
  <si>
    <t>-645.27502253203 138.055848781958 -542.808310718657</t>
  </si>
  <si>
    <t>-639.718015850358 172.484789772857 -250.618332314393</t>
  </si>
  <si>
    <t>-407.070523657036 234.919408754576 -245.334155244553</t>
  </si>
  <si>
    <t>-627.181653143792 82.7491559044704 -101.092636717736</t>
  </si>
  <si>
    <t>-648.548268154077 91.6213281912587 301.796244072919</t>
  </si>
  <si>
    <t>-702.760877143823 107.490375176562 746.079983555846</t>
  </si>
  <si>
    <t>-557.493968925631 125.931846563298 806.45172757238</t>
  </si>
  <si>
    <t>-581.722548538888 -126.338321776544 305.803192883575</t>
  </si>
  <si>
    <t>-605.202528523917 -146.810739305299 752.61868025334</t>
  </si>
  <si>
    <t>-472.219781024071 -192.082693842271 825.785188959802</t>
  </si>
  <si>
    <t>9763-20170724T104445.750607500.bin</t>
  </si>
  <si>
    <t>-652.316188707018 1.85322108825949 -557.109195006708</t>
  </si>
  <si>
    <t>-645.929540907902 138.407790088284 -542.633974569592</t>
  </si>
  <si>
    <t>-639.538559074223 173.100992216835 -250.492295363078</t>
  </si>
  <si>
    <t>-406.860861418989 235.434163611661 -245.344761897079</t>
  </si>
  <si>
    <t>-627.4424968734 82.983855748246 -101.034636754214</t>
  </si>
  <si>
    <t>-648.699945524109 91.7712555008645 301.861784745903</t>
  </si>
  <si>
    <t>-702.763375215776 107.524253659476 746.172643655825</t>
  </si>
  <si>
    <t>-557.514064027019 126.069147898865 806.554818073157</t>
  </si>
  <si>
    <t>-581.597639942971 -126.127377386437 305.789952124049</t>
  </si>
  <si>
    <t>-605.183778009693 -146.804489715442 752.592046455129</t>
  </si>
  <si>
    <t>-472.206011112342 -192.050562082398 825.783713398902</t>
  </si>
  <si>
    <t>9763-20170724T104445.797743300.bin</t>
  </si>
  <si>
    <t>-652.600242102694 1.95605994581342 -557.086385174228</t>
  </si>
  <si>
    <t>-646.252101385896 138.505265358478 -542.566313955749</t>
  </si>
  <si>
    <t>-639.35459082668 173.436555036304 -250.464640817826</t>
  </si>
  <si>
    <t>-406.656693069079 235.701719148313 -245.408521941781</t>
  </si>
  <si>
    <t>-627.432362830606 83.0216749140361 -101.018992021589</t>
  </si>
  <si>
    <t>-648.762803516346 91.799963262858 301.873787919844</t>
  </si>
  <si>
    <t>-702.753428916012 107.487685207146 746.187728381995</t>
  </si>
  <si>
    <t>-557.501026436935 125.989799521676 806.575699653592</t>
  </si>
  <si>
    <t>-581.483192084218 -126.035622644706 305.788783614439</t>
  </si>
  <si>
    <t>-605.172275261772 -146.739046669356 752.58037169088</t>
  </si>
  <si>
    <t>-472.287163720379 -192.228315323679 825.789397429219</t>
  </si>
  <si>
    <t>9763-20170724T104445.850890800.bin</t>
  </si>
  <si>
    <t>-653.027805212024 1.88678653824581 -557.064377971306</t>
  </si>
  <si>
    <t>-646.810368631968 138.432745106453 -542.444603421917</t>
  </si>
  <si>
    <t>-638.978450194734 173.592893520051 -250.393874599441</t>
  </si>
  <si>
    <t>-406.298382191686 235.960089629971 -245.792304727718</t>
  </si>
  <si>
    <t>-627.298610314897 82.9832399029322 -101.015518694292</t>
  </si>
  <si>
    <t>-648.858718457514 91.748412943233 301.865324498774</t>
  </si>
  <si>
    <t>-702.776422589547 107.540625818294 746.211935307549</t>
  </si>
  <si>
    <t>-557.533203759763 126.126357020998 806.596269488903</t>
  </si>
  <si>
    <t>-581.233101202611 -126.229007546914 305.792402093661</t>
  </si>
  <si>
    <t>-605.177285230415 -146.981643730358 752.572326612147</t>
  </si>
  <si>
    <t>-471.927117649042 -191.438207351535 825.75223818498</t>
  </si>
  <si>
    <t>9763-20170724T104445.881973300.bin</t>
  </si>
  <si>
    <t>-653.133414861035 1.87618440633992 -557.049432582572</t>
  </si>
  <si>
    <t>-646.973581688055 138.417551756641 -542.382814841379</t>
  </si>
  <si>
    <t>-638.768344192297 173.563805265507 -250.340759528894</t>
  </si>
  <si>
    <t>-406.111350469565 236.030400374575 -245.922615498067</t>
  </si>
  <si>
    <t>-627.153356948491 82.9819037608909 -101.009504194001</t>
  </si>
  <si>
    <t>-648.925704493775 91.6976488868197 301.861023734874</t>
  </si>
  <si>
    <t>-702.786621355702 107.534487243173 746.222559661118</t>
  </si>
  <si>
    <t>-557.536960798372 126.10092919932 806.597357516583</t>
  </si>
  <si>
    <t>-581.045794154998 -126.235803716684 305.797019334809</t>
  </si>
  <si>
    <t>-605.171515518202 -146.947902225491 752.568216225229</t>
  </si>
  <si>
    <t>-471.951589181498 -191.486265676066 825.753516222091</t>
  </si>
  <si>
    <t>9763-20170724T104445.954728800.bin</t>
  </si>
  <si>
    <t>-653.297958430971 2.01767195179013 -556.989100995021</t>
  </si>
  <si>
    <t>-647.147946419678 138.552956793499 -542.245994909764</t>
  </si>
  <si>
    <t>-638.289752451931 173.640818122134 -250.215799902986</t>
  </si>
  <si>
    <t>-405.650990869843 236.193849545127 -246.070737613489</t>
  </si>
  <si>
    <t>-626.710719999324 82.9926720842486 -100.966892401641</t>
  </si>
  <si>
    <t>-649.311582546758 91.5424240934019 301.861557831832</t>
  </si>
  <si>
    <t>-702.803240500003 107.404832559736 746.246190515825</t>
  </si>
  <si>
    <t>-557.53298906251 125.978147174463 806.569418826123</t>
  </si>
  <si>
    <t>-580.622311419658 -126.169062913919 305.792749533053</t>
  </si>
  <si>
    <t>-605.140794907336 -146.732176062224 752.541693618953</t>
  </si>
  <si>
    <t>-472.033913797893 -191.560891659909 825.755436920992</t>
  </si>
  <si>
    <t>9763-20170724T104445.985812700.bin</t>
  </si>
  <si>
    <t>-653.504522207509 2.11856509038444 -556.937550784821</t>
  </si>
  <si>
    <t>-647.323714363158 138.651648946461 -542.171641725416</t>
  </si>
  <si>
    <t>-638.09425131246 173.686414804273 -250.146648001885</t>
  </si>
  <si>
    <t>-405.479231840805 236.343939713212 -246.255122389385</t>
  </si>
  <si>
    <t>-626.40886614442 83.0742733961074 -100.926771912377</t>
  </si>
  <si>
    <t>-649.802418294592 91.4557864600065 301.859991978107</t>
  </si>
  <si>
    <t>-702.809187252206 107.328962207277 746.279643394373</t>
  </si>
  <si>
    <t>-557.541811777856 126.04792681794 806.564591111633</t>
  </si>
  <si>
    <t>-580.408651662437 -126.186653905667 305.788278970649</t>
  </si>
  <si>
    <t>-605.133284210951 -146.724105423549 752.528191315779</t>
  </si>
  <si>
    <t>-472.043410412221 -191.5916532824 825.748975028777</t>
  </si>
  <si>
    <t>9763-20170724T104446.053502200.bin</t>
  </si>
  <si>
    <t>-654.094095130385 2.04354329737794 -556.89508048747</t>
  </si>
  <si>
    <t>-647.758318189292 138.566554307922 -542.064941633871</t>
  </si>
  <si>
    <t>-637.626382204065 173.686563650577 -250.080161316488</t>
  </si>
  <si>
    <t>-405.005059718575 236.346179306822 -246.621917013979</t>
  </si>
  <si>
    <t>-625.964466663463 83.1200129688739 -100.861677740692</t>
  </si>
  <si>
    <t>-650.956687631632 91.1219376660645 301.836754656276</t>
  </si>
  <si>
    <t>-702.805608876592 107.128157328624 746.383700275301</t>
  </si>
  <si>
    <t>-557.475098924913 125.602088560668 806.59216215602</t>
  </si>
  <si>
    <t>-580.042037599118 -126.177004493184 305.741877546431</t>
  </si>
  <si>
    <t>-605.115573757221 -146.614461383359 752.469570659565</t>
  </si>
  <si>
    <t>-472.098766951842 -191.638492495964 825.72719081534</t>
  </si>
  <si>
    <t>9763-20170724T104446.083583300.bin</t>
  </si>
  <si>
    <t>-654.29692268006 1.88553344754996 -556.918224364158</t>
  </si>
  <si>
    <t>-647.900449456589 138.393587785368 -542.030583401677</t>
  </si>
  <si>
    <t>-637.355872721383 173.619411672104 -250.073068159131</t>
  </si>
  <si>
    <t>-404.720843738644 236.24042064001 -246.843938718808</t>
  </si>
  <si>
    <t>-625.743638676596 83.0131004943335 -100.850411773318</t>
  </si>
  <si>
    <t>-651.220656730831 90.8802329277419 301.820295107634</t>
  </si>
  <si>
    <t>-702.80624245281 107.076185438378 746.43904105276</t>
  </si>
  <si>
    <t>-557.492312668554 125.81270279023 806.606208897523</t>
  </si>
  <si>
    <t>-579.788048018441 -126.273014763755 305.706022865189</t>
  </si>
  <si>
    <t>-605.121851243589 -146.624084688864 752.448841778198</t>
  </si>
  <si>
    <t>-472.049514623845 -191.485835344821 825.705149390247</t>
  </si>
  <si>
    <t>9763-20170724T104446.152432200.bin</t>
  </si>
  <si>
    <t>-653.713226703039 1.21599829568731 -556.952576245484</t>
  </si>
  <si>
    <t>-647.311201085209 137.702205444661 -541.870205735449</t>
  </si>
  <si>
    <t>-636.232892079547 172.768820644658 -249.913280771925</t>
  </si>
  <si>
    <t>-403.61776771534 235.478173838622 -246.974937476801</t>
  </si>
  <si>
    <t>-624.944398001514 82.1959276137015 -100.80169817285</t>
  </si>
  <si>
    <t>-650.520038716163 90.2186706538635 301.859675714849</t>
  </si>
  <si>
    <t>-702.794793044129 106.920650309687 746.488866778201</t>
  </si>
  <si>
    <t>-557.479435521202 125.848037023841 806.592968415797</t>
  </si>
  <si>
    <t>-579.233567856616 -126.71205293644 305.680688116121</t>
  </si>
  <si>
    <t>-605.14632392239 -146.61934442493 752.427290768784</t>
  </si>
  <si>
    <t>-471.985431495238 -191.230072132236 825.67578489864</t>
  </si>
  <si>
    <t>9763-20170724T104446.186540100.bin</t>
  </si>
  <si>
    <t>-653.184043689589 0.987610091817942 -556.895359766692</t>
  </si>
  <si>
    <t>-646.783991460194 137.456839168117 -541.71708234421</t>
  </si>
  <si>
    <t>-635.642210950986 172.342732211112 -249.740980224581</t>
  </si>
  <si>
    <t>-403.048029566728 235.133060252231 -246.87657969412</t>
  </si>
  <si>
    <t>-624.430177732213 81.7725250275769 -100.735043967792</t>
  </si>
  <si>
    <t>-650.017017086661 89.8539295416895 301.924433903986</t>
  </si>
  <si>
    <t>-702.7892489364 106.806367197026 746.489332422383</t>
  </si>
  <si>
    <t>-557.492059109951 125.996413464757 806.553888967124</t>
  </si>
  <si>
    <t>-578.985698192021 -127.00030527154 305.698368434269</t>
  </si>
  <si>
    <t>-605.163834019719 -146.703822942863 752.427857297082</t>
  </si>
  <si>
    <t>-471.925479211921 -191.091715377621 825.671001601569</t>
  </si>
  <si>
    <t>9763-20170724T104446.250309900.bin</t>
  </si>
  <si>
    <t>-652.339938854539 1.00207718126262 -556.728129846743</t>
  </si>
  <si>
    <t>-645.861488089549 137.45795394221 -541.371315607594</t>
  </si>
  <si>
    <t>-634.668995888025 172.019810408226 -249.358529742478</t>
  </si>
  <si>
    <t>-402.11365330121 234.959174931016 -246.61895810001</t>
  </si>
  <si>
    <t>-623.511579770385 81.1164183458991 -100.57897179306</t>
  </si>
  <si>
    <t>-649.498758214522 89.3387952010257 302.052077683445</t>
  </si>
  <si>
    <t>-702.779662903267 106.62892719035 746.492176080116</t>
  </si>
  <si>
    <t>-557.426564172788 125.580727237094 806.497156396587</t>
  </si>
  <si>
    <t>-578.828894737346 -127.514436080069 305.755534675706</t>
  </si>
  <si>
    <t>-605.195523673601 -146.767761063532 752.443140687464</t>
  </si>
  <si>
    <t>-471.986705628656 -191.247607662406 825.684187821862</t>
  </si>
  <si>
    <t>9763-20170724T104446.284400600.bin</t>
  </si>
  <si>
    <t>-652.056576428992 1.08687674273142 -556.69110673219</t>
  </si>
  <si>
    <t>-645.526208541087 137.533104684291 -541.261584912425</t>
  </si>
  <si>
    <t>-634.323046677891 171.877389485443 -249.22370057598</t>
  </si>
  <si>
    <t>-401.784268874694 234.879932315226 -246.529077658035</t>
  </si>
  <si>
    <t>-623.135014903746 80.9443342370848 -100.547486986662</t>
  </si>
  <si>
    <t>-649.373633641889 89.1955219951963 302.066597961834</t>
  </si>
  <si>
    <t>-702.774506770076 106.564950238139 746.491900648675</t>
  </si>
  <si>
    <t>-557.429360313474 125.672834366775 806.466686260606</t>
  </si>
  <si>
    <t>-578.830683004441 -127.527634274335 305.766060395436</t>
  </si>
  <si>
    <t>-605.186019317693 -146.433448953476 752.444605049699</t>
  </si>
  <si>
    <t>-472.147338295412 -191.393599653692 825.701701667258</t>
  </si>
  <si>
    <t>9763-20170724T104446.348585700.bin</t>
  </si>
  <si>
    <t>-651.409865272244 0.766551076487758 -556.652613581694</t>
  </si>
  <si>
    <t>-644.836045024036 137.196538928137 -541.117549486939</t>
  </si>
  <si>
    <t>-633.673848634321 171.348862502343 -249.055464706533</t>
  </si>
  <si>
    <t>-401.160326065851 234.44675269287 -246.410304143047</t>
  </si>
  <si>
    <t>-622.405290469719 80.3609055295854 -100.48763315077</t>
  </si>
  <si>
    <t>-648.951144796257 88.7210718185208 302.104103855919</t>
  </si>
  <si>
    <t>-702.755665398295 106.41437013104 746.476919465207</t>
  </si>
  <si>
    <t>-557.380298346765 125.415913246595 806.41219988037</t>
  </si>
  <si>
    <t>-578.611054848289 -127.830353220744 305.782453808905</t>
  </si>
  <si>
    <t>-605.198958661287 -146.419864234384 752.453163685761</t>
  </si>
  <si>
    <t>-472.147220458552 -191.336152711052 825.713366618013</t>
  </si>
  <si>
    <t>9763-20170724T104446.384682800.bin</t>
  </si>
  <si>
    <t>-651.038295404193 0.514083057572179 -556.635486345459</t>
  </si>
  <si>
    <t>-644.487360430933 136.941364829406 -541.064612709616</t>
  </si>
  <si>
    <t>-633.334172034247 171.079492228941 -249.000644796054</t>
  </si>
  <si>
    <t>-400.829732991184 234.211258370252 -246.365279586473</t>
  </si>
  <si>
    <t>-622.009823491745 79.9943845783821 -100.456949444908</t>
  </si>
  <si>
    <t>-648.659596057853 88.4671502311796 302.125528887552</t>
  </si>
  <si>
    <t>-702.744555343931 106.355613850706 746.460348626988</t>
  </si>
  <si>
    <t>-557.368130758435 125.398028896755 806.380138756893</t>
  </si>
  <si>
    <t>-578.382787483344 -128.042747865417 305.791025451027</t>
  </si>
  <si>
    <t>-605.210875897769 -146.447472388624 752.456208978073</t>
  </si>
  <si>
    <t>-472.116338017679 -191.236624430545 825.716547222417</t>
  </si>
  <si>
    <t>9763-20170724T104446.430947600.bin</t>
  </si>
  <si>
    <t>-650.679229615375 0.189331017396853 -556.612369957271</t>
  </si>
  <si>
    <t>-644.180214728734 136.614097423466 -541.009930677614</t>
  </si>
  <si>
    <t>-632.979981763937 170.75300970945 -248.947870141035</t>
  </si>
  <si>
    <t>-400.48964110364 233.937404988024 -246.33309044015</t>
  </si>
  <si>
    <t>-621.64354593968 79.6615111872461 -100.430893355113</t>
  </si>
  <si>
    <t>-648.369219813195 88.2130774347042 302.14492150067</t>
  </si>
  <si>
    <t>-702.74387943638 106.332373728141 746.43994591935</t>
  </si>
  <si>
    <t>-557.38436482106 125.555553379351 806.342779587981</t>
  </si>
  <si>
    <t>-578.14812352703 -128.333946073434 305.815348182572</t>
  </si>
  <si>
    <t>-605.23873923582 -146.584964836992 752.468183045067</t>
  </si>
  <si>
    <t>-472.017621108754 -191.022578266214 825.712559262463</t>
  </si>
  <si>
    <t>9763-20170724T104446.488098400.bin</t>
  </si>
  <si>
    <t>-643.817435057478 136.180867075302 -540.936400852462</t>
  </si>
  <si>
    <t>-632.519417687015 170.335282786166 -248.879846154511</t>
  </si>
  <si>
    <t>-400.101444574243 233.789308205324 -246.364054779411</t>
  </si>
  <si>
    <t>-621.006611151286 79.2169454001116 -100.39128596995</t>
  </si>
  <si>
    <t>-647.868619198624 87.7886455378409 302.17499475624</t>
  </si>
  <si>
    <t>-702.723715754253 106.227831523022 746.396510064227</t>
  </si>
  <si>
    <t>-557.369613138194 125.58047200533 806.271080917013</t>
  </si>
  <si>
    <t>-577.746305412643 -128.604438890137 305.864297592877</t>
  </si>
  <si>
    <t>-605.276199063065 -146.579738802639 752.500207511589</t>
  </si>
  <si>
    <t>-472.112436302775 -191.219421028865 825.726084222997</t>
  </si>
  <si>
    <t>9763-20170724T104446.552808600.bin</t>
  </si>
  <si>
    <t>-643.553544777028 135.799070935387 -540.950352180013</t>
  </si>
  <si>
    <t>-632.165396344237 170.077880631443 -248.911835188998</t>
  </si>
  <si>
    <t>-399.824148578747 233.80683530627 -246.257611238617</t>
  </si>
  <si>
    <t>-620.622893345732 78.8723229406169 -100.382474555678</t>
  </si>
  <si>
    <t>-647.538465791933 87.50291264477 302.178986429293</t>
  </si>
  <si>
    <t>-702.713785434737 106.187825059386 746.347503624494</t>
  </si>
  <si>
    <t>-557.380912202963 125.756802724347 806.203213093778</t>
  </si>
  <si>
    <t>-577.445680118155 -128.901415276376 305.889877602252</t>
  </si>
  <si>
    <t>-605.311198249371 -146.652803424392 752.516791519901</t>
  </si>
  <si>
    <t>-472.083903093361 -191.127346798362 825.727352533291</t>
  </si>
  <si>
    <t>9763-20170724T104446.583891500.bin</t>
  </si>
  <si>
    <t>-643.391142748344 135.498838592138 -540.991827524536</t>
  </si>
  <si>
    <t>-631.963185294742 169.914469619436 -248.970992872931</t>
  </si>
  <si>
    <t>-399.650495082884 233.745190556971 -246.263640411849</t>
  </si>
  <si>
    <t>-620.443023873515 78.6532388795933 -100.379562609042</t>
  </si>
  <si>
    <t>-647.485071587782 87.385576184389 302.171188101936</t>
  </si>
  <si>
    <t>-702.705157320563 106.16467680154 746.322063375543</t>
  </si>
  <si>
    <t>-557.354979276044 125.60013010089 806.179446528793</t>
  </si>
  <si>
    <t>-577.346873910759 -129.127514072974 305.910760537501</t>
  </si>
  <si>
    <t>-605.339937909695 -146.824697219318 752.536989799068</t>
  </si>
  <si>
    <t>-471.9739606148 -190.922619623738 825.7229249136</t>
  </si>
  <si>
    <t>9763-20170724T104446.652582400.bin</t>
  </si>
  <si>
    <t>-643.052492563222 135.093166484804 -541.118260051146</t>
  </si>
  <si>
    <t>-631.554155105332 169.824506380125 -249.137526185596</t>
  </si>
  <si>
    <t>-399.285629313391 233.815465773836 -246.428754668624</t>
  </si>
  <si>
    <t>-620.297574766466 78.4506940021772 -100.409940230825</t>
  </si>
  <si>
    <t>-647.509302164081 87.3345823530281 302.126178813548</t>
  </si>
  <si>
    <t>-702.697730291474 106.172820197822 746.272419505657</t>
  </si>
  <si>
    <t>-557.357788476389 125.677766462182 806.131976569812</t>
  </si>
  <si>
    <t>-577.321465035606 -129.263828982794 305.943562454206</t>
  </si>
  <si>
    <t>-605.367557613819 -146.691842105483 752.564287090249</t>
  </si>
  <si>
    <t>-471.980811441002 -190.777047382055 825.720003829351</t>
  </si>
  <si>
    <t>9763-20170724T104446.685670200.bin</t>
  </si>
  <si>
    <t>-642.925704969525 134.936352095433 -541.189605029716</t>
  </si>
  <si>
    <t>-631.442499967138 169.809969948341 -249.225133463938</t>
  </si>
  <si>
    <t>-399.19324657103 233.869463970173 -246.4763087338</t>
  </si>
  <si>
    <t>-620.290041342107 78.3970697558766 -100.43394151873</t>
  </si>
  <si>
    <t>-647.547244602286 87.3307951529496 302.097907048703</t>
  </si>
  <si>
    <t>-702.686915819684 106.130617945598 746.248536367339</t>
  </si>
  <si>
    <t>-557.321279467038 125.429888677629 806.112235685134</t>
  </si>
  <si>
    <t>-577.372391439942 -129.290358750156 305.948433222396</t>
  </si>
  <si>
    <t>-605.379992937264 -146.61316763527 752.575439107453</t>
  </si>
  <si>
    <t>-472.073446127319 -190.947412393036 825.726867067409</t>
  </si>
  <si>
    <t>9763-20170724T104446.753492600.bin</t>
  </si>
  <si>
    <t>-642.704638012912 134.721532708453 -541.331860687778</t>
  </si>
  <si>
    <t>-631.356567865003 169.788719460051 -249.385353249529</t>
  </si>
  <si>
    <t>-399.13734161949 233.949315021977 -246.469703952162</t>
  </si>
  <si>
    <t>-620.287810592886 78.3293852405761 -100.467372040273</t>
  </si>
  <si>
    <t>-647.627150210143 87.3395703416804 302.057232796772</t>
  </si>
  <si>
    <t>-702.701666427778 106.189337971489 746.207351976532</t>
  </si>
  <si>
    <t>-557.357147853687 125.67429442998 806.062143685596</t>
  </si>
  <si>
    <t>-577.508805439291 -129.453009747502 305.947884767512</t>
  </si>
  <si>
    <t>-605.404172679085 -146.739252466268 752.592129947697</t>
  </si>
  <si>
    <t>-471.969122821377 -190.728043407844 825.717709926734</t>
  </si>
  <si>
    <t>9763-20170724T104446.781567700.bin</t>
  </si>
  <si>
    <t>-642.559933054901 134.688372166979 -541.387545783709</t>
  </si>
  <si>
    <t>-631.323689652947 169.762979672817 -249.437678542154</t>
  </si>
  <si>
    <t>-399.121660273774 233.984495106039 -246.49188151778</t>
  </si>
  <si>
    <t>-620.229429281184 78.2790274732156 -100.469404495402</t>
  </si>
  <si>
    <t>-647.615831010476 87.3327306361739 302.051017371389</t>
  </si>
  <si>
    <t>-702.701224000236 106.180067935969 746.193534894732</t>
  </si>
  <si>
    <t>-557.374222146183 125.806808365289 806.04469088056</t>
  </si>
  <si>
    <t>-577.50335826346 -129.439899583987 305.939004972269</t>
  </si>
  <si>
    <t>-605.400739043056 -146.613186329576 752.588497144928</t>
  </si>
  <si>
    <t>-472.01095265201 -190.733434675987 825.717565914132</t>
  </si>
  <si>
    <t>9763-20170724T104446.832232100.bin</t>
  </si>
  <si>
    <t>-642.39794347155 134.633107211825 -541.425456780576</t>
  </si>
  <si>
    <t>-631.248332313914 169.754946296205 -249.477991761244</t>
  </si>
  <si>
    <t>-399.057897944414 234.01571051115 -246.470801880284</t>
  </si>
  <si>
    <t>-620.210682264715 78.2063710572254 -100.474517098274</t>
  </si>
  <si>
    <t>-647.570853893727 87.2940509318826 302.046907853333</t>
  </si>
  <si>
    <t>-702.698863384479 106.157796617254 746.178929636847</t>
  </si>
  <si>
    <t>-557.349802212244 125.617561279039 806.030909257624</t>
  </si>
  <si>
    <t>-577.49928849799 -129.420214234831 305.930745879318</t>
  </si>
  <si>
    <t>-605.395114169883 -146.475249745217 752.585009624677</t>
  </si>
  <si>
    <t>-472.086865027339 -190.826719069423 825.722915756409</t>
  </si>
  <si>
    <t>9763-20170724T104446.883363300.bin</t>
  </si>
  <si>
    <t>-642.062789973545 134.420207783213 -541.464715080451</t>
  </si>
  <si>
    <t>-631.005723372967 169.66111290006 -249.52804147494</t>
  </si>
  <si>
    <t>-398.827115625617 233.962452847568 -246.484652356822</t>
  </si>
  <si>
    <t>-620.155897858041 78.0570757321575 -100.489464501083</t>
  </si>
  <si>
    <t>-647.567759707885 87.1635729830673 302.027992380902</t>
  </si>
  <si>
    <t>-702.701804009634 106.135839988553 746.148572566587</t>
  </si>
  <si>
    <t>-557.348091167407 125.577911390902 805.994888155464</t>
  </si>
  <si>
    <t>-577.562421392552 -129.596831580652 305.946427105329</t>
  </si>
  <si>
    <t>-605.434547141367 -146.754623183405 752.609221000841</t>
  </si>
  <si>
    <t>-471.95117899838 -190.634476633972 825.712177585933</t>
  </si>
  <si>
    <t>9763-20170724T104446.953075100.bin</t>
  </si>
  <si>
    <t>-641.790525392923 134.277857122291 -541.576806832115</t>
  </si>
  <si>
    <t>-630.753779177983 169.653705220624 -249.655668640802</t>
  </si>
  <si>
    <t>-398.582568674345 233.980213686694 -246.573537492872</t>
  </si>
  <si>
    <t>-620.104746078773 77.9939062938076 -100.506143131547</t>
  </si>
  <si>
    <t>-647.621897899392 87.1993457172093 302.001886594867</t>
  </si>
  <si>
    <t>-702.704939493078 106.167345948973 746.126607658532</t>
  </si>
  <si>
    <t>-557.370661207319 125.743118115446 805.976703283007</t>
  </si>
  <si>
    <t>-577.585823024181 -129.637190991156 305.938944310568</t>
  </si>
  <si>
    <t>-605.439565126816 -146.660033745134 752.610355550742</t>
  </si>
  <si>
    <t>-471.991448786 -190.652960620787 825.709767242833</t>
  </si>
  <si>
    <t>9763-20170724T104446.986163300.bin</t>
  </si>
  <si>
    <t>-641.731687206987 134.217899909694 -541.620406864277</t>
  </si>
  <si>
    <t>-630.666738326037 169.638736278609 -249.705750928741</t>
  </si>
  <si>
    <t>-398.506942435116 234.008680515603 -246.672787209076</t>
  </si>
  <si>
    <t>-620.116796758014 78.0372154243271 -100.51698144917</t>
  </si>
  <si>
    <t>-647.634161836107 87.2346018362146 301.991191230194</t>
  </si>
  <si>
    <t>-702.708608850827 106.188013316481 746.12009937202</t>
  </si>
  <si>
    <t>-557.391419759247 125.896201502921 805.968315563933</t>
  </si>
  <si>
    <t>-577.599064953153 -129.640052720143 305.939171424622</t>
  </si>
  <si>
    <t>-605.452948941482 -146.706877358678 752.617182378627</t>
  </si>
  <si>
    <t>-472.083976470882 -190.937990991426 825.71729162438</t>
  </si>
  <si>
    <t>9763-20170724T104447.050848400.bin</t>
  </si>
  <si>
    <t>-641.791845389436 134.055905865558 -541.672019663096</t>
  </si>
  <si>
    <t>-630.579578622815 169.692293583421 -249.78939952905</t>
  </si>
  <si>
    <t>-398.411324228543 234.033847619834 -246.796235904302</t>
  </si>
  <si>
    <t>-620.15059876569 78.0486800534759 -100.533002290626</t>
  </si>
  <si>
    <t>-647.629371069655 87.2339413893039 301.978149839634</t>
  </si>
  <si>
    <t>-702.703075682192 106.149763392555 746.103795522779</t>
  </si>
  <si>
    <t>-557.381528953658 125.823927387108 805.952376964451</t>
  </si>
  <si>
    <t>-577.586364798547 -129.6565357918 305.953669595803</t>
  </si>
  <si>
    <t>-605.46323523071 -146.707461068137 752.620350950724</t>
  </si>
  <si>
    <t>-471.997215382787 -190.669195032966 825.705830993409</t>
  </si>
  <si>
    <t>9763-20170724T104447.083936600.bin</t>
  </si>
  <si>
    <t>-641.888328151331 134.004462383028 -541.705879532291</t>
  </si>
  <si>
    <t>-630.5796759401 169.728340981253 -249.837438052436</t>
  </si>
  <si>
    <t>-398.401294617516 234.034853745303 -246.885070084599</t>
  </si>
  <si>
    <t>-620.20507480631 78.1015466600434 -100.544912922035</t>
  </si>
  <si>
    <t>-647.604223801372 87.2493283278968 301.972435890296</t>
  </si>
  <si>
    <t>-702.688652485864 106.106655400597 746.100059924879</t>
  </si>
  <si>
    <t>-557.338273635119 125.539183683241 805.95783582944</t>
  </si>
  <si>
    <t>-577.541134320267 -129.592707319417 305.953829828152</t>
  </si>
  <si>
    <t>-605.463071141958 -146.615710921654 752.619258478169</t>
  </si>
  <si>
    <t>-472.093841182115 -190.856699949281 825.712933297309</t>
  </si>
  <si>
    <t>9763-20170724T104447.149228600.bin</t>
  </si>
  <si>
    <t>-642.118148956132 134.092799340344 -541.719432327911</t>
  </si>
  <si>
    <t>-630.287573361231 170.145544418105 -249.912200313216</t>
  </si>
  <si>
    <t>-398.07903586682 234.357547810874 -247.282603327974</t>
  </si>
  <si>
    <t>-620.41757672941 78.3235084164751 -100.569358375228</t>
  </si>
  <si>
    <t>-647.647705849569 87.4469471753764 301.960089542883</t>
  </si>
  <si>
    <t>-702.642884959083 106.261848678512 746.108394554992</t>
  </si>
  <si>
    <t>-557.373976947385 125.929503568848 806.086920807928</t>
  </si>
  <si>
    <t>-577.510116517918 -129.498273567051 305.958504609404</t>
  </si>
  <si>
    <t>-605.480618858081 -146.675392387342 752.622420589285</t>
  </si>
  <si>
    <t>-472.068271050027 -190.803872987458 825.705385674253</t>
  </si>
  <si>
    <t>9763-20170724T104447.187330700.bin</t>
  </si>
  <si>
    <t>-642.158155371549 134.165165867952 -541.751445951386</t>
  </si>
  <si>
    <t>-629.873984283477 170.656933919513 -250.017454410351</t>
  </si>
  <si>
    <t>-397.642182669812 234.792330300241 -247.591087082633</t>
  </si>
  <si>
    <t>-620.510876858327 78.4366823789678 -100.591647849742</t>
  </si>
  <si>
    <t>-647.612617675169 87.6577927370201 301.94430832032</t>
  </si>
  <si>
    <t>-702.636464576787 106.412963350485 746.109895320858</t>
  </si>
  <si>
    <t>-557.406025971356 126.159598247845 806.15574371119</t>
  </si>
  <si>
    <t>-577.503276830711 -129.408773760676 305.962739599131</t>
  </si>
  <si>
    <t>-605.478149404641 -146.570247001091 752.623921628921</t>
  </si>
  <si>
    <t>-472.078163545565 -190.733877180018 825.7083867487</t>
  </si>
  <si>
    <t>9763-20170724T104447.249066900.bin</t>
  </si>
  <si>
    <t>-642.22671013086 134.345478957513 -541.834580608139</t>
  </si>
  <si>
    <t>-629.010916931496 171.938574972115 -250.281353990698</t>
  </si>
  <si>
    <t>-396.649023046999 235.61574889963 -248.26950464295</t>
  </si>
  <si>
    <t>-620.644168034316 78.5985983484509 -100.589599058992</t>
  </si>
  <si>
    <t>-647.358868105613 87.9037116157808 301.970246765699</t>
  </si>
  <si>
    <t>-702.653239266531 106.583367650275 746.093866683166</t>
  </si>
  <si>
    <t>-557.453187769996 126.382781932605 806.195844472715</t>
  </si>
  <si>
    <t>-577.480898272051 -129.180575778218 305.967138762391</t>
  </si>
  <si>
    <t>-605.473948792596 -146.454138199603 752.630455234769</t>
  </si>
  <si>
    <t>-472.221317093182 -191.034635695724 825.730476924266</t>
  </si>
  <si>
    <t>9763-20170724T104447.282154400.bin</t>
  </si>
  <si>
    <t>-642.348445746647 134.276023973769 -541.874937973681</t>
  </si>
  <si>
    <t>-628.737813476505 172.283993181261 -250.393530996955</t>
  </si>
  <si>
    <t>-396.316774019602 235.750272709318 -248.556006987194</t>
  </si>
  <si>
    <t>-620.743287689146 78.6250980466298 -100.595212988578</t>
  </si>
  <si>
    <t>-647.160291043871 87.8995219422761 301.984914153953</t>
  </si>
  <si>
    <t>-702.656757732485 106.573728383481 746.076989763134</t>
  </si>
  <si>
    <t>-557.439954750545 126.247902163504 806.179393076912</t>
  </si>
  <si>
    <t>-577.49335273042 -129.295892324554 305.981202116021</t>
  </si>
  <si>
    <t>-605.494242801536 -146.768142082943 752.639402609764</t>
  </si>
  <si>
    <t>-472.061646882972 -190.826455723563 825.72781838455</t>
  </si>
  <si>
    <t>9763-20170724T104447.351915900.bin</t>
  </si>
  <si>
    <t>-642.544461924451 134.404668223587 -541.946004041758</t>
  </si>
  <si>
    <t>-628.068312004682 173.208895247499 -250.611290648612</t>
  </si>
  <si>
    <t>-395.56417252223 236.371429414142 -248.82435896781</t>
  </si>
  <si>
    <t>-620.810370040309 78.7744076988979 -100.618078917604</t>
  </si>
  <si>
    <t>-647.025582679607 88.0032939738896 301.976390903211</t>
  </si>
  <si>
    <t>-702.658959884043 106.590899186869 746.04413970996</t>
  </si>
  <si>
    <t>-557.457569126598 126.351444108028 806.155579906754</t>
  </si>
  <si>
    <t>-577.507857452969 -129.124093831413 306.00543336142</t>
  </si>
  <si>
    <t>-605.491738736983 -146.628756304396 752.640249828194</t>
  </si>
  <si>
    <t>-472.198070945573 -191.0750127333 825.747245976563</t>
  </si>
  <si>
    <t>9763-20170724T104447.386005100.bin</t>
  </si>
  <si>
    <t>-642.662100933634 134.474819168303 -541.992600627224</t>
  </si>
  <si>
    <t>-627.738433864441 173.656995255611 -250.731134902613</t>
  </si>
  <si>
    <t>-395.189981939243 236.658704219909 -249.042014060624</t>
  </si>
  <si>
    <t>-620.873343702962 78.9005871315326 -100.63979066773</t>
  </si>
  <si>
    <t>-647.009860663943 88.07552673531 301.961004791865</t>
  </si>
  <si>
    <t>-702.672441275175 106.632365997529 746.03182327763</t>
  </si>
  <si>
    <t>-557.486772020198 126.529807328806 806.135995994244</t>
  </si>
  <si>
    <t>-577.553640821793 -129.009049644256 306.010272630693</t>
  </si>
  <si>
    <t>-605.492096484708 -146.55659981688 752.643968436534</t>
  </si>
  <si>
    <t>-472.222239939603 -191.074165515137 825.750887621653</t>
  </si>
  <si>
    <t>9763-20170724T104447.449688500.bin</t>
  </si>
  <si>
    <t>-642.880413411214 134.360532364306 -542.183170261304</t>
  </si>
  <si>
    <t>-627.310776695687 174.137343670131 -251.03625553064</t>
  </si>
  <si>
    <t>-394.695357338605 236.89622539054 -249.522786507975</t>
  </si>
  <si>
    <t>-620.915162908661 78.9312366099612 -100.67597633241</t>
  </si>
  <si>
    <t>-646.977115481899 88.080128006045 301.930180426376</t>
  </si>
  <si>
    <t>-702.67169411856 106.530496337478 745.997736594192</t>
  </si>
  <si>
    <t>-557.429112937244 126.080173422304 806.078483612167</t>
  </si>
  <si>
    <t>-577.559711643855 -129.021878423266 306.007987772422</t>
  </si>
  <si>
    <t>-605.499668170111 -146.641903523818 752.640931854437</t>
  </si>
  <si>
    <t>-472.182627197422 -191.007090473563 825.75458215</t>
  </si>
  <si>
    <t>9763-20170724T104447.486785600.bin</t>
  </si>
  <si>
    <t>-643.054134733768 134.310925084792 -542.298681049122</t>
  </si>
  <si>
    <t>-627.282607545938 174.353186365587 -251.198900910603</t>
  </si>
  <si>
    <t>-394.639417830427 237.008405733498 -249.673486227791</t>
  </si>
  <si>
    <t>-621.023771527238 79.0330497059565 -100.700019350851</t>
  </si>
  <si>
    <t>-647.006728865855 88.0689123515908 301.913833812847</t>
  </si>
  <si>
    <t>-702.676732617681 106.48858418354 745.983380631226</t>
  </si>
  <si>
    <t>-557.416986447032 125.982519195938 806.040757870038</t>
  </si>
  <si>
    <t>-577.567108199074 -129.018478605308 306.004131251095</t>
  </si>
  <si>
    <t>-605.511877399282 -146.705710824781 752.64181652179</t>
  </si>
  <si>
    <t>-472.127495192654 -190.877563482752 825.74963302422</t>
  </si>
  <si>
    <t>9763-20170724T104447.555164100.bin</t>
  </si>
  <si>
    <t>-643.432004394034 134.171780904102 -542.498463362227</t>
  </si>
  <si>
    <t>-627.269751107959 174.656323008287 -251.481291445066</t>
  </si>
  <si>
    <t>-394.586252283847 237.156559728994 -249.760211200524</t>
  </si>
  <si>
    <t>-621.218477833303 79.1055837869926 -100.752717144362</t>
  </si>
  <si>
    <t>-647.131164887192 88.1963984568515 301.864425608381</t>
  </si>
  <si>
    <t>-702.674176042746 106.613397196878 745.965643688538</t>
  </si>
  <si>
    <t>-557.520376281243 126.80692892292 806.04800914164</t>
  </si>
  <si>
    <t>-577.680344690939 -128.949921397649 305.992241367697</t>
  </si>
  <si>
    <t>-605.524721435864 -146.663820677577 752.637119079212</t>
  </si>
  <si>
    <t>-472.027053731353 -190.515036885823 825.731133672933</t>
  </si>
  <si>
    <t>9763-20170724T104447.586245900.bin</t>
  </si>
  <si>
    <t>-643.682946089804 134.188602109448 -542.559748740528</t>
  </si>
  <si>
    <t>-627.236078776377 174.891029850739 -251.588875026831</t>
  </si>
  <si>
    <t>-394.544299565734 237.359030294456 -249.80779493645</t>
  </si>
  <si>
    <t>-621.362265644236 79.1847178826035 -100.786828842562</t>
  </si>
  <si>
    <t>-647.174435271417 88.2883471383143 301.836507604775</t>
  </si>
  <si>
    <t>-702.663170926723 106.62463124786 745.954263497821</t>
  </si>
  <si>
    <t>-557.497098470691 126.639041826568 806.066979258065</t>
  </si>
  <si>
    <t>-577.738364756038 -128.864618883336 305.990292502022</t>
  </si>
  <si>
    <t>-605.53100022353 -146.623765306685 752.639628981614</t>
  </si>
  <si>
    <t>-472.112333391983 -190.706839275808 825.738452240873</t>
  </si>
  <si>
    <t>9763-20170724T104447.650235000.bin</t>
  </si>
  <si>
    <t>-643.981068344389 134.296304880796 -542.616472524055</t>
  </si>
  <si>
    <t>-626.940352171309 175.55445422958 -251.758111694611</t>
  </si>
  <si>
    <t>-394.191672334227 237.805220632511 -249.821234604449</t>
  </si>
  <si>
    <t>-621.631650287632 79.3535907927121 -100.82772291373</t>
  </si>
  <si>
    <t>-647.177672166738 88.4330335074694 301.813111976831</t>
  </si>
  <si>
    <t>-702.640497260037 106.679485522763 745.937737641983</t>
  </si>
  <si>
    <t>-557.483547113595 126.552290732332 806.119363070138</t>
  </si>
  <si>
    <t>-577.904021488472 -128.749471405051 305.997790657786</t>
  </si>
  <si>
    <t>-605.557716151732 -146.599550779506 752.66248325087</t>
  </si>
  <si>
    <t>-472.177288153903 -190.834639270767 825.739216098933</t>
  </si>
  <si>
    <t>9763-20170724T104447.687333500.bin</t>
  </si>
  <si>
    <t>-643.937797308072 134.389291443406 -542.650677637151</t>
  </si>
  <si>
    <t>-626.662256191223 175.928112017757 -251.845983223782</t>
  </si>
  <si>
    <t>-393.884070116761 238.065240686225 -249.816338043393</t>
  </si>
  <si>
    <t>-621.683927252342 79.3938603728213 -100.828956375996</t>
  </si>
  <si>
    <t>-647.182804367147 88.525840836759 301.813713662395</t>
  </si>
  <si>
    <t>-702.635079672008 106.731690242309 745.934227371189</t>
  </si>
  <si>
    <t>-557.482439930128 126.52646198313 806.151928201207</t>
  </si>
  <si>
    <t>-577.969800449677 -128.684482467238 306.005528031018</t>
  </si>
  <si>
    <t>-605.572962447048 -146.651247756128 752.676503783746</t>
  </si>
  <si>
    <t>-472.278805282978 -191.150991068294 825.749993661921</t>
  </si>
  <si>
    <t>9763-20170724T104447.751516900.bin</t>
  </si>
  <si>
    <t>-643.813368358154 134.419990273973 -542.731771600248</t>
  </si>
  <si>
    <t>-626.058506521353 176.375833863356 -252.015952141066</t>
  </si>
  <si>
    <t>-393.248656337804 238.380307044042 -249.593317442454</t>
  </si>
  <si>
    <t>-621.841124524399 79.5070783160431 -100.85316835897</t>
  </si>
  <si>
    <t>-647.285044569022 88.677545135565 301.792017777237</t>
  </si>
  <si>
    <t>-702.645558374038 106.852751346832 745.917900410208</t>
  </si>
  <si>
    <t>-557.526708502967 126.751797927085 806.182597193095</t>
  </si>
  <si>
    <t>-578.181919803597 -128.701279695974 306.015671506628</t>
  </si>
  <si>
    <t>-605.581228806111 -146.669217263478 752.684317813381</t>
  </si>
  <si>
    <t>-472.191528384807 -190.91129983846 825.739844060046</t>
  </si>
  <si>
    <t>9763-20170724T104447.784605100.bin</t>
  </si>
  <si>
    <t>-643.791204224222 134.469354425217 -542.71921160001</t>
  </si>
  <si>
    <t>-625.659681217325 176.675719034119 -252.062989169477</t>
  </si>
  <si>
    <t>-392.825973098423 238.586222853734 -249.522333301146</t>
  </si>
  <si>
    <t>-621.943067120335 79.4933120311439 -100.859411202702</t>
  </si>
  <si>
    <t>-647.313978406464 88.7278361804495 301.78892982462</t>
  </si>
  <si>
    <t>-702.647608033575 106.849370958729 745.908196060866</t>
  </si>
  <si>
    <t>-557.507465066097 126.565054709232 806.182027799661</t>
  </si>
  <si>
    <t>-578.322265456606 -128.723884068954 306.013185579026</t>
  </si>
  <si>
    <t>-605.584348093966 -146.673098378625 752.695258224962</t>
  </si>
  <si>
    <t>-472.165213223892 -190.846911948928 825.738507686353</t>
  </si>
  <si>
    <t>9763-20170724T104447.855683600.bin</t>
  </si>
  <si>
    <t>-643.861328912056 134.646568155878 -542.668916092967</t>
  </si>
  <si>
    <t>-624.616419581744 177.621278331954 -252.196934832909</t>
  </si>
  <si>
    <t>-391.672600012165 239.109077175759 -249.492071494081</t>
  </si>
  <si>
    <t>-622.170463845962 79.6287302986068 -100.873587154556</t>
  </si>
  <si>
    <t>-647.46625492536 88.821206169024 301.780486347315</t>
  </si>
  <si>
    <t>-702.685317731255 106.943123834179 745.888180028442</t>
  </si>
  <si>
    <t>-557.573032292028 126.869573569558 806.159577178833</t>
  </si>
  <si>
    <t>-578.560530380011 -128.75129195122 306.004463965064</t>
  </si>
  <si>
    <t>-605.595012723608 -146.775122511853 752.714738145447</t>
  </si>
  <si>
    <t>-472.169034413467 -190.95025368753 825.744617534934</t>
  </si>
  <si>
    <t>9763-20170724T104447.885764700.bin</t>
  </si>
  <si>
    <t>-643.86852133658 134.796450558348 -542.64874276839</t>
  </si>
  <si>
    <t>-624.109827985035 178.1391714544 -252.265888559736</t>
  </si>
  <si>
    <t>-391.07892389367 239.293056878678 -249.49665874439</t>
  </si>
  <si>
    <t>-622.256409268781 79.6962126979897 -100.876385562098</t>
  </si>
  <si>
    <t>-647.528402739581 88.8650904493827 301.779692825933</t>
  </si>
  <si>
    <t>-702.691684626322 106.923021695522 745.890283051797</t>
  </si>
  <si>
    <t>-557.574377993228 126.825949517651 806.157630813223</t>
  </si>
  <si>
    <t>-578.594650616003 -128.630060651438 305.996831991485</t>
  </si>
  <si>
    <t>-605.582860414307 -146.643240020748 752.710887790241</t>
  </si>
  <si>
    <t>-472.300138061627 -191.222911834812 825.756599350054</t>
  </si>
  <si>
    <t>9763-20170724T104447.916852100.bin</t>
  </si>
  <si>
    <t>-643.833514906228 134.892378839627 -542.591217221457</t>
  </si>
  <si>
    <t>-623.627522365386 178.51244286091 -252.280613226184</t>
  </si>
  <si>
    <t>-390.52354845527 239.388025132194 -249.528890903569</t>
  </si>
  <si>
    <t>-622.293574836362 79.6950701865435 -100.876525187698</t>
  </si>
  <si>
    <t>-647.546927833117 88.8655830811574 301.780694655881</t>
  </si>
  <si>
    <t>-702.716975106025 106.972759544248 745.892197631997</t>
  </si>
  <si>
    <t>-557.607587112217 126.963636283627 806.149397289615</t>
  </si>
  <si>
    <t>-578.589069456776 -128.672382259266 305.998403222751</t>
  </si>
  <si>
    <t>-605.589043061458 -146.811474619318 752.713568995796</t>
  </si>
  <si>
    <t>-472.1507899567 -190.94784969024 825.744467338553</t>
  </si>
  <si>
    <t>9763-20170724T104447.967988700.bin</t>
  </si>
  <si>
    <t>-643.767939326089 135.07943883383 -542.529531511963</t>
  </si>
  <si>
    <t>-623.17509642868 178.723271081992 -252.249764080973</t>
  </si>
  <si>
    <t>-390.052696672738 239.534051219003 -249.628570567002</t>
  </si>
  <si>
    <t>-622.311248959628 79.6977665260615 -100.869803285081</t>
  </si>
  <si>
    <t>-647.510790033563 88.8881106139195 301.790305903129</t>
  </si>
  <si>
    <t>-702.719072458894 106.945546175717 745.89637160219</t>
  </si>
  <si>
    <t>-557.633414978498 127.13679236538 806.143842851027</t>
  </si>
  <si>
    <t>-578.560010199902 -128.551663402189 305.988087386264</t>
  </si>
  <si>
    <t>-605.567194572823 -146.515367788792 752.703140947312</t>
  </si>
  <si>
    <t>-472.257363625154 -191.010988726969 825.75054591835</t>
  </si>
  <si>
    <t>9763-20170724T104448.053218700.bin</t>
  </si>
  <si>
    <t>-643.514365154407 135.722091877087 -542.272453030044</t>
  </si>
  <si>
    <t>-621.64681707535 179.481058400013 -252.103205299591</t>
  </si>
  <si>
    <t>-388.520907564804 240.296094352543 -249.928443911466</t>
  </si>
  <si>
    <t>-622.295983343177 79.8486994294444 -100.815374352568</t>
  </si>
  <si>
    <t>-647.43632336273 88.8892425888537 301.851882418034</t>
  </si>
  <si>
    <t>-702.733856394212 106.893050162614 745.934892807674</t>
  </si>
  <si>
    <t>-557.621321763026 126.905239004385 806.177396132599</t>
  </si>
  <si>
    <t>-578.451703870245 -128.556649718274 305.976910480272</t>
  </si>
  <si>
    <t>-605.570806031231 -146.68431885726 752.701076370439</t>
  </si>
  <si>
    <t>-472.144411253509 -190.849930414204 825.7358786029</t>
  </si>
  <si>
    <t>9763-20170724T104448.085304100.bin</t>
  </si>
  <si>
    <t>-643.293429029074 135.935949489332 -542.20035573575</t>
  </si>
  <si>
    <t>-620.942568953497 179.866669067049 -252.093974952298</t>
  </si>
  <si>
    <t>-387.813902746108 240.677225484079 -250.100761736841</t>
  </si>
  <si>
    <t>-622.249908532717 79.937295214653 -100.788785121342</t>
  </si>
  <si>
    <t>-647.442558683887 88.9566368065309 301.875624372761</t>
  </si>
  <si>
    <t>-702.752740600325 106.956327395719 745.955511815714</t>
  </si>
  <si>
    <t>-557.682865918125 127.279610311679 806.196687811755</t>
  </si>
  <si>
    <t>-578.381797311807 -128.549189954609 305.980577992181</t>
  </si>
  <si>
    <t>-605.577629537675 -146.790677342118 752.701536349752</t>
  </si>
  <si>
    <t>-472.13470033835 -190.912789433133 825.732430922793</t>
  </si>
  <si>
    <t>9763-20170724T104448.140483000.bin</t>
  </si>
  <si>
    <t>-642.942247109791 136.183387174696 -542.10955962782</t>
  </si>
  <si>
    <t>-619.864490925579 180.371961011946 -252.099262659043</t>
  </si>
  <si>
    <t>-386.715672183572 241.111651899661 -250.32128429047</t>
  </si>
  <si>
    <t>-622.162335508475 80.028877468271 -100.782718017098</t>
  </si>
  <si>
    <t>-647.406122839872 89.0176009523027 301.879216364945</t>
  </si>
  <si>
    <t>-702.75842648246 106.95293590674 745.937786839966</t>
  </si>
  <si>
    <t>-557.674253452977 127.126735032628 806.194597832717</t>
  </si>
  <si>
    <t>-578.269027795411 -128.414872544327 305.975741093839</t>
  </si>
  <si>
    <t>-605.56031684153 -146.629896283263 752.68749915929</t>
  </si>
  <si>
    <t>-472.165438197535 -190.882544321422 825.727337204625</t>
  </si>
  <si>
    <t>9763-20170724T104448.186604300.bin</t>
  </si>
  <si>
    <t>-642.537189105347 136.419467912012 -541.998131864792</t>
  </si>
  <si>
    <t>-618.746758709196 180.722698864515 -252.062820641768</t>
  </si>
  <si>
    <t>-385.593748679346 241.450592422931 -250.425942148079</t>
  </si>
  <si>
    <t>-622.109687219623 80.1322131558543 -100.752747425389</t>
  </si>
  <si>
    <t>-647.399989148063 89.052888650235 301.907830609579</t>
  </si>
  <si>
    <t>-702.761985492175 106.931390657883 745.986729270739</t>
  </si>
  <si>
    <t>-557.608583138977 126.551426855324 806.259885948061</t>
  </si>
  <si>
    <t>-578.200216004137 -128.36323283924 305.965172764582</t>
  </si>
  <si>
    <t>-605.555260461987 -146.669114152672 752.680949002064</t>
  </si>
  <si>
    <t>-472.218624336746 -191.0750228344 825.733989939548</t>
  </si>
  <si>
    <t>9763-20170724T104448.229299600.bin</t>
  </si>
  <si>
    <t>-648.77107863706 0.146474116534137 -556.829748251476</t>
  </si>
  <si>
    <t>-642.238289647499 136.643917038766 -541.908368749026</t>
  </si>
  <si>
    <t>-617.930830483684 181.018231853813 -252.026825469245</t>
  </si>
  <si>
    <t>-384.73894931491 241.598249174696 -250.452695620756</t>
  </si>
  <si>
    <t>-622.096560086679 80.288822732452 -100.731676714895</t>
  </si>
  <si>
    <t>-647.438091633963 89.1610588061949 301.926742314469</t>
  </si>
  <si>
    <t>-702.787482353639 107.01654158104 745.978561873623</t>
  </si>
  <si>
    <t>-557.672050875592 126.918039198133 806.250798046244</t>
  </si>
  <si>
    <t>-578.158156551973 -128.303162940869 305.964069381626</t>
  </si>
  <si>
    <t>-605.546444534504 -146.67289649004 752.673035873889</t>
  </si>
  <si>
    <t>-472.241385092358 -191.161072535438 825.733745482302</t>
  </si>
  <si>
    <t>9763-20170724T104448.283444300.bin</t>
  </si>
  <si>
    <t>-648.174941613005 0.474423911574604 -556.808979184959</t>
  </si>
  <si>
    <t>-641.653076587636 136.954537741436 -541.719773286444</t>
  </si>
  <si>
    <t>-616.171266711697 181.567067055131 -251.975738493887</t>
  </si>
  <si>
    <t>-382.92980814225 241.960542474177 -250.590855885029</t>
  </si>
  <si>
    <t>-622.054721077196 80.4651703518425 -100.686249802627</t>
  </si>
  <si>
    <t>-647.528358374096 89.2820445596797 301.965002359924</t>
  </si>
  <si>
    <t>-702.800718290393 107.033822180791 746.049085768558</t>
  </si>
  <si>
    <t>-557.699144507666 126.998418751017 806.333694251703</t>
  </si>
  <si>
    <t>-578.111527263984 -128.374975950222 305.9646207868</t>
  </si>
  <si>
    <t>-605.54996738425 -146.882811211492 752.666599879317</t>
  </si>
  <si>
    <t>-471.928159532101 -190.454930310667 825.700680595271</t>
  </si>
  <si>
    <t>9763-20170724T104448.319526900.bin</t>
  </si>
  <si>
    <t>-647.832612065911 0.714265568171413 -556.798816606908</t>
  </si>
  <si>
    <t>-641.309813785553 137.188069087515 -541.629338429761</t>
  </si>
  <si>
    <t>-615.251586511719 181.923412275248 -251.955482994199</t>
  </si>
  <si>
    <t>-381.99621810442 242.267979222485 -250.79152908815</t>
  </si>
  <si>
    <t>-622.017892323893 80.5661811047657 -100.658479846991</t>
  </si>
  <si>
    <t>-647.520972300518 89.3408354004091 301.991838358636</t>
  </si>
  <si>
    <t>-702.789483561343 106.968825616673 746.085742990236</t>
  </si>
  <si>
    <t>-557.629903471518 126.454265083071 806.387474922322</t>
  </si>
  <si>
    <t>-578.060662331676 -128.225927057185 305.963053534015</t>
  </si>
  <si>
    <t>-605.529376288504 -146.737546159443 752.657217798816</t>
  </si>
  <si>
    <t>-472.070242871902 -190.76727908333 825.714303274978</t>
  </si>
  <si>
    <t>9763-20170724T104448.386705400.bin</t>
  </si>
  <si>
    <t>-647.065032078904 1.15086846656982 -556.7886455432</t>
  </si>
  <si>
    <t>-640.559417436266 137.610195567053 -541.498109446568</t>
  </si>
  <si>
    <t>-613.301039169193 182.782297963002 -252.002576931202</t>
  </si>
  <si>
    <t>-380.009612684893 242.994297029007 -251.276987606038</t>
  </si>
  <si>
    <t>-621.96051923718 80.7658703558045 -100.620396793749</t>
  </si>
  <si>
    <t>-647.538902312021 89.4751602923529 302.026512054675</t>
  </si>
  <si>
    <t>-702.809153341584 106.975864510961 746.108312165372</t>
  </si>
  <si>
    <t>-557.670164755488 126.600294333807 806.414479970477</t>
  </si>
  <si>
    <t>-577.967085463073 -128.074456064813 305.953459090058</t>
  </si>
  <si>
    <t>-605.508200143079 -146.638169179449 752.644704981716</t>
  </si>
  <si>
    <t>-472.101627715708 -190.808250119085 825.713024878131</t>
  </si>
  <si>
    <t>9763-20170724T104448.448549600.bin</t>
  </si>
  <si>
    <t>-646.276561772043 1.50543033823965 -556.776346368419</t>
  </si>
  <si>
    <t>-639.812544237116 137.958100572199 -541.382783894977</t>
  </si>
  <si>
    <t>-611.373223231232 183.253486973696 -252.020107421893</t>
  </si>
  <si>
    <t>-378.057528895538 243.374843681227 -251.754875895257</t>
  </si>
  <si>
    <t>-621.945468935346 80.9677774754168 -100.549671734422</t>
  </si>
  <si>
    <t>-647.56708733493 89.6272713763819 302.095626063437</t>
  </si>
  <si>
    <t>-702.828698235489 107.016796638929 746.196844480362</t>
  </si>
  <si>
    <t>-557.686136950638 126.584135150923 806.513154578086</t>
  </si>
  <si>
    <t>-577.842605947321 -127.88584858254 305.940412073401</t>
  </si>
  <si>
    <t>-605.480079751669 -146.505795781052 752.623591677158</t>
  </si>
  <si>
    <t>-472.155382822918 -190.885625134095 825.71422630541</t>
  </si>
  <si>
    <t>9763-20170724T104448.485647700.bin</t>
  </si>
  <si>
    <t>-645.924749825353 1.65368604408104 -556.763546226773</t>
  </si>
  <si>
    <t>-639.459879285744 138.091899715937 -541.298062483699</t>
  </si>
  <si>
    <t>-610.468269392735 183.363858405782 -251.986612619832</t>
  </si>
  <si>
    <t>-377.140049729431 243.437310092519 -251.942285914238</t>
  </si>
  <si>
    <t>-621.951891400263 81.0343951330121 -100.513197442353</t>
  </si>
  <si>
    <t>-647.608647379593 89.6908241045987 302.129859717746</t>
  </si>
  <si>
    <t>-702.842419650416 107.050936394753 746.233106679904</t>
  </si>
  <si>
    <t>-557.720738810097 126.764792318662 806.551842459373</t>
  </si>
  <si>
    <t>-577.810915703582 -127.876313276195 305.939988318529</t>
  </si>
  <si>
    <t>-605.479491554359 -146.599724485436 752.621160156448</t>
  </si>
  <si>
    <t>-472.133714341478 -190.907327697189 825.717185217943</t>
  </si>
  <si>
    <t>9763-20170724T104448.516741500.bin</t>
  </si>
  <si>
    <t>-645.579870737543 1.81938813568945 -556.742010514026</t>
  </si>
  <si>
    <t>-639.135446400876 138.252592842322 -541.204091890889</t>
  </si>
  <si>
    <t>-609.560718322672 183.483663473188 -251.945130548532</t>
  </si>
  <si>
    <t>-376.231861895504 243.554066341257 -252.192520272215</t>
  </si>
  <si>
    <t>-621.963691470102 81.0857617003007 -100.475246571967</t>
  </si>
  <si>
    <t>-647.676715982758 89.7610943033387 302.163878209262</t>
  </si>
  <si>
    <t>-702.860812790159 107.116571046352 746.27018361715</t>
  </si>
  <si>
    <t>-557.80347205288 127.291508518901 806.591434791656</t>
  </si>
  <si>
    <t>-577.812172327489 -127.918659907755 305.945220162227</t>
  </si>
  <si>
    <t>-605.4781457673 -146.693244420445 752.620983081441</t>
  </si>
  <si>
    <t>-472.020148466534 -190.680183569932 825.705951773594</t>
  </si>
  <si>
    <t>9763-20170724T104448.584920800.bin</t>
  </si>
  <si>
    <t>-644.852031338133 2.17441454304867 -556.702679128925</t>
  </si>
  <si>
    <t>-638.419743391687 138.591939225703 -541.010005385958</t>
  </si>
  <si>
    <t>-607.573447569594 183.983661327408 -251.909238492217</t>
  </si>
  <si>
    <t>-374.252972009611 244.085857944333 -252.24410450837</t>
  </si>
  <si>
    <t>-621.985221137523 81.0813206031662 -100.395579007503</t>
  </si>
  <si>
    <t>-647.788499033143 89.8144594612907 302.236430138412</t>
  </si>
  <si>
    <t>-702.874706660415 107.160136716911 746.351046948014</t>
  </si>
  <si>
    <t>-557.806928410288 127.184185426574 806.697223911994</t>
  </si>
  <si>
    <t>-577.758023163157 -127.984103619252 305.942359877264</t>
  </si>
  <si>
    <t>-605.487632077709 -146.829570420699 752.624948028092</t>
  </si>
  <si>
    <t>-471.961668247796 -190.629941950806 825.697699120554</t>
  </si>
  <si>
    <t>9763-20170724T104448.650106700.bin</t>
  </si>
  <si>
    <t>-644.131188362347 2.39115950061637 -556.635657827735</t>
  </si>
  <si>
    <t>-637.572467521638 138.783189476115 -540.774626328553</t>
  </si>
  <si>
    <t>-605.478043380128 184.426431508625 -251.849336702143</t>
  </si>
  <si>
    <t>-372.11968413834 244.37493618693 -252.791580672936</t>
  </si>
  <si>
    <t>-621.96884043353 80.9337076652077 -100.31349662247</t>
  </si>
  <si>
    <t>-647.874267247718 89.7723398214325 302.309670952399</t>
  </si>
  <si>
    <t>-702.880276086132 107.172208173401 746.428967172971</t>
  </si>
  <si>
    <t>-557.832230770135 127.280409197367 806.794767743084</t>
  </si>
  <si>
    <t>-577.828592714655 -128.094023682172 305.957955632794</t>
  </si>
  <si>
    <t>-605.481288424654 -146.893768783685 752.636213171699</t>
  </si>
  <si>
    <t>-471.849452510693 -190.398042732405 825.69245237479</t>
  </si>
  <si>
    <t>9763-20170724T104448.686203700.bin</t>
  </si>
  <si>
    <t>-643.78137979618 2.59784365702808 -556.607719593983</t>
  </si>
  <si>
    <t>-637.165138465476 138.975326193546 -540.655729549766</t>
  </si>
  <si>
    <t>-604.309871910604 184.65412334958 -251.821672187752</t>
  </si>
  <si>
    <t>-370.980801292613 244.705752856835 -253.305206606309</t>
  </si>
  <si>
    <t>-621.970187144026 80.8929841795871 -100.272807628825</t>
  </si>
  <si>
    <t>-647.889488605783 89.7360032194028 302.349393674373</t>
  </si>
  <si>
    <t>-702.89378202582 107.202152322279 746.468539159044</t>
  </si>
  <si>
    <t>-557.840518593828 127.26089222296 806.838280016519</t>
  </si>
  <si>
    <t>-577.892713171927 -128.071534649272 305.966978023163</t>
  </si>
  <si>
    <t>-605.480236916607 -146.840508437565 752.647208887533</t>
  </si>
  <si>
    <t>-471.973134321709 -190.718874485449 825.707783045252</t>
  </si>
  <si>
    <t>9763-20170724T104448.751924200.bin</t>
  </si>
  <si>
    <t>-643.119575183924 2.88667781332128 -556.554079492239</t>
  </si>
  <si>
    <t>-636.42358807303 139.252175822993 -540.470306300875</t>
  </si>
  <si>
    <t>-602.013911096085 185.13370489372 -251.849339105673</t>
  </si>
  <si>
    <t>-368.729285491904 245.317564847835 -254.507609849334</t>
  </si>
  <si>
    <t>-621.9522324538 80.7487695975838 -100.200148972222</t>
  </si>
  <si>
    <t>-647.944101281868 89.6589381317447 302.415923330681</t>
  </si>
  <si>
    <t>-702.910949985893 107.189580500497 746.5340339712</t>
  </si>
  <si>
    <t>-557.826230278654 127.012206929823 806.906229004035</t>
  </si>
  <si>
    <t>-578.014684323862 -128.061171906765 305.982716411475</t>
  </si>
  <si>
    <t>-605.472058303619 -146.70231510539 752.668046824644</t>
  </si>
  <si>
    <t>-472.06122419614 -190.885878786092 825.720548855357</t>
  </si>
  <si>
    <t>9763-20170724T104448.784009200.bin</t>
  </si>
  <si>
    <t>-642.776457433285 2.8578178049695 -556.539095391514</t>
  </si>
  <si>
    <t>-636.039914734794 139.208270479038 -540.430958342026</t>
  </si>
  <si>
    <t>-600.993459699052 185.316913139286 -251.922946362816</t>
  </si>
  <si>
    <t>-367.744764243171 245.611552586598 -255.158261429728</t>
  </si>
  <si>
    <t>-621.917172821868 80.6484911526493 -100.164715300023</t>
  </si>
  <si>
    <t>-647.971934373398 89.6258890380323 302.445865446366</t>
  </si>
  <si>
    <t>-702.916722978367 107.176428964155 746.565384585566</t>
  </si>
  <si>
    <t>-557.840063920239 127.059886882019 806.936887880175</t>
  </si>
  <si>
    <t>-578.061514755245 -128.183953226425 305.992542845116</t>
  </si>
  <si>
    <t>-605.479554135058 -146.801523739912 752.680398233511</t>
  </si>
  <si>
    <t>-471.953826505712 -190.667531596056 825.714329397862</t>
  </si>
  <si>
    <t>9763-20170724T104448.852427500.bin</t>
  </si>
  <si>
    <t>-642.019051211835 2.90198640151334 -556.513368310461</t>
  </si>
  <si>
    <t>-635.293515586081 139.253234927144 -540.386538901212</t>
  </si>
  <si>
    <t>-599.173818655541 185.793945887106 -252.080158112445</t>
  </si>
  <si>
    <t>-366.026207475596 246.431097197058 -256.104583373909</t>
  </si>
  <si>
    <t>-621.843657260333 80.5362111078693 -100.101986358937</t>
  </si>
  <si>
    <t>-647.967689068926 89.5609258183681 302.503017608951</t>
  </si>
  <si>
    <t>-702.931346294065 107.167834979002 746.620934153696</t>
  </si>
  <si>
    <t>-557.848175619184 126.995061131047 806.995205376299</t>
  </si>
  <si>
    <t>-578.1160876991 -128.261176902691 306.008919618833</t>
  </si>
  <si>
    <t>-605.472142627148 -146.771052632327 752.6956454842</t>
  </si>
  <si>
    <t>-471.95812084729 -190.680684917597 825.724781227835</t>
  </si>
  <si>
    <t>9763-20170724T104448.888523900.bin</t>
  </si>
  <si>
    <t>-641.596633941675 2.9095565448979 -556.506198631379</t>
  </si>
  <si>
    <t>-634.897986455096 139.260710883155 -540.369019435319</t>
  </si>
  <si>
    <t>-598.486692753402 185.834498716324 -252.104791435743</t>
  </si>
  <si>
    <t>-365.463405457842 246.920191731791 -256.525458121305</t>
  </si>
  <si>
    <t>-621.790235914667 80.4283632934955 -100.07715054172</t>
  </si>
  <si>
    <t>-647.930471265443 89.5226831939206 302.52519313731</t>
  </si>
  <si>
    <t>-702.946623188528 107.168199108309 746.643589139481</t>
  </si>
  <si>
    <t>-557.865669176447 127.05253322251 807.004518387627</t>
  </si>
  <si>
    <t>-578.048252855225 -128.321839585874 306.01939305896</t>
  </si>
  <si>
    <t>-605.464050308741 -146.789041086698 752.697817845526</t>
  </si>
  <si>
    <t>-471.933729422664 -190.645989135848 825.728742354377</t>
  </si>
  <si>
    <t>9763-20170724T104448.952371900.bin</t>
  </si>
  <si>
    <t>-641.022312090999 2.83750935829084 -556.546378457452</t>
  </si>
  <si>
    <t>-634.718025876121 139.216312901465 -540.398537902058</t>
  </si>
  <si>
    <t>-598.34408451978 185.644343597511 -252.105865501832</t>
  </si>
  <si>
    <t>-365.683041070951 248.039663134562 -257.257794976235</t>
  </si>
  <si>
    <t>-621.979043600892 80.3485678996663 -100.097562086018</t>
  </si>
  <si>
    <t>-647.997839169682 89.4125033543637 302.513314781464</t>
  </si>
  <si>
    <t>-702.984996044127 107.132528124643 746.663410149172</t>
  </si>
  <si>
    <t>-557.902925828122 127.22680333603 806.952072994539</t>
  </si>
  <si>
    <t>-577.94636917558 -128.469326488748 306.014179681558</t>
  </si>
  <si>
    <t>-605.433075161399 -146.813187031608 752.683304664895</t>
  </si>
  <si>
    <t>-471.875541263395 -190.544575102134 825.739763746177</t>
  </si>
  <si>
    <t>9763-20170724T104448.984456200.bin</t>
  </si>
  <si>
    <t>-640.87072295194 2.49487845927001 -556.586929655114</t>
  </si>
  <si>
    <t>-634.967919475138 138.892174855165 -540.438462951597</t>
  </si>
  <si>
    <t>-599.062372655064 185.485456267905 -252.11378665304</t>
  </si>
  <si>
    <t>-366.546137004036 248.404878017651 -257.425321856259</t>
  </si>
  <si>
    <t>-622.300523055853 80.0649073521788 -100.13017028829</t>
  </si>
  <si>
    <t>-648.218844022416 89.1948758150863 302.485663681612</t>
  </si>
  <si>
    <t>-703.014856340514 107.065308095657 746.653876415337</t>
  </si>
  <si>
    <t>-557.904213524513 127.103806809337 806.892172491617</t>
  </si>
  <si>
    <t>-577.84348187607 -128.686887607874 305.996224524711</t>
  </si>
  <si>
    <t>-605.413722665425 -146.890768403065 752.664874115585</t>
  </si>
  <si>
    <t>-471.824605982482 -190.488705433027 825.743355275627</t>
  </si>
  <si>
    <t>9763-20170724T104449.055188100.bin</t>
  </si>
  <si>
    <t>-641.040771862773 1.34585629912249 -556.694912064332</t>
  </si>
  <si>
    <t>-636.062573883377 137.771027063756 -540.526547218349</t>
  </si>
  <si>
    <t>-602.790654182626 184.208225998947 -251.861061916868</t>
  </si>
  <si>
    <t>-370.616895813237 248.402818821834 -256.890827660523</t>
  </si>
  <si>
    <t>-623.375787753757 79.2296538002868 -100.209172570198</t>
  </si>
  <si>
    <t>-649.352259880938 88.8726480947323 302.39097655335</t>
  </si>
  <si>
    <t>-703.076244779975 106.999372551859 746.638028672081</t>
  </si>
  <si>
    <t>-557.967774595515 127.333193027949 806.782595313075</t>
  </si>
  <si>
    <t>-577.425386559908 -129.149370820894 305.940245394179</t>
  </si>
  <si>
    <t>-605.376577888613 -146.774555632995 752.62940734383</t>
  </si>
  <si>
    <t>-471.80495173528 -190.366947509915 825.743136291122</t>
  </si>
  <si>
    <t>9763-20170724T104449.087272400.bin</t>
  </si>
  <si>
    <t>-640.962936666856 0.725435282858598 -556.729647900097</t>
  </si>
  <si>
    <t>-636.419748307794 137.145516405928 -540.469106541037</t>
  </si>
  <si>
    <t>-605.288759433566 182.940661571779 -251.462422120437</t>
  </si>
  <si>
    <t>-373.413991821974 248.218709760588 -256.337747205702</t>
  </si>
  <si>
    <t>-623.872208318324 78.5886668705784 -100.234458911983</t>
  </si>
  <si>
    <t>-649.988604821747 88.638534361565 302.346779281938</t>
  </si>
  <si>
    <t>-703.096813190817 106.943109582834 746.643771048728</t>
  </si>
  <si>
    <t>-557.959433407793 127.158397491066 806.758457875095</t>
  </si>
  <si>
    <t>-577.513036164412 -129.465325094868 305.926035182841</t>
  </si>
  <si>
    <t>-605.392449313974 -146.973253568295 752.644693987156</t>
  </si>
  <si>
    <t>-471.703209149697 -190.252801646473 825.729293822752</t>
  </si>
  <si>
    <t>9763-20170724T104449.150694800.bin</t>
  </si>
  <si>
    <t>-640.692063004453 0.506619925948598 -556.755519377965</t>
  </si>
  <si>
    <t>-637.25755429121 136.913525181972 -540.091205591727</t>
  </si>
  <si>
    <t>-611.209112064568 180.557252555833 -250.249973339434</t>
  </si>
  <si>
    <t>-380.072065543426 248.495091416691 -253.567177690426</t>
  </si>
  <si>
    <t>-625.15954978068 77.7176738342739 -100.323261037739</t>
  </si>
  <si>
    <t>-651.199215060419 88.2245406416612 302.25128721283</t>
  </si>
  <si>
    <t>-703.12651916703 106.900125649901 746.665758638126</t>
  </si>
  <si>
    <t>-557.951893093779 126.874378436784 806.771133897388</t>
  </si>
  <si>
    <t>-577.902154204757 -130.003773074632 305.900605280677</t>
  </si>
  <si>
    <t>-605.376660900765 -146.867732368755 752.663787993761</t>
  </si>
  <si>
    <t>-471.728657926237 -190.319507370054 825.721634191316</t>
  </si>
  <si>
    <t>9763-20170724T104449.185791900.bin</t>
  </si>
  <si>
    <t>-640.869008592636 0.527769492721745 -556.75474001435</t>
  </si>
  <si>
    <t>-638.14804429095 136.925349056556 -539.823835586373</t>
  </si>
  <si>
    <t>-615.106908850823 178.87666649785 -249.478580864554</t>
  </si>
  <si>
    <t>-384.355005753808 248.164011193791 -251.392594350499</t>
  </si>
  <si>
    <t>-625.942291931675 77.3677041921915 -100.352733474883</t>
  </si>
  <si>
    <t>-651.677010657861 88.1251933098349 302.234730964896</t>
  </si>
  <si>
    <t>-703.160711525564 106.954220811557 746.688717424341</t>
  </si>
  <si>
    <t>-558.013308969149 127.151407121357 806.78544366389</t>
  </si>
  <si>
    <t>-578.059035663906 -130.212364454846 305.862123548489</t>
  </si>
  <si>
    <t>-605.36659200905 -146.863808226742 752.671915954845</t>
  </si>
  <si>
    <t>-471.761268717746 -190.455614058933 825.724456457658</t>
  </si>
  <si>
    <t>9763-20170724T104449.250972100.bin</t>
  </si>
  <si>
    <t>-639.794078301104 136.232588815407 -539.232336605695</t>
  </si>
  <si>
    <t>-623.662805191134 174.605111889405 -247.927446568649</t>
  </si>
  <si>
    <t>-393.506147619839 245.814095143107 -245.092854628013</t>
  </si>
  <si>
    <t>-627.120388693539 76.3708092906852 -100.388947263056</t>
  </si>
  <si>
    <t>-652.2883628424 87.8031900716542 302.215753468562</t>
  </si>
  <si>
    <t>-703.187370255818 106.918784316279 746.697371447082</t>
  </si>
  <si>
    <t>-558.033633746297 126.965412203658 806.829150928222</t>
  </si>
  <si>
    <t>-578.23909599566 -130.614193679363 305.861302750653</t>
  </si>
  <si>
    <t>-605.333111038909 -146.817601512484 752.700919324515</t>
  </si>
  <si>
    <t>-471.68159166146 -190.322484190048 825.72071324656</t>
  </si>
  <si>
    <t>9763-20170724T104449.286072700.bin</t>
  </si>
  <si>
    <t>-640.458450653991 135.784658611817 -539.013448911202</t>
  </si>
  <si>
    <t>-629.085076491813 172.021190221312 -247.210855692694</t>
  </si>
  <si>
    <t>-399.061713415861 243.410299491364 -240.597306682801</t>
  </si>
  <si>
    <t>-627.602620786031 75.8275643291599 -100.426523431641</t>
  </si>
  <si>
    <t>-652.570385644536 87.5886028918346 302.181179950085</t>
  </si>
  <si>
    <t>-703.210521435488 106.953682781108 746.674052947372</t>
  </si>
  <si>
    <t>-558.088948580393 127.158947769521 806.830251750726</t>
  </si>
  <si>
    <t>-578.359212206413 -130.664557882345 305.894342352152</t>
  </si>
  <si>
    <t>-605.311980030518 -146.679239225084 752.723515081752</t>
  </si>
  <si>
    <t>-471.729838615796 -190.417818986708 825.730617870325</t>
  </si>
  <si>
    <t>9763-20170724T104449.356055900.bin</t>
  </si>
  <si>
    <t>-641.834947667709 134.941467239669 -538.72203027746</t>
  </si>
  <si>
    <t>-641.012193976805 166.328348671305 -246.138047143752</t>
  </si>
  <si>
    <t>-411.3494055091 237.092107053713 -228.864916840865</t>
  </si>
  <si>
    <t>-628.483407127607 74.7204828815493 -100.598298669119</t>
  </si>
  <si>
    <t>-653.045208824164 86.9375987441183 302.020800937943</t>
  </si>
  <si>
    <t>-703.238562213047 107.06330831123 746.578223613879</t>
  </si>
  <si>
    <t>-558.145819109055 127.151540291045 806.843240449792</t>
  </si>
  <si>
    <t>-578.850463419306 -131.14119797365 305.922471727794</t>
  </si>
  <si>
    <t>-605.269338017706 -146.837026761211 752.76515061238</t>
  </si>
  <si>
    <t>-471.378379886327 -189.718234391095 825.715303732919</t>
  </si>
  <si>
    <t>9763-20170724T104449.384129600.bin</t>
  </si>
  <si>
    <t>-642.679800817667 134.415310279553 -538.552229412192</t>
  </si>
  <si>
    <t>-646.662524589013 163.266269756439 -245.73316973933</t>
  </si>
  <si>
    <t>-417.246745627721 233.592627466281 -223.972931956895</t>
  </si>
  <si>
    <t>-629.095704996798 74.1854273270637 -100.72261599247</t>
  </si>
  <si>
    <t>-653.268888533857 86.6371570645017 301.91279269788</t>
  </si>
  <si>
    <t>-703.277525156561 107.1351664433 746.502338176548</t>
  </si>
  <si>
    <t>-558.263800231516 127.744159547671 806.781642771633</t>
  </si>
  <si>
    <t>-579.181953741038 -131.363856512421 305.914015636261</t>
  </si>
  <si>
    <t>-605.263849880624 -146.915714909747 752.797012722964</t>
  </si>
  <si>
    <t>-471.355245463739 -189.793496922454 825.716676317843</t>
  </si>
  <si>
    <t>9763-20170724T104449.450309800.bin</t>
  </si>
  <si>
    <t>-644.499685029883 133.879507450251 -538.094108437671</t>
  </si>
  <si>
    <t>-655.122672090069 158.202021279856 -245.029728351003</t>
  </si>
  <si>
    <t>-425.817822859449 227.7046236295 -219.740860359112</t>
  </si>
  <si>
    <t>-630.773030013365 73.0783513448437 -100.999430337447</t>
  </si>
  <si>
    <t>-654.102553785285 85.9829990611295 301.671499832859</t>
  </si>
  <si>
    <t>-703.335956867811 107.14799319887 746.327431021781</t>
  </si>
  <si>
    <t>-558.311584223726 127.55113505612 806.651147355186</t>
  </si>
  <si>
    <t>-579.890425509148 -131.886430617259 305.877486801392</t>
  </si>
  <si>
    <t>-605.258608393405 -147.058502875341 752.836732963476</t>
  </si>
  <si>
    <t>-471.274896678583 -189.801891672678 825.697331029514</t>
  </si>
  <si>
    <t>9763-20170724T104449.493424300.bin</t>
  </si>
  <si>
    <t>-645.551774711388 133.609457499378 -537.815310206995</t>
  </si>
  <si>
    <t>-657.191285243813 156.214760186941 -244.652107652991</t>
  </si>
  <si>
    <t>-428.042172029817 226.213437206731 -219.318958592832</t>
  </si>
  <si>
    <t>-631.566532753507 72.3685982001491 -101.133921956593</t>
  </si>
  <si>
    <t>-654.458740846721 85.6858778626513 301.548674954245</t>
  </si>
  <si>
    <t>-703.376359867205 107.174234523548 746.228494732083</t>
  </si>
  <si>
    <t>-558.381003775194 127.754391995007 806.561835745975</t>
  </si>
  <si>
    <t>-580.198420455022 -132.166966923287 305.847996582077</t>
  </si>
  <si>
    <t>-605.23566883345 -146.923831122219 752.837683736457</t>
  </si>
  <si>
    <t>-471.219553749245 -189.593302787031 825.682107503141</t>
  </si>
  <si>
    <t>9763-20170724T104449.554592200.bin</t>
  </si>
  <si>
    <t>-647.932229082687 132.886909002409 -537.345749487836</t>
  </si>
  <si>
    <t>-658.049845664307 154.74842164709 -244.069606741892</t>
  </si>
  <si>
    <t>-428.45668468164 223.749065291399 -220.052664283097</t>
  </si>
  <si>
    <t>-633.193475693707 70.9023001132311 -101.399145578372</t>
  </si>
  <si>
    <t>-655.387091522233 84.9982705661587 301.295990196592</t>
  </si>
  <si>
    <t>-703.455632633234 107.247537294151 746.024333070796</t>
  </si>
  <si>
    <t>-558.495220588149 127.93553143438 806.404611960733</t>
  </si>
  <si>
    <t>-580.80179930527 -132.85088468535 305.760112755202</t>
  </si>
  <si>
    <t>-605.184894650015 -146.995452934889 752.834328570536</t>
  </si>
  <si>
    <t>-471.004117144475 -189.191520821249 825.651321756573</t>
  </si>
  <si>
    <t>9763-20170724T104449.582666500.bin</t>
  </si>
  <si>
    <t>-648.925858254389 132.451925125866 -537.249949885817</t>
  </si>
  <si>
    <t>-658.286954349644 154.14017371272 -243.935776771999</t>
  </si>
  <si>
    <t>-428.344972708075 222.480292642055 -221.415404918796</t>
  </si>
  <si>
    <t>-633.817374173173 70.1790233544589 -101.50361764181</t>
  </si>
  <si>
    <t>-655.812892408212 84.7290354371617 301.18634097547</t>
  </si>
  <si>
    <t>-703.515576686209 107.330335033903 745.930762167058</t>
  </si>
  <si>
    <t>-558.59169211442 128.246401042845 806.320189607277</t>
  </si>
  <si>
    <t>-581.085393620852 -133.145823641353 305.707701275172</t>
  </si>
  <si>
    <t>-605.150013288866 -146.867487058301 752.82755744928</t>
  </si>
  <si>
    <t>-471.01792616862 -189.211489949488 825.648322790024</t>
  </si>
  <si>
    <t>9763-20170724T104449.650853100.bin</t>
  </si>
  <si>
    <t>-650.854596660979 131.604923793102 -537.073052109214</t>
  </si>
  <si>
    <t>-659.090319535545 152.090420233467 -243.638717557291</t>
  </si>
  <si>
    <t>-428.617295884588 219.200359801921 -222.919549909402</t>
  </si>
  <si>
    <t>-634.455145352857 68.8474066328408 -101.623726961355</t>
  </si>
  <si>
    <t>-656.352200724015 84.027032764046 301.048276118912</t>
  </si>
  <si>
    <t>-703.612321998196 107.279681918966 745.777185186919</t>
  </si>
  <si>
    <t>-558.698925070297 128.301903344312 806.154918563594</t>
  </si>
  <si>
    <t>-581.291386811503 -134.050470669044 305.655549876133</t>
  </si>
  <si>
    <t>-605.117093703262 -147.171727806042 752.849000081825</t>
  </si>
  <si>
    <t>-470.774398208472 -188.928434257085 825.620738643469</t>
  </si>
  <si>
    <t>9763-20170724T104449.684943500.bin</t>
  </si>
  <si>
    <t>-651.599949183138 131.211927846316 -536.920242014171</t>
  </si>
  <si>
    <t>-659.565491394576 151.411685110875 -243.458560517802</t>
  </si>
  <si>
    <t>-428.878844157252 217.8937801216 -223.09599673347</t>
  </si>
  <si>
    <t>-634.572351713054 68.1879285038572 -101.641774866628</t>
  </si>
  <si>
    <t>-656.397516345764 83.6216886243801 301.024505639811</t>
  </si>
  <si>
    <t>-703.660472762064 107.254630851412 745.716426131506</t>
  </si>
  <si>
    <t>-558.764405446023 128.439468495251 806.078844382378</t>
  </si>
  <si>
    <t>-581.247284602328 -134.350578733718 305.655287168447</t>
  </si>
  <si>
    <t>-605.077553027071 -147.013505493154 752.846863859925</t>
  </si>
  <si>
    <t>-470.817976487756 -189.034509783453 825.619765123571</t>
  </si>
  <si>
    <t>9763-20170724T104449.753702100.bin</t>
  </si>
  <si>
    <t>-652.681003265876 130.396180554507 -536.522522946956</t>
  </si>
  <si>
    <t>-659.924242885675 150.17037600647 -243.013257018734</t>
  </si>
  <si>
    <t>-428.933637485446 215.819029860432 -223.405089116203</t>
  </si>
  <si>
    <t>-634.376098290452 66.8048839529245 -101.677914755859</t>
  </si>
  <si>
    <t>-656.079947077793 82.6737127944671 300.97796529874</t>
  </si>
  <si>
    <t>-703.754002378046 107.092666230495 745.582689326244</t>
  </si>
  <si>
    <t>-558.856416022278 128.442995168634 805.883104439177</t>
  </si>
  <si>
    <t>-580.890727432345 -134.978581033854 305.669155403363</t>
  </si>
  <si>
    <t>-605.00084887391 -146.849248645667 752.840265390325</t>
  </si>
  <si>
    <t>-470.794325384408 -189.026254668715 825.620756977092</t>
  </si>
  <si>
    <t>9763-20170724T104449.788791700.bin</t>
  </si>
  <si>
    <t>-653.346383135238 129.942598205753 -536.334984805009</t>
  </si>
  <si>
    <t>-659.900522903828 149.557577306759 -242.79874898429</t>
  </si>
  <si>
    <t>-428.827697399606 215.033348291731 -223.585344920957</t>
  </si>
  <si>
    <t>-634.252205036493 66.0673555668102 -101.692401954791</t>
  </si>
  <si>
    <t>-655.881056669661 82.2040377895364 300.956823334841</t>
  </si>
  <si>
    <t>-703.795749265233 106.995335771979 745.512932878001</t>
  </si>
  <si>
    <t>-558.910399974901 128.513918043625 805.783093747053</t>
  </si>
  <si>
    <t>-580.627774180054 -135.332081053526 305.684663702833</t>
  </si>
  <si>
    <t>-604.970113019057 -146.867173806696 752.847188955301</t>
  </si>
  <si>
    <t>-470.756711114781 -189.032237515766 825.621997955478</t>
  </si>
  <si>
    <t>9763-20170724T104449.851969100.bin</t>
  </si>
  <si>
    <t>-654.557008709584 128.733428357401 -536.04995791868</t>
  </si>
  <si>
    <t>-659.733240823405 148.591560264941 -242.502560765649</t>
  </si>
  <si>
    <t>-428.136182825294 212.658211505074 -224.920810071991</t>
  </si>
  <si>
    <t>-634.046387786376 64.7293403060833 -101.722888785007</t>
  </si>
  <si>
    <t>-655.334182802776 81.3086192426583 300.926584436058</t>
  </si>
  <si>
    <t>-703.88643208924 106.862082360502 745.381740404005</t>
  </si>
  <si>
    <t>-559.049587834957 128.866414440575 805.593025833565</t>
  </si>
  <si>
    <t>-580.081756367955 -135.906784617085 305.685540055267</t>
  </si>
  <si>
    <t>-604.888890373567 -146.674001479822 752.833037289253</t>
  </si>
  <si>
    <t>-470.705219935641 -188.920454188029 825.615387041321</t>
  </si>
  <si>
    <t>9763-20170724T104449.885057300.bin</t>
  </si>
  <si>
    <t>-655.135021101512 128.029844614788 -535.943674526894</t>
  </si>
  <si>
    <t>-659.721498490435 147.996361939174 -242.393872750075</t>
  </si>
  <si>
    <t>-427.783481925332 211.101604121437 -225.859632162871</t>
  </si>
  <si>
    <t>-633.97379144952 64.0714433565804 -101.741315137515</t>
  </si>
  <si>
    <t>-655.061733371662 80.8259985002248 300.911435399765</t>
  </si>
  <si>
    <t>-703.925637204171 106.763363534642 745.312081759497</t>
  </si>
  <si>
    <t>-559.060458186189 128.639007393937 805.502052246813</t>
  </si>
  <si>
    <t>-579.806797632603 -136.293728926506 305.696130421903</t>
  </si>
  <si>
    <t>-604.853941756824 -146.76298327559 752.826955286993</t>
  </si>
  <si>
    <t>-470.518913971202 -188.545271059585 825.598057100637</t>
  </si>
  <si>
    <t>9763-20170724T104449.950914900.bin</t>
  </si>
  <si>
    <t>-656.171645415684 126.890761923942 -535.812445143163</t>
  </si>
  <si>
    <t>-659.608455204241 146.994286278735 -242.256188152825</t>
  </si>
  <si>
    <t>-426.979831453239 208.067590847859 -227.944363973523</t>
  </si>
  <si>
    <t>-633.870490215476 63.0196040421022 -101.822673370657</t>
  </si>
  <si>
    <t>-654.659160652007 80.17218759669 300.828841206538</t>
  </si>
  <si>
    <t>-704.024367242429 106.657648736927 745.14803619011</t>
  </si>
  <si>
    <t>-559.185555045533 128.848312067352 805.286141376834</t>
  </si>
  <si>
    <t>-579.34505115978 -136.791717891861 305.705653883075</t>
  </si>
  <si>
    <t>-604.789326611477 -146.755661697107 752.826046002202</t>
  </si>
  <si>
    <t>-470.461782711106 -188.565022637221 825.595599886538</t>
  </si>
  <si>
    <t>9763-20170724T104449.987014100.bin</t>
  </si>
  <si>
    <t>-656.698222674138 126.32701846405 -535.818892252282</t>
  </si>
  <si>
    <t>-659.628077074473 146.264574068999 -242.245874768109</t>
  </si>
  <si>
    <t>-426.710463191835 206.48986412597 -229.086122623193</t>
  </si>
  <si>
    <t>-633.927862434895 62.6428951448247 -101.896999158714</t>
  </si>
  <si>
    <t>-654.548186127549 79.9144382759034 300.758130287661</t>
  </si>
  <si>
    <t>-704.076778646736 106.632621039 745.055803430334</t>
  </si>
  <si>
    <t>-559.269072864187 129.101242365469 805.165514833871</t>
  </si>
  <si>
    <t>-579.160857189523 -136.908728832825 305.710687956082</t>
  </si>
  <si>
    <t>-604.74579639848 -146.617138771102 752.810803717699</t>
  </si>
  <si>
    <t>-470.523187711624 -188.727537008556 825.60026387181</t>
  </si>
  <si>
    <t>9763-20170724T104450.050188700.bin</t>
  </si>
  <si>
    <t>-658.00161824009 124.96156978088 -535.893352117988</t>
  </si>
  <si>
    <t>-659.714459111594 145.171519675948 -242.32931224855</t>
  </si>
  <si>
    <t>-426.133294844283 203.292887143571 -231.716230549008</t>
  </si>
  <si>
    <t>-634.239798690921 61.7627400716719 -102.020454872833</t>
  </si>
  <si>
    <t>-654.589211108205 79.3609284713543 300.634339492188</t>
  </si>
  <si>
    <t>-704.147314646882 106.561751224445 744.899627814219</t>
  </si>
  <si>
    <t>-559.316844701154 128.879762910052 805.010716139672</t>
  </si>
  <si>
    <t>-578.939314428429 -137.292835025069 305.665650379893</t>
  </si>
  <si>
    <t>-604.669194868158 -146.495878628934 752.779485890255</t>
  </si>
  <si>
    <t>-470.401979983028 -188.447121693612 825.578560892005</t>
  </si>
  <si>
    <t>9763-20170724T104450.084284600.bin</t>
  </si>
  <si>
    <t>-658.800736222839 124.34991393547 -535.943232584787</t>
  </si>
  <si>
    <t>-659.74021924492 144.862783689589 -242.396871879655</t>
  </si>
  <si>
    <t>-425.838181093129 201.924788056064 -233.197316484747</t>
  </si>
  <si>
    <t>-634.522897945244 61.3454097208753 -102.070751075569</t>
  </si>
  <si>
    <t>-654.663477187629 79.1774976006407 300.584292793734</t>
  </si>
  <si>
    <t>-704.194926074018 106.575173952424 744.834512519297</t>
  </si>
  <si>
    <t>-559.370494061429 128.938067360652 804.943505806092</t>
  </si>
  <si>
    <t>-578.885287809162 -137.453224037397 305.631451292014</t>
  </si>
  <si>
    <t>-604.636567389568 -146.375234536618 752.766405028864</t>
  </si>
  <si>
    <t>-470.411206253911 -188.456319626337 825.567737338519</t>
  </si>
  <si>
    <t>9763-20170724T104450.154562700.bin</t>
  </si>
  <si>
    <t>-660.482227992174 123.139519133261 -535.881930720779</t>
  </si>
  <si>
    <t>-659.520338578396 144.198652729796 -242.374169138373</t>
  </si>
  <si>
    <t>-425.081868221345 199.451318236001 -236.322354938818</t>
  </si>
  <si>
    <t>-635.038559317959 60.3395807544296 -102.180171445372</t>
  </si>
  <si>
    <t>-654.789719956968 78.6830016156332 300.471202648428</t>
  </si>
  <si>
    <t>-704.285436025132 106.494983072399 744.696024118076</t>
  </si>
  <si>
    <t>-559.477146019004 129.00385013404 804.789272885403</t>
  </si>
  <si>
    <t>-578.813605258963 -138.157864326639 305.630692434024</t>
  </si>
  <si>
    <t>-604.5973043437 -146.77675161273 752.768206670823</t>
  </si>
  <si>
    <t>-470.108219386711 -188.071597312781 825.53296102156</t>
  </si>
  <si>
    <t>9763-20170724T104450.183639500.bin</t>
  </si>
  <si>
    <t>-661.288656605829 122.763798222817 -535.772370863919</t>
  </si>
  <si>
    <t>-659.350028310872 143.948730949944 -242.278473392857</t>
  </si>
  <si>
    <t>-424.697946076836 198.468856829185 -238.177858919728</t>
  </si>
  <si>
    <t>-635.284046394223 59.8662198963139 -102.22577119848</t>
  </si>
  <si>
    <t>-654.829542641898 78.4322295011261 300.425383976685</t>
  </si>
  <si>
    <t>-704.329064010053 106.471361458902 744.627443443313</t>
  </si>
  <si>
    <t>-559.518597958744 128.985503437783 804.713496348665</t>
  </si>
  <si>
    <t>-578.857191791277 -138.374312202341 305.63346744765</t>
  </si>
  <si>
    <t>-604.570193537024 -146.730571846359 752.771905061759</t>
  </si>
  <si>
    <t>-470.120216535501 -188.15998674383 825.532645755657</t>
  </si>
  <si>
    <t>9763-20170724T104450.251480200.bin</t>
  </si>
  <si>
    <t>-663.340967664329 121.846475154904 -535.54508668301</t>
  </si>
  <si>
    <t>-659.245505558923 143.25573832905 -242.089756053361</t>
  </si>
  <si>
    <t>-424.313788517792 196.715335767616 -242.140377843139</t>
  </si>
  <si>
    <t>-636.079903552361 58.8839717698656 -102.323960504038</t>
  </si>
  <si>
    <t>-654.996632671985 77.8447540326333 300.338838847075</t>
  </si>
  <si>
    <t>-704.394906398052 106.392286490352 744.512845720711</t>
  </si>
  <si>
    <t>-559.608714962356 129.052425156024 804.602387251949</t>
  </si>
  <si>
    <t>-579.040006499327 -138.833733213048 305.608368612624</t>
  </si>
  <si>
    <t>-604.528550456207 -146.822557037468 752.789846690984</t>
  </si>
  <si>
    <t>-470.00736877777 -188.073679447142 825.520036022633</t>
  </si>
  <si>
    <t>9763-20170724T104450.283563500.bin</t>
  </si>
  <si>
    <t>-664.614729950898 121.167275799642 -535.451252964595</t>
  </si>
  <si>
    <t>-659.188215939268 142.78894404103 -242.033078307387</t>
  </si>
  <si>
    <t>-424.165737204058 195.811993391897 -243.991892824585</t>
  </si>
  <si>
    <t>-636.486492661419 58.2401683442226 -102.360686432116</t>
  </si>
  <si>
    <t>-655.174115908701 77.5485119190757 300.296313504449</t>
  </si>
  <si>
    <t>-704.429751867968 106.390881396514 744.464973147051</t>
  </si>
  <si>
    <t>-559.628261032825 128.895075916442 804.576266920406</t>
  </si>
  <si>
    <t>-579.131844436804 -139.106447657117 305.605894922293</t>
  </si>
  <si>
    <t>-604.508888323738 -146.855502779175 752.795897348124</t>
  </si>
  <si>
    <t>-469.936578845554 -187.976194996632 825.505467325072</t>
  </si>
  <si>
    <t>9763-20170724T104450.349718400.bin</t>
  </si>
  <si>
    <t>-667.486247388909 120.071414080919 -535.077478862435</t>
  </si>
  <si>
    <t>-658.908017295813 142.576785761821 -241.801024986004</t>
  </si>
  <si>
    <t>-423.79340295959 194.928474565031 -247.395121144105</t>
  </si>
  <si>
    <t>-637.376683135958 57.1279416463638 -102.442631941189</t>
  </si>
  <si>
    <t>-655.777439836677 77.021782957368 300.199031190177</t>
  </si>
  <si>
    <t>-704.526238920482 106.453901088472 744.378606670016</t>
  </si>
  <si>
    <t>-559.797148252718 129.364831142414 804.510854637849</t>
  </si>
  <si>
    <t>-579.266292684842 -139.615804850721 305.605188961515</t>
  </si>
  <si>
    <t>-604.455236355434 -146.607425165865 752.810279827411</t>
  </si>
  <si>
    <t>-469.871210927197 -187.740476731187 825.491052475589</t>
  </si>
  <si>
    <t>9763-20170724T104450.385817900.bin</t>
  </si>
  <si>
    <t>-668.961173279761 119.560463468432 -534.755054711489</t>
  </si>
  <si>
    <t>-658.640277202982 142.5086090427 -241.568874529499</t>
  </si>
  <si>
    <t>-423.561075996631 194.765532310973 -249.177119488</t>
  </si>
  <si>
    <t>-637.915239223579 56.5138472730757 -102.493432509734</t>
  </si>
  <si>
    <t>-656.095091750414 76.69876864561 300.143791173849</t>
  </si>
  <si>
    <t>-704.571217654992 106.493083018836 744.33453406224</t>
  </si>
  <si>
    <t>-559.852673668568 129.414151212589 804.488227493298</t>
  </si>
  <si>
    <t>-579.380235737531 -140.122695120663 305.606088807918</t>
  </si>
  <si>
    <t>-604.454576834689 -147.167845432733 752.83647671916</t>
  </si>
  <si>
    <t>-469.575193305643 -187.403098460846 825.472272284272</t>
  </si>
  <si>
    <t>9763-20170724T104450.451952700.bin</t>
  </si>
  <si>
    <t>-672.24414276875 119.276709456599 -533.690662733491</t>
  </si>
  <si>
    <t>-657.935043399251 142.589391126865 -240.701000951515</t>
  </si>
  <si>
    <t>-423.100703120135 195.211300270397 -252.304312964586</t>
  </si>
  <si>
    <t>-639.018022448593 55.1871865945946 -102.649646588845</t>
  </si>
  <si>
    <t>-656.658013044841 76.1209685056745 299.973401699673</t>
  </si>
  <si>
    <t>-704.680427541251 106.594563183823 744.199304781233</t>
  </si>
  <si>
    <t>-560.048798185149 129.977967894613 804.383919086108</t>
  </si>
  <si>
    <t>-579.437823674132 -140.69245900464 305.640093078652</t>
  </si>
  <si>
    <t>-604.382031527475 -147.03677948866 752.864464197156</t>
  </si>
  <si>
    <t>-469.473244039186 -187.202202920933 825.484442781982</t>
  </si>
  <si>
    <t>9763-20170724T104450.486015900.bin</t>
  </si>
  <si>
    <t>-674.079762718204 118.986031361066 -533.039187203451</t>
  </si>
  <si>
    <t>-657.582680302853 142.272308348233 -240.162477449804</t>
  </si>
  <si>
    <t>-422.910254474141 195.091074913702 -253.943183196347</t>
  </si>
  <si>
    <t>-639.53523233947 54.3153128081933 -102.722085389885</t>
  </si>
  <si>
    <t>-656.766445212724 75.6536925398716 299.897328500376</t>
  </si>
  <si>
    <t>-704.72852080004 106.577007361061 744.111160160472</t>
  </si>
  <si>
    <t>-560.100082259727 129.964412390951 804.301950815948</t>
  </si>
  <si>
    <t>-579.327591243368 -141.131008746437 305.644870171612</t>
  </si>
  <si>
    <t>-604.351946422625 -147.154200628154 752.882239372058</t>
  </si>
  <si>
    <t>-469.377296195853 -187.125587382019 825.486762549522</t>
  </si>
  <si>
    <t>9763-20170724T104450.549204900.bin</t>
  </si>
  <si>
    <t>-677.893480098955 117.205384476584 -531.875355358685</t>
  </si>
  <si>
    <t>-656.998959258554 140.206449324467 -239.256891747119</t>
  </si>
  <si>
    <t>-422.824820983331 193.773938910399 -257.800841285858</t>
  </si>
  <si>
    <t>-640.553979312057 52.0107720483109 -102.824985685857</t>
  </si>
  <si>
    <t>-656.971809009122 74.4397270158438 299.769134343206</t>
  </si>
  <si>
    <t>-704.861294274004 106.572313606059 743.898210263502</t>
  </si>
  <si>
    <t>-560.340715417173 130.694948153384 804.057803683981</t>
  </si>
  <si>
    <t>-579.030692990477 -142.19793269633 305.687971449094</t>
  </si>
  <si>
    <t>-604.297392743207 -147.211961064262 752.932845460692</t>
  </si>
  <si>
    <t>-469.249579633749 -187.014197112234 825.494372090399</t>
  </si>
  <si>
    <t>9763-20170724T104450.586285400.bin</t>
  </si>
  <si>
    <t>-679.85109839157 115.639031570627 -531.432715003148</t>
  </si>
  <si>
    <t>-656.803454561164 138.561732153429 -238.969923903861</t>
  </si>
  <si>
    <t>-422.943173840736 192.487192374296 -260.237018266146</t>
  </si>
  <si>
    <t>-641.063675112413 50.6780488350514 -102.879350188994</t>
  </si>
  <si>
    <t>-657.155751818642 73.6547127705919 299.69710294536</t>
  </si>
  <si>
    <t>-704.930564534937 106.543840772286 743.777800671191</t>
  </si>
  <si>
    <t>-560.459856964398 131.013990095932 803.917121552032</t>
  </si>
  <si>
    <t>-578.860722835741 -142.917825020167 305.724348115623</t>
  </si>
  <si>
    <t>-604.272884459099 -147.379273235247 752.965923924237</t>
  </si>
  <si>
    <t>-469.011240766081 -186.535845532851 825.480391380006</t>
  </si>
  <si>
    <t>9763-20170724T104450.650466700.bin</t>
  </si>
  <si>
    <t>-683.270051587817 112.419013382093 -530.899008906951</t>
  </si>
  <si>
    <t>-656.35145364551 135.977985102446 -238.817567171837</t>
  </si>
  <si>
    <t>-423.120099128423 190.711741144201 -264.473486249486</t>
  </si>
  <si>
    <t>-641.848002034019 48.0133731626299 -102.957885779305</t>
  </si>
  <si>
    <t>-657.598707852659 72.1599928913568 299.563599339402</t>
  </si>
  <si>
    <t>-705.064342031989 106.472169849802 743.552363175966</t>
  </si>
  <si>
    <t>-560.644227607428 131.295755859035 803.668382735014</t>
  </si>
  <si>
    <t>-578.803181541032 -144.068680296907 305.785620571219</t>
  </si>
  <si>
    <t>-604.219201397813 -147.175040060953 753.029064490183</t>
  </si>
  <si>
    <t>-469.051181579161 -186.746002782351 825.493225015669</t>
  </si>
  <si>
    <t>9763-20170724T104450.684557000.bin</t>
  </si>
  <si>
    <t>-684.553780474623 110.70935458038 -530.760977424105</t>
  </si>
  <si>
    <t>-655.944830982447 134.746580958071 -238.879299318849</t>
  </si>
  <si>
    <t>-423.014338359903 189.843404233736 -266.421634257612</t>
  </si>
  <si>
    <t>-642.159185804214 46.7009480035665 -103.009785631402</t>
  </si>
  <si>
    <t>-657.826735372753 71.3930217104341 299.48185486706</t>
  </si>
  <si>
    <t>-705.113429737692 106.381797574962 743.442908129622</t>
  </si>
  <si>
    <t>-560.659553164472 130.994822839553 803.564197837281</t>
  </si>
  <si>
    <t>-578.892933802735 -144.912061820008 305.815760053007</t>
  </si>
  <si>
    <t>-604.207278156847 -147.545618652945 753.077892105199</t>
  </si>
  <si>
    <t>-468.7285141601 -186.176047292742 825.46914361133</t>
  </si>
  <si>
    <t>9763-20170724T104450.751741900.bin</t>
  </si>
  <si>
    <t>-686.55394134117 108.385926354461 -530.388660522533</t>
  </si>
  <si>
    <t>-655.120712457506 133.363308595375 -238.876526592969</t>
  </si>
  <si>
    <t>-422.724154519323 189.08048783806 -269.508364827029</t>
  </si>
  <si>
    <t>-642.800158432172 44.5392059211263 -103.137497377599</t>
  </si>
  <si>
    <t>-658.096982719564 70.1012315371997 299.314025827987</t>
  </si>
  <si>
    <t>-705.223252643342 106.235229014811 743.219393649557</t>
  </si>
  <si>
    <t>-560.833460793489 131.240556247808 803.332826409531</t>
  </si>
  <si>
    <t>-579.358882132372 -146.248245872416 305.862950108487</t>
  </si>
  <si>
    <t>-604.156995187378 -147.787717380074 753.147916175147</t>
  </si>
  <si>
    <t>-468.374697447292 -185.503711402684 825.452598654604</t>
  </si>
  <si>
    <t>9763-20170724T104450.784831500.bin</t>
  </si>
  <si>
    <t>-687.314923676186 107.712870473403 -530.160412496434</t>
  </si>
  <si>
    <t>-654.593350942299 132.807272168277 -238.800129364776</t>
  </si>
  <si>
    <t>-422.460292082559 188.893421521396 -270.728598483491</t>
  </si>
  <si>
    <t>-642.965966259105 43.6739809466389 -103.219261730654</t>
  </si>
  <si>
    <t>-658.122624726717 69.633840041789 299.212092497651</t>
  </si>
  <si>
    <t>-705.285231367579 106.159476767471 743.089184979978</t>
  </si>
  <si>
    <t>-560.888210934896 131.119155625009 803.204246983345</t>
  </si>
  <si>
    <t>-579.589907478798 -146.643231101318 305.887751675323</t>
  </si>
  <si>
    <t>-604.111325674136 -147.749002090227 753.169712203044</t>
  </si>
  <si>
    <t>-468.376962818979 -185.63827768869 825.473671504071</t>
  </si>
  <si>
    <t>9763-20170724T104450.848013400.bin</t>
  </si>
  <si>
    <t>-688.556969947345 106.504567609573 -529.864167821865</t>
  </si>
  <si>
    <t>-653.869965828407 131.196224213418 -238.697006933097</t>
  </si>
  <si>
    <t>-422.221640501568 187.931583044758 -272.916994162971</t>
  </si>
  <si>
    <t>-643.397965361203 42.2215849735635 -103.376051846393</t>
  </si>
  <si>
    <t>-658.024600748075 68.8044005844392 299.03428115838</t>
  </si>
  <si>
    <t>-705.382520917677 105.981595051969 742.83410005782</t>
  </si>
  <si>
    <t>-560.973906366721 130.854666211045 802.957083367316</t>
  </si>
  <si>
    <t>-579.918123082863 -147.438008758223 305.901150713329</t>
  </si>
  <si>
    <t>-604.029438969287 -147.885031306716 753.219380113709</t>
  </si>
  <si>
    <t>-468.162568919173 -185.359172824797 825.490931222683</t>
  </si>
  <si>
    <t>9763-20170724T104450.899669400.bin</t>
  </si>
  <si>
    <t>-689.050015064817 105.889103811368 -529.765203860512</t>
  </si>
  <si>
    <t>-653.53018787915 130.492190770312 -238.690959519951</t>
  </si>
  <si>
    <t>-422.095339230987 187.390168804309 -274.066101169297</t>
  </si>
  <si>
    <t>-643.709757669264 41.5996711994842 -103.467818490047</t>
  </si>
  <si>
    <t>-657.979097531431 68.4204991972351 298.939553050973</t>
  </si>
  <si>
    <t>-705.439203415066 105.900357367771 742.708246394609</t>
  </si>
  <si>
    <t>-561.019046486283 130.71100037524 802.829280592151</t>
  </si>
  <si>
    <t>-580.064392983636 -147.726794589595 305.904025877766</t>
  </si>
  <si>
    <t>-603.984453080226 -147.87373521538 753.233316711156</t>
  </si>
  <si>
    <t>-468.080388182776 -185.232745509793 825.494505293676</t>
  </si>
  <si>
    <t>9763-20170724T104450.952151200.bin</t>
  </si>
  <si>
    <t>-689.9096906737 104.687820604854 -529.684090442537</t>
  </si>
  <si>
    <t>-652.88870477271 129.712262565678 -238.83288819562</t>
  </si>
  <si>
    <t>-421.953578004198 186.880652031224 -276.932683630951</t>
  </si>
  <si>
    <t>-644.234671928391 40.4705696705664 -103.619968482657</t>
  </si>
  <si>
    <t>-658.129422077829 67.824755021328 298.764592426171</t>
  </si>
  <si>
    <t>-705.576167037402 105.863890183423 742.476776494432</t>
  </si>
  <si>
    <t>-561.217880885173 131.053941936568 802.588824233805</t>
  </si>
  <si>
    <t>-580.289607745067 -148.031991905377 305.885318527242</t>
  </si>
  <si>
    <t>-603.878223609782 -147.709539944529 753.229170220016</t>
  </si>
  <si>
    <t>-467.951157689874 -184.970416389402 825.497823550204</t>
  </si>
  <si>
    <t>9763-20170724T104450.986240500.bin</t>
  </si>
  <si>
    <t>-690.421861597086 104.317280050247 -529.626480736932</t>
  </si>
  <si>
    <t>-652.467091084028 129.338398739903 -238.895430002206</t>
  </si>
  <si>
    <t>-422.006433221004 187.084697937902 -278.946797644633</t>
  </si>
  <si>
    <t>-644.414848752942 40.0017535754509 -103.669549640655</t>
  </si>
  <si>
    <t>-658.260327306337 67.5825704703009 298.701281418834</t>
  </si>
  <si>
    <t>-705.619711401105 105.782086506314 742.386841736822</t>
  </si>
  <si>
    <t>-561.19382175087 130.553600954525 802.510265006354</t>
  </si>
  <si>
    <t>-580.345966524887 -148.113287611179 305.864591856244</t>
  </si>
  <si>
    <t>-603.828785695916 -147.621096668182 753.220503303306</t>
  </si>
  <si>
    <t>-467.99475397543 -185.185852936759 825.506832182111</t>
  </si>
  <si>
    <t>9763-20170724T104451.051125200.bin</t>
  </si>
  <si>
    <t>-691.760544173564 103.777570987323 -529.336583417984</t>
  </si>
  <si>
    <t>-651.859209967749 128.878673069644 -238.873192131395</t>
  </si>
  <si>
    <t>-422.333497920645 187.83873606503 -282.376559914687</t>
  </si>
  <si>
    <t>-644.965341341752 39.3111295877679 -103.785875404674</t>
  </si>
  <si>
    <t>-658.724224834222 67.1559464220045 298.569620291861</t>
  </si>
  <si>
    <t>-705.719660166959 105.752754788277 742.262943301338</t>
  </si>
  <si>
    <t>-561.321414494303 130.615758926397 802.415105983739</t>
  </si>
  <si>
    <t>-580.554397277352 -148.064763432077 305.801230372359</t>
  </si>
  <si>
    <t>-603.730071890627 -147.31127368655 753.1834812212</t>
  </si>
  <si>
    <t>-467.990126059234 -185.166018575772 825.495188057331</t>
  </si>
  <si>
    <t>9763-20170724T104451.085217300.bin</t>
  </si>
  <si>
    <t>-692.429088047183 103.499028719444 -529.111299695066</t>
  </si>
  <si>
    <t>-651.740855471401 128.529873515229 -238.750907945618</t>
  </si>
  <si>
    <t>-422.587489853514 188.022340773801 -283.474974143605</t>
  </si>
  <si>
    <t>-645.31545503444 38.97252359143 -103.829520552912</t>
  </si>
  <si>
    <t>-659.01485893861 66.9406426875626 298.519542706233</t>
  </si>
  <si>
    <t>-705.767226893151 105.757987349678 742.226800047428</t>
  </si>
  <si>
    <t>-561.396219861517 130.728638055858 802.399683958871</t>
  </si>
  <si>
    <t>-580.559914075597 -148.294106954389 305.770978482637</t>
  </si>
  <si>
    <t>-603.685389197305 -147.585178706218 753.169278991085</t>
  </si>
  <si>
    <t>-467.773066863191 -184.83777567428 825.469808208116</t>
  </si>
  <si>
    <t>9763-20170724T104451.153430800.bin</t>
  </si>
  <si>
    <t>-693.68121498362 103.069854119507 -528.547208199846</t>
  </si>
  <si>
    <t>-651.61775072367 128.129437037351 -238.385366117105</t>
  </si>
  <si>
    <t>-423.018760638721 188.67957200676 -284.505203020969</t>
  </si>
  <si>
    <t>-645.973279759134 38.2477837273684 -103.866549243446</t>
  </si>
  <si>
    <t>-659.720184398277 66.6706395314839 298.449064084743</t>
  </si>
  <si>
    <t>-705.870826692684 105.783853523809 742.192576831673</t>
  </si>
  <si>
    <t>-561.553156791214 130.951085454896 802.411585046599</t>
  </si>
  <si>
    <t>-580.39973680895 -148.500196408894 305.700280604994</t>
  </si>
  <si>
    <t>-603.58324379509 -147.596061515842 753.115606268095</t>
  </si>
  <si>
    <t>-467.574176941892 -184.47497505375 825.425838980118</t>
  </si>
  <si>
    <t>9763-20170724T104451.186518600.bin</t>
  </si>
  <si>
    <t>-694.102725563163 102.848874374016 -528.258408603259</t>
  </si>
  <si>
    <t>-651.34036956306 127.931775455965 -238.200730169628</t>
  </si>
  <si>
    <t>-422.936185934808 188.900213394376 -284.733156452891</t>
  </si>
  <si>
    <t>-646.216465516315 37.9204491464691 -103.873091919015</t>
  </si>
  <si>
    <t>-659.969430875648 66.4860517662553 298.432223004302</t>
  </si>
  <si>
    <t>-705.918604222328 105.77397380883 742.18191045962</t>
  </si>
  <si>
    <t>-561.577862322049 130.762216498366 802.420201373861</t>
  </si>
  <si>
    <t>-580.243072091827 -148.585476481718 305.679049776928</t>
  </si>
  <si>
    <t>-603.538926181564 -147.560370708128 753.103434825659</t>
  </si>
  <si>
    <t>-467.459410679204 -184.18840178538 825.408706636701</t>
  </si>
  <si>
    <t>9763-20170724T104451.250630400.bin</t>
  </si>
  <si>
    <t>-694.617068762626 102.634789720107 -527.836654957202</t>
  </si>
  <si>
    <t>-650.819387758174 127.687128224065 -237.930968071904</t>
  </si>
  <si>
    <t>-422.58724754834 189.004050927881 -284.847706135515</t>
  </si>
  <si>
    <t>-646.656126429866 37.4812189232046 -103.875719069771</t>
  </si>
  <si>
    <t>-660.503639733577 66.1865034858688 298.416355174049</t>
  </si>
  <si>
    <t>-706.027625454121 105.737057521465 742.187201500327</t>
  </si>
  <si>
    <t>-561.73096662563 130.949550474495 802.437346439162</t>
  </si>
  <si>
    <t>-580.017682096526 -148.682316608373 305.65215647006</t>
  </si>
  <si>
    <t>-603.457134785269 -147.622533330504 753.076627222967</t>
  </si>
  <si>
    <t>-467.253116408373 -183.800532172864 825.37397336569</t>
  </si>
  <si>
    <t>9763-20170724T104451.283714000.bin</t>
  </si>
  <si>
    <t>-694.955236055233 102.841895695291 -527.587364866978</t>
  </si>
  <si>
    <t>-650.691085604965 127.796771728188 -237.744104226777</t>
  </si>
  <si>
    <t>-422.668624860725 189.464801589541 -285.217033694536</t>
  </si>
  <si>
    <t>-646.865745630276 37.3129368366774 -103.850846390542</t>
  </si>
  <si>
    <t>-660.736025819228 66.1390739629817 298.43180332793</t>
  </si>
  <si>
    <t>-706.07453285206 105.686448221965 742.208884307969</t>
  </si>
  <si>
    <t>-561.797402680914 131.005371817332 802.461336305938</t>
  </si>
  <si>
    <t>-579.899666361817 -148.572299978662 305.634289564045</t>
  </si>
  <si>
    <t>-603.413987515608 -147.373254482684 753.053158189191</t>
  </si>
  <si>
    <t>-467.325995311714 -183.94544415946 825.370727879762</t>
  </si>
  <si>
    <t>9763-20170724T104451.352906700.bin</t>
  </si>
  <si>
    <t>-695.648146209003 103.509676612357 -527.061040216796</t>
  </si>
  <si>
    <t>-650.521343652832 128.293573336222 -237.336117753937</t>
  </si>
  <si>
    <t>-422.788650404457 190.65886821183 -285.286707810258</t>
  </si>
  <si>
    <t>-647.306277573353 37.4313629387489 -103.829302748942</t>
  </si>
  <si>
    <t>-661.126972229473 66.192371855253 298.459679852837</t>
  </si>
  <si>
    <t>-706.170294403334 105.607483495325 742.266466965938</t>
  </si>
  <si>
    <t>-561.873389326711 130.799775308102 802.52455714169</t>
  </si>
  <si>
    <t>-579.680287226883 -148.357516167809 305.586253483069</t>
  </si>
  <si>
    <t>-603.311226400132 -147.249245273789 753.004799984115</t>
  </si>
  <si>
    <t>-467.307666580102 -184.067234789869 825.356478332358</t>
  </si>
  <si>
    <t>9763-20170724T104451.384992400.bin</t>
  </si>
  <si>
    <t>-695.659803557505 103.83546472461 -526.823368500991</t>
  </si>
  <si>
    <t>-650.268431355313 128.459725415469 -237.126275022901</t>
  </si>
  <si>
    <t>-422.715945651675 191.204585882746 -285.435625749465</t>
  </si>
  <si>
    <t>-647.446643455593 37.4598143061019 -103.816967530589</t>
  </si>
  <si>
    <t>-661.289771462357 66.2213446614974 298.471258954123</t>
  </si>
  <si>
    <t>-706.220129932495 105.574994105763 742.297500235921</t>
  </si>
  <si>
    <t>-561.913970113369 130.695136888615 802.563660491116</t>
  </si>
  <si>
    <t>-579.47082343913 -148.307131577523 305.566891267354</t>
  </si>
  <si>
    <t>-603.260222939386 -147.233964971867 752.987265217459</t>
  </si>
  <si>
    <t>-467.128272929756 -183.586995067026 825.332564193812</t>
  </si>
  <si>
    <t>9763-20170724T104451.452196700.bin</t>
  </si>
  <si>
    <t>-695.369718316108 104.19835212613 -526.459814472307</t>
  </si>
  <si>
    <t>-649.405761031557 128.936082668037 -236.862594897481</t>
  </si>
  <si>
    <t>-422.158722546015 192.284766038493 -285.817708637437</t>
  </si>
  <si>
    <t>-647.562499080472 37.4406213055158 -103.777201439938</t>
  </si>
  <si>
    <t>-661.55267331937 66.232800718956 298.503746692887</t>
  </si>
  <si>
    <t>-706.295702031882 105.466035574186 742.362356509349</t>
  </si>
  <si>
    <t>-562.002593452989 130.607134712648 802.650923458784</t>
  </si>
  <si>
    <t>-579.017954871086 -148.128338628829 305.545419284069</t>
  </si>
  <si>
    <t>-603.167518203608 -147.193902317264 752.951624399499</t>
  </si>
  <si>
    <t>-467.021392762994 -183.460491700071 825.313691192592</t>
  </si>
  <si>
    <t>9763-20170724T104451.484282000.bin</t>
  </si>
  <si>
    <t>-695.336186557201 104.439366415516 -526.271990897326</t>
  </si>
  <si>
    <t>-648.900511987212 129.376658502224 -236.767235466311</t>
  </si>
  <si>
    <t>-421.682076806919 192.669333326189 -285.92683514572</t>
  </si>
  <si>
    <t>-647.709718178656 37.489442963235 -103.746613591394</t>
  </si>
  <si>
    <t>-661.712201100228 66.2625808422542 298.535351664362</t>
  </si>
  <si>
    <t>-706.359200424877 105.517340506487 742.403245527695</t>
  </si>
  <si>
    <t>-562.098732980266 130.808072811216 802.707474610847</t>
  </si>
  <si>
    <t>-578.777884172763 -148.062765684018 305.533536030357</t>
  </si>
  <si>
    <t>-603.114676506321 -147.181990665276 752.932618553606</t>
  </si>
  <si>
    <t>-466.864648746122 -183.058325463004 825.293558792285</t>
  </si>
  <si>
    <t>9763-20170724T104451.521390800.bin</t>
  </si>
  <si>
    <t>-695.315298769182 104.756096004621 -526.05967148253</t>
  </si>
  <si>
    <t>-648.255549904358 130.113827108265 -236.692184576929</t>
  </si>
  <si>
    <t>-421.012050606369 193.199783215634 -286.001806221229</t>
  </si>
  <si>
    <t>-647.788218389891 37.5498430670389 -103.704842045027</t>
  </si>
  <si>
    <t>-661.784339562214 66.3304242592972 298.576719207732</t>
  </si>
  <si>
    <t>-706.410220541819 105.521255980826 742.448421567974</t>
  </si>
  <si>
    <t>-562.107955296515 130.52324886411 802.773022819114</t>
  </si>
  <si>
    <t>-578.525749374651 -147.930443376719 305.53084239445</t>
  </si>
  <si>
    <t>-603.06633965745 -147.168945235524 752.911642451599</t>
  </si>
  <si>
    <t>-466.857706327531 -183.16822721526 825.289580822294</t>
  </si>
  <si>
    <t>9763-20170724T104451.584557900.bin</t>
  </si>
  <si>
    <t>-695.271434070824 105.613126477298 -525.752359281224</t>
  </si>
  <si>
    <t>-647.255606349594 131.50811287852 -236.58949814866</t>
  </si>
  <si>
    <t>-420.106804742144 194.535714318696 -286.40718057873</t>
  </si>
  <si>
    <t>-648.009879504367 37.8436487382494 -103.661750057664</t>
  </si>
  <si>
    <t>-662.032126791451 66.5447188510909 298.624558955223</t>
  </si>
  <si>
    <t>-706.520541242241 105.46773369677 742.521111043147</t>
  </si>
  <si>
    <t>-562.267715439836 130.74237800427 802.850214666183</t>
  </si>
  <si>
    <t>-578.325174718117 -147.66446735054 305.503717557588</t>
  </si>
  <si>
    <t>-602.969165820844 -146.987418108011 752.87597344739</t>
  </si>
  <si>
    <t>-466.71901204697 -182.806688808645 825.264982881477</t>
  </si>
  <si>
    <t>9763-20170724T104451.728977600.bin</t>
  </si>
  <si>
    <t>-695.283007491628 106.025391884213 -525.60196186747</t>
  </si>
  <si>
    <t>-646.926252903702 132.063832859012 -236.509008404582</t>
  </si>
  <si>
    <t>-419.809848839198 195.101985493018 -286.460948723896</t>
  </si>
  <si>
    <t>-648.092792300928 37.9270105452283 -103.628082283491</t>
  </si>
  <si>
    <t>-662.186680341187 66.6873821817667 298.651523850271</t>
  </si>
  <si>
    <t>-706.578705992461 105.400973978838 742.567360986009</t>
  </si>
  <si>
    <t>-562.299510359313 130.511248403142 802.902136890384</t>
  </si>
  <si>
    <t>-578.229196681194 -147.476960594487 305.493770404127</t>
  </si>
  <si>
    <t>-602.925803275618 -146.765811759602 752.862007663195</t>
  </si>
  <si>
    <t>-466.770713794155 -182.912286146249 825.267299798488</t>
  </si>
  <si>
    <t>9763-20170724T104451.734993300.bin</t>
  </si>
  <si>
    <t>-695.252246556255 106.865080622183 -525.29462370629</t>
  </si>
  <si>
    <t>-646.545723768829 133.004731379708 -236.269389388678</t>
  </si>
  <si>
    <t>-419.466581687394 196.074285968234 -286.350795026049</t>
  </si>
  <si>
    <t>-648.272854189901 38.1905384435859 -103.573120069578</t>
  </si>
  <si>
    <t>-662.41977369106 66.821405280391 298.713883145505</t>
  </si>
  <si>
    <t>-706.690887476657 105.2871562952 742.664496392663</t>
  </si>
  <si>
    <t>-562.423509641103 130.45201424591 803.00475961036</t>
  </si>
  <si>
    <t>-578.167965218609 -147.178791851265 305.485268226593</t>
  </si>
  <si>
    <t>-602.83814887339 -146.581666900323 752.84817236157</t>
  </si>
  <si>
    <t>-466.695547735302 -182.759279306863 825.261432527253</t>
  </si>
  <si>
    <t>9763-20170724T104451.787132700.bin</t>
  </si>
  <si>
    <t>-695.678553552288 108.076156965172 -524.971950349463</t>
  </si>
  <si>
    <t>-646.474088356954 134.826601954133 -236.087034353969</t>
  </si>
  <si>
    <t>-419.301636478441 197.904847211975 -285.732793540174</t>
  </si>
  <si>
    <t>-648.397375338137 38.4804477003609 -103.467043994683</t>
  </si>
  <si>
    <t>-662.542730238945 66.930975579369 298.832737521332</t>
  </si>
  <si>
    <t>-706.815216316206 105.065166479526 742.812462175343</t>
  </si>
  <si>
    <t>-562.505061561657 129.948570206378 803.16725371266</t>
  </si>
  <si>
    <t>-578.073706740601 -146.878496063633 305.464380501361</t>
  </si>
  <si>
    <t>-602.720936937193 -146.344969646409 752.830982786631</t>
  </si>
  <si>
    <t>-466.63477600241 -182.718264073697 825.252225409041</t>
  </si>
  <si>
    <t>9763-20170724T104451.819232500.bin</t>
  </si>
  <si>
    <t>-695.937524896807 108.509251594239 -524.876217841828</t>
  </si>
  <si>
    <t>-646.634251002004 135.338589481757 -236.015374134378</t>
  </si>
  <si>
    <t>-419.483344858709 198.696677291188 -285.402567643216</t>
  </si>
  <si>
    <t>-648.378460686669 38.5838120338806 -103.426915050171</t>
  </si>
  <si>
    <t>-662.587339949739 67.0424169606695 298.870123920805</t>
  </si>
  <si>
    <t>-706.853701861324 104.990662986694 742.86162695675</t>
  </si>
  <si>
    <t>-562.540690793171 129.858250380219 803.216086256875</t>
  </si>
  <si>
    <t>-578.039332803171 -146.776468731275 305.469974446474</t>
  </si>
  <si>
    <t>-602.686050276516 -146.221805955188 752.832400304952</t>
  </si>
  <si>
    <t>-466.64023069265 -182.74795394824 825.25254898982</t>
  </si>
  <si>
    <t>9763-20170724T104451.894433400.bin</t>
  </si>
  <si>
    <t>-696.247975864708 108.842454248852 -524.808625932065</t>
  </si>
  <si>
    <t>-646.833453304028 135.656939267152 -235.965479951955</t>
  </si>
  <si>
    <t>-419.734556252675 199.358663092066 -285.149215635507</t>
  </si>
  <si>
    <t>-648.395903697906 38.6981038931194 -103.396900929262</t>
  </si>
  <si>
    <t>-662.590162583475 67.0926866764928 298.905099888382</t>
  </si>
  <si>
    <t>-706.908501365111 104.898118889414 742.885418705284</t>
  </si>
  <si>
    <t>-562.597822203691 129.786191244875 803.236832509962</t>
  </si>
  <si>
    <t>-578.068524612395 -146.758067128982 305.468590358399</t>
  </si>
  <si>
    <t>-602.652395471602 -146.252088089138 752.840623165988</t>
  </si>
  <si>
    <t>-466.563610327749 -182.649057102635 825.245069134179</t>
  </si>
  <si>
    <t>9763-20170724T104451.951316200.bin</t>
  </si>
  <si>
    <t>-697.401952301452 109.759994368239 -524.498444981342</t>
  </si>
  <si>
    <t>-647.638917337876 137.507484738929 -235.803148999434</t>
  </si>
  <si>
    <t>-420.474571413725 201.418471455823 -284.409765533536</t>
  </si>
  <si>
    <t>-648.564493662496 39.0195546185555 -103.288222260138</t>
  </si>
  <si>
    <t>-662.739145975201 67.2301877092907 299.027480747099</t>
  </si>
  <si>
    <t>-707.031770807458 104.721063903002 743.038687931455</t>
  </si>
  <si>
    <t>-562.726261885729 129.624890864024 803.395995395897</t>
  </si>
  <si>
    <t>-578.118186586863 -146.576401997233 305.482690733462</t>
  </si>
  <si>
    <t>-602.551741245081 -146.097145839295 752.855407819939</t>
  </si>
  <si>
    <t>-466.470629812289 -182.568433005204 825.23700551308</t>
  </si>
  <si>
    <t>9763-20170724T104451.987411900.bin</t>
  </si>
  <si>
    <t>-697.705093926037 109.970272519183 -524.393774714057</t>
  </si>
  <si>
    <t>-647.690840968674 138.126847046871 -235.781633029648</t>
  </si>
  <si>
    <t>-420.51495668402 202.154711889534 -284.17988822839</t>
  </si>
  <si>
    <t>-648.626010840489 39.1081181595973 -103.255245815998</t>
  </si>
  <si>
    <t>-662.762641871777 67.2996694666292 299.063198806038</t>
  </si>
  <si>
    <t>-707.066015213515 104.663864021298 743.089458449503</t>
  </si>
  <si>
    <t>-562.751571688944 129.479116157267 803.461933770065</t>
  </si>
  <si>
    <t>-578.111892699958 -146.503534879885 305.492910078185</t>
  </si>
  <si>
    <t>-602.521621861595 -146.097706511276 752.870061703843</t>
  </si>
  <si>
    <t>-466.355062628456 -182.294108750362 825.228777071459</t>
  </si>
  <si>
    <t>9763-20170724T104452.021230000.bin</t>
  </si>
  <si>
    <t>-697.915696746331 110.274769505375 -524.291094818146</t>
  </si>
  <si>
    <t>-647.546506850604 138.759327620908 -235.772915371357</t>
  </si>
  <si>
    <t>-420.460941135638 203.155915516403 -284.106273067823</t>
  </si>
  <si>
    <t>-648.69742039672 39.2154982676034 -103.229286297045</t>
  </si>
  <si>
    <t>-662.813914191784 67.4296107531675 299.088209364764</t>
  </si>
  <si>
    <t>-707.103215878177 104.633489425792 743.131430173886</t>
  </si>
  <si>
    <t>-562.779492736559 129.351310421849 803.521690574997</t>
  </si>
  <si>
    <t>-578.096399410166 -146.383747340039 305.505999973034</t>
  </si>
  <si>
    <t>-602.492085131085 -146.08004164872 752.880533950926</t>
  </si>
  <si>
    <t>-466.336526076653 -182.33767154148 825.229446729977</t>
  </si>
  <si>
    <t>9763-20170724T104452.084397800.bin</t>
  </si>
  <si>
    <t>-698.227821087984 110.962452673367 -524.236985334609</t>
  </si>
  <si>
    <t>-646.894489327043 140.555584775392 -236.000461668214</t>
  </si>
  <si>
    <t>-419.812732988712 205.10657558591 -284.145386789687</t>
  </si>
  <si>
    <t>-649.084938470148 39.5791421283791 -103.24215580027</t>
  </si>
  <si>
    <t>-662.996006458491 67.7647395615406 299.08449707822</t>
  </si>
  <si>
    <t>-707.215470990458 104.605918540569 743.136850434822</t>
  </si>
  <si>
    <t>-562.900835492065 129.311874383487 803.553719713183</t>
  </si>
  <si>
    <t>-578.203029879071 -146.013232445039 305.486507805224</t>
  </si>
  <si>
    <t>-602.40105918243 -146.031216721591 752.869204664618</t>
  </si>
  <si>
    <t>-466.259916300687 -182.314231789781 825.232468908182</t>
  </si>
  <si>
    <t>9763-20170724T104452.164428600.bin</t>
  </si>
  <si>
    <t>-698.223652257457 111.437768323553 -524.273415102069</t>
  </si>
  <si>
    <t>-646.562769763239 141.722914777278 -236.167373916967</t>
  </si>
  <si>
    <t>-419.360503980733 206.06596201459 -284.021131141993</t>
  </si>
  <si>
    <t>-649.332003828808 39.8540203146797 -103.232474603665</t>
  </si>
  <si>
    <t>-663.168508853685 68.0476807479786 299.096141089577</t>
  </si>
  <si>
    <t>-707.283276853018 104.607709915038 743.167628945765</t>
  </si>
  <si>
    <t>-562.984205653125 129.373623995813 803.596983930421</t>
  </si>
  <si>
    <t>-578.240931472316 -145.785983665443 305.473976217794</t>
  </si>
  <si>
    <t>-602.359563637982 -146.072437782647 752.868310461463</t>
  </si>
  <si>
    <t>-466.201325701578 -182.283990620213 825.235194869401</t>
  </si>
  <si>
    <t>9763-20170724T104452.186468900.bin</t>
  </si>
  <si>
    <t>-698.105146997276 112.644922957517 -524.384121589875</t>
  </si>
  <si>
    <t>-645.742703091376 144.484356843569 -236.572315945148</t>
  </si>
  <si>
    <t>-418.252572517364 208.450469500125 -283.555778411415</t>
  </si>
  <si>
    <t>-649.849773187735 40.7747605478974 -103.203321031588</t>
  </si>
  <si>
    <t>-663.596276545233 68.6672744752452 299.149416960012</t>
  </si>
  <si>
    <t>-707.387394268342 104.600154050514 743.300352644427</t>
  </si>
  <si>
    <t>-563.060463309849 129.125264071132 803.761614734748</t>
  </si>
  <si>
    <t>-578.298757126236 -145.062901024655 305.43390851457</t>
  </si>
  <si>
    <t>-602.262437548079 -145.708521297282 752.846762135031</t>
  </si>
  <si>
    <t>-466.241878440281 -182.367568598041 825.247241159198</t>
  </si>
  <si>
    <t>9763-20170724T104452.250647700.bin</t>
  </si>
  <si>
    <t>-697.945968618809 113.901157212108 -524.39701452649</t>
  </si>
  <si>
    <t>-644.383889569994 146.787900093005 -236.923814223835</t>
  </si>
  <si>
    <t>-416.696179333228 210.450690768826 -283.358793356531</t>
  </si>
  <si>
    <t>-650.221205043334 41.7205282257721 -103.114402728679</t>
  </si>
  <si>
    <t>-663.926530823382 69.296905974345 299.261536088641</t>
  </si>
  <si>
    <t>-707.484934441975 104.624769193085 743.469234770278</t>
  </si>
  <si>
    <t>-563.161878449615 129.099759309735 803.959862011525</t>
  </si>
  <si>
    <t>-578.235858540838 -144.455069064025 305.404837318198</t>
  </si>
  <si>
    <t>-602.156089873298 -145.76078389458 752.821466415893</t>
  </si>
  <si>
    <t>-466.018445379337 -181.947403399337 825.239565910895</t>
  </si>
  <si>
    <t>9763-20170724T104452.347499700.bin</t>
  </si>
  <si>
    <t>-697.924052373269 114.577603772648 -524.347827337493</t>
  </si>
  <si>
    <t>-643.612989133406 148.039230972727 -237.081732057699</t>
  </si>
  <si>
    <t>-415.872739986802 211.623203696045 -283.367317533763</t>
  </si>
  <si>
    <t>-650.354238404208 42.2431564254289 -103.080421311778</t>
  </si>
  <si>
    <t>-664.088402961385 69.6253368602474 299.30774159038</t>
  </si>
  <si>
    <t>-707.53163108232 104.57561019497 743.563557325397</t>
  </si>
  <si>
    <t>-563.141186733067 128.609109238208 804.070537942722</t>
  </si>
  <si>
    <t>-578.111628594533 -144.062181530392 305.394753870532</t>
  </si>
  <si>
    <t>-602.097108787904 -145.688642432655 752.802944417536</t>
  </si>
  <si>
    <t>-466.009075292684 -182.017720292989 825.24285653169</t>
  </si>
  <si>
    <t>9763-20170724T104452.396630200.bin</t>
  </si>
  <si>
    <t>-698.122115042252 117.272017484241 -523.842817073689</t>
  </si>
  <si>
    <t>-641.433024974441 152.000215734054 -237.18715779098</t>
  </si>
  <si>
    <t>-414.102907866294 216.217321355251 -284.600867418243</t>
  </si>
  <si>
    <t>-650.680642299749 44.0731386716684 -102.860774856887</t>
  </si>
  <si>
    <t>-664.461723884445 70.6803440461615 299.577758496973</t>
  </si>
  <si>
    <t>-707.730039120941 104.660755622442 743.933313273914</t>
  </si>
  <si>
    <t>-563.374700195945 128.874373858832 804.452270100311</t>
  </si>
  <si>
    <t>-577.541716468386 -142.821273647158 305.334161029065</t>
  </si>
  <si>
    <t>-601.921478826682 -145.441283896085 752.730755045401</t>
  </si>
  <si>
    <t>-465.918978214756 -181.955952911746 825.238013348396</t>
  </si>
  <si>
    <t>9763-20170724T104452.446782200.bin</t>
  </si>
  <si>
    <t>-698.214744114323 118.256508547937 -523.541300086654</t>
  </si>
  <si>
    <t>-640.335464360434 153.339933543617 -237.166823241868</t>
  </si>
  <si>
    <t>-413.195776107815 218.002473828823 -284.88678468093</t>
  </si>
  <si>
    <t>-650.713795999072 44.6290239455707 -102.765606260394</t>
  </si>
  <si>
    <t>-664.500666624588 70.9857698245507 299.689262501007</t>
  </si>
  <si>
    <t>-707.788208324247 104.654860972422 744.069041394572</t>
  </si>
  <si>
    <t>-563.406058882445 128.688641897856 804.59571650679</t>
  </si>
  <si>
    <t>-577.260615616866 -142.443239499952 305.325678690706</t>
  </si>
  <si>
    <t>-601.869542449408 -145.341188070672 752.706458989522</t>
  </si>
  <si>
    <t>-465.83112748297 -181.703265850789 825.222979008422</t>
  </si>
  <si>
    <t>9763-20170724T104452.485886100.bin</t>
  </si>
  <si>
    <t>-698.461054110011 120.358705855397 -522.814271379316</t>
  </si>
  <si>
    <t>-637.823690627467 156.16554095466 -237.100833904366</t>
  </si>
  <si>
    <t>-411.152277211446 221.786290336458 -285.730376879592</t>
  </si>
  <si>
    <t>-650.767406575932 45.8090969878594 -102.564551118792</t>
  </si>
  <si>
    <t>-664.562381125945 71.6196088252796 299.925378385752</t>
  </si>
  <si>
    <t>-707.88378676091 104.675657656949 744.3111805216</t>
  </si>
  <si>
    <t>-563.538795989559 128.908091686971 804.847114420056</t>
  </si>
  <si>
    <t>-576.663522677173 -141.556839237833 305.306206944648</t>
  </si>
  <si>
    <t>-601.760298646097 -145.098162413011 752.645904494337</t>
  </si>
  <si>
    <t>-465.811772655849 -181.703436236412 825.208651208669</t>
  </si>
  <si>
    <t>9763-20170724T104452.550070200.bin</t>
  </si>
  <si>
    <t>-698.739649448947 122.499887116622 -522.110280646586</t>
  </si>
  <si>
    <t>-635.759153597372 159.033305934901 -236.996298659724</t>
  </si>
  <si>
    <t>-409.584754982125 225.712928892338 -286.492280244598</t>
  </si>
  <si>
    <t>-650.669629843542 47.0201326196652 -102.433503526986</t>
  </si>
  <si>
    <t>-664.66590963419 72.2745326844019 300.084794501134</t>
  </si>
  <si>
    <t>-707.96826919091 104.64021700698 744.515420650265</t>
  </si>
  <si>
    <t>-563.561322258307 128.459835647065 805.067548973291</t>
  </si>
  <si>
    <t>-576.006582617215 -140.782217118846 305.271611373492</t>
  </si>
  <si>
    <t>-601.652722299299 -145.00823547115 752.593498445558</t>
  </si>
  <si>
    <t>-465.728241686062 -181.648340899498 825.183668178857</t>
  </si>
  <si>
    <t>9763-20170724T104452.589182500.bin</t>
  </si>
  <si>
    <t>-698.853998803134 123.56061762267 -521.794471046066</t>
  </si>
  <si>
    <t>-634.847272092312 160.347666059919 -236.941732767833</t>
  </si>
  <si>
    <t>-408.763309858783 227.175458010723 -286.650155724216</t>
  </si>
  <si>
    <t>-650.643319281405 47.7055821551705 -102.382429317355</t>
  </si>
  <si>
    <t>-664.700797099401 72.6479281520869 300.153200281954</t>
  </si>
  <si>
    <t>-708.010353657939 104.62785545444 744.614624796606</t>
  </si>
  <si>
    <t>-563.615061845735 128.504492107881 805.172037863606</t>
  </si>
  <si>
    <t>-575.690241470321 -140.374745154627 305.248105625744</t>
  </si>
  <si>
    <t>-601.599877173169 -144.984848555098 752.564552395451</t>
  </si>
  <si>
    <t>-465.65465094575 -181.536343396785 825.160623452684</t>
  </si>
  <si>
    <t>9763-20170724T104452.648075200.bin</t>
  </si>
  <si>
    <t>-698.856881343088 124.649550547877 -521.517944304848</t>
  </si>
  <si>
    <t>-633.984854221314 161.682464520105 -236.893023946014</t>
  </si>
  <si>
    <t>-408.001938756485 228.634395464163 -286.893692641402</t>
  </si>
  <si>
    <t>-650.577143366225 48.467265682182 -102.300703870383</t>
  </si>
  <si>
    <t>-664.759889055738 73.0538116364849 300.252387284991</t>
  </si>
  <si>
    <t>-708.079113469374 104.651138742391 744.781014150589</t>
  </si>
  <si>
    <t>-563.702246729237 128.616037861995 805.347591932453</t>
  </si>
  <si>
    <t>-575.332271408261 -139.865865443918 305.223052206178</t>
  </si>
  <si>
    <t>-601.547015466911 -144.807852060425 752.527121297243</t>
  </si>
  <si>
    <t>-465.697711857123 -181.668096082448 825.146660309624</t>
  </si>
  <si>
    <t>9763-20170724T104452.683168000.bin</t>
  </si>
  <si>
    <t>-698.467827580975 126.694498423544 -521.048017558972</t>
  </si>
  <si>
    <t>-632.013675051709 163.826442448891 -236.801279306743</t>
  </si>
  <si>
    <t>-406.428012458617 231.456236093277 -287.675644608556</t>
  </si>
  <si>
    <t>-650.327341417987 49.8626240343478 -102.084655561633</t>
  </si>
  <si>
    <t>-664.814505995239 73.8232550877842 300.495391248489</t>
  </si>
  <si>
    <t>-708.170544587655 104.653331589276 745.024638514422</t>
  </si>
  <si>
    <t>-563.793674049065 128.577837388262 805.607100718735</t>
  </si>
  <si>
    <t>-574.617009278727 -138.949772026448 305.221452155739</t>
  </si>
  <si>
    <t>-601.427773440742 -144.688078841603 752.45601546561</t>
  </si>
  <si>
    <t>-465.611522958859 -181.579593651108 825.121400769975</t>
  </si>
  <si>
    <t>9763-20170724T104452.749167400.bin</t>
  </si>
  <si>
    <t>-697.710001548482 128.644243306965 -520.642534406507</t>
  </si>
  <si>
    <t>-629.83505229204 165.98667728569 -236.759332627694</t>
  </si>
  <si>
    <t>-404.654094632716 234.674108292078 -288.008131658877</t>
  </si>
  <si>
    <t>-649.979165293445 51.3025796540787 -101.960309665154</t>
  </si>
  <si>
    <t>-664.81297329081 74.6105714336436 300.645399558048</t>
  </si>
  <si>
    <t>-708.258058294856 104.667467368338 745.226292846824</t>
  </si>
  <si>
    <t>-563.903721750759 128.662531827263 805.834554717001</t>
  </si>
  <si>
    <t>-573.691998410962 -138.006610142901 305.186509572847</t>
  </si>
  <si>
    <t>-601.313567660036 -144.299111862122 752.377070734112</t>
  </si>
  <si>
    <t>-465.574218709615 -181.390140605379 825.084550921413</t>
  </si>
  <si>
    <t>9763-20170724T104452.785261300.bin</t>
  </si>
  <si>
    <t>-697.246744095685 129.504398886455 -520.454051466078</t>
  </si>
  <si>
    <t>-628.703303231272 167.08614695035 -236.76304029257</t>
  </si>
  <si>
    <t>-403.664866173398 236.188533926574 -288.08052349428</t>
  </si>
  <si>
    <t>-649.775688241587 51.9562836139089 -101.894063587099</t>
  </si>
  <si>
    <t>-664.739708550903 74.9677942207538 300.723983152134</t>
  </si>
  <si>
    <t>-708.301054278648 104.68249456184 745.32608203567</t>
  </si>
  <si>
    <t>-563.932633516866 128.546952320444 805.952576264166</t>
  </si>
  <si>
    <t>-573.217683543014 -137.529451433307 305.166473475748</t>
  </si>
  <si>
    <t>-601.262066736218 -144.259700857003 752.340816144327</t>
  </si>
  <si>
    <t>-465.589180332075 -181.549837877519 825.070486652942</t>
  </si>
  <si>
    <t>9763-20170724T104452.854453300.bin</t>
  </si>
  <si>
    <t>-696.221206439784 131.13390321361 -520.044973434062</t>
  </si>
  <si>
    <t>-626.286006821404 169.061442938802 -236.739824798566</t>
  </si>
  <si>
    <t>-401.424152634876 238.753065637682 -288.034366105869</t>
  </si>
  <si>
    <t>-649.280039770618 53.1088751021059 -101.698701011406</t>
  </si>
  <si>
    <t>-664.518061973222 75.5643457408951 300.94035602591</t>
  </si>
  <si>
    <t>-708.386958280082 104.67451359503 745.586958631704</t>
  </si>
  <si>
    <t>-564.033266743488 128.572757396724 806.234852808649</t>
  </si>
  <si>
    <t>-572.237165212226 -136.814464967074 305.15917018774</t>
  </si>
  <si>
    <t>-601.161837386982 -144.179071419605 752.270138982565</t>
  </si>
  <si>
    <t>-465.428261511751 -181.206871423021 825.020674920968</t>
  </si>
  <si>
    <t>9763-20170724T104452.910654100.bin</t>
  </si>
  <si>
    <t>-672.343465841002 0.385113485463535 -552.496011280063</t>
  </si>
  <si>
    <t>-695.67035556821 131.875606725117 -519.863868236834</t>
  </si>
  <si>
    <t>-624.999690287753 169.989773782286 -236.766381622978</t>
  </si>
  <si>
    <t>-400.1948357711 239.92461735841 -287.979097605329</t>
  </si>
  <si>
    <t>-649.047162107358 53.6666132006199 -101.570476579715</t>
  </si>
  <si>
    <t>-664.426700635897 75.8487098846467 301.078366333118</t>
  </si>
  <si>
    <t>-708.44320067378 104.679708168944 745.747502758524</t>
  </si>
  <si>
    <t>-564.07972076884 128.499070792719 806.403265262621</t>
  </si>
  <si>
    <t>-571.811400628974 -136.399200419744 305.167388668655</t>
  </si>
  <si>
    <t>-601.115368254802 -143.916738317065 752.236414880857</t>
  </si>
  <si>
    <t>-465.493134607809 -181.299774190601 825.012917139355</t>
  </si>
  <si>
    <t>9763-20170724T104452.954259500.bin</t>
  </si>
  <si>
    <t>-671.421622334621 1.46119858638531 -552.434021767426</t>
  </si>
  <si>
    <t>-694.618705387659 132.95745442218 -519.748274756114</t>
  </si>
  <si>
    <t>-622.722251301823 171.507305093049 -237.018628362954</t>
  </si>
  <si>
    <t>-397.745055084343 241.294265932489 -287.673677815047</t>
  </si>
  <si>
    <t>-648.601552663785 54.690957903741 -101.412753772576</t>
  </si>
  <si>
    <t>-664.228013988554 76.3740703786523 301.253721830696</t>
  </si>
  <si>
    <t>-708.52511930793 104.601447412925 745.926307504768</t>
  </si>
  <si>
    <t>-564.187397081485 128.551484418578 806.591963748391</t>
  </si>
  <si>
    <t>-571.215851952417 -135.765751773605 305.201979913936</t>
  </si>
  <si>
    <t>-601.029926250518 -143.649810790826 752.205462605617</t>
  </si>
  <si>
    <t>-465.447159520704 -181.145361100256 824.99758714519</t>
  </si>
  <si>
    <t>9763-20170724T104452.995367600.bin</t>
  </si>
  <si>
    <t>-671.043440263295 1.83869972133266 -552.425662370502</t>
  </si>
  <si>
    <t>-694.160018251547 133.348592235839 -519.754790698444</t>
  </si>
  <si>
    <t>-621.946821564357 172.154293672477 -237.140813791945</t>
  </si>
  <si>
    <t>-396.843831042411 241.726306668523 -287.531711060146</t>
  </si>
  <si>
    <t>-648.334797417678 55.1447339828821 -101.382325175767</t>
  </si>
  <si>
    <t>-664.12470172227 76.6093625171957 301.289513781776</t>
  </si>
  <si>
    <t>-708.57429011548 104.571502415516 745.971642264967</t>
  </si>
  <si>
    <t>-564.222603042802 128.422618747186 806.642993939336</t>
  </si>
  <si>
    <t>-571.00726651632 -135.54602700237 305.226103983851</t>
  </si>
  <si>
    <t>-600.997728556504 -143.624441355731 752.20371057813</t>
  </si>
  <si>
    <t>-465.435570659082 -181.193793322335 824.996153823721</t>
  </si>
  <si>
    <t>9763-20170724T104453.052562100.bin</t>
  </si>
  <si>
    <t>-639.564893171458 0.222998357142842 -687.585844657091</t>
  </si>
  <si>
    <t>-670.256077156083 2.49874243914587 -552.490791773168</t>
  </si>
  <si>
    <t>-693.219994666558 134.060268890265 -519.887727695702</t>
  </si>
  <si>
    <t>-620.695818163715 172.87864911974 -237.355180878728</t>
  </si>
  <si>
    <t>-395.378909086968 242.110003717956 -287.257123038297</t>
  </si>
  <si>
    <t>-647.868845332654 56.0556512920032 -101.364152141145</t>
  </si>
  <si>
    <t>-663.925147507169 77.1255303654582 301.318018352366</t>
  </si>
  <si>
    <t>-708.647741502022 104.51680276003 746.024783184903</t>
  </si>
  <si>
    <t>-564.301964773248 128.380715466783 806.705268943729</t>
  </si>
  <si>
    <t>-570.716869429787 -135.100740960558 305.247238874401</t>
  </si>
  <si>
    <t>-600.91525937141 -143.466607027959 752.176609744101</t>
  </si>
  <si>
    <t>-465.352895611608 -181.005534511456 824.984388980775</t>
  </si>
  <si>
    <t>9763-20170724T104453.083643600.bin</t>
  </si>
  <si>
    <t>-639.135452703484 0.39565690870154 -687.633167014686</t>
  </si>
  <si>
    <t>-669.819155737731 2.77792317874446 -552.526680779834</t>
  </si>
  <si>
    <t>-692.669951313175 134.34723098825 -519.913952952428</t>
  </si>
  <si>
    <t>-620.145140465452 172.973412357089 -237.355232418678</t>
  </si>
  <si>
    <t>-394.777105053864 242.136270953711 -287.120934747193</t>
  </si>
  <si>
    <t>-647.658700432663 56.3653146010311 -101.375816889104</t>
  </si>
  <si>
    <t>-663.779234848717 77.2692265622836 301.312466389959</t>
  </si>
  <si>
    <t>-708.666344053619 104.406934812359 746.008024158945</t>
  </si>
  <si>
    <t>-564.297868441359 128.1198419791 806.693533674973</t>
  </si>
  <si>
    <t>-570.547648523102 -134.99165295343 305.249903463952</t>
  </si>
  <si>
    <t>-600.884394013655 -143.52011948703 752.171988524458</t>
  </si>
  <si>
    <t>-465.262559802731 -180.856984272878 824.972797010393</t>
  </si>
  <si>
    <t>9763-20170724T104453.148805500.bin</t>
  </si>
  <si>
    <t>-638.297496980333 1.19332089400223 -687.671168061713</t>
  </si>
  <si>
    <t>-668.95531057297 3.62890017888708 -552.5136169712</t>
  </si>
  <si>
    <t>-691.573798643089 135.183358525864 -519.672467855628</t>
  </si>
  <si>
    <t>-618.83098374014 173.161548371276 -237.081965057168</t>
  </si>
  <si>
    <t>-393.527886933761 242.360056895817 -287.091363968072</t>
  </si>
  <si>
    <t>-647.343865045571 56.9209867959758 -101.376252423942</t>
  </si>
  <si>
    <t>-663.467585677506 77.5869858191938 301.32412031784</t>
  </si>
  <si>
    <t>-708.724171410916 104.316610967635 746.040183462054</t>
  </si>
  <si>
    <t>-564.351684421226 127.958216978682 806.744200247054</t>
  </si>
  <si>
    <t>-570.265331185554 -134.630158947201 305.271900055581</t>
  </si>
  <si>
    <t>-600.833622873445 -143.265619223231 752.170041872841</t>
  </si>
  <si>
    <t>-465.265530056744 -180.811300854235 824.963551700692</t>
  </si>
  <si>
    <t>9763-20170724T104453.187943500.bin</t>
  </si>
  <si>
    <t>-637.97472553979 1.8508082610349 -687.66734101836</t>
  </si>
  <si>
    <t>-668.603291227615 4.21301989176936 -552.472122145793</t>
  </si>
  <si>
    <t>-691.134885998497 135.73708095156 -519.439121371109</t>
  </si>
  <si>
    <t>-617.999798076089 173.297561545654 -236.894036497346</t>
  </si>
  <si>
    <t>-392.785202312452 242.559313686011 -287.213693196258</t>
  </si>
  <si>
    <t>-647.245782513031 57.194860997216 -101.374025247478</t>
  </si>
  <si>
    <t>-663.395947886849 77.7494773329427 301.331029176235</t>
  </si>
  <si>
    <t>-708.763252065516 104.317075661015 746.049143469977</t>
  </si>
  <si>
    <t>-564.432552456603 128.191826463725 806.761013310991</t>
  </si>
  <si>
    <t>-570.192565758415 -134.388342855973 305.277260657607</t>
  </si>
  <si>
    <t>-600.809814577464 -143.031572866538 752.170078873761</t>
  </si>
  <si>
    <t>-465.337018668296 -180.919388836332 824.963850745971</t>
  </si>
  <si>
    <t>9763-20170724T104453.251193600.bin</t>
  </si>
  <si>
    <t>-637.608771092204 3.41243727687356 -687.606455424593</t>
  </si>
  <si>
    <t>-668.138431116215 5.44729587141819 -552.324839774552</t>
  </si>
  <si>
    <t>-690.617316312548 136.84541083066 -518.761683943732</t>
  </si>
  <si>
    <t>-616.374895314552 173.652354380534 -236.406239617136</t>
  </si>
  <si>
    <t>-391.245952345394 242.787495594587 -287.280257518969</t>
  </si>
  <si>
    <t>-647.144185675997 57.4402415559168 -101.370675461609</t>
  </si>
  <si>
    <t>-663.381204961546 77.8919766397196 301.336076705048</t>
  </si>
  <si>
    <t>-708.827687131892 104.238973205444 746.027994871731</t>
  </si>
  <si>
    <t>-564.46709688348 127.864803284223 806.766171758248</t>
  </si>
  <si>
    <t>-569.955978905174 -134.259009662165 305.275305457461</t>
  </si>
  <si>
    <t>-600.763578491215 -143.175546871587 752.173482349012</t>
  </si>
  <si>
    <t>-465.207564574447 -180.805553423407 824.94605410918</t>
  </si>
  <si>
    <t>9763-20170724T104453.285282800.bin</t>
  </si>
  <si>
    <t>-637.486561722236 4.3450237586128 -687.544666514744</t>
  </si>
  <si>
    <t>-667.952265574534 6.14720295453981 -552.21635330399</t>
  </si>
  <si>
    <t>-690.440796459923 137.460789320771 -518.339357125211</t>
  </si>
  <si>
    <t>-615.596977169812 173.813736088406 -236.083891596758</t>
  </si>
  <si>
    <t>-390.606056430175 243.229704733003 -287.185244334155</t>
  </si>
  <si>
    <t>-647.128651243088 57.5543598547024 -101.323054609473</t>
  </si>
  <si>
    <t>-663.439835027621 77.935679983789 301.384281507774</t>
  </si>
  <si>
    <t>-708.859110963632 104.204872056955 746.076636766953</t>
  </si>
  <si>
    <t>-564.493224631463 127.778284946216 806.822689268778</t>
  </si>
  <si>
    <t>-569.8491217692 -134.214442017145 305.266695993678</t>
  </si>
  <si>
    <t>-600.737660183556 -143.224785975436 752.170006390996</t>
  </si>
  <si>
    <t>-465.10049627971 -180.582953381485 824.931414930473</t>
  </si>
  <si>
    <t>9763-20170724T104453.353528700.bin</t>
  </si>
  <si>
    <t>-637.456537733411 6.60522945468665 -687.35384193345</t>
  </si>
  <si>
    <t>-667.747688946027 7.83450120119824 -551.919897162274</t>
  </si>
  <si>
    <t>-690.322512038818 138.953468248327 -517.354463396208</t>
  </si>
  <si>
    <t>-614.10941910238 174.427893152428 -235.353875793571</t>
  </si>
  <si>
    <t>-389.437894790637 244.241893383307 -287.311252230837</t>
  </si>
  <si>
    <t>-647.128551617288 57.8449312965572 -101.190437425599</t>
  </si>
  <si>
    <t>-663.637460490666 78.0871431382509 301.515901879615</t>
  </si>
  <si>
    <t>-708.926379473144 104.160468825379 746.204092789</t>
  </si>
  <si>
    <t>-564.601129062029 127.958481699539 806.959025795847</t>
  </si>
  <si>
    <t>-569.596933631474 -134.035035902388 305.24953332797</t>
  </si>
  <si>
    <t>-600.671837217344 -143.251652616616 752.150829251052</t>
  </si>
  <si>
    <t>-465.018045241219 -180.539718508193 824.917257210498</t>
  </si>
  <si>
    <t>9763-20170724T104453.382606300.bin</t>
  </si>
  <si>
    <t>-637.45454009508 7.79884516292691 -687.248406892564</t>
  </si>
  <si>
    <t>-667.663764399799 8.72176813233818 -551.770015143084</t>
  </si>
  <si>
    <t>-690.294416711614 139.745196200992 -516.872241836586</t>
  </si>
  <si>
    <t>-613.382777748444 174.958403506045 -235.028606243728</t>
  </si>
  <si>
    <t>-388.826626380642 244.831382033942 -287.403572060286</t>
  </si>
  <si>
    <t>-647.104053903291 58.0271746133396 -101.112720300551</t>
  </si>
  <si>
    <t>-663.719753098037 78.1705114098543 301.594143948038</t>
  </si>
  <si>
    <t>-708.966559185161 104.141478852943 746.279017051628</t>
  </si>
  <si>
    <t>-564.645006438616 127.963609688735 807.033528672981</t>
  </si>
  <si>
    <t>-569.441155058688 -133.864195599726 305.233077304647</t>
  </si>
  <si>
    <t>-600.630239639235 -143.140217099721 752.130290702644</t>
  </si>
  <si>
    <t>-465.024436593995 -180.57456207462 824.911044187887</t>
  </si>
  <si>
    <t>9763-20170724T104453.451609900.bin</t>
  </si>
  <si>
    <t>-637.803280936507 10.0156635592607 -687.062837134661</t>
  </si>
  <si>
    <t>-667.781952825901 10.4125677866557 -551.505740578597</t>
  </si>
  <si>
    <t>-690.501099498877 141.270096464243 -516.042212830717</t>
  </si>
  <si>
    <t>-612.005807036589 175.849167537025 -234.556959634053</t>
  </si>
  <si>
    <t>-387.680503259247 245.81737032642 -287.787316506064</t>
  </si>
  <si>
    <t>-647.040711298251 58.5517503403134 -100.952409736411</t>
  </si>
  <si>
    <t>-663.791494633698 78.4364309949658 301.761762528935</t>
  </si>
  <si>
    <t>-709.045205251384 104.10154293273 746.449555527706</t>
  </si>
  <si>
    <t>-564.674640773305 127.614356233717 807.207908783033</t>
  </si>
  <si>
    <t>-568.981756818706 -133.376382555898 305.183612314077</t>
  </si>
  <si>
    <t>-600.537661047984 -142.829156714613 752.072292542913</t>
  </si>
  <si>
    <t>-465.073702238369 -180.68433662022 824.899565758089</t>
  </si>
  <si>
    <t>9763-20170724T104453.485705900.bin</t>
  </si>
  <si>
    <t>-637.955751748979 11.0514837401529 -686.965257808272</t>
  </si>
  <si>
    <t>-667.834739349461 11.2289948005168 -551.379775285509</t>
  </si>
  <si>
    <t>-690.565276073726 142.025725217426 -515.694805778641</t>
  </si>
  <si>
    <t>-611.431433459289 176.124563752672 -234.329738070966</t>
  </si>
  <si>
    <t>-387.229446525398 246.179848473964 -287.963553256562</t>
  </si>
  <si>
    <t>-646.967924880677 58.8810624278369 -100.87190625519</t>
  </si>
  <si>
    <t>-663.785979974169 78.6056663709439 301.84724157584</t>
  </si>
  <si>
    <t>-709.093151472049 104.115236123163 746.541165574029</t>
  </si>
  <si>
    <t>-564.748685887894 127.794809007275 807.296810362969</t>
  </si>
  <si>
    <t>-568.751431413478 -133.116430254495 305.159993486428</t>
  </si>
  <si>
    <t>-600.484898691893 -142.676363260722 752.031500150868</t>
  </si>
  <si>
    <t>-465.074682464676 -180.665534923347 824.888839619746</t>
  </si>
  <si>
    <t>9763-20170724T104453.549625200.bin</t>
  </si>
  <si>
    <t>-638.244805310988 12.6590264293629 -686.792557950554</t>
  </si>
  <si>
    <t>-667.916300110294 12.5538875593043 -551.15183320478</t>
  </si>
  <si>
    <t>-690.524784620608 143.263736408825 -515.080715810946</t>
  </si>
  <si>
    <t>-610.450868957038 176.466129194244 -233.874451569514</t>
  </si>
  <si>
    <t>-386.46676604884 246.794788868131 -288.058241878658</t>
  </si>
  <si>
    <t>-646.689421390657 59.5642492636086 -100.713761315582</t>
  </si>
  <si>
    <t>-663.754689137819 78.9657998123805 302.010731608832</t>
  </si>
  <si>
    <t>-709.192004051709 104.131512122783 746.697956838432</t>
  </si>
  <si>
    <t>-564.8452192011 127.751760719148 807.471175008534</t>
  </si>
  <si>
    <t>-568.177614638569 -132.743668989826 305.136952038332</t>
  </si>
  <si>
    <t>-600.392680092062 -142.769372489225 751.975551570715</t>
  </si>
  <si>
    <t>-464.891880132932 -180.369743198773 824.866187809354</t>
  </si>
  <si>
    <t>9763-20170724T104453.585720500.bin</t>
  </si>
  <si>
    <t>-638.405595442323 13.2916215843563 -686.699261690463</t>
  </si>
  <si>
    <t>-667.970369569819 13.1110259907971 -551.036843000734</t>
  </si>
  <si>
    <t>-690.474168707112 143.810207065142 -514.835945686208</t>
  </si>
  <si>
    <t>-610.021257471281 176.640211015182 -233.694313330085</t>
  </si>
  <si>
    <t>-386.072139696659 246.864461032334 -288.157059503558</t>
  </si>
  <si>
    <t>-646.536066778091 59.9856478729057 -100.607409288883</t>
  </si>
  <si>
    <t>-663.827277916623 79.1937965388372 302.116748821803</t>
  </si>
  <si>
    <t>-709.274532304691 104.21297545751 746.841330384394</t>
  </si>
  <si>
    <t>-564.896130524739 127.576280452415 807.638770874552</t>
  </si>
  <si>
    <t>-567.829801061459 -132.518295331635 305.151369255375</t>
  </si>
  <si>
    <t>-600.348934188514 -142.772123415447 751.954373152036</t>
  </si>
  <si>
    <t>-464.816546049903 -180.235946713981 824.856574111349</t>
  </si>
  <si>
    <t>9763-20170724T104453.651912400.bin</t>
  </si>
  <si>
    <t>-638.35243116432 14.3048862590554 -686.534886257781</t>
  </si>
  <si>
    <t>-667.795481586276 14.0689802835477 -550.83981593038</t>
  </si>
  <si>
    <t>-690.044584265172 144.745096168744 -514.424396835526</t>
  </si>
  <si>
    <t>-609.063877928815 177.083167424066 -233.377168220485</t>
  </si>
  <si>
    <t>-385.052119139186 246.659412156692 -288.411531738494</t>
  </si>
  <si>
    <t>-646.183001543892 60.6749264064199 -100.428498560178</t>
  </si>
  <si>
    <t>-663.813133633979 79.5475800788104 302.296754382508</t>
  </si>
  <si>
    <t>-709.376832723105 104.254627842039 747.023731217671</t>
  </si>
  <si>
    <t>-564.996679525715 127.550658189551 807.842719905668</t>
  </si>
  <si>
    <t>-567.123348023749 -132.063938050661 305.190977945668</t>
  </si>
  <si>
    <t>-600.268930232907 -142.642284953427 751.919443401048</t>
  </si>
  <si>
    <t>-464.72077189539 -180.004710521614 824.844316102192</t>
  </si>
  <si>
    <t>9763-20170724T104453.683996700.bin</t>
  </si>
  <si>
    <t>-638.273201367961 14.6727454929451 -686.480657173273</t>
  </si>
  <si>
    <t>-667.670539123797 14.4589502836859 -550.770862932438</t>
  </si>
  <si>
    <t>-689.80899781275 145.137723321154 -514.269449546895</t>
  </si>
  <si>
    <t>-608.717572731082 177.050360245229 -233.205440710994</t>
  </si>
  <si>
    <t>-384.463090173028 245.640273346812 -288.48848491407</t>
  </si>
  <si>
    <t>-646.006573853756 61.0309049790717 -100.361797680147</t>
  </si>
  <si>
    <t>-663.802563268514 79.7083593687678 302.365341111722</t>
  </si>
  <si>
    <t>-709.434071223898 104.285104532341 747.105619198115</t>
  </si>
  <si>
    <t>-565.027185219612 127.393131238895 807.932921516055</t>
  </si>
  <si>
    <t>-566.832326155254 -131.819621118156 305.207528064481</t>
  </si>
  <si>
    <t>-600.239888305992 -142.551667258589 751.904395399055</t>
  </si>
  <si>
    <t>-464.724322386189 -180.012335877542 824.839548162493</t>
  </si>
  <si>
    <t>9763-20170724T104453.755190500.bin</t>
  </si>
  <si>
    <t>-638.107554544794 15.1101195186177 -686.434321433571</t>
  </si>
  <si>
    <t>-667.428481211239 15.0501297935291 -550.700040083772</t>
  </si>
  <si>
    <t>-689.310184107121 145.731348880315 -514.119565480113</t>
  </si>
  <si>
    <t>-609.466741183982 176.481107584838 -232.569122138253</t>
  </si>
  <si>
    <t>-383.219222929509 239.300231199381 -286.57549092809</t>
  </si>
  <si>
    <t>-645.727053378391 61.6158261764929 -100.24967313436</t>
  </si>
  <si>
    <t>-663.67730462233 79.9198882780561 302.487756028178</t>
  </si>
  <si>
    <t>-709.461494489165 104.112324558212 747.261986923377</t>
  </si>
  <si>
    <t>-565.078831370628 127.441308212705 808.062483631422</t>
  </si>
  <si>
    <t>-566.509479698664 -131.470426776827 305.239160672155</t>
  </si>
  <si>
    <t>-600.169678049826 -142.435380471375 751.881860445437</t>
  </si>
  <si>
    <t>-464.709394863419 -180.048419105822 824.841152149633</t>
  </si>
  <si>
    <t>9763-20170724T104453.789282600.bin</t>
  </si>
  <si>
    <t>-638.05580581185 15.311090962856 -686.42722934816</t>
  </si>
  <si>
    <t>-667.343255276095 15.3753331056394 -550.681633541708</t>
  </si>
  <si>
    <t>-689.030916041618 146.087270015852 -514.090728510702</t>
  </si>
  <si>
    <t>-610.029476706165 175.311336855977 -232.140307768461</t>
  </si>
  <si>
    <t>-382.429958460256 234.784843366227 -284.219658740603</t>
  </si>
  <si>
    <t>-645.62007054656 62.0205759513253 -100.20861614645</t>
  </si>
  <si>
    <t>-663.720709376862 80.1334242134119 302.530671926587</t>
  </si>
  <si>
    <t>-709.530972631271 104.14239656733 747.318623877729</t>
  </si>
  <si>
    <t>-565.119053448379 127.30846800937 808.112006861882</t>
  </si>
  <si>
    <t>-566.411364368163 -131.185987248052 305.248765102047</t>
  </si>
  <si>
    <t>-600.134851727263 -142.255179050083 751.868737908012</t>
  </si>
  <si>
    <t>-464.746265478165 -180.090534357101 824.846177611949</t>
  </si>
  <si>
    <t>9763-20170724T104453.816359000.bin</t>
  </si>
  <si>
    <t>-638.00878613599 15.5532494454278 -686.437105397259</t>
  </si>
  <si>
    <t>-667.281052499456 15.737451067334 -550.683972297333</t>
  </si>
  <si>
    <t>-688.725037846227 146.485600175977 -514.045773851573</t>
  </si>
  <si>
    <t>-610.05868012141 173.451058547844 -231.776935903148</t>
  </si>
  <si>
    <t>-381.182508823094 230.095094564327 -281.355699311538</t>
  </si>
  <si>
    <t>-645.506891291633 62.3853058484467 -100.176023380885</t>
  </si>
  <si>
    <t>-663.723449556909 80.3594031693724 302.564287910488</t>
  </si>
  <si>
    <t>-709.557896641405 104.112007814932 747.362802660261</t>
  </si>
  <si>
    <t>-565.122891961848 127.134262524918 808.155951788709</t>
  </si>
  <si>
    <t>-566.325396950008 -130.954178724602 305.24230149049</t>
  </si>
  <si>
    <t>-600.093058307806 -142.131635743271 751.841711517376</t>
  </si>
  <si>
    <t>-464.748061489657 -180.076719746914 824.842961230702</t>
  </si>
  <si>
    <t>9763-20170724T104453.887552100.bin</t>
  </si>
  <si>
    <t>-638.044028965677 16.223695848985 -686.460304958332</t>
  </si>
  <si>
    <t>-667.317617627403 16.6033928389375 -550.69491494634</t>
  </si>
  <si>
    <t>-688.453939838787 147.389842370873 -514.034435649042</t>
  </si>
  <si>
    <t>-610.137399095425 170.235724761934 -231.305200888835</t>
  </si>
  <si>
    <t>-379.593798527082 223.548485528211 -276.673634130771</t>
  </si>
  <si>
    <t>-645.500800946003 63.0981111565188 -100.154661553742</t>
  </si>
  <si>
    <t>-663.627794904917 80.8377547511673 302.600095244029</t>
  </si>
  <si>
    <t>-709.701705109696 104.218595102764 747.434838369075</t>
  </si>
  <si>
    <t>-565.225590920362 127.008271520487 808.217868674417</t>
  </si>
  <si>
    <t>-566.148557721246 -130.474852920768 305.226314696559</t>
  </si>
  <si>
    <t>-600.031458677698 -141.707653769217 751.809896478385</t>
  </si>
  <si>
    <t>-464.945340446453 -180.475742420135 824.858471222241</t>
  </si>
  <si>
    <t>9763-20170724T104453.919655100.bin</t>
  </si>
  <si>
    <t>-637.916754018623 16.3096094944462 -686.451088232753</t>
  </si>
  <si>
    <t>-667.261116660745 16.7900145154233 -550.701322896058</t>
  </si>
  <si>
    <t>-688.315670873187 147.607152094935 -514.090756597594</t>
  </si>
  <si>
    <t>-610.200427996622 169.59057519124 -231.237521246146</t>
  </si>
  <si>
    <t>-378.864701358938 221.286682351799 -274.390019147013</t>
  </si>
  <si>
    <t>-645.416766726511 63.2515268755619 -100.130309119659</t>
  </si>
  <si>
    <t>-663.524674848836 80.9775384979027 302.625885184996</t>
  </si>
  <si>
    <t>-709.72041267153 104.155410526064 747.463043846851</t>
  </si>
  <si>
    <t>-565.239945936836 126.94595957782 808.235400817197</t>
  </si>
  <si>
    <t>-565.996686964526 -130.443306017725 305.221398547245</t>
  </si>
  <si>
    <t>-600.004344575134 -141.817357795354 751.804449018729</t>
  </si>
  <si>
    <t>-464.86258617295 -180.386316441781 824.855322759573</t>
  </si>
  <si>
    <t>9763-20170724T104453.982822900.bin</t>
  </si>
  <si>
    <t>-637.161926970746 15.8498393502837 -686.438260271992</t>
  </si>
  <si>
    <t>-666.673470237185 16.5500246364527 -550.741900442208</t>
  </si>
  <si>
    <t>-687.647764180129 147.447866045206 -514.364954105857</t>
  </si>
  <si>
    <t>-610.52242394873 168.033684868992 -231.135113976131</t>
  </si>
  <si>
    <t>-378.314218375836 217.83108947853 -271.760557574603</t>
  </si>
  <si>
    <t>-645.003798312712 63.2664223234444 -100.071794195359</t>
  </si>
  <si>
    <t>-663.066809903897 80.9884779942597 302.686654412034</t>
  </si>
  <si>
    <t>-709.813970466622 104.143582051225 747.491625975976</t>
  </si>
  <si>
    <t>-565.311448485298 126.856560109136 808.240667819615</t>
  </si>
  <si>
    <t>-565.887696117079 -130.486814257141 305.250113917377</t>
  </si>
  <si>
    <t>-599.968950363403 -141.829368837708 751.812035245425</t>
  </si>
  <si>
    <t>-464.777766296523 -180.238274612924 824.85588869464</t>
  </si>
  <si>
    <t>9763-20170724T104454.014413500.bin</t>
  </si>
  <si>
    <t>-636.832777456973 15.5144373432217 -686.433509712371</t>
  </si>
  <si>
    <t>-666.421035319053 16.3191836315561 -550.764268247687</t>
  </si>
  <si>
    <t>-687.393301859084 147.264529343564 -514.50780124984</t>
  </si>
  <si>
    <t>-610.842849462484 166.878425346118 -231.053196036194</t>
  </si>
  <si>
    <t>-378.185587814049 215.463266189585 -270.562410993603</t>
  </si>
  <si>
    <t>-644.84221519131 63.1483200495213 -100.054030738387</t>
  </si>
  <si>
    <t>-662.826719572468 80.9358543529772 302.705024491432</t>
  </si>
  <si>
    <t>-709.831357607446 104.085206012523 747.493391342447</t>
  </si>
  <si>
    <t>-565.332781555282 126.863586499211 808.22739134047</t>
  </si>
  <si>
    <t>-565.85229517981 -130.452343157461 305.277664336276</t>
  </si>
  <si>
    <t>-599.951590887835 -141.619505004028 751.819424624883</t>
  </si>
  <si>
    <t>-464.886857732671 -180.457607801659 824.870236271898</t>
  </si>
  <si>
    <t>9763-20170724T104454.084889000.bin</t>
  </si>
  <si>
    <t>-636.448774332135 14.893634978851 -686.460362968989</t>
  </si>
  <si>
    <t>-666.145831413905 15.9767090339978 -550.828447290549</t>
  </si>
  <si>
    <t>-686.779299203637 146.984960191561 -514.689941493889</t>
  </si>
  <si>
    <t>-611.093493407657 165.379684037977 -230.921468252754</t>
  </si>
  <si>
    <t>-377.54872775759 211.155952506528 -268.501644828464</t>
  </si>
  <si>
    <t>-644.682457671518 62.9954871955417 -100.039448709082</t>
  </si>
  <si>
    <t>-662.68802437741 80.8976970970102 302.713511027897</t>
  </si>
  <si>
    <t>-709.948569908998 104.162957077482 747.472595988937</t>
  </si>
  <si>
    <t>-565.385903505996 126.579768864262 808.188359426015</t>
  </si>
  <si>
    <t>-566.020998372231 -130.647822282013 305.324741306341</t>
  </si>
  <si>
    <t>-599.926891687486 -141.515209283563 751.842544068994</t>
  </si>
  <si>
    <t>-464.861222246429 -180.381904241858 824.876447910604</t>
  </si>
  <si>
    <t>9763-20170724T104454.153079600.bin</t>
  </si>
  <si>
    <t>-636.022221905411 13.8719139338825 -686.532186679164</t>
  </si>
  <si>
    <t>-665.785178363919 15.2428974709476 -550.922957449363</t>
  </si>
  <si>
    <t>-685.880706651919 146.38613482838 -514.889749272989</t>
  </si>
  <si>
    <t>-610.297724755008 162.195767311062 -230.938258860883</t>
  </si>
  <si>
    <t>-376.233005921529 206.578224287468 -266.920942772699</t>
  </si>
  <si>
    <t>-644.396038526763 62.3901274835321 -100.063635672186</t>
  </si>
  <si>
    <t>-662.513939798672 80.6383250636072 302.668858348959</t>
  </si>
  <si>
    <t>-709.980871712679 104.100884459196 747.403489138069</t>
  </si>
  <si>
    <t>-565.438968907121 126.691499579611 808.10430742723</t>
  </si>
  <si>
    <t>-566.165146840035 -131.011479127634 305.341160591192</t>
  </si>
  <si>
    <t>-599.916637300278 -141.423274867873 751.88067357715</t>
  </si>
  <si>
    <t>-464.917697002008 -180.555803046024 824.895909824388</t>
  </si>
  <si>
    <t>9763-20170724T104454.184161700.bin</t>
  </si>
  <si>
    <t>-635.937273692606 13.2994629805939 -686.557834536816</t>
  </si>
  <si>
    <t>-665.691262773591 14.7884179281557 -550.951920773081</t>
  </si>
  <si>
    <t>-685.500519640298 145.968062396193 -514.9878848207</t>
  </si>
  <si>
    <t>-610.463307319317 161.304360870421 -230.865749130426</t>
  </si>
  <si>
    <t>-376.073812534473 204.510556616627 -266.159680918117</t>
  </si>
  <si>
    <t>-644.328822002673 62.0216341589214 -100.082952145127</t>
  </si>
  <si>
    <t>-662.476514415139 80.3960027400356 302.642432221634</t>
  </si>
  <si>
    <t>-709.985183871425 104.032428440537 747.368519176602</t>
  </si>
  <si>
    <t>-565.458390332855 126.745698041344 808.059538375824</t>
  </si>
  <si>
    <t>-566.310516705245 -131.225806712151 305.352816376842</t>
  </si>
  <si>
    <t>-599.913020219871 -141.408498029544 751.90282051185</t>
  </si>
  <si>
    <t>-464.928675431404 -180.616818368232 824.904340648502</t>
  </si>
  <si>
    <t>9763-20170724T104454.250161800.bin</t>
  </si>
  <si>
    <t>-636.049528958556 12.355185888561 -686.644977374042</t>
  </si>
  <si>
    <t>-665.748908612531 14.0203768436979 -551.032445087309</t>
  </si>
  <si>
    <t>-685.481801436984 145.307036368316 -515.268691087304</t>
  </si>
  <si>
    <t>-610.670264429557 157.838368821356 -230.949357164485</t>
  </si>
  <si>
    <t>-377.026115040851 205.023849207518 -266.089207980692</t>
  </si>
  <si>
    <t>-644.136588090563 61.2697151479692 -100.148104130449</t>
  </si>
  <si>
    <t>-662.267678153431 79.9795057261338 302.562524841016</t>
  </si>
  <si>
    <t>-710.00855524562 103.953614949491 747.266710951183</t>
  </si>
  <si>
    <t>-565.523859267269 126.949393564048 807.951682114715</t>
  </si>
  <si>
    <t>-566.701845939586 -131.67068765282 305.375090564774</t>
  </si>
  <si>
    <t>-599.904644941906 -141.396445934239 751.944050142275</t>
  </si>
  <si>
    <t>-464.923356331056 -180.66299582524 824.919985818437</t>
  </si>
  <si>
    <t>9763-20170724T104454.284252800.bin</t>
  </si>
  <si>
    <t>-636.336029638331 11.8372263740616 -686.692698142558</t>
  </si>
  <si>
    <t>-665.994374394708 13.5805409578436 -551.080452358117</t>
  </si>
  <si>
    <t>-685.920178683581 144.865417478998 -515.502104989203</t>
  </si>
  <si>
    <t>-611.342034401301 156.856322224085 -231.098255053594</t>
  </si>
  <si>
    <t>-377.843118893633 205.422544953221 -265.310548255984</t>
  </si>
  <si>
    <t>-644.178939904068 61.024675408353 -100.196112538372</t>
  </si>
  <si>
    <t>-662.228888679125 79.8412500442512 302.513228480185</t>
  </si>
  <si>
    <t>-710.062258515207 103.997431156341 747.206137066537</t>
  </si>
  <si>
    <t>-565.540154420146 126.745795919079 807.895419109088</t>
  </si>
  <si>
    <t>-566.997957542872 -131.911186556431 305.387704203232</t>
  </si>
  <si>
    <t>-599.905512037153 -141.481877699162 751.972564785323</t>
  </si>
  <si>
    <t>-464.880757786659 -180.636037537703 824.928453696561</t>
  </si>
  <si>
    <t>9763-20170724T104454.348998000.bin</t>
  </si>
  <si>
    <t>-637.313139134265 9.98275324690167 -686.822335695046</t>
  </si>
  <si>
    <t>-666.922010586056 12.0609898713967 -551.254449903568</t>
  </si>
  <si>
    <t>-687.395119834199 143.426392719244 -516.315423534741</t>
  </si>
  <si>
    <t>-613.437489335747 155.807200804534 -231.766354427985</t>
  </si>
  <si>
    <t>-379.974633177934 206.166397897838 -263.545279083869</t>
  </si>
  <si>
    <t>-644.423360391366 60.3030489786117 -100.274053734109</t>
  </si>
  <si>
    <t>-662.359379171494 79.5067616223025 302.422038666469</t>
  </si>
  <si>
    <t>-710.108685271925 103.94968577172 747.084185575784</t>
  </si>
  <si>
    <t>-565.557072660381 126.504092608334 807.775300559665</t>
  </si>
  <si>
    <t>-567.360728101761 -132.243585974684 305.389801192139</t>
  </si>
  <si>
    <t>-599.885638278518 -141.398846058352 752.018356917735</t>
  </si>
  <si>
    <t>-464.953307166286 -180.892383049273 824.962396939415</t>
  </si>
  <si>
    <t>9763-20170724T104454.384096800.bin</t>
  </si>
  <si>
    <t>-637.795577007171 8.37398156777567 -686.89192886478</t>
  </si>
  <si>
    <t>-667.432375053097 10.7285765258844 -551.379785859735</t>
  </si>
  <si>
    <t>-688.101019731822 142.165035010917 -516.835682737461</t>
  </si>
  <si>
    <t>-613.808741053867 154.561950257755 -232.374452597747</t>
  </si>
  <si>
    <t>-380.358055393988 206.345293444074 -261.872629935885</t>
  </si>
  <si>
    <t>-644.580893865529 59.8308694744087 -100.324038545775</t>
  </si>
  <si>
    <t>-662.476611247567 79.2218538534748 302.364913186636</t>
  </si>
  <si>
    <t>-710.107023589963 103.884657927474 747.015017912601</t>
  </si>
  <si>
    <t>-565.582754580025 126.608775590382 807.708174305671</t>
  </si>
  <si>
    <t>-567.41645453505 -132.488853883814 305.412886406584</t>
  </si>
  <si>
    <t>-599.887510989502 -141.594492955531 752.046405311345</t>
  </si>
  <si>
    <t>-464.803914202768 -180.622051654578 824.961333153021</t>
  </si>
  <si>
    <t>9763-20170724T104454.452298900.bin</t>
  </si>
  <si>
    <t>-638.437423977591 5.29971772533622 -687.092084877882</t>
  </si>
  <si>
    <t>-668.158624721821 8.18754710980556 -551.700584011367</t>
  </si>
  <si>
    <t>-688.94765462515 139.786448960358 -517.840087878551</t>
  </si>
  <si>
    <t>-613.78436748975 152.076866787135 -233.603160400469</t>
  </si>
  <si>
    <t>-380.208755927502 204.541074121385 -260.820920046055</t>
  </si>
  <si>
    <t>-644.948116200521 59.1109566403848 -100.52241644583</t>
  </si>
  <si>
    <t>-662.70505157393 78.860086850264 302.155264210933</t>
  </si>
  <si>
    <t>-710.131597691872 103.894663413622 746.820951932518</t>
  </si>
  <si>
    <t>-565.634984806571 126.695209591939 807.551020160942</t>
  </si>
  <si>
    <t>-567.632143348587 -132.665250870309 305.470058558247</t>
  </si>
  <si>
    <t>-599.874690851447 -141.697530125604 752.08679177464</t>
  </si>
  <si>
    <t>-464.807730795567 -180.816221004744 824.983541068545</t>
  </si>
  <si>
    <t>9763-20170724T104454.487391800.bin</t>
  </si>
  <si>
    <t>-638.750732362921 3.72837895946464 -687.257571736159</t>
  </si>
  <si>
    <t>-668.491675416689 6.96402279897484 -551.925065848497</t>
  </si>
  <si>
    <t>-689.356847491595 138.644478262032 -518.434231115856</t>
  </si>
  <si>
    <t>-613.800488880693 151.767087700074 -234.338629221218</t>
  </si>
  <si>
    <t>-380.115250019822 203.724043255562 -261.588767069219</t>
  </si>
  <si>
    <t>-645.163190025257 58.8725112126849 -100.674574633765</t>
  </si>
  <si>
    <t>-662.838530921242 78.7684155419427 301.999420905528</t>
  </si>
  <si>
    <t>-710.101732798 103.83164435064 746.696982394139</t>
  </si>
  <si>
    <t>-565.651523106574 126.857677519224 807.452412635955</t>
  </si>
  <si>
    <t>-567.785470541382 -132.735747888581 305.493753815954</t>
  </si>
  <si>
    <t>-599.869958257377 -141.672936983212 752.10916409016</t>
  </si>
  <si>
    <t>-464.793208157973 -180.778034943761 824.995161425994</t>
  </si>
  <si>
    <t>9763-20170724T104454.552112900.bin</t>
  </si>
  <si>
    <t>-639.460415732346 0.224095427332031 -687.610537299102</t>
  </si>
  <si>
    <t>-669.233712889208 4.29927181730864 -552.408824938283</t>
  </si>
  <si>
    <t>-690.190208130443 136.195662337232 -519.804173465232</t>
  </si>
  <si>
    <t>-613.940247637465 151.266996999288 -235.990898560661</t>
  </si>
  <si>
    <t>-380.279520736196 202.786893231314 -264.261330204603</t>
  </si>
  <si>
    <t>-645.520569256558 58.4000651674596 -100.986185110258</t>
  </si>
  <si>
    <t>-663.148135132279 78.6045919986689 301.674636007281</t>
  </si>
  <si>
    <t>-710.068136312607 103.737491170831 746.434837084324</t>
  </si>
  <si>
    <t>-565.673656621252 126.981489453756 807.2399298294</t>
  </si>
  <si>
    <t>-568.271786953074 -132.946919550014 305.516574079873</t>
  </si>
  <si>
    <t>-599.859097934829 -141.653686245605 752.161707817029</t>
  </si>
  <si>
    <t>-464.740174364095 -180.669405140898 825.017370165455</t>
  </si>
  <si>
    <t>9763-20170724T104454.585200000.bin</t>
  </si>
  <si>
    <t>-669.580759768715 2.9917911229802 -552.660458175024</t>
  </si>
  <si>
    <t>-690.580988018648 134.995306652525 -520.531078797999</t>
  </si>
  <si>
    <t>-614.278511746132 151.656753981626 -236.820769475736</t>
  </si>
  <si>
    <t>-380.705544715199 203.309664247735 -265.570087519105</t>
  </si>
  <si>
    <t>-645.741755351012 58.2280378942921 -101.138834775384</t>
  </si>
  <si>
    <t>-663.292291152266 78.5157426312817 301.521112870608</t>
  </si>
  <si>
    <t>-710.078147482711 103.747849369722 746.299786398494</t>
  </si>
  <si>
    <t>-565.701527508008 127.037744400624 807.12961508384</t>
  </si>
  <si>
    <t>-568.616889721853 -133.046288464784 305.527209934294</t>
  </si>
  <si>
    <t>-599.863186954429 -141.695745088814 752.190933295325</t>
  </si>
  <si>
    <t>-464.704050519193 -180.615829490094 825.023180872737</t>
  </si>
  <si>
    <t>9763-20170724T104454.651214200.bin</t>
  </si>
  <si>
    <t>-670.132371988495 0.463020112362756 -553.117536418817</t>
  </si>
  <si>
    <t>-691.21344715956 132.657285523177 -521.862728693861</t>
  </si>
  <si>
    <t>-615.038291071739 153.305496475089 -238.380428549567</t>
  </si>
  <si>
    <t>-381.561180194051 204.885731926041 -268.024853767745</t>
  </si>
  <si>
    <t>-646.004661998003 57.646192777888 -101.403363942865</t>
  </si>
  <si>
    <t>-663.364003456957 78.1311947452828 301.254922021204</t>
  </si>
  <si>
    <t>-710.044520520218 103.60493580069 746.060807708417</t>
  </si>
  <si>
    <t>-565.717467796616 127.151475472056 806.909351917959</t>
  </si>
  <si>
    <t>-569.239585371054 -133.339847757948 305.513921304053</t>
  </si>
  <si>
    <t>-599.862796371787 -141.761173115376 752.233982120749</t>
  </si>
  <si>
    <t>-464.577363441727 -180.319686848527 825.023950822329</t>
  </si>
  <si>
    <t>9763-20170724T104454.684332400.bin</t>
  </si>
  <si>
    <t>-691.533590967682 131.608793098404 -522.417913776329</t>
  </si>
  <si>
    <t>-615.292275751027 153.891568819625 -239.07728419304</t>
  </si>
  <si>
    <t>-381.92610759693 205.516983481257 -269.50627110987</t>
  </si>
  <si>
    <t>-646.090333925017 57.3803957891005 -101.512641748682</t>
  </si>
  <si>
    <t>-663.404473321512 77.9718192677783 301.142138755652</t>
  </si>
  <si>
    <t>-710.041709289612 103.546173476645 745.945239534929</t>
  </si>
  <si>
    <t>-565.713473101056 127.071458847481 806.799389046171</t>
  </si>
  <si>
    <t>-569.388914929308 -133.446218876756 305.51263350651</t>
  </si>
  <si>
    <t>-599.865655010563 -141.743354947406 752.250836389669</t>
  </si>
  <si>
    <t>-464.635839546775 -180.513315146009 825.031958100755</t>
  </si>
  <si>
    <t>9763-20170724T104454.717899400.bin</t>
  </si>
  <si>
    <t>-691.810892804671 130.673120450548 -522.883881456655</t>
  </si>
  <si>
    <t>-615.435569288155 154.239213940614 -239.683239241006</t>
  </si>
  <si>
    <t>-382.191302039151 205.940513235887 -270.907784298428</t>
  </si>
  <si>
    <t>-646.206121930181 57.1510257196319 -101.608927463865</t>
  </si>
  <si>
    <t>-663.40350991368 77.837247106002 301.045995922472</t>
  </si>
  <si>
    <t>-710.051258533506 103.516611668307 745.835552930235</t>
  </si>
  <si>
    <t>-565.734985088801 127.103057253393 806.694350817258</t>
  </si>
  <si>
    <t>-569.49961830167 -133.545774580248 305.50989072551</t>
  </si>
  <si>
    <t>-599.861653805042 -141.718632317132 752.260776258742</t>
  </si>
  <si>
    <t>-464.648199375323 -180.559552994189 825.034479019281</t>
  </si>
  <si>
    <t>9763-20170724T104454.897887600.bin</t>
  </si>
  <si>
    <t>-692.097931331361 129.845310227391 -523.331860000364</t>
  </si>
  <si>
    <t>-615.555807007649 154.428932370028 -240.26280797595</t>
  </si>
  <si>
    <t>-382.384032250074 206.106917369448 -272.062167694374</t>
  </si>
  <si>
    <t>-646.311907465975 56.9616811426602 -101.845276506722</t>
  </si>
  <si>
    <t>-663.38538113254 77.6776839643187 300.813387019021</t>
  </si>
  <si>
    <t>-710.06689562546 103.464623423277 745.450275656296</t>
  </si>
  <si>
    <t>-565.758554614437 127.095590803957 806.310699833783</t>
  </si>
  <si>
    <t>-569.597468507218 -133.595080628788 305.465274516718</t>
  </si>
  <si>
    <t>-599.853038280869 -141.598832174657 752.249761576198</t>
  </si>
  <si>
    <t>-464.682705684534 -180.60086529586 825.01726265731</t>
  </si>
  <si>
    <t>9763-20170724T104454.944017400.bin</t>
  </si>
  <si>
    <t>-693.763282105266 126.497889158527 -525.046782752837</t>
  </si>
  <si>
    <t>-616.342922859139 155.08622503729 -242.593196434698</t>
  </si>
  <si>
    <t>-383.450403379375 207.244873524224 -275.630028217164</t>
  </si>
  <si>
    <t>-646.59079964478 56.3038911855003 -102.720253812177</t>
  </si>
  <si>
    <t>-663.097396875423 77.1441011918691 299.955705984558</t>
  </si>
  <si>
    <t>-710.037519873141 103.066333114189 744.550181243617</t>
  </si>
  <si>
    <t>-565.760621983934 126.911265507402 805.401574426385</t>
  </si>
  <si>
    <t>-570.038723385455 -133.953253561012 305.294313537183</t>
  </si>
  <si>
    <t>-599.838829551653 -141.798961596727 752.181582716771</t>
  </si>
  <si>
    <t>-464.405246866427 -180.002781449892 824.883122331514</t>
  </si>
  <si>
    <t>9763-20170724T104454.954041900.bin</t>
  </si>
  <si>
    <t>-694.070501737145 126.063359346567 -525.294482817414</t>
  </si>
  <si>
    <t>-616.46558730609 155.33989021431 -242.962134963083</t>
  </si>
  <si>
    <t>-383.575414297353 207.476799944261 -276.049425787435</t>
  </si>
  <si>
    <t>-646.611288912056 56.2187271205132 -102.800419830511</t>
  </si>
  <si>
    <t>-663.037171142756 77.0745925398887 299.878018824705</t>
  </si>
  <si>
    <t>-710.109995086862 103.161911603312 744.504050857206</t>
  </si>
  <si>
    <t>-565.850498514403 127.11739891 805.353337923042</t>
  </si>
  <si>
    <t>-570.129906648846 -133.967895650809 305.278185985628</t>
  </si>
  <si>
    <t>-599.833703150517 -141.788670041974 752.172080396988</t>
  </si>
  <si>
    <t>-464.375419974057 -179.918879086208 824.866294120006</t>
  </si>
  <si>
    <t>9763-20170724T104455.031142100.bin</t>
  </si>
  <si>
    <t>-694.831566220672 125.312680358801 -525.731812640806</t>
  </si>
  <si>
    <t>-616.977015576868 155.731007758642 -243.588787916766</t>
  </si>
  <si>
    <t>-384.044515453439 207.794534359036 -276.492861116358</t>
  </si>
  <si>
    <t>-646.728616742543 56.0245832768935 -102.876252168643</t>
  </si>
  <si>
    <t>-663.12643241764 77.0041196664106 299.79684269745</t>
  </si>
  <si>
    <t>-710.098510758761 103.044168784891 744.395262710508</t>
  </si>
  <si>
    <t>-565.829662374864 126.934832993752 805.24774510165</t>
  </si>
  <si>
    <t>-570.390096254976 -134.139250539521 305.250041393735</t>
  </si>
  <si>
    <t>-599.825384194821 -141.881150793466 752.169824484999</t>
  </si>
  <si>
    <t>-464.373608449979 -180.057401637366 824.851934375631</t>
  </si>
  <si>
    <t>9763-20170724T104455.083295600.bin</t>
  </si>
  <si>
    <t>-695.592077266944 124.660455475927 -526.090070451648</t>
  </si>
  <si>
    <t>-617.380278455405 156.027709802142 -244.149960271585</t>
  </si>
  <si>
    <t>-384.388040546771 207.949813868509 -276.853513132242</t>
  </si>
  <si>
    <t>-646.963423559955 55.9521448349183 -102.85662674245</t>
  </si>
  <si>
    <t>-663.255874686729 76.9644669041068 299.819072561497</t>
  </si>
  <si>
    <t>-710.083639607366 102.966199974888 744.477423485049</t>
  </si>
  <si>
    <t>-565.854195101987 127.096698696662 805.328692383454</t>
  </si>
  <si>
    <t>-570.722461360879 -134.034430841685 305.245289703486</t>
  </si>
  <si>
    <t>-599.80975272703 -141.676090264194 752.167013742408</t>
  </si>
  <si>
    <t>-464.50993652666 -180.356545425975 824.865562404698</t>
  </si>
  <si>
    <t>9763-20170724T104455.151470200.bin</t>
  </si>
  <si>
    <t>-696.015113806129 124.133860538848 -526.33538587051</t>
  </si>
  <si>
    <t>-617.548437904234 156.250165587723 -244.550513563862</t>
  </si>
  <si>
    <t>-384.478255127968 208.095259774507 -276.818723292892</t>
  </si>
  <si>
    <t>-647.193026424075 55.8480687300748 -102.838243527495</t>
  </si>
  <si>
    <t>-663.335664230892 76.9542311135785 299.838604940699</t>
  </si>
  <si>
    <t>-710.073706469411 102.923787416135 744.507839983983</t>
  </si>
  <si>
    <t>-565.847916435065 127.026028977029 805.378952295674</t>
  </si>
  <si>
    <t>-570.961414280764 -134.170030981145 305.270756080621</t>
  </si>
  <si>
    <t>-599.798628608748 -141.933921217158 752.182006484443</t>
  </si>
  <si>
    <t>-464.334249383279 -180.055624563917 824.869278134188</t>
  </si>
  <si>
    <t>9763-20170724T104455.186563400.bin</t>
  </si>
  <si>
    <t>-696.266572684907 124.034452621467 -526.434502093672</t>
  </si>
  <si>
    <t>-617.726997242831 156.43312890089 -244.702322512926</t>
  </si>
  <si>
    <t>-384.630193504488 208.22050384998 -276.870842289329</t>
  </si>
  <si>
    <t>-647.346379952635 55.8827745054484 -102.839413643442</t>
  </si>
  <si>
    <t>-663.440713016155 76.994915321925 299.839022062959</t>
  </si>
  <si>
    <t>-710.056112600794 102.876019218025 744.515439663341</t>
  </si>
  <si>
    <t>-565.833620956064 126.994239065483 805.388144244538</t>
  </si>
  <si>
    <t>-571.077048668103 -134.07402299001 305.273002681079</t>
  </si>
  <si>
    <t>-599.7877205816 -141.819985848564 752.182341352793</t>
  </si>
  <si>
    <t>-464.463488701103 -180.399813738789 824.888998548011</t>
  </si>
  <si>
    <t>9763-20170724T104455.248464000.bin</t>
  </si>
  <si>
    <t>-696.9982397497 123.86445672076 -526.608095305657</t>
  </si>
  <si>
    <t>-618.270719042111 156.53220882364 -244.959305899602</t>
  </si>
  <si>
    <t>-385.182268370233 208.367041316379 -277.111709161441</t>
  </si>
  <si>
    <t>-647.776082190734 55.9434964769459 -102.841398146349</t>
  </si>
  <si>
    <t>-663.726178454996 77.0628526035587 299.842390097263</t>
  </si>
  <si>
    <t>-710.114006511125 102.968810442653 744.539496159507</t>
  </si>
  <si>
    <t>-565.887692165207 127.073191713978 805.408659380079</t>
  </si>
  <si>
    <t>-571.332866896934 -134.079957406229 305.267424737405</t>
  </si>
  <si>
    <t>-599.774517368898 -141.845400983503 752.191679298907</t>
  </si>
  <si>
    <t>-464.321739832782 -179.985088180995 824.891020759909</t>
  </si>
  <si>
    <t>9763-20170724T104455.287568900.bin</t>
  </si>
  <si>
    <t>-697.505613115171 123.888462354949 -526.700182408874</t>
  </si>
  <si>
    <t>-618.838640149299 156.809469466451 -245.064012509438</t>
  </si>
  <si>
    <t>-385.732596611544 208.546623512862 -277.246168702181</t>
  </si>
  <si>
    <t>-648.034920689786 56.0222382588709 -102.835436669113</t>
  </si>
  <si>
    <t>-663.894410915752 77.1632938956986 299.850825990459</t>
  </si>
  <si>
    <t>-710.163958240822 103.051001839128 744.560731371057</t>
  </si>
  <si>
    <t>-565.91059963503 126.989305759378 805.431289558432</t>
  </si>
  <si>
    <t>-571.44927437434 -133.892509167324 305.243335314391</t>
  </si>
  <si>
    <t>-599.759429781895 -141.697811288036 752.180806238291</t>
  </si>
  <si>
    <t>-464.492675910272 -180.4314112323 824.912503668864</t>
  </si>
  <si>
    <t>9763-20170724T104455.351680700.bin</t>
  </si>
  <si>
    <t>-698.36528237734 123.721978190869 -526.848373476612</t>
  </si>
  <si>
    <t>-620.131577496441 157.100831183554 -245.145440028785</t>
  </si>
  <si>
    <t>-386.91449464996 208.605594009113 -276.893281725018</t>
  </si>
  <si>
    <t>-648.504908855384 56.0269811455253 -102.796037662588</t>
  </si>
  <si>
    <t>-663.974150575917 77.0861385995333 299.909683166954</t>
  </si>
  <si>
    <t>-710.180682056235 102.981835530146 744.639245288072</t>
  </si>
  <si>
    <t>-565.946349511464 127.107964899158 805.480622104833</t>
  </si>
  <si>
    <t>-571.540684662348 -133.800068800797 305.211406011374</t>
  </si>
  <si>
    <t>-599.729588772865 -141.669402586129 752.162125000852</t>
  </si>
  <si>
    <t>-464.419090889278 -180.218805192292 824.910326303887</t>
  </si>
  <si>
    <t>9763-20170724T104455.384785800.bin</t>
  </si>
  <si>
    <t>-698.782990043565 123.911390822576 -526.842800237181</t>
  </si>
  <si>
    <t>-620.850541483426 157.191019140938 -245.044567752134</t>
  </si>
  <si>
    <t>-387.739530584283 209.325151802906 -276.543454926269</t>
  </si>
  <si>
    <t>-648.808197441917 56.214308905337 -102.783659671186</t>
  </si>
  <si>
    <t>-664.22638574427 77.1724268219209 299.929280515455</t>
  </si>
  <si>
    <t>-710.239880326713 103.065165732974 744.669801929024</t>
  </si>
  <si>
    <t>-565.947004902597 126.828555584367 805.515193490633</t>
  </si>
  <si>
    <t>-571.617837834855 -133.72218098349 305.199066046408</t>
  </si>
  <si>
    <t>-599.71941918698 -141.707325934088 752.152554406737</t>
  </si>
  <si>
    <t>-464.422556148506 -180.283429033492 824.911937181521</t>
  </si>
  <si>
    <t>9763-20170724T104455.454963700.bin</t>
  </si>
  <si>
    <t>-699.383729038903 124.059045126546 -526.96323384192</t>
  </si>
  <si>
    <t>-622.519362749164 157.373647499143 -244.87598525241</t>
  </si>
  <si>
    <t>-389.577101376796 210.546583512904 -275.882885050862</t>
  </si>
  <si>
    <t>-649.406670242736 56.2572361276405 -102.787926274778</t>
  </si>
  <si>
    <t>-664.67453670181 77.2592898848309 299.928402125242</t>
  </si>
  <si>
    <t>-710.243346636376 103.045360176771 744.715132488314</t>
  </si>
  <si>
    <t>-565.992436892905 127.031622020453 805.572563005774</t>
  </si>
  <si>
    <t>-571.901941340547 -133.626350884128 305.171221366991</t>
  </si>
  <si>
    <t>-599.712401198752 -141.731631641181 752.143082226132</t>
  </si>
  <si>
    <t>-464.361842244844 -180.119317407281 824.90226801566</t>
  </si>
  <si>
    <t>9763-20170724T104455.487049000.bin</t>
  </si>
  <si>
    <t>-699.565139621951 124.013601981911 -527.098615313701</t>
  </si>
  <si>
    <t>-623.12826240055 157.573699934594 -244.92434852458</t>
  </si>
  <si>
    <t>-390.323101900376 211.293057519933 -276.018115158062</t>
  </si>
  <si>
    <t>-649.744055686428 56.2526708958178 -102.801989239739</t>
  </si>
  <si>
    <t>-664.887603743874 77.3014393911869 299.916674351398</t>
  </si>
  <si>
    <t>-710.214073621933 102.981928335067 744.730182413133</t>
  </si>
  <si>
    <t>-565.965386662908 126.95409183776 805.598446897451</t>
  </si>
  <si>
    <t>-572.121015273075 -133.544968750579 305.156179929437</t>
  </si>
  <si>
    <t>-599.702930205391 -141.645028661682 752.138460764379</t>
  </si>
  <si>
    <t>-464.366907544194 -180.077045993593 824.901514252546</t>
  </si>
  <si>
    <t>9763-20170724T104455.551922800.bin</t>
  </si>
  <si>
    <t>-699.916181520605 123.621227995226 -527.70942436538</t>
  </si>
  <si>
    <t>-624.06028232568 158.477080916335 -245.535370516653</t>
  </si>
  <si>
    <t>-391.351226986553 213.02467010344 -275.898737990779</t>
  </si>
  <si>
    <t>-650.394654577218 56.3769055360281 -102.812161836497</t>
  </si>
  <si>
    <t>-665.308345773562 77.4159976899361 299.915567206782</t>
  </si>
  <si>
    <t>-710.208869799333 102.962836545043 744.771458430226</t>
  </si>
  <si>
    <t>-565.957454108469 126.866098146306 805.660419510265</t>
  </si>
  <si>
    <t>-572.532520835781 -133.421813218096 305.115136738554</t>
  </si>
  <si>
    <t>-599.695911648702 -141.853250892199 752.1391750687</t>
  </si>
  <si>
    <t>-464.284306736675 -180.035753651276 824.89280141886</t>
  </si>
  <si>
    <t>9763-20170724T104455.584006800.bin</t>
  </si>
  <si>
    <t>-700.014465120999 123.35893580846 -528.190144314683</t>
  </si>
  <si>
    <t>-624.601598852053 159.196315408427 -246.020416870175</t>
  </si>
  <si>
    <t>-391.877423231721 214.051517173232 -275.706263703519</t>
  </si>
  <si>
    <t>-650.749903521323 56.5167502633321 -102.832547044738</t>
  </si>
  <si>
    <t>-665.484061718677 77.540101917007 299.902610677091</t>
  </si>
  <si>
    <t>-710.204666484092 102.957923348492 744.78808631717</t>
  </si>
  <si>
    <t>-565.986074596087 127.034599697072 805.686354656855</t>
  </si>
  <si>
    <t>-572.699958995315 -133.212886410266 305.101164248853</t>
  </si>
  <si>
    <t>-599.683762159504 -141.67183324349 752.128472307232</t>
  </si>
  <si>
    <t>-464.463940628764 -180.4838991342 824.905757424852</t>
  </si>
  <si>
    <t>9763-20170724T104455.654200900.bin</t>
  </si>
  <si>
    <t>-700.060479141689 122.656062288397 -529.214193968392</t>
  </si>
  <si>
    <t>-625.708996237823 159.995989487812 -246.957555400071</t>
  </si>
  <si>
    <t>-392.896276325147 215.302250646815 -275.070496472321</t>
  </si>
  <si>
    <t>-651.597438484421 56.903443169155 -102.886841515381</t>
  </si>
  <si>
    <t>-665.763023658281 77.7774283207389 299.876508072519</t>
  </si>
  <si>
    <t>-710.214489690788 102.968063305754 744.819888036378</t>
  </si>
  <si>
    <t>-566.010977479012 127.096453624697 805.733418940686</t>
  </si>
  <si>
    <t>-573.181121657857 -133.061442503045 305.096625007807</t>
  </si>
  <si>
    <t>-599.663263923136 -141.844371470439 752.127913199741</t>
  </si>
  <si>
    <t>-464.312549826849 -180.198586467717 824.904555919696</t>
  </si>
  <si>
    <t>9763-20170724T104455.683279100.bin</t>
  </si>
  <si>
    <t>-699.949049676191 122.37377789272 -529.746960787054</t>
  </si>
  <si>
    <t>-626.206562073552 160.298679899727 -247.408425888642</t>
  </si>
  <si>
    <t>-393.375664926366 215.913977789026 -274.750641498911</t>
  </si>
  <si>
    <t>-651.998375043058 57.0756580694201 -102.936110534079</t>
  </si>
  <si>
    <t>-665.916125446364 77.9479266224548 299.835909632395</t>
  </si>
  <si>
    <t>-710.197260970789 102.921649277799 744.817899104642</t>
  </si>
  <si>
    <t>-566.015952296983 127.174493319883 805.734539818391</t>
  </si>
  <si>
    <t>-573.514168456001 -132.867149364585 305.087024907917</t>
  </si>
  <si>
    <t>-599.647474824886 -141.638910732849 752.124132638878</t>
  </si>
  <si>
    <t>-464.328401379547 -180.076061745047 824.915827821199</t>
  </si>
  <si>
    <t>9763-20170724T104455.750117700.bin</t>
  </si>
  <si>
    <t>-699.986693951819 121.899465484753 -530.747925646935</t>
  </si>
  <si>
    <t>-627.093010941338 160.663814268498 -248.30309013869</t>
  </si>
  <si>
    <t>-394.492524153454 217.440348158622 -275.216342851987</t>
  </si>
  <si>
    <t>-652.76189276929 57.4381978466245 -103.068075828607</t>
  </si>
  <si>
    <t>-666.29678465387 78.4086806669138 299.711871829753</t>
  </si>
  <si>
    <t>-710.252490260192 103.010499295405 744.774400161334</t>
  </si>
  <si>
    <t>-566.045490082511 127.08420230616 805.701343250446</t>
  </si>
  <si>
    <t>-574.073800045023 -132.593753731302 305.058425128938</t>
  </si>
  <si>
    <t>-599.620771510243 -141.60387000485 752.124085218862</t>
  </si>
  <si>
    <t>-464.405277074475 -180.345528237438 824.946871111982</t>
  </si>
  <si>
    <t>9763-20170724T104455.787216900.bin</t>
  </si>
  <si>
    <t>-700.186307492472 121.499899182782 -531.196828756332</t>
  </si>
  <si>
    <t>-627.632928324267 160.995698633289 -248.765778107387</t>
  </si>
  <si>
    <t>-395.052381109778 217.804436639254 -275.783096422358</t>
  </si>
  <si>
    <t>-653.157953422634 57.5153572493357 -103.134743694467</t>
  </si>
  <si>
    <t>-666.577799737448 78.5522201578772 299.645611469344</t>
  </si>
  <si>
    <t>-710.247788478723 102.998084730259 744.740618392115</t>
  </si>
  <si>
    <t>-566.040722075315 127.061992271158 805.671482821748</t>
  </si>
  <si>
    <t>-574.293477139249 -132.555881944474 305.061144679139</t>
  </si>
  <si>
    <t>-599.609355606616 -141.569633003395 752.129326119539</t>
  </si>
  <si>
    <t>-464.309289344922 -180.031270710182 824.943441574627</t>
  </si>
  <si>
    <t>9763-20170724T104455.850419700.bin</t>
  </si>
  <si>
    <t>-700.574362058076 120.385490023008 -532.054584223362</t>
  </si>
  <si>
    <t>-628.411039867457 161.256826635761 -249.719236233084</t>
  </si>
  <si>
    <t>-395.737149742387 217.906574813003 -276.261749810301</t>
  </si>
  <si>
    <t>-654.043357632372 57.5361068676898 -103.272494385338</t>
  </si>
  <si>
    <t>-667.05048417587 78.6042876440279 299.519737914781</t>
  </si>
  <si>
    <t>-710.245276797864 102.993467391291 744.665463752829</t>
  </si>
  <si>
    <t>-566.043342243745 127.048579399507 805.611914683849</t>
  </si>
  <si>
    <t>-574.82410810573 -132.422948440519 305.058480410187</t>
  </si>
  <si>
    <t>-599.60622779284 -141.59393544467 752.148763454481</t>
  </si>
  <si>
    <t>-464.396691613893 -180.369056403985 824.964714758016</t>
  </si>
  <si>
    <t>9763-20170724T104455.883507500.bin</t>
  </si>
  <si>
    <t>-700.720890210766 119.456298995113 -532.515505198397</t>
  </si>
  <si>
    <t>-628.227801290933 160.978809132571 -250.359692201089</t>
  </si>
  <si>
    <t>-395.479952687822 217.484588598682 -276.558801688391</t>
  </si>
  <si>
    <t>-654.378899258622 57.3300280077065 -103.338760986661</t>
  </si>
  <si>
    <t>-667.27375110474 78.5120810751469 299.451166804924</t>
  </si>
  <si>
    <t>-710.235937856672 102.979573506787 744.619964125747</t>
  </si>
  <si>
    <t>-566.069011700261 127.224582838687 805.573899556309</t>
  </si>
  <si>
    <t>-575.054531166993 -132.492379626591 305.06004079411</t>
  </si>
  <si>
    <t>-599.606609009828 -141.585854245223 752.161484880147</t>
  </si>
  <si>
    <t>-464.341855060918 -180.191764087801 824.964919410452</t>
  </si>
  <si>
    <t>9763-20170724T104455.948522400.bin</t>
  </si>
  <si>
    <t>-700.692971888122 117.472359405648 -533.51562964653</t>
  </si>
  <si>
    <t>-627.674857455787 160.724797852918 -251.75541444835</t>
  </si>
  <si>
    <t>-394.556800992838 216.459997860196 -276.258760761495</t>
  </si>
  <si>
    <t>-654.813420108246 56.9171362490656 -103.485407042331</t>
  </si>
  <si>
    <t>-667.684092591283 78.3942859220551 299.289629758015</t>
  </si>
  <si>
    <t>-710.300858043229 103.107326751452 744.50366793681</t>
  </si>
  <si>
    <t>-566.105931237019 127.142534984135 805.474277868234</t>
  </si>
  <si>
    <t>-575.475939967956 -132.768891547205 305.08725864321</t>
  </si>
  <si>
    <t>-599.610947296568 -141.791620005595 752.198159497034</t>
  </si>
  <si>
    <t>-464.234937229244 -180.050603010873 824.977832365361</t>
  </si>
  <si>
    <t>9763-20170724T104455.986623100.bin</t>
  </si>
  <si>
    <t>-700.568279559885 116.681262971835 -533.971071757629</t>
  </si>
  <si>
    <t>-627.345594124288 160.623364464174 -252.370706423339</t>
  </si>
  <si>
    <t>-394.006103531963 215.799063396871 -276.018361577442</t>
  </si>
  <si>
    <t>-654.97247801627 56.7405016762755 -103.56613445424</t>
  </si>
  <si>
    <t>-667.775758351011 78.3076828736212 299.206304527676</t>
  </si>
  <si>
    <t>-710.304000663564 103.113779778361 744.437191846273</t>
  </si>
  <si>
    <t>-566.132814477273 127.279133599476 805.412716335401</t>
  </si>
  <si>
    <t>-575.691337085773 -132.810064760116 305.099394625759</t>
  </si>
  <si>
    <t>-599.610904204313 -141.611904053041 752.212884443288</t>
  </si>
  <si>
    <t>-464.340587599886 -180.235637214239 824.996397906855</t>
  </si>
  <si>
    <t>9763-20170724T104456.052816700.bin</t>
  </si>
  <si>
    <t>-700.325537744362 115.453583775498 -534.64442765069</t>
  </si>
  <si>
    <t>-626.615730832579 159.809365876762 -253.23612696983</t>
  </si>
  <si>
    <t>-393.084159864391 214.635055898714 -275.775476823102</t>
  </si>
  <si>
    <t>-655.206315623504 56.3338025312109 -103.720860414039</t>
  </si>
  <si>
    <t>-667.849646307939 78.1077879172144 299.045400596135</t>
  </si>
  <si>
    <t>-710.266231368153 103.004259674268 744.295952672092</t>
  </si>
  <si>
    <t>-566.109318177991 127.24629272059 805.274746870011</t>
  </si>
  <si>
    <t>-576.229459197152 -133.124941282921 305.129305849902</t>
  </si>
  <si>
    <t>-599.62793117747 -141.696898781133 752.261433342034</t>
  </si>
  <si>
    <t>-464.356748482843 -180.36902236274 825.017713648738</t>
  </si>
  <si>
    <t>9763-20170724T104456.081893500.bin</t>
  </si>
  <si>
    <t>-700.127610426971 114.954224300539 -534.885837014913</t>
  </si>
  <si>
    <t>-626.327942293769 159.637779252992 -253.552945256257</t>
  </si>
  <si>
    <t>-392.739187413037 214.335534913474 -275.808687257612</t>
  </si>
  <si>
    <t>-655.246632155128 56.0122933114096 -103.792364650874</t>
  </si>
  <si>
    <t>-667.873480939806 77.9819820024259 298.963838916629</t>
  </si>
  <si>
    <t>-710.303247096364 103.06026853975 744.212871968534</t>
  </si>
  <si>
    <t>-566.136014503378 127.236566970351 805.193322669393</t>
  </si>
  <si>
    <t>-576.484044096175 -133.374563468434 305.145028592939</t>
  </si>
  <si>
    <t>-599.640992305623 -141.789014428552 752.294385949657</t>
  </si>
  <si>
    <t>-464.353097290407 -180.435013824079 825.033398714887</t>
  </si>
  <si>
    <t>9763-20170724T104456.150619000.bin</t>
  </si>
  <si>
    <t>-699.550509333715 114.074849441655 -535.242647853719</t>
  </si>
  <si>
    <t>-625.343795307713 159.239365225522 -254.093700841732</t>
  </si>
  <si>
    <t>-391.723452553226 214.22904460666 -275.272093506804</t>
  </si>
  <si>
    <t>-655.065391556579 55.2248448385412 -103.918882993941</t>
  </si>
  <si>
    <t>-667.685075360822 77.6043197451784 298.815031581273</t>
  </si>
  <si>
    <t>-710.327661701228 103.055168549342 744.030211295489</t>
  </si>
  <si>
    <t>-566.171983650377 127.278669725539 805.019103731549</t>
  </si>
  <si>
    <t>-576.890963194041 -133.78585448827 305.185110336778</t>
  </si>
  <si>
    <t>-599.659804778629 -141.581284734117 752.350520564372</t>
  </si>
  <si>
    <t>-464.534308396104 -180.824296284959 825.071839347753</t>
  </si>
  <si>
    <t>9763-20170724T104456.185711500.bin</t>
  </si>
  <si>
    <t>-699.39365329464 113.658345661936 -535.322510378113</t>
  </si>
  <si>
    <t>-625.023773373081 159.044151095134 -254.252355317876</t>
  </si>
  <si>
    <t>-391.342854632954 214.081631590684 -274.623603961499</t>
  </si>
  <si>
    <t>-654.981635549346 54.7943593801601 -103.97263547814</t>
  </si>
  <si>
    <t>-667.588504107929 77.4052048574417 298.748707432911</t>
  </si>
  <si>
    <t>-710.359563372324 103.091201630812 743.938451595566</t>
  </si>
  <si>
    <t>-566.164461388539 127.055166003745 804.936746667501</t>
  </si>
  <si>
    <t>-577.027852852442 -134.124412628169 305.211842842072</t>
  </si>
  <si>
    <t>-599.680267275445 -141.6631398092 752.395088521051</t>
  </si>
  <si>
    <t>-464.477407188384 -180.7077377386 825.07948337796</t>
  </si>
  <si>
    <t>9763-20170724T104456.259403200.bin</t>
  </si>
  <si>
    <t>-698.925057707641 112.857200107287 -535.362700850028</t>
  </si>
  <si>
    <t>-624.34427878203 158.274429788012 -254.353464519807</t>
  </si>
  <si>
    <t>-390.638301026527 213.516422322762 -273.865294410158</t>
  </si>
  <si>
    <t>-654.752735497204 53.5688920987861 -104.114867839515</t>
  </si>
  <si>
    <t>-667.222176488663 76.6162076816895 298.58600838548</t>
  </si>
  <si>
    <t>-710.368852818911 102.996989296144 743.559206546924</t>
  </si>
  <si>
    <t>-566.208539675128 127.188816736973 804.54986714998</t>
  </si>
  <si>
    <t>-577.38524554074 -135.181164004947 305.264240586029</t>
  </si>
  <si>
    <t>-599.724919279756 -142.114393296526 752.46972525879</t>
  </si>
  <si>
    <t>-464.200608135847 -180.195022506876 825.066677953541</t>
  </si>
  <si>
    <t>9763-20170724T104456.284484200.bin</t>
  </si>
  <si>
    <t>-698.78683444388 112.585478357113 -535.283556712336</t>
  </si>
  <si>
    <t>-623.866296353439 157.771546753816 -254.327344636491</t>
  </si>
  <si>
    <t>-390.202059701828 213.191935415892 -273.83266308314</t>
  </si>
  <si>
    <t>-654.633369755597 52.8840653095945 -104.276367702018</t>
  </si>
  <si>
    <t>-666.957779595689 76.2478249509793 298.410799318377</t>
  </si>
  <si>
    <t>-710.357746559371 102.915918920307 743.422236502914</t>
  </si>
  <si>
    <t>-566.212848299631 127.22514059445 804.402525022221</t>
  </si>
  <si>
    <t>-577.511440084512 -135.633171636493 305.257875303309</t>
  </si>
  <si>
    <t>-599.741717455111 -142.154847412463 752.492612778856</t>
  </si>
  <si>
    <t>-464.232499469833 -180.336264603046 825.064925108469</t>
  </si>
  <si>
    <t>9763-20170724T104456.350620300.bin</t>
  </si>
  <si>
    <t>-698.432653966654 112.335141380099 -534.804517814929</t>
  </si>
  <si>
    <t>-622.891493861345 156.078491208498 -253.786143765381</t>
  </si>
  <si>
    <t>-389.159101226124 211.17417527578 -273.395146951378</t>
  </si>
  <si>
    <t>-654.15380710904 51.5088879398895 -104.362857865113</t>
  </si>
  <si>
    <t>-666.475236412433 75.5778285512081 298.282798114606</t>
  </si>
  <si>
    <t>-710.407148742226 102.885493802104 743.24845916018</t>
  </si>
  <si>
    <t>-566.237574037668 127.108411123079 804.204903165705</t>
  </si>
  <si>
    <t>-577.609085602496 -136.461189795189 305.305509628297</t>
  </si>
  <si>
    <t>-599.7543550485 -141.994919833921 752.544062977163</t>
  </si>
  <si>
    <t>-464.31975381337 -180.498820799517 825.085237184462</t>
  </si>
  <si>
    <t>9763-20170724T104456.383710000.bin</t>
  </si>
  <si>
    <t>-698.207499113347 112.006184034503 -534.542031760667</t>
  </si>
  <si>
    <t>-622.675103991573 154.317169265952 -253.302180173484</t>
  </si>
  <si>
    <t>-389.179236502632 210.206763560442 -273.474314161399</t>
  </si>
  <si>
    <t>-653.913863276873 50.7372873511231 -104.368900080643</t>
  </si>
  <si>
    <t>-666.272092738806 75.1432113885517 298.255336811346</t>
  </si>
  <si>
    <t>-710.408681089062 102.809991415474 743.16343926213</t>
  </si>
  <si>
    <t>-566.2566162308 127.181660012101 804.101869839056</t>
  </si>
  <si>
    <t>-577.592136796087 -136.964947804957 305.336275500623</t>
  </si>
  <si>
    <t>-599.760034634157 -141.99429991425 752.579190113819</t>
  </si>
  <si>
    <t>-464.350839813407 -180.625186511078 825.100202214057</t>
  </si>
  <si>
    <t>9763-20170724T104456.455495100.bin</t>
  </si>
  <si>
    <t>-697.74057847976 110.761965441049 -534.319776308516</t>
  </si>
  <si>
    <t>-622.457633839249 149.741918260619 -252.532199828603</t>
  </si>
  <si>
    <t>-389.956132783793 209.492891902238 -273.117567435216</t>
  </si>
  <si>
    <t>-653.350871773883 49.2877796115986 -104.362228122332</t>
  </si>
  <si>
    <t>-666.018539327162 74.2294293174782 298.219545456556</t>
  </si>
  <si>
    <t>-710.482462722705 102.780140711497 743.013935648685</t>
  </si>
  <si>
    <t>-566.28219351954 126.944943040619 803.920872096528</t>
  </si>
  <si>
    <t>-577.480564468509 -138.04301923715 305.422901188928</t>
  </si>
  <si>
    <t>-599.781320124203 -142.143897688127 752.66126256525</t>
  </si>
  <si>
    <t>-464.250378153975 -180.478430624282 825.112261096155</t>
  </si>
  <si>
    <t>9763-20170724T104456.485575800.bin</t>
  </si>
  <si>
    <t>-697.692638098824 109.882457393094 -534.359238593791</t>
  </si>
  <si>
    <t>-622.60270511442 149.194794367411 -252.566312075124</t>
  </si>
  <si>
    <t>-390.280880590946 209.727938199578 -272.893498028329</t>
  </si>
  <si>
    <t>-653.091268954925 48.5409568735859 -104.373716313031</t>
  </si>
  <si>
    <t>-665.780213112472 73.753571346065 298.190578665073</t>
  </si>
  <si>
    <t>-710.497386992061 102.759030889618 742.920740258166</t>
  </si>
  <si>
    <t>-566.305551598858 126.984217929555 803.823500023621</t>
  </si>
  <si>
    <t>-577.419290711697 -138.620199792332 305.466250941021</t>
  </si>
  <si>
    <t>-599.793405040174 -142.30540049219 752.701556379126</t>
  </si>
  <si>
    <t>-464.200462474379 -180.486806605301 825.117317268232</t>
  </si>
  <si>
    <t>9763-20170724T104456.550280700.bin</t>
  </si>
  <si>
    <t>-697.449913776539 107.955522095745 -534.635540086539</t>
  </si>
  <si>
    <t>-622.927451815407 148.844008462793 -252.916243530186</t>
  </si>
  <si>
    <t>-390.986264081407 210.982227854966 -272.740268108906</t>
  </si>
  <si>
    <t>-652.351383227632 47.0881956057485 -104.365265366959</t>
  </si>
  <si>
    <t>-665.033889170553 72.8059991087646 298.167228332205</t>
  </si>
  <si>
    <t>-710.452224142745 102.551364165823 742.762463904852</t>
  </si>
  <si>
    <t>-566.301099032156 127.043181114147 803.655246099466</t>
  </si>
  <si>
    <t>-577.242232128564 -139.424668903903 305.51513547775</t>
  </si>
  <si>
    <t>-599.794705023078 -142.332510995709 752.751846272542</t>
  </si>
  <si>
    <t>-464.163120995983 -180.449961989899 825.128936658696</t>
  </si>
  <si>
    <t>9763-20170724T104456.584366100.bin</t>
  </si>
  <si>
    <t>-697.338494590782 107.083822297716 -534.769413507946</t>
  </si>
  <si>
    <t>-622.788854995438 148.504113807051 -253.135036396121</t>
  </si>
  <si>
    <t>-390.990507516751 211.187811689358 -272.912404594486</t>
  </si>
  <si>
    <t>-652.028913974371 46.551325213012 -104.378272061824</t>
  </si>
  <si>
    <t>-664.667773781033 72.5049020869601 298.140465183342</t>
  </si>
  <si>
    <t>-710.439227762217 102.481729710138 742.673860740085</t>
  </si>
  <si>
    <t>-566.305053628445 127.082576957698 803.562515584719</t>
  </si>
  <si>
    <t>-577.014208882132 -139.712995730185 305.541880506839</t>
  </si>
  <si>
    <t>-599.787488419634 -142.387839726854 752.769240715041</t>
  </si>
  <si>
    <t>-464.232460583993 -180.774473967788 825.147494474205</t>
  </si>
  <si>
    <t>9763-20170724T104456.651938900.bin</t>
  </si>
  <si>
    <t>-697.124932552873 105.805230875692 -534.927834764496</t>
  </si>
  <si>
    <t>-622.327214074537 148.093880710149 -253.488391432923</t>
  </si>
  <si>
    <t>-390.678946163857 211.316554901371 -273.308494710628</t>
  </si>
  <si>
    <t>-651.56109106221 45.9296484990771 -104.455622406245</t>
  </si>
  <si>
    <t>-664.058487520898 72.0968878363303 298.053688873449</t>
  </si>
  <si>
    <t>-710.458515680659 102.437307722404 742.490293237389</t>
  </si>
  <si>
    <t>-566.347864193342 127.197627673057 803.370042790623</t>
  </si>
  <si>
    <t>-576.475245860525 -140.118343661817 305.589574207351</t>
  </si>
  <si>
    <t>-599.753790165593 -142.454294671935 752.781476008211</t>
  </si>
  <si>
    <t>-463.994570216328 -180.149510062952 825.140307067367</t>
  </si>
  <si>
    <t>9763-20170724T104456.684023100.bin</t>
  </si>
  <si>
    <t>-696.900495943797 105.459644671729 -535.002870751509</t>
  </si>
  <si>
    <t>-621.893033634529 147.81333058383 -253.629036121382</t>
  </si>
  <si>
    <t>-390.317629358681 211.191751331514 -273.79934487016</t>
  </si>
  <si>
    <t>-651.349694923765 45.8522082747427 -104.532655693237</t>
  </si>
  <si>
    <t>-663.858618493195 71.98929299065 297.978283237784</t>
  </si>
  <si>
    <t>-710.467424095436 102.422885046363 742.390630604704</t>
  </si>
  <si>
    <t>-566.364377156343 127.231185302353 803.268928577505</t>
  </si>
  <si>
    <t>-576.223903976822 -140.125240861641 305.60368577018</t>
  </si>
  <si>
    <t>-599.730978881181 -142.453758450589 752.778420756232</t>
  </si>
  <si>
    <t>-464.029295385109 -180.329471154287 825.150911671323</t>
  </si>
  <si>
    <t>9763-20170724T104456.750204100.bin</t>
  </si>
  <si>
    <t>-696.37720835992 104.76808853199 -535.361408833063</t>
  </si>
  <si>
    <t>-621.184903675276 147.578598881979 -254.105984602741</t>
  </si>
  <si>
    <t>-389.680613848117 211.110911865432 -274.606599146524</t>
  </si>
  <si>
    <t>-650.935586540016 45.7651571992144 -104.705913144372</t>
  </si>
  <si>
    <t>-663.448530692294 71.9102386345774 297.804360152416</t>
  </si>
  <si>
    <t>-710.485509481203 102.38852069842 742.190181824701</t>
  </si>
  <si>
    <t>-566.430150192475 127.509975331423 803.053032292928</t>
  </si>
  <si>
    <t>-575.618139810225 -140.052872687826 305.596513570901</t>
  </si>
  <si>
    <t>-599.687727775681 -142.380157261892 752.752837535367</t>
  </si>
  <si>
    <t>-464.027431215724 -180.365302758638 825.145528203674</t>
  </si>
  <si>
    <t>9763-20170724T104456.785298000.bin</t>
  </si>
  <si>
    <t>-696.104118981434 104.409805934025 -535.594959891875</t>
  </si>
  <si>
    <t>-621.043327097719 147.410142436992 -254.333587476776</t>
  </si>
  <si>
    <t>-389.721932569845 211.673934673037 -274.617678185717</t>
  </si>
  <si>
    <t>-650.764022644515 45.7872783545697 -104.777448415048</t>
  </si>
  <si>
    <t>-663.312536321749 71.8769052537591 297.735299355596</t>
  </si>
  <si>
    <t>-710.485679058828 102.345236098385 742.105198341595</t>
  </si>
  <si>
    <t>-566.435659336494 127.519800071234 802.958519825826</t>
  </si>
  <si>
    <t>-575.390888591557 -140.074030357389 305.571922902443</t>
  </si>
  <si>
    <t>-599.666912847831 -142.524240924641 752.732955369083</t>
  </si>
  <si>
    <t>-463.942175214769 -180.271551249813 825.129220253207</t>
  </si>
  <si>
    <t>9763-20170724T104456.854508300.bin</t>
  </si>
  <si>
    <t>-695.630117610753 103.848624973758 -536.138718999869</t>
  </si>
  <si>
    <t>-621.303061874634 148.086336063517 -254.874339837303</t>
  </si>
  <si>
    <t>-390.103390374889 213.062465013028 -274.256796616165</t>
  </si>
  <si>
    <t>-650.533940683136 45.8505152617895 -104.909457322991</t>
  </si>
  <si>
    <t>-663.160707847671 71.8386266503549 297.60740340576</t>
  </si>
  <si>
    <t>-710.4806305341 102.283438417801 741.948153224116</t>
  </si>
  <si>
    <t>-566.44786723168 127.580569291425 802.791456875771</t>
  </si>
  <si>
    <t>-575.072288755865 -139.960337257317 305.516167687794</t>
  </si>
  <si>
    <t>-599.621464266852 -142.427593206627 752.678333263199</t>
  </si>
  <si>
    <t>-463.935615664574 -180.25436350122 825.106000395347</t>
  </si>
  <si>
    <t>9763-20170724T104456.883589700.bin</t>
  </si>
  <si>
    <t>-695.522038350135 103.731223950493 -536.376416625158</t>
  </si>
  <si>
    <t>-621.354962802542 148.695301657799 -255.184781425257</t>
  </si>
  <si>
    <t>-390.182536521973 213.68223009859 -274.853431189231</t>
  </si>
  <si>
    <t>-650.37576328608 45.9582878666968 -104.955308288118</t>
  </si>
  <si>
    <t>-663.19044907598 71.9388978261968 297.556144884461</t>
  </si>
  <si>
    <t>-710.511413969273 102.328802670231 741.883556325962</t>
  </si>
  <si>
    <t>-566.448265952778 127.43925465348 802.732272221029</t>
  </si>
  <si>
    <t>-574.971854218662 -139.783297989449 305.489031713661</t>
  </si>
  <si>
    <t>-599.602745734839 -142.240361009591 752.651123467826</t>
  </si>
  <si>
    <t>-464.003276637608 -180.341013990053 825.097112584761</t>
  </si>
  <si>
    <t>9763-20170724T104456.952780300.bin</t>
  </si>
  <si>
    <t>-695.590352129267 103.168657989534 -536.657685036476</t>
  </si>
  <si>
    <t>-621.595980694474 148.263706016777 -255.441586336103</t>
  </si>
  <si>
    <t>-390.476716187341 213.11966533358 -276.140788753747</t>
  </si>
  <si>
    <t>-650.150097143282 46.0126383536224 -105.045587636976</t>
  </si>
  <si>
    <t>-662.971155825005 71.9219079836296 297.470212327741</t>
  </si>
  <si>
    <t>-710.551257363994 102.383602616738 741.779374964096</t>
  </si>
  <si>
    <t>-566.500834272026 127.559948136562 802.630985598291</t>
  </si>
  <si>
    <t>-574.84424549216 -139.820676871324 305.444798923434</t>
  </si>
  <si>
    <t>-599.580154429593 -142.635432912542 752.617490150687</t>
  </si>
  <si>
    <t>-463.810379263084 -180.141164416859 825.054805032271</t>
  </si>
  <si>
    <t>9763-20170724T104456.984858900.bin</t>
  </si>
  <si>
    <t>-695.575945418301 103.068304982562 -536.723426966347</t>
  </si>
  <si>
    <t>-621.882079800313 147.818138326192 -255.37330574358</t>
  </si>
  <si>
    <t>-390.720591407985 212.36488616218 -276.561635270971</t>
  </si>
  <si>
    <t>-650.089187637481 46.0170648050362 -105.086799815282</t>
  </si>
  <si>
    <t>-662.835849330253 71.8650170774142 297.435289386326</t>
  </si>
  <si>
    <t>-710.516781739352 102.30381454961 741.740187773099</t>
  </si>
  <si>
    <t>-566.498650159016 127.670367727699 802.589321903886</t>
  </si>
  <si>
    <t>-574.767906479956 -139.730909725972 305.423689940789</t>
  </si>
  <si>
    <t>-599.564309220222 -142.513888981373 752.593717797073</t>
  </si>
  <si>
    <t>-463.905276739227 -180.377114241131 825.052632738404</t>
  </si>
  <si>
    <t>9763-20170724T104457.050068800.bin</t>
  </si>
  <si>
    <t>-695.721719220888 102.913834577576 -536.801677471062</t>
  </si>
  <si>
    <t>-622.642526869563 147.019626262772 -255.18966441068</t>
  </si>
  <si>
    <t>-391.396956120756 211.050778573405 -277.015660939445</t>
  </si>
  <si>
    <t>-649.897118780455 45.9188882541951 -105.133328061497</t>
  </si>
  <si>
    <t>-662.818996660215 71.8149573685473 297.380146881169</t>
  </si>
  <si>
    <t>-710.531907047867 102.316446697483 741.662822874341</t>
  </si>
  <si>
    <t>-566.517342263753 127.681822182801 802.520789068358</t>
  </si>
  <si>
    <t>-574.713605075878 -139.824765303037 305.39347735656</t>
  </si>
  <si>
    <t>-599.541400127393 -142.520838339323 752.555203150138</t>
  </si>
  <si>
    <t>-463.859630540242 -180.279337610642 825.02614465239</t>
  </si>
  <si>
    <t>9763-20170724T104457.082156200.bin</t>
  </si>
  <si>
    <t>-695.836167720444 102.826458451752 -536.781738841681</t>
  </si>
  <si>
    <t>-622.800870870309 146.426897424707 -255.079736326572</t>
  </si>
  <si>
    <t>-391.614437419532 210.716527290823 -276.772278292993</t>
  </si>
  <si>
    <t>-649.804898954288 45.8536864606276 -105.171307625977</t>
  </si>
  <si>
    <t>-662.827200146731 71.7701993697367 297.337602046223</t>
  </si>
  <si>
    <t>-710.518874031091 102.281267781215 741.628442814722</t>
  </si>
  <si>
    <t>-566.494651268012 127.576275690542 802.492764426909</t>
  </si>
  <si>
    <t>-574.746936310772 -139.861052962185 305.38269887271</t>
  </si>
  <si>
    <t>-599.533535636335 -142.521771128224 752.548200607725</t>
  </si>
  <si>
    <t>-463.840787141026 -180.238987456818 825.020121750074</t>
  </si>
  <si>
    <t>9763-20170724T104457.155286600.bin</t>
  </si>
  <si>
    <t>-695.941356102506 102.508615049312 -536.784477054284</t>
  </si>
  <si>
    <t>-623.275324184244 145.836659509147 -254.944772574923</t>
  </si>
  <si>
    <t>-392.340426538296 211.128952117764 -276.318592635116</t>
  </si>
  <si>
    <t>-649.785500737031 45.6711564076015 -105.222938641915</t>
  </si>
  <si>
    <t>-662.910724569765 71.6120599839298 297.281091287757</t>
  </si>
  <si>
    <t>-710.566602440818 102.345021775945 741.568662511126</t>
  </si>
  <si>
    <t>-566.51096785139 127.443602494919 802.440041719334</t>
  </si>
  <si>
    <t>-574.827790336512 -140.123506101026 305.361691336376</t>
  </si>
  <si>
    <t>-599.529206787396 -142.64667917269 752.547776827797</t>
  </si>
  <si>
    <t>-463.715803995539 -179.96531693921 825.000123857844</t>
  </si>
  <si>
    <t>9763-20170724T104457.185367000.bin</t>
  </si>
  <si>
    <t>-695.836862579299 102.43453644816 -536.78741952535</t>
  </si>
  <si>
    <t>-623.460912789848 145.483675737596 -254.830581616058</t>
  </si>
  <si>
    <t>-392.704185383691 211.346622247746 -276.378273263687</t>
  </si>
  <si>
    <t>-649.722573101445 45.5445177199658 -105.234202984977</t>
  </si>
  <si>
    <t>-662.916576772181 71.5677293154317 297.262218096452</t>
  </si>
  <si>
    <t>-710.595223893431 102.392684564197 741.538908312357</t>
  </si>
  <si>
    <t>-566.539627332556 127.483050052594 802.413834110513</t>
  </si>
  <si>
    <t>-574.850319594172 -140.110078969689 305.354392274995</t>
  </si>
  <si>
    <t>-599.521536676335 -142.487947969147 752.542236389084</t>
  </si>
  <si>
    <t>-463.830947187981 -180.224199252357 825.008369055526</t>
  </si>
  <si>
    <t>9763-20170724T104457.250569100.bin</t>
  </si>
  <si>
    <t>-695.871441753688 102.171345581627 -536.744964543026</t>
  </si>
  <si>
    <t>-623.582348113554 144.991367401928 -254.73099248132</t>
  </si>
  <si>
    <t>-393.136878964471 211.898305432724 -276.392260869631</t>
  </si>
  <si>
    <t>-649.52751088811 45.203527108856 -105.235443685024</t>
  </si>
  <si>
    <t>-662.857538077953 71.2891496525365 297.252477415175</t>
  </si>
  <si>
    <t>-710.564276573544 102.309030680195 741.498785697511</t>
  </si>
  <si>
    <t>-566.535967399696 127.54812718415 802.376853009972</t>
  </si>
  <si>
    <t>-574.724048700639 -140.344323926386 305.350872337504</t>
  </si>
  <si>
    <t>-599.5112065514 -142.574924049104 752.549137951978</t>
  </si>
  <si>
    <t>-463.836738491832 -180.377978090527 825.010677962317</t>
  </si>
  <si>
    <t>9763-20170724T104457.282682600.bin</t>
  </si>
  <si>
    <t>-695.794388847744 102.000416689126 -536.714771638737</t>
  </si>
  <si>
    <t>-623.11458629575 144.824426538453 -254.801664438071</t>
  </si>
  <si>
    <t>-392.659644370643 211.805462925593 -276.130785082207</t>
  </si>
  <si>
    <t>-649.453004572149 45.041547736445 -105.239896451507</t>
  </si>
  <si>
    <t>-662.841918586403 71.2547812784424 297.237742356727</t>
  </si>
  <si>
    <t>-710.618898133781 102.419400989616 741.471372071081</t>
  </si>
  <si>
    <t>-566.57710018511 127.562211048289 802.357553674213</t>
  </si>
  <si>
    <t>-574.634315319961 -140.496592092246 305.362694699313</t>
  </si>
  <si>
    <t>-599.509082595769 -142.700961650991 752.55804346898</t>
  </si>
  <si>
    <t>-463.779962170236 -180.331931704518 825.006758603698</t>
  </si>
  <si>
    <t>9763-20170724T104457.353854900.bin</t>
  </si>
  <si>
    <t>-695.571645793843 101.683457977704 -536.667288700793</t>
  </si>
  <si>
    <t>-622.165220944675 143.543758193291 -254.79770898087</t>
  </si>
  <si>
    <t>-391.81586456812 211.267563022246 -274.885861412992</t>
  </si>
  <si>
    <t>-649.233535247141 44.7605415017731 -105.236856564988</t>
  </si>
  <si>
    <t>-662.667539050138 71.0079860864425 297.237063012903</t>
  </si>
  <si>
    <t>-710.592706987143 102.371507204164 741.42188307615</t>
  </si>
  <si>
    <t>-566.586490931478 127.678065662596 802.324344072671</t>
  </si>
  <si>
    <t>-574.425213307139 -140.70750714663 305.386806007684</t>
  </si>
  <si>
    <t>-599.498286775563 -142.848222934997 752.564728099599</t>
  </si>
  <si>
    <t>-463.712996467796 -180.301035081066 825.000447600422</t>
  </si>
  <si>
    <t>9763-20170724T104457.386968500.bin</t>
  </si>
  <si>
    <t>-695.586560959127 101.496402710529 -536.671609045259</t>
  </si>
  <si>
    <t>-622.078509632997 143.495541584339 -254.849167365786</t>
  </si>
  <si>
    <t>-391.747336503377 211.32877569969 -274.77538872527</t>
  </si>
  <si>
    <t>-649.111148893731 44.6463039595947 -105.240238065054</t>
  </si>
  <si>
    <t>-662.550579528693 70.9053061766401 297.232733724374</t>
  </si>
  <si>
    <t>-710.619346245124 102.40989181446 741.403496236721</t>
  </si>
  <si>
    <t>-566.603430030712 127.644262044852 802.312794712221</t>
  </si>
  <si>
    <t>-574.382008113178 -140.781750173027 305.397494145727</t>
  </si>
  <si>
    <t>-599.489573645769 -142.860150772175 752.565531912572</t>
  </si>
  <si>
    <t>-463.680227738806 -180.23061217322 824.998623850106</t>
  </si>
  <si>
    <t>9763-20170724T104457.452118100.bin</t>
  </si>
  <si>
    <t>-695.837901445184 101.203044997099 -536.790430894561</t>
  </si>
  <si>
    <t>-621.800832178753 143.789712049459 -255.194840953554</t>
  </si>
  <si>
    <t>-391.232919817534 211.266365311895 -273.530319678319</t>
  </si>
  <si>
    <t>-648.975156840256 44.5221712369496 -105.238477447828</t>
  </si>
  <si>
    <t>-662.501235090025 70.8380718124279 297.227946871942</t>
  </si>
  <si>
    <t>-710.627783528208 102.397550116459 741.367720540645</t>
  </si>
  <si>
    <t>-566.585165064241 127.43282755125 802.296039459183</t>
  </si>
  <si>
    <t>-574.345817417733 -140.825007284166 305.382074000361</t>
  </si>
  <si>
    <t>-599.462650728197 -142.707873818286 752.560438472168</t>
  </si>
  <si>
    <t>-463.709933552107 -180.266420031929 825.002376347445</t>
  </si>
  <si>
    <t>9763-20170724T104457.485205200.bin</t>
  </si>
  <si>
    <t>-695.684323575064 101.153015894501 -536.864463588235</t>
  </si>
  <si>
    <t>-621.604984966159 144.001786409928 -255.319756934823</t>
  </si>
  <si>
    <t>-390.963251240545 211.246827270687 -273.578119208863</t>
  </si>
  <si>
    <t>-648.930519300502 44.4876223818928 -105.238827236862</t>
  </si>
  <si>
    <t>-662.556000512449 70.8408926233044 297.221788783459</t>
  </si>
  <si>
    <t>-710.662829464803 102.460748306069 741.353672217536</t>
  </si>
  <si>
    <t>-566.62061615613 127.493640838829 802.283991685342</t>
  </si>
  <si>
    <t>-574.349065922655 -140.952755935384 305.379624713814</t>
  </si>
  <si>
    <t>-599.449301480559 -142.864408467337 752.559616304252</t>
  </si>
  <si>
    <t>-463.573283972315 -179.993768881159 824.991804542234</t>
  </si>
  <si>
    <t>9763-20170724T104457.552391100.bin</t>
  </si>
  <si>
    <t>-695.465751671041 101.066279450639 -536.990332046032</t>
  </si>
  <si>
    <t>-621.02334046533 144.151065025746 -255.577579994538</t>
  </si>
  <si>
    <t>-390.237943469524 210.877027085205 -273.925057838144</t>
  </si>
  <si>
    <t>-648.942697186782 44.5177712838638 -105.277808049365</t>
  </si>
  <si>
    <t>-662.592403420023 70.8672024002758 297.182159819713</t>
  </si>
  <si>
    <t>-710.627920871738 102.390403789911 741.316385166232</t>
  </si>
  <si>
    <t>-566.627752255399 127.626593858139 802.262213826679</t>
  </si>
  <si>
    <t>-574.371789358616 -140.941845509674 305.371660788889</t>
  </si>
  <si>
    <t>-599.424471806351 -142.906832368461 752.554370202325</t>
  </si>
  <si>
    <t>-463.592621527107 -180.173682777897 824.998684057145</t>
  </si>
  <si>
    <t>9763-20170724T104457.587483200.bin</t>
  </si>
  <si>
    <t>-695.291849246652 101.144891739697 -537.052576161972</t>
  </si>
  <si>
    <t>-620.939673860266 144.127324084056 -255.600083835607</t>
  </si>
  <si>
    <t>-390.109518016063 210.621164722903 -274.224231371424</t>
  </si>
  <si>
    <t>-648.98970802703 44.5748560812281 -105.305904968816</t>
  </si>
  <si>
    <t>-662.6280507478 70.9199416512274 297.154810455192</t>
  </si>
  <si>
    <t>-710.643174924858 102.430161617634 741.297910610757</t>
  </si>
  <si>
    <t>-566.636689277185 127.594909433603 802.258332167368</t>
  </si>
  <si>
    <t>-574.334360746739 -140.84558863036 305.353952264239</t>
  </si>
  <si>
    <t>-599.404677549467 -142.731640783335 752.542147222345</t>
  </si>
  <si>
    <t>-463.614791665259 -180.131984806831 824.996436262599</t>
  </si>
  <si>
    <t>9763-20170724T104457.650564400.bin</t>
  </si>
  <si>
    <t>-694.7864880949 101.560497674759 -537.056799628099</t>
  </si>
  <si>
    <t>-620.529557223035 144.408330240846 -255.558717554881</t>
  </si>
  <si>
    <t>-389.703903538048 210.683401505545 -275.001356866757</t>
  </si>
  <si>
    <t>-648.982671012934 44.7654180327515 -105.328335893666</t>
  </si>
  <si>
    <t>-662.717310557906 71.1190397859327 297.128449485851</t>
  </si>
  <si>
    <t>-710.681292331532 102.497684349017 741.293317807992</t>
  </si>
  <si>
    <t>-566.676905149804 127.63745134857 802.269023175564</t>
  </si>
  <si>
    <t>-574.311154681339 -140.820363950931 305.332426796032</t>
  </si>
  <si>
    <t>-599.381168368125 -142.893120912351 752.5269864837</t>
  </si>
  <si>
    <t>-463.592486907358 -180.268705577484 824.996117550342</t>
  </si>
  <si>
    <t>9763-20170724T104457.684643000.bin</t>
  </si>
  <si>
    <t>-694.487002844573 101.891469166815 -537.038689782218</t>
  </si>
  <si>
    <t>-620.392814672579 144.814085362435 -255.509011585924</t>
  </si>
  <si>
    <t>-389.592310625014 211.055429126592 -275.360966163077</t>
  </si>
  <si>
    <t>-648.976019662819 44.9479489804085 -105.325510150347</t>
  </si>
  <si>
    <t>-662.808538219303 71.2430762958581 297.131785911702</t>
  </si>
  <si>
    <t>-710.684812939309 102.480150628341 741.30743097222</t>
  </si>
  <si>
    <t>-566.674573720351 127.594074994945 802.279694933495</t>
  </si>
  <si>
    <t>-574.330380733595 -140.778826407122 305.323531897721</t>
  </si>
  <si>
    <t>-599.364422468922 -142.796022873011 752.520144074899</t>
  </si>
  <si>
    <t>-463.549509635951 -180.06817937229 824.993538691891</t>
  </si>
  <si>
    <t>9763-20170724T104457.753398800.bin</t>
  </si>
  <si>
    <t>-693.598238771136 102.604103045986 -537.005891897711</t>
  </si>
  <si>
    <t>-619.91676421211 145.854263040793 -255.418105901298</t>
  </si>
  <si>
    <t>-389.225562242203 212.164427923655 -276.284468510675</t>
  </si>
  <si>
    <t>-648.909418999928 45.3918181550891 -105.322728527604</t>
  </si>
  <si>
    <t>-662.870436996672 71.4916984229314 297.142846585579</t>
  </si>
  <si>
    <t>-710.746308951934 102.578997609844 741.331656408442</t>
  </si>
  <si>
    <t>-566.705263756324 127.502694789612 802.309385424112</t>
  </si>
  <si>
    <t>-574.322378275769 -140.681694198047 305.3164214481</t>
  </si>
  <si>
    <t>-599.357523683454 -142.90850581394 752.525222411736</t>
  </si>
  <si>
    <t>-463.490818725331 -180.015409510491 824.986423495716</t>
  </si>
  <si>
    <t>9763-20170724T104457.788491700.bin</t>
  </si>
  <si>
    <t>-692.990038804135 102.997372658566 -536.99642470932</t>
  </si>
  <si>
    <t>-619.519842995562 146.51379936832 -255.394316340211</t>
  </si>
  <si>
    <t>-388.827955684491 212.746715044851 -276.496581608794</t>
  </si>
  <si>
    <t>-648.787631970871 45.6065266948667 -105.309927516189</t>
  </si>
  <si>
    <t>-662.839087967536 71.6011973733018 297.159237952948</t>
  </si>
  <si>
    <t>-710.731304607697 102.534533106334 741.347322241894</t>
  </si>
  <si>
    <t>-566.705025199164 127.533831818025 802.328811219425</t>
  </si>
  <si>
    <t>-574.279848491225 -140.552841430327 305.316615927308</t>
  </si>
  <si>
    <t>-599.351580220687 -142.738429419559 752.525192587073</t>
  </si>
  <si>
    <t>-463.590430741403 -180.217102712008 824.992894064085</t>
  </si>
  <si>
    <t>9763-20170724T104457.850204600.bin</t>
  </si>
  <si>
    <t>-691.255471399886 104.029702984358 -536.85253567805</t>
  </si>
  <si>
    <t>-617.537988664763 148.141508000449 -255.407757538311</t>
  </si>
  <si>
    <t>-386.910548632443 214.401996502631 -277.119471948597</t>
  </si>
  <si>
    <t>-648.47172406771 45.9982550059212 -105.262657440453</t>
  </si>
  <si>
    <t>-662.75380982107 71.8369200949355 297.208539661675</t>
  </si>
  <si>
    <t>-710.692362807656 102.438641369903 741.390118949422</t>
  </si>
  <si>
    <t>-566.716399097418 127.704013105464 802.380994030793</t>
  </si>
  <si>
    <t>-574.027942680799 -140.515056919941 305.318254158196</t>
  </si>
  <si>
    <t>-599.345008090746 -142.905133298554 752.530216180149</t>
  </si>
  <si>
    <t>-463.512021088285 -180.162530263402 824.977348428019</t>
  </si>
  <si>
    <t>9763-20170724T104457.885297100.bin</t>
  </si>
  <si>
    <t>-690.304559269595 104.510288436803 -536.76382886931</t>
  </si>
  <si>
    <t>-615.992638652261 149.038273927115 -255.541073079558</t>
  </si>
  <si>
    <t>-385.467561153487 215.543334502373 -277.589346702927</t>
  </si>
  <si>
    <t>-648.316360822491 46.1170678781198 -105.220953517306</t>
  </si>
  <si>
    <t>-662.746082220602 71.8922602712557 297.249010073568</t>
  </si>
  <si>
    <t>-710.669599473453 102.373279060198 741.435377849535</t>
  </si>
  <si>
    <t>-566.700510793253 127.688859406726 802.421666932466</t>
  </si>
  <si>
    <t>-573.951294116679 -140.549715481477 305.325157912166</t>
  </si>
  <si>
    <t>-599.333393075655 -143.080915209087 752.532505555734</t>
  </si>
  <si>
    <t>-463.387694936856 -179.955977582734 824.963872506553</t>
  </si>
  <si>
    <t>9763-20170724T104457.953483700.bin</t>
  </si>
  <si>
    <t>-688.220401172884 105.641285037913 -536.716181079343</t>
  </si>
  <si>
    <t>-612.772656122099 151.545434597495 -256.017557490242</t>
  </si>
  <si>
    <t>-382.351907167482 218.234741122304 -278.593650804407</t>
  </si>
  <si>
    <t>-648.268794107623 46.7121163028075 -105.164810815529</t>
  </si>
  <si>
    <t>-662.853593298403 72.2415519051142 297.315227050846</t>
  </si>
  <si>
    <t>-710.742547314183 102.494188837934 741.522472135879</t>
  </si>
  <si>
    <t>-566.721721349246 127.49777944654 802.515215017134</t>
  </si>
  <si>
    <t>-573.763086935156 -140.361658941763 305.325353459187</t>
  </si>
  <si>
    <t>-599.299618668559 -143.176459137689 752.524425518555</t>
  </si>
  <si>
    <t>-463.327330094365 -179.93360536694 824.965817938387</t>
  </si>
  <si>
    <t>9763-20170724T104457.993591100.bin</t>
  </si>
  <si>
    <t>-687.18054270141 106.249880948134 -536.784723206561</t>
  </si>
  <si>
    <t>-611.237649120458 152.89473455549 -256.342020547287</t>
  </si>
  <si>
    <t>-380.81961556227 219.44590146408 -279.349367249379</t>
  </si>
  <si>
    <t>-648.242294051334 47.0764236181899 -105.13559345854</t>
  </si>
  <si>
    <t>-662.917866130818 72.4217583857283 297.352843632287</t>
  </si>
  <si>
    <t>-710.718707075505 102.449689196363 741.56767282714</t>
  </si>
  <si>
    <t>-566.755280151628 127.774889642262 802.563245029549</t>
  </si>
  <si>
    <t>-573.726056907092 -140.20158318847 305.314897945922</t>
  </si>
  <si>
    <t>-599.27634127949 -143.217646509866 752.50888679931</t>
  </si>
  <si>
    <t>-463.271148007849 -179.834977519857 824.959201994762</t>
  </si>
  <si>
    <t>9763-20170724T104458.050340300.bin</t>
  </si>
  <si>
    <t>-685.323618058883 107.323820603255 -537.160385914138</t>
  </si>
  <si>
    <t>-608.399303827442 155.352679022166 -257.219261889757</t>
  </si>
  <si>
    <t>-377.941368274252 221.587889113592 -280.733206168496</t>
  </si>
  <si>
    <t>-647.966421243774 47.8255152742349 -105.059177409332</t>
  </si>
  <si>
    <t>-662.996977080387 72.9486184129155 297.43010567758</t>
  </si>
  <si>
    <t>-710.735536684782 102.525655914323 741.667305108489</t>
  </si>
  <si>
    <t>-566.761945593595 127.722186090962 802.692107859536</t>
  </si>
  <si>
    <t>-573.545060987477 -139.786505671341 305.26270255243</t>
  </si>
  <si>
    <t>-599.22920375719 -143.096287489888 752.464468907031</t>
  </si>
  <si>
    <t>-463.27425742345 -179.827417226829 824.951547031998</t>
  </si>
  <si>
    <t>9763-20170724T104458.087438100.bin</t>
  </si>
  <si>
    <t>-684.511339323435 107.875294479593 -537.304252909337</t>
  </si>
  <si>
    <t>-607.071621460731 156.313252497014 -257.575618939867</t>
  </si>
  <si>
    <t>-376.661196292574 222.63832453826 -281.301348040296</t>
  </si>
  <si>
    <t>-647.80584227348 48.2726067658348 -105.004104767632</t>
  </si>
  <si>
    <t>-662.990040103729 73.2267341720647 297.489906956856</t>
  </si>
  <si>
    <t>-710.762421947893 102.579513027745 741.744675173939</t>
  </si>
  <si>
    <t>-566.770355897024 127.660753578745 802.773513919137</t>
  </si>
  <si>
    <t>-573.368274430337 -139.540309541376 305.242451044396</t>
  </si>
  <si>
    <t>-599.202861485665 -142.966365829359 752.43923179145</t>
  </si>
  <si>
    <t>-463.305778052835 -179.865040142556 824.949750647216</t>
  </si>
  <si>
    <t>9763-20170724T104458.150230400.bin</t>
  </si>
  <si>
    <t>-683.174109386745 108.873278393213 -537.447306731484</t>
  </si>
  <si>
    <t>-604.794911337785 158.569235992346 -258.201414631738</t>
  </si>
  <si>
    <t>-374.241127168189 224.287688024732 -282.220109029724</t>
  </si>
  <si>
    <t>-647.700159406047 49.248058586184 -104.85237076071</t>
  </si>
  <si>
    <t>-662.989122028202 73.7495581498724 297.665453846326</t>
  </si>
  <si>
    <t>-710.86662536478 102.759963375578 741.927992297029</t>
  </si>
  <si>
    <t>-566.819061682996 127.532639919905 802.95170696729</t>
  </si>
  <si>
    <t>-573.186126546729 -139.28672294492 305.233561171982</t>
  </si>
  <si>
    <t>-599.15508313475 -143.351589778022 752.40062925968</t>
  </si>
  <si>
    <t>-463.077345454389 -179.545169998382 824.927684761684</t>
  </si>
  <si>
    <t>9763-20170724T104458.183314400.bin</t>
  </si>
  <si>
    <t>-682.622802642708 109.537276860575 -537.496098170461</t>
  </si>
  <si>
    <t>-603.600248761025 159.782012542387 -258.529834814962</t>
  </si>
  <si>
    <t>-373.071332793705 225.460661079856 -282.893072150751</t>
  </si>
  <si>
    <t>-647.534203727975 49.7764793047172 -104.79366781539</t>
  </si>
  <si>
    <t>-662.929819560131 74.0264609829335 297.735306528115</t>
  </si>
  <si>
    <t>-710.870680475698 102.767783091151 742.007948846285</t>
  </si>
  <si>
    <t>-566.82349110682 127.543394827372 803.031547669037</t>
  </si>
  <si>
    <t>-573.053220086073 -138.932735952832 305.222535838401</t>
  </si>
  <si>
    <t>-599.129370067348 -143.152520213224 752.378254416296</t>
  </si>
  <si>
    <t>-463.21098128307 -179.869035512918 824.941260959124</t>
  </si>
  <si>
    <t>9763-20170724T104458.249292200.bin</t>
  </si>
  <si>
    <t>-681.64194344882 110.703584925712 -537.552246194094</t>
  </si>
  <si>
    <t>-601.28865888471 161.39168731858 -259.046747614907</t>
  </si>
  <si>
    <t>-370.713089451161 226.711856732305 -283.927021043756</t>
  </si>
  <si>
    <t>-647.093475946444 50.6302575550808 -104.666859791666</t>
  </si>
  <si>
    <t>-662.761619864532 74.5346969670502 297.872314304643</t>
  </si>
  <si>
    <t>-710.922883895067 102.858813302062 742.160888069311</t>
  </si>
  <si>
    <t>-566.850763480948 127.495159758483 803.182055720955</t>
  </si>
  <si>
    <t>-572.789927375437 -138.395468618737 305.216897585054</t>
  </si>
  <si>
    <t>-599.084034180873 -142.915446259926 752.334808782397</t>
  </si>
  <si>
    <t>-463.243838642074 -179.844485646386 824.93638033504</t>
  </si>
  <si>
    <t>9763-20170724T104458.283382900.bin</t>
  </si>
  <si>
    <t>-681.048857404438 111.174095612036 -537.590809715578</t>
  </si>
  <si>
    <t>-600.265230973545 162.058869385837 -259.245902225806</t>
  </si>
  <si>
    <t>-369.583521819088 226.925751339357 -284.327504111808</t>
  </si>
  <si>
    <t>-646.827516489292 51.017453945713 -104.598795679566</t>
  </si>
  <si>
    <t>-662.608641809829 74.7536441513985 297.945867797202</t>
  </si>
  <si>
    <t>-710.941203400365 102.88286647408 742.239587491981</t>
  </si>
  <si>
    <t>-566.842058262407 127.362361561035 803.259905759208</t>
  </si>
  <si>
    <t>-572.576617941309 -138.156871566103 305.200809177226</t>
  </si>
  <si>
    <t>-599.067221132469 -142.880690802198 752.32089508451</t>
  </si>
  <si>
    <t>-463.347327224093 -180.201904454604 824.946875783699</t>
  </si>
  <si>
    <t>9763-20170724T104458.351573800.bin</t>
  </si>
  <si>
    <t>-680.123186966843 112.185286099691 -537.561824791492</t>
  </si>
  <si>
    <t>-598.293184012861 163.46826521336 -259.595778477732</t>
  </si>
  <si>
    <t>-367.554171539028 228.0236831486 -284.952795825257</t>
  </si>
  <si>
    <t>-646.459783600499 51.7751961397028 -104.474362360166</t>
  </si>
  <si>
    <t>-662.312471026345 75.0610630484439 298.093813914604</t>
  </si>
  <si>
    <t>-710.909847556939 102.799039082865 742.397502860332</t>
  </si>
  <si>
    <t>-566.812572331687 127.309993670419 803.409562330054</t>
  </si>
  <si>
    <t>-572.279859854219 -137.929977493621 305.211108587381</t>
  </si>
  <si>
    <t>-599.053661736641 -142.969598701327 752.309159432483</t>
  </si>
  <si>
    <t>-463.209990574256 -179.861506906647 824.923209829442</t>
  </si>
  <si>
    <t>9763-20170724T104458.388668500.bin</t>
  </si>
  <si>
    <t>-679.638233638343 112.717656298736 -537.502940892189</t>
  </si>
  <si>
    <t>-597.249691512061 164.052162064552 -259.711495280389</t>
  </si>
  <si>
    <t>-366.618445489122 228.898856516924 -285.304734992521</t>
  </si>
  <si>
    <t>-646.27965569553 52.120545740959 -104.414801077122</t>
  </si>
  <si>
    <t>-662.234038289017 75.2508857061262 298.158342902305</t>
  </si>
  <si>
    <t>-710.941492183537 102.861033652014 742.459781748649</t>
  </si>
  <si>
    <t>-566.841042479793 127.362557538873 803.468264538381</t>
  </si>
  <si>
    <t>-572.213037965375 -137.775064672913 305.219042734324</t>
  </si>
  <si>
    <t>-599.046619589135 -142.988939275738 752.302894634427</t>
  </si>
  <si>
    <t>-463.289218718217 -180.176297002689 824.927603556392</t>
  </si>
  <si>
    <t>9763-20170724T104458.447839700.bin</t>
  </si>
  <si>
    <t>-678.497812708647 113.739381441015 -537.342186173414</t>
  </si>
  <si>
    <t>-595.151385652319 164.925222136614 -259.809183141998</t>
  </si>
  <si>
    <t>-364.621782280528 229.938552396842 -285.890197617604</t>
  </si>
  <si>
    <t>-645.774401858708 52.6163438981112 -104.299163847062</t>
  </si>
  <si>
    <t>-662.099983653214 75.5672388202825 298.269277703174</t>
  </si>
  <si>
    <t>-710.92575160006 102.857501799532 742.569342087578</t>
  </si>
  <si>
    <t>-566.843721380977 127.466362451826 803.578127614677</t>
  </si>
  <si>
    <t>-572.073624689957 -137.655104638142 305.219123484357</t>
  </si>
  <si>
    <t>-599.03865765129 -143.059665052882 752.301005923991</t>
  </si>
  <si>
    <t>-463.210306733661 -179.999238540048 824.91933252184</t>
  </si>
  <si>
    <t>9763-20170724T104458.485942200.bin</t>
  </si>
  <si>
    <t>-678.006069975259 114.313102485657 -537.246184094248</t>
  </si>
  <si>
    <t>-594.114519388677 165.531410470678 -259.883426635437</t>
  </si>
  <si>
    <t>-363.704414415509 230.786724741045 -286.41213413462</t>
  </si>
  <si>
    <t>-645.672473236237 52.9481565653191 -104.248269012019</t>
  </si>
  <si>
    <t>-662.13715250699 75.7630824731427 298.322365375867</t>
  </si>
  <si>
    <t>-710.95665121822 102.938255187269 742.630213004274</t>
  </si>
  <si>
    <t>-566.834736056581 127.290605067908 803.64765828075</t>
  </si>
  <si>
    <t>-572.009427229193 -137.524839416146 305.235753903519</t>
  </si>
  <si>
    <t>-599.029609177452 -143.034564303775 752.302986422042</t>
  </si>
  <si>
    <t>-463.243785464056 -180.119333254988 824.926899110042</t>
  </si>
  <si>
    <t>9763-20170724T104458.554132700.bin</t>
  </si>
  <si>
    <t>-676.760701644941 115.070734129173 -537.038541994304</t>
  </si>
  <si>
    <t>-591.600049836284 166.159066840561 -260.038782268223</t>
  </si>
  <si>
    <t>-361.302269255223 231.84697066344 -286.475402963949</t>
  </si>
  <si>
    <t>-645.159900153297 53.1782606648317 -104.090663367222</t>
  </si>
  <si>
    <t>-661.974498392985 75.9395800425295 298.468520663752</t>
  </si>
  <si>
    <t>-710.979430717442 103.026717074743 742.761041804199</t>
  </si>
  <si>
    <t>-566.855959901342 127.331426611658 803.793875651139</t>
  </si>
  <si>
    <t>-571.923971340204 -137.548058445282 305.232968147146</t>
  </si>
  <si>
    <t>-599.030877381215 -143.10680006291 752.307077430944</t>
  </si>
  <si>
    <t>-463.197910283466 -180.034183181567 824.923062780734</t>
  </si>
  <si>
    <t>9763-20170724T104458.585217000.bin</t>
  </si>
  <si>
    <t>-676.133699769635 115.281046751529 -536.966618450983</t>
  </si>
  <si>
    <t>-590.640533964153 166.659586385129 -260.122893802535</t>
  </si>
  <si>
    <t>-360.430213564735 232.531335361209 -286.861756501935</t>
  </si>
  <si>
    <t>-644.847822109303 53.1656634019594 -104.005409501676</t>
  </si>
  <si>
    <t>-661.800081734696 75.8768376125547 298.550828598459</t>
  </si>
  <si>
    <t>-710.925076119942 102.926297788584 742.824700544796</t>
  </si>
  <si>
    <t>-566.85680826782 127.539361163399 803.864237837869</t>
  </si>
  <si>
    <t>-571.903424900544 -137.61987937082 305.24060129349</t>
  </si>
  <si>
    <t>-599.031990958855 -143.124009964569 752.316409880459</t>
  </si>
  <si>
    <t>-463.267122248291 -180.299495359359 824.933082522694</t>
  </si>
  <si>
    <t>9763-20170724T104458.648384800.bin</t>
  </si>
  <si>
    <t>-674.974485167321 115.595709981108 -537.061967834666</t>
  </si>
  <si>
    <t>-589.202618185539 167.836804095239 -260.466032293219</t>
  </si>
  <si>
    <t>-358.981624105467 233.794010621872 -286.90104599943</t>
  </si>
  <si>
    <t>-644.248187318607 53.1942365129787 -103.773961489971</t>
  </si>
  <si>
    <t>-661.448764043622 75.8001295373629 298.777640020769</t>
  </si>
  <si>
    <t>-710.917592632311 102.866498163996 743.017188770976</t>
  </si>
  <si>
    <t>-566.818691500084 127.330660641606 804.044422741045</t>
  </si>
  <si>
    <t>-571.924545595587 -137.790518205556 305.270246658197</t>
  </si>
  <si>
    <t>-599.04879395408 -143.175912931241 752.352726807889</t>
  </si>
  <si>
    <t>-463.28693383974 -180.417881866672 824.941006114056</t>
  </si>
  <si>
    <t>9763-20170724T104458.688526100.bin</t>
  </si>
  <si>
    <t>-674.486345151062 115.78299783136 -537.169001397035</t>
  </si>
  <si>
    <t>-588.30168000313 168.639093211663 -260.81839769314</t>
  </si>
  <si>
    <t>-358.084200884253 234.628515290751 -287.203492030826</t>
  </si>
  <si>
    <t>-644.01981255846 53.4009742263031 -103.692908901812</t>
  </si>
  <si>
    <t>-661.313162456029 75.8277515521715 298.864718588058</t>
  </si>
  <si>
    <t>-710.920055001622 102.871587842038 743.091734523204</t>
  </si>
  <si>
    <t>-566.83281668145 127.428418697041 804.109168187733</t>
  </si>
  <si>
    <t>-572.060004055657 -137.892066168163 305.32309358541</t>
  </si>
  <si>
    <t>-599.053941599174 -143.359747081971 752.381861253806</t>
  </si>
  <si>
    <t>-463.194308935344 -180.295829217368 824.9434820397</t>
  </si>
  <si>
    <t>9763-20170724T104458.720586400.bin</t>
  </si>
  <si>
    <t>-674.007866594284 115.867012890919 -537.412829311978</t>
  </si>
  <si>
    <t>-587.28582918466 169.441600837751 -261.368929621351</t>
  </si>
  <si>
    <t>-357.086446423549 235.513669243958 -287.705559293829</t>
  </si>
  <si>
    <t>-643.75082969492 53.6097920834757 -103.620473640172</t>
  </si>
  <si>
    <t>-661.218343483157 75.9288838948748 298.935605191594</t>
  </si>
  <si>
    <t>-710.943263108405 102.925090381205 743.143074713616</t>
  </si>
  <si>
    <t>-566.834839285818 127.342448150043 804.16649093212</t>
  </si>
  <si>
    <t>-572.131939625177 -137.947858353726 305.341081126815</t>
  </si>
  <si>
    <t>-599.057639150762 -143.401970409585 752.40481528427</t>
  </si>
  <si>
    <t>-463.130597679607 -180.127040265677 824.947240063276</t>
  </si>
  <si>
    <t>9763-20170724T104458.785764200.bin</t>
  </si>
  <si>
    <t>-672.980388621707 115.690148508574 -538.354786105289</t>
  </si>
  <si>
    <t>-585.72914561737 171.232866172081 -262.86712664552</t>
  </si>
  <si>
    <t>-355.41580110452 237.317368928369 -288.155084746303</t>
  </si>
  <si>
    <t>-643.043529400759 54.2747133294934 -103.521278871996</t>
  </si>
  <si>
    <t>-660.868642739674 76.3249275445198 299.03400483195</t>
  </si>
  <si>
    <t>-710.951430102446 102.986636210542 743.229278238333</t>
  </si>
  <si>
    <t>-566.850598492992 127.410262291582 804.268121368894</t>
  </si>
  <si>
    <t>-572.131985105923 -137.645023414567 305.414695955162</t>
  </si>
  <si>
    <t>-599.057265343757 -143.305026831794 752.440540864777</t>
  </si>
  <si>
    <t>-463.242669508652 -180.446757706407 824.981557017309</t>
  </si>
  <si>
    <t>9763-20170724T104458.852949400.bin</t>
  </si>
  <si>
    <t>-672.379439078111 115.441054284973 -539.450396183467</t>
  </si>
  <si>
    <t>-586.709369239496 172.49984680501 -263.776376071487</t>
  </si>
  <si>
    <t>-356.435915385086 239.15104650271 -287.914220889474</t>
  </si>
  <si>
    <t>-642.397363987891 55.1987303309379 -103.460361542065</t>
  </si>
  <si>
    <t>-660.416492541815 76.8702265549537 299.106792717157</t>
  </si>
  <si>
    <t>-710.967451144581 103.014572033699 743.328160998526</t>
  </si>
  <si>
    <t>-566.883217908702 127.613345319678 804.335683991175</t>
  </si>
  <si>
    <t>-571.621657062178 -137.256359830265 305.459951300496</t>
  </si>
  <si>
    <t>-599.023123065941 -143.482468785545 752.446955580979</t>
  </si>
  <si>
    <t>-463.264548833462 -180.760965627332 825.022602958951</t>
  </si>
  <si>
    <t>9763-20170724T104458.884036800.bin</t>
  </si>
  <si>
    <t>-672.399177650203 115.282418458555 -540.039634250648</t>
  </si>
  <si>
    <t>-587.429420041633 172.68631115415 -264.220544846067</t>
  </si>
  <si>
    <t>-357.363120220666 240.263661067882 -287.750758829891</t>
  </si>
  <si>
    <t>-642.474006552083 55.9198685819122 -103.479930921193</t>
  </si>
  <si>
    <t>-660.253726011181 77.2434727419263 299.11649081017</t>
  </si>
  <si>
    <t>-710.969769632493 103.025202962486 743.375388777479</t>
  </si>
  <si>
    <t>-566.870891386938 127.593952031618 804.360483662237</t>
  </si>
  <si>
    <t>-571.399482447848 -136.914488264197 305.497296386177</t>
  </si>
  <si>
    <t>-599.007936512513 -143.42809309077 752.43500227617</t>
  </si>
  <si>
    <t>-463.324115485885 -180.927248101215 825.036658735867</t>
  </si>
  <si>
    <t>9763-20170724T104458.956229200.bin</t>
  </si>
  <si>
    <t>-672.720542904891 113.793169084118 -541.199565481588</t>
  </si>
  <si>
    <t>-589.644806822675 172.534470463982 -265.085353505198</t>
  </si>
  <si>
    <t>-359.917773027647 241.915923972892 -286.592301206494</t>
  </si>
  <si>
    <t>-642.803715458754 56.4807687557854 -103.600190975812</t>
  </si>
  <si>
    <t>-660.032688377364 77.4380783291754 299.039382622218</t>
  </si>
  <si>
    <t>-710.926192076706 103.002634441975 743.335731407576</t>
  </si>
  <si>
    <t>-566.874937777774 127.88951967578 804.304407313572</t>
  </si>
  <si>
    <t>-570.853646327634 -136.228792033636 305.564605058548</t>
  </si>
  <si>
    <t>-598.985036757152 -143.3835576237 752.411381919247</t>
  </si>
  <si>
    <t>-463.356957522401 -180.992910713396 825.0602449931</t>
  </si>
  <si>
    <t>9763-20170724T104458.987314200.bin</t>
  </si>
  <si>
    <t>-673.157880192003 112.778125486358 -541.808408513085</t>
  </si>
  <si>
    <t>-590.873168689723 172.316974058118 -265.628112194432</t>
  </si>
  <si>
    <t>-361.226278593477 242.420225694992 -285.595980182077</t>
  </si>
  <si>
    <t>-643.060141829223 56.4414957649001 -103.671889076423</t>
  </si>
  <si>
    <t>-660.224683280405 77.4859805988199 298.965870790207</t>
  </si>
  <si>
    <t>-710.888767998392 103.028643693334 743.270812023145</t>
  </si>
  <si>
    <t>-566.869048673823 128.059278709453 804.255129037955</t>
  </si>
  <si>
    <t>-570.533848014972 -135.952179359126 305.53647565992</t>
  </si>
  <si>
    <t>-598.966659015449 -143.128585394015 752.374932207407</t>
  </si>
  <si>
    <t>-463.398124671012 -180.890707481365 825.055645215271</t>
  </si>
  <si>
    <t>9763-20170724T104459.050050400.bin</t>
  </si>
  <si>
    <t>-675.034766673763 110.87268246305 -542.540825546759</t>
  </si>
  <si>
    <t>-594.859041730967 171.125670800452 -265.895573759771</t>
  </si>
  <si>
    <t>-365.004592862071 241.189658277591 -283.469975697919</t>
  </si>
  <si>
    <t>-644.295241335351 56.2758382573256 -103.861719020297</t>
  </si>
  <si>
    <t>-661.328093739045 77.6751346616929 298.762899752129</t>
  </si>
  <si>
    <t>-710.873940566576 103.22478924339 743.169967540156</t>
  </si>
  <si>
    <t>-566.881710507905 128.305531296888 804.198530180009</t>
  </si>
  <si>
    <t>-569.787969506131 -135.780862585226 305.451737798009</t>
  </si>
  <si>
    <t>-598.933127727465 -143.048138743852 752.30094686124</t>
  </si>
  <si>
    <t>-463.50810790768 -181.209995320406 825.040437331583</t>
  </si>
  <si>
    <t>9763-20170724T104459.083137600.bin</t>
  </si>
  <si>
    <t>-676.649927022915 110.200029082286 -542.493380566903</t>
  </si>
  <si>
    <t>-596.661078223677 170.438395150346 -265.790903264758</t>
  </si>
  <si>
    <t>-366.667070639874 240.236063554855 -282.582331782627</t>
  </si>
  <si>
    <t>-645.205442628671 56.0597709958602 -103.964598169159</t>
  </si>
  <si>
    <t>-661.828120273567 77.660909272691 298.666357627401</t>
  </si>
  <si>
    <t>-710.89445984058 103.368099310945 743.122658623308</t>
  </si>
  <si>
    <t>-566.900984537551 128.380446848882 804.176439830473</t>
  </si>
  <si>
    <t>-569.769635045162 -135.8244242903 305.437682116513</t>
  </si>
  <si>
    <t>-598.943215334986 -143.108345812691 752.288687756122</t>
  </si>
  <si>
    <t>-463.470799275125 -181.107943462934 825.024828973574</t>
  </si>
  <si>
    <t>9763-20170724T104459.152332000.bin</t>
  </si>
  <si>
    <t>-679.791982870498 108.760758631931 -542.256695526404</t>
  </si>
  <si>
    <t>-600.346731970262 168.50354116859 -265.290247989107</t>
  </si>
  <si>
    <t>-370.066207176691 237.678015072361 -280.673346146161</t>
  </si>
  <si>
    <t>-646.521277751501 54.9607746574836 -104.152036569798</t>
  </si>
  <si>
    <t>-662.579538605249 77.2313140360016 298.465397970156</t>
  </si>
  <si>
    <t>-710.824350376778 103.375842466786 742.9867277892</t>
  </si>
  <si>
    <t>-566.923590208609 128.851631061661 804.067329249373</t>
  </si>
  <si>
    <t>-570.229910994799 -136.305165413973 305.466539791132</t>
  </si>
  <si>
    <t>-598.93665769852 -143.139114453636 752.30850673327</t>
  </si>
  <si>
    <t>-463.458882915389 -181.133310502388 825.037564966034</t>
  </si>
  <si>
    <t>9763-20170724T104459.185419200.bin</t>
  </si>
  <si>
    <t>-681.320601410754 107.829557980187 -542.164299047208</t>
  </si>
  <si>
    <t>-602.660777135992 166.923154217957 -264.834566230561</t>
  </si>
  <si>
    <t>-372.359955977979 236.327224579277 -278.814130156106</t>
  </si>
  <si>
    <t>-646.929752504555 54.2100439118797 -104.241434341925</t>
  </si>
  <si>
    <t>-662.840437724958 76.9380122846499 298.356316706294</t>
  </si>
  <si>
    <t>-710.861741042978 103.496879877374 742.886089873741</t>
  </si>
  <si>
    <t>-566.920283332341 128.694677216055 803.986274473356</t>
  </si>
  <si>
    <t>-570.343615682708 -136.654267918185 305.477202560091</t>
  </si>
  <si>
    <t>-598.942218499765 -143.055818624104 752.341046330012</t>
  </si>
  <si>
    <t>-463.429130896327 -180.956757376934 825.052963193315</t>
  </si>
  <si>
    <t>9763-20170724T104459.250604700.bin</t>
  </si>
  <si>
    <t>-684.884389102493 105.112372110248 -542.273393710148</t>
  </si>
  <si>
    <t>-611.804615325505 161.745779029438 -262.911252123429</t>
  </si>
  <si>
    <t>-380.449653458314 228.250611839435 -273.051296993904</t>
  </si>
  <si>
    <t>-647.388600144234 52.2576887104594 -104.348365756718</t>
  </si>
  <si>
    <t>-662.854119445362 75.7909941256814 298.22046236556</t>
  </si>
  <si>
    <t>-710.916487962456 103.603253615571 742.694253625955</t>
  </si>
  <si>
    <t>-566.96787087505 128.71757470182 803.811926177679</t>
  </si>
  <si>
    <t>-570.883198700881 -137.67385523805 305.519786584383</t>
  </si>
  <si>
    <t>-598.977301230648 -143.293815066085 752.450332583432</t>
  </si>
  <si>
    <t>-463.316046583193 -180.809783613592 825.08554121299</t>
  </si>
  <si>
    <t>9763-20170724T104459.284693600.bin</t>
  </si>
  <si>
    <t>-686.135584874376 103.287498349719 -542.517457383817</t>
  </si>
  <si>
    <t>-618.313218037829 157.992534367433 -261.450417490722</t>
  </si>
  <si>
    <t>-386.337220875235 222.655115916496 -268.986234653413</t>
  </si>
  <si>
    <t>-647.347634615145 51.1438832081938 -104.390234014792</t>
  </si>
  <si>
    <t>-662.622581010437 75.1658885014535 298.157011336629</t>
  </si>
  <si>
    <t>-710.940961146454 103.635268631453 742.579270752372</t>
  </si>
  <si>
    <t>-566.956757228456 128.512442328538 803.709946330267</t>
  </si>
  <si>
    <t>-571.21549475493 -138.315460181436 305.540768495472</t>
  </si>
  <si>
    <t>-599.001744864467 -143.440708982476 752.513679300565</t>
  </si>
  <si>
    <t>-463.294853661122 -180.876062351992 825.105249861155</t>
  </si>
  <si>
    <t>9763-20170724T104459.350424600.bin</t>
  </si>
  <si>
    <t>-688.148608448297 100.828872387321 -542.154708298543</t>
  </si>
  <si>
    <t>-625.631670909619 149.325835585211 -258.727655162249</t>
  </si>
  <si>
    <t>-393.057261285149 212.051935723082 -263.771370586207</t>
  </si>
  <si>
    <t>-647.801449576083 48.9359722098825 -104.500693823802</t>
  </si>
  <si>
    <t>-661.620750405586 74.0456604597332 298.032791304604</t>
  </si>
  <si>
    <t>-710.971276866252 103.665599276991 742.290409726532</t>
  </si>
  <si>
    <t>-566.999685289044 128.584365251878 803.433912397459</t>
  </si>
  <si>
    <t>-571.917676856017 -139.674512719833 305.708261722408</t>
  </si>
  <si>
    <t>-599.062517145191 -143.788197419186 752.676844243996</t>
  </si>
  <si>
    <t>-463.079879063703 -180.46364988055 825.140110752287</t>
  </si>
  <si>
    <t>9763-20170724T104459.383515000.bin</t>
  </si>
  <si>
    <t>-688.836306462471 99.8688846046723 -541.67411079582</t>
  </si>
  <si>
    <t>-623.866936778471 145.522823615965 -258.326514883366</t>
  </si>
  <si>
    <t>-391.390738648936 208.599247393904 -263.523923016703</t>
  </si>
  <si>
    <t>-648.269651856158 47.66882960662 -104.582789774956</t>
  </si>
  <si>
    <t>-661.112824547938 73.593491405177 297.931330071594</t>
  </si>
  <si>
    <t>-710.943985676618 103.56720637522 742.10292783925</t>
  </si>
  <si>
    <t>-567.024266821782 128.802213612432 803.238957478432</t>
  </si>
  <si>
    <t>-572.178334369314 -140.3337324899 305.820394646331</t>
  </si>
  <si>
    <t>-599.078961796356 -144.103272531232 752.775043509066</t>
  </si>
  <si>
    <t>-462.949426565982 -180.345197620642 825.180569115341</t>
  </si>
  <si>
    <t>9763-20170724T104459.423625900.bin</t>
  </si>
  <si>
    <t>-688.783772815398 99.0779985483377 -541.361082954035</t>
  </si>
  <si>
    <t>-620.541898325425 141.617504068039 -258.298123494611</t>
  </si>
  <si>
    <t>-388.54654953951 206.418260070695 -263.766286263298</t>
  </si>
  <si>
    <t>-648.514204872068 46.3512741249531 -104.71185076933</t>
  </si>
  <si>
    <t>-660.847285163862 73.1604629424658 297.760286122933</t>
  </si>
  <si>
    <t>-710.979898516534 103.620372202467 741.858507237201</t>
  </si>
  <si>
    <t>-567.061321794467 128.841926452869 803.002686614994</t>
  </si>
  <si>
    <t>-572.453142813356 -140.894074179075 305.88601208366</t>
  </si>
  <si>
    <t>-599.0707135322 -144.247140314713 752.849445585795</t>
  </si>
  <si>
    <t>-462.849616213062 -180.210774510556 825.221473490293</t>
  </si>
  <si>
    <t>9763-20170724T104459.484791900.bin</t>
  </si>
  <si>
    <t>-686.648753769618 98.1324654584894 -541.283579959722</t>
  </si>
  <si>
    <t>-616.989760731372 138.77164632374 -258.286548132765</t>
  </si>
  <si>
    <t>-385.587946775992 205.630171849794 -264.11812712595</t>
  </si>
  <si>
    <t>-648.348561539806 44.3034773086649 -104.946159469955</t>
  </si>
  <si>
    <t>-661.129852547267 72.341337680441 297.428255790638</t>
  </si>
  <si>
    <t>-711.051717945291 103.718607340755 741.416964305278</t>
  </si>
  <si>
    <t>-567.146660329099 128.960298510306 802.584617633478</t>
  </si>
  <si>
    <t>-573.384795330365 -142.212090337443 305.912071679162</t>
  </si>
  <si>
    <t>-599.071666063545 -144.417977606942 752.959267360542</t>
  </si>
  <si>
    <t>-462.756898573177 -180.126239371404 825.281548391265</t>
  </si>
  <si>
    <t>9763-20170724T104459.549650600.bin</t>
  </si>
  <si>
    <t>-684.319426054649 97.9134583153148 -541.237933563478</t>
  </si>
  <si>
    <t>-613.698465149099 136.762675325243 -258.228130325163</t>
  </si>
  <si>
    <t>-383.353801260346 206.906844616601 -266.713013607236</t>
  </si>
  <si>
    <t>-648.355660420242 43.2280339361819 -105.037867742447</t>
  </si>
  <si>
    <t>-661.800732516021 71.4886218843449 297.299322881939</t>
  </si>
  <si>
    <t>-711.153539985453 103.791102731436 741.246652648637</t>
  </si>
  <si>
    <t>-567.173778042799 128.660641508835 802.391006662535</t>
  </si>
  <si>
    <t>-575.542492947411 -143.705750640113 305.853609992825</t>
  </si>
  <si>
    <t>-599.096621313372 -144.846052456338 753.04995390977</t>
  </si>
  <si>
    <t>-462.625839266146 -180.106109261549 825.297790409627</t>
  </si>
  <si>
    <t>9763-20170724T104459.586749400.bin</t>
  </si>
  <si>
    <t>-683.186435046873 97.863821761377 -541.249920210311</t>
  </si>
  <si>
    <t>-611.583930747511 136.862565875153 -258.50727667266</t>
  </si>
  <si>
    <t>-381.342413255702 207.171714539658 -268.321914283824</t>
  </si>
  <si>
    <t>-648.396895210736 42.8214130305871 -105.075433937037</t>
  </si>
  <si>
    <t>-661.931579135323 71.2201387961204 297.249053219619</t>
  </si>
  <si>
    <t>-711.181889977984 103.78302454961 741.190751327399</t>
  </si>
  <si>
    <t>-567.191631275268 128.61609462424 802.325342713679</t>
  </si>
  <si>
    <t>-576.554421328773 -144.085790936472 305.810948463833</t>
  </si>
  <si>
    <t>-599.099462380027 -144.72036777567 753.082470933584</t>
  </si>
  <si>
    <t>-462.796126879606 -180.624495143534 825.329253282453</t>
  </si>
  <si>
    <t>9763-20170724T104459.647925000.bin</t>
  </si>
  <si>
    <t>-679.986670265736 97.5054915166752 -541.481514872474</t>
  </si>
  <si>
    <t>-605.974010555197 136.726902273256 -259.391168161868</t>
  </si>
  <si>
    <t>-376.082022181837 207.784823929305 -271.692882173862</t>
  </si>
  <si>
    <t>-647.503648028274 41.6652651907698 -104.983731689692</t>
  </si>
  <si>
    <t>-661.706793886928 70.689193709728 297.273098286728</t>
  </si>
  <si>
    <t>-711.202762067517 103.678938668894 741.115504948764</t>
  </si>
  <si>
    <t>-567.205556470456 128.502519982797 802.237263849557</t>
  </si>
  <si>
    <t>-577.411689206016 -144.984135850179 305.762095745517</t>
  </si>
  <si>
    <t>-599.087277059651 -145.099499359556 753.131337825533</t>
  </si>
  <si>
    <t>-462.622952139577 -180.464717438098 825.339963580655</t>
  </si>
  <si>
    <t>9763-20170724T104459.685022500.bin</t>
  </si>
  <si>
    <t>-678.086360903757 97.262336832496 -541.646445341687</t>
  </si>
  <si>
    <t>-603.393728684348 136.741809528331 -259.771385054954</t>
  </si>
  <si>
    <t>-373.695519454769 208.410114539319 -272.149894559383</t>
  </si>
  <si>
    <t>-646.96391926391 41.3370022313807 -104.907828904755</t>
  </si>
  <si>
    <t>-661.583747312603 70.4646185760514 297.32651355445</t>
  </si>
  <si>
    <t>-711.236970594931 103.684547163837 741.114043377387</t>
  </si>
  <si>
    <t>-567.236653708632 128.530258835047 802.219617213162</t>
  </si>
  <si>
    <t>-577.526669106461 -145.325814561416 305.763458255471</t>
  </si>
  <si>
    <t>-599.08212654456 -145.158072149969 753.14201860306</t>
  </si>
  <si>
    <t>-462.621931631864 -180.548485962642 825.346096510267</t>
  </si>
  <si>
    <t>9763-20170724T104459.753208800.bin</t>
  </si>
  <si>
    <t>-674.994955882454 97.5740447347898 -541.991410211291</t>
  </si>
  <si>
    <t>-600.134149468936 138.175578777891 -260.320427602042</t>
  </si>
  <si>
    <t>-371.379516920878 212.808184639008 -272.65671430968</t>
  </si>
  <si>
    <t>-646.220819243254 41.4976209963027 -104.836732992631</t>
  </si>
  <si>
    <t>-661.465337287341 70.5611883361773 297.379093123946</t>
  </si>
  <si>
    <t>-711.271790119354 103.708284858974 741.128899400747</t>
  </si>
  <si>
    <t>-567.249696860981 128.481113306328 802.212819315134</t>
  </si>
  <si>
    <t>-578.001014595741 -145.630041449604 305.805237271397</t>
  </si>
  <si>
    <t>-599.072767606977 -145.29854789118 753.172290936679</t>
  </si>
  <si>
    <t>-462.64216884068 -180.828195594048 825.363864650024</t>
  </si>
  <si>
    <t>9763-20170724T104459.786297000.bin</t>
  </si>
  <si>
    <t>-674.225098001099 98.1722892981302 -542.196271634155</t>
  </si>
  <si>
    <t>-599.671552036662 140.09915398524 -260.637809611358</t>
  </si>
  <si>
    <t>-371.455476210756 216.326091007042 -273.197386221568</t>
  </si>
  <si>
    <t>-645.96792807887 42.0532562274452 -104.840867836002</t>
  </si>
  <si>
    <t>-661.471371938283 70.8861078522978 297.381635204454</t>
  </si>
  <si>
    <t>-711.33507604152 103.851532335468 741.139862441906</t>
  </si>
  <si>
    <t>-567.260983211819 128.325220399981 802.221711898263</t>
  </si>
  <si>
    <t>-578.482470459555 -145.464641793833 305.809103537771</t>
  </si>
  <si>
    <t>-599.072208998155 -145.205137269968 753.181705176688</t>
  </si>
  <si>
    <t>-462.791528777694 -181.280773200658 825.385744771791</t>
  </si>
  <si>
    <t>9763-20170724T104459.853483600.bin</t>
  </si>
  <si>
    <t>-673.106122062156 99.247892003973 -542.542890291774</t>
  </si>
  <si>
    <t>-599.278438601336 143.969429346827 -261.22326753989</t>
  </si>
  <si>
    <t>-371.811675686916 222.366167328063 -274.016972356155</t>
  </si>
  <si>
    <t>-645.595743887219 43.1869988169108 -104.826690692963</t>
  </si>
  <si>
    <t>-661.417088361974 71.5704825850075 297.415508111781</t>
  </si>
  <si>
    <t>-711.360483177614 103.945887280764 741.182256399578</t>
  </si>
  <si>
    <t>-567.293654008783 128.467531020362 802.261925151022</t>
  </si>
  <si>
    <t>-578.662436049984 -145.136763661665 305.780813350788</t>
  </si>
  <si>
    <t>-599.048002357795 -145.164182714201 753.189168222606</t>
  </si>
  <si>
    <t>-462.754328163704 -181.193937001768 825.391564976978</t>
  </si>
  <si>
    <t>9763-20170724T104459.883562600.bin</t>
  </si>
  <si>
    <t>-672.55268379411 99.6358504049799 -542.683739840652</t>
  </si>
  <si>
    <t>-598.690136574997 146.05089490566 -261.647863170101</t>
  </si>
  <si>
    <t>-371.592581139012 225.464052772635 -274.72863198431</t>
  </si>
  <si>
    <t>-645.380194417207 43.7139999802685 -104.816970131736</t>
  </si>
  <si>
    <t>-661.298750682053 71.8819436726176 297.436514197865</t>
  </si>
  <si>
    <t>-711.352693702692 103.958488042341 741.21326806952</t>
  </si>
  <si>
    <t>-567.278046318546 128.430078395544 802.29467208798</t>
  </si>
  <si>
    <t>-578.401684007981 -144.96527880354 305.775579660544</t>
  </si>
  <si>
    <t>-599.029179692315 -145.319910217012 753.178330057673</t>
  </si>
  <si>
    <t>-462.737078569259 -181.338617081023 825.38908958623</t>
  </si>
  <si>
    <t>9763-20170724T104459.950327800.bin</t>
  </si>
  <si>
    <t>-671.213720012367 99.9608360944678 -542.905970541933</t>
  </si>
  <si>
    <t>-596.301048816139 151.015001091534 -262.954480480675</t>
  </si>
  <si>
    <t>-369.661494626938 231.725069746712 -276.039176659191</t>
  </si>
  <si>
    <t>-644.942726047174 44.4522277807139 -104.815028866838</t>
  </si>
  <si>
    <t>-660.988807306667 72.231550848795 297.460401455329</t>
  </si>
  <si>
    <t>-711.310150377623 103.974695769461 741.23862459599</t>
  </si>
  <si>
    <t>-567.307114185839 128.77679844195 802.355622129808</t>
  </si>
  <si>
    <t>-577.651663700828 -144.54343200366 305.780859836307</t>
  </si>
  <si>
    <t>-599.030350603872 -145.474545064337 753.184032121781</t>
  </si>
  <si>
    <t>-462.700205488445 -181.414535492025 825.362331723662</t>
  </si>
  <si>
    <t>9763-20170724T104459.988428500.bin</t>
  </si>
  <si>
    <t>-670.552928698846 100.087673029539 -543.025747366097</t>
  </si>
  <si>
    <t>-594.535910351399 154.093759317002 -263.927281568026</t>
  </si>
  <si>
    <t>-368.085630286154 235.310740694541 -277.154703976882</t>
  </si>
  <si>
    <t>-644.688938002805 44.7828081869911 -104.788042921053</t>
  </si>
  <si>
    <t>-660.967423136267 72.375175093603 297.490908594309</t>
  </si>
  <si>
    <t>-711.280946107824 103.983819369386 741.263780165837</t>
  </si>
  <si>
    <t>-567.310788717021 128.909345294123 802.407923921418</t>
  </si>
  <si>
    <t>-577.108021250546 -144.30909310568 305.791880880452</t>
  </si>
  <si>
    <t>-599.020495281008 -145.49148816074 753.185369000267</t>
  </si>
  <si>
    <t>-462.763181685092 -181.725609410829 825.354100729934</t>
  </si>
  <si>
    <t>9763-20170724T104500.052655600.bin</t>
  </si>
  <si>
    <t>-669.359571515253 100.24914157415 -543.43854241113</t>
  </si>
  <si>
    <t>-590.81499407377 160.250078622934 -266.270984362542</t>
  </si>
  <si>
    <t>-364.843570270409 242.593254641206 -280.67184315161</t>
  </si>
  <si>
    <t>-644.403306986831 45.5262252072744 -104.662773582142</t>
  </si>
  <si>
    <t>-661.300172941279 72.7404125698749 297.616472599948</t>
  </si>
  <si>
    <t>-711.224913269198 103.990292226861 741.427280783739</t>
  </si>
  <si>
    <t>-567.350770994649 129.382066641062 802.605473527485</t>
  </si>
  <si>
    <t>-576.338704082111 -144.025203343089 305.779389267675</t>
  </si>
  <si>
    <t>-599.013722021929 -145.619741163114 753.153197272035</t>
  </si>
  <si>
    <t>-462.590961317092 -181.311105943659 825.279782838167</t>
  </si>
  <si>
    <t>9763-20170724T104500.086746300.bin</t>
  </si>
  <si>
    <t>-668.923319066887 100.382844227712 -543.69505902783</t>
  </si>
  <si>
    <t>-589.171906736214 163.590703233992 -267.587165394256</t>
  </si>
  <si>
    <t>-363.29607105109 246.210334908108 -281.90505091081</t>
  </si>
  <si>
    <t>-644.382440030645 46.0022029398178 -104.587274139017</t>
  </si>
  <si>
    <t>-661.532873342539 73.0027186233874 297.695602023433</t>
  </si>
  <si>
    <t>-711.202154688864 103.988575350418 741.546257354701</t>
  </si>
  <si>
    <t>-567.346692727748 129.477761135171 802.728119870165</t>
  </si>
  <si>
    <t>-576.239086077883 -143.835082926729 305.761920249978</t>
  </si>
  <si>
    <t>-599.005100182411 -145.667963422365 753.131133702771</t>
  </si>
  <si>
    <t>-462.575674005495 -181.338875191722 825.255219248995</t>
  </si>
  <si>
    <t>9763-20170724T104500.158213000.bin</t>
  </si>
  <si>
    <t>-668.260339774251 100.95259701244 -544.292701248337</t>
  </si>
  <si>
    <t>-586.317437008188 170.184710945969 -270.279164807611</t>
  </si>
  <si>
    <t>-360.368704208395 252.705503482782 -284.003384216134</t>
  </si>
  <si>
    <t>-644.488981424069 47.217009015897 -104.433417840663</t>
  </si>
  <si>
    <t>-661.882784635378 73.5814314850836 297.881188121776</t>
  </si>
  <si>
    <t>-711.227707037429 104.084669090379 741.813847268834</t>
  </si>
  <si>
    <t>-567.379924809925 129.659168089716 802.978034807677</t>
  </si>
  <si>
    <t>-576.199445875991 -143.329647885636 305.745141809179</t>
  </si>
  <si>
    <t>-598.977011255859 -145.822434909211 753.106646252222</t>
  </si>
  <si>
    <t>-462.55410540631 -181.529758235431 825.22520873896</t>
  </si>
  <si>
    <t>9763-20170724T104500.185290800.bin</t>
  </si>
  <si>
    <t>-667.925201622935 101.281113102228 -544.594547905115</t>
  </si>
  <si>
    <t>-584.570212895659 173.009059423158 -271.650770667321</t>
  </si>
  <si>
    <t>-358.752178769445 255.921111336617 -285.16701288501</t>
  </si>
  <si>
    <t>-644.54161330266 47.7979658674403 -104.361089648139</t>
  </si>
  <si>
    <t>-662.020639177411 73.9179467078277 297.965699365837</t>
  </si>
  <si>
    <t>-711.207425777969 104.091621872216 741.935791468622</t>
  </si>
  <si>
    <t>-567.364702507263 129.684394479463 803.104131111548</t>
  </si>
  <si>
    <t>-576.167702184015 -142.974344275095 305.726012001901</t>
  </si>
  <si>
    <t>-598.963276228452 -145.768766631141 753.084879535704</t>
  </si>
  <si>
    <t>-462.561080566902 -181.553049586763 825.204379723879</t>
  </si>
  <si>
    <t>9763-20170724T104500.251040200.bin</t>
  </si>
  <si>
    <t>-667.186193842301 101.683085755805 -545.188185061859</t>
  </si>
  <si>
    <t>-580.013451547724 177.663008710614 -274.5977874066</t>
  </si>
  <si>
    <t>-354.371263380034 261.241394050945 -286.890488638223</t>
  </si>
  <si>
    <t>-644.685318756874 48.9364324211379 -104.230340078299</t>
  </si>
  <si>
    <t>-662.430614379056 74.5667624152582 298.116362525957</t>
  </si>
  <si>
    <t>-711.186272308923 104.167124236583 742.171844210677</t>
  </si>
  <si>
    <t>-567.350008096515 129.753994915606 803.35815916958</t>
  </si>
  <si>
    <t>-575.957204665894 -142.266758091943 305.696068075862</t>
  </si>
  <si>
    <t>-598.934628623667 -145.741728053799 753.044754289913</t>
  </si>
  <si>
    <t>-462.54845327858 -181.580033125884 825.167767239761</t>
  </si>
  <si>
    <t>9763-20170724T104500.287137300.bin</t>
  </si>
  <si>
    <t>-666.917593636746 101.904180224556 -545.513063804377</t>
  </si>
  <si>
    <t>-577.852613042527 179.843163589357 -276.098609268956</t>
  </si>
  <si>
    <t>-352.438273425411 264.136332863217 -287.670765935983</t>
  </si>
  <si>
    <t>-644.846269702035 49.5566649658376 -104.15775155971</t>
  </si>
  <si>
    <t>-662.762611179586 74.9968418433236 298.193399719563</t>
  </si>
  <si>
    <t>-711.19521652308 104.250328789722 742.302989910946</t>
  </si>
  <si>
    <t>-567.346880011647 129.738850778853 803.501795340202</t>
  </si>
  <si>
    <t>-575.792904256777 -141.876145381667 305.671322254007</t>
  </si>
  <si>
    <t>-598.910886841337 -145.72922240256 753.003437073976</t>
  </si>
  <si>
    <t>-462.599827160682 -181.796934027813 825.153983512939</t>
  </si>
  <si>
    <t>9763-20170724T104500.352013200.bin</t>
  </si>
  <si>
    <t>-666.776971922244 102.21260364895 -546.235012762244</t>
  </si>
  <si>
    <t>-574.491376185252 184.326026903381 -279.154600541628</t>
  </si>
  <si>
    <t>-349.26642574148 269.401575879868 -288.4696018881</t>
  </si>
  <si>
    <t>-645.662209920633 51.0375542057509 -104.045838096145</t>
  </si>
  <si>
    <t>-663.664676533109 75.8027204399846 298.343617006962</t>
  </si>
  <si>
    <t>-711.210962878906 104.418332818422 742.59640008534</t>
  </si>
  <si>
    <t>-567.358996058634 129.875628717706 803.799468213532</t>
  </si>
  <si>
    <t>-576.00614328378 -141.130343725948 305.610777867599</t>
  </si>
  <si>
    <t>-598.881111388135 -145.66038155368 752.93870151427</t>
  </si>
  <si>
    <t>-462.578565583449 -181.70730092498 825.115791720008</t>
  </si>
  <si>
    <t>9763-20170724T104500.385098900.bin</t>
  </si>
  <si>
    <t>-667.041427546592 102.287660554414 -546.68236260534</t>
  </si>
  <si>
    <t>-573.363078045544 186.18354293675 -280.642744933876</t>
  </si>
  <si>
    <t>-348.257247973579 271.718250433094 -288.518290251317</t>
  </si>
  <si>
    <t>-646.266785232598 51.8176999001544 -104.018832857549</t>
  </si>
  <si>
    <t>-664.337378566973 76.2507882375639 298.38789057084</t>
  </si>
  <si>
    <t>-711.231102678586 104.539521306147 742.733897678285</t>
  </si>
  <si>
    <t>-567.346829103055 129.783772936683 803.949265946573</t>
  </si>
  <si>
    <t>-576.28919952717 -140.621326426916 305.579713018243</t>
  </si>
  <si>
    <t>-598.862059902491 -145.698970491256 752.901872958552</t>
  </si>
  <si>
    <t>-462.646278354569 -182.003045323385 825.113871516788</t>
  </si>
  <si>
    <t>9763-20170724T104500.419192800.bin</t>
  </si>
  <si>
    <t>-667.597720428701 102.183203511154 -547.16583778033</t>
  </si>
  <si>
    <t>-573.280796254194 187.47223738811 -281.795648449625</t>
  </si>
  <si>
    <t>-348.384753300156 273.702372373718 -287.882211364047</t>
  </si>
  <si>
    <t>-646.942385879687 52.5542988548648 -103.998668144125</t>
  </si>
  <si>
    <t>-665.089468483116 76.7305666107293 298.420113185747</t>
  </si>
  <si>
    <t>-711.297243325203 104.771179272086 742.868969494676</t>
  </si>
  <si>
    <t>-567.374820475667 129.755255570207 804.101425394438</t>
  </si>
  <si>
    <t>-576.515420603466 -140.20645292961 305.52831184935</t>
  </si>
  <si>
    <t>-598.835364178186 -145.777274104138 752.857652315279</t>
  </si>
  <si>
    <t>-462.545901501611 -181.751154878064 825.095862671293</t>
  </si>
  <si>
    <t>9763-20170724T104500.484367700.bin</t>
  </si>
  <si>
    <t>-669.812004996454 102.025400239161 -547.989975248973</t>
  </si>
  <si>
    <t>-577.065292563966 187.749148301958 -282.206910602937</t>
  </si>
  <si>
    <t>-352.783743849932 275.741125863379 -284.672180776844</t>
  </si>
  <si>
    <t>-649.075947206128 54.1243181225079 -103.99567713204</t>
  </si>
  <si>
    <t>-666.824333563621 77.6574018665963 298.479000557149</t>
  </si>
  <si>
    <t>-711.415334765954 105.21836300816 743.154100494462</t>
  </si>
  <si>
    <t>-567.35551687449 129.37971243629 804.393779911182</t>
  </si>
  <si>
    <t>-576.921327403682 -138.926714664261 305.431042072991</t>
  </si>
  <si>
    <t>-598.794240311589 -145.572454316665 752.754562309303</t>
  </si>
  <si>
    <t>-462.676433453199 -181.974330879861 825.101740749661</t>
  </si>
  <si>
    <t>9763-20170724T104500.553556200.bin</t>
  </si>
  <si>
    <t>-672.656240105737 102.575581347957 -547.713785692814</t>
  </si>
  <si>
    <t>-585.592126133697 184.669825832954 -278.879937139791</t>
  </si>
  <si>
    <t>-360.893421493381 271.622437251397 -279.677023133475</t>
  </si>
  <si>
    <t>-652.646942435112 55.8692544764285 -104.174046773714</t>
  </si>
  <si>
    <t>-668.828843067255 78.9975047990017 298.390115081796</t>
  </si>
  <si>
    <t>-711.671940407241 105.95829224481 743.336201867167</t>
  </si>
  <si>
    <t>-567.426582646554 128.908071730837 804.605034578983</t>
  </si>
  <si>
    <t>-576.339545915808 -137.423584691417 305.362594526794</t>
  </si>
  <si>
    <t>-598.705773725273 -144.784927387545 752.638983391072</t>
  </si>
  <si>
    <t>-463.164321549147 -182.934386855839 825.16788389809</t>
  </si>
  <si>
    <t>9763-20170724T104500.581630500.bin</t>
  </si>
  <si>
    <t>-674.175405258392 102.901183533537 -547.17235109604</t>
  </si>
  <si>
    <t>-590.182809291047 182.155546370291 -276.515457192628</t>
  </si>
  <si>
    <t>-364.942198850368 267.690961211988 -277.625793502187</t>
  </si>
  <si>
    <t>-654.094373116759 56.3219319729217 -104.283398555833</t>
  </si>
  <si>
    <t>-669.65375439126 79.4484755570156 298.305420344893</t>
  </si>
  <si>
    <t>-711.737487184183 106.235577305967 743.333303812486</t>
  </si>
  <si>
    <t>-567.465349819686 128.901004752074 804.645075512879</t>
  </si>
  <si>
    <t>-576.53582087933 -136.819613337216 305.376517923778</t>
  </si>
  <si>
    <t>-598.700271410559 -144.524990509025 752.649726491317</t>
  </si>
  <si>
    <t>-463.234004088214 -182.924174130692 825.187297007029</t>
  </si>
  <si>
    <t>9763-20170724T104500.652413100.bin</t>
  </si>
  <si>
    <t>-676.925316985518 101.920327896031 -546.339390448666</t>
  </si>
  <si>
    <t>-599.090566994375 175.391134339632 -272.231898912237</t>
  </si>
  <si>
    <t>-372.976514683572 258.586899153784 -270.904516434807</t>
  </si>
  <si>
    <t>-654.753536187729 55.5650234788868 -104.479285948715</t>
  </si>
  <si>
    <t>-670.313216390361 79.1349921407252 298.083812311091</t>
  </si>
  <si>
    <t>-711.669763596783 106.316753546334 743.240771439767</t>
  </si>
  <si>
    <t>-567.49143391412 129.375134884335 804.626550798898</t>
  </si>
  <si>
    <t>-576.800007534692 -136.306572846027 305.390879987312</t>
  </si>
  <si>
    <t>-598.704263710917 -144.572411720389 752.679476586011</t>
  </si>
  <si>
    <t>-463.242157160088 -182.991743893686 825.214066652258</t>
  </si>
  <si>
    <t>9763-20170724T104500.681489600.bin</t>
  </si>
  <si>
    <t>-678.630693330316 101.107117627728 -546.251273251047</t>
  </si>
  <si>
    <t>-606.329593881336 172.480703424884 -270.081779720292</t>
  </si>
  <si>
    <t>-378.971889825931 252.100246880667 -265.602994465423</t>
  </si>
  <si>
    <t>-654.931674885196 55.1350166457594 -104.504105519129</t>
  </si>
  <si>
    <t>-670.440538137686 78.9245733034995 298.048007736307</t>
  </si>
  <si>
    <t>-711.666832314442 106.375913709757 743.210810027557</t>
  </si>
  <si>
    <t>-567.502364326656 129.45036107716 804.623061217288</t>
  </si>
  <si>
    <t>-576.657620209901 -136.549665460044 305.365509008621</t>
  </si>
  <si>
    <t>-598.703902885171 -144.750466072887 752.682619411289</t>
  </si>
  <si>
    <t>-463.135058285003 -182.815046969817 825.20502952269</t>
  </si>
  <si>
    <t>9763-20170724T104500.751684800.bin</t>
  </si>
  <si>
    <t>-680.941742701022 100.666973018132 -545.94290299744</t>
  </si>
  <si>
    <t>-626.622663914435 165.479273988973 -264.091786582057</t>
  </si>
  <si>
    <t>-396.451731457596 235.732618220303 -252.401399478815</t>
  </si>
  <si>
    <t>-655.422323922527 54.5740258679648 -104.437344741464</t>
  </si>
  <si>
    <t>-670.440323153796 78.4563705278697 298.127851536358</t>
  </si>
  <si>
    <t>-711.595606166894 106.183541312916 743.263081174025</t>
  </si>
  <si>
    <t>-567.505077046853 129.729071194057 804.670161423402</t>
  </si>
  <si>
    <t>-576.918680927105 -137.027472727136 305.372122432873</t>
  </si>
  <si>
    <t>-598.716878949522 -144.812925894883 752.717204706053</t>
  </si>
  <si>
    <t>-463.14709910918 -182.930539899538 825.209926778225</t>
  </si>
  <si>
    <t>9763-20170724T104500.784772200.bin</t>
  </si>
  <si>
    <t>-681.783207435568 100.96328944791 -545.539528655385</t>
  </si>
  <si>
    <t>-635.095141225802 161.245532971293 -261.325611025425</t>
  </si>
  <si>
    <t>-403.901484426645 227.462322353267 -246.639460513159</t>
  </si>
  <si>
    <t>-655.63132033796 54.2988939296254 -104.406586491888</t>
  </si>
  <si>
    <t>-670.310094301703 78.2071884314873 298.169642794179</t>
  </si>
  <si>
    <t>-711.596279925216 106.126395959273 743.297145039424</t>
  </si>
  <si>
    <t>-567.476370099562 129.526682246983 804.690727184472</t>
  </si>
  <si>
    <t>-577.341121840506 -137.376372930648 305.412139808597</t>
  </si>
  <si>
    <t>-598.723832551048 -145.041772939414 752.749547655061</t>
  </si>
  <si>
    <t>-462.982800311041 -182.611294560534 825.207806680484</t>
  </si>
  <si>
    <t>9763-20170724T104500.850764200.bin</t>
  </si>
  <si>
    <t>-684.103684570393 100.940712669511 -544.034361598941</t>
  </si>
  <si>
    <t>-640.282189609326 153.271943093958 -257.79609187317</t>
  </si>
  <si>
    <t>-408.672970505184 216.393022809646 -237.210217990267</t>
  </si>
  <si>
    <t>-656.341058533935 52.9668741806968 -104.367290658573</t>
  </si>
  <si>
    <t>-670.019720610161 77.6326385785537 298.19844740384</t>
  </si>
  <si>
    <t>-711.584927356116 106.005386697598 743.262589928635</t>
  </si>
  <si>
    <t>-567.469659341065 129.423449756456 804.660302639721</t>
  </si>
  <si>
    <t>-577.94847044426 -137.923181832481 305.507190560518</t>
  </si>
  <si>
    <t>-598.762647286337 -145.145243084832 752.86581363003</t>
  </si>
  <si>
    <t>-462.906333039285 -182.441061436661 825.249437151228</t>
  </si>
  <si>
    <t>9763-20170724T104500.883853800.bin</t>
  </si>
  <si>
    <t>-684.823064806821 100.242856498915 -543.419769730815</t>
  </si>
  <si>
    <t>-638.497323404625 150.661562647862 -257.232456682379</t>
  </si>
  <si>
    <t>-406.557253256552 212.494645077425 -236.464444119738</t>
  </si>
  <si>
    <t>-656.636976371589 51.8645201684651 -104.373413972624</t>
  </si>
  <si>
    <t>-669.980842210562 77.2396324792528 298.159460024506</t>
  </si>
  <si>
    <t>-711.555602589758 105.881046300752 743.210825689524</t>
  </si>
  <si>
    <t>-567.503739571659 129.690692877784 804.606631572053</t>
  </si>
  <si>
    <t>-578.070166073779 -138.351164367698 305.573451354899</t>
  </si>
  <si>
    <t>-598.774846916934 -145.26690058944 752.931621506819</t>
  </si>
  <si>
    <t>-462.780916830591 -182.140721311828 825.272987369615</t>
  </si>
  <si>
    <t>9763-20170724T104500.951726300.bin</t>
  </si>
  <si>
    <t>-685.582441707551 98.709599881769 -543.099346788411</t>
  </si>
  <si>
    <t>-634.830160952384 149.405765558241 -257.713099766838</t>
  </si>
  <si>
    <t>-402.026013781966 208.583655086511 -238.976177933152</t>
  </si>
  <si>
    <t>-657.331926821714 50.2951875078106 -104.382173603752</t>
  </si>
  <si>
    <t>-670.379129307828 76.4761265533468 298.108810658738</t>
  </si>
  <si>
    <t>-711.647118277912 105.881722661205 743.155115644513</t>
  </si>
  <si>
    <t>-567.519722314183 129.229293276808 804.551166376179</t>
  </si>
  <si>
    <t>-578.529201723353 -139.206426538721 305.65887595597</t>
  </si>
  <si>
    <t>-598.787565984996 -145.723540169891 753.031955225596</t>
  </si>
  <si>
    <t>-462.580518654696 -181.908482320214 825.320094535214</t>
  </si>
  <si>
    <t>9763-20170724T104500.987822700.bin</t>
  </si>
  <si>
    <t>-685.676541977496 98.5844366751398 -543.100334051082</t>
  </si>
  <si>
    <t>-632.648212035809 149.629256237327 -258.190420965403</t>
  </si>
  <si>
    <t>-399.604524654279 208.507503752677 -241.611662698933</t>
  </si>
  <si>
    <t>-657.549324900828 49.7429861808141 -104.326702726458</t>
  </si>
  <si>
    <t>-670.547048758738 76.079970007213 298.155749794186</t>
  </si>
  <si>
    <t>-711.661412162849 105.781126563389 743.199635384073</t>
  </si>
  <si>
    <t>-567.500203815941 128.942091611655 804.587082509248</t>
  </si>
  <si>
    <t>-578.850064292735 -139.584274856872 305.635448765028</t>
  </si>
  <si>
    <t>-598.785885481254 -145.800295595291 753.047950924728</t>
  </si>
  <si>
    <t>-462.531985545024 -181.809214445927 825.335761031551</t>
  </si>
  <si>
    <t>9763-20170724T104501.026689900.bin</t>
  </si>
  <si>
    <t>-685.653313731388 98.3956377754562 -543.170211944603</t>
  </si>
  <si>
    <t>-630.466930185772 150.464307585036 -258.856023465233</t>
  </si>
  <si>
    <t>-397.298206975891 209.286189545191 -243.916630514775</t>
  </si>
  <si>
    <t>-657.700208403386 49.1676309265399 -104.263582845682</t>
  </si>
  <si>
    <t>-670.709621226612 75.6741815574478 298.207319022276</t>
  </si>
  <si>
    <t>-711.633640879567 105.563797471618 743.183787669176</t>
  </si>
  <si>
    <t>-567.431143109742 128.461460072199 804.573092759379</t>
  </si>
  <si>
    <t>-579.292729481817 -140.063268532411 305.571707094837</t>
  </si>
  <si>
    <t>-598.762618930655 -145.837637051506 753.029920891665</t>
  </si>
  <si>
    <t>-462.475877837099 -181.672147296203 825.342447221861</t>
  </si>
  <si>
    <t>9763-20170724T104501.085267700.bin</t>
  </si>
  <si>
    <t>-685.058929674887 97.9834311042598 -543.532800060427</t>
  </si>
  <si>
    <t>-627.726121837029 152.405472376792 -260.085494905659</t>
  </si>
  <si>
    <t>-394.576498956361 211.835061089274 -247.426608322696</t>
  </si>
  <si>
    <t>-657.85928761121 48.3005714293085 -104.106551181726</t>
  </si>
  <si>
    <t>-670.770672249151 75.1015393972386 298.348056537494</t>
  </si>
  <si>
    <t>-711.665891658598 105.325737818793 743.368186649946</t>
  </si>
  <si>
    <t>-567.427288010288 128.11414203115 804.713167232733</t>
  </si>
  <si>
    <t>-580.436639025168 -140.942097243607 305.523047054809</t>
  </si>
  <si>
    <t>-598.733345122013 -146.266318740542 753.031971098253</t>
  </si>
  <si>
    <t>-462.337117744061 -181.608628536471 825.380334819003</t>
  </si>
  <si>
    <t>9763-20170724T104501.152977300.bin</t>
  </si>
  <si>
    <t>-684.102682721899 98.0145603377659 -543.967116928765</t>
  </si>
  <si>
    <t>-625.937016438654 155.032486282445 -261.200709648739</t>
  </si>
  <si>
    <t>-392.920555365478 215.083761957519 -249.033740579167</t>
  </si>
  <si>
    <t>-657.879406306593 48.154372263587 -104.02444974207</t>
  </si>
  <si>
    <t>-670.857513580306 75.0757700720328 298.419897161718</t>
  </si>
  <si>
    <t>-711.741235266373 105.376125543242 743.42214243784</t>
  </si>
  <si>
    <t>-567.44000819798 127.842912611078 804.738651826108</t>
  </si>
  <si>
    <t>-581.190560459618 -141.115726242754 305.538784595304</t>
  </si>
  <si>
    <t>-598.71124056881 -146.252077230133 753.053821101538</t>
  </si>
  <si>
    <t>-462.347863535573 -181.647651936227 825.438007555998</t>
  </si>
  <si>
    <t>9763-20170724T104501.189072300.bin</t>
  </si>
  <si>
    <t>-683.977089159933 98.0375989605332 -544.128826329779</t>
  </si>
  <si>
    <t>-624.881728981583 155.410652831518 -261.626921474598</t>
  </si>
  <si>
    <t>-392.0270244196 216.297706205458 -250.567736057635</t>
  </si>
  <si>
    <t>-657.959133167427 48.1234567034946 -104.0162051962</t>
  </si>
  <si>
    <t>-670.933409844175 75.1074564649198 298.424097072593</t>
  </si>
  <si>
    <t>-711.760404963143 105.419322709108 743.421032285786</t>
  </si>
  <si>
    <t>-567.436636422326 127.718813983722 804.745446599253</t>
  </si>
  <si>
    <t>-581.5490161673 -141.279433179991 305.54046136334</t>
  </si>
  <si>
    <t>-598.698977052929 -146.386922501922 753.062388787442</t>
  </si>
  <si>
    <t>-462.228506901517 -181.368036845334 825.446346086169</t>
  </si>
  <si>
    <t>9763-20170724T104501.250424200.bin</t>
  </si>
  <si>
    <t>-684.282049978335 97.8719829859024 -544.463198762291</t>
  </si>
  <si>
    <t>-622.924952141624 156.196136620069 -262.6391385129</t>
  </si>
  <si>
    <t>-390.289682899586 218.27987502124 -253.845967094295</t>
  </si>
  <si>
    <t>-658.109072518919 48.0501312052327 -104.066295598053</t>
  </si>
  <si>
    <t>-671.18785791831 75.1052430900982 298.365781424558</t>
  </si>
  <si>
    <t>-711.654124598319 105.232682532055 743.391864137807</t>
  </si>
  <si>
    <t>-567.390447172409 127.828815208095 804.749062307873</t>
  </si>
  <si>
    <t>-582.102572895921 -141.447601179058 305.535746602829</t>
  </si>
  <si>
    <t>-598.682901048697 -146.19758940663 753.070744212942</t>
  </si>
  <si>
    <t>-462.293927999249 -181.458306216213 825.472593527801</t>
  </si>
  <si>
    <t>9763-20170724T104501.287523700.bin</t>
  </si>
  <si>
    <t>-684.616259855277 97.8260422831202 -544.67362410398</t>
  </si>
  <si>
    <t>-622.283893620779 157.213402254821 -263.286037514515</t>
  </si>
  <si>
    <t>-389.592089725119 219.204589201218 -255.380594834818</t>
  </si>
  <si>
    <t>-658.230553427496 48.0842635999325 -104.115360808756</t>
  </si>
  <si>
    <t>-671.377014856479 75.0655996693272 298.319599110442</t>
  </si>
  <si>
    <t>-711.596216325815 105.14259441247 743.368466601662</t>
  </si>
  <si>
    <t>-567.381945268141 127.989736721522 804.748693123778</t>
  </si>
  <si>
    <t>-582.384364443375 -141.516168510487 305.526251818738</t>
  </si>
  <si>
    <t>-598.689269849569 -146.238733814475 753.081157676328</t>
  </si>
  <si>
    <t>-462.309969120821 -181.559389501709 825.472011639028</t>
  </si>
  <si>
    <t>9763-20170724T104501.354246000.bin</t>
  </si>
  <si>
    <t>-684.928706017888 97.7292461912498 -545.016012807817</t>
  </si>
  <si>
    <t>-621.004755669047 159.129777678653 -264.418622375148</t>
  </si>
  <si>
    <t>-388.309182811645 221.245053600477 -257.684514738761</t>
  </si>
  <si>
    <t>-658.410820951966 48.0464723693572 -104.168741101979</t>
  </si>
  <si>
    <t>-671.718855643942 74.9776445943003 298.264231063775</t>
  </si>
  <si>
    <t>-711.527944323256 105.036274122579 743.348348631229</t>
  </si>
  <si>
    <t>-567.356215928318 128.031278758694 804.773419254848</t>
  </si>
  <si>
    <t>-582.870102937659 -141.501041719988 305.517502857266</t>
  </si>
  <si>
    <t>-598.693417454441 -146.161402565805 753.096046687732</t>
  </si>
  <si>
    <t>-462.2913775691 -181.459403985322 825.455055484525</t>
  </si>
  <si>
    <t>9763-20170724T104501.386331300.bin</t>
  </si>
  <si>
    <t>-684.906232325613 97.7356271114672 -545.188129670376</t>
  </si>
  <si>
    <t>-620.173681065037 159.850642570053 -264.933580467653</t>
  </si>
  <si>
    <t>-387.527415945016 222.200672008158 -258.683652702772</t>
  </si>
  <si>
    <t>-658.606077404048 48.1148017083622 -104.180080883847</t>
  </si>
  <si>
    <t>-671.886686315479 74.9589189747489 298.259617403542</t>
  </si>
  <si>
    <t>-711.570819445508 105.11945645606 743.351038658025</t>
  </si>
  <si>
    <t>-567.388075625545 127.994311328556 804.795087044007</t>
  </si>
  <si>
    <t>-582.980268569311 -141.515910178887 305.500150314929</t>
  </si>
  <si>
    <t>-598.68872770932 -146.256035161661 753.097818827136</t>
  </si>
  <si>
    <t>-462.214362115362 -181.299779428118 825.444160700018</t>
  </si>
  <si>
    <t>9763-20170724T104501.451510500.bin</t>
  </si>
  <si>
    <t>-684.583576052502 97.7587486236387 -545.560525127757</t>
  </si>
  <si>
    <t>-618.260763607903 161.271718391459 -265.991914799495</t>
  </si>
  <si>
    <t>-385.712548153282 224.026055643007 -260.153705886482</t>
  </si>
  <si>
    <t>-658.646868759463 48.0806488300761 -104.194071879752</t>
  </si>
  <si>
    <t>-671.872961806342 74.8662455570466 298.251259161634</t>
  </si>
  <si>
    <t>-711.462788171753 104.898307080924 743.369164614582</t>
  </si>
  <si>
    <t>-567.369858879905 128.275861313441 804.834624631731</t>
  </si>
  <si>
    <t>-583.015760891595 -141.40149432898 305.458338669378</t>
  </si>
  <si>
    <t>-598.672902574546 -146.206391636191 753.06808210059</t>
  </si>
  <si>
    <t>-462.30186394016 -181.604453110614 825.436714448201</t>
  </si>
  <si>
    <t>9763-20170724T104501.483594800.bin</t>
  </si>
  <si>
    <t>-684.484744017167 97.7757275232907 -545.720784939984</t>
  </si>
  <si>
    <t>-617.19719753127 161.950196946072 -266.533999686539</t>
  </si>
  <si>
    <t>-384.680601188139 224.829537463072 -260.780087630102</t>
  </si>
  <si>
    <t>-658.638667790347 48.1130561510363 -104.196004844289</t>
  </si>
  <si>
    <t>-671.839224410561 74.8473571585992 298.253657020423</t>
  </si>
  <si>
    <t>-711.420297512553 104.817625932334 743.373398924818</t>
  </si>
  <si>
    <t>-567.347999931128 128.29911065433 804.847794634441</t>
  </si>
  <si>
    <t>-583.041471183927 -141.464463527085 305.453382307726</t>
  </si>
  <si>
    <t>-598.663616926928 -146.267943926879 753.060417402926</t>
  </si>
  <si>
    <t>-462.280485816756 -181.615810675375 825.430710282102</t>
  </si>
  <si>
    <t>9763-20170724T104501.550645700.bin</t>
  </si>
  <si>
    <t>-684.179206844447 97.8332105419981 -545.948269836938</t>
  </si>
  <si>
    <t>-614.657125247985 163.477767574112 -267.652158491208</t>
  </si>
  <si>
    <t>-382.178061394779 226.563017183621 -262.696139185064</t>
  </si>
  <si>
    <t>-658.609989601726 48.2001521133514 -104.178851063588</t>
  </si>
  <si>
    <t>-671.877541470835 74.8935791362842 298.271278348173</t>
  </si>
  <si>
    <t>-711.440891795272 104.855876043762 743.383379260927</t>
  </si>
  <si>
    <t>-567.37261377311 128.316862101683 804.875040115488</t>
  </si>
  <si>
    <t>-583.261674164409 -141.613443183538 305.46330858474</t>
  </si>
  <si>
    <t>-598.648103176851 -146.440104853967 753.063894870497</t>
  </si>
  <si>
    <t>-462.109513105898 -181.222037081154 825.415222461337</t>
  </si>
  <si>
    <t>9763-20170724T104501.582731000.bin</t>
  </si>
  <si>
    <t>-684.015062350915 97.8162554520611 -546.122568084183</t>
  </si>
  <si>
    <t>-613.464275193566 164.364170482993 -268.300359888947</t>
  </si>
  <si>
    <t>-381.012341363613 227.571449387459 -263.631664603078</t>
  </si>
  <si>
    <t>-658.650707474489 48.2517581331122 -104.177221923089</t>
  </si>
  <si>
    <t>-671.92278333885 74.9027128809068 298.275568584165</t>
  </si>
  <si>
    <t>-711.483615076471 104.964420149826 743.379664149093</t>
  </si>
  <si>
    <t>-567.400872039207 128.263515021964 804.898818460657</t>
  </si>
  <si>
    <t>-583.328695366706 -141.62615666816 305.447083846886</t>
  </si>
  <si>
    <t>-598.644365056577 -146.449147303994 753.064046088048</t>
  </si>
  <si>
    <t>-462.067330277109 -181.101867188218 825.404948271688</t>
  </si>
  <si>
    <t>9763-20170724T104501.652927200.bin</t>
  </si>
  <si>
    <t>-683.393075990401 97.7840254284115 -546.468272544265</t>
  </si>
  <si>
    <t>-611.534040948569 166.321187555681 -269.466217951169</t>
  </si>
  <si>
    <t>-379.085635128984 229.574201524031 -265.26072720601</t>
  </si>
  <si>
    <t>-658.662220384565 48.1727222105537 -104.167009507405</t>
  </si>
  <si>
    <t>-671.888268046516 74.8366370552108 298.286483170681</t>
  </si>
  <si>
    <t>-711.408383308451 104.832801259372 743.393253129299</t>
  </si>
  <si>
    <t>-567.379594664365 128.393829261991 804.939077479815</t>
  </si>
  <si>
    <t>-583.541001526899 -141.46013076718 305.461751049052</t>
  </si>
  <si>
    <t>-598.639714966435 -146.154604295138 753.058831327726</t>
  </si>
  <si>
    <t>-462.286933177602 -181.630336605066 825.423777946684</t>
  </si>
  <si>
    <t>9763-20170724T104501.683007300.bin</t>
  </si>
  <si>
    <t>-682.970916217209 97.7835106465752 -546.676668423429</t>
  </si>
  <si>
    <t>-610.602923958213 167.344937507107 -270.062564394218</t>
  </si>
  <si>
    <t>-378.196945060167 230.763716131854 -266.013952632091</t>
  </si>
  <si>
    <t>-658.559523918417 48.178180519923 -104.155458581073</t>
  </si>
  <si>
    <t>-671.888914663652 74.8424692571728 298.294549525815</t>
  </si>
  <si>
    <t>-711.370000368543 104.747707308582 743.408406642114</t>
  </si>
  <si>
    <t>-567.360486151429 128.406618450349 804.961663259712</t>
  </si>
  <si>
    <t>-583.655793854421 -141.54294121708 305.463812875782</t>
  </si>
  <si>
    <t>-598.639152426722 -146.237291422779 753.068787294452</t>
  </si>
  <si>
    <t>-462.25471661622 -181.604039854833 825.427365229545</t>
  </si>
  <si>
    <t>9763-20170724T104501.751885700.bin</t>
  </si>
  <si>
    <t>-682.292139277767 97.9621453199998 -546.996882590358</t>
  </si>
  <si>
    <t>-608.649324180495 169.530163187594 -271.232610721015</t>
  </si>
  <si>
    <t>-376.299667837994 233.176737914574 -267.541672913391</t>
  </si>
  <si>
    <t>-658.585709714065 48.4154794917911 -104.145674837013</t>
  </si>
  <si>
    <t>-671.985487542471 74.948485756142 298.310730750949</t>
  </si>
  <si>
    <t>-711.373281234463 104.748185408514 743.429914224012</t>
  </si>
  <si>
    <t>-567.393947148736 128.583956210975 804.98570766246</t>
  </si>
  <si>
    <t>-583.923159841369 -141.578874836871 305.492848423729</t>
  </si>
  <si>
    <t>-598.639180501082 -146.360261575843 753.098586103702</t>
  </si>
  <si>
    <t>-462.229234954172 -181.665341434712 825.439315100931</t>
  </si>
  <si>
    <t>9763-20170724T104501.784973200.bin</t>
  </si>
  <si>
    <t>-681.845912840824 98.1310049801718 -547.154050889262</t>
  </si>
  <si>
    <t>-607.541161243806 170.588829960534 -271.800074724352</t>
  </si>
  <si>
    <t>-375.238039929593 234.408820732102 -268.173323639957</t>
  </si>
  <si>
    <t>-658.608498386662 48.6477837151717 -104.142607827763</t>
  </si>
  <si>
    <t>-672.031859893185 75.1042699690495 298.317956028635</t>
  </si>
  <si>
    <t>-711.429626941353 104.86255159577 743.438827462775</t>
  </si>
  <si>
    <t>-567.397351956914 128.352426233985 805.003792362566</t>
  </si>
  <si>
    <t>-584.01264211725 -141.509150023492 305.501359526951</t>
  </si>
  <si>
    <t>-598.634552383973 -146.305625076694 753.10623890256</t>
  </si>
  <si>
    <t>-462.230125635595 -181.644588700182 825.440716229734</t>
  </si>
  <si>
    <t>9763-20170724T104501.848728600.bin</t>
  </si>
  <si>
    <t>-680.689058954034 98.3509319991085 -547.498209526491</t>
  </si>
  <si>
    <t>-604.934731986707 172.372274150378 -272.956122122737</t>
  </si>
  <si>
    <t>-372.764851862993 236.64939361017 -268.897488782682</t>
  </si>
  <si>
    <t>-658.448301989089 49.0210628465923 -104.138379974908</t>
  </si>
  <si>
    <t>-672.10886226428 75.319232088787 298.324562569545</t>
  </si>
  <si>
    <t>-711.40733646713 104.838426291079 743.457659609454</t>
  </si>
  <si>
    <t>-567.399503030409 128.451377528338 805.032470648647</t>
  </si>
  <si>
    <t>-583.952318882966 -141.394071071483 305.513425533464</t>
  </si>
  <si>
    <t>-598.623315471206 -146.401004874818 753.112305938786</t>
  </si>
  <si>
    <t>-462.204161916722 -181.691677729259 825.442657621891</t>
  </si>
  <si>
    <t>9763-20170724T104501.883814000.bin</t>
  </si>
  <si>
    <t>-680.045805571743 98.3803034394834 -547.679994560574</t>
  </si>
  <si>
    <t>-603.557822717819 173.253838097847 -273.572760716792</t>
  </si>
  <si>
    <t>-371.461789271939 237.745729931277 -268.767208648244</t>
  </si>
  <si>
    <t>-658.332089602504 49.2138907574179 -104.140244843245</t>
  </si>
  <si>
    <t>-672.14448024459 75.4174566759202 298.323714724026</t>
  </si>
  <si>
    <t>-711.385237691512 104.809175006109 743.466742189821</t>
  </si>
  <si>
    <t>-567.399346185628 128.545985436325 805.045500770192</t>
  </si>
  <si>
    <t>-583.875866280418 -141.404607046829 305.508078948569</t>
  </si>
  <si>
    <t>-598.613321783192 -146.563238783347 753.113053601404</t>
  </si>
  <si>
    <t>-462.141102902945 -181.658211378958 825.438512747647</t>
  </si>
  <si>
    <t>9763-20170724T104501.917405000.bin</t>
  </si>
  <si>
    <t>-679.439090930144 98.4313028603488 -547.888521587963</t>
  </si>
  <si>
    <t>-602.324637695819 174.201596971511 -274.203709461598</t>
  </si>
  <si>
    <t>-370.324497818131 238.974222867167 -268.608704250519</t>
  </si>
  <si>
    <t>-658.237005253495 49.4590903472697 -104.134341635029</t>
  </si>
  <si>
    <t>-672.201354329922 75.5289139844858 298.333122162879</t>
  </si>
  <si>
    <t>-711.376268111698 104.79312951847 743.4861785536</t>
  </si>
  <si>
    <t>-567.405795561036 128.61119391396 805.069586107174</t>
  </si>
  <si>
    <t>-583.83257147435 -141.311340998525 305.504533652932</t>
  </si>
  <si>
    <t>-598.609518757386 -146.501438832458 753.108662964979</t>
  </si>
  <si>
    <t>-462.143897926755 -181.620019477471 825.435047351022</t>
  </si>
  <si>
    <t>9763-20170724T104501.986107200.bin</t>
  </si>
  <si>
    <t>-678.244216495989 98.4121255151576 -548.32518353234</t>
  </si>
  <si>
    <t>-600.364957754915 175.819526077782 -275.315767522233</t>
  </si>
  <si>
    <t>-368.585953323346 241.109325047758 -267.153502868438</t>
  </si>
  <si>
    <t>-658.013103599877 49.9169356261016 -104.119620327843</t>
  </si>
  <si>
    <t>-672.316825218438 75.7881749729884 298.348727408876</t>
  </si>
  <si>
    <t>-711.394195971381 104.833964845248 743.53306931656</t>
  </si>
  <si>
    <t>-567.424242150327 128.630658814941 805.125928283373</t>
  </si>
  <si>
    <t>-583.715586559035 -141.181233290258 305.493237715372</t>
  </si>
  <si>
    <t>-598.588645874221 -146.573623009687 753.092300247265</t>
  </si>
  <si>
    <t>-462.08249389053 -181.530787980277 825.420439186724</t>
  </si>
  <si>
    <t>9763-20170724T104502.049192900.bin</t>
  </si>
  <si>
    <t>-677.075567685066 98.6045587468036 -548.705004390165</t>
  </si>
  <si>
    <t>-598.742684119233 177.276109255006 -276.187161446136</t>
  </si>
  <si>
    <t>-367.178670079584 242.925002126653 -265.26962164271</t>
  </si>
  <si>
    <t>-657.837982404252 50.5815948775828 -104.114902169195</t>
  </si>
  <si>
    <t>-672.357547855044 76.1131681289712 298.36738587729</t>
  </si>
  <si>
    <t>-711.377460092449 104.79527510562 743.590388354426</t>
  </si>
  <si>
    <t>-567.394462575195 128.492142244477 805.191085594725</t>
  </si>
  <si>
    <t>-583.566745323193 -140.897280102428 305.4773172936</t>
  </si>
  <si>
    <t>-598.5740062024 -146.48181141232 753.075191090931</t>
  </si>
  <si>
    <t>-462.144967585011 -181.707984961221 825.418357079162</t>
  </si>
  <si>
    <t>9763-20170724T104502.084287100.bin</t>
  </si>
  <si>
    <t>-676.355332799919 98.7268395475598 -548.83077907306</t>
  </si>
  <si>
    <t>-597.760885985755 177.780040358296 -276.49865873027</t>
  </si>
  <si>
    <t>-366.322048251381 243.607647001976 -264.103693180012</t>
  </si>
  <si>
    <t>-657.69233590676 50.8569233307821 -104.106980536983</t>
  </si>
  <si>
    <t>-672.309006578151 76.2377959678506 298.381341001429</t>
  </si>
  <si>
    <t>-711.359274983464 104.773712118277 743.610943210248</t>
  </si>
  <si>
    <t>-567.413503251031 128.69272243667 805.212745269175</t>
  </si>
  <si>
    <t>-583.451196952929 -140.797389026001 305.475117525968</t>
  </si>
  <si>
    <t>-598.56300028034 -146.621886784703 753.071498465657</t>
  </si>
  <si>
    <t>-462.090136887081 -181.681109092732 825.413144800879</t>
  </si>
  <si>
    <t>9763-20170724T104502.153474900.bin</t>
  </si>
  <si>
    <t>-674.782051692689 99.0856278449523 -549.025979157043</t>
  </si>
  <si>
    <t>-595.32684078456 178.272236983137 -276.982551459823</t>
  </si>
  <si>
    <t>-363.968486501652 244.089786783559 -263.119087288085</t>
  </si>
  <si>
    <t>-657.389047555045 51.5320128036308 -104.102413687816</t>
  </si>
  <si>
    <t>-672.275074031284 76.609758019704 298.395022406627</t>
  </si>
  <si>
    <t>-711.359621152328 104.829368068228 743.638515374729</t>
  </si>
  <si>
    <t>-567.425496330572 128.768137120368 805.25984067282</t>
  </si>
  <si>
    <t>-583.003649582739 -140.441017822033 305.471672281739</t>
  </si>
  <si>
    <t>-598.543566213183 -146.471228279918 753.044988513168</t>
  </si>
  <si>
    <t>-462.112471151625 -181.675778283188 825.394818817383</t>
  </si>
  <si>
    <t>9763-20170724T104502.186563000.bin</t>
  </si>
  <si>
    <t>-674.063964121235 99.2385395927686 -549.125057996892</t>
  </si>
  <si>
    <t>-594.248938589435 178.593487974483 -277.236132994524</t>
  </si>
  <si>
    <t>-362.848839961581 244.158444515753 -262.879847384767</t>
  </si>
  <si>
    <t>-657.246033338862 51.8603492526327 -104.096305025132</t>
  </si>
  <si>
    <t>-672.264386203721 76.7920322735197 298.405227513154</t>
  </si>
  <si>
    <t>-711.352694113004 104.833911137036 743.654381969313</t>
  </si>
  <si>
    <t>-567.42772817072 128.812327616265 805.281725929647</t>
  </si>
  <si>
    <t>-582.826876875633 -140.385119656216 305.470117684244</t>
  </si>
  <si>
    <t>-598.534614931538 -146.6570485962 753.039475706129</t>
  </si>
  <si>
    <t>-461.986567432812 -181.437509186764 825.373717177126</t>
  </si>
  <si>
    <t>9763-20170724T104502.250748200.bin</t>
  </si>
  <si>
    <t>-672.693361351841 99.7299128781835 -549.273160559139</t>
  </si>
  <si>
    <t>-592.466723385307 178.929222147929 -277.459941379297</t>
  </si>
  <si>
    <t>-361.047701779961 244.26826396249 -262.396626787744</t>
  </si>
  <si>
    <t>-656.762444248708 52.619889017077 -104.086843293071</t>
  </si>
  <si>
    <t>-672.148694927816 77.1929792976312 298.422858619775</t>
  </si>
  <si>
    <t>-711.305540186431 104.780429501466 743.689907705438</t>
  </si>
  <si>
    <t>-567.391407935699 128.802249901157 805.325718950599</t>
  </si>
  <si>
    <t>-582.568049518975 -139.992116697537 305.46974562831</t>
  </si>
  <si>
    <t>-598.514147623392 -146.502811120568 753.005473227911</t>
  </si>
  <si>
    <t>-462.035747675178 -181.524015542321 825.355090952601</t>
  </si>
  <si>
    <t>9763-20170724T104502.283834600.bin</t>
  </si>
  <si>
    <t>-672.077526528814 100.006714038496 -549.314754428351</t>
  </si>
  <si>
    <t>-591.732077503588 179.057212462042 -277.493379138008</t>
  </si>
  <si>
    <t>-360.281432572361 244.235226529743 -262.218919625166</t>
  </si>
  <si>
    <t>-656.576546561775 53.0327418082343 -104.08771738808</t>
  </si>
  <si>
    <t>-672.069134726537 77.396748050209 298.430682241859</t>
  </si>
  <si>
    <t>-711.302280390335 104.780429522645 743.711824589785</t>
  </si>
  <si>
    <t>-567.391513961776 128.826457356056 805.346158311833</t>
  </si>
  <si>
    <t>-582.512050819097 -139.872603327622 305.465482215551</t>
  </si>
  <si>
    <t>-598.505910174691 -146.598923195193 752.992274326674</t>
  </si>
  <si>
    <t>-462.00281604746 -181.519475526355 825.343888825338</t>
  </si>
  <si>
    <t>9763-20170724T104502.350026500.bin</t>
  </si>
  <si>
    <t>-670.885196240504 100.844303319541 -549.367334677513</t>
  </si>
  <si>
    <t>-590.341622101009 179.802136441423 -277.577622241497</t>
  </si>
  <si>
    <t>-358.814358970653 244.627005823804 -261.966230157735</t>
  </si>
  <si>
    <t>-656.113702868457 53.8617794989318 -104.088574216843</t>
  </si>
  <si>
    <t>-671.839972832969 77.8737035075635 298.441881964348</t>
  </si>
  <si>
    <t>-711.318691594281 104.819554476458 743.745203092949</t>
  </si>
  <si>
    <t>-567.398680505288 128.82181288571 805.374795594217</t>
  </si>
  <si>
    <t>-582.382173902348 -139.4193263759 305.452138854691</t>
  </si>
  <si>
    <t>-598.483753346096 -146.451568336644 752.96510843236</t>
  </si>
  <si>
    <t>-462.098254137418 -181.772081801325 825.344320303556</t>
  </si>
  <si>
    <t>9763-20170724T104502.384116500.bin</t>
  </si>
  <si>
    <t>-670.216766571044 101.176901987292 -549.360690213456</t>
  </si>
  <si>
    <t>-589.529409502536 180.031950915566 -277.583878118973</t>
  </si>
  <si>
    <t>-357.967420326257 244.730396136858 -261.962060475431</t>
  </si>
  <si>
    <t>-655.878766350781 54.1955254747795 -104.0857485152</t>
  </si>
  <si>
    <t>-671.666150650614 78.0599938253802 298.451053776249</t>
  </si>
  <si>
    <t>-711.32074508216 104.826462103405 743.756148338727</t>
  </si>
  <si>
    <t>-567.383914644443 128.724863973403 805.386665230384</t>
  </si>
  <si>
    <t>-582.262604776562 -139.291201346714 305.451369690231</t>
  </si>
  <si>
    <t>-598.478886999904 -146.483562286775 752.954272585765</t>
  </si>
  <si>
    <t>-462.055669597328 -181.661746754749 825.331773180908</t>
  </si>
  <si>
    <t>9763-20170724T104502.451011200.bin</t>
  </si>
  <si>
    <t>-669.156548401605 101.892488245544 -549.345684825522</t>
  </si>
  <si>
    <t>-588.672325653698 180.085907314226 -277.317632826487</t>
  </si>
  <si>
    <t>-357.026848391322 244.562511998733 -262.020762352529</t>
  </si>
  <si>
    <t>-655.308385383871 54.7684748647323 -104.05949177878</t>
  </si>
  <si>
    <t>-671.309188439648 78.4435386858015 298.480105907677</t>
  </si>
  <si>
    <t>-711.325301049299 104.834511972218 743.791314466872</t>
  </si>
  <si>
    <t>-567.377662503495 128.733424044084 805.396627011531</t>
  </si>
  <si>
    <t>-582.108405637134 -138.920491156883 305.446095322974</t>
  </si>
  <si>
    <t>-598.466528147774 -146.164723110977 752.917940229644</t>
  </si>
  <si>
    <t>-462.251492756867 -182.054552555069 825.338151765687</t>
  </si>
  <si>
    <t>9763-20170724T104502.518688300.bin</t>
  </si>
  <si>
    <t>-668.233080541465 102.761937840044 -549.004410941229</t>
  </si>
  <si>
    <t>-589.151630285248 179.192304257285 -276.065322278421</t>
  </si>
  <si>
    <t>-357.604697599505 244.228694588043 -261.672429193419</t>
  </si>
  <si>
    <t>-654.754236731758 55.3001335968281 -104.055485174939</t>
  </si>
  <si>
    <t>-670.880999038239 78.7787579422638 298.490560285127</t>
  </si>
  <si>
    <t>-711.389408185853 104.942690395011 743.79121147169</t>
  </si>
  <si>
    <t>-567.386050732089 128.582719117162 805.36615552458</t>
  </si>
  <si>
    <t>-581.916844515255 -138.762977921435 305.458098880515</t>
  </si>
  <si>
    <t>-598.454704447678 -146.090785108619 752.901907983139</t>
  </si>
  <si>
    <t>-462.377732331727 -182.431185566073 825.356934759102</t>
  </si>
  <si>
    <t>9763-20170724T104502.552191200.bin</t>
  </si>
  <si>
    <t>-667.827914062585 103.466492412471 -548.688895884458</t>
  </si>
  <si>
    <t>-588.982500171004 178.639608871285 -275.332716592567</t>
  </si>
  <si>
    <t>-357.451132893193 243.805000521308 -261.276594290253</t>
  </si>
  <si>
    <t>-654.420712101752 55.5623977907162 -104.04409614097</t>
  </si>
  <si>
    <t>-670.599185671949 78.875470002369 298.509569358642</t>
  </si>
  <si>
    <t>-711.418697630249 105.008376913445 743.783269949782</t>
  </si>
  <si>
    <t>-567.399730399398 128.55249499424 805.358536138565</t>
  </si>
  <si>
    <t>-581.755105216561 -138.657096168282 305.436911298264</t>
  </si>
  <si>
    <t>-598.45895574812 -145.999579355977 752.895301661194</t>
  </si>
  <si>
    <t>-462.526270277699 -182.841304158119 825.36799805646</t>
  </si>
  <si>
    <t>9763-20170724T104502.585279700.bin</t>
  </si>
  <si>
    <t>-667.38758426471 104.047095907266 -548.351668072957</t>
  </si>
  <si>
    <t>-588.292286624012 178.502498092208 -274.871238154156</t>
  </si>
  <si>
    <t>-356.73414637899 243.569858324912 -260.803394985087</t>
  </si>
  <si>
    <t>-654.028542620797 55.5931221205151 -104.027332277587</t>
  </si>
  <si>
    <t>-670.374150285837 78.8247447768124 298.524264991235</t>
  </si>
  <si>
    <t>-711.404817911532 105.001322354943 743.775259762326</t>
  </si>
  <si>
    <t>-567.376416395872 128.476733873033 805.354767738844</t>
  </si>
  <si>
    <t>-581.617038659284 -138.696261897554 305.424184898294</t>
  </si>
  <si>
    <t>-598.469858106511 -145.981134339042 752.894636699905</t>
  </si>
  <si>
    <t>-462.483684646827 -182.653914816351 825.352630562628</t>
  </si>
  <si>
    <t>9763-20170724T104502.650030100.bin</t>
  </si>
  <si>
    <t>-665.830007390712 104.786946413786 -547.71000618059</t>
  </si>
  <si>
    <t>-586.1154207115 178.562983145486 -274.225222996924</t>
  </si>
  <si>
    <t>-354.710104288265 244.459266038239 -261.571005523836</t>
  </si>
  <si>
    <t>-653.162555120661 55.0448820659169 -103.943469912719</t>
  </si>
  <si>
    <t>-669.803238669414 78.4896246349106 298.583667471198</t>
  </si>
  <si>
    <t>-711.326710501105 104.886534862794 743.770598191861</t>
  </si>
  <si>
    <t>-567.333819844785 128.554218652999 805.359390601151</t>
  </si>
  <si>
    <t>-581.254797400119 -139.037784216818 305.44081867288</t>
  </si>
  <si>
    <t>-598.509884078204 -146.182598579937 752.910712713436</t>
  </si>
  <si>
    <t>-462.51490714091 -182.877857462002 825.34088613243</t>
  </si>
  <si>
    <t>9763-20170724T104502.685116600.bin</t>
  </si>
  <si>
    <t>-665.256972980572 105.177297051182 -547.428974238239</t>
  </si>
  <si>
    <t>-585.300194155063 178.612870322419 -273.923449405988</t>
  </si>
  <si>
    <t>-353.853751098129 244.384057455869 -261.371591302136</t>
  </si>
  <si>
    <t>-652.835507693035 54.8383632108967 -103.870621698106</t>
  </si>
  <si>
    <t>-669.722721045299 78.3871947299447 298.640168764733</t>
  </si>
  <si>
    <t>-711.363128609346 104.974566911284 743.791294285139</t>
  </si>
  <si>
    <t>-567.351570989754 128.518041659638 805.384108450622</t>
  </si>
  <si>
    <t>-581.152722805204 -139.193868297773 305.446010627288</t>
  </si>
  <si>
    <t>-598.519942957378 -146.146136073744 752.908371893268</t>
  </si>
  <si>
    <t>-462.580733460445 -183.046065669091 825.339234371582</t>
  </si>
  <si>
    <t>9763-20170724T104502.752307100.bin</t>
  </si>
  <si>
    <t>-664.75278220161 105.737776594793 -546.877470328677</t>
  </si>
  <si>
    <t>-585.571303469945 178.363139453491 -272.930308239919</t>
  </si>
  <si>
    <t>-353.959995146293 243.360700663871 -259.424774459466</t>
  </si>
  <si>
    <t>-652.48647778981 54.5745852767914 -103.712411151471</t>
  </si>
  <si>
    <t>-669.679257244426 78.2870725506109 298.775798962876</t>
  </si>
  <si>
    <t>-711.431360987305 105.13188646394 743.87762513881</t>
  </si>
  <si>
    <t>-567.365188492031 128.391480057485 805.450543770554</t>
  </si>
  <si>
    <t>-581.033694831266 -139.440178923638 305.423489339549</t>
  </si>
  <si>
    <t>-598.528949979099 -146.033303020787 752.898639429162</t>
  </si>
  <si>
    <t>-462.682891078003 -183.259772882604 825.337131680992</t>
  </si>
  <si>
    <t>9763-20170724T104502.785395000.bin</t>
  </si>
  <si>
    <t>-664.636334781758 105.930606319276 -546.484392857644</t>
  </si>
  <si>
    <t>-586.589632758182 177.59576260092 -271.959388872662</t>
  </si>
  <si>
    <t>-354.940470407094 242.275045159374 -257.60252520732</t>
  </si>
  <si>
    <t>-652.457544454362 54.3685997565649 -103.635390350306</t>
  </si>
  <si>
    <t>-669.580262479352 78.0505907339232 298.857652817885</t>
  </si>
  <si>
    <t>-711.367869340093 104.987261399449 743.953162254314</t>
  </si>
  <si>
    <t>-567.356905593688 128.661788884786 805.4971021312</t>
  </si>
  <si>
    <t>-580.89946754584 -139.559430106005 305.445718887677</t>
  </si>
  <si>
    <t>-598.52938683709 -146.07242774962 752.906337415109</t>
  </si>
  <si>
    <t>-462.634850554306 -183.137886907135 825.336337681298</t>
  </si>
  <si>
    <t>9763-20170724T104502.850575200.bin</t>
  </si>
  <si>
    <t>-664.256584988387 106.37029318917 -545.631013081521</t>
  </si>
  <si>
    <t>-587.601897199085 175.24601443216 -270.001926456554</t>
  </si>
  <si>
    <t>-356.03911951673 240.067082828401 -254.910463749717</t>
  </si>
  <si>
    <t>-652.197296167683 53.9430979711876 -103.505195510331</t>
  </si>
  <si>
    <t>-669.569288904952 77.7547057841525 298.969568375343</t>
  </si>
  <si>
    <t>-711.385664399543 105.014833782573 744.036224688459</t>
  </si>
  <si>
    <t>-567.340896836093 128.534595763471 805.560379482651</t>
  </si>
  <si>
    <t>-580.303926507471 -139.786340614544 305.460199705712</t>
  </si>
  <si>
    <t>-598.532423561888 -146.079119445801 752.912402853604</t>
  </si>
  <si>
    <t>-462.680739978581 -183.293964408595 825.346233889116</t>
  </si>
  <si>
    <t>9763-20170724T104502.883666900.bin</t>
  </si>
  <si>
    <t>-663.995116349203 106.264040095488 -545.29520396418</t>
  </si>
  <si>
    <t>-587.464317553608 174.244012631769 -269.409365300754</t>
  </si>
  <si>
    <t>-355.93357905957 239.108792582962 -254.015696154696</t>
  </si>
  <si>
    <t>-651.72377254284 53.4346593153216 -103.445795287455</t>
  </si>
  <si>
    <t>-669.520360517581 77.4539457827736 298.998048788329</t>
  </si>
  <si>
    <t>-711.331133092971 104.920985760393 744.0552123482</t>
  </si>
  <si>
    <t>-567.354081410982 128.882721641149 805.567415763859</t>
  </si>
  <si>
    <t>-580.021229679493 -139.959095737908 305.473049357036</t>
  </si>
  <si>
    <t>-598.531776036047 -146.033470636717 752.914213459725</t>
  </si>
  <si>
    <t>-462.649889340068 -183.152398324287 825.340648047334</t>
  </si>
  <si>
    <t>9763-20170724T104502.949377500.bin</t>
  </si>
  <si>
    <t>-663.79051672682 106.108190169755 -544.729306522093</t>
  </si>
  <si>
    <t>-588.401138809287 173.587540611393 -268.40661402334</t>
  </si>
  <si>
    <t>-356.969447619287 238.490875197833 -251.738397076857</t>
  </si>
  <si>
    <t>-651.292690293265 52.7897393689036 -103.322994382455</t>
  </si>
  <si>
    <t>-669.395664902574 77.1131551995782 299.088881868661</t>
  </si>
  <si>
    <t>-711.313969211087 104.78979376706 744.159584554797</t>
  </si>
  <si>
    <t>-567.336606089285 128.918892371993 805.605589002302</t>
  </si>
  <si>
    <t>-579.401784839952 -140.468289335253 305.486621744147</t>
  </si>
  <si>
    <t>-598.532459261024 -145.801495463066 752.908413944553</t>
  </si>
  <si>
    <t>-462.777586753432 -183.378865623276 825.336700480651</t>
  </si>
  <si>
    <t>9763-20170724T104502.985480200.bin</t>
  </si>
  <si>
    <t>-664.097001982155 106.501791199774 -544.451465512197</t>
  </si>
  <si>
    <t>-590.155070644896 173.520849263178 -267.626129266742</t>
  </si>
  <si>
    <t>-358.739770605922 238.429474129845 -250.754159271731</t>
  </si>
  <si>
    <t>-651.577627073217 52.912257980392 -103.246568945733</t>
  </si>
  <si>
    <t>-669.754892406279 77.1258803431151 299.168567519223</t>
  </si>
  <si>
    <t>-711.394147274846 104.809709841378 744.246479887092</t>
  </si>
  <si>
    <t>-567.343622399059 128.642681214623 805.636337510786</t>
  </si>
  <si>
    <t>-579.407611358252 -140.617062366123 305.501025885428</t>
  </si>
  <si>
    <t>-598.516998548358 -145.751017120452 752.89953200498</t>
  </si>
  <si>
    <t>-462.866951913988 -183.665803170309 825.348448709188</t>
  </si>
  <si>
    <t>9763-20170724T104503.050202100.bin</t>
  </si>
  <si>
    <t>-664.680955873073 107.345848050554 -543.857010305404</t>
  </si>
  <si>
    <t>-593.767377023968 171.761949083072 -265.625105573863</t>
  </si>
  <si>
    <t>-362.356226881574 236.786584455959 -249.146557989985</t>
  </si>
  <si>
    <t>-651.935793214051 52.7960519781566 -103.188942206735</t>
  </si>
  <si>
    <t>-670.353914986668 77.1466821284491 299.206951666298</t>
  </si>
  <si>
    <t>-711.369335542626 104.679491751771 744.32230669069</t>
  </si>
  <si>
    <t>-567.293279881927 128.489221491686 805.661462765925</t>
  </si>
  <si>
    <t>-579.397717034894 -140.670323839346 305.476200158814</t>
  </si>
  <si>
    <t>-598.512052384836 -145.444854605161 752.892786157089</t>
  </si>
  <si>
    <t>-463.111110426491 -184.180164377753 825.373463884111</t>
  </si>
  <si>
    <t>9763-20170724T104503.083290300.bin</t>
  </si>
  <si>
    <t>-664.678444485736 107.361266195241 -543.532350386491</t>
  </si>
  <si>
    <t>-595.123217669591 170.228185624222 -264.604012367818</t>
  </si>
  <si>
    <t>-363.659945033978 235.195352145912 -248.640021448434</t>
  </si>
  <si>
    <t>-651.754414138004 52.4552796987716 -103.186777766183</t>
  </si>
  <si>
    <t>-670.23402585934 77.0230698464052 299.193134341607</t>
  </si>
  <si>
    <t>-711.426500727061 104.758691621964 744.330892876177</t>
  </si>
  <si>
    <t>-567.30257440188 128.313273791594 805.656201409956</t>
  </si>
  <si>
    <t>-579.428927986876 -140.724890466523 305.49297912484</t>
  </si>
  <si>
    <t>-598.521180788393 -145.485271810369 752.913106242186</t>
  </si>
  <si>
    <t>-463.129519914962 -184.284702814866 825.37701235117</t>
  </si>
  <si>
    <t>9763-20170724T104503.151150800.bin</t>
  </si>
  <si>
    <t>-664.305319482174 106.882870278869 -542.904476630515</t>
  </si>
  <si>
    <t>-597.651237714116 167.683809088126 -262.812303724396</t>
  </si>
  <si>
    <t>-366.041979805839 232.310842230679 -247.602267127901</t>
  </si>
  <si>
    <t>-651.150675365504 51.4440298876284 -103.123196106995</t>
  </si>
  <si>
    <t>-669.742442750332 76.4186252321122 299.226512115585</t>
  </si>
  <si>
    <t>-711.430622787177 104.683734258662 744.299801509713</t>
  </si>
  <si>
    <t>-567.304349108491 128.311924370287 805.591295988399</t>
  </si>
  <si>
    <t>-579.096501213718 -141.200659175109 305.537573996401</t>
  </si>
  <si>
    <t>-598.534456440352 -145.429725010239 752.941323767513</t>
  </si>
  <si>
    <t>-463.21187993345 -184.501757767611 825.387632628054</t>
  </si>
  <si>
    <t>9763-20170724T104503.186244300.bin</t>
  </si>
  <si>
    <t>-664.302618756296 106.796587359164 -542.631955558166</t>
  </si>
  <si>
    <t>-599.259753593506 166.833416184625 -261.99650875555</t>
  </si>
  <si>
    <t>-367.666031026155 231.66386900842 -247.428558707642</t>
  </si>
  <si>
    <t>-650.944471465707 51.0339053227017 -103.07750374993</t>
  </si>
  <si>
    <t>-669.513891405575 76.1818739724495 299.262426107286</t>
  </si>
  <si>
    <t>-711.430335869955 104.635152845763 744.291317515746</t>
  </si>
  <si>
    <t>-567.302165516623 128.299480562568 805.564219798233</t>
  </si>
  <si>
    <t>-578.839088475057 -141.461921678849 305.559882307838</t>
  </si>
  <si>
    <t>-598.539264039552 -145.526092532576 752.952083892766</t>
  </si>
  <si>
    <t>-463.132846548031 -184.341238189052 825.379839374423</t>
  </si>
  <si>
    <t>9763-20170724T104503.250424500.bin</t>
  </si>
  <si>
    <t>-664.869670696682 106.655258378603 -542.187410569013</t>
  </si>
  <si>
    <t>-602.964786485916 164.917785310476 -260.470423498267</t>
  </si>
  <si>
    <t>-371.584007519516 230.731291801872 -246.966001533662</t>
  </si>
  <si>
    <t>-650.951656794163 50.5819572730402 -103.051435707131</t>
  </si>
  <si>
    <t>-669.251542268119 75.8131347000692 299.295616173809</t>
  </si>
  <si>
    <t>-711.494321790702 104.619655107657 744.283210279761</t>
  </si>
  <si>
    <t>-567.316326955023 128.125442523981 805.499965295286</t>
  </si>
  <si>
    <t>-578.525458031459 -141.777642228207 305.597683587344</t>
  </si>
  <si>
    <t>-598.538267392112 -145.582596632662 752.973993073541</t>
  </si>
  <si>
    <t>-462.975680653482 -183.909706298955 825.369503931818</t>
  </si>
  <si>
    <t>9763-20170724T104503.284513400.bin</t>
  </si>
  <si>
    <t>-665.492790183126 106.706937900178 -542.016738196006</t>
  </si>
  <si>
    <t>-605.081689377586 164.018502432606 -259.780944112504</t>
  </si>
  <si>
    <t>-373.808086412588 230.281811113826 -246.643825692284</t>
  </si>
  <si>
    <t>-651.025525359126 50.45090310974 -103.062882778358</t>
  </si>
  <si>
    <t>-669.179200297746 75.6852555353582 299.290589845334</t>
  </si>
  <si>
    <t>-711.491491366458 104.573047277686 744.248159917893</t>
  </si>
  <si>
    <t>-567.313134176077 128.092356068179 805.458913670337</t>
  </si>
  <si>
    <t>-578.284610007099 -141.82505658064 305.617366194741</t>
  </si>
  <si>
    <t>-598.537594445236 -145.59923740268 752.978125231347</t>
  </si>
  <si>
    <t>-462.993908576121 -183.99811823963 825.370964743888</t>
  </si>
  <si>
    <t>9763-20170724T104503.351257200.bin</t>
  </si>
  <si>
    <t>-666.693840457183 106.430466923247 -541.841808117566</t>
  </si>
  <si>
    <t>-608.336308825694 162.713152912546 -258.967510961762</t>
  </si>
  <si>
    <t>-377.261043674487 229.648119966047 -245.746268022076</t>
  </si>
  <si>
    <t>-650.767595929426 50.0319367493871 -103.078100944485</t>
  </si>
  <si>
    <t>-669.029400463313 75.3669480797444 299.264108029969</t>
  </si>
  <si>
    <t>-711.38208637917 104.3641218443 744.155670964148</t>
  </si>
  <si>
    <t>-567.269910131164 128.226953696617 805.389159113073</t>
  </si>
  <si>
    <t>-577.891966384973 -141.902304276434 305.590259394924</t>
  </si>
  <si>
    <t>-598.506799099285 -145.728779578204 752.948933199328</t>
  </si>
  <si>
    <t>-462.858299788256 -183.752369491994 825.343650420367</t>
  </si>
  <si>
    <t>9763-20170724T104503.383336900.bin</t>
  </si>
  <si>
    <t>-667.11332184646 106.174251085964 -541.865858270161</t>
  </si>
  <si>
    <t>-609.053821401147 162.351951588986 -258.909307521208</t>
  </si>
  <si>
    <t>-378.041969810587 229.49606829611 -245.640127197015</t>
  </si>
  <si>
    <t>-650.605056880054 49.8687198424107 -103.095679527608</t>
  </si>
  <si>
    <t>-669.121456090225 75.3676743161466 299.224604637735</t>
  </si>
  <si>
    <t>-711.415784166623 104.467727058066 744.10292676648</t>
  </si>
  <si>
    <t>-567.286791032162 128.177470108728 805.356272800708</t>
  </si>
  <si>
    <t>-577.650323778033 -141.999210066766 305.558217991043</t>
  </si>
  <si>
    <t>-598.490908518765 -145.81892191577 752.931098257926</t>
  </si>
  <si>
    <t>-462.734329671583 -183.461989213467 825.32202001053</t>
  </si>
  <si>
    <t>9763-20170724T104503.451023500.bin</t>
  </si>
  <si>
    <t>-667.834347787166 105.601093403905 -542.046597878132</t>
  </si>
  <si>
    <t>-609.803220023925 162.292531240068 -259.186757447262</t>
  </si>
  <si>
    <t>-378.848983241972 229.52610052018 -245.378440017953</t>
  </si>
  <si>
    <t>-650.735360222248 49.5785788994208 -103.176412381134</t>
  </si>
  <si>
    <t>-669.343402731456 75.218872014118 299.130672437283</t>
  </si>
  <si>
    <t>-711.404204313076 104.481497039144 744.032351813396</t>
  </si>
  <si>
    <t>-567.311314048897 128.370487418596 805.301128357551</t>
  </si>
  <si>
    <t>-577.27114401397 -142.06775529658 305.527215046004</t>
  </si>
  <si>
    <t>-598.462091784489 -146.025865131726 752.911348489717</t>
  </si>
  <si>
    <t>-462.618173126012 -183.357792551209 825.299583627761</t>
  </si>
  <si>
    <t>9763-20170724T104503.485111400.bin</t>
  </si>
  <si>
    <t>-668.151459828604 105.583123224041 -542.141864838309</t>
  </si>
  <si>
    <t>-610.50660151243 162.423686529817 -259.232947525048</t>
  </si>
  <si>
    <t>-379.578841839255 229.706526994574 -245.222942282536</t>
  </si>
  <si>
    <t>-650.836706883 49.5608936929195 -103.182641469373</t>
  </si>
  <si>
    <t>-669.414796362513 75.2209049464946 299.124564798276</t>
  </si>
  <si>
    <t>-711.467644597986 104.583529049166 744.040897700102</t>
  </si>
  <si>
    <t>-567.340413197509 128.270913023141 805.307179970664</t>
  </si>
  <si>
    <t>-577.15853496979 -141.996787975742 305.496867143754</t>
  </si>
  <si>
    <t>-598.439033929549 -145.806164242371 752.881781715551</t>
  </si>
  <si>
    <t>-462.721134851878 -183.548995205262 825.293313304781</t>
  </si>
  <si>
    <t>9763-20170724T104503.549290600.bin</t>
  </si>
  <si>
    <t>-668.687180926886 105.850033804725 -542.167781812802</t>
  </si>
  <si>
    <t>-612.650857997316 162.420435609336 -258.881935286703</t>
  </si>
  <si>
    <t>-381.762346365004 229.707852385542 -244.26049763042</t>
  </si>
  <si>
    <t>-650.880222903626 49.625948435769 -103.138662733771</t>
  </si>
  <si>
    <t>-669.305989407795 75.2216000332348 299.179637163508</t>
  </si>
  <si>
    <t>-711.477099145709 104.531471420351 744.08138306089</t>
  </si>
  <si>
    <t>-567.358397596811 128.309738215587 805.332300989718</t>
  </si>
  <si>
    <t>-576.999417358096 -141.967667307058 305.459012450497</t>
  </si>
  <si>
    <t>-598.40267734242 -145.551847285363 752.837434723324</t>
  </si>
  <si>
    <t>-462.825725021018 -183.737454498351 825.280776854997</t>
  </si>
  <si>
    <t>9763-20170724T104503.584384100.bin</t>
  </si>
  <si>
    <t>-668.825209142893 105.862711644997 -542.149583968962</t>
  </si>
  <si>
    <t>-614.12056768845 161.960345077885 -258.509618922781</t>
  </si>
  <si>
    <t>-383.23518506271 229.237519360376 -243.792398404236</t>
  </si>
  <si>
    <t>-650.714940719838 49.5366711153026 -103.093691635965</t>
  </si>
  <si>
    <t>-669.153314484401 75.2343592543918 299.217548425551</t>
  </si>
  <si>
    <t>-711.520482484673 104.59762584693 744.091371588695</t>
  </si>
  <si>
    <t>-567.376311966381 128.224435451679 805.341099358086</t>
  </si>
  <si>
    <t>-576.947514637371 -142.044374130178 305.455833622883</t>
  </si>
  <si>
    <t>-598.383002719444 -145.642515714255 752.823352016621</t>
  </si>
  <si>
    <t>-462.756469725826 -183.638222998924 825.273861181815</t>
  </si>
  <si>
    <t>9763-20170724T104503.651242400.bin</t>
  </si>
  <si>
    <t>-669.110593527084 105.755721861596 -542.108654045361</t>
  </si>
  <si>
    <t>-617.149263334747 160.539863036428 -257.697237492641</t>
  </si>
  <si>
    <t>-386.338316711514 227.966171937175 -242.503694912792</t>
  </si>
  <si>
    <t>-650.275796080008 49.3395822471739 -103.063111104269</t>
  </si>
  <si>
    <t>-668.839557844463 75.0850621602403 299.239247687437</t>
  </si>
  <si>
    <t>-711.540424191305 104.58011661013 744.084500610895</t>
  </si>
  <si>
    <t>-567.376506981554 128.104041555222 805.327378979418</t>
  </si>
  <si>
    <t>-576.646295526531 -142.258731471479 305.469601476894</t>
  </si>
  <si>
    <t>-598.34844296294 -145.682861456628 752.815676290962</t>
  </si>
  <si>
    <t>-462.719739926907 -183.636514505648 825.284076435758</t>
  </si>
  <si>
    <t>9763-20170724T104503.687340200.bin</t>
  </si>
  <si>
    <t>-669.367262410405 105.592727343713 -542.039380827986</t>
  </si>
  <si>
    <t>-618.503260702642 159.528734209781 -257.267617328921</t>
  </si>
  <si>
    <t>-387.74832810271 227.16245299668 -242.143647363769</t>
  </si>
  <si>
    <t>-650.127350544568 49.1631712054086 -103.042609873642</t>
  </si>
  <si>
    <t>-668.700953711158 74.9549156959547 299.256397576272</t>
  </si>
  <si>
    <t>-711.543825449521 104.558954966927 744.075773930402</t>
  </si>
  <si>
    <t>-567.35339562913 127.921883014407 805.317696738994</t>
  </si>
  <si>
    <t>-576.526577746516 -142.332619658582 305.475835786256</t>
  </si>
  <si>
    <t>-598.333017267426 -145.699701437725 752.815525471052</t>
  </si>
  <si>
    <t>-462.785914435528 -183.916492880546 825.29836859947</t>
  </si>
  <si>
    <t>9763-20170724T104503.750511600.bin</t>
  </si>
  <si>
    <t>-669.866748443776 105.010631977231 -541.885658337124</t>
  </si>
  <si>
    <t>-620.699642461492 157.808862094169 -256.603101193228</t>
  </si>
  <si>
    <t>-390.082425329814 225.871918465201 -241.306660056424</t>
  </si>
  <si>
    <t>-649.77826747804 48.5451378191788 -103.019071526653</t>
  </si>
  <si>
    <t>-668.350218723228 74.5204861426246 299.268248428445</t>
  </si>
  <si>
    <t>-711.543063047507 104.506041950594 744.04100320813</t>
  </si>
  <si>
    <t>-567.389273202024 128.106224752183 805.278296033108</t>
  </si>
  <si>
    <t>-576.191750312429 -142.628525609039 305.498911654203</t>
  </si>
  <si>
    <t>-598.304958997521 -145.693370874212 752.81610103873</t>
  </si>
  <si>
    <t>-462.715818482629 -183.748597465066 825.305334957055</t>
  </si>
  <si>
    <t>9763-20170724T104503.783600500.bin</t>
  </si>
  <si>
    <t>-670.165780924222 104.852607298875 -541.820157764054</t>
  </si>
  <si>
    <t>-622.140176512445 157.216981360082 -256.263164276778</t>
  </si>
  <si>
    <t>-391.572107357374 225.461459397327 -241.035045973449</t>
  </si>
  <si>
    <t>-649.601437744199 48.2957189841441 -103.005660513681</t>
  </si>
  <si>
    <t>-668.178947893336 74.3706595403364 299.274901714215</t>
  </si>
  <si>
    <t>-711.572135585948 104.5264699456 744.020665585696</t>
  </si>
  <si>
    <t>-567.403208341897 128.037429447739 805.256740171023</t>
  </si>
  <si>
    <t>-575.954698169448 -142.775388677375 305.514373607431</t>
  </si>
  <si>
    <t>-598.294619709298 -145.726566727113 752.824728643726</t>
  </si>
  <si>
    <t>-462.735104948159 -183.884466957829 825.315350806573</t>
  </si>
  <si>
    <t>9763-20170724T104503.853803400.bin</t>
  </si>
  <si>
    <t>-670.542157966747 104.449217802994 -541.729592408181</t>
  </si>
  <si>
    <t>-625.254179188155 155.675211800894 -255.519615980793</t>
  </si>
  <si>
    <t>-394.803003881374 224.352775615025 -240.470505492669</t>
  </si>
  <si>
    <t>-649.160235978067 47.7599958794981 -102.957660376474</t>
  </si>
  <si>
    <t>-667.779058749971 74.025017098141 299.308647733517</t>
  </si>
  <si>
    <t>-711.562304108485 104.417217621515 743.981401727879</t>
  </si>
  <si>
    <t>-567.416614457878 128.11213032211 805.201212929394</t>
  </si>
  <si>
    <t>-575.601666407185 -143.07826774538 305.543214839311</t>
  </si>
  <si>
    <t>-598.278963852089 -145.677199970277 752.839860346669</t>
  </si>
  <si>
    <t>-462.732348225532 -183.911097768446 825.31470569409</t>
  </si>
  <si>
    <t>9763-20170724T104503.886888400.bin</t>
  </si>
  <si>
    <t>-670.681513202936 104.142474867256 -541.714424551984</t>
  </si>
  <si>
    <t>-626.65134909388 154.913764498802 -255.22739345841</t>
  </si>
  <si>
    <t>-396.271070023029 223.835318539004 -240.207664425639</t>
  </si>
  <si>
    <t>-649.009818103668 47.5119758392113 -102.961687789154</t>
  </si>
  <si>
    <t>-667.620004050095 73.852075401815 299.300042077481</t>
  </si>
  <si>
    <t>-711.561945244799 104.395792192706 743.945456426997</t>
  </si>
  <si>
    <t>-567.416435913432 128.080189840106 805.169532057924</t>
  </si>
  <si>
    <t>-575.390404561625 -143.304117196367 305.567554168774</t>
  </si>
  <si>
    <t>-598.269154153073 -145.894671763497 752.848812698222</t>
  </si>
  <si>
    <t>-462.549287160989 -183.555467216691 825.299363906811</t>
  </si>
  <si>
    <t>9763-20170724T104503.950631100.bin</t>
  </si>
  <si>
    <t>-670.954962975066 103.53864087585 -541.694649321388</t>
  </si>
  <si>
    <t>-627.439050678239 154.190242255677 -255.107798111372</t>
  </si>
  <si>
    <t>-397.204761979171 223.589302177427 -240.046485408871</t>
  </si>
  <si>
    <t>-648.785887293838 47.0806026466535 -103.009931258451</t>
  </si>
  <si>
    <t>-667.401640344688 73.5340715346676 299.244093932493</t>
  </si>
  <si>
    <t>-711.550929190687 104.348585108908 743.848730999341</t>
  </si>
  <si>
    <t>-567.418453467257 128.064833163917 805.091330961867</t>
  </si>
  <si>
    <t>-575.081224719653 -143.650933683276 305.596617772246</t>
  </si>
  <si>
    <t>-598.255413544459 -146.047167008475 752.873009381545</t>
  </si>
  <si>
    <t>-462.319423849011 -183.018079287831 825.273669475511</t>
  </si>
  <si>
    <t>9763-20170724T104503.984721800.bin</t>
  </si>
  <si>
    <t>-671.016620220086 103.213643301107 -541.750660963268</t>
  </si>
  <si>
    <t>-627.052267366154 154.098390908985 -255.273630151274</t>
  </si>
  <si>
    <t>-396.873902294751 223.702022690931 -240.302472555504</t>
  </si>
  <si>
    <t>-648.69812847153 46.879382949463 -103.040097016024</t>
  </si>
  <si>
    <t>-667.343136847223 73.3959129200864 299.208462631363</t>
  </si>
  <si>
    <t>-711.5027733582 104.252713758936 743.791994146988</t>
  </si>
  <si>
    <t>-567.415716716633 128.210604883992 805.047463849661</t>
  </si>
  <si>
    <t>-574.952718105368 -143.717642834506 305.598582105909</t>
  </si>
  <si>
    <t>-598.247984053174 -146.155984090091 752.87368806928</t>
  </si>
  <si>
    <t>-462.314902760677 -183.14779583981 825.269139205479</t>
  </si>
  <si>
    <t>9763-20170724T104504.048902000.bin</t>
  </si>
  <si>
    <t>-670.726927345488 102.802259105959 -541.95624946377</t>
  </si>
  <si>
    <t>-626.532671823513 154.092696693316 -255.58695896064</t>
  </si>
  <si>
    <t>-396.407894318072 223.839049055295 -240.457844413219</t>
  </si>
  <si>
    <t>-648.461162459584 46.7490721593308 -103.087898337084</t>
  </si>
  <si>
    <t>-667.343747431989 73.4066743858868 299.140349621783</t>
  </si>
  <si>
    <t>-711.58890898865 104.39530467591 743.711036142037</t>
  </si>
  <si>
    <t>-567.480438546146 128.192381442739 804.978785923166</t>
  </si>
  <si>
    <t>-574.715090113658 -143.771674463787 305.610108271597</t>
  </si>
  <si>
    <t>-598.210175422447 -146.126739161019 752.874806809879</t>
  </si>
  <si>
    <t>-462.268719782093 -183.089043970461 825.269680266443</t>
  </si>
  <si>
    <t>9763-20170724T104504.087002300.bin</t>
  </si>
  <si>
    <t>-670.560715279509 102.824506452488 -542.021858294388</t>
  </si>
  <si>
    <t>-626.405676453244 154.434004309958 -255.70382691339</t>
  </si>
  <si>
    <t>-396.259044467368 224.115815156797 -240.609455132123</t>
  </si>
  <si>
    <t>-648.502505627766 46.8440637781553 -103.134285141056</t>
  </si>
  <si>
    <t>-667.333841762599 73.4438301872403 299.100120648313</t>
  </si>
  <si>
    <t>-711.574069913942 104.352913965898 743.672882141958</t>
  </si>
  <si>
    <t>-567.481582909524 128.231047464334 804.946737246086</t>
  </si>
  <si>
    <t>-574.670366886266 -143.781427715725 305.612387973738</t>
  </si>
  <si>
    <t>-598.197436995017 -146.126380281061 752.879110365465</t>
  </si>
  <si>
    <t>-462.225994263654 -183.001857313113 825.261920025401</t>
  </si>
  <si>
    <t>9763-20170724T104504.153188900.bin</t>
  </si>
  <si>
    <t>-669.631755587353 103.129464251947 -542.222553547456</t>
  </si>
  <si>
    <t>-624.196866290484 155.985395504223 -256.332408511229</t>
  </si>
  <si>
    <t>-393.9432441188 225.381997244789 -241.559447987886</t>
  </si>
  <si>
    <t>-648.491100210199 46.9989555268614 -103.256125380132</t>
  </si>
  <si>
    <t>-667.263220411151 73.5698896383142 298.982963085072</t>
  </si>
  <si>
    <t>-711.515313521045 104.359711416841 743.539501633</t>
  </si>
  <si>
    <t>-567.501034504144 128.491299417788 804.89788784141</t>
  </si>
  <si>
    <t>-574.7311916677 -143.940225314485 305.592792989477</t>
  </si>
  <si>
    <t>-598.189627216721 -146.432363193284 752.904947453723</t>
  </si>
  <si>
    <t>-461.930315337621 -182.384132922782 825.211096482895</t>
  </si>
  <si>
    <t>9763-20170724T104504.188282800.bin</t>
  </si>
  <si>
    <t>-668.868784006817 103.227954323478 -542.36915630115</t>
  </si>
  <si>
    <t>-621.952826490189 157.21983485194 -256.930902662167</t>
  </si>
  <si>
    <t>-391.607639758406 226.361374549742 -242.389258467036</t>
  </si>
  <si>
    <t>-648.297721897116 46.9627914064336 -103.278494108323</t>
  </si>
  <si>
    <t>-667.282020576907 73.672274795508 298.941350594582</t>
  </si>
  <si>
    <t>-711.534316581857 104.434903691404 743.489671391134</t>
  </si>
  <si>
    <t>-567.530339084299 128.532693924318 804.885534260653</t>
  </si>
  <si>
    <t>-575.017837538394 -143.83146311877 305.579566456396</t>
  </si>
  <si>
    <t>-598.172005571576 -146.327772975881 752.898006088423</t>
  </si>
  <si>
    <t>-462.034539010188 -182.717099594066 825.214779902302</t>
  </si>
  <si>
    <t>9763-20170724T104504.253005000.bin</t>
  </si>
  <si>
    <t>-667.251467806347 103.65116432051 -542.655926915422</t>
  </si>
  <si>
    <t>-616.266334878746 160.422520321476 -258.457456292968</t>
  </si>
  <si>
    <t>-385.690190185829 228.979247479533 -244.837693860176</t>
  </si>
  <si>
    <t>-648.406398535907 47.304032378875 -103.266349394191</t>
  </si>
  <si>
    <t>-667.750457327395 73.938825366864 298.941376265068</t>
  </si>
  <si>
    <t>-711.554985003715 104.508801541966 743.484412519039</t>
  </si>
  <si>
    <t>-567.552029007789 128.554786661086 804.902999462111</t>
  </si>
  <si>
    <t>-575.297743796157 -143.8381962482 305.543693510999</t>
  </si>
  <si>
    <t>-598.11947133035 -146.402719580482 752.880253210473</t>
  </si>
  <si>
    <t>-461.97612980725 -182.744820485864 825.209605143185</t>
  </si>
  <si>
    <t>9763-20170724T104504.285090700.bin</t>
  </si>
  <si>
    <t>-666.414600047361 104.044085333147 -542.831359754712</t>
  </si>
  <si>
    <t>-613.05391827174 162.199082606158 -259.349583926715</t>
  </si>
  <si>
    <t>-382.323661124353 230.30762214448 -246.096429126362</t>
  </si>
  <si>
    <t>-648.646094637971 47.7285094161116 -103.27108531548</t>
  </si>
  <si>
    <t>-668.137802197692 74.1820042357069 298.941460381058</t>
  </si>
  <si>
    <t>-711.611466213617 104.632137682822 743.519762281543</t>
  </si>
  <si>
    <t>-567.585540469758 128.531707323975 804.941544745532</t>
  </si>
  <si>
    <t>-575.515254571878 -143.641058905418 305.499624844719</t>
  </si>
  <si>
    <t>-598.096098265263 -146.192601853042 752.870572898484</t>
  </si>
  <si>
    <t>-462.085329164351 -182.994679391826 825.21683246133</t>
  </si>
  <si>
    <t>9763-20170724T104504.352563300.bin</t>
  </si>
  <si>
    <t>-664.017948981327 104.224445708194 -543.110721193891</t>
  </si>
  <si>
    <t>-605.975668716311 164.721062674202 -261.042550784487</t>
  </si>
  <si>
    <t>-375.05149506328 232.196991950025 -247.931744407377</t>
  </si>
  <si>
    <t>-648.192341220954 48.0061576670137 -103.209413591848</t>
  </si>
  <si>
    <t>-668.492114085514 74.284581826224 298.974673372893</t>
  </si>
  <si>
    <t>-711.624250499631 104.701427657802 743.609397348265</t>
  </si>
  <si>
    <t>-567.622404075709 128.711211901621 805.044637630012</t>
  </si>
  <si>
    <t>-575.742671220721 -143.430790647252 305.453138136402</t>
  </si>
  <si>
    <t>-598.052345542604 -146.246894042543 752.846864861592</t>
  </si>
  <si>
    <t>-462.104702714959 -183.252290581601 825.208160999669</t>
  </si>
  <si>
    <t>9763-20170724T104504.384644000.bin</t>
  </si>
  <si>
    <t>-662.613407988021 104.269048344407 -543.166141977302</t>
  </si>
  <si>
    <t>-602.527578672811 165.667845518243 -261.72154649729</t>
  </si>
  <si>
    <t>-371.685707203652 233.357806235137 -248.270004563353</t>
  </si>
  <si>
    <t>-647.654768512389 48.0270131225127 -103.161507205444</t>
  </si>
  <si>
    <t>-668.359878241429 74.2269914310839 299.007013350534</t>
  </si>
  <si>
    <t>-711.647812213075 104.771991024352 743.644365851909</t>
  </si>
  <si>
    <t>-567.647477154464 128.743553104173 805.098151755328</t>
  </si>
  <si>
    <t>-575.801835960596 -143.524692673342 305.441431032413</t>
  </si>
  <si>
    <t>-598.03509853088 -146.424237630582 752.839763251423</t>
  </si>
  <si>
    <t>-461.959390256555 -182.975197665697 825.19121409089</t>
  </si>
  <si>
    <t>9763-20170724T104504.453405100.bin</t>
  </si>
  <si>
    <t>-660.058284311204 104.811194410212 -543.179955794481</t>
  </si>
  <si>
    <t>-596.63452434644 168.685135134548 -263.021457984211</t>
  </si>
  <si>
    <t>-365.897539851464 236.523631587335 -248.555406961754</t>
  </si>
  <si>
    <t>-646.444045527181 48.1124108871634 -103.014989555528</t>
  </si>
  <si>
    <t>-667.740499603477 74.165332668339 299.132210440259</t>
  </si>
  <si>
    <t>-711.622154481936 104.766157564472 743.732819233472</t>
  </si>
  <si>
    <t>-567.659390191579 128.892623650132 805.213986788416</t>
  </si>
  <si>
    <t>-576.039907738727 -143.752407759974 305.434721353192</t>
  </si>
  <si>
    <t>-598.012288585086 -146.588138366425 752.832268906333</t>
  </si>
  <si>
    <t>-461.871473537417 -182.90372671038 825.179646789946</t>
  </si>
  <si>
    <t>9763-20170724T104504.484489700.bin</t>
  </si>
  <si>
    <t>-659.196249344107 105.215477371685 -543.214693083135</t>
  </si>
  <si>
    <t>-594.824579581594 169.930067227992 -263.46575340818</t>
  </si>
  <si>
    <t>-364.249523363042 238.257861884687 -248.723628401004</t>
  </si>
  <si>
    <t>-646.01526280771 48.2459223297026 -102.938724469426</t>
  </si>
  <si>
    <t>-667.469147946532 74.1446390531473 299.210104721394</t>
  </si>
  <si>
    <t>-711.605158231878 104.746960969176 743.78843149106</t>
  </si>
  <si>
    <t>-567.672753871466 129.036717690534 805.276371741911</t>
  </si>
  <si>
    <t>-576.103510440981 -143.82300445632 305.433474511223</t>
  </si>
  <si>
    <t>-598.001162250394 -146.602146500744 752.829831925166</t>
  </si>
  <si>
    <t>-461.842767804299 -182.852360461418 825.177061415085</t>
  </si>
  <si>
    <t>9763-20170724T104504.551262400.bin</t>
  </si>
  <si>
    <t>-658.51355062201 105.926764093628 -543.130676660023</t>
  </si>
  <si>
    <t>-592.868996863123 171.555154531691 -263.890818392352</t>
  </si>
  <si>
    <t>-362.504813660692 240.504438962803 -248.751221991991</t>
  </si>
  <si>
    <t>-645.336901006802 48.3796038518544 -102.752851994827</t>
  </si>
  <si>
    <t>-667.044293518127 73.9410394976744 299.403966651313</t>
  </si>
  <si>
    <t>-711.545125205064 104.621388251507 743.924745474263</t>
  </si>
  <si>
    <t>-567.640388205532 129.041448821078 805.425866312804</t>
  </si>
  <si>
    <t>-576.127816188721 -143.966802749177 305.435268443678</t>
  </si>
  <si>
    <t>-597.991258524602 -146.73181982211 752.84321251033</t>
  </si>
  <si>
    <t>-461.787520209907 -182.856431923515 825.167788724318</t>
  </si>
  <si>
    <t>9763-20170724T104504.584351600.bin</t>
  </si>
  <si>
    <t>-658.136373684269 106.049024858487 -542.99105983487</t>
  </si>
  <si>
    <t>-591.952520424774 171.526079791233 -263.842837000719</t>
  </si>
  <si>
    <t>-361.688729431769 240.774825983722 -248.544053504139</t>
  </si>
  <si>
    <t>-644.854282022096 48.2413457675821 -102.642632290364</t>
  </si>
  <si>
    <t>-666.835266276779 73.701904819661 299.505682515237</t>
  </si>
  <si>
    <t>-711.462482716496 104.470828835612 743.99216014168</t>
  </si>
  <si>
    <t>-567.636042808002 129.307387235509 805.509525661143</t>
  </si>
  <si>
    <t>-576.066428496532 -144.042544085051 305.433811697671</t>
  </si>
  <si>
    <t>-598.001601384235 -146.811297377687 752.861038781544</t>
  </si>
  <si>
    <t>-461.85839371012 -183.197172158841 825.168749767111</t>
  </si>
  <si>
    <t>9763-20170724T104504.653548600.bin</t>
  </si>
  <si>
    <t>-657.131553258772 106.366687868274 -542.628406340566</t>
  </si>
  <si>
    <t>-589.577856013249 171.14673416578 -263.645799550918</t>
  </si>
  <si>
    <t>-359.418441003391 240.596908047895 -247.702070043501</t>
  </si>
  <si>
    <t>-644.177595705912 48.0205612476793 -102.450063960877</t>
  </si>
  <si>
    <t>-666.519226583899 73.5198938751353 299.675939821206</t>
  </si>
  <si>
    <t>-711.350467191385 104.336977151572 744.104829045124</t>
  </si>
  <si>
    <t>-567.612217404583 129.539585274542 805.679469542025</t>
  </si>
  <si>
    <t>-575.724320127703 -144.234842538449 305.510246106568</t>
  </si>
  <si>
    <t>-598.005639046269 -146.853030259053 752.886253074875</t>
  </si>
  <si>
    <t>-461.791317213037 -183.066592949748 825.146448857233</t>
  </si>
  <si>
    <t>9763-20170724T104504.682625400.bin</t>
  </si>
  <si>
    <t>-656.623158688924 106.643453983908 -542.517428473827</t>
  </si>
  <si>
    <t>-588.708341877682 171.378433390822 -263.612195559587</t>
  </si>
  <si>
    <t>-358.619084380256 241.042669179117 -247.590356371092</t>
  </si>
  <si>
    <t>-644.045157107969 48.1036339768789 -102.379806642974</t>
  </si>
  <si>
    <t>-666.498709524309 73.5331964165941 299.744419239317</t>
  </si>
  <si>
    <t>-711.325712824581 104.312328918207 744.177721752866</t>
  </si>
  <si>
    <t>-567.63053371957 129.733041364263 805.763395485416</t>
  </si>
  <si>
    <t>-575.612482805916 -144.220913729562 305.537643120451</t>
  </si>
  <si>
    <t>-597.988143756848 -146.907019797607 752.889197192352</t>
  </si>
  <si>
    <t>-461.711970579703 -182.900419143218 825.142771511838</t>
  </si>
  <si>
    <t>9763-20170724T104504.753823700.bin</t>
  </si>
  <si>
    <t>-656.375950297475 107.342417912183 -542.445018329484</t>
  </si>
  <si>
    <t>-587.94220961766 171.732882700101 -263.586894974272</t>
  </si>
  <si>
    <t>-357.966692463727 241.843988740714 -247.883674641767</t>
  </si>
  <si>
    <t>-644.289656909221 48.6751519092086 -102.300543684657</t>
  </si>
  <si>
    <t>-666.727011194132 73.779592250349 299.844981794874</t>
  </si>
  <si>
    <t>-711.314201128729 104.298037875213 744.337267520444</t>
  </si>
  <si>
    <t>-567.628802599725 129.789601528013 805.916299586404</t>
  </si>
  <si>
    <t>-575.584875261525 -144.048047985372 305.560254623715</t>
  </si>
  <si>
    <t>-597.961049668532 -147.06861762176 752.903680446215</t>
  </si>
  <si>
    <t>-461.648000637745 -182.928809885653 825.153989618927</t>
  </si>
  <si>
    <t>9763-20170724T104504.788920400.bin</t>
  </si>
  <si>
    <t>-656.559188000806 107.696134701088 -542.414506006701</t>
  </si>
  <si>
    <t>-587.986670775509 171.971100591363 -263.563788236064</t>
  </si>
  <si>
    <t>-358.048993876762 242.221310908486 -247.927764071341</t>
  </si>
  <si>
    <t>-644.359909422506 49.0194874014687 -102.277660123484</t>
  </si>
  <si>
    <t>-666.826322270262 74.0050485185761 299.8736155559</t>
  </si>
  <si>
    <t>-711.374450859167 104.414165800766 744.403821493412</t>
  </si>
  <si>
    <t>-567.650906190893 129.706507157168 805.975983423484</t>
  </si>
  <si>
    <t>-575.704242634324 -143.85008305112 305.561303390942</t>
  </si>
  <si>
    <t>-597.936204921111 -147.057437799176 752.900431760003</t>
  </si>
  <si>
    <t>-461.69367317251 -183.141596845852 825.172148704893</t>
  </si>
  <si>
    <t>9763-20170724T104504.852622500.bin</t>
  </si>
  <si>
    <t>-656.715177866195 108.303367326823 -542.40860657777</t>
  </si>
  <si>
    <t>-588.357149360924 171.736142060972 -263.312351831621</t>
  </si>
  <si>
    <t>-358.333359400921 241.768228516616 -247.967979654319</t>
  </si>
  <si>
    <t>-644.174310771348 49.6293715498712 -102.228596580526</t>
  </si>
  <si>
    <t>-666.684568013101 74.4305832254777 299.931704945828</t>
  </si>
  <si>
    <t>-711.460836199221 104.568373510529 744.49867458139</t>
  </si>
  <si>
    <t>-567.645526895115 129.384020357333 806.050524074998</t>
  </si>
  <si>
    <t>-575.592106553969 -143.505436993931 305.571452840591</t>
  </si>
  <si>
    <t>-597.900660552676 -146.928001640791 752.894342302081</t>
  </si>
  <si>
    <t>-461.687760586079 -183.06812569303 825.19400247367</t>
  </si>
  <si>
    <t>9763-20170724T104504.885711100.bin</t>
  </si>
  <si>
    <t>-656.810131873998 108.61886625571 -542.394907862963</t>
  </si>
  <si>
    <t>-588.512830879085 171.599920204342 -263.181527479415</t>
  </si>
  <si>
    <t>-358.46727686821 241.573543372415 -247.897456972445</t>
  </si>
  <si>
    <t>-644.124455378383 49.9229933518686 -102.210138028198</t>
  </si>
  <si>
    <t>-666.467294825186 74.5752340844035 299.968598830669</t>
  </si>
  <si>
    <t>-711.465585365226 104.557612097345 744.533565962018</t>
  </si>
  <si>
    <t>-567.644752556278 129.380937723772 806.069418715335</t>
  </si>
  <si>
    <t>-575.417231312716 -143.271353544088 305.580581841177</t>
  </si>
  <si>
    <t>-597.877261646277 -146.873346892261 752.877704339579</t>
  </si>
  <si>
    <t>-461.71807885981 -183.158742722681 825.205691167422</t>
  </si>
  <si>
    <t>9763-20170724T104504.951429000.bin</t>
  </si>
  <si>
    <t>-656.89543596488 108.968934425857 -542.310425549038</t>
  </si>
  <si>
    <t>-588.779239036928 172.01881051769 -263.06844953361</t>
  </si>
  <si>
    <t>-358.666889043919 241.755246228426 -247.705903542956</t>
  </si>
  <si>
    <t>-643.937855182946 50.2600443883198 -102.160130447146</t>
  </si>
  <si>
    <t>-665.999442795442 74.7882987126707 300.041678850516</t>
  </si>
  <si>
    <t>-711.487846110335 104.600172055736 744.57782458492</t>
  </si>
  <si>
    <t>-567.643983286928 129.319085762721 806.10193579241</t>
  </si>
  <si>
    <t>-574.923392786076 -142.975481998061 305.575652006595</t>
  </si>
  <si>
    <t>-597.84789249533 -146.685604889449 752.854393916574</t>
  </si>
  <si>
    <t>-461.793536929399 -183.284749101746 825.221476262576</t>
  </si>
  <si>
    <t>9763-20170724T104504.994548500.bin</t>
  </si>
  <si>
    <t>-657.033084292914 108.92707482254 -542.275148230555</t>
  </si>
  <si>
    <t>-588.835306844319 172.038215648784 -263.066841926323</t>
  </si>
  <si>
    <t>-358.705123476832 241.731932635214 -247.777673639649</t>
  </si>
  <si>
    <t>-643.781954667704 50.2632334267901 -102.131322943499</t>
  </si>
  <si>
    <t>-665.85489249973 74.7721742269521 300.071110082409</t>
  </si>
  <si>
    <t>-711.510142672036 104.635897552825 744.593011825026</t>
  </si>
  <si>
    <t>-567.664460889279 129.357691060304 806.111555927869</t>
  </si>
  <si>
    <t>-574.84684429092 -142.922417480002 305.581395192509</t>
  </si>
  <si>
    <t>-597.837462764122 -146.679638832306 752.854112920957</t>
  </si>
  <si>
    <t>-461.812848539347 -183.372111643991 825.229890740329</t>
  </si>
  <si>
    <t>9763-20170724T104505.052707800.bin</t>
  </si>
  <si>
    <t>-657.40547447235 108.721498775135 -542.187962893364</t>
  </si>
  <si>
    <t>-588.969621672332 171.871945944791 -263.046971137298</t>
  </si>
  <si>
    <t>-358.822978905005 241.536445846455 -247.873370286863</t>
  </si>
  <si>
    <t>-643.570144332673 50.1626227853671 -102.075116323912</t>
  </si>
  <si>
    <t>-665.632890560683 74.6910202374311 300.126668874006</t>
  </si>
  <si>
    <t>-711.537112166988 104.68960803967 744.625486837312</t>
  </si>
  <si>
    <t>-567.682946505186 129.37895678007 806.137390397443</t>
  </si>
  <si>
    <t>-574.608543972386 -142.98518629114 305.590789717303</t>
  </si>
  <si>
    <t>-597.831281301726 -146.767071528511 752.854328450516</t>
  </si>
  <si>
    <t>-461.794693800406 -183.413948698029 825.230911518325</t>
  </si>
  <si>
    <t>9763-20170724T104505.083790600.bin</t>
  </si>
  <si>
    <t>-657.480160435552 108.743663601964 -542.129080034063</t>
  </si>
  <si>
    <t>-589.16173704301 171.749335253655 -262.926446641163</t>
  </si>
  <si>
    <t>-358.981793537999 241.322946548068 -247.841105036758</t>
  </si>
  <si>
    <t>-643.536775627636 50.1540959334895 -102.059152059414</t>
  </si>
  <si>
    <t>-665.542628057426 74.6322461012253 300.148775010719</t>
  </si>
  <si>
    <t>-711.502906782431 104.608284956698 744.646673509528</t>
  </si>
  <si>
    <t>-567.633380502711 129.230920949481 806.149321720094</t>
  </si>
  <si>
    <t>-574.504649293235 -142.933289469723 305.601959286063</t>
  </si>
  <si>
    <t>-597.824032607794 -146.610791358476 752.843265147955</t>
  </si>
  <si>
    <t>-461.823307590579 -183.366679995567 825.231731052858</t>
  </si>
  <si>
    <t>9763-20170724T104505.153113100.bin</t>
  </si>
  <si>
    <t>-657.598813897789 108.855134286658 -541.936075176109</t>
  </si>
  <si>
    <t>-590.085919073834 171.378561098176 -262.429366291222</t>
  </si>
  <si>
    <t>-359.922851000235 241.002796270785 -247.319990263892</t>
  </si>
  <si>
    <t>-643.390916252903 50.1972577181184 -102.002256944025</t>
  </si>
  <si>
    <t>-665.385117988547 74.6310639552014 300.209033540682</t>
  </si>
  <si>
    <t>-711.539357831453 104.57211747544 744.726079165344</t>
  </si>
  <si>
    <t>-567.65151486236 129.259493050195 806.159944904791</t>
  </si>
  <si>
    <t>-574.185353608421 -142.945607571947 305.630628620141</t>
  </si>
  <si>
    <t>-597.802711121396 -146.487436462499 752.837347677842</t>
  </si>
  <si>
    <t>-461.846056161681 -183.367435099146 825.245591034959</t>
  </si>
  <si>
    <t>9763-20170724T104505.187203800.bin</t>
  </si>
  <si>
    <t>-657.901378064448 109.110317516484 -541.749682492955</t>
  </si>
  <si>
    <t>-590.980875286294 171.109879935061 -261.983938855733</t>
  </si>
  <si>
    <t>-360.80310314904 240.696435961391 -246.924617612368</t>
  </si>
  <si>
    <t>-643.375832251569 50.4038957011057 -101.947409922563</t>
  </si>
  <si>
    <t>-665.485496423962 74.6915303808091 300.266412958197</t>
  </si>
  <si>
    <t>-711.56242505044 104.464528454114 744.801797104798</t>
  </si>
  <si>
    <t>-567.67163103068 129.295559220658 806.170855298941</t>
  </si>
  <si>
    <t>-573.927013043889 -142.895101289652 305.64517136572</t>
  </si>
  <si>
    <t>-597.795848256985 -146.391943186328 752.837090476409</t>
  </si>
  <si>
    <t>-461.985059879598 -183.762250925958 825.267640727203</t>
  </si>
  <si>
    <t>9763-20170724T104505.224305400.bin</t>
  </si>
  <si>
    <t>-658.209017943889 109.427180406592 -541.513302101693</t>
  </si>
  <si>
    <t>-591.866711578979 170.855342023663 -261.483949477</t>
  </si>
  <si>
    <t>-361.664279023417 240.434446332591 -246.771813783696</t>
  </si>
  <si>
    <t>-643.456594521936 50.6539345491874 -101.927966193163</t>
  </si>
  <si>
    <t>-665.953596651398 74.7521538957512 300.275791434818</t>
  </si>
  <si>
    <t>-711.582891936554 104.415923060574 744.825645624152</t>
  </si>
  <si>
    <t>-567.655774066685 129.102224810411 806.167919157097</t>
  </si>
  <si>
    <t>-573.83981135818 -142.930396422564 305.666200374903</t>
  </si>
  <si>
    <t>-597.80693038083 -146.454185838781 752.857385458235</t>
  </si>
  <si>
    <t>-461.94780365607 -183.687587777871 825.267786465229</t>
  </si>
  <si>
    <t>9763-20170724T104505.283466900.bin</t>
  </si>
  <si>
    <t>-658.587283927182 109.366342006506 -541.308118923931</t>
  </si>
  <si>
    <t>-592.564617551947 169.53745738814 -260.930357484675</t>
  </si>
  <si>
    <t>-362.35849834176 239.211727852656 -246.735789594235</t>
  </si>
  <si>
    <t>-643.410734103407 50.5962427920431 -101.993160663332</t>
  </si>
  <si>
    <t>-666.167108208809 74.7541657876452 300.192361251626</t>
  </si>
  <si>
    <t>-711.520336240126 104.344867365473 744.795168379548</t>
  </si>
  <si>
    <t>-567.605076274943 129.098697318213 806.137983189576</t>
  </si>
  <si>
    <t>-574.048507440891 -142.962849288043 305.68528128386</t>
  </si>
  <si>
    <t>-597.835051957135 -146.634838207475 752.891612972381</t>
  </si>
  <si>
    <t>-461.95583173287 -183.872793664862 825.261975691499</t>
  </si>
  <si>
    <t>9763-20170724T104505.357686100.bin</t>
  </si>
  <si>
    <t>-658.459500135914 108.771001385819 -541.357552652326</t>
  </si>
  <si>
    <t>-592.615602792333 168.970652237389 -260.943940266239</t>
  </si>
  <si>
    <t>-362.472397945503 238.909966790249 -247.034050062899</t>
  </si>
  <si>
    <t>-643.13135224784 50.1286666730186 -102.163050740196</t>
  </si>
  <si>
    <t>-665.758706886689 74.4689973682632 300.018824820583</t>
  </si>
  <si>
    <t>-711.46627007129 104.248624263025 744.576939678234</t>
  </si>
  <si>
    <t>-567.607767641005 129.30869312826 805.928629510172</t>
  </si>
  <si>
    <t>-573.758075399164 -143.05048243628 305.6209466725</t>
  </si>
  <si>
    <t>-597.828680272075 -146.475361060554 752.851522425786</t>
  </si>
  <si>
    <t>-461.980470875837 -183.805966368877 825.232353307221</t>
  </si>
  <si>
    <t>9763-20170724T104505.383755800.bin</t>
  </si>
  <si>
    <t>-658.07949456129 108.709283954544 -541.393271837746</t>
  </si>
  <si>
    <t>-592.679768309201 169.06893734618 -260.910008977067</t>
  </si>
  <si>
    <t>-362.581122082768 239.186507407086 -247.16211544553</t>
  </si>
  <si>
    <t>-643.000356777113 50.1093688203537 -102.138749824109</t>
  </si>
  <si>
    <t>-665.588482812848 74.4637778846145 300.044404746347</t>
  </si>
  <si>
    <t>-711.489161774748 104.296917731132 744.596101970076</t>
  </si>
  <si>
    <t>-567.62074926207 129.294326934348 805.950009901499</t>
  </si>
  <si>
    <t>-573.71124710832 -143.160259031132 305.615087029395</t>
  </si>
  <si>
    <t>-597.824347209221 -146.49977967287 752.840421010526</t>
  </si>
  <si>
    <t>-461.99044088657 -183.866863047342 825.229213242375</t>
  </si>
  <si>
    <t>9763-20170724T104505.458962700.bin</t>
  </si>
  <si>
    <t>-657.796103191513 108.757243510396 -541.398358156679</t>
  </si>
  <si>
    <t>-593.69713527188 168.964221277059 -260.582211774665</t>
  </si>
  <si>
    <t>-363.560461920729 238.960552036823 -246.853335902088</t>
  </si>
  <si>
    <t>-642.889854144058 50.1966054775596 -102.09409660905</t>
  </si>
  <si>
    <t>-665.367812061639 74.5758249524627 300.093766324241</t>
  </si>
  <si>
    <t>-711.500833340229 104.333912432289 744.621104361815</t>
  </si>
  <si>
    <t>-567.610203582399 129.209690981309 805.972474538575</t>
  </si>
  <si>
    <t>-573.696331934988 -143.253255580083 305.63614073038</t>
  </si>
  <si>
    <t>-597.828298057268 -146.593337341186 752.85672584631</t>
  </si>
  <si>
    <t>-461.941129232126 -183.78765448329 825.234515830332</t>
  </si>
  <si>
    <t>9763-20170724T104505.487038400.bin</t>
  </si>
  <si>
    <t>-657.865926713178 108.763394802191 -541.375419900456</t>
  </si>
  <si>
    <t>-594.211675731095 168.65071543883 -260.389923985003</t>
  </si>
  <si>
    <t>-364.12901952585 238.816298341897 -246.619185039407</t>
  </si>
  <si>
    <t>-642.862013831181 50.2485659755744 -102.095543711514</t>
  </si>
  <si>
    <t>-665.293785881884 74.6056487292249 300.096194116233</t>
  </si>
  <si>
    <t>-711.507500716395 104.340892340651 744.616882964616</t>
  </si>
  <si>
    <t>-567.616603859791 129.213507546616 805.968931938262</t>
  </si>
  <si>
    <t>-573.697854723106 -143.241488763889 305.656188758805</t>
  </si>
  <si>
    <t>-597.827523887373 -146.65797760932 752.860834974521</t>
  </si>
  <si>
    <t>-461.982393787352 -183.996234902353 825.243495156846</t>
  </si>
  <si>
    <t>9763-20170724T104505.516115300.bin</t>
  </si>
  <si>
    <t>-657.8775379026 108.637128785902 -541.339553737452</t>
  </si>
  <si>
    <t>-594.321848436353 168.13784379714 -260.249662253625</t>
  </si>
  <si>
    <t>-364.247861118304 238.311997689476 -246.377297089297</t>
  </si>
  <si>
    <t>-642.748945673319 50.1367856133811 -102.09065673</t>
  </si>
  <si>
    <t>-665.149274963028 74.5245454698793 300.101005140735</t>
  </si>
  <si>
    <t>-711.460984344667 104.245879423136 744.607794913232</t>
  </si>
  <si>
    <t>-567.586020468075 129.220058268517 805.955805970794</t>
  </si>
  <si>
    <t>-573.716556089116 -143.297263089404 305.680379685634</t>
  </si>
  <si>
    <t>-597.831665104556 -146.75747589447 752.871434426536</t>
  </si>
  <si>
    <t>-461.913325075852 -183.852785635461 825.241583153642</t>
  </si>
  <si>
    <t>9763-20170724T104505.583811800.bin</t>
  </si>
  <si>
    <t>-657.953504827957 108.553555074557 -541.314699154751</t>
  </si>
  <si>
    <t>-594.415965177427 168.162101655416 -260.243544696744</t>
  </si>
  <si>
    <t>-364.249446221955 237.905465996362 -245.748347614754</t>
  </si>
  <si>
    <t>-642.600125985031 50.1799129232002 -102.110899434416</t>
  </si>
  <si>
    <t>-664.976070393615 74.5517649217536 300.08304779011</t>
  </si>
  <si>
    <t>-711.487415915086 104.306052085994 744.567151221231</t>
  </si>
  <si>
    <t>-567.611045174937 129.26731039596 805.917215437728</t>
  </si>
  <si>
    <t>-573.5342134777 -143.145148996069 305.699129495449</t>
  </si>
  <si>
    <t>-597.827623002283 -146.52493139653 752.874810393234</t>
  </si>
  <si>
    <t>-462.080336469379 -184.20215360616 825.265346192909</t>
  </si>
  <si>
    <t>9763-20170724T104505.651003000.bin</t>
  </si>
  <si>
    <t>-657.884784484321 108.237258417593 -541.374868015654</t>
  </si>
  <si>
    <t>-594.216016301235 167.886245608311 -260.341908621928</t>
  </si>
  <si>
    <t>-363.903611576349 236.962589767319 -244.995408066725</t>
  </si>
  <si>
    <t>-642.328399717252 50.1509195780059 -102.139724142462</t>
  </si>
  <si>
    <t>-664.714395523028 74.5148967196208 300.054155639647</t>
  </si>
  <si>
    <t>-711.440034517942 104.224900573109 744.522147475303</t>
  </si>
  <si>
    <t>-567.576430752623 129.265597846062 805.869763980837</t>
  </si>
  <si>
    <t>-573.241125629903 -143.234041238791 305.710790592359</t>
  </si>
  <si>
    <t>-597.813049251784 -146.584661913616 752.870673513267</t>
  </si>
  <si>
    <t>-461.964898903409 -183.895592082485 825.261694086843</t>
  </si>
  <si>
    <t>9763-20170724T104505.685088100.bin</t>
  </si>
  <si>
    <t>-657.745707002182 108.108777988126 -541.39809512084</t>
  </si>
  <si>
    <t>-594.059885611448 167.674499972056 -260.351358623948</t>
  </si>
  <si>
    <t>-363.670302504843 236.394522330319 -244.570122584438</t>
  </si>
  <si>
    <t>-642.16400179849 50.1931380207018 -102.15053123697</t>
  </si>
  <si>
    <t>-664.559142169352 74.5449583344573 300.043659401019</t>
  </si>
  <si>
    <t>-711.47347831418 104.29211889579 744.49914034935</t>
  </si>
  <si>
    <t>-567.572220534061 129.103122825199 805.851716629925</t>
  </si>
  <si>
    <t>-573.15313402296 -143.239620735396 305.709562691494</t>
  </si>
  <si>
    <t>-597.807495125309 -146.723416509297 752.869330768713</t>
  </si>
  <si>
    <t>-461.932308826271 -183.924110987807 825.266383126841</t>
  </si>
  <si>
    <t>9763-20170724T104505.738236300.bin</t>
  </si>
  <si>
    <t>-657.421406074516 108.071164029594 -541.429646100091</t>
  </si>
  <si>
    <t>-593.827266035428 167.299062023853 -260.29081943536</t>
  </si>
  <si>
    <t>-363.257082915777 235.364715887126 -244.311760444115</t>
  </si>
  <si>
    <t>-641.903103665868 50.2843812149019 -102.253205528668</t>
  </si>
  <si>
    <t>-664.226326285682 74.5595994914534 299.949566827078</t>
  </si>
  <si>
    <t>-711.47104565701 104.258971644939 744.333278169929</t>
  </si>
  <si>
    <t>-567.586291536897 129.20289905711 805.67054806009</t>
  </si>
  <si>
    <t>-572.978879115906 -143.157302606928 305.697982062758</t>
  </si>
  <si>
    <t>-597.796281286722 -146.552822628575 752.850013344982</t>
  </si>
  <si>
    <t>-461.924686049888 -183.746287688154 825.257524186405</t>
  </si>
  <si>
    <t>9763-20170724T104505.788369600.bin</t>
  </si>
  <si>
    <t>-657.218800948678 108.288342763541 -541.389733901732</t>
  </si>
  <si>
    <t>-593.770527007213 167.199640837191 -260.15145496937</t>
  </si>
  <si>
    <t>-363.077951517208 234.864281982847 -244.234815789882</t>
  </si>
  <si>
    <t>-641.583264777422 50.434518989256 -102.306045027322</t>
  </si>
  <si>
    <t>-663.90539701652 74.6636219838476 299.899525539857</t>
  </si>
  <si>
    <t>-711.477828758419 104.238458214983 744.304043400857</t>
  </si>
  <si>
    <t>-567.557777954668 129.011508291818 805.627882973132</t>
  </si>
  <si>
    <t>-572.760421944408 -142.925143122785 305.689568348491</t>
  </si>
  <si>
    <t>-597.787467784822 -146.195746294316 752.830954230282</t>
  </si>
  <si>
    <t>-462.224675249782 -184.426451145498 825.27711579355</t>
  </si>
  <si>
    <t>9763-20170724T104505.848535300.bin</t>
  </si>
  <si>
    <t>-656.640375612124 108.280522815525 -541.315308579109</t>
  </si>
  <si>
    <t>-593.323105469437 166.620192896056 -259.928374413987</t>
  </si>
  <si>
    <t>-362.502485535538 233.912859820537 -244.295231885927</t>
  </si>
  <si>
    <t>-641.060881269096 50.369927786709 -102.30665476611</t>
  </si>
  <si>
    <t>-663.338556025585 74.628508150488 299.89963617715</t>
  </si>
  <si>
    <t>-711.47192962907 104.22459188171 744.247338630573</t>
  </si>
  <si>
    <t>-567.558683849584 129.069498725618 805.5581424126</t>
  </si>
  <si>
    <t>-572.554886662849 -143.030947250956 305.69956999692</t>
  </si>
  <si>
    <t>-597.787133057446 -146.26552684747 752.826995152789</t>
  </si>
  <si>
    <t>-462.163661071325 -184.290861328053 825.26749096456</t>
  </si>
  <si>
    <t>9763-20170724T104505.887640600.bin</t>
  </si>
  <si>
    <t>-656.396189674616 108.275732153322 -541.276073438584</t>
  </si>
  <si>
    <t>-593.056364202606 166.389230005839 -259.847507339327</t>
  </si>
  <si>
    <t>-362.203607999635 233.600518202746 -244.338248061123</t>
  </si>
  <si>
    <t>-640.839121420999 50.3377037196378 -102.301765372027</t>
  </si>
  <si>
    <t>-663.110593852506 74.6326376906122 299.902627197299</t>
  </si>
  <si>
    <t>-711.494869751747 104.281510715248 744.215907594676</t>
  </si>
  <si>
    <t>-567.545670173145 128.900824225531 805.533188280981</t>
  </si>
  <si>
    <t>-572.470311762431 -143.079074000643 305.70127178341</t>
  </si>
  <si>
    <t>-597.786390896941 -146.329899397233 752.824707262014</t>
  </si>
  <si>
    <t>-462.168459238699 -184.367609968481 825.26919241178</t>
  </si>
  <si>
    <t>9763-20170724T104505.936787000.bin</t>
  </si>
  <si>
    <t>-656.068335203928 108.129177666622 -541.236789840856</t>
  </si>
  <si>
    <t>-592.83512256243 166.24270330145 -259.784094849645</t>
  </si>
  <si>
    <t>-361.915386322135 233.2413556097 -244.352013767782</t>
  </si>
  <si>
    <t>-640.492794078534 50.1907732725895 -102.288104131224</t>
  </si>
  <si>
    <t>-662.753181222809 74.5246615172928 299.914583587407</t>
  </si>
  <si>
    <t>-711.471276489904 104.229711437912 744.188956233723</t>
  </si>
  <si>
    <t>-567.511294472969 128.814584007446 805.494753907827</t>
  </si>
  <si>
    <t>-572.320320350173 -143.231027029578 305.712019426853</t>
  </si>
  <si>
    <t>-597.783479567961 -146.392258655165 752.823959144507</t>
  </si>
  <si>
    <t>-462.151868520104 -184.375682849808 825.27129729982</t>
  </si>
  <si>
    <t>9763-20170724T104505.982909700.bin</t>
  </si>
  <si>
    <t>-655.907425766859 107.943464209249 -541.212709421433</t>
  </si>
  <si>
    <t>-592.797729926547 166.013801967013 -259.723365758847</t>
  </si>
  <si>
    <t>-361.781043292996 232.734595692958 -244.541292946512</t>
  </si>
  <si>
    <t>-640.217920989016 49.9765143248528 -102.260772333958</t>
  </si>
  <si>
    <t>-662.541094092467 74.3597745872466 299.935450951146</t>
  </si>
  <si>
    <t>-711.46421154077 104.187495643908 744.171489136971</t>
  </si>
  <si>
    <t>-567.526403611191 128.975018013186 805.447624455506</t>
  </si>
  <si>
    <t>-572.16893687937 -143.342733779165 305.719109032895</t>
  </si>
  <si>
    <t>-597.77932730466 -146.347736133462 752.819985721359</t>
  </si>
  <si>
    <t>-462.138813100034 -184.291902035867 825.271252823237</t>
  </si>
  <si>
    <t>9763-20170724T104506.053119300.bin</t>
  </si>
  <si>
    <t>-655.831994172483 107.788294989051 -541.125052904701</t>
  </si>
  <si>
    <t>-593.479001669377 165.7886603505 -259.452756442298</t>
  </si>
  <si>
    <t>-362.11998046245 231.421821493208 -244.749583837894</t>
  </si>
  <si>
    <t>-640.010435617893 49.8598769348839 -102.242999130809</t>
  </si>
  <si>
    <t>-662.547702570617 74.3159667053133 299.936873496002</t>
  </si>
  <si>
    <t>-711.476881461047 104.198493183378 744.137933744997</t>
  </si>
  <si>
    <t>-567.496809089613 128.766953959622 805.403224822783</t>
  </si>
  <si>
    <t>-572.050887791219 -143.448905584471 305.739507511187</t>
  </si>
  <si>
    <t>-597.777198219922 -146.295332409837 752.821969108211</t>
  </si>
  <si>
    <t>-462.221186736457 -184.518162334951 825.284916101765</t>
  </si>
  <si>
    <t>9763-20170724T104506.087208900.bin</t>
  </si>
  <si>
    <t>-655.839809556206 107.759539827882 -541.108683012839</t>
  </si>
  <si>
    <t>-594.035900704056 165.223049435041 -259.205427807964</t>
  </si>
  <si>
    <t>-362.495061423007 230.388269188887 -245.305046718741</t>
  </si>
  <si>
    <t>-639.977147039286 49.8332635204404 -102.261656526201</t>
  </si>
  <si>
    <t>-662.522102849239 74.3152156145136 299.916203966299</t>
  </si>
  <si>
    <t>-711.458540584772 104.171324257282 744.120102400904</t>
  </si>
  <si>
    <t>-567.476855608929 128.735788034341 805.383048355104</t>
  </si>
  <si>
    <t>-571.980804183788 -143.363797880542 305.739807105061</t>
  </si>
  <si>
    <t>-597.774944612652 -146.156488315672 752.822945210464</t>
  </si>
  <si>
    <t>-462.296923473302 -184.640000842731 825.293801405857</t>
  </si>
  <si>
    <t>9763-20170724T104506.150913100.bin</t>
  </si>
  <si>
    <t>-656.238359711341 107.411141920376 -541.01379809312</t>
  </si>
  <si>
    <t>-595.034988145786 163.749119546278 -258.75259703105</t>
  </si>
  <si>
    <t>-363.283199608407 228.482452088171 -246.441186394048</t>
  </si>
  <si>
    <t>-639.797496999795 49.5676528118568 -102.263587970676</t>
  </si>
  <si>
    <t>-662.379025652612 74.1424222429139 299.906503537263</t>
  </si>
  <si>
    <t>-711.433260373509 104.145302179555 744.084971583113</t>
  </si>
  <si>
    <t>-567.497850838579 128.970494307186 805.351722242598</t>
  </si>
  <si>
    <t>-571.696658612312 -143.622140877524 305.72793784878</t>
  </si>
  <si>
    <t>-597.772068203758 -146.452265899304 752.818610801573</t>
  </si>
  <si>
    <t>-462.118819951644 -184.339669296232 825.275801931652</t>
  </si>
  <si>
    <t>9763-20170724T104506.187009100.bin</t>
  </si>
  <si>
    <t>-656.463305298802 107.312147384301 -540.950005913822</t>
  </si>
  <si>
    <t>-595.214169393136 163.504173972448 -258.669613440898</t>
  </si>
  <si>
    <t>-363.369274517885 228.070561311864 -247.268119028119</t>
  </si>
  <si>
    <t>-639.773288659465 49.5506254178513 -102.262246567037</t>
  </si>
  <si>
    <t>-662.300507996008 74.126656300956 299.910864780843</t>
  </si>
  <si>
    <t>-711.445197545633 104.193693543547 744.067460902408</t>
  </si>
  <si>
    <t>-567.474953603824 128.785394627398 805.346353624459</t>
  </si>
  <si>
    <t>-571.597383421835 -143.54043692466 305.733531748547</t>
  </si>
  <si>
    <t>-597.771877955003 -146.33127331681 752.812359202863</t>
  </si>
  <si>
    <t>-462.186149351744 -184.450506406779 825.274274038226</t>
  </si>
  <si>
    <t>9763-20170724T104506.253691100.bin</t>
  </si>
  <si>
    <t>-656.61746731304 107.130262472083 -540.983186666617</t>
  </si>
  <si>
    <t>-595.310531982159 163.49796144788 -258.750399631349</t>
  </si>
  <si>
    <t>-363.421821404929 228.02746003738 -248.052321738288</t>
  </si>
  <si>
    <t>-639.722487982766 49.5275191552071 -102.288749093672</t>
  </si>
  <si>
    <t>-662.064307846597 74.0873093964447 299.895691222006</t>
  </si>
  <si>
    <t>-711.455872445289 104.288288882083 744.023204129947</t>
  </si>
  <si>
    <t>-567.48752143683 128.85280996387 805.317499713179</t>
  </si>
  <si>
    <t>-571.344782015454 -143.601760833939 305.740558567245</t>
  </si>
  <si>
    <t>-597.773991549957 -146.636787421317 752.810536835712</t>
  </si>
  <si>
    <t>-462.037027234215 -184.247116289914 825.255390823395</t>
  </si>
  <si>
    <t>9763-20170724T104506.281766200.bin</t>
  </si>
  <si>
    <t>-656.591976164297 107.098191588103 -540.996367853504</t>
  </si>
  <si>
    <t>-595.176409796119 163.542393763897 -258.802599724375</t>
  </si>
  <si>
    <t>-363.302790173254 228.124112956021 -248.093417763699</t>
  </si>
  <si>
    <t>-639.634979421146 49.4803413142945 -102.298169285841</t>
  </si>
  <si>
    <t>-661.988303625403 74.0611830457447 299.884387479873</t>
  </si>
  <si>
    <t>-711.432377526266 104.261884697806 744.005609292164</t>
  </si>
  <si>
    <t>-567.489763327653 128.97286995825 805.301466828437</t>
  </si>
  <si>
    <t>-571.309211549466 -143.592399782923 305.748250709973</t>
  </si>
  <si>
    <t>-597.772509675143 -146.615587145948 752.809631511633</t>
  </si>
  <si>
    <t>-462.001648849609 -184.113285728456 825.249087252525</t>
  </si>
  <si>
    <t>9763-20170724T104506.351957100.bin</t>
  </si>
  <si>
    <t>-656.537452759681 106.864900091994 -541.06881891932</t>
  </si>
  <si>
    <t>-594.885715659959 163.262969170331 -258.917365144171</t>
  </si>
  <si>
    <t>-363.051468043417 227.921451999445 -247.825521283322</t>
  </si>
  <si>
    <t>-639.529926323106 49.4625510857907 -102.325597672288</t>
  </si>
  <si>
    <t>-661.905603895611 74.0214621945297 299.857053738849</t>
  </si>
  <si>
    <t>-711.399221404464 104.221220730109 743.976883586356</t>
  </si>
  <si>
    <t>-567.476128004383 129.047476691161 805.272044844136</t>
  </si>
  <si>
    <t>-571.258177071734 -143.619086650385 305.74473639152</t>
  </si>
  <si>
    <t>-597.768741331079 -146.617339392198 752.808305528312</t>
  </si>
  <si>
    <t>-461.915220899607 -183.840469403353 825.234546677808</t>
  </si>
  <si>
    <t>9763-20170724T104506.417134900.bin</t>
  </si>
  <si>
    <t>-656.526916687212 106.739707473703 -541.183180397964</t>
  </si>
  <si>
    <t>-594.833847037814 163.136060382853 -259.040215496323</t>
  </si>
  <si>
    <t>-363.01148350322 227.809101130275 -247.785688644545</t>
  </si>
  <si>
    <t>-639.490707659079 49.5053046823105 -102.349698935014</t>
  </si>
  <si>
    <t>-661.895347228992 74.0494703391564 299.832186278866</t>
  </si>
  <si>
    <t>-711.386418991164 104.200791209886 743.955820536441</t>
  </si>
  <si>
    <t>-567.448870282672 128.947594227881 805.249254874114</t>
  </si>
  <si>
    <t>-571.303610284807 -143.54416107073 305.75231443604</t>
  </si>
  <si>
    <t>-597.75763683149 -146.67965189623 752.813081221116</t>
  </si>
  <si>
    <t>-461.953685400725 -184.058413580497 825.252087253457</t>
  </si>
  <si>
    <t>9763-20170724T104506.448966000.bin</t>
  </si>
  <si>
    <t>-656.616126970202 106.626290720389 -541.233253387014</t>
  </si>
  <si>
    <t>-594.928871646474 163.144182145763 -259.113334414228</t>
  </si>
  <si>
    <t>-363.084392889199 227.737690524847 -247.858005305996</t>
  </si>
  <si>
    <t>-639.44029714181 49.5113745200376 -102.372135016316</t>
  </si>
  <si>
    <t>-661.847993692906 74.0275470161421 299.811334568436</t>
  </si>
  <si>
    <t>-711.384111288181 104.201461578349 743.935556006854</t>
  </si>
  <si>
    <t>-567.446050815423 128.93830959231 805.231750744883</t>
  </si>
  <si>
    <t>-571.335779896985 -143.541835793907 305.748066876499</t>
  </si>
  <si>
    <t>-597.752581750267 -146.703210345176 752.810035716361</t>
  </si>
  <si>
    <t>-461.936185356723 -184.033118466347 825.251054884268</t>
  </si>
  <si>
    <t>9763-20170724T104506.482054200.bin</t>
  </si>
  <si>
    <t>-656.8233891436 106.664612656193 -541.276430025186</t>
  </si>
  <si>
    <t>-595.115117773711 163.35564789442 -259.195927314597</t>
  </si>
  <si>
    <t>-363.253359252437 227.944726924876 -248.275014981385</t>
  </si>
  <si>
    <t>-639.424287318945 49.5755648309209 -102.401202411931</t>
  </si>
  <si>
    <t>-661.80501057729 74.0557864079215 299.785928825723</t>
  </si>
  <si>
    <t>-711.362904699492 104.178440029483 743.909909867565</t>
  </si>
  <si>
    <t>-567.44701093216 129.033297563612 805.210386076116</t>
  </si>
  <si>
    <t>-571.345983872149 -143.401731256866 305.741337732953</t>
  </si>
  <si>
    <t>-597.751105145209 -146.509597084588 752.805318683688</t>
  </si>
  <si>
    <t>-462.08825587607 -184.357358736506 825.265202293653</t>
  </si>
  <si>
    <t>9763-20170724T104506.550004300.bin</t>
  </si>
  <si>
    <t>-657.298242349478 106.636201913947 -541.2867568498</t>
  </si>
  <si>
    <t>-595.095912795834 163.772989338782 -259.404842268552</t>
  </si>
  <si>
    <t>-363.229828712945 228.437318409609 -249.035488953692</t>
  </si>
  <si>
    <t>-639.467606113829 49.7092550720022 -102.439973310841</t>
  </si>
  <si>
    <t>-661.862526900495 74.1825263512226 299.746785155912</t>
  </si>
  <si>
    <t>-711.391364320958 104.280974838435 743.857337128198</t>
  </si>
  <si>
    <t>-567.426745084264 128.791491175529 805.182034600307</t>
  </si>
  <si>
    <t>-571.417348224615 -143.338547359941 305.738684577807</t>
  </si>
  <si>
    <t>-597.751283629659 -146.512518769216 752.817744178524</t>
  </si>
  <si>
    <t>-462.022648000524 -184.165541749155 825.25601449137</t>
  </si>
  <si>
    <t>9763-20170724T104506.584099900.bin</t>
  </si>
  <si>
    <t>-657.551199568579 106.790834140954 -541.284258615655</t>
  </si>
  <si>
    <t>-594.948805220734 164.05201992585 -259.516127606665</t>
  </si>
  <si>
    <t>-363.116405716241 228.89355066985 -249.508402673402</t>
  </si>
  <si>
    <t>-639.519968669336 49.8277389244711 -102.468465755846</t>
  </si>
  <si>
    <t>-661.971404460143 74.2819839671968 299.716272345401</t>
  </si>
  <si>
    <t>-711.433304624442 104.391259023635 743.831047935796</t>
  </si>
  <si>
    <t>-567.440724081192 128.719216805118 805.162947734974</t>
  </si>
  <si>
    <t>-571.451162300676 -143.240606302766 305.742484595613</t>
  </si>
  <si>
    <t>-597.751456333977 -146.528578863895 752.820051356206</t>
  </si>
  <si>
    <t>-462.092568521128 -184.423598086492 825.262636423911</t>
  </si>
  <si>
    <t>9763-20170724T104506.652281200.bin</t>
  </si>
  <si>
    <t>-657.996044975475 106.867230483896 -541.286096624699</t>
  </si>
  <si>
    <t>-594.363524399215 164.155439998684 -259.754142321717</t>
  </si>
  <si>
    <t>-362.505318686603 228.933951740501 -249.936749839851</t>
  </si>
  <si>
    <t>-639.636631008718 49.8989223187934 -102.531616129407</t>
  </si>
  <si>
    <t>-662.11273763042 74.3948099565014 299.649240918842</t>
  </si>
  <si>
    <t>-711.448822218649 104.475115019178 743.783511297452</t>
  </si>
  <si>
    <t>-567.472722040016 128.871203844294 805.126820573951</t>
  </si>
  <si>
    <t>-571.38156790361 -143.209165345468 305.730610389379</t>
  </si>
  <si>
    <t>-597.746071452793 -146.605210013017 752.819397215922</t>
  </si>
  <si>
    <t>-462.042079850046 -184.353551498719 825.254106987303</t>
  </si>
  <si>
    <t>9763-20170724T104506.687375100.bin</t>
  </si>
  <si>
    <t>-658.063508295291 106.785447347746 -541.295549253139</t>
  </si>
  <si>
    <t>-594.181366391878 164.149995032888 -259.835882406739</t>
  </si>
  <si>
    <t>-362.305328472106 228.856470587779 -249.965427471542</t>
  </si>
  <si>
    <t>-639.658959872173 49.8553875326284 -102.550482829782</t>
  </si>
  <si>
    <t>-662.091609466707 74.3585748472226 299.632342955734</t>
  </si>
  <si>
    <t>-711.426103428352 104.450796111818 743.770573738972</t>
  </si>
  <si>
    <t>-567.475555621734 128.993466998843 805.115412737039</t>
  </si>
  <si>
    <t>-571.384917146947 -143.200935095551 305.722706907508</t>
  </si>
  <si>
    <t>-597.741859741158 -146.505213617214 752.814105657412</t>
  </si>
  <si>
    <t>-462.042206614965 -184.270839121983 825.247918974905</t>
  </si>
  <si>
    <t>9763-20170724T104506.751141400.bin</t>
  </si>
  <si>
    <t>-658.156378033095 106.704922222806 -541.351673300001</t>
  </si>
  <si>
    <t>-593.968231702189 164.156958470227 -259.979365302874</t>
  </si>
  <si>
    <t>-362.055198125961 228.715496520114 -250.009824128751</t>
  </si>
  <si>
    <t>-639.618595323572 49.8095228247034 -102.581563260498</t>
  </si>
  <si>
    <t>-662.01420221729 74.317193383572 299.60303542545</t>
  </si>
  <si>
    <t>-711.409474978084 104.42978768384 743.743877705456</t>
  </si>
  <si>
    <t>-567.466237989189 128.999625003544 805.095162568426</t>
  </si>
  <si>
    <t>-571.312736073067 -143.231374003406 305.721660889693</t>
  </si>
  <si>
    <t>-597.734973122157 -146.505559537269 752.810299667642</t>
  </si>
  <si>
    <t>-462.06929900353 -184.390386697965 825.245520376839</t>
  </si>
  <si>
    <t>9763-20170724T104506.784233400.bin</t>
  </si>
  <si>
    <t>-658.285661166681 106.718683476029 -541.376326522838</t>
  </si>
  <si>
    <t>-593.952328191386 164.237309374209 -260.050792727525</t>
  </si>
  <si>
    <t>-362.025593844513 228.739962970111 -250.034914638308</t>
  </si>
  <si>
    <t>-639.60850828091 49.8682733770204 -102.593307721882</t>
  </si>
  <si>
    <t>-662.029844518917 74.3778523884882 299.58982197959</t>
  </si>
  <si>
    <t>-711.442270214418 104.493222418908 743.731195863966</t>
  </si>
  <si>
    <t>-567.47451043538 128.913656616884 805.084576194448</t>
  </si>
  <si>
    <t>-571.303836244861 -143.235272824729 305.72865377484</t>
  </si>
  <si>
    <t>-597.731861795657 -146.538106048957 752.812657836976</t>
  </si>
  <si>
    <t>-462.04259273951 -184.342705091866 825.245492623895</t>
  </si>
  <si>
    <t>9763-20170724T104506.854436400.bin</t>
  </si>
  <si>
    <t>-658.455766801901 106.572834315184 -541.421070544832</t>
  </si>
  <si>
    <t>-593.911408458564 164.267872913921 -260.179914912052</t>
  </si>
  <si>
    <t>-361.955349716207 228.65018234857 -250.070976478764</t>
  </si>
  <si>
    <t>-639.561254000017 49.8487001128278 -102.613052613202</t>
  </si>
  <si>
    <t>-661.980021545118 74.3512825796668 299.570585766924</t>
  </si>
  <si>
    <t>-711.435326457714 104.469959525142 743.704801638273</t>
  </si>
  <si>
    <t>-567.459680490922 128.843956672158 805.058070223757</t>
  </si>
  <si>
    <t>-571.2682118153 -143.355710673766 305.74226178565</t>
  </si>
  <si>
    <t>-597.721658679314 -146.719061552713 752.81944500513</t>
  </si>
  <si>
    <t>-461.900911942136 -184.078647465685 825.236890610107</t>
  </si>
  <si>
    <t>9763-20170724T104506.881507200.bin</t>
  </si>
  <si>
    <t>-658.57778444935 106.468281909785 -541.458606351421</t>
  </si>
  <si>
    <t>-593.938740017669 164.219343674449 -260.250717325658</t>
  </si>
  <si>
    <t>-361.957350230336 228.492696586503 -250.031018558916</t>
  </si>
  <si>
    <t>-639.570146362381 49.7943199588835 -102.62583172919</t>
  </si>
  <si>
    <t>-661.961701080196 74.3060689932854 299.558831251994</t>
  </si>
  <si>
    <t>-711.411931603199 104.416390593271 743.699679202918</t>
  </si>
  <si>
    <t>-567.462557565748 128.972692201942 805.041737018277</t>
  </si>
  <si>
    <t>-571.228619808676 -143.339402434123 305.747505639288</t>
  </si>
  <si>
    <t>-597.715112911597 -146.698560777895 752.818761628551</t>
  </si>
  <si>
    <t>-461.955817662598 -184.267625193025 825.243065517454</t>
  </si>
  <si>
    <t>9763-20170724T104506.951030900.bin</t>
  </si>
  <si>
    <t>-658.942834712414 106.257410181496 -541.518776506377</t>
  </si>
  <si>
    <t>-594.670389229426 164.116994340477 -260.24941078879</t>
  </si>
  <si>
    <t>-362.620814934246 228.12070746655 -249.885492447371</t>
  </si>
  <si>
    <t>-639.523607019409 49.6150060005498 -102.616665968898</t>
  </si>
  <si>
    <t>-661.841983090493 74.1189078403318 299.572473681167</t>
  </si>
  <si>
    <t>-711.402723791983 104.347952814282 743.70960376649</t>
  </si>
  <si>
    <t>-567.441573793948 128.906743405463 805.023290035019</t>
  </si>
  <si>
    <t>-571.137653908774 -143.392282777473 305.7494666976</t>
  </si>
  <si>
    <t>-597.712513878564 -146.794281517141 752.824291185047</t>
  </si>
  <si>
    <t>-461.904764784984 -184.194020643392 825.245347540369</t>
  </si>
  <si>
    <t>9763-20170724T104506.987147800.bin</t>
  </si>
  <si>
    <t>-659.307839195989 106.289811726896 -541.545178221858</t>
  </si>
  <si>
    <t>-595.588536377413 164.101923175159 -260.140108581561</t>
  </si>
  <si>
    <t>-363.516739891935 228.023496566031 -249.767264113331</t>
  </si>
  <si>
    <t>-639.614288729466 49.624694791052 -102.594795770232</t>
  </si>
  <si>
    <t>-661.848841662138 74.0817894418435 299.601843326412</t>
  </si>
  <si>
    <t>-711.442775756958 104.394703572811 743.722668104976</t>
  </si>
  <si>
    <t>-567.459322737169 128.85564647316 805.022843810297</t>
  </si>
  <si>
    <t>-570.990088123269 -143.389868884423 305.765510976373</t>
  </si>
  <si>
    <t>-597.716322576059 -146.732674967045 752.826013029109</t>
  </si>
  <si>
    <t>-461.940730004985 -184.257535227724 825.242675724168</t>
  </si>
  <si>
    <t>9763-20170724T104507.052315700.bin</t>
  </si>
  <si>
    <t>-660.408293635297 106.006876016623 -541.558221124063</t>
  </si>
  <si>
    <t>-598.77012421155 163.652856782614 -259.656072719511</t>
  </si>
  <si>
    <t>-366.576397562694 227.146119939683 -249.382597316718</t>
  </si>
  <si>
    <t>-639.877887393141 49.3787607068907 -102.536084692972</t>
  </si>
  <si>
    <t>-662.027577267974 73.9785302403229 299.656549692418</t>
  </si>
  <si>
    <t>-711.399459955871 104.302863244927 743.750070242852</t>
  </si>
  <si>
    <t>-567.44564594318 128.971160113983 805.037044599143</t>
  </si>
  <si>
    <t>-570.932253590596 -143.470347324586 305.757574065998</t>
  </si>
  <si>
    <t>-597.708213970174 -146.752754069702 752.803257447967</t>
  </si>
  <si>
    <t>-461.944922389068 -184.310947823828 825.225705417027</t>
  </si>
  <si>
    <t>9763-20170724T104507.085403900.bin</t>
  </si>
  <si>
    <t>-661.012586861272 105.914204115455 -541.573085997546</t>
  </si>
  <si>
    <t>-601.136189462633 163.284097561721 -259.235116083296</t>
  </si>
  <si>
    <t>-368.908318600401 226.640644896488 -248.889608606096</t>
  </si>
  <si>
    <t>-640.165717312245 49.3814855502285 -102.53427985903</t>
  </si>
  <si>
    <t>-662.212905322954 74.0300934889169 299.660972563934</t>
  </si>
  <si>
    <t>-711.462419091745 104.446273284664 743.758016822044</t>
  </si>
  <si>
    <t>-567.453783754971 128.775296973624 805.051804717335</t>
  </si>
  <si>
    <t>-570.979910529388 -143.473410158093 305.741231276604</t>
  </si>
  <si>
    <t>-597.69163330243 -146.772947398003 752.787119492281</t>
  </si>
  <si>
    <t>-461.858918755771 -184.072518201439 825.213000391728</t>
  </si>
  <si>
    <t>9763-20170724T104507.150591900.bin</t>
  </si>
  <si>
    <t>-662.307511119969 105.788755965709 -541.557764579963</t>
  </si>
  <si>
    <t>-606.141661312056 162.063856377752 -258.238567614509</t>
  </si>
  <si>
    <t>-373.958137887422 225.5396268617 -247.632708985626</t>
  </si>
  <si>
    <t>-640.542222886544 49.3138294651815 -102.536455367475</t>
  </si>
  <si>
    <t>-662.403277999893 73.9956878884523 299.666937309441</t>
  </si>
  <si>
    <t>-711.45907997942 104.45445173044 743.784694891073</t>
  </si>
  <si>
    <t>-567.466956307875 128.886802444848 805.076151669862</t>
  </si>
  <si>
    <t>-571.038289667215 -143.271992883801 305.691497673764</t>
  </si>
  <si>
    <t>-597.675700378686 -146.671578530779 752.764905676689</t>
  </si>
  <si>
    <t>-462.079262180672 -184.73137431339 825.238066771328</t>
  </si>
  <si>
    <t>9763-20170724T104507.184682200.bin</t>
  </si>
  <si>
    <t>-662.907518554374 105.857618823395 -541.507812455967</t>
  </si>
  <si>
    <t>-608.551871967596 161.162628626707 -257.645089457871</t>
  </si>
  <si>
    <t>-376.398389178585 224.76343206657 -247.130914435773</t>
  </si>
  <si>
    <t>-640.676444735109 49.3440216794354 -102.532930015934</t>
  </si>
  <si>
    <t>-662.466081212475 74.0469637154195 299.673072752555</t>
  </si>
  <si>
    <t>-711.434237741566 104.402769682838 743.797459356879</t>
  </si>
  <si>
    <t>-567.466102965296 128.98956004079 805.08350998612</t>
  </si>
  <si>
    <t>-571.051642688199 -143.089340376808 305.672110484575</t>
  </si>
  <si>
    <t>-597.660008771438 -146.387233012237 752.750863906697</t>
  </si>
  <si>
    <t>-462.202879641462 -184.89826205996 825.246109099306</t>
  </si>
  <si>
    <t>9763-20170724T104507.253398100.bin</t>
  </si>
  <si>
    <t>-663.993463958724 105.68531588233 -541.384043521747</t>
  </si>
  <si>
    <t>-612.604755591986 159.452798787346 -256.674517727958</t>
  </si>
  <si>
    <t>-380.497587450444 223.228026252976 -246.193894265892</t>
  </si>
  <si>
    <t>-640.978446517142 49.402652328045 -102.557469537697</t>
  </si>
  <si>
    <t>-662.683486816529 74.0929138786914 299.653828564546</t>
  </si>
  <si>
    <t>-711.419180248804 104.364505660978 743.802296386984</t>
  </si>
  <si>
    <t>-567.441539392132 128.912230480032 805.081439112312</t>
  </si>
  <si>
    <t>-571.120639456481 -143.182726007885 305.676129155721</t>
  </si>
  <si>
    <t>-597.648141811155 -146.753083485315 752.761709541531</t>
  </si>
  <si>
    <t>-461.965921099284 -184.510369953579 825.232647672941</t>
  </si>
  <si>
    <t>9763-20170724T104507.285488100.bin</t>
  </si>
  <si>
    <t>-664.295688844801 105.587581933854 -541.356679756735</t>
  </si>
  <si>
    <t>-614.218963666047 158.809538136784 -256.311252181543</t>
  </si>
  <si>
    <t>-382.106630205249 222.575729035834 -245.890090830411</t>
  </si>
  <si>
    <t>-641.036847744846 49.4597178408389 -102.570445148336</t>
  </si>
  <si>
    <t>-662.784756935686 74.1481591936983 299.638668808963</t>
  </si>
  <si>
    <t>-711.4715312274 104.451753752999 743.804225547639</t>
  </si>
  <si>
    <t>-567.470920767866 128.876435736993 805.078647078973</t>
  </si>
  <si>
    <t>-571.120273966304 -143.263437985404 305.672160955888</t>
  </si>
  <si>
    <t>-597.63943224822 -146.896262648055 752.764037622741</t>
  </si>
  <si>
    <t>-461.798524823586 -184.117441466477 825.214890465648</t>
  </si>
  <si>
    <t>9763-20170724T104507.350175000.bin</t>
  </si>
  <si>
    <t>-664.27917923899 105.66862994854 -541.414461088057</t>
  </si>
  <si>
    <t>-616.908430893183 158.230120182674 -255.784293644305</t>
  </si>
  <si>
    <t>-384.75305638817 221.828894935842 -245.300924850789</t>
  </si>
  <si>
    <t>-641.002535487377 49.8374624351811 -102.598643041572</t>
  </si>
  <si>
    <t>-662.844593561259 74.3874164549015 299.6138426013</t>
  </si>
  <si>
    <t>-711.532894419546 104.554711052831 743.792760738299</t>
  </si>
  <si>
    <t>-567.475589313813 128.638976131655 805.068738844583</t>
  </si>
  <si>
    <t>-570.935586307419 -142.927225024303 305.665380495489</t>
  </si>
  <si>
    <t>-597.610097664363 -146.572834833987 752.747992324046</t>
  </si>
  <si>
    <t>-461.966674981898 -184.440904092198 825.233484823315</t>
  </si>
  <si>
    <t>9763-20170724T104507.384265000.bin</t>
  </si>
  <si>
    <t>-663.976363900987 105.782901828026 -541.458865849937</t>
  </si>
  <si>
    <t>-618.114623190711 158.117400340583 -255.541094533649</t>
  </si>
  <si>
    <t>-385.942506038183 221.648205621105 -245.013765898119</t>
  </si>
  <si>
    <t>-640.856183033659 50.0100495850418 -102.606015293875</t>
  </si>
  <si>
    <t>-662.739552437385 74.4790157232051 299.609218965852</t>
  </si>
  <si>
    <t>-711.567337779536 104.612276234139 743.783433576263</t>
  </si>
  <si>
    <t>-567.497643809781 128.617823503466 805.061114277414</t>
  </si>
  <si>
    <t>-570.796933271734 -142.809000246842 305.663880725997</t>
  </si>
  <si>
    <t>-597.590586652535 -146.500807236474 752.734548267664</t>
  </si>
  <si>
    <t>-462.023037455135 -184.601877707967 825.240027349284</t>
  </si>
  <si>
    <t>9763-20170724T104507.454001000.bin</t>
  </si>
  <si>
    <t>-662.990570165292 105.973112722954 -541.517626561626</t>
  </si>
  <si>
    <t>-620.415661542199 157.685388208417 -254.978769267515</t>
  </si>
  <si>
    <t>-388.27501979139 221.317082192773 -244.367276908076</t>
  </si>
  <si>
    <t>-640.367686727971 50.3545183418282 -102.605591402919</t>
  </si>
  <si>
    <t>-662.508259842885 74.6595139281203 299.605466622433</t>
  </si>
  <si>
    <t>-711.629392280107 104.711674369578 743.761014778804</t>
  </si>
  <si>
    <t>-567.513254532346 128.415634666673 805.046951191056</t>
  </si>
  <si>
    <t>-570.410392734614 -142.716523207646 305.66491638195</t>
  </si>
  <si>
    <t>-597.550031209609 -146.538656409911 752.711558535902</t>
  </si>
  <si>
    <t>-461.978132991416 -184.575043918764 825.24280690424</t>
  </si>
  <si>
    <t>9763-20170724T104507.487084600.bin</t>
  </si>
  <si>
    <t>-662.494535777645 106.081510386668 -541.560086792478</t>
  </si>
  <si>
    <t>-622.133830344045 157.277144420652 -254.608444768906</t>
  </si>
  <si>
    <t>-389.97445649353 220.822816210295 -243.892141703377</t>
  </si>
  <si>
    <t>-640.146303878011 50.5603566592395 -102.60460665585</t>
  </si>
  <si>
    <t>-662.388159201181 74.7394200354065 299.608421820133</t>
  </si>
  <si>
    <t>-711.626203952649 104.699319430256 743.757722819045</t>
  </si>
  <si>
    <t>-567.516704822941 128.429065573478 805.049122589124</t>
  </si>
  <si>
    <t>-570.170870659292 -142.594839179796 305.662067901618</t>
  </si>
  <si>
    <t>-597.531476435746 -146.403801645331 752.689749089164</t>
  </si>
  <si>
    <t>-462.007039536203 -184.57014377723 825.241391177942</t>
  </si>
  <si>
    <t>9763-20170724T104507.552282900.bin</t>
  </si>
  <si>
    <t>-661.921634281872 106.334321691995 -541.577235667391</t>
  </si>
  <si>
    <t>-626.490926519714 156.36813662161 -253.77092898914</t>
  </si>
  <si>
    <t>-394.315335448223 219.844410097361 -242.994973652377</t>
  </si>
  <si>
    <t>-639.816703958686 50.9213949542439 -102.607037896089</t>
  </si>
  <si>
    <t>-662.351322943757 74.9789209443047 299.59701158362</t>
  </si>
  <si>
    <t>-711.641727606689 104.744078001101 743.733912360373</t>
  </si>
  <si>
    <t>-567.540314213085 128.453276875425 805.052231583834</t>
  </si>
  <si>
    <t>-569.56245474115 -142.285686729156 305.650977515311</t>
  </si>
  <si>
    <t>-597.482103424215 -146.14870724988 752.639811955776</t>
  </si>
  <si>
    <t>-462.118131128607 -184.78439326378 825.242679884123</t>
  </si>
  <si>
    <t>9763-20170724T104507.585370700.bin</t>
  </si>
  <si>
    <t>-661.863826938461 106.38299899659 -541.492473485299</t>
  </si>
  <si>
    <t>-628.859951836913 155.805105869875 -253.292221882213</t>
  </si>
  <si>
    <t>-396.667442759562 219.211758888326 -242.469828903533</t>
  </si>
  <si>
    <t>-639.692545930795 50.9968551035847 -102.607903553803</t>
  </si>
  <si>
    <t>-662.232001972248 75.0016622910578 299.599068100881</t>
  </si>
  <si>
    <t>-711.629835452014 104.745641082913 743.727158694718</t>
  </si>
  <si>
    <t>-567.549831480986 128.564018402106 805.053690311392</t>
  </si>
  <si>
    <t>-569.206318398532 -142.199213833763 305.65053415811</t>
  </si>
  <si>
    <t>-597.466880497281 -146.072060990363 752.61985301933</t>
  </si>
  <si>
    <t>-462.114384603679 -184.730257698959 825.232126815374</t>
  </si>
  <si>
    <t>9763-20170724T104507.651676200.bin</t>
  </si>
  <si>
    <t>-662.130692403579 106.087458224238 -541.227539445601</t>
  </si>
  <si>
    <t>-633.253368587281 154.298505685222 -252.379834922678</t>
  </si>
  <si>
    <t>-400.992973961191 217.49023176782 -241.759464996077</t>
  </si>
  <si>
    <t>-639.43876738888 50.8640455490427 -102.611329770079</t>
  </si>
  <si>
    <t>-661.926364617899 74.8457632005886 299.599830537223</t>
  </si>
  <si>
    <t>-711.589838002111 104.681018791463 743.697816634877</t>
  </si>
  <si>
    <t>-567.497495957346 128.353907358754 805.051737062897</t>
  </si>
  <si>
    <t>-568.616810249938 -142.381403315646 305.661384965231</t>
  </si>
  <si>
    <t>-597.445883228727 -146.494739098871 752.594585652626</t>
  </si>
  <si>
    <t>-461.772987089992 -184.050148292937 825.187581199973</t>
  </si>
  <si>
    <t>9763-20170724T104507.683762200.bin</t>
  </si>
  <si>
    <t>-662.569428158689 106.012209532818 -541.067297806735</t>
  </si>
  <si>
    <t>-635.140497209219 153.826771707343 -252.012686374189</t>
  </si>
  <si>
    <t>-402.823626581392 216.833698604797 -241.531264285202</t>
  </si>
  <si>
    <t>-639.340445559552 50.7534596404621 -102.598992348473</t>
  </si>
  <si>
    <t>-661.807912118776 74.7558071388976 299.61212164423</t>
  </si>
  <si>
    <t>-711.596537830303 104.698737339417 743.688347699189</t>
  </si>
  <si>
    <t>-567.509997318297 128.394931174537 805.046838796578</t>
  </si>
  <si>
    <t>-568.264230256126 -142.160495044501 305.637624120218</t>
  </si>
  <si>
    <t>-597.425775207982 -146.293388443928 752.571342982464</t>
  </si>
  <si>
    <t>-461.907890028741 -184.352921953456 825.191444915447</t>
  </si>
  <si>
    <t>9763-20170724T104507.752449600.bin</t>
  </si>
  <si>
    <t>-663.488276436477 105.720445671032 -540.761469081048</t>
  </si>
  <si>
    <t>-638.815830304726 152.922088984478 -251.35793417812</t>
  </si>
  <si>
    <t>-406.250145637176 215.016586767441 -240.94955830181</t>
  </si>
  <si>
    <t>-639.275154954057 50.495077158733 -102.568147313076</t>
  </si>
  <si>
    <t>-661.736298357947 74.4846320476202 299.644035478006</t>
  </si>
  <si>
    <t>-711.545301415959 104.583572023419 743.687604820894</t>
  </si>
  <si>
    <t>-567.505427033701 128.541940076477 805.053697139607</t>
  </si>
  <si>
    <t>-567.634198567411 -142.202731143207 305.651523048154</t>
  </si>
  <si>
    <t>-597.401282785611 -146.467302328139 752.545668935069</t>
  </si>
  <si>
    <t>-461.850557048199 -184.394558947104 825.173555010156</t>
  </si>
  <si>
    <t>9763-20170724T104507.785537800.bin</t>
  </si>
  <si>
    <t>-663.885565358918 105.538903027272 -540.630503935883</t>
  </si>
  <si>
    <t>-640.681647615327 152.33624717622 -251.039816400144</t>
  </si>
  <si>
    <t>-408.004086487592 214.048627055586 -240.859020893465</t>
  </si>
  <si>
    <t>-639.225776906192 50.3844049929473 -102.561550619359</t>
  </si>
  <si>
    <t>-661.758547840565 74.37958441412 299.646338834826</t>
  </si>
  <si>
    <t>-711.562080863016 104.596308058476 743.686246048652</t>
  </si>
  <si>
    <t>-567.536944453134 128.647725368493 805.050574174611</t>
  </si>
  <si>
    <t>-567.428604707793 -142.359783117988 305.65855847278</t>
  </si>
  <si>
    <t>-597.38839192501 -146.633840183389 752.542525907691</t>
  </si>
  <si>
    <t>-461.686872557497 -184.052074430149 825.15286351911</t>
  </si>
  <si>
    <t>9763-20170724T104507.851565700.bin</t>
  </si>
  <si>
    <t>-664.272881543066 105.649157328075 -540.398391620052</t>
  </si>
  <si>
    <t>-643.655285056107 151.358642881291 -250.438470484443</t>
  </si>
  <si>
    <t>-410.812883153441 212.645092748259 -241.536061381578</t>
  </si>
  <si>
    <t>-638.947367869856 50.2904978046765 -102.563549378089</t>
  </si>
  <si>
    <t>-661.635805827111 74.2945731348721 299.634961650575</t>
  </si>
  <si>
    <t>-711.58578725625 104.627589193097 743.659499639208</t>
  </si>
  <si>
    <t>-567.561745395158 128.654299964526 805.036183271165</t>
  </si>
  <si>
    <t>-567.001354961063 -142.333023879819 305.667473377594</t>
  </si>
  <si>
    <t>-597.347263961544 -146.564267296199 752.517878846647</t>
  </si>
  <si>
    <t>-461.712384729045 -184.174563279336 825.153671581011</t>
  </si>
  <si>
    <t>9763-20170724T104507.886659600.bin</t>
  </si>
  <si>
    <t>-664.1415729633 105.686523451837 -540.315555079035</t>
  </si>
  <si>
    <t>-645.047248890225 150.865354904341 -250.168248880953</t>
  </si>
  <si>
    <t>-412.098177941322 211.845164317453 -241.979651235272</t>
  </si>
  <si>
    <t>-638.684825285438 50.1891643200261 -102.552044500254</t>
  </si>
  <si>
    <t>-661.413800143172 74.2304010108858 299.642027460453</t>
  </si>
  <si>
    <t>-711.585649809331 104.613497243201 743.643107669618</t>
  </si>
  <si>
    <t>-567.537830382617 128.476917553847 805.027620164349</t>
  </si>
  <si>
    <t>-566.828435315242 -142.326721426147 305.66017764919</t>
  </si>
  <si>
    <t>-597.327650020664 -146.450638690572 752.505141430114</t>
  </si>
  <si>
    <t>-461.674891515868 -183.984726309039 825.146898594767</t>
  </si>
  <si>
    <t>9763-20170724T104507.952843000.bin</t>
  </si>
  <si>
    <t>-663.89315144288 105.813729202083 -540.196240532473</t>
  </si>
  <si>
    <t>-648.289943657941 150.280704800612 -249.730450523733</t>
  </si>
  <si>
    <t>-414.931922984672 209.790840480639 -242.420251032678</t>
  </si>
  <si>
    <t>-638.366763069688 50.0628428402028 -102.526535868436</t>
  </si>
  <si>
    <t>-661.18278990452 74.0327746479413 299.66688155219</t>
  </si>
  <si>
    <t>-711.609281096419 104.588933327094 743.639516000948</t>
  </si>
  <si>
    <t>-567.574757047644 128.55061434595 805.016863427526</t>
  </si>
  <si>
    <t>-566.637254075405 -142.469307456999 305.673289327077</t>
  </si>
  <si>
    <t>-597.304726987804 -146.4432205823 752.501433183005</t>
  </si>
  <si>
    <t>-461.71780646749 -184.199878545478 825.150702870071</t>
  </si>
  <si>
    <t>9763-20170724T104507.983940700.bin</t>
  </si>
  <si>
    <t>-663.800055804447 105.971022263342 -540.146885700255</t>
  </si>
  <si>
    <t>-650.203868124934 150.051239972463 -249.52112861647</t>
  </si>
  <si>
    <t>-416.612826521811 208.673635512368 -242.485014206496</t>
  </si>
  <si>
    <t>-638.227528937079 50.0760552657157 -102.504904834331</t>
  </si>
  <si>
    <t>-661.114149206068 73.9606163121055 299.689520131011</t>
  </si>
  <si>
    <t>-711.596939406037 104.518480763154 743.649349699069</t>
  </si>
  <si>
    <t>-567.581918937534 128.631144047668 805.013376147158</t>
  </si>
  <si>
    <t>-566.632984933189 -142.510689948221 305.669935140624</t>
  </si>
  <si>
    <t>-597.292602797331 -146.418292306683 752.498820260759</t>
  </si>
  <si>
    <t>-461.766691382314 -184.38195765056 825.153978998542</t>
  </si>
  <si>
    <t>9763-20170724T104508.048930200.bin</t>
  </si>
  <si>
    <t>-663.449422728557 106.335717799928 -540.04622609679</t>
  </si>
  <si>
    <t>-654.588453936748 149.11832142078 -249.044091340368</t>
  </si>
  <si>
    <t>-420.589988443405 206.200898798986 -242.947654866292</t>
  </si>
  <si>
    <t>-638.139805206209 50.1041929886494 -102.481593896206</t>
  </si>
  <si>
    <t>-661.242258467549 73.9379545170991 299.703591216441</t>
  </si>
  <si>
    <t>-711.704486147588 104.639372714488 743.661267258667</t>
  </si>
  <si>
    <t>-567.642035606502 128.511950859796 805.007859870936</t>
  </si>
  <si>
    <t>-566.719831759411 -142.631689686376 305.682093803254</t>
  </si>
  <si>
    <t>-597.283418387149 -146.340182125148 752.508413519897</t>
  </si>
  <si>
    <t>-461.715753938069 -184.200497538645 825.139714865028</t>
  </si>
  <si>
    <t>9763-20170724T104508.085024800.bin</t>
  </si>
  <si>
    <t>-663.290602098509 106.448713221144 -540.000163535281</t>
  </si>
  <si>
    <t>-656.843039207007 148.34124403388 -248.80485458477</t>
  </si>
  <si>
    <t>-422.676153926736 204.791188964715 -243.31404129662</t>
  </si>
  <si>
    <t>-638.184718795952 50.0071469034817 -102.483886633999</t>
  </si>
  <si>
    <t>-661.347049033486 73.8679105560602 299.696194855209</t>
  </si>
  <si>
    <t>-711.688132558335 104.5797469168 743.662632509344</t>
  </si>
  <si>
    <t>-567.632849573316 128.504277991535 805.005798028395</t>
  </si>
  <si>
    <t>-566.711035599197 -142.665416109767 305.678150167737</t>
  </si>
  <si>
    <t>-597.277377827854 -146.33349413241 752.504434834925</t>
  </si>
  <si>
    <t>-461.700839203503 -184.163460839402 825.135005941004</t>
  </si>
  <si>
    <t>9763-20170724T104508.151226600.bin</t>
  </si>
  <si>
    <t>-663.183047618248 106.321029125093 -539.839647756255</t>
  </si>
  <si>
    <t>-661.158334631646 146.556298288626 -248.346459513476</t>
  </si>
  <si>
    <t>-426.500049376705 201.028593754868 -243.971452709611</t>
  </si>
  <si>
    <t>-638.377750976104 49.4273761220636 -102.482109478016</t>
  </si>
  <si>
    <t>-661.638402259326 73.6121355390367 299.672971705915</t>
  </si>
  <si>
    <t>-711.702455031606 104.579879847472 743.647536356531</t>
  </si>
  <si>
    <t>-567.642967252316 128.448571251904 805.002524971099</t>
  </si>
  <si>
    <t>-566.715455288096 -142.891880422522 305.651516179782</t>
  </si>
  <si>
    <t>-597.267010366253 -146.236204299911 752.493190647382</t>
  </si>
  <si>
    <t>-461.676315294284 -184.035679620423 825.113162507818</t>
  </si>
  <si>
    <t>9763-20170724T104508.186309200.bin</t>
  </si>
  <si>
    <t>-663.090201892543 106.101424865497 -539.683460550027</t>
  </si>
  <si>
    <t>-663.266794354789 145.499487714129 -248.068967675779</t>
  </si>
  <si>
    <t>-428.319560235439 198.706877987593 -243.6400672401</t>
  </si>
  <si>
    <t>-638.43575745773 49.0741337619299 -102.478240216403</t>
  </si>
  <si>
    <t>-661.726606516292 73.394282506682 299.666893587353</t>
  </si>
  <si>
    <t>-711.689921804526 104.533557803714 743.645724524067</t>
  </si>
  <si>
    <t>-567.631711746005 128.406096961144 805.002225481162</t>
  </si>
  <si>
    <t>-566.743241162742 -143.03919884717 305.65889362168</t>
  </si>
  <si>
    <t>-597.266967238601 -146.264960440743 752.498312571949</t>
  </si>
  <si>
    <t>-461.719407156119 -184.220220493061 825.117546757632</t>
  </si>
  <si>
    <t>9763-20170724T104508.249115900.bin</t>
  </si>
  <si>
    <t>-663.129318496152 106.029558691364 -539.232300997132</t>
  </si>
  <si>
    <t>-667.342357985782 142.705202527645 -247.293254848668</t>
  </si>
  <si>
    <t>-432.127079083874 194.75682217848 -243.388356539719</t>
  </si>
  <si>
    <t>-638.561339109145 48.39280060549 -102.429178660051</t>
  </si>
  <si>
    <t>-661.859464143964 72.9869609599871 299.69889039537</t>
  </si>
  <si>
    <t>-711.682693676264 104.438656715275 743.67521837055</t>
  </si>
  <si>
    <t>-567.630191239953 128.401017567508 805.010226670967</t>
  </si>
  <si>
    <t>-566.719276771709 -143.629100960349 305.656634598895</t>
  </si>
  <si>
    <t>-597.261002861845 -146.657742864599 752.514420447768</t>
  </si>
  <si>
    <t>-461.500124646488 -183.909609947375 825.099308355692</t>
  </si>
  <si>
    <t>9763-20170724T104508.285220800.bin</t>
  </si>
  <si>
    <t>-663.151757972146 106.0432579373 -538.941182357901</t>
  </si>
  <si>
    <t>-669.099296289423 141.414992790455 -246.871576702117</t>
  </si>
  <si>
    <t>-433.829856108069 193.243313744138 -243.264418446486</t>
  </si>
  <si>
    <t>-638.546117330144 48.0600011515699 -102.39818848563</t>
  </si>
  <si>
    <t>-661.940162405858 72.8010408673711 299.71529031829</t>
  </si>
  <si>
    <t>-711.699521333261 104.413130681663 743.687028732965</t>
  </si>
  <si>
    <t>-567.625313027681 128.285776666875 805.006092262704</t>
  </si>
  <si>
    <t>-566.693626571136 -143.861256401329 305.676250754799</t>
  </si>
  <si>
    <t>-597.258913231795 -146.676108990606 752.528732077026</t>
  </si>
  <si>
    <t>-461.484999134455 -183.906445157143 825.100392109623</t>
  </si>
  <si>
    <t>9763-20170724T104508.349944400.bin</t>
  </si>
  <si>
    <t>-663.229200810138 105.56246735058 -538.519875894477</t>
  </si>
  <si>
    <t>-672.69970227772 139.801624026253 -246.408261669701</t>
  </si>
  <si>
    <t>-437.163111139935 190.437281077181 -243.340790299521</t>
  </si>
  <si>
    <t>-638.401104152768 47.1666972344929 -102.340883940626</t>
  </si>
  <si>
    <t>-662.027757566662 72.2614522000263 299.737082903409</t>
  </si>
  <si>
    <t>-711.670780558097 104.235922490202 743.689006509336</t>
  </si>
  <si>
    <t>-567.651038145023 128.551028507394 804.962024896002</t>
  </si>
  <si>
    <t>-566.692482372164 -144.383563874797 305.725065984317</t>
  </si>
  <si>
    <t>-597.250094715812 -146.720865565246 752.567125430968</t>
  </si>
  <si>
    <t>-461.427910226459 -183.824196117705 825.113406945591</t>
  </si>
  <si>
    <t>9763-20170724T104508.383031200.bin</t>
  </si>
  <si>
    <t>-663.290366068069 105.337184006935 -538.431965943646</t>
  </si>
  <si>
    <t>-674.815818465773 139.46462252639 -246.381073894428</t>
  </si>
  <si>
    <t>-439.040670860762 188.984178803825 -243.421882381965</t>
  </si>
  <si>
    <t>-638.354324604372 46.8497447280531 -102.326594886165</t>
  </si>
  <si>
    <t>-662.042131633057 72.0530990037623 299.741022084655</t>
  </si>
  <si>
    <t>-711.7179903482 104.269178173935 743.684575229339</t>
  </si>
  <si>
    <t>-567.65721916292 128.367326232703 804.946924469991</t>
  </si>
  <si>
    <t>-566.596722609385 -144.513088562682 305.737588724807</t>
  </si>
  <si>
    <t>-597.237492115635 -146.547363815441 752.5722774512</t>
  </si>
  <si>
    <t>-461.504871179869 -183.960792972303 825.127027014565</t>
  </si>
  <si>
    <t>9763-20170724T104508.451728800.bin</t>
  </si>
  <si>
    <t>-663.763728944012 104.653494500174 -538.214241551264</t>
  </si>
  <si>
    <t>-679.228836304998 138.40294800935 -246.301631566117</t>
  </si>
  <si>
    <t>-443.081579656758 186.124546281356 -243.473440378712</t>
  </si>
  <si>
    <t>-638.144886098154 46.1134783832092 -102.261202141185</t>
  </si>
  <si>
    <t>-661.747232599963 71.539731680672 299.797376264062</t>
  </si>
  <si>
    <t>-711.788859932464 104.293844232264 743.675544766971</t>
  </si>
  <si>
    <t>-567.677279554364 128.161317580816 804.908612066037</t>
  </si>
  <si>
    <t>-566.392660765189 -144.887017356061 305.778623605429</t>
  </si>
  <si>
    <t>-597.219287224201 -146.483282136864 752.589236484935</t>
  </si>
  <si>
    <t>-461.495499706827 -183.940732283703 825.137687218995</t>
  </si>
  <si>
    <t>9763-20170724T104508.485810600.bin</t>
  </si>
  <si>
    <t>-664.061231064751 104.289402574295 -538.090492911139</t>
  </si>
  <si>
    <t>-681.406294267326 137.565660432579 -246.229175436638</t>
  </si>
  <si>
    <t>-445.120689434165 184.607174143355 -243.563812988839</t>
  </si>
  <si>
    <t>-637.972993332038 45.7025191695388 -102.230479495978</t>
  </si>
  <si>
    <t>-661.525571776882 71.2490023605937 299.823424812902</t>
  </si>
  <si>
    <t>-711.753283378322 104.16356937233 743.659658754255</t>
  </si>
  <si>
    <t>-567.695229639609 128.405233870913 804.871811648627</t>
  </si>
  <si>
    <t>-566.212087846511 -145.082582068841 305.792177479324</t>
  </si>
  <si>
    <t>-597.214228633651 -146.518929522913 752.598452092445</t>
  </si>
  <si>
    <t>-461.508474636214 -184.047315096293 825.144112044164</t>
  </si>
  <si>
    <t>9763-20170724T104508.549753500.bin</t>
  </si>
  <si>
    <t>-664.973221485648 103.785472575805 -537.795241379498</t>
  </si>
  <si>
    <t>-685.664036613664 135.906819199357 -246.022553661971</t>
  </si>
  <si>
    <t>-449.135761508539 181.727458705021 -243.632400154015</t>
  </si>
  <si>
    <t>-637.868352045726 45.2493354772002 -102.228998494043</t>
  </si>
  <si>
    <t>-661.373396594951 70.9746113015935 299.816192154381</t>
  </si>
  <si>
    <t>-711.866768993036 104.299634858903 743.595241097043</t>
  </si>
  <si>
    <t>-567.75314008088 128.220046698855 804.802840418071</t>
  </si>
  <si>
    <t>-565.845614781721 -145.349092205461 305.851917018844</t>
  </si>
  <si>
    <t>-597.206597024659 -146.598370173629 752.623812618911</t>
  </si>
  <si>
    <t>-461.444251284078 -183.978945126169 825.139815133932</t>
  </si>
  <si>
    <t>9763-20170724T104508.582840700.bin</t>
  </si>
  <si>
    <t>-665.387701373042 103.402793964171 -537.671716569345</t>
  </si>
  <si>
    <t>-687.606475358256 134.849285541844 -245.937904711197</t>
  </si>
  <si>
    <t>-450.943409217355 179.963841856375 -243.464114652659</t>
  </si>
  <si>
    <t>-637.800562312002 44.8656643561269 -102.244360128652</t>
  </si>
  <si>
    <t>-661.316486590103 70.7329373327343 299.791146438009</t>
  </si>
  <si>
    <t>-711.787876165598 104.100969185846 743.55805301099</t>
  </si>
  <si>
    <t>-567.742440578923 128.465615958525 804.750974454264</t>
  </si>
  <si>
    <t>-565.727704218144 -145.534001655477 305.880962460956</t>
  </si>
  <si>
    <t>-597.208458460187 -146.709593535614 752.643392779182</t>
  </si>
  <si>
    <t>-461.354184626132 -183.812519609972 825.129791182607</t>
  </si>
  <si>
    <t>9763-20170724T104508.624460100.bin</t>
  </si>
  <si>
    <t>-665.878266407422 103.037021975594 -537.57832389061</t>
  </si>
  <si>
    <t>-689.576944134888 133.665960605683 -245.874008254128</t>
  </si>
  <si>
    <t>-452.817428037926 178.268396294986 -243.344291017571</t>
  </si>
  <si>
    <t>-637.882342324217 44.6459490364962 -102.280979281709</t>
  </si>
  <si>
    <t>-661.396752148529 70.5617260521606 299.751518648731</t>
  </si>
  <si>
    <t>-711.798854099282 104.080481395241 743.516975167623</t>
  </si>
  <si>
    <t>-567.739031507853 128.367236782723 804.707076325759</t>
  </si>
  <si>
    <t>-565.675323475041 -145.617889884817 305.901034483072</t>
  </si>
  <si>
    <t>-597.207983040981 -146.750401836943 752.662562107597</t>
  </si>
  <si>
    <t>-461.318640218969 -183.774007375408 825.123771752222</t>
  </si>
  <si>
    <t>9763-20170724T104508.685123000.bin</t>
  </si>
  <si>
    <t>-666.863251729719 102.385919475446 -537.488668878994</t>
  </si>
  <si>
    <t>-693.006060617271 131.370106789381 -245.825085787306</t>
  </si>
  <si>
    <t>-456.103617771392 175.18127993786 -242.881391729828</t>
  </si>
  <si>
    <t>-638.084173746528 44.2706273932938 -102.368435075076</t>
  </si>
  <si>
    <t>-661.678012179255 70.3323777863404 299.64995700924</t>
  </si>
  <si>
    <t>-711.784873239276 104.028886222182 743.413052213187</t>
  </si>
  <si>
    <t>-567.74825064555 128.372204058252 804.635274318899</t>
  </si>
  <si>
    <t>-565.678777937396 -145.678712905496 305.900807297343</t>
  </si>
  <si>
    <t>-597.19026583557 -146.691822587137 752.666713669551</t>
  </si>
  <si>
    <t>-461.317193933266 -183.808554478016 825.110853569506</t>
  </si>
  <si>
    <t>9763-20170724T104508.751844500.bin</t>
  </si>
  <si>
    <t>-667.790131149126 101.60165672943 -537.557117727464</t>
  </si>
  <si>
    <t>-695.81589731453 129.174108039053 -245.931340557741</t>
  </si>
  <si>
    <t>-458.875997376073 172.741768574037 -242.432951086033</t>
  </si>
  <si>
    <t>-638.219862564327 43.8325467589621 -102.479151302801</t>
  </si>
  <si>
    <t>-661.742294909546 69.9954962793549 299.536902076635</t>
  </si>
  <si>
    <t>-711.687918579256 103.814668768859 743.309688283627</t>
  </si>
  <si>
    <t>-567.733680513986 128.576391518973 804.557857832958</t>
  </si>
  <si>
    <t>-565.848307551823 -145.752700261683 305.865773871439</t>
  </si>
  <si>
    <t>-597.160304087975 -146.664703407409 752.657582187365</t>
  </si>
  <si>
    <t>-461.229295560487 -183.562911616784 825.104733118487</t>
  </si>
  <si>
    <t>9763-20170724T104508.788948300.bin</t>
  </si>
  <si>
    <t>-668.288628222192 101.38388116164 -537.641168954398</t>
  </si>
  <si>
    <t>-697.166264010154 128.423138762601 -246.048727774698</t>
  </si>
  <si>
    <t>-460.207037899427 171.856345727439 -242.204157880016</t>
  </si>
  <si>
    <t>-638.340138569416 43.7564042666274 -102.531858892128</t>
  </si>
  <si>
    <t>-661.798317661373 69.9328815880599 299.48699504684</t>
  </si>
  <si>
    <t>-711.682644916047 103.793227857148 743.262162959719</t>
  </si>
  <si>
    <t>-567.735161337124 128.559943004388 804.524203486982</t>
  </si>
  <si>
    <t>-566.063902895976 -145.715168703454 305.831154938005</t>
  </si>
  <si>
    <t>-597.146051129322 -146.568925194402 752.657136165003</t>
  </si>
  <si>
    <t>-461.290394159946 -183.727675124546 825.112471014656</t>
  </si>
  <si>
    <t>9763-20170724T104508.854142300.bin</t>
  </si>
  <si>
    <t>-669.043023973554 101.133211098168 -537.849019426513</t>
  </si>
  <si>
    <t>-699.260648804122 127.699533281316 -246.348981860025</t>
  </si>
  <si>
    <t>-462.298832015959 171.029119296341 -241.60320826875</t>
  </si>
  <si>
    <t>-638.657997152395 43.837621803403 -102.646443247885</t>
  </si>
  <si>
    <t>-662.057983089093 70.0133441682658 299.375832769681</t>
  </si>
  <si>
    <t>-711.747219035673 103.870525424491 743.184466211102</t>
  </si>
  <si>
    <t>-567.772253823673 128.457269930317 804.454277373675</t>
  </si>
  <si>
    <t>-566.343632810882 -145.663915916809 305.806567107091</t>
  </si>
  <si>
    <t>-597.1183778287 -146.493319892391 752.665816164239</t>
  </si>
  <si>
    <t>-461.290658141462 -183.761993608668 825.117147644467</t>
  </si>
  <si>
    <t>9763-20170724T104508.882219100.bin</t>
  </si>
  <si>
    <t>-669.265256961024 101.026257884572 -537.944818518043</t>
  </si>
  <si>
    <t>-699.819290633541 127.433221445035 -246.465179138704</t>
  </si>
  <si>
    <t>-462.907723919316 170.958832970886 -241.04995000178</t>
  </si>
  <si>
    <t>-638.857461184363 43.8729831729036 -102.684993942717</t>
  </si>
  <si>
    <t>-662.095074583265 70.012997698243 299.349035629994</t>
  </si>
  <si>
    <t>-711.743965370356 103.830343811961 743.152741617666</t>
  </si>
  <si>
    <t>-567.77837453826 128.45033424181 804.431259051983</t>
  </si>
  <si>
    <t>-566.485146581803 -145.625395657691 305.795848754927</t>
  </si>
  <si>
    <t>-597.11302853391 -146.560298293783 752.679932996138</t>
  </si>
  <si>
    <t>-461.330168502279 -184.012082064945 825.120765648306</t>
  </si>
  <si>
    <t>9763-20170724T104508.954592700.bin</t>
  </si>
  <si>
    <t>-669.33945067162 100.632981427385 -538.18590680202</t>
  </si>
  <si>
    <t>-700.157558815167 127.23229813542 -246.751707864784</t>
  </si>
  <si>
    <t>-463.327748733628 171.041459095609 -240.175668846524</t>
  </si>
  <si>
    <t>-639.102773339648 43.8409261228592 -102.7626325296</t>
  </si>
  <si>
    <t>-662.052246132223 70.1113347724042 299.279466099773</t>
  </si>
  <si>
    <t>-711.798523457167 103.902781620098 743.088383266442</t>
  </si>
  <si>
    <t>-567.810702674311 128.334130173142 804.390255172186</t>
  </si>
  <si>
    <t>-566.57053579354 -145.690689455388 305.778006188747</t>
  </si>
  <si>
    <t>-597.080450953212 -146.677511201777 752.668888149366</t>
  </si>
  <si>
    <t>-461.103152378831 -183.463814241225 825.086056513966</t>
  </si>
  <si>
    <t>9763-20170724T104508.983666700.bin</t>
  </si>
  <si>
    <t>-669.369988869895 100.5681225861 -538.340503525753</t>
  </si>
  <si>
    <t>-700.034543395737 127.203615685495 -246.89337083625</t>
  </si>
  <si>
    <t>-463.24562293258 171.135807133421 -239.692972401805</t>
  </si>
  <si>
    <t>-639.196333833259 43.9377597578748 -102.793860861527</t>
  </si>
  <si>
    <t>-661.990512118787 70.1385605571963 299.261677126811</t>
  </si>
  <si>
    <t>-711.749306254977 103.779527831997 743.06553397715</t>
  </si>
  <si>
    <t>-567.779549067365 128.300048179661 804.374137962902</t>
  </si>
  <si>
    <t>-566.600168028262 -145.616375030531 305.753463197956</t>
  </si>
  <si>
    <t>-597.063080434177 -146.681612893984 752.659469723441</t>
  </si>
  <si>
    <t>-461.141599017953 -183.650633393114 825.088270349868</t>
  </si>
  <si>
    <t>9763-20170724T104509.051558600.bin</t>
  </si>
  <si>
    <t>-669.457706355864 100.569787467731 -538.50987671801</t>
  </si>
  <si>
    <t>-699.1117123139 127.077726364671 -246.946491113341</t>
  </si>
  <si>
    <t>-462.323536065329 170.97444391043 -239.510124128137</t>
  </si>
  <si>
    <t>-639.240382818659 44.0544093785379 -102.821132851731</t>
  </si>
  <si>
    <t>-661.935069127258 70.2433773813236 299.240747635326</t>
  </si>
  <si>
    <t>-711.729616152972 103.697425584643 743.039962761939</t>
  </si>
  <si>
    <t>-567.767556690507 128.247195807315 804.355013452285</t>
  </si>
  <si>
    <t>-566.928078215074 -145.514546819916 305.732562048192</t>
  </si>
  <si>
    <t>-597.022184639681 -146.732103944823 752.646421390315</t>
  </si>
  <si>
    <t>-461.020386897757 -183.401097685525 825.07708409421</t>
  </si>
  <si>
    <t>9763-20170724T104509.083645000.bin</t>
  </si>
  <si>
    <t>-669.577144307584 100.823069599721 -538.545730616719</t>
  </si>
  <si>
    <t>-698.642467052776 127.424381170579 -246.931641438479</t>
  </si>
  <si>
    <t>-461.778208426122 170.934494310024 -239.645864426107</t>
  </si>
  <si>
    <t>-639.414311901178 44.3014205242373 -102.855357240663</t>
  </si>
  <si>
    <t>-662.081299959107 70.4357750369493 299.211653701867</t>
  </si>
  <si>
    <t>-711.771679258937 103.760331149412 743.033383104445</t>
  </si>
  <si>
    <t>-567.817623179224 128.36814840426 804.343890596853</t>
  </si>
  <si>
    <t>-567.086757441842 -145.291242016756 305.716466327156</t>
  </si>
  <si>
    <t>-596.997745387259 -146.450586738838 752.630806644837</t>
  </si>
  <si>
    <t>-461.190031634252 -183.771134692697 825.09285477215</t>
  </si>
  <si>
    <t>9763-20170724T104509.149844000.bin</t>
  </si>
  <si>
    <t>-669.701671108698 101.109218615147 -538.721251210458</t>
  </si>
  <si>
    <t>-697.952123325238 128.264822419616 -247.078179872352</t>
  </si>
  <si>
    <t>-460.820284329452 170.19932862412 -239.277007726162</t>
  </si>
  <si>
    <t>-639.794959820125 44.6980526551433 -102.916189685636</t>
  </si>
  <si>
    <t>-662.172591545618 70.7225660626002 299.174181545057</t>
  </si>
  <si>
    <t>-711.814338770706 103.7837816206 743.040692857676</t>
  </si>
  <si>
    <t>-567.807748542403 128.100626450292 804.34406656814</t>
  </si>
  <si>
    <t>-567.614639937697 -145.160773374709 305.663794098536</t>
  </si>
  <si>
    <t>-596.968632841479 -146.632231726705 752.626587412929</t>
  </si>
  <si>
    <t>-461.076430398564 -183.646313442038 825.087395910865</t>
  </si>
  <si>
    <t>9763-20170724T104509.187944600.bin</t>
  </si>
  <si>
    <t>-669.642989599332 101.212575170655 -538.798033914464</t>
  </si>
  <si>
    <t>-697.769265153264 128.267836380729 -247.133759793606</t>
  </si>
  <si>
    <t>-460.541624652021 169.555095807444 -238.811372121336</t>
  </si>
  <si>
    <t>-639.849277609625 44.8056684512319 -102.931458384406</t>
  </si>
  <si>
    <t>-662.156630961528 70.8101933773166 299.164092706407</t>
  </si>
  <si>
    <t>-711.871589383062 103.865275467228 743.038412994632</t>
  </si>
  <si>
    <t>-567.83060267769 127.982840563298 804.339581151235</t>
  </si>
  <si>
    <t>-568.023390360124 -145.163011987898 305.64074406662</t>
  </si>
  <si>
    <t>-596.958488182353 -146.756126241604 752.629509470579</t>
  </si>
  <si>
    <t>-460.949802961135 -183.363732592968 825.078161346219</t>
  </si>
  <si>
    <t>9763-20170724T104509.251025700.bin</t>
  </si>
  <si>
    <t>-669.431451820189 101.727436231838 -538.734789094561</t>
  </si>
  <si>
    <t>-697.370578986524 128.212950096382 -246.999977953036</t>
  </si>
  <si>
    <t>-459.88406447906 168.15012975405 -239.515421267561</t>
  </si>
  <si>
    <t>-639.854645856275 44.9297081478142 -102.932343988773</t>
  </si>
  <si>
    <t>-661.922018472195 71.005939525962 299.171825875249</t>
  </si>
  <si>
    <t>-711.910062375977 103.873674537018 743.042790097277</t>
  </si>
  <si>
    <t>-567.85136241196 127.924210598357 804.328706450434</t>
  </si>
  <si>
    <t>-568.494942605033 -145.167386363643 305.622200976214</t>
  </si>
  <si>
    <t>-596.940039530177 -146.697528723823 752.630061229109</t>
  </si>
  <si>
    <t>-461.077578485235 -183.791041275334 825.105875255087</t>
  </si>
  <si>
    <t>9763-20170724T104509.284115700.bin</t>
  </si>
  <si>
    <t>-669.400265305828 101.940319126054 -538.638077053003</t>
  </si>
  <si>
    <t>-697.063827274124 128.096496456488 -246.847429866373</t>
  </si>
  <si>
    <t>-459.494602891429 167.79729556047 -240.882492119607</t>
  </si>
  <si>
    <t>-639.863333652868 44.985043874437 -102.928626217637</t>
  </si>
  <si>
    <t>-661.804225619163 71.0215376972017 299.184984292584</t>
  </si>
  <si>
    <t>-711.894111117987 103.803258158193 743.042134295255</t>
  </si>
  <si>
    <t>-567.83279277469 127.857341884283 804.320488225627</t>
  </si>
  <si>
    <t>-568.626034768361 -145.219604374048 305.62671242557</t>
  </si>
  <si>
    <t>-596.93423656815 -146.693781769567 752.647437437917</t>
  </si>
  <si>
    <t>-461.083391820477 -183.83749034057 825.119457154656</t>
  </si>
  <si>
    <t>9763-20170724T104509.351821000.bin</t>
  </si>
  <si>
    <t>-669.441023139985 101.872964852983 -538.510017281158</t>
  </si>
  <si>
    <t>-696.556793732372 127.676109998202 -246.636546583177</t>
  </si>
  <si>
    <t>-458.931734513965 167.255577077964 -242.318332971048</t>
  </si>
  <si>
    <t>-639.772001281766 44.7908200113582 -102.896286511918</t>
  </si>
  <si>
    <t>-661.405155561062 70.8611450037981 299.231891754996</t>
  </si>
  <si>
    <t>-711.920149506047 103.799509879562 743.043761823288</t>
  </si>
  <si>
    <t>-567.862301055325 127.891708198545 804.315063845386</t>
  </si>
  <si>
    <t>-568.98340945751 -145.230753423836 305.656699699623</t>
  </si>
  <si>
    <t>-596.937603822647 -146.635402739932 752.681516655337</t>
  </si>
  <si>
    <t>-461.175555072333 -184.112900520107 825.14806029139</t>
  </si>
  <si>
    <t>9763-20170724T104509.385910300.bin</t>
  </si>
  <si>
    <t>-669.607972582595 101.70532402891 -538.447308910516</t>
  </si>
  <si>
    <t>-696.60127588366 127.733133262523 -246.582380258003</t>
  </si>
  <si>
    <t>-458.91743876502 167.041267944024 -243.100813948091</t>
  </si>
  <si>
    <t>-639.736173875135 44.6408728034064 -102.88312592606</t>
  </si>
  <si>
    <t>-661.165692472034 70.7947383037053 299.250498045525</t>
  </si>
  <si>
    <t>-711.955687979696 103.85112105677 743.03970406836</t>
  </si>
  <si>
    <t>-567.850303756194 127.651461093242 804.313537629709</t>
  </si>
  <si>
    <t>-569.099052316993 -145.234597374781 305.678000840021</t>
  </si>
  <si>
    <t>-596.936813024955 -146.513300886614 752.695605973108</t>
  </si>
  <si>
    <t>-461.27693205199 -184.347563119404 825.168062228485</t>
  </si>
  <si>
    <t>9763-20170724T104509.450632800.bin</t>
  </si>
  <si>
    <t>-669.998297641258 101.411179599585 -538.330577060688</t>
  </si>
  <si>
    <t>-696.676685641347 127.670256704403 -246.457373132341</t>
  </si>
  <si>
    <t>-458.992591134237 167.04924345071 -243.910520801206</t>
  </si>
  <si>
    <t>-639.692111881044 44.3029736202841 -102.848987026371</t>
  </si>
  <si>
    <t>-660.796853503714 70.567665774345 299.294530416401</t>
  </si>
  <si>
    <t>-711.959651941566 103.795344634361 743.023610117702</t>
  </si>
  <si>
    <t>-567.858642056432 127.651176020228 804.286215371611</t>
  </si>
  <si>
    <t>-569.171223789655 -145.41067500551 305.718237680775</t>
  </si>
  <si>
    <t>-596.932473508253 -146.376103250005 752.722589241677</t>
  </si>
  <si>
    <t>-461.342471271818 -184.460592615469 825.194903785936</t>
  </si>
  <si>
    <t>9763-20170724T104509.485719700.bin</t>
  </si>
  <si>
    <t>-670.163460202823 101.275954203776 -538.283995105115</t>
  </si>
  <si>
    <t>-696.690553799647 127.557904913339 -246.399164267791</t>
  </si>
  <si>
    <t>-459.038873081531 167.173186620585 -244.618136420247</t>
  </si>
  <si>
    <t>-639.713017142033 44.1315820435932 -102.832159835061</t>
  </si>
  <si>
    <t>-660.712488290327 70.4927301380294 299.310639374349</t>
  </si>
  <si>
    <t>-711.98278937362 103.815878746814 743.007048677684</t>
  </si>
  <si>
    <t>-567.883661600757 127.689027996181 804.267273304547</t>
  </si>
  <si>
    <t>-569.281965654651 -145.506978744231 305.735576748392</t>
  </si>
  <si>
    <t>-596.935067093951 -146.380273966533 752.741857217827</t>
  </si>
  <si>
    <t>-461.345885118829 -184.487915431323 825.203477224256</t>
  </si>
  <si>
    <t>9763-20170724T104509.554125600.bin</t>
  </si>
  <si>
    <t>-670.537691141612 100.865765309599 -538.258461308827</t>
  </si>
  <si>
    <t>-696.591178047316 127.04102971685 -246.32123064616</t>
  </si>
  <si>
    <t>-459.031157834626 167.235968387441 -245.640273509949</t>
  </si>
  <si>
    <t>-639.879598872588 43.8592554851314 -102.862576550818</t>
  </si>
  <si>
    <t>-660.812870143959 70.3226516390903 299.276879543858</t>
  </si>
  <si>
    <t>-711.974767091886 103.778885672983 742.964778218735</t>
  </si>
  <si>
    <t>-567.854837566862 127.51424242177 804.229533607823</t>
  </si>
  <si>
    <t>-569.609276866164 -145.697285779147 305.766260276909</t>
  </si>
  <si>
    <t>-596.940286113424 -146.499918367005 752.778667094412</t>
  </si>
  <si>
    <t>-461.227892549653 -184.224749255564 825.209905348926</t>
  </si>
  <si>
    <t>9763-20170724T104509.583205300.bin</t>
  </si>
  <si>
    <t>-670.740842772036 100.724114477581 -538.277228155861</t>
  </si>
  <si>
    <t>-696.580261558502 126.928528689635 -246.323630762172</t>
  </si>
  <si>
    <t>-459.054355463192 167.327081758871 -245.788915502309</t>
  </si>
  <si>
    <t>-640.020951159451 43.809947673547 -102.893332348935</t>
  </si>
  <si>
    <t>-660.978342611269 70.3328978981776 299.240992015464</t>
  </si>
  <si>
    <t>-711.990622032442 103.806203491074 742.946544348302</t>
  </si>
  <si>
    <t>-567.850515526959 127.4039334479 804.217104460413</t>
  </si>
  <si>
    <t>-569.695388188064 -145.70042625739 305.759632483874</t>
  </si>
  <si>
    <t>-596.93872336948 -146.394426476312 752.790882209195</t>
  </si>
  <si>
    <t>-461.262564113708 -184.258420613204 825.217242277426</t>
  </si>
  <si>
    <t>9763-20170724T104509.652106300.bin</t>
  </si>
  <si>
    <t>-670.944478263607 100.390829868521 -538.350435573068</t>
  </si>
  <si>
    <t>-696.611572497627 126.419014922832 -246.365935114381</t>
  </si>
  <si>
    <t>-459.245612453675 167.750272590451 -246.179266899126</t>
  </si>
  <si>
    <t>-640.138821249596 43.6617766585809 -102.938256573739</t>
  </si>
  <si>
    <t>-661.027156405986 70.2327879291904 299.196391313357</t>
  </si>
  <si>
    <t>-712.004518494185 103.805451597073 742.915953175571</t>
  </si>
  <si>
    <t>-567.879790425499 127.509839938843 804.181503079516</t>
  </si>
  <si>
    <t>-569.697185644798 -145.802699261816 305.763597084558</t>
  </si>
  <si>
    <t>-596.933858180721 -146.549880845446 752.807359122343</t>
  </si>
  <si>
    <t>-461.202633573447 -184.243358118745 825.219585602913</t>
  </si>
  <si>
    <t>9763-20170724T104509.685196700.bin</t>
  </si>
  <si>
    <t>-670.916737745201 100.182839151998 -538.40790668723</t>
  </si>
  <si>
    <t>-696.612399204997 125.927926365986 -246.40083523667</t>
  </si>
  <si>
    <t>-459.438916898579 168.346654319685 -246.897188252593</t>
  </si>
  <si>
    <t>-640.128896222722 43.5925588419748 -102.963793474083</t>
  </si>
  <si>
    <t>-660.942125660401 70.1788543841917 299.173843786966</t>
  </si>
  <si>
    <t>-711.959952564326 103.699924171827 742.895216206225</t>
  </si>
  <si>
    <t>-567.874970032018 127.650356413145 804.158530975733</t>
  </si>
  <si>
    <t>-569.639019137353 -145.771374972704 305.760494454638</t>
  </si>
  <si>
    <t>-596.927729554085 -146.456449512298 752.804688472465</t>
  </si>
  <si>
    <t>-461.239714945554 -184.29672677709 825.221321260299</t>
  </si>
  <si>
    <t>9763-20170724T104509.748919200.bin</t>
  </si>
  <si>
    <t>-671.106316236796 99.8138648623337 -538.496128853024</t>
  </si>
  <si>
    <t>-696.586874261693 125.00703461569 -246.422131728166</t>
  </si>
  <si>
    <t>-459.993833120572 170.456699524481 -249.414718099655</t>
  </si>
  <si>
    <t>-640.129419521328 43.4674362000187 -102.986134349947</t>
  </si>
  <si>
    <t>-660.801041556581 70.1251672356736 299.154096667375</t>
  </si>
  <si>
    <t>-711.929340312567 103.633486433186 742.84980540535</t>
  </si>
  <si>
    <t>-567.839148787445 127.53586340986 804.119544538216</t>
  </si>
  <si>
    <t>-569.555626327422 -145.792854787574 305.769528811141</t>
  </si>
  <si>
    <t>-596.916062539334 -146.553291440146 752.806339470341</t>
  </si>
  <si>
    <t>-461.309796690999 -184.667763802398 825.232274289566</t>
  </si>
  <si>
    <t>9763-20170724T104509.787043500.bin</t>
  </si>
  <si>
    <t>-671.254877233129 99.7313321611512 -538.508105400026</t>
  </si>
  <si>
    <t>-696.310961291397 124.77103793605 -246.384225655287</t>
  </si>
  <si>
    <t>-460.035981200853 171.749189181638 -250.6354532603</t>
  </si>
  <si>
    <t>-640.103073222488 43.4469319957418 -102.995229264357</t>
  </si>
  <si>
    <t>-660.73314423086 70.1403974314026 299.144693490612</t>
  </si>
  <si>
    <t>-711.900862433051 103.574578635005 742.83036340338</t>
  </si>
  <si>
    <t>-567.824065755688 127.566399854428 804.096813971641</t>
  </si>
  <si>
    <t>-569.482208085627 -145.706041793481 305.777001124263</t>
  </si>
  <si>
    <t>-596.906267777403 -146.374044015706 752.804752284028</t>
  </si>
  <si>
    <t>-461.445793078559 -184.975094484227 825.245981771131</t>
  </si>
  <si>
    <t>9763-20170724T104509.851198300.bin</t>
  </si>
  <si>
    <t>-671.562256890224 99.3051317586958 -538.603887669308</t>
  </si>
  <si>
    <t>-695.164724484013 124.079642596839 -246.336290090669</t>
  </si>
  <si>
    <t>-459.533075934621 173.782693799764 -253.967837644706</t>
  </si>
  <si>
    <t>-640.17687790238 43.3276360851667 -103.034517464129</t>
  </si>
  <si>
    <t>-660.682578706509 70.004926590804 299.112939382217</t>
  </si>
  <si>
    <t>-711.896422932435 103.556988778011 742.784812112525</t>
  </si>
  <si>
    <t>-567.820901760168 127.574181922124 804.04420080951</t>
  </si>
  <si>
    <t>-569.546812803679 -145.844484499149 305.779767008059</t>
  </si>
  <si>
    <t>-596.89695086859 -146.477098031944 752.812623928009</t>
  </si>
  <si>
    <t>-461.22476458922 -184.378942965844 825.226660370154</t>
  </si>
  <si>
    <t>9763-20170724T104509.884287500.bin</t>
  </si>
  <si>
    <t>-671.719574584942 99.136533013052 -538.679434999289</t>
  </si>
  <si>
    <t>-694.68700532597 124.068673675899 -246.374707615569</t>
  </si>
  <si>
    <t>-459.322947199465 174.733397668678 -255.739348177242</t>
  </si>
  <si>
    <t>-640.291316917738 43.2923105286272 -103.052626364268</t>
  </si>
  <si>
    <t>-660.720661862801 70.0188745259891 299.095358066081</t>
  </si>
  <si>
    <t>-711.98405312903 103.740004875992 742.756350811602</t>
  </si>
  <si>
    <t>-567.832952531238 127.274595279682 804.025406880346</t>
  </si>
  <si>
    <t>-569.563708864778 -145.853319733442 305.78014545184</t>
  </si>
  <si>
    <t>-596.892742795465 -146.504067075989 752.811745450705</t>
  </si>
  <si>
    <t>-461.222239551599 -184.40981899963 825.227012801989</t>
  </si>
  <si>
    <t>9763-20170724T104509.950468200.bin</t>
  </si>
  <si>
    <t>-671.800011374632 98.7033390949673 -538.783098669057</t>
  </si>
  <si>
    <t>-693.47712134631 124.043276650172 -246.414897790298</t>
  </si>
  <si>
    <t>-458.64485094805 176.211338954295 -259.949860681967</t>
  </si>
  <si>
    <t>-640.480331733282 43.0250268415182 -103.093439714919</t>
  </si>
  <si>
    <t>-660.698243882175 69.7814505728259 299.063166606064</t>
  </si>
  <si>
    <t>-711.95932075279 103.683308518574 742.710281481101</t>
  </si>
  <si>
    <t>-567.848965726876 127.484471350572 803.971913147007</t>
  </si>
  <si>
    <t>-569.635709132693 -146.002079089419 305.772669664701</t>
  </si>
  <si>
    <t>-596.886212391037 -146.675660764229 752.816553874623</t>
  </si>
  <si>
    <t>-461.117384158437 -184.254268653971 825.218020484672</t>
  </si>
  <si>
    <t>9763-20170724T104509.984558800.bin</t>
  </si>
  <si>
    <t>-671.778385447053 98.5043126983294 -538.852915260141</t>
  </si>
  <si>
    <t>-692.792531959627 124.166670345918 -246.464312686567</t>
  </si>
  <si>
    <t>-458.077905515857 176.381838756898 -261.744971517636</t>
  </si>
  <si>
    <t>-640.566111681264 42.9110176979852 -103.110995737388</t>
  </si>
  <si>
    <t>-660.761565354885 69.7030202883841 299.044384904365</t>
  </si>
  <si>
    <t>-711.978033696931 103.722609854394 742.685638965821</t>
  </si>
  <si>
    <t>-567.867621344649 127.523046409892 803.947572720705</t>
  </si>
  <si>
    <t>-569.773972828391 -146.078776520767 305.767277359886</t>
  </si>
  <si>
    <t>-596.883818701109 -146.755399363599 752.821257540306</t>
  </si>
  <si>
    <t>-461.042569825028 -184.098097384338 825.209018451251</t>
  </si>
  <si>
    <t>9763-20170724T104510.051310000.bin</t>
  </si>
  <si>
    <t>-671.835078115609 98.3891198332449 -538.993517744805</t>
  </si>
  <si>
    <t>-692.071878731126 124.337915742062 -246.575535951754</t>
  </si>
  <si>
    <t>-457.884750811927 177.583150924215 -265.868129451179</t>
  </si>
  <si>
    <t>-640.839258888945 42.8303428931176 -103.165887306544</t>
  </si>
  <si>
    <t>-660.976206559268 69.7363082756735 298.984911269429</t>
  </si>
  <si>
    <t>-711.994099201656 103.768872812902 742.643483541491</t>
  </si>
  <si>
    <t>-567.874062583254 127.513412617786 803.904376120325</t>
  </si>
  <si>
    <t>-570.055799448309 -146.043384111523 305.756406635607</t>
  </si>
  <si>
    <t>-596.873568838225 -146.645339323369 752.822412553529</t>
  </si>
  <si>
    <t>-461.155008470853 -184.406839072343 825.222935661843</t>
  </si>
  <si>
    <t>9763-20170724T104510.084398200.bin</t>
  </si>
  <si>
    <t>-671.967385790232 98.2605097943838 -539.028884880811</t>
  </si>
  <si>
    <t>-692.01808381555 124.210918837108 -246.598140730738</t>
  </si>
  <si>
    <t>-458.073292146701 178.23840675922 -266.640681109368</t>
  </si>
  <si>
    <t>-641.048100883855 42.7673595299771 -103.183382326279</t>
  </si>
  <si>
    <t>-661.03813188999 69.7303947377191 298.970908271819</t>
  </si>
  <si>
    <t>-712.015300945941 103.814963813366 742.629628727184</t>
  </si>
  <si>
    <t>-567.869658030622 127.392312382817 803.895132239708</t>
  </si>
  <si>
    <t>-570.173465202388 -146.086913430921 305.752111775741</t>
  </si>
  <si>
    <t>-596.872827236603 -146.680104894769 752.824617518819</t>
  </si>
  <si>
    <t>-461.131623225794 -184.373689106749 825.218073367942</t>
  </si>
  <si>
    <t>9763-20170724T104510.118487500.bin</t>
  </si>
  <si>
    <t>-672.157935616273 98.0470660769104 -539.105719486597</t>
  </si>
  <si>
    <t>-692.079920821444 123.70161605744 -246.640116664103</t>
  </si>
  <si>
    <t>-458.502278554606 179.10648519607 -267.199386171936</t>
  </si>
  <si>
    <t>-641.222614655767 42.644617637995 -103.206055083234</t>
  </si>
  <si>
    <t>-661.091621108239 69.6251799153824 298.95304778225</t>
  </si>
  <si>
    <t>-711.992175972192 103.767720065658 742.61841261525</t>
  </si>
  <si>
    <t>-567.839372306178 127.294435587728 803.886398697025</t>
  </si>
  <si>
    <t>-570.345203707714 -146.065761310451 305.737375393182</t>
  </si>
  <si>
    <t>-596.871130886003 -146.571755498459 752.826685897745</t>
  </si>
  <si>
    <t>-461.208815886575 -184.538779812005 825.225148352058</t>
  </si>
  <si>
    <t>9763-20170724T104510.185674800.bin</t>
  </si>
  <si>
    <t>-672.697347139875 97.5667974697308 -539.221641903409</t>
  </si>
  <si>
    <t>-691.900800972583 123.039797289253 -246.691920584193</t>
  </si>
  <si>
    <t>-458.540725330989 179.592301340571 -266.585434687192</t>
  </si>
  <si>
    <t>-641.496548235599 42.2908134686475 -103.219552034853</t>
  </si>
  <si>
    <t>-661.271271295546 69.494931020133 298.929149411837</t>
  </si>
  <si>
    <t>-712.024464284573 103.836927834212 742.597676170694</t>
  </si>
  <si>
    <t>-567.840649991668 127.16008281861 803.870433839676</t>
  </si>
  <si>
    <t>-570.645118996954 -146.233374339221 305.743699752749</t>
  </si>
  <si>
    <t>-596.873276057997 -146.54450038917 752.842948861614</t>
  </si>
  <si>
    <t>-461.220322390978 -184.562077864415 825.232354231999</t>
  </si>
  <si>
    <t>9763-20170724T104510.254551900.bin</t>
  </si>
  <si>
    <t>-673.179324982444 96.8780192019385 -539.364415398369</t>
  </si>
  <si>
    <t>-691.269595006624 122.740683635727 -246.798065968125</t>
  </si>
  <si>
    <t>-457.835296255199 179.524184294621 -265.099483927764</t>
  </si>
  <si>
    <t>-641.75067817778 41.789684999876 -103.234359713352</t>
  </si>
  <si>
    <t>-661.46465262934 69.1961121321251 298.903553677611</t>
  </si>
  <si>
    <t>-711.96071985333 103.720591898222 742.574150383961</t>
  </si>
  <si>
    <t>-567.847059979091 127.496223859144 803.838011825893</t>
  </si>
  <si>
    <t>-570.988652128259 -146.603767332438 305.754787998122</t>
  </si>
  <si>
    <t>-596.88306399182 -146.729665458711 752.876439737116</t>
  </si>
  <si>
    <t>-461.177662626308 -184.599130257026 825.245156507037</t>
  </si>
  <si>
    <t>9763-20170724T104510.286639700.bin</t>
  </si>
  <si>
    <t>-673.419753303586 96.5030950692098 -539.450104590444</t>
  </si>
  <si>
    <t>-690.884309705835 122.767923497159 -246.881592675246</t>
  </si>
  <si>
    <t>-457.227856564209 179.217422850075 -263.282091623658</t>
  </si>
  <si>
    <t>-641.928681938451 41.5910151938185 -103.253285326681</t>
  </si>
  <si>
    <t>-661.558440685074 69.0985136132085 298.881844880471</t>
  </si>
  <si>
    <t>-711.97165239862 103.749213295769 742.557988313666</t>
  </si>
  <si>
    <t>-567.854598410809 127.495435665815 803.825320367111</t>
  </si>
  <si>
    <t>-571.123843883392 -146.632476531018 305.763511679439</t>
  </si>
  <si>
    <t>-596.881011990694 -146.612911754067 752.887614470708</t>
  </si>
  <si>
    <t>-461.311519515046 -184.945926290095 825.267070171507</t>
  </si>
  <si>
    <t>9763-20170724T104510.350813900.bin</t>
  </si>
  <si>
    <t>-673.694206337412 95.5422421613073 -539.622444508984</t>
  </si>
  <si>
    <t>-689.970951672835 122.061223699595 -247.008417871653</t>
  </si>
  <si>
    <t>-455.909878030064 177.880596566906 -259.275383508667</t>
  </si>
  <si>
    <t>-642.155282536202 41.1577664497486 -103.287573042562</t>
  </si>
  <si>
    <t>-661.68897524293 68.8686630949912 298.838257530086</t>
  </si>
  <si>
    <t>-711.973603047748 103.768913468548 742.523914640196</t>
  </si>
  <si>
    <t>-567.831465078057 127.356085913436 803.79381768645</t>
  </si>
  <si>
    <t>-571.305885826746 -147.056615779028 305.799348202828</t>
  </si>
  <si>
    <t>-596.892552112567 -147.007947915958 752.93234559226</t>
  </si>
  <si>
    <t>-461.052548954338 -184.471084283913 825.259975992629</t>
  </si>
  <si>
    <t>9763-20170724T104510.383901800.bin</t>
  </si>
  <si>
    <t>-673.751050111997 95.2125167342351 -539.663725007913</t>
  </si>
  <si>
    <t>-689.668642402447 121.580915292832 -247.016297324596</t>
  </si>
  <si>
    <t>-455.477357047545 177.331037287734 -256.876832041802</t>
  </si>
  <si>
    <t>-642.204778833172 40.9438958472426 -103.291130045457</t>
  </si>
  <si>
    <t>-661.711965173279 68.7732026807407 298.827829146012</t>
  </si>
  <si>
    <t>-711.984734991392 103.789644784216 742.504660896717</t>
  </si>
  <si>
    <t>-567.847768338272 127.4218444803 803.769174360228</t>
  </si>
  <si>
    <t>-571.291513632684 -147.167447261169 305.827148596623</t>
  </si>
  <si>
    <t>-596.895937510335 -147.110552745433 752.955999128779</t>
  </si>
  <si>
    <t>-461.062111345474 -184.618996516483 825.271836038538</t>
  </si>
  <si>
    <t>9763-20170724T104510.451858500.bin</t>
  </si>
  <si>
    <t>-673.530595959879 94.6941126968459 -539.834469342447</t>
  </si>
  <si>
    <t>-689.307308328927 120.854147657948 -247.160608788425</t>
  </si>
  <si>
    <t>-454.89693621528 176.257593558018 -252.914071421743</t>
  </si>
  <si>
    <t>-642.24357460964 40.7659189743138 -103.335951525783</t>
  </si>
  <si>
    <t>-661.646662709895 68.6928991546597 298.781262133674</t>
  </si>
  <si>
    <t>-711.985848905895 103.799014699714 742.443999041979</t>
  </si>
  <si>
    <t>-567.8373501697 127.324244948388 803.722614478406</t>
  </si>
  <si>
    <t>-571.306121671982 -147.207455328846 305.854843581563</t>
  </si>
  <si>
    <t>-596.894777920088 -147.044747731138 752.975436050426</t>
  </si>
  <si>
    <t>-461.123576609381 -184.782527243138 825.289504871016</t>
  </si>
  <si>
    <t>9763-20170724T104510.486953800.bin</t>
  </si>
  <si>
    <t>-673.380868923014 94.2990451516837 -539.975574465938</t>
  </si>
  <si>
    <t>-689.24433776504 120.352851335369 -247.297066596003</t>
  </si>
  <si>
    <t>-454.838997234272 175.937967207833 -251.209852878249</t>
  </si>
  <si>
    <t>-642.256373885662 40.6065825928306 -103.358372208413</t>
  </si>
  <si>
    <t>-661.598713976889 68.5507945975376 298.760635529265</t>
  </si>
  <si>
    <t>-711.949531115908 103.722308809886 742.41220928865</t>
  </si>
  <si>
    <t>-567.849205400927 127.538514337358 803.691570991487</t>
  </si>
  <si>
    <t>-571.266227805674 -147.345672756947 305.871241160191</t>
  </si>
  <si>
    <t>-596.89236194914 -147.094173691849 752.988440344906</t>
  </si>
  <si>
    <t>-461.052377400064 -184.606986233638 825.290480608824</t>
  </si>
  <si>
    <t>9763-20170724T104510.551880500.bin</t>
  </si>
  <si>
    <t>-673.235630409799 93.7204827909572 -540.224572083238</t>
  </si>
  <si>
    <t>-689.383871885059 120.014989836001 -247.583164641255</t>
  </si>
  <si>
    <t>-455.027604051608 175.936194145624 -248.482611337812</t>
  </si>
  <si>
    <t>-642.287621283954 40.4319953650136 -103.398775131308</t>
  </si>
  <si>
    <t>-661.635672582683 68.4571373130682 298.714302332181</t>
  </si>
  <si>
    <t>-711.959558222249 103.721763535261 742.353758016577</t>
  </si>
  <si>
    <t>-567.848503146622 127.476188183841 803.632027028569</t>
  </si>
  <si>
    <t>-571.261496036291 -147.386157316047 305.877256837132</t>
  </si>
  <si>
    <t>-596.881253692798 -146.995446736572 752.996103813746</t>
  </si>
  <si>
    <t>-461.131555054084 -184.820833000515 825.304777255338</t>
  </si>
  <si>
    <t>9763-20170724T104510.583965500.bin</t>
  </si>
  <si>
    <t>-673.337145927439 93.4236508264969 -540.336448439548</t>
  </si>
  <si>
    <t>-689.374400893165 119.839439450109 -247.699924993861</t>
  </si>
  <si>
    <t>-455.08976009154 176.067142092309 -247.538687096771</t>
  </si>
  <si>
    <t>-642.283011338615 40.3058604093892 -103.418704858295</t>
  </si>
  <si>
    <t>-661.66775968709 68.3890624060994 298.688495002699</t>
  </si>
  <si>
    <t>-711.913422786019 103.631848678441 742.323642933963</t>
  </si>
  <si>
    <t>-567.848617225766 127.672965184017 803.59886213422</t>
  </si>
  <si>
    <t>-571.326102516448 -147.436457968877 305.876160504229</t>
  </si>
  <si>
    <t>-596.874603843828 -146.995339461799 753.00289424936</t>
  </si>
  <si>
    <t>-461.144589584389 -184.89898864771 825.307560663722</t>
  </si>
  <si>
    <t>9763-20170724T104510.654158600.bin</t>
  </si>
  <si>
    <t>-673.52867607938 92.9296287142147 -540.513307766519</t>
  </si>
  <si>
    <t>-689.299481873004 119.769990550032 -247.900735825288</t>
  </si>
  <si>
    <t>-455.115931392547 176.396152489046 -246.345130227601</t>
  </si>
  <si>
    <t>-642.424224014292 40.2662837646326 -103.470412800474</t>
  </si>
  <si>
    <t>-661.789543570616 68.3585355892617 298.637109055667</t>
  </si>
  <si>
    <t>-711.96567168095 103.739825635709 742.27072241977</t>
  </si>
  <si>
    <t>-567.853513685567 127.468768756969 803.556424734556</t>
  </si>
  <si>
    <t>-571.34103523122 -147.542191468363 305.878469300859</t>
  </si>
  <si>
    <t>-596.862260909059 -147.062939397762 753.002288139189</t>
  </si>
  <si>
    <t>-460.996737368426 -184.510198467048 825.290446127564</t>
  </si>
  <si>
    <t>9763-20170724T104510.683246300.bin</t>
  </si>
  <si>
    <t>-673.594534617735 92.8289433980506 -540.578924902661</t>
  </si>
  <si>
    <t>-689.258007841464 119.796245089165 -247.972347041468</t>
  </si>
  <si>
    <t>-455.09541319774 176.497452398577 -246.049953748425</t>
  </si>
  <si>
    <t>-642.454433910171 40.3127713349479 -103.499510081251</t>
  </si>
  <si>
    <t>-661.792391944938 68.4093015588744 298.609028330018</t>
  </si>
  <si>
    <t>-711.998492549649 103.811496776497 742.245545925977</t>
  </si>
  <si>
    <t>-567.853388280269 127.316664984085 803.53982092371</t>
  </si>
  <si>
    <t>-571.320449052056 -147.510219376381 305.878130180397</t>
  </si>
  <si>
    <t>-596.858195541616 -147.122330434794 753.001442508539</t>
  </si>
  <si>
    <t>-460.984841612176 -184.539362297433 825.290555323912</t>
  </si>
  <si>
    <t>9763-20170724T104510.750399800.bin</t>
  </si>
  <si>
    <t>-673.646322578448 92.6199305283753 -540.692483460174</t>
  </si>
  <si>
    <t>-689.247552044708 119.804511284552 -248.102548398646</t>
  </si>
  <si>
    <t>-455.126187276121 176.661122733072 -245.789573582394</t>
  </si>
  <si>
    <t>-642.428180465076 40.2776748722877 -103.540256985531</t>
  </si>
  <si>
    <t>-661.647563139776 68.3349557914516 298.576703480911</t>
  </si>
  <si>
    <t>-711.924128998476 103.646658849196 742.224390931296</t>
  </si>
  <si>
    <t>-567.854683055127 127.64835454107 803.504144495799</t>
  </si>
  <si>
    <t>-571.295436680297 -147.466085731506 305.85223127928</t>
  </si>
  <si>
    <t>-596.847010325747 -147.18644219966 752.995400454343</t>
  </si>
  <si>
    <t>-460.97587812167 -184.609454184164 825.285466159075</t>
  </si>
  <si>
    <t>9763-20170724T104510.784490500.bin</t>
  </si>
  <si>
    <t>-673.685456911131 92.6795940365641 -540.743399889596</t>
  </si>
  <si>
    <t>-689.291934328913 119.955281003823 -248.162347700222</t>
  </si>
  <si>
    <t>-455.171136873727 176.80963565207 -245.735180764702</t>
  </si>
  <si>
    <t>-642.489474690486 40.4274696414993 -103.563825733434</t>
  </si>
  <si>
    <t>-661.689101820224 68.4701413237519 298.555061420442</t>
  </si>
  <si>
    <t>-711.971848583918 103.742298156486 742.208848049254</t>
  </si>
  <si>
    <t>-567.864491950611 127.501966872697 803.493811511339</t>
  </si>
  <si>
    <t>-571.343695961036 -147.388727923514 305.840238621539</t>
  </si>
  <si>
    <t>-596.842239209508 -147.209224693452 752.988993583701</t>
  </si>
  <si>
    <t>-460.986252224951 -184.682948996839 825.281277042609</t>
  </si>
  <si>
    <t>9763-20170724T104510.853726200.bin</t>
  </si>
  <si>
    <t>-673.822899128588 92.925620358169 -540.819011689044</t>
  </si>
  <si>
    <t>-689.456402633624 120.397579372333 -248.257690125686</t>
  </si>
  <si>
    <t>-455.317805149878 177.180258104251 -245.865438841876</t>
  </si>
  <si>
    <t>-642.649023154623 40.7091902938596 -103.600988307558</t>
  </si>
  <si>
    <t>-661.832631025051 68.6940388869155 298.522721570571</t>
  </si>
  <si>
    <t>-711.943732356439 103.687724774805 742.201271352561</t>
  </si>
  <si>
    <t>-567.848486860985 127.544718848925 803.476741212637</t>
  </si>
  <si>
    <t>-571.448417278954 -147.205585981146 305.813829992218</t>
  </si>
  <si>
    <t>-596.831762924539 -147.153875148333 752.970972763376</t>
  </si>
  <si>
    <t>-461.034021569298 -184.815707972724 825.27482622285</t>
  </si>
  <si>
    <t>9763-20170724T104510.883798800.bin</t>
  </si>
  <si>
    <t>-673.910105969217 93.0098249652503 -540.857240238135</t>
  </si>
  <si>
    <t>-689.531387728552 120.552239620477 -248.30197550766</t>
  </si>
  <si>
    <t>-455.397929934982 177.353343848593 -245.845971510073</t>
  </si>
  <si>
    <t>-642.745719463699 40.8728790838154 -103.622803934479</t>
  </si>
  <si>
    <t>-661.918076441174 68.8464394242146 298.502315645202</t>
  </si>
  <si>
    <t>-711.964790582997 103.739192735433 742.197398387148</t>
  </si>
  <si>
    <t>-567.830382276256 127.348487873534 803.476855592034</t>
  </si>
  <si>
    <t>-571.542033639547 -147.171202633509 305.800378255908</t>
  </si>
  <si>
    <t>-596.825006032623 -147.209306153956 752.964453531572</t>
  </si>
  <si>
    <t>-460.943830187048 -184.583242509178 825.261169743357</t>
  </si>
  <si>
    <t>9763-20170724T104510.933436000.bin</t>
  </si>
  <si>
    <t>-673.943427560372 93.0927506352739 -540.882047804902</t>
  </si>
  <si>
    <t>-689.60706080044 120.69133379833 -248.33437181894</t>
  </si>
  <si>
    <t>-455.478480354818 177.511703408774 -245.858874357476</t>
  </si>
  <si>
    <t>-642.794223246705 40.9654417593495 -103.639863207699</t>
  </si>
  <si>
    <t>-661.907733709624 68.8849406616553 298.491728576257</t>
  </si>
  <si>
    <t>-711.938729732996 103.682483075344 742.20051433196</t>
  </si>
  <si>
    <t>-567.849899080305 127.583635806713 803.473996338382</t>
  </si>
  <si>
    <t>-571.552303020758 -147.140902827209 305.788329107725</t>
  </si>
  <si>
    <t>-596.819822057213 -147.216052375945 752.957404027824</t>
  </si>
  <si>
    <t>-460.90638932616 -184.474721372423 825.252825159145</t>
  </si>
  <si>
    <t>9763-20170724T104510.986955900.bin</t>
  </si>
  <si>
    <t>-673.972594137316 93.3540770023719 -540.905002292663</t>
  </si>
  <si>
    <t>-689.701020862192 120.975713549647 -248.362833734057</t>
  </si>
  <si>
    <t>-455.642886701595 178.077993081057 -245.714227524145</t>
  </si>
  <si>
    <t>-642.728784845735 41.1516502856725 -103.63661560317</t>
  </si>
  <si>
    <t>-661.756082833494 69.0320977367489 298.501836259862</t>
  </si>
  <si>
    <t>-711.924848631638 103.662566326528 742.210457995467</t>
  </si>
  <si>
    <t>-567.856396680718 127.678007366876 803.487264752513</t>
  </si>
  <si>
    <t>-571.359450533327 -146.830422325691 305.767168704451</t>
  </si>
  <si>
    <t>-596.796875298248 -146.84846897358 752.929522968544</t>
  </si>
  <si>
    <t>-461.10470512395 -184.831154765446 825.263769337736</t>
  </si>
  <si>
    <t>9763-20170724T104511.049065200.bin</t>
  </si>
  <si>
    <t>-674.282344748256 93.4835881208567 -540.850667287833</t>
  </si>
  <si>
    <t>-690.154153599894 121.192250690361 -248.324673360281</t>
  </si>
  <si>
    <t>-456.1134887034 178.350170628495 -245.354867682278</t>
  </si>
  <si>
    <t>-642.708352033796 41.2756161929278 -103.60663385781</t>
  </si>
  <si>
    <t>-661.664641665558 69.0833805226314 298.540152558374</t>
  </si>
  <si>
    <t>-711.92543597399 103.662626882394 742.227055496367</t>
  </si>
  <si>
    <t>-567.829707425875 127.504347347204 803.507463133359</t>
  </si>
  <si>
    <t>-571.18493943203 -146.855089650933 305.770408990598</t>
  </si>
  <si>
    <t>-596.788278909452 -147.06373400657 752.923290471601</t>
  </si>
  <si>
    <t>-461.008005922551 -184.741167645872 825.251964313657</t>
  </si>
  <si>
    <t>9763-20170724T104511.087166900.bin</t>
  </si>
  <si>
    <t>-674.58592289695 93.5470733383863 -540.819127995644</t>
  </si>
  <si>
    <t>-690.439745296335 121.307819779275 -248.296988940126</t>
  </si>
  <si>
    <t>-456.409110478761 178.490011906381 -245.024049506338</t>
  </si>
  <si>
    <t>-642.761336305435 41.3598822002157 -103.587718223832</t>
  </si>
  <si>
    <t>-661.654796323927 69.1209542838185 298.56528240962</t>
  </si>
  <si>
    <t>-711.949252486942 103.706464643055 742.243174530544</t>
  </si>
  <si>
    <t>-567.854166059896 127.553801461189 803.523039863202</t>
  </si>
  <si>
    <t>-571.137239886527 -146.764001664905 305.761203711019</t>
  </si>
  <si>
    <t>-596.7753924012 -147.002409481738 752.911560989014</t>
  </si>
  <si>
    <t>-461.051601948166 -184.856451402841 825.253915647072</t>
  </si>
  <si>
    <t>9763-20170724T104511.155359600.bin</t>
  </si>
  <si>
    <t>-675.264021600261 93.5883195744314 -540.798639718159</t>
  </si>
  <si>
    <t>-691.505210173758 121.617813946814 -248.323407749315</t>
  </si>
  <si>
    <t>-457.401621287537 178.396751630722 -243.577487997892</t>
  </si>
  <si>
    <t>-642.981081748642 41.4221847182412 -103.584859606462</t>
  </si>
  <si>
    <t>-661.588320078291 69.1021854662279 298.587059807291</t>
  </si>
  <si>
    <t>-711.927030232132 103.64666876543 742.271356176294</t>
  </si>
  <si>
    <t>-567.837827749631 127.533641572229 803.549474421007</t>
  </si>
  <si>
    <t>-571.136481344311 -146.67898505925 305.740408045372</t>
  </si>
  <si>
    <t>-596.761486597492 -147.095038395304 752.897804082142</t>
  </si>
  <si>
    <t>-460.997493921069 -184.798179511636 825.243638106913</t>
  </si>
  <si>
    <t>9763-20170724T104511.183432500.bin</t>
  </si>
  <si>
    <t>-675.529450511846 93.6592065659534 -540.784497699205</t>
  </si>
  <si>
    <t>-692.360407133274 121.450283448162 -248.31998054765</t>
  </si>
  <si>
    <t>-458.317476010942 178.441994340567 -243.150478920147</t>
  </si>
  <si>
    <t>-643.089515614065 41.4115256139482 -103.579161000442</t>
  </si>
  <si>
    <t>-661.610717518431 69.1211127773597 298.594650150901</t>
  </si>
  <si>
    <t>-711.959941510404 103.715047398056 742.275548515561</t>
  </si>
  <si>
    <t>-567.86690761647 127.569675627927 803.55730828584</t>
  </si>
  <si>
    <t>-571.217631774914 -146.660115389974 305.728793249652</t>
  </si>
  <si>
    <t>-596.758354368249 -147.12241956396 752.89430054551</t>
  </si>
  <si>
    <t>-460.952439326707 -184.680667267944 825.236665522643</t>
  </si>
  <si>
    <t>9763-20170724T104511.252277900.bin</t>
  </si>
  <si>
    <t>-676.64273398656 93.9786589763621 -540.68839497611</t>
  </si>
  <si>
    <t>-694.91752987147 120.449729810099 -248.187997623655</t>
  </si>
  <si>
    <t>-461.046144670188 178.013805529554 -241.749925696349</t>
  </si>
  <si>
    <t>-643.432604138749 41.5929367465305 -103.583941579909</t>
  </si>
  <si>
    <t>-661.82692175472 69.3128681767603 298.595080067286</t>
  </si>
  <si>
    <t>-711.960896508882 103.714971607698 742.301050871104</t>
  </si>
  <si>
    <t>-567.830904032054 127.352426251591 803.580001667477</t>
  </si>
  <si>
    <t>-571.576636841242 -146.451599136172 305.709428670448</t>
  </si>
  <si>
    <t>-596.749746641318 -146.877052258852 752.886421457661</t>
  </si>
  <si>
    <t>-461.114831426403 -185.010568166098 825.248742159561</t>
  </si>
  <si>
    <t>9763-20170724T104511.286367800.bin</t>
  </si>
  <si>
    <t>-677.386500329156 94.0280399376011 -540.621214572071</t>
  </si>
  <si>
    <t>-696.017678352116 119.971815476573 -248.095980626794</t>
  </si>
  <si>
    <t>-462.135350245363 177.444144989051 -241.251265164749</t>
  </si>
  <si>
    <t>-643.705553263848 41.6482801340928 -103.591333212719</t>
  </si>
  <si>
    <t>-662.001512399445 69.3779526191925 298.591466795345</t>
  </si>
  <si>
    <t>-711.981423154196 103.757418074779 742.317707455813</t>
  </si>
  <si>
    <t>-567.825836079084 127.238193778967 803.596751898398</t>
  </si>
  <si>
    <t>-571.786875829537 -146.409422893572 305.691125823279</t>
  </si>
  <si>
    <t>-596.7486342091 -146.883549781048 752.888702284627</t>
  </si>
  <si>
    <t>-461.085804086443 -184.931855006092 825.243553595252</t>
  </si>
  <si>
    <t>9763-20170724T104511.353119000.bin</t>
  </si>
  <si>
    <t>-679.015889987484 93.9327338513576 -540.519433982205</t>
  </si>
  <si>
    <t>-696.290923850179 118.895141263024 -247.825683113727</t>
  </si>
  <si>
    <t>-462.957517341647 178.609239584112 -241.449645702849</t>
  </si>
  <si>
    <t>-644.274768505205 41.5798476563073 -103.60703808651</t>
  </si>
  <si>
    <t>-662.354715991615 69.3232997909054 298.584555275482</t>
  </si>
  <si>
    <t>-712.01521224777 103.828030023278 742.351879058797</t>
  </si>
  <si>
    <t>-567.845490923355 127.214568450029 803.633566332904</t>
  </si>
  <si>
    <t>-572.052314279779 -146.471636079831 305.698804042502</t>
  </si>
  <si>
    <t>-596.754265439133 -147.15806548006 752.912599041594</t>
  </si>
  <si>
    <t>-461.019468440594 -184.996132114852 825.242703628128</t>
  </si>
  <si>
    <t>9763-20170724T104511.384201500.bin</t>
  </si>
  <si>
    <t>-679.788444788816 93.8467839987366 -540.478977928559</t>
  </si>
  <si>
    <t>-695.759471546794 119.198084835929 -247.74461820091</t>
  </si>
  <si>
    <t>-462.536619135363 179.409435156403 -242.037979025597</t>
  </si>
  <si>
    <t>-644.535009192718 41.5840541274558 -103.608432719391</t>
  </si>
  <si>
    <t>-662.524773135136 69.3099596846178 298.588501713141</t>
  </si>
  <si>
    <t>-712.050173629096 103.893641129298 742.370818879997</t>
  </si>
  <si>
    <t>-567.850412271611 127.113468817347 803.645476857617</t>
  </si>
  <si>
    <t>-572.17480832672 -146.450050711511 305.716058359802</t>
  </si>
  <si>
    <t>-596.756845047307 -147.211873099798 752.924922683336</t>
  </si>
  <si>
    <t>-461.019607508482 -185.058826693868 825.245798719407</t>
  </si>
  <si>
    <t>9763-20170724T104511.454010600.bin</t>
  </si>
  <si>
    <t>-681.11612884121 93.5131998655722 -540.576801736121</t>
  </si>
  <si>
    <t>-694.641495882822 120.983051507334 -247.910341206651</t>
  </si>
  <si>
    <t>-461.341069145521 180.994557967572 -243.394999601504</t>
  </si>
  <si>
    <t>-645.021457563628 41.4845962921615 -103.62608900366</t>
  </si>
  <si>
    <t>-662.901563685759 69.2408893163633 298.57354166656</t>
  </si>
  <si>
    <t>-711.965116238185 103.694180307143 742.413692548939</t>
  </si>
  <si>
    <t>-567.827027841973 127.383750740955 803.653467849889</t>
  </si>
  <si>
    <t>-572.295041848127 -146.347638002081 305.699982138256</t>
  </si>
  <si>
    <t>-596.740446378353 -147.141893589582 752.912721736047</t>
  </si>
  <si>
    <t>-460.970001419245 -184.857222681817 825.239989483474</t>
  </si>
  <si>
    <t>9763-20170724T104511.483080000.bin</t>
  </si>
  <si>
    <t>-681.730449306713 93.3780099874905 -540.677759985141</t>
  </si>
  <si>
    <t>-693.889132607927 121.699963955582 -248.032450182941</t>
  </si>
  <si>
    <t>-460.466779587418 181.288496705152 -244.280662382825</t>
  </si>
  <si>
    <t>-645.280972147509 41.5649675787265 -103.653071504484</t>
  </si>
  <si>
    <t>-663.101132007624 69.3064366310064 298.550324532733</t>
  </si>
  <si>
    <t>-711.981378436791 103.724837398998 742.426058860964</t>
  </si>
  <si>
    <t>-567.824049774468 127.311322702823 803.660355161636</t>
  </si>
  <si>
    <t>-572.380683570507 -146.346350627807 305.697384002</t>
  </si>
  <si>
    <t>-596.74073240497 -147.21423152384 752.913466755628</t>
  </si>
  <si>
    <t>-460.866529247328 -184.579047430919 825.227792319795</t>
  </si>
  <si>
    <t>9763-20170724T104511.552814300.bin</t>
  </si>
  <si>
    <t>-682.858489960533 93.1021874758057 -540.905051445233</t>
  </si>
  <si>
    <t>-692.27640233621 123.01449682107 -248.316994385932</t>
  </si>
  <si>
    <t>-458.634218966754 181.804094234655 -245.876606179783</t>
  </si>
  <si>
    <t>-645.569637025291 41.7662868042394 -103.670930633008</t>
  </si>
  <si>
    <t>-663.313539200565 69.3957159991933 298.543471125546</t>
  </si>
  <si>
    <t>-711.959402068646 103.658235671523 742.465136641117</t>
  </si>
  <si>
    <t>-567.809433282886 127.32124789519 803.687150162509</t>
  </si>
  <si>
    <t>-572.478935642037 -146.441336251695 305.686458253513</t>
  </si>
  <si>
    <t>-596.738353546085 -147.632190635773 752.921318949026</t>
  </si>
  <si>
    <t>-460.605455288055 -184.100377080977 825.20689653093</t>
  </si>
  <si>
    <t>9763-20170724T104511.582910900.bin</t>
  </si>
  <si>
    <t>-683.271648669888 93.1810437811171 -541.082409232981</t>
  </si>
  <si>
    <t>-691.444277986437 123.754630418144 -248.5252961172</t>
  </si>
  <si>
    <t>-457.747803232132 182.342421959194 -246.445978313559</t>
  </si>
  <si>
    <t>-645.67727599529 42.0004640570071 -103.670870254976</t>
  </si>
  <si>
    <t>-663.396776089882 69.5688720801891 298.548811379897</t>
  </si>
  <si>
    <t>-712.022396266911 103.782069133571 742.481374310794</t>
  </si>
  <si>
    <t>-567.826186760559 127.148059932054 803.708484654563</t>
  </si>
  <si>
    <t>-572.460332820593 -146.231408726016 305.660767901672</t>
  </si>
  <si>
    <t>-596.725894422322 -147.466342944974 752.903601141401</t>
  </si>
  <si>
    <t>-460.73664510596 -184.416983719351 825.214669901575</t>
  </si>
  <si>
    <t>9763-20170724T104511.651282300.bin</t>
  </si>
  <si>
    <t>-683.44217570396 93.0044647526126 -541.47643736674</t>
  </si>
  <si>
    <t>-689.299680964052 125.34831045841 -249.054188298658</t>
  </si>
  <si>
    <t>-455.374641850411 183.027962578368 -247.320633107098</t>
  </si>
  <si>
    <t>-645.738978593601 42.1807360490793 -103.657964586694</t>
  </si>
  <si>
    <t>-663.369526233018 69.7386854094316 298.566317198582</t>
  </si>
  <si>
    <t>-711.964569659391 103.652633906417 742.520412573558</t>
  </si>
  <si>
    <t>-567.811677074614 127.28336822626 803.74805260565</t>
  </si>
  <si>
    <t>-572.407018232612 -146.075103942264 305.64109947033</t>
  </si>
  <si>
    <t>-596.71587434922 -147.380341764739 752.885122895794</t>
  </si>
  <si>
    <t>-460.765815086968 -184.446155397525 825.210717985113</t>
  </si>
  <si>
    <t>9763-20170724T104511.683366600.bin</t>
  </si>
  <si>
    <t>-683.338843599752 92.9399852087715 -541.628390240717</t>
  </si>
  <si>
    <t>-688.142250212731 126.362133087446 -249.308151337418</t>
  </si>
  <si>
    <t>-454.126726058109 183.677316221252 -247.713278555055</t>
  </si>
  <si>
    <t>-645.77309785465 42.3124119667787 -103.648440755365</t>
  </si>
  <si>
    <t>-663.375451189074 69.8307310536086 298.579794201097</t>
  </si>
  <si>
    <t>-711.983256738316 103.690190971043 742.538269688726</t>
  </si>
  <si>
    <t>-567.828305941622 127.30576665083 803.766860763219</t>
  </si>
  <si>
    <t>-572.358152691822 -145.94143693664 305.650485166732</t>
  </si>
  <si>
    <t>-596.712786031969 -147.23557778819 752.876838090119</t>
  </si>
  <si>
    <t>-460.927936532212 -184.857879965239 825.225565384108</t>
  </si>
  <si>
    <t>9763-20170724T104511.751484800.bin</t>
  </si>
  <si>
    <t>-683.167219465513 92.5543884326908 -541.862616299304</t>
  </si>
  <si>
    <t>-685.628726300669 128.077970714593 -249.761281006231</t>
  </si>
  <si>
    <t>-451.444634337996 184.698501309141 -248.083986602578</t>
  </si>
  <si>
    <t>-645.676258435526 42.2958691546371 -103.622463783551</t>
  </si>
  <si>
    <t>-663.266556079603 69.7645987489493 298.609676125712</t>
  </si>
  <si>
    <t>-711.964461798811 103.627081517813 742.568133431617</t>
  </si>
  <si>
    <t>-567.8425097336 127.459170172103 803.790740195848</t>
  </si>
  <si>
    <t>-572.31627083534 -145.983411687522 305.661225983176</t>
  </si>
  <si>
    <t>-596.705761344589 -147.148499529642 752.87717775211</t>
  </si>
  <si>
    <t>-460.854119742789 -184.539961901357 825.220127479856</t>
  </si>
  <si>
    <t>9763-20170724T104511.783567000.bin</t>
  </si>
  <si>
    <t>-683.083645956976 92.4206588292241 -541.970890980438</t>
  </si>
  <si>
    <t>-684.436976283634 128.928783437958 -249.983506878987</t>
  </si>
  <si>
    <t>-450.199445925457 185.322633351527 -248.149819520965</t>
  </si>
  <si>
    <t>-645.646056922277 42.289202420325 -103.612604407621</t>
  </si>
  <si>
    <t>-663.27353083618 69.7767501427102 298.616648615299</t>
  </si>
  <si>
    <t>-711.952854554668 103.593895550309 742.578098664125</t>
  </si>
  <si>
    <t>-567.828510758279 127.410314100634 803.800989124517</t>
  </si>
  <si>
    <t>-572.270270279035 -145.924081057933 305.677413750602</t>
  </si>
  <si>
    <t>-596.702733923928 -146.997784316321 752.879707914182</t>
  </si>
  <si>
    <t>-460.92481032902 -184.642396381966 825.229746847246</t>
  </si>
  <si>
    <t>9763-20170724T104511.852432100.bin</t>
  </si>
  <si>
    <t>-682.572789496119 92.1928348509275 -542.211780834073</t>
  </si>
  <si>
    <t>-682.029128083751 130.321182537671 -250.429080106337</t>
  </si>
  <si>
    <t>-447.707661950043 186.348356270197 -248.125330255891</t>
  </si>
  <si>
    <t>-645.625806133326 42.2835547586019 -103.608470173891</t>
  </si>
  <si>
    <t>-663.211495969213 69.7748798921707 298.622285123771</t>
  </si>
  <si>
    <t>-711.958143441326 103.575947719864 742.588992470766</t>
  </si>
  <si>
    <t>-567.816819353564 127.308568343693 803.804351156666</t>
  </si>
  <si>
    <t>-572.334320502009 -145.940690917924 305.705287716865</t>
  </si>
  <si>
    <t>-596.710318273119 -147.128900840407 752.900462407875</t>
  </si>
  <si>
    <t>-460.953711272454 -184.859090297751 825.245811641924</t>
  </si>
  <si>
    <t>9763-20170724T104511.887524600.bin</t>
  </si>
  <si>
    <t>-682.277795773159 92.0897553438758 -542.314018283766</t>
  </si>
  <si>
    <t>-680.942285373409 130.911899010332 -250.62540718349</t>
  </si>
  <si>
    <t>-446.588755760435 186.794445279817 -248.089302093798</t>
  </si>
  <si>
    <t>-645.622905975723 42.2799972796001 -103.621558050682</t>
  </si>
  <si>
    <t>-663.143470739611 69.7162932854324 298.615840229807</t>
  </si>
  <si>
    <t>-711.919381065611 103.475639071292 742.591866035877</t>
  </si>
  <si>
    <t>-567.784321302747 127.258818253982 803.80243702353</t>
  </si>
  <si>
    <t>-572.37182594248 -146.027198092482 305.709931892596</t>
  </si>
  <si>
    <t>-596.70966418238 -147.207062970744 752.903424383897</t>
  </si>
  <si>
    <t>-460.852401197526 -184.588752868882 825.240893418885</t>
  </si>
  <si>
    <t>9763-20170724T104511.931649000.bin</t>
  </si>
  <si>
    <t>-682.07374682884 92.1055675442685 -542.423066813603</t>
  </si>
  <si>
    <t>-680.000382299653 131.477459088381 -250.812512333648</t>
  </si>
  <si>
    <t>-445.619790745725 187.237533950415 -248.084737899229</t>
  </si>
  <si>
    <t>-645.679909893732 42.3742091664419 -103.632740235685</t>
  </si>
  <si>
    <t>-663.143556280963 69.7976824408868 298.608052724868</t>
  </si>
  <si>
    <t>-711.95602804709 103.549837755658 742.581850906163</t>
  </si>
  <si>
    <t>-567.80097420617 127.193105748761 803.799529677486</t>
  </si>
  <si>
    <t>-572.385790449087 -145.990502365005 305.716427258864</t>
  </si>
  <si>
    <t>-596.709881886086 -147.242744943007 752.90489869985</t>
  </si>
  <si>
    <t>-460.934906501538 -184.899471575501 825.254234854498</t>
  </si>
  <si>
    <t>9763-20170724T104511.985306700.bin</t>
  </si>
  <si>
    <t>-681.58049545478 92.1359250079495 -542.594258505608</t>
  </si>
  <si>
    <t>-678.267887582233 132.135437097904 -251.080448385023</t>
  </si>
  <si>
    <t>-443.859145813334 187.770658475177 -248.230872104021</t>
  </si>
  <si>
    <t>-645.715758889202 42.3838607536336 -103.659275050785</t>
  </si>
  <si>
    <t>-663.217108749904 69.8917531449588 298.57405454191</t>
  </si>
  <si>
    <t>-711.899410029132 103.451732554707 742.559228711932</t>
  </si>
  <si>
    <t>-567.76641727425 127.208825307269 803.784849766834</t>
  </si>
  <si>
    <t>-572.586206173427 -145.946024084218 305.707132913902</t>
  </si>
  <si>
    <t>-596.711396983808 -147.000841269317 752.904788753017</t>
  </si>
  <si>
    <t>-460.985937627264 -184.82071085484 825.262044697191</t>
  </si>
  <si>
    <t>9763-20170724T104512.051995100.bin</t>
  </si>
  <si>
    <t>-681.108730430271 92.3078340229304 -542.644874207692</t>
  </si>
  <si>
    <t>-676.158429320627 133.199481152395 -251.278123040233</t>
  </si>
  <si>
    <t>-441.760358876764 188.882565666463 -248.490555082113</t>
  </si>
  <si>
    <t>-645.933289695657 42.4207246582725 -103.680553399724</t>
  </si>
  <si>
    <t>-663.475584980578 69.9381135198057 298.550370753629</t>
  </si>
  <si>
    <t>-711.886378599551 103.458645560303 742.552373360641</t>
  </si>
  <si>
    <t>-567.753125047519 127.201809255378 803.78281168111</t>
  </si>
  <si>
    <t>-572.812493317793 -145.909742567842 305.692650351927</t>
  </si>
  <si>
    <t>-596.717717907541 -146.897079351851 752.905462366421</t>
  </si>
  <si>
    <t>-461.062876483874 -184.952218155741 825.27165285869</t>
  </si>
  <si>
    <t>9763-20170724T104512.086083700.bin</t>
  </si>
  <si>
    <t>-680.76494075526 92.4293247889289 -542.619288784311</t>
  </si>
  <si>
    <t>-674.557745561507 133.994957083822 -251.3720457589</t>
  </si>
  <si>
    <t>-440.205899783482 189.875999617979 -248.653550833194</t>
  </si>
  <si>
    <t>-646.016434356042 42.372697404104 -103.680263283792</t>
  </si>
  <si>
    <t>-663.568071249279 69.8768393758539 298.551188493176</t>
  </si>
  <si>
    <t>-711.819830467197 103.336090437128 742.560546349892</t>
  </si>
  <si>
    <t>-567.702903082814 127.17968924367 803.790355661279</t>
  </si>
  <si>
    <t>-572.962555920178 -145.922401159085 305.682624837711</t>
  </si>
  <si>
    <t>-596.724248147383 -146.988300682411 752.905863292469</t>
  </si>
  <si>
    <t>-461.060629934518 -185.014319234676 825.270965576367</t>
  </si>
  <si>
    <t>9763-20170724T104512.149244500.bin</t>
  </si>
  <si>
    <t>-679.973284858097 92.7588203571897 -542.498603034815</t>
  </si>
  <si>
    <t>-670.52436569409 136.066040101285 -251.592376513002</t>
  </si>
  <si>
    <t>-436.265254957321 192.342766058987 -249.055630663781</t>
  </si>
  <si>
    <t>-646.283555891187 42.3469294614829 -103.669383983998</t>
  </si>
  <si>
    <t>-663.85225579718 69.9084281939251 298.557354014737</t>
  </si>
  <si>
    <t>-711.878014595247 103.474778670098 742.598055006595</t>
  </si>
  <si>
    <t>-567.735652288909 127.189426292984 803.818264333002</t>
  </si>
  <si>
    <t>-573.207053317938 -145.971202207127 305.661142238186</t>
  </si>
  <si>
    <t>-596.733581054819 -147.022998465955 752.908151359947</t>
  </si>
  <si>
    <t>-461.067122167423 -185.059480080228 825.262348597024</t>
  </si>
  <si>
    <t>9763-20170724T104512.191357200.bin</t>
  </si>
  <si>
    <t>-679.580196625201 92.8994420598829 -542.442951427706</t>
  </si>
  <si>
    <t>-668.435089932525 137.168315552248 -251.741528971966</t>
  </si>
  <si>
    <t>-434.223093056444 193.645498289886 -249.306386273009</t>
  </si>
  <si>
    <t>-646.376295757096 42.3008375096622 -103.652616829235</t>
  </si>
  <si>
    <t>-664.005303254586 69.8486415468728 298.572469715187</t>
  </si>
  <si>
    <t>-711.840651111128 103.389738996846 742.624361302152</t>
  </si>
  <si>
    <t>-567.704051776909 127.165301309368 803.834289351249</t>
  </si>
  <si>
    <t>-573.334647497368 -146.019624913888 305.651571246033</t>
  </si>
  <si>
    <t>-596.742214043757 -147.104856091332 752.907816812047</t>
  </si>
  <si>
    <t>-461.064426259633 -185.109728699743 825.257356744434</t>
  </si>
  <si>
    <t>9763-20170724T104512.254300100.bin</t>
  </si>
  <si>
    <t>-678.989378806917 93.2257350646341 -542.297331266918</t>
  </si>
  <si>
    <t>-664.385542058182 139.23374510653 -252.01946744519</t>
  </si>
  <si>
    <t>-430.210480957743 195.862060728458 -249.536384968434</t>
  </si>
  <si>
    <t>-646.633995801962 42.3229662459262 -103.624114651939</t>
  </si>
  <si>
    <t>-664.340495945244 69.893218551895 298.595984068082</t>
  </si>
  <si>
    <t>-711.88896187048 103.481944233916 742.68576722308</t>
  </si>
  <si>
    <t>-567.721639003476 127.11713103427 803.87764052013</t>
  </si>
  <si>
    <t>-573.673183753666 -146.124840080835 305.643365562248</t>
  </si>
  <si>
    <t>-596.754529989713 -147.177523186811 752.923025783023</t>
  </si>
  <si>
    <t>-461.031516093633 -185.047165770035 825.258768733104</t>
  </si>
  <si>
    <t>9763-20170724T104512.288391200.bin</t>
  </si>
  <si>
    <t>-678.667990515213 93.2913905772393 -542.211319609076</t>
  </si>
  <si>
    <t>-662.540232216747 140.062440507321 -252.136066712599</t>
  </si>
  <si>
    <t>-428.364702543218 196.680574728369 -249.474123204104</t>
  </si>
  <si>
    <t>-646.719646410615 42.2395034067442 -103.602040023521</t>
  </si>
  <si>
    <t>-664.382808828978 69.8039993433931 298.620411419965</t>
  </si>
  <si>
    <t>-711.838465495552 103.375742644623 742.720508277656</t>
  </si>
  <si>
    <t>-567.717177785649 127.332572876039 803.895768005329</t>
  </si>
  <si>
    <t>-573.758703714372 -146.219476678239 305.643654702412</t>
  </si>
  <si>
    <t>-596.766183070772 -147.315329787793 752.939397065864</t>
  </si>
  <si>
    <t>-460.903268917678 -184.730496263871 825.248878299256</t>
  </si>
  <si>
    <t>9763-20170724T104512.356304900.bin</t>
  </si>
  <si>
    <t>-677.963680569104 93.7181420935549 -541.99318852994</t>
  </si>
  <si>
    <t>-659.417419455773 141.299405181362 -252.194498643847</t>
  </si>
  <si>
    <t>-425.342295193948 198.323488622642 -249.373767910848</t>
  </si>
  <si>
    <t>-646.717878905635 42.1060848862173 -103.524864052236</t>
  </si>
  <si>
    <t>-664.35752702267 69.7895284209721 298.690440897414</t>
  </si>
  <si>
    <t>-711.860120631863 103.410723115809 742.779539055912</t>
  </si>
  <si>
    <t>-567.688733760312 127.073424078753 803.951465859274</t>
  </si>
  <si>
    <t>-573.830234422175 -146.231442665003 305.653899329542</t>
  </si>
  <si>
    <t>-596.771299497719 -147.093265972547 752.941730010521</t>
  </si>
  <si>
    <t>-461.015555184095 -184.882298530646 825.258138043022</t>
  </si>
  <si>
    <t>9763-20170724T104512.386410300.bin</t>
  </si>
  <si>
    <t>-677.720421475425 93.9773916492388 -541.857368090678</t>
  </si>
  <si>
    <t>-658.038706933593 141.823593597324 -252.177274932241</t>
  </si>
  <si>
    <t>-424.027745314171 199.113284395879 -249.41014744745</t>
  </si>
  <si>
    <t>-646.740577632327 42.0740057763237 -103.486511251729</t>
  </si>
  <si>
    <t>-664.383362226559 69.809929955223 298.72505632152</t>
  </si>
  <si>
    <t>-711.882249621195 103.46297592733 742.806183817465</t>
  </si>
  <si>
    <t>-567.693305018632 127.016063232204 803.978905391967</t>
  </si>
  <si>
    <t>-573.847120095756 -146.253484182079 305.658509601953</t>
  </si>
  <si>
    <t>-596.775244977114 -147.18475087129 752.948156110858</t>
  </si>
  <si>
    <t>-461.050428976688 -185.082857056996 825.265455416862</t>
  </si>
  <si>
    <t>9763-20170724T104512.450207600.bin</t>
  </si>
  <si>
    <t>-677.996601538205 94.4841198486279 -541.506862297734</t>
  </si>
  <si>
    <t>-655.216221652936 143.253709423305 -252.208057495148</t>
  </si>
  <si>
    <t>-421.279108271001 200.85971481165 -249.788300933309</t>
  </si>
  <si>
    <t>-647.008557173647 41.9590411775625 -103.4145942558</t>
  </si>
  <si>
    <t>-664.530973519017 69.679323054138 298.803290251704</t>
  </si>
  <si>
    <t>-711.807896604955 103.331641192651 742.879184246138</t>
  </si>
  <si>
    <t>-567.649467072894 127.071414883977 804.051568467305</t>
  </si>
  <si>
    <t>-574.053265458836 -146.337808874382 305.651582380354</t>
  </si>
  <si>
    <t>-596.783470439899 -147.25443487931 752.956299545238</t>
  </si>
  <si>
    <t>-461.073797961877 -185.215945786084 825.268871889353</t>
  </si>
  <si>
    <t>9763-20170724T104512.486307800.bin</t>
  </si>
  <si>
    <t>-678.310816351743 94.5401431470416 -541.327785237975</t>
  </si>
  <si>
    <t>-653.656421332227 143.915893979394 -252.285568317194</t>
  </si>
  <si>
    <t>-419.73214285709 201.587243706093 -250.211387158474</t>
  </si>
  <si>
    <t>-647.215116436259 41.8716085685201 -103.387464781429</t>
  </si>
  <si>
    <t>-664.641131679033 69.6127552832493 298.833139658363</t>
  </si>
  <si>
    <t>-711.787010824649 103.302965940117 742.920092795961</t>
  </si>
  <si>
    <t>-567.637990339662 127.097527757289 804.093301010872</t>
  </si>
  <si>
    <t>-574.164683209634 -146.366010115897 305.637348148891</t>
  </si>
  <si>
    <t>-596.784570470341 -147.338387370397 752.955951461769</t>
  </si>
  <si>
    <t>-461.017875653666 -185.103273188644 825.264491782172</t>
  </si>
  <si>
    <t>9763-20170724T104512.519404500.bin</t>
  </si>
  <si>
    <t>-678.484959486644 94.6293076208769 -541.213302997817</t>
  </si>
  <si>
    <t>-652.063971124425 144.523617390024 -252.416405838107</t>
  </si>
  <si>
    <t>-418.122258087504 202.136302625891 -250.715887008673</t>
  </si>
  <si>
    <t>-647.411213777446 41.7860865876269 -103.359159160116</t>
  </si>
  <si>
    <t>-664.786703364659 69.5982800733532 298.858739557042</t>
  </si>
  <si>
    <t>-711.786450126703 103.309269383582 742.957604574029</t>
  </si>
  <si>
    <t>-567.639932704541 127.119390698404 804.130906044767</t>
  </si>
  <si>
    <t>-574.264035807617 -146.318150445866 305.63592488948</t>
  </si>
  <si>
    <t>-596.782483681603 -147.258420167603 752.958828887286</t>
  </si>
  <si>
    <t>-461.04597124259 -185.127600014057 825.269475092096</t>
  </si>
  <si>
    <t>9763-20170724T104512.584069900.bin</t>
  </si>
  <si>
    <t>-678.543812626168 94.6564892220599 -541.059427999712</t>
  </si>
  <si>
    <t>-648.945802754167 145.64477502035 -252.762028629791</t>
  </si>
  <si>
    <t>-414.983809409706 203.181921721326 -251.302293076942</t>
  </si>
  <si>
    <t>-647.792012899209 41.7245617723331 -103.324557790352</t>
  </si>
  <si>
    <t>-664.981403287417 69.5479997431137 298.900553399373</t>
  </si>
  <si>
    <t>-711.782170255024 103.298980006768 743.032664352112</t>
  </si>
  <si>
    <t>-567.647033303126 127.205163564511 804.195347349207</t>
  </si>
  <si>
    <t>-574.411123226493 -146.358414722278 305.649867022616</t>
  </si>
  <si>
    <t>-596.784882757352 -147.493166822178 752.976013884986</t>
  </si>
  <si>
    <t>-460.917443821528 -184.92496576145 825.268460139637</t>
  </si>
  <si>
    <t>9763-20170724T104512.656284500.bin</t>
  </si>
  <si>
    <t>-678.693201582265 94.8903397284846 -540.996260402361</t>
  </si>
  <si>
    <t>-646.636610152006 146.69370135136 -253.107310498516</t>
  </si>
  <si>
    <t>-412.645992116774 204.116856398761 -251.745003476548</t>
  </si>
  <si>
    <t>-648.135336592441 41.9303857490645 -103.305673163802</t>
  </si>
  <si>
    <t>-665.178114424637 69.6634709595339 298.931976646599</t>
  </si>
  <si>
    <t>-711.757892349778 103.259701564935 743.096469460785</t>
  </si>
  <si>
    <t>-567.634018389664 127.224074722063 804.262745453262</t>
  </si>
  <si>
    <t>-574.605164787303 -146.102484345495 305.654431468757</t>
  </si>
  <si>
    <t>-596.773465136971 -147.193688644653 752.972954522099</t>
  </si>
  <si>
    <t>-461.037370525034 -185.063275291322 825.28411398235</t>
  </si>
  <si>
    <t>9763-20170724T104512.686349400.bin</t>
  </si>
  <si>
    <t>-678.947633050118 94.8995674834368 -540.968412763937</t>
  </si>
  <si>
    <t>-645.658039157512 147.203348525677 -253.31009332886</t>
  </si>
  <si>
    <t>-411.668967127399 204.631729554461 -251.915848399736</t>
  </si>
  <si>
    <t>-648.339952487661 42.0779286643344 -103.33566395342</t>
  </si>
  <si>
    <t>-665.278020577119 69.7495554908705 298.91057931573</t>
  </si>
  <si>
    <t>-711.786135534744 103.350378443124 743.09233328612</t>
  </si>
  <si>
    <t>-567.6439435003 127.136032510056 804.285134185888</t>
  </si>
  <si>
    <t>-574.762571548958 -146.078453581851 305.660444637742</t>
  </si>
  <si>
    <t>-596.767172486747 -147.319923485294 752.977091578215</t>
  </si>
  <si>
    <t>-460.965631390195 -184.956889789364 825.286730456183</t>
  </si>
  <si>
    <t>9763-20170724T104512.747064400.bin</t>
  </si>
  <si>
    <t>-680.016190974001 94.7796961837291 -540.88379661696</t>
  </si>
  <si>
    <t>-643.82557029469 148.056791003386 -253.754782262014</t>
  </si>
  <si>
    <t>-409.855346319749 205.563428367147 -252.414693586787</t>
  </si>
  <si>
    <t>-648.762011569664 42.1632128110537 -103.40449296989</t>
  </si>
  <si>
    <t>-665.336580273551 69.8041892739661 298.858937178885</t>
  </si>
  <si>
    <t>-711.741118491201 103.32476498138 743.078441993608</t>
  </si>
  <si>
    <t>-567.625350138727 127.17268855179 804.309392766357</t>
  </si>
  <si>
    <t>-574.933461413251 -145.964175521534 305.631797981735</t>
  </si>
  <si>
    <t>-596.747715617291 -147.310071393148 752.958279292177</t>
  </si>
  <si>
    <t>-460.90021891325 -184.751119907733 825.283470645063</t>
  </si>
  <si>
    <t>9763-20170724T104512.787174300.bin</t>
  </si>
  <si>
    <t>-680.567078890869 94.6863189162113 -540.848094667621</t>
  </si>
  <si>
    <t>-642.992074415377 148.371512683447 -253.97315092766</t>
  </si>
  <si>
    <t>-408.987097863369 205.739734365156 -252.77458260427</t>
  </si>
  <si>
    <t>-649.026182404761 42.1233801953456 -103.431188493854</t>
  </si>
  <si>
    <t>-665.406776995 69.7822841362506 298.839076902416</t>
  </si>
  <si>
    <t>-711.737398177153 103.335935463555 743.073724778312</t>
  </si>
  <si>
    <t>-567.612864231346 127.096457943097 804.317819942872</t>
  </si>
  <si>
    <t>-574.981798180658 -145.899669445378 305.608881104087</t>
  </si>
  <si>
    <t>-596.736828674468 -147.360033999228 752.939119044432</t>
  </si>
  <si>
    <t>-460.811782158205 -184.508122512669 825.269656550514</t>
  </si>
  <si>
    <t>9763-20170724T104512.848801900.bin</t>
  </si>
  <si>
    <t>-681.319595783334 94.6442633247354 -540.76151532968</t>
  </si>
  <si>
    <t>-640.841048609872 149.130332523471 -254.433136684234</t>
  </si>
  <si>
    <t>-406.71557897232 206.011053342427 -253.586701229093</t>
  </si>
  <si>
    <t>-649.637294981177 42.0654978716257 -103.481058368936</t>
  </si>
  <si>
    <t>-665.715555563205 69.7696753964503 298.798247205803</t>
  </si>
  <si>
    <t>-711.797747322107 103.494830889801 743.058247340251</t>
  </si>
  <si>
    <t>-567.648525196292 127.036943760414 804.328800489638</t>
  </si>
  <si>
    <t>-575.120088460895 -145.803377830648 305.554426198454</t>
  </si>
  <si>
    <t>-596.720209462536 -147.449443038626 752.904792102892</t>
  </si>
  <si>
    <t>-460.783578342523 -184.508915646837 825.258992271929</t>
  </si>
  <si>
    <t>9763-20170724T104512.895930300.bin</t>
  </si>
  <si>
    <t>-681.545104917559 94.7982535309277 -540.715486584676</t>
  </si>
  <si>
    <t>-639.496206542676 149.587684343122 -254.671388796133</t>
  </si>
  <si>
    <t>-405.330270424675 206.303371701674 -253.952217081103</t>
  </si>
  <si>
    <t>-649.936942880834 42.1067351001666 -103.510753681566</t>
  </si>
  <si>
    <t>-665.980605962517 69.8024996017348 298.770480699008</t>
  </si>
  <si>
    <t>-711.785412074056 103.495674419577 743.05235102578</t>
  </si>
  <si>
    <t>-567.655344042597 127.116071022925 804.337832300776</t>
  </si>
  <si>
    <t>-575.25390088822 -145.737369885582 305.522974359419</t>
  </si>
  <si>
    <t>-596.712152662675 -147.40532969215 752.884961410212</t>
  </si>
  <si>
    <t>-460.783056989899 -184.471910446131 825.249628721502</t>
  </si>
  <si>
    <t>9763-20170724T104512.952084200.bin</t>
  </si>
  <si>
    <t>-682.007158894416 95.1160851081829 -540.628415577006</t>
  </si>
  <si>
    <t>-637.038607833084 150.251075550132 -255.095161223541</t>
  </si>
  <si>
    <t>-402.871279676191 206.962042165819 -254.465848239032</t>
  </si>
  <si>
    <t>-650.466275210737 42.1447634317742 -103.576207950519</t>
  </si>
  <si>
    <t>-666.53385123094 69.8478980243121 298.703543916949</t>
  </si>
  <si>
    <t>-711.727794937642 103.442845143985 743.043723825672</t>
  </si>
  <si>
    <t>-567.637351262004 127.238770389646 804.354448298673</t>
  </si>
  <si>
    <t>-575.590588344259 -145.619564499945 305.458126835039</t>
  </si>
  <si>
    <t>-596.699949812509 -147.443119257163 752.845695208143</t>
  </si>
  <si>
    <t>-460.737248764727 -184.350428883669 825.228602342471</t>
  </si>
  <si>
    <t>9763-20170724T104512.985172000.bin</t>
  </si>
  <si>
    <t>-682.19794266266 95.2625177671728 -540.614449740353</t>
  </si>
  <si>
    <t>-635.985197104332 150.474230218971 -255.294909218141</t>
  </si>
  <si>
    <t>-401.87268030129 207.409737505568 -254.538062138833</t>
  </si>
  <si>
    <t>-650.718327555789 42.1907283626895 -103.601145091484</t>
  </si>
  <si>
    <t>-666.796622371025 69.9035632915243 298.677583789632</t>
  </si>
  <si>
    <t>-711.742935799697 103.48217860371 743.05712968462</t>
  </si>
  <si>
    <t>-567.622152798741 127.079942233304 804.373132126134</t>
  </si>
  <si>
    <t>-575.727897802833 -145.631552967494 305.433160867824</t>
  </si>
  <si>
    <t>-596.701107860349 -147.540440802492 752.840597365648</t>
  </si>
  <si>
    <t>-460.68114897544 -184.248125466062 825.21751820573</t>
  </si>
  <si>
    <t>9763-20170724T104513.053963100.bin</t>
  </si>
  <si>
    <t>-682.301843570876 95.3810190122558 -540.612368069189</t>
  </si>
  <si>
    <t>-634.064740615983 150.989934351274 -255.705348602837</t>
  </si>
  <si>
    <t>-400.011906670767 208.160014064675 -254.390231337164</t>
  </si>
  <si>
    <t>-651.055490616643 42.1305084779294 -103.603838319107</t>
  </si>
  <si>
    <t>-667.044850677538 69.8505524853713 298.67783821077</t>
  </si>
  <si>
    <t>-711.723849770866 103.452585567379 743.094190821296</t>
  </si>
  <si>
    <t>-567.624746576626 127.182284569272 804.410085780852</t>
  </si>
  <si>
    <t>-575.806760349246 -145.661032887904 305.421363545784</t>
  </si>
  <si>
    <t>-596.717891926427 -147.623043743063 752.84344472494</t>
  </si>
  <si>
    <t>-460.609512307708 -184.045682182445 825.198236655807</t>
  </si>
  <si>
    <t>9763-20170724T104513.086048400.bin</t>
  </si>
  <si>
    <t>-682.349872621409 95.4793104692633 -540.610034797506</t>
  </si>
  <si>
    <t>-633.299209726346 151.444109681369 -255.911673390603</t>
  </si>
  <si>
    <t>-399.27169802348 208.709677752063 -254.284729893012</t>
  </si>
  <si>
    <t>-651.193222217384 42.2097568583274 -103.589902868467</t>
  </si>
  <si>
    <t>-667.092349078486 69.8770053875144 298.69901204017</t>
  </si>
  <si>
    <t>-711.758596088489 103.510946443369 743.116385196017</t>
  </si>
  <si>
    <t>-567.634899686505 127.095418676826 804.430510319721</t>
  </si>
  <si>
    <t>-575.879277675286 -145.611380643241 305.440768171604</t>
  </si>
  <si>
    <t>-596.719981036154 -147.580209651903 752.845427305692</t>
  </si>
  <si>
    <t>-460.645305270506 -184.124484933192 825.202127004971</t>
  </si>
  <si>
    <t>9763-20170724T104513.151227600.bin</t>
  </si>
  <si>
    <t>-682.373023883887 95.6725198142776 -540.627260247857</t>
  </si>
  <si>
    <t>-631.576909317493 152.349669093529 -256.37626638746</t>
  </si>
  <si>
    <t>-397.626027734614 209.904204405336 -254.070218168465</t>
  </si>
  <si>
    <t>-651.261217965292 42.2817857109542 -103.563627268331</t>
  </si>
  <si>
    <t>-667.039697564042 69.914844819501 298.732475235287</t>
  </si>
  <si>
    <t>-711.773644816416 103.516221187893 743.149969725026</t>
  </si>
  <si>
    <t>-567.61262450093 126.882866376677 804.459849614858</t>
  </si>
  <si>
    <t>-575.950761476334 -145.547032093373 305.455257211371</t>
  </si>
  <si>
    <t>-596.731668197689 -147.46640227577 752.853083886217</t>
  </si>
  <si>
    <t>-460.739714411311 -184.311268015788 825.212877938845</t>
  </si>
  <si>
    <t>9763-20170724T104513.186320100.bin</t>
  </si>
  <si>
    <t>-682.493136844875 95.6925005446992 -540.616220107379</t>
  </si>
  <si>
    <t>-630.729311104841 152.781537047622 -256.622179492169</t>
  </si>
  <si>
    <t>-396.790336235127 210.374403611656 -254.077175902028</t>
  </si>
  <si>
    <t>-651.29665238059 42.3249854033077 -103.547499060595</t>
  </si>
  <si>
    <t>-667.05057966131 69.9310324873493 298.751398385684</t>
  </si>
  <si>
    <t>-711.725985667267 103.41202255617 743.165059310811</t>
  </si>
  <si>
    <t>-567.575476258864 126.855927600888 804.470064230486</t>
  </si>
  <si>
    <t>-576.005626899979 -145.475087746125 305.470873941613</t>
  </si>
  <si>
    <t>-596.734471961568 -147.441752927356 752.862346968074</t>
  </si>
  <si>
    <t>-460.773269689881 -184.40048420496 825.222012921805</t>
  </si>
  <si>
    <t>9763-20170724T104513.251507700.bin</t>
  </si>
  <si>
    <t>-682.408808960412 95.8506641639806 -540.679964275842</t>
  </si>
  <si>
    <t>-629.132545910065 153.560108093756 -257.091381845838</t>
  </si>
  <si>
    <t>-395.239611368642 211.308917046985 -253.923497581203</t>
  </si>
  <si>
    <t>-651.366885686861 42.519255836585 -103.533048686005</t>
  </si>
  <si>
    <t>-667.182946550581 70.0476368005527 298.768694051537</t>
  </si>
  <si>
    <t>-711.748447546439 103.449723610902 743.195598925825</t>
  </si>
  <si>
    <t>-567.604628494933 126.96564215743 804.489034032478</t>
  </si>
  <si>
    <t>-576.061567188204 -145.237723089144 305.473326368512</t>
  </si>
  <si>
    <t>-596.730218816936 -147.183745085692 752.860977966217</t>
  </si>
  <si>
    <t>-460.837897219028 -184.368507603395 825.233992400922</t>
  </si>
  <si>
    <t>9763-20170724T104513.283591300.bin</t>
  </si>
  <si>
    <t>-682.202607290405 95.7743468180227 -540.745297347647</t>
  </si>
  <si>
    <t>-628.26783511384 153.811002521365 -257.348014501358</t>
  </si>
  <si>
    <t>-394.399731722862 211.632325594623 -253.702815748361</t>
  </si>
  <si>
    <t>-651.368181372457 42.5715115473404 -103.534645632246</t>
  </si>
  <si>
    <t>-667.206939755066 70.0889535682643 298.766935445037</t>
  </si>
  <si>
    <t>-711.770038224364 103.498706854512 743.204267701223</t>
  </si>
  <si>
    <t>-567.587766930408 126.760770314106 804.50405307333</t>
  </si>
  <si>
    <t>-576.069748219874 -145.272782166912 305.479110987549</t>
  </si>
  <si>
    <t>-596.729445360313 -147.410402471672 752.86461324777</t>
  </si>
  <si>
    <t>-460.734250860413 -184.231361440887 825.230466681066</t>
  </si>
  <si>
    <t>9763-20170724T104513.353786100.bin</t>
  </si>
  <si>
    <t>-681.553352942488 95.6473113678542 -540.857618188276</t>
  </si>
  <si>
    <t>-626.353416072614 154.332768736006 -257.837808664807</t>
  </si>
  <si>
    <t>-392.551114026848 212.339114424614 -253.082001464381</t>
  </si>
  <si>
    <t>-651.15035784032 42.6262630469009 -103.551413125657</t>
  </si>
  <si>
    <t>-667.056449300361 70.0838093080067 298.751600391391</t>
  </si>
  <si>
    <t>-711.734307989091 103.426867351489 743.200527163761</t>
  </si>
  <si>
    <t>-567.582551946431 126.880959415383 804.498718415965</t>
  </si>
  <si>
    <t>-576.02591688562 -145.311068843346 305.494703077886</t>
  </si>
  <si>
    <t>-596.734376078089 -147.419889555524 752.872248737275</t>
  </si>
  <si>
    <t>-460.702645636919 -184.105722213134 825.238066576381</t>
  </si>
  <si>
    <t>9763-20170724T104513.387885600.bin</t>
  </si>
  <si>
    <t>-681.094389063528 95.6041602726953 -540.922207661243</t>
  </si>
  <si>
    <t>-625.201527192494 154.506040487666 -258.083398651826</t>
  </si>
  <si>
    <t>-391.435669806014 212.621289378234 -252.883504046645</t>
  </si>
  <si>
    <t>-650.932896043215 42.6653479628501 -103.550313617537</t>
  </si>
  <si>
    <t>-666.93706998491 70.0497632553718 298.753819364134</t>
  </si>
  <si>
    <t>-711.729965736823 103.418460338499 743.194807608683</t>
  </si>
  <si>
    <t>-567.585153616845 126.922198370601 804.490276995106</t>
  </si>
  <si>
    <t>-576.069396346076 -145.311892312651 305.502595881008</t>
  </si>
  <si>
    <t>-596.736820431403 -147.402302086247 752.872897522015</t>
  </si>
  <si>
    <t>-460.713927299361 -184.117976008186 825.24022801081</t>
  </si>
  <si>
    <t>9763-20170724T104513.451591900.bin</t>
  </si>
  <si>
    <t>-680.337498921905 95.7124043352926 -541.039879096163</t>
  </si>
  <si>
    <t>-622.795526243439 154.940167646532 -258.600204196783</t>
  </si>
  <si>
    <t>-389.113354937195 213.33306153174 -252.78837027848</t>
  </si>
  <si>
    <t>-650.494492585849 42.6943643978225 -103.499080148554</t>
  </si>
  <si>
    <t>-666.739134626686 69.985111646452 298.801813376293</t>
  </si>
  <si>
    <t>-711.732824602003 103.378213146863 743.214392836555</t>
  </si>
  <si>
    <t>-567.580081590025 126.865979175251 804.497348350665</t>
  </si>
  <si>
    <t>-576.19114486595 -145.259483851179 305.483272608439</t>
  </si>
  <si>
    <t>-596.734349305025 -147.252292988816 752.861459344891</t>
  </si>
  <si>
    <t>-460.78651709368 -184.210942939274 825.246097364077</t>
  </si>
  <si>
    <t>9763-20170724T104513.484680100.bin</t>
  </si>
  <si>
    <t>-680.054093356921 95.8001898029934 -541.010383432266</t>
  </si>
  <si>
    <t>-621.529484915992 155.28606461787 -258.826872898669</t>
  </si>
  <si>
    <t>-387.867605460629 213.737728347994 -252.795227642512</t>
  </si>
  <si>
    <t>-650.380512081268 42.686171308862 -103.43419708728</t>
  </si>
  <si>
    <t>-666.686569328511 69.9092347056962 298.868784213134</t>
  </si>
  <si>
    <t>-711.759319000151 103.345146826481 743.269007371234</t>
  </si>
  <si>
    <t>-567.568619595598 126.647089000351 804.533775989832</t>
  </si>
  <si>
    <t>-576.240998479612 -145.413874840093 305.474671718243</t>
  </si>
  <si>
    <t>-596.745910338332 -147.49843141446 752.865611746835</t>
  </si>
  <si>
    <t>-460.701663007248 -184.129372008179 825.235656236857</t>
  </si>
  <si>
    <t>9763-20170724T104513.551371700.bin</t>
  </si>
  <si>
    <t>-679.218303535405 96.163424836604 -540.962806377359</t>
  </si>
  <si>
    <t>-618.845617437558 156.170333023544 -259.279460824979</t>
  </si>
  <si>
    <t>-385.248760533555 214.838847818763 -252.845073703905</t>
  </si>
  <si>
    <t>-650.069629644478 42.7358069729946 -103.376323093052</t>
  </si>
  <si>
    <t>-666.497522919917 69.8565250249978 298.928587780246</t>
  </si>
  <si>
    <t>-711.771958370803 103.308752736328 743.318102679073</t>
  </si>
  <si>
    <t>-567.522738644076 126.298888902064 804.562719191396</t>
  </si>
  <si>
    <t>-576.431817137205 -145.390165462974 305.484426031808</t>
  </si>
  <si>
    <t>-596.765076020111 -147.364477152583 752.869960377512</t>
  </si>
  <si>
    <t>-460.805865071368 -184.301242950297 825.244485786286</t>
  </si>
  <si>
    <t>9763-20170724T104513.585462000.bin</t>
  </si>
  <si>
    <t>-678.799873505242 96.2944340232311 -540.916113931555</t>
  </si>
  <si>
    <t>-617.604516173029 156.372651319848 -259.425389762542</t>
  </si>
  <si>
    <t>-384.10055174707 215.396892281986 -252.876458910728</t>
  </si>
  <si>
    <t>-649.891996224773 42.7046284562025 -103.347924727732</t>
  </si>
  <si>
    <t>-666.346600156301 69.7944825782461 298.958000942392</t>
  </si>
  <si>
    <t>-711.732933591124 103.225300351563 743.326137728235</t>
  </si>
  <si>
    <t>-567.506076313715 126.384849778457 804.559755929615</t>
  </si>
  <si>
    <t>-576.436246488082 -145.541974827185 305.493235142882</t>
  </si>
  <si>
    <t>-596.778111795405 -147.522894785377 752.879147541269</t>
  </si>
  <si>
    <t>-460.690561185583 -184.020036043216 825.235355891863</t>
  </si>
  <si>
    <t>9763-20170724T104513.652243900.bin</t>
  </si>
  <si>
    <t>-677.869695024738 96.5387091170583 -540.793667381831</t>
  </si>
  <si>
    <t>-614.915335969514 156.571709304442 -259.681585163983</t>
  </si>
  <si>
    <t>-381.580953177458 216.23340749527 -252.866527571539</t>
  </si>
  <si>
    <t>-649.429540088862 42.5922772763795 -103.286199938736</t>
  </si>
  <si>
    <t>-666.171636827965 69.7605851638268 299.002625804018</t>
  </si>
  <si>
    <t>-711.715350846445 103.201455527132 743.34291299401</t>
  </si>
  <si>
    <t>-567.475808961656 126.310179736323 804.565710054913</t>
  </si>
  <si>
    <t>-576.567755295893 -145.640337130126 305.515321000733</t>
  </si>
  <si>
    <t>-596.799268624059 -147.465666150006 752.883331164445</t>
  </si>
  <si>
    <t>-460.813272144256 -184.318426144897 825.250202151208</t>
  </si>
  <si>
    <t>9763-20170724T104513.683327100.bin</t>
  </si>
  <si>
    <t>-677.32268968883 96.5677625783483 -540.747879081295</t>
  </si>
  <si>
    <t>-613.59722684654 156.736286428957 -259.838569369836</t>
  </si>
  <si>
    <t>-380.345026755986 216.694839624667 -252.818346308293</t>
  </si>
  <si>
    <t>-649.248126853501 42.5135559070916 -103.261232635889</t>
  </si>
  <si>
    <t>-666.127178805673 69.6539097118266 299.023714223778</t>
  </si>
  <si>
    <t>-711.683249865651 103.142845367546 743.357532577743</t>
  </si>
  <si>
    <t>-567.455049045103 126.348983986825 804.570089140086</t>
  </si>
  <si>
    <t>-576.627850982469 -145.816546305149 305.517873841388</t>
  </si>
  <si>
    <t>-596.813735943659 -147.613216683561 752.896228129764</t>
  </si>
  <si>
    <t>-460.798084889551 -184.377147880715 825.252660898743</t>
  </si>
  <si>
    <t>9763-20170724T104513.753538500.bin</t>
  </si>
  <si>
    <t>-676.349609095833 96.8215224960832 -540.600038965954</t>
  </si>
  <si>
    <t>-610.85394662825 157.521873377524 -260.212872713014</t>
  </si>
  <si>
    <t>-377.740683734111 217.937759561574 -252.532705489225</t>
  </si>
  <si>
    <t>-649.040039325077 42.2341458502412 -103.202974667033</t>
  </si>
  <si>
    <t>-666.107448628248 69.4771732792208 299.067048205507</t>
  </si>
  <si>
    <t>-711.655576053747 103.129355434641 743.395389606565</t>
  </si>
  <si>
    <t>-567.456663558397 126.559744016199 804.59181156577</t>
  </si>
  <si>
    <t>-576.76765423476 -145.979550463628 305.500713618073</t>
  </si>
  <si>
    <t>-596.850927197064 -147.511367149373 752.909710687848</t>
  </si>
  <si>
    <t>-460.887997847738 -184.497744110413 825.251837737846</t>
  </si>
  <si>
    <t>9763-20170724T104513.786621700.bin</t>
  </si>
  <si>
    <t>-675.880774944425 96.9676728286263 -540.501351140497</t>
  </si>
  <si>
    <t>-609.614662873682 157.918399639945 -260.349550535238</t>
  </si>
  <si>
    <t>-376.588915225531 218.640892451952 -252.43482390936</t>
  </si>
  <si>
    <t>-649.010070954479 42.0766577755692 -103.158818882413</t>
  </si>
  <si>
    <t>-666.159639046118 69.3940382735843 299.102729568988</t>
  </si>
  <si>
    <t>-711.670312613259 103.17605437175 743.425218168237</t>
  </si>
  <si>
    <t>-567.445249530955 126.462041261309 804.614965757022</t>
  </si>
  <si>
    <t>-576.854149667646 -146.160471933209 305.500271990585</t>
  </si>
  <si>
    <t>-596.869149267464 -147.621177203671 752.919908444466</t>
  </si>
  <si>
    <t>-460.846232995284 -184.416953982998 825.246409206711</t>
  </si>
  <si>
    <t>9763-20170724T104513.849804400.bin</t>
  </si>
  <si>
    <t>-675.101573181296 97.4174415273787 -540.244735092161</t>
  </si>
  <si>
    <t>-607.286308587117 158.265329432141 -260.44157758982</t>
  </si>
  <si>
    <t>-374.403503702037 219.514553270083 -252.380400052511</t>
  </si>
  <si>
    <t>-648.918685937742 41.7483431728392 -103.018925946201</t>
  </si>
  <si>
    <t>-666.299111439083 69.2336359795122 299.221298625543</t>
  </si>
  <si>
    <t>-711.666811688323 103.19371716481 743.518568506449</t>
  </si>
  <si>
    <t>-567.396948196495 126.233567341112 804.695990034193</t>
  </si>
  <si>
    <t>-577.053135656445 -146.417308444 305.500971431702</t>
  </si>
  <si>
    <t>-596.908018379685 -147.58706006344 752.938997652766</t>
  </si>
  <si>
    <t>-460.943902356612 -184.629808639051 825.249987840898</t>
  </si>
  <si>
    <t>9763-20170724T104513.885902900.bin</t>
  </si>
  <si>
    <t>-674.79336377703 97.539171367916 -540.099640880379</t>
  </si>
  <si>
    <t>-606.11494744991 158.237535337464 -260.474498467545</t>
  </si>
  <si>
    <t>-373.255010819515 219.568469763453 -252.371631005722</t>
  </si>
  <si>
    <t>-648.879025790468 41.5679574818619 -102.935818407552</t>
  </si>
  <si>
    <t>-666.374781436442 69.1272036467815 299.294290423651</t>
  </si>
  <si>
    <t>-711.66470693283 103.198887871827 743.580253489709</t>
  </si>
  <si>
    <t>-567.396628574344 126.27117635305 804.749549725544</t>
  </si>
  <si>
    <t>-577.182684909633 -146.572838005075 305.509478295408</t>
  </si>
  <si>
    <t>-596.924507353276 -147.615606391884 752.949938281469</t>
  </si>
  <si>
    <t>-460.941652817536 -184.619577919957 825.245663776279</t>
  </si>
  <si>
    <t>9763-20170724T104513.952630400.bin</t>
  </si>
  <si>
    <t>-673.898979030728 97.7602731071004 -539.861260693645</t>
  </si>
  <si>
    <t>-604.034410297626 158.121749519091 -260.457133659358</t>
  </si>
  <si>
    <t>-371.162265598909 219.390130193566 -252.234039072604</t>
  </si>
  <si>
    <t>-648.8651483252 41.3144533907837 -102.777815911606</t>
  </si>
  <si>
    <t>-666.446368395433 68.9590775947893 299.442687412446</t>
  </si>
  <si>
    <t>-711.623233517617 103.159742954271 743.71577809478</t>
  </si>
  <si>
    <t>-567.369740091071 126.362244610429 804.870259602477</t>
  </si>
  <si>
    <t>-577.338192948924 -146.771148073776 305.51920350312</t>
  </si>
  <si>
    <t>-596.952418721594 -147.574371655519 752.963919594627</t>
  </si>
  <si>
    <t>-460.979513313537 -184.636450137279 825.248442871038</t>
  </si>
  <si>
    <t>9763-20170724T104513.983709000.bin</t>
  </si>
  <si>
    <t>-673.443169209144 97.8938118770225 -539.734563491289</t>
  </si>
  <si>
    <t>-603.23807817953 157.951903534162 -260.350568047233</t>
  </si>
  <si>
    <t>-370.364449067008 219.218638814607 -252.157908270456</t>
  </si>
  <si>
    <t>-648.901935789588 41.2486679377494 -102.710901570998</t>
  </si>
  <si>
    <t>-666.547261190955 68.9541569639655 299.502658494612</t>
  </si>
  <si>
    <t>-711.629531605278 103.198279847039 743.77707196946</t>
  </si>
  <si>
    <t>-567.34115258865 126.181163718716 804.9320113174</t>
  </si>
  <si>
    <t>-577.435610653685 -146.922920833386 305.530955511342</t>
  </si>
  <si>
    <t>-596.962414643577 -147.759112843418 752.975185691581</t>
  </si>
  <si>
    <t>-460.955970688623 -184.71176689352 825.252828408874</t>
  </si>
  <si>
    <t>9763-20170724T104514.049393900.bin</t>
  </si>
  <si>
    <t>-672.454562262771 98.3237130449679 -539.452157199549</t>
  </si>
  <si>
    <t>-601.543599308404 157.619484440521 -260.083380337552</t>
  </si>
  <si>
    <t>-368.775935123886 219.306117556519 -252.032278697002</t>
  </si>
  <si>
    <t>-648.906498889764 41.1788877970153 -102.608850087384</t>
  </si>
  <si>
    <t>-666.607556643581 68.888032990503 299.601925265653</t>
  </si>
  <si>
    <t>-711.607055095471 103.199146571861 743.891718984693</t>
  </si>
  <si>
    <t>-567.335377920634 126.315921206873 805.035687957516</t>
  </si>
  <si>
    <t>-577.7447828358 -147.017422871052 305.548097735518</t>
  </si>
  <si>
    <t>-596.99458950861 -147.765242503537 753.003927451469</t>
  </si>
  <si>
    <t>-461.024069690841 -184.884195381599 825.263833020263</t>
  </si>
  <si>
    <t>9763-20170724T104514.084488100.bin</t>
  </si>
  <si>
    <t>-672.145188120978 98.4977641958981 -539.299339559485</t>
  </si>
  <si>
    <t>-600.748998300858 157.450892416209 -259.981672094436</t>
  </si>
  <si>
    <t>-368.020128995686 219.286166238482 -251.949337968772</t>
  </si>
  <si>
    <t>-648.872858591117 41.0727901912339 -102.558135388471</t>
  </si>
  <si>
    <t>-666.70742603911 68.8694969141707 299.640811267946</t>
  </si>
  <si>
    <t>-711.564871007937 103.149583050452 743.938563396125</t>
  </si>
  <si>
    <t>-567.323109024918 126.460294279736 805.079545801289</t>
  </si>
  <si>
    <t>-578.008581999552 -147.081643873303 305.554851330534</t>
  </si>
  <si>
    <t>-597.010303638296 -147.781539315555 753.014465604249</t>
  </si>
  <si>
    <t>-461.062637328316 -184.993120428626 825.269842395505</t>
  </si>
  <si>
    <t>9763-20170724T104514.149228300.bin</t>
  </si>
  <si>
    <t>-671.889884125214 99.0206889235692 -539.096212928385</t>
  </si>
  <si>
    <t>-599.596774770789 157.38540599363 -259.885691336183</t>
  </si>
  <si>
    <t>-366.965079639226 219.571521250242 -251.746852938424</t>
  </si>
  <si>
    <t>-649.101504934691 41.3440037760349 -102.49579844219</t>
  </si>
  <si>
    <t>-667.101199874976 69.0154606079329 299.704339482073</t>
  </si>
  <si>
    <t>-711.54309042745 103.173544424497 744.048302961063</t>
  </si>
  <si>
    <t>-567.268185611406 126.281242966963 805.188264741758</t>
  </si>
  <si>
    <t>-578.528801827539 -147.10580847649 305.546189342293</t>
  </si>
  <si>
    <t>-597.02249652265 -147.708371782735 753.018046173513</t>
  </si>
  <si>
    <t>-461.12501841317 -185.098125485002 825.275664181004</t>
  </si>
  <si>
    <t>9763-20170724T104514.186326800.bin</t>
  </si>
  <si>
    <t>-671.801647338458 99.2161774379745 -539.032225925127</t>
  </si>
  <si>
    <t>-599.118018716212 157.295814599202 -259.863700969581</t>
  </si>
  <si>
    <t>-366.499322605179 219.52799231187 -251.704517680691</t>
  </si>
  <si>
    <t>-649.36932776175 41.4969446945731 -102.464637811715</t>
  </si>
  <si>
    <t>-667.390778867503 69.1447642527892 299.736165368558</t>
  </si>
  <si>
    <t>-711.633753803915 103.411773945611 744.100850594385</t>
  </si>
  <si>
    <t>-567.302758890203 126.139463406631 805.250782930427</t>
  </si>
  <si>
    <t>-578.65994686922 -147.083139309211 305.517412829633</t>
  </si>
  <si>
    <t>-597.028839292365 -147.908613626711 753.012931115234</t>
  </si>
  <si>
    <t>-461.105008870431 -185.19315235559 825.275538004853</t>
  </si>
  <si>
    <t>9763-20170724T104514.253495400.bin</t>
  </si>
  <si>
    <t>-672.109245941193 98.8724892745438 -538.901047357907</t>
  </si>
  <si>
    <t>-598.883559943449 156.720326888881 -259.826199695109</t>
  </si>
  <si>
    <t>-366.270662303477 218.882510122772 -250.994574873261</t>
  </si>
  <si>
    <t>-649.890049773447 41.562400797055 -102.481884602482</t>
  </si>
  <si>
    <t>-667.800384354891 69.1506097608262 299.728037236621</t>
  </si>
  <si>
    <t>-711.627444011967 103.552280279452 744.176037437702</t>
  </si>
  <si>
    <t>-567.28656099595 126.217250924333 805.325811370911</t>
  </si>
  <si>
    <t>-578.588549735533 -146.884935760057 305.504214755043</t>
  </si>
  <si>
    <t>-597.055705899345 -147.917051184528 753.014450060304</t>
  </si>
  <si>
    <t>-461.152202265868 -185.259320738086 825.285323794717</t>
  </si>
  <si>
    <t>9763-20170724T104514.281567000.bin</t>
  </si>
  <si>
    <t>-672.89560505139 98.5482156596818 -538.931265068583</t>
  </si>
  <si>
    <t>-600.366440991663 155.807938047752 -259.553444164799</t>
  </si>
  <si>
    <t>-367.697830901172 217.743299189619 -250.598613491621</t>
  </si>
  <si>
    <t>-650.507947549696 41.4602697515136 -102.513942720441</t>
  </si>
  <si>
    <t>-667.912036492402 69.1280031464082 299.712697168744</t>
  </si>
  <si>
    <t>-711.602238143565 103.5482109385 744.207847847906</t>
  </si>
  <si>
    <t>-567.282101314507 126.374867334301 805.346496004575</t>
  </si>
  <si>
    <t>-578.378923599767 -146.623398419758 305.506510926216</t>
  </si>
  <si>
    <t>-597.053783777458 -147.603821599687 752.997488684645</t>
  </si>
  <si>
    <t>-461.38206045653 -185.702469546735 825.309221459429</t>
  </si>
  <si>
    <t>9763-20170724T104514.351367500.bin</t>
  </si>
  <si>
    <t>-675.267303837903 98.0313650217893 -538.614748851161</t>
  </si>
  <si>
    <t>-607.108901613542 152.680008995377 -257.61806516248</t>
  </si>
  <si>
    <t>-374.572707822221 214.911604338098 -247.370230256687</t>
  </si>
  <si>
    <t>-652.065120099941 41.5110549410867 -102.528031757179</t>
  </si>
  <si>
    <t>-668.440406414941 69.0730598129242 299.749056558972</t>
  </si>
  <si>
    <t>-711.649649782519 103.556935173363 744.29651362514</t>
  </si>
  <si>
    <t>-567.32754897905 126.492335681107 805.389831610873</t>
  </si>
  <si>
    <t>-578.014609394831 -146.395382767748 305.533849182153</t>
  </si>
  <si>
    <t>-597.053012774939 -147.602817856368 752.982072959578</t>
  </si>
  <si>
    <t>-461.312301914364 -185.400008500348 825.322389329995</t>
  </si>
  <si>
    <t>9763-20170724T104514.387463200.bin</t>
  </si>
  <si>
    <t>-676.45028136108 98.2618827584042 -538.36192421065</t>
  </si>
  <si>
    <t>-612.339261860036 150.752510446762 -256.004425107171</t>
  </si>
  <si>
    <t>-379.940252315901 213.402463705335 -245.208040309054</t>
  </si>
  <si>
    <t>-652.869011115966 41.7667150534235 -102.544486832809</t>
  </si>
  <si>
    <t>-669.036054072945 69.063288971967 299.759112188504</t>
  </si>
  <si>
    <t>-711.671405164287 103.576628518591 744.320526744223</t>
  </si>
  <si>
    <t>-567.319454947585 126.322545870151 805.414174346138</t>
  </si>
  <si>
    <t>-578.186697026189 -146.068192429671 305.544887205816</t>
  </si>
  <si>
    <t>-597.056164241421 -147.38683123644 752.984600146231</t>
  </si>
  <si>
    <t>-461.370966574433 -185.367134617793 825.333185915849</t>
  </si>
  <si>
    <t>9763-20170724T104514.450618700.bin</t>
  </si>
  <si>
    <t>-679.592228953657 98.2269378278816 -538.112363710885</t>
  </si>
  <si>
    <t>-627.414184975402 146.555111618013 -252.572488541685</t>
  </si>
  <si>
    <t>-395.246671488903 209.080366037523 -237.090319382201</t>
  </si>
  <si>
    <t>-653.951393469229 41.5368095157685 -102.616147859815</t>
  </si>
  <si>
    <t>-670.125087089022 69.1190419937341 299.667758793394</t>
  </si>
  <si>
    <t>-711.610925787132 103.521572918868 744.332403223482</t>
  </si>
  <si>
    <t>-567.273590718956 126.2508336589 805.466906105903</t>
  </si>
  <si>
    <t>-578.695415975436 -145.804906910576 305.48213285373</t>
  </si>
  <si>
    <t>-597.069758409829 -147.305704028465 752.96605803063</t>
  </si>
  <si>
    <t>-461.312579912327 -185.018049509994 825.319660910067</t>
  </si>
  <si>
    <t>9763-20170724T104514.484709400.bin</t>
  </si>
  <si>
    <t>-681.102385890634 98.0030505937423 -538.028227095942</t>
  </si>
  <si>
    <t>-637.361780031423 144.005088477815 -250.692681689722</t>
  </si>
  <si>
    <t>-404.954071010575 204.628710315326 -231.657819291166</t>
  </si>
  <si>
    <t>-654.352888231718 41.4605217862172 -102.659697419306</t>
  </si>
  <si>
    <t>-670.416791571917 69.1459142740152 299.621458869982</t>
  </si>
  <si>
    <t>-711.614687740941 103.572259209482 744.334573293578</t>
  </si>
  <si>
    <t>-567.267092931224 126.144628279505 805.502875401674</t>
  </si>
  <si>
    <t>-578.939790202195 -145.793192255836 305.419337570621</t>
  </si>
  <si>
    <t>-597.073485154613 -147.387095987404 752.946533871911</t>
  </si>
  <si>
    <t>-461.369225261356 -185.240148686439 825.326010266682</t>
  </si>
  <si>
    <t>9763-20170724T104514.549890000.bin</t>
  </si>
  <si>
    <t>-683.629441891372 98.5734059017345 -537.544420061844</t>
  </si>
  <si>
    <t>-658.118472969845 137.750190827201 -247.01809096965</t>
  </si>
  <si>
    <t>-425.906366164228 196.132246533641 -220.18589427068</t>
  </si>
  <si>
    <t>-654.85387117213 41.399660299239 -102.702651917572</t>
  </si>
  <si>
    <t>-670.577526761245 69.1337978185379 299.588578627486</t>
  </si>
  <si>
    <t>-711.575434832506 103.500909786746 744.333515504219</t>
  </si>
  <si>
    <t>-567.255317172349 126.151266496991 805.537722955533</t>
  </si>
  <si>
    <t>-579.326126936183 -145.780004937859 305.341368057896</t>
  </si>
  <si>
    <t>-597.030877892024 -147.44554927068 752.897263580404</t>
  </si>
  <si>
    <t>-461.287201509025 -185.023224470958 825.346469491017</t>
  </si>
  <si>
    <t>9763-20170724T104514.584982500.bin</t>
  </si>
  <si>
    <t>-684.821084074862 99.1206027214346 -537.098402028982</t>
  </si>
  <si>
    <t>-666.583510498745 134.196988157832 -245.502329801257</t>
  </si>
  <si>
    <t>-434.743138014666 192.2952850293 -215.079716596098</t>
  </si>
  <si>
    <t>-655.078217066125 41.2657679490528 -102.69563717683</t>
  </si>
  <si>
    <t>-670.755935267681 69.1533234078142 299.58682185905</t>
  </si>
  <si>
    <t>-711.557097753032 103.472906229879 744.321363182898</t>
  </si>
  <si>
    <t>-567.253491269601 126.16579930025 805.548800859586</t>
  </si>
  <si>
    <t>-579.311363252536 -145.88577914963 305.322724653703</t>
  </si>
  <si>
    <t>-597.016324743109 -147.6677596608 752.888793230128</t>
  </si>
  <si>
    <t>-461.177600805788 -184.869307665692 825.353796059489</t>
  </si>
  <si>
    <t>9763-20170724T104514.651702200.bin</t>
  </si>
  <si>
    <t>-687.463219252646 99.4826445311437 -536.250307821795</t>
  </si>
  <si>
    <t>-678.261621979648 128.030990799767 -243.519231894442</t>
  </si>
  <si>
    <t>-447.407075918462 186.973852765512 -207.703397101687</t>
  </si>
  <si>
    <t>-656.002486484699 40.9684860487382 -102.740694056932</t>
  </si>
  <si>
    <t>-671.565944742411 69.0777424085577 299.530710799259</t>
  </si>
  <si>
    <t>-711.531683636718 103.419718645546 744.30372131075</t>
  </si>
  <si>
    <t>-567.252236921789 126.188767451749 805.559788263747</t>
  </si>
  <si>
    <t>-579.084019514202 -145.735073943236 305.318737975529</t>
  </si>
  <si>
    <t>-596.964382857924 -147.396244958536 752.872194386378</t>
  </si>
  <si>
    <t>-461.155264689549 -184.61914581485 825.381749298408</t>
  </si>
  <si>
    <t>9763-20170724T104514.685791900.bin</t>
  </si>
  <si>
    <t>-688.664506229981 99.1071205497526 -535.958834167444</t>
  </si>
  <si>
    <t>-681.865533333046 125.781689367567 -242.985532696694</t>
  </si>
  <si>
    <t>-451.429329402471 185.473488932397 -205.744698920846</t>
  </si>
  <si>
    <t>-656.570943115217 40.6341556048053 -102.766428738713</t>
  </si>
  <si>
    <t>-672.04276886022 68.8259189415453 299.502814601854</t>
  </si>
  <si>
    <t>-711.517398364118 103.37682088026 744.30827080999</t>
  </si>
  <si>
    <t>-567.268106615191 126.322670305147 805.56941040489</t>
  </si>
  <si>
    <t>-578.896595497774 -145.887258028931 305.311566633958</t>
  </si>
  <si>
    <t>-596.942342932185 -147.583092941787 752.869525299605</t>
  </si>
  <si>
    <t>-460.965664015649 -184.205452630268 825.370868712813</t>
  </si>
  <si>
    <t>9763-20170724T104514.748480200.bin</t>
  </si>
  <si>
    <t>-690.434610647971 98.2727395126874 -535.535605632935</t>
  </si>
  <si>
    <t>-685.417045825282 122.858259729361 -242.343494538805</t>
  </si>
  <si>
    <t>-455.257488400905 183.88305521517 -205.554146926133</t>
  </si>
  <si>
    <t>-657.191801874295 39.7666244619274 -102.752451888475</t>
  </si>
  <si>
    <t>-672.747130073298 68.2615999177506 299.492208357189</t>
  </si>
  <si>
    <t>-711.521264019554 103.259282227918 744.342393277415</t>
  </si>
  <si>
    <t>-567.296762398111 126.365295478066 805.601768232375</t>
  </si>
  <si>
    <t>-578.467928516163 -146.08781786075 305.281140891946</t>
  </si>
  <si>
    <t>-596.886708009094 -147.390557143763 752.832870306512</t>
  </si>
  <si>
    <t>-460.945224676734 -184.101247976996 825.355512802244</t>
  </si>
  <si>
    <t>9763-20170724T104514.783750400.bin</t>
  </si>
  <si>
    <t>-690.893571671655 97.8015273691608 -535.435000735328</t>
  </si>
  <si>
    <t>-685.794405271013 122.496397339742 -242.253542080169</t>
  </si>
  <si>
    <t>-455.390782454522 183.186433974841 -206.452140822816</t>
  </si>
  <si>
    <t>-657.174846756017 39.2864351192804 -102.74370439328</t>
  </si>
  <si>
    <t>-672.712269030143 67.991880427282 299.486639460233</t>
  </si>
  <si>
    <t>-711.495718240265 103.098792316722 744.341455306149</t>
  </si>
  <si>
    <t>-567.290399084511 126.360894687337 805.586846486235</t>
  </si>
  <si>
    <t>-578.26774611824 -146.326146719385 305.281735782875</t>
  </si>
  <si>
    <t>-596.862130781717 -147.493362817651 752.827892902776</t>
  </si>
  <si>
    <t>-460.855211498231 -183.971528263309 825.345218431943</t>
  </si>
  <si>
    <t>9763-20170724T104514.853706100.bin</t>
  </si>
  <si>
    <t>-690.995817069757 97.4587433248059 -535.426847528462</t>
  </si>
  <si>
    <t>-685.370819576652 122.761467942811 -242.306825636682</t>
  </si>
  <si>
    <t>-454.363799380276 182.931442695369 -209.653990687559</t>
  </si>
  <si>
    <t>-656.704762751618 38.8496092009625 -102.748427869316</t>
  </si>
  <si>
    <t>-672.332840254255 67.579573554124 299.476665544475</t>
  </si>
  <si>
    <t>-711.501173247024 102.910013800716 744.290035812075</t>
  </si>
  <si>
    <t>-567.344430912678 126.482996445543 805.530913469314</t>
  </si>
  <si>
    <t>-577.812919499687 -146.561479536399 305.289182093455</t>
  </si>
  <si>
    <t>-596.822569648325 -147.302585021137 752.811467833102</t>
  </si>
  <si>
    <t>-460.846603898404 -183.89261140896 825.330530557341</t>
  </si>
  <si>
    <t>9763-20170724T104514.882783300.bin</t>
  </si>
  <si>
    <t>-690.857458422321 97.5562086196592 -535.435772001841</t>
  </si>
  <si>
    <t>-684.485891292498 122.950685386017 -242.338945368014</t>
  </si>
  <si>
    <t>-453.165483148734 183.156511050004 -212.05725434991</t>
  </si>
  <si>
    <t>-656.391761263622 38.7254672251665 -102.746926388517</t>
  </si>
  <si>
    <t>-672.07655145329 67.4224187596633 299.478327728022</t>
  </si>
  <si>
    <t>-711.53156709292 102.890009543332 744.268425230541</t>
  </si>
  <si>
    <t>-567.353177374738 126.318586951013 805.513755534164</t>
  </si>
  <si>
    <t>-577.749397643838 -146.626797090432 305.276400002652</t>
  </si>
  <si>
    <t>-596.807777007567 -147.329687072557 752.80584713901</t>
  </si>
  <si>
    <t>-460.782424872141 -183.749397432969 825.318029850282</t>
  </si>
  <si>
    <t>9763-20170724T104514.950656100.bin</t>
  </si>
  <si>
    <t>-690.441621066816 97.9411056617432 -535.489266416845</t>
  </si>
  <si>
    <t>-681.964272252716 124.897739499569 -242.585285007682</t>
  </si>
  <si>
    <t>-449.994011437125 184.621869595226 -216.630225097513</t>
  </si>
  <si>
    <t>-655.722511319718 38.4092367908054 -102.742676229169</t>
  </si>
  <si>
    <t>-671.603303985179 67.2192423055494 299.466812364346</t>
  </si>
  <si>
    <t>-711.499767392246 102.649077933551 744.205591379994</t>
  </si>
  <si>
    <t>-567.345160720449 126.243635043994 805.443183906632</t>
  </si>
  <si>
    <t>-577.610754656227 -146.832601508176 305.298511131001</t>
  </si>
  <si>
    <t>-596.776221365282 -147.198554067352 752.803582158641</t>
  </si>
  <si>
    <t>-460.766775527743 -183.673361862964 825.317877633345</t>
  </si>
  <si>
    <t>9763-20170724T104515.001793400.bin</t>
  </si>
  <si>
    <t>-689.747192364834 98.2296719968892 -535.568226670605</t>
  </si>
  <si>
    <t>-678.65007397265 127.012440302826 -242.925724347926</t>
  </si>
  <si>
    <t>-446.217269601807 186.110306217915 -219.832165839959</t>
  </si>
  <si>
    <t>-655.248514893514 38.3016401367013 -102.745799135181</t>
  </si>
  <si>
    <t>-671.357585443314 67.1545556344768 299.451497174849</t>
  </si>
  <si>
    <t>-711.517948903062 102.568930603866 744.147008681251</t>
  </si>
  <si>
    <t>-567.354568907259 126.117330949297 805.381714000159</t>
  </si>
  <si>
    <t>-577.498655252007 -146.976598142087 305.298842462472</t>
  </si>
  <si>
    <t>-596.747131828019 -147.307606220071 752.803685364685</t>
  </si>
  <si>
    <t>-460.695813198546 -183.62991391203 825.315857001405</t>
  </si>
  <si>
    <t>9763-20170724T104515.051930200.bin</t>
  </si>
  <si>
    <t>-688.65479366704 98.2930343381881 -535.682352930041</t>
  </si>
  <si>
    <t>-674.793262715045 129.18116215684 -243.372580421118</t>
  </si>
  <si>
    <t>-441.900178968776 187.388248410911 -222.790657735975</t>
  </si>
  <si>
    <t>-654.724369443063 38.1474050016241 -102.740250056106</t>
  </si>
  <si>
    <t>-671.132069631066 67.104078274883 299.437457396854</t>
  </si>
  <si>
    <t>-711.538100942176 102.50008403416 744.099291628689</t>
  </si>
  <si>
    <t>-567.400194917355 126.227043886673 805.325018433007</t>
  </si>
  <si>
    <t>-577.327373635525 -147.035230469831 305.316220320666</t>
  </si>
  <si>
    <t>-596.722788591876 -147.130200457848 752.805223849195</t>
  </si>
  <si>
    <t>-460.754546871761 -183.749399960852 825.324048747807</t>
  </si>
  <si>
    <t>9763-20170724T104515.087025200.bin</t>
  </si>
  <si>
    <t>-687.697378130472 98.3080344818536 -535.843241994662</t>
  </si>
  <si>
    <t>-672.488414248815 130.211935711146 -243.709569932605</t>
  </si>
  <si>
    <t>-439.354017475316 187.815627782949 -224.188723743778</t>
  </si>
  <si>
    <t>-654.450431990931 38.1566849452797 -102.746077766136</t>
  </si>
  <si>
    <t>-671.093748676051 67.0815383481568 299.424267229397</t>
  </si>
  <si>
    <t>-711.569238851343 102.502604341374 744.064610694477</t>
  </si>
  <si>
    <t>-567.408755772132 126.087516124426 805.292073221601</t>
  </si>
  <si>
    <t>-577.17724234759 -147.115237661302 305.347016056695</t>
  </si>
  <si>
    <t>-596.71534291176 -147.070240473599 752.815404949794</t>
  </si>
  <si>
    <t>-460.719543631015 -183.621015054968 825.317032139592</t>
  </si>
  <si>
    <t>9763-20170724T104515.154780900.bin</t>
  </si>
  <si>
    <t>-685.626271305466 98.308282087308 -536.188203812521</t>
  </si>
  <si>
    <t>-669.731213940251 131.592265333115 -244.245251687967</t>
  </si>
  <si>
    <t>-436.336315233056 188.497663607207 -225.820123598568</t>
  </si>
  <si>
    <t>-653.795936489055 38.0264687269448 -102.771877654417</t>
  </si>
  <si>
    <t>-670.881520580018 66.9477527249323 299.380225307457</t>
  </si>
  <si>
    <t>-711.536384744009 102.296981326251 744.017700857944</t>
  </si>
  <si>
    <t>-567.437741317547 126.285791109467 805.233852193736</t>
  </si>
  <si>
    <t>-576.94675543233 -147.278750548006 305.385228663841</t>
  </si>
  <si>
    <t>-596.708024181281 -147.065106287199 752.840529195313</t>
  </si>
  <si>
    <t>-460.680383570379 -183.590853622748 825.294813409557</t>
  </si>
  <si>
    <t>9763-20170724T104515.183858100.bin</t>
  </si>
  <si>
    <t>-684.829130494125 98.2648187920299 -536.3157963101</t>
  </si>
  <si>
    <t>-668.88462844276 132.019955851068 -244.429570302511</t>
  </si>
  <si>
    <t>-435.460499815882 188.811829380977 -226.024318254551</t>
  </si>
  <si>
    <t>-653.587557476744 38.0009578714669 -102.786844476293</t>
  </si>
  <si>
    <t>-670.738970878697 66.9002346173197 299.364063992278</t>
  </si>
  <si>
    <t>-711.574329357915 102.32196246487 743.987260696575</t>
  </si>
  <si>
    <t>-567.44250414566 126.092329024673 805.210483244067</t>
  </si>
  <si>
    <t>-576.813710267021 -147.399128568828 305.393292921774</t>
  </si>
  <si>
    <t>-596.706106988968 -147.041625899227 752.845646782882</t>
  </si>
  <si>
    <t>-460.576556191817 -183.24162227414 825.272198153783</t>
  </si>
  <si>
    <t>9763-20170724T104515.252049400.bin</t>
  </si>
  <si>
    <t>-683.86316627983 98.2695658411012 -536.538313090157</t>
  </si>
  <si>
    <t>-666.92176989965 133.012546677356 -244.824298423348</t>
  </si>
  <si>
    <t>-433.434864192501 190.078070886475 -228.142855126228</t>
  </si>
  <si>
    <t>-653.302193773526 37.8939217904613 -102.81534014515</t>
  </si>
  <si>
    <t>-670.570028266763 66.7387975082358 299.334549903327</t>
  </si>
  <si>
    <t>-711.502327544181 102.104985097738 743.930638718881</t>
  </si>
  <si>
    <t>-567.445419126887 126.261237000851 805.179173286029</t>
  </si>
  <si>
    <t>-576.774366439679 -147.392775427095 305.354436712627</t>
  </si>
  <si>
    <t>-596.683708059194 -146.962266094181 752.832090819211</t>
  </si>
  <si>
    <t>-460.689903568024 -183.66301849627 825.261484775024</t>
  </si>
  <si>
    <t>9763-20170724T104515.282130800.bin</t>
  </si>
  <si>
    <t>-683.587476974277 98.2741355796347 -536.623565871681</t>
  </si>
  <si>
    <t>-665.822356173728 133.577132668398 -245.025680650061</t>
  </si>
  <si>
    <t>-432.276788232282 190.776876787733 -229.67962785738</t>
  </si>
  <si>
    <t>-653.169123539093 37.8177670399657 -102.80676799576</t>
  </si>
  <si>
    <t>-670.670944663765 66.7491536451412 299.326704870833</t>
  </si>
  <si>
    <t>-711.541402793939 102.144667179718 743.915785641889</t>
  </si>
  <si>
    <t>-567.480049621026 126.256916972671 805.171088509865</t>
  </si>
  <si>
    <t>-576.707064155859 -147.574423561622 305.354136903233</t>
  </si>
  <si>
    <t>-596.667501836363 -147.066682289976 752.829720859609</t>
  </si>
  <si>
    <t>-460.519590056655 -183.238280781304 825.235928681621</t>
  </si>
  <si>
    <t>9763-20170724T104515.348828300.bin</t>
  </si>
  <si>
    <t>-683.254147495938 98.0664422689085 -536.807305658487</t>
  </si>
  <si>
    <t>-663.89849630813 134.517631869446 -245.451985113373</t>
  </si>
  <si>
    <t>-430.070663251729 191.521573021824 -234.229009162189</t>
  </si>
  <si>
    <t>-653.314089374839 37.57104895829 -102.812907140538</t>
  </si>
  <si>
    <t>-670.924168752199 66.5969835077758 299.309028120402</t>
  </si>
  <si>
    <t>-711.522546143712 102.049305657667 743.896577023465</t>
  </si>
  <si>
    <t>-567.503069152547 126.366974081915 805.169305404623</t>
  </si>
  <si>
    <t>-576.785636446697 -147.867490176112 305.351085613922</t>
  </si>
  <si>
    <t>-596.645594741125 -147.264614256423 752.833016058969</t>
  </si>
  <si>
    <t>-460.356657501994 -182.958355175967 825.211107333217</t>
  </si>
  <si>
    <t>9763-20170724T104515.383186700.bin</t>
  </si>
  <si>
    <t>-683.414919229941 97.8736890548491 -536.92331768245</t>
  </si>
  <si>
    <t>-662.707091613327 135.027157474246 -245.749805804099</t>
  </si>
  <si>
    <t>-428.752772161754 191.94052462054 -236.96960713972</t>
  </si>
  <si>
    <t>-653.579103432691 37.4678218870097 -102.840591405969</t>
  </si>
  <si>
    <t>-671.09242028814 66.4856002871052 299.286164708057</t>
  </si>
  <si>
    <t>-711.504195151503 102.011820375161 743.881333885589</t>
  </si>
  <si>
    <t>-567.501127645788 126.356868325213 805.181732928572</t>
  </si>
  <si>
    <t>-576.948030202544 -147.789140471087 305.337619821762</t>
  </si>
  <si>
    <t>-596.632833569767 -147.143095178548 752.827885430561</t>
  </si>
  <si>
    <t>-460.462808421958 -183.268862832689 825.215279634261</t>
  </si>
  <si>
    <t>9763-20170724T104515.452395900.bin</t>
  </si>
  <si>
    <t>-684.007052702009 97.1982603163649 -537.200143943037</t>
  </si>
  <si>
    <t>-659.724576960081 135.857259818389 -246.499243519381</t>
  </si>
  <si>
    <t>-425.405523763386 191.794640385574 -242.444194015283</t>
  </si>
  <si>
    <t>-654.021415721346 37.0491927521593 -102.866232343545</t>
  </si>
  <si>
    <t>-671.500127200754 66.2884816581009 299.24596523717</t>
  </si>
  <si>
    <t>-711.516840860027 102.025309002688 743.859476771188</t>
  </si>
  <si>
    <t>-567.561553976503 126.492041743261 805.223521715578</t>
  </si>
  <si>
    <t>-577.125542346461 -147.886186705309 305.307338040423</t>
  </si>
  <si>
    <t>-596.618906253142 -147.140115966453 752.827982770173</t>
  </si>
  <si>
    <t>-460.426928377227 -183.214784311232 825.19955406416</t>
  </si>
  <si>
    <t>9763-20170724T104515.484472800.bin</t>
  </si>
  <si>
    <t>-684.114418799875 96.8461074512609 -537.360070910819</t>
  </si>
  <si>
    <t>-658.120570522498 136.254707353903 -246.907712203732</t>
  </si>
  <si>
    <t>-423.59532797077 191.437175266732 -244.990604968743</t>
  </si>
  <si>
    <t>-654.096481475631 36.7562218265257 -102.857984557553</t>
  </si>
  <si>
    <t>-671.602040435521 66.1145967722355 299.244363302883</t>
  </si>
  <si>
    <t>-711.459035132975 101.876252152637 743.86116442935</t>
  </si>
  <si>
    <t>-567.564106273954 126.655335459582 805.24135751281</t>
  </si>
  <si>
    <t>-577.236395846638 -148.133369443607 305.312908381624</t>
  </si>
  <si>
    <t>-596.605340203119 -147.325794491431 752.833996459893</t>
  </si>
  <si>
    <t>-460.281166322613 -182.928526308927 825.190464116248</t>
  </si>
  <si>
    <t>9763-20170724T104515.551306800.bin</t>
  </si>
  <si>
    <t>-683.977674354423 96.1242643557571 -537.82581091726</t>
  </si>
  <si>
    <t>-654.834815339789 137.676784156472 -247.97201100706</t>
  </si>
  <si>
    <t>-419.859225089052 190.921994873848 -249.478141763817</t>
  </si>
  <si>
    <t>-654.468879246094 36.4317181591134 -102.833079317723</t>
  </si>
  <si>
    <t>-671.98026203414 65.8611464270691 299.263888766785</t>
  </si>
  <si>
    <t>-711.468614132021 101.731065369082 743.913534120608</t>
  </si>
  <si>
    <t>-567.574606891326 126.484949873663 805.306061957564</t>
  </si>
  <si>
    <t>-577.811981219297 -148.38366550178 305.335832149586</t>
  </si>
  <si>
    <t>-596.554810662495 -147.669067171511 752.846154846295</t>
  </si>
  <si>
    <t>-460.112091301367 -182.789888964922 825.214704773132</t>
  </si>
  <si>
    <t>9763-20170724T104515.585394000.bin</t>
  </si>
  <si>
    <t>-683.846118324086 95.9290263029523 -538.091507821237</t>
  </si>
  <si>
    <t>-653.140893434812 138.377333722499 -248.528963478765</t>
  </si>
  <si>
    <t>-418.017612651525 190.922619622959 -251.157986803638</t>
  </si>
  <si>
    <t>-654.859391440056 36.4940662010979 -102.838488903034</t>
  </si>
  <si>
    <t>-672.234536469761 65.8769755884077 299.26774443722</t>
  </si>
  <si>
    <t>-711.564648376518 101.845723465297 743.938679696273</t>
  </si>
  <si>
    <t>-567.596388003844 126.150508480389 805.336598288676</t>
  </si>
  <si>
    <t>-578.165787556918 -148.42234551165 305.339609154278</t>
  </si>
  <si>
    <t>-596.535661807751 -147.836800449122 752.865754208253</t>
  </si>
  <si>
    <t>-459.998895431105 -182.599879611767 825.229705208328</t>
  </si>
  <si>
    <t>9763-20170724T104515.651225200.bin</t>
  </si>
  <si>
    <t>-683.004764476578 95.8612801062823 -538.604434358749</t>
  </si>
  <si>
    <t>-649.670473781796 139.298331330117 -249.479474322976</t>
  </si>
  <si>
    <t>-414.5055207813 191.435449519891 -254.9625718767</t>
  </si>
  <si>
    <t>-655.272255021127 36.6513707619608 -102.853194077255</t>
  </si>
  <si>
    <t>-672.262653114162 66.0001015235025 299.271952365772</t>
  </si>
  <si>
    <t>-711.613377556391 101.804811091604 743.985312938941</t>
  </si>
  <si>
    <t>-567.603442816571 125.90625883708 805.365861531623</t>
  </si>
  <si>
    <t>-578.842621751106 -148.271299937207 305.361221508999</t>
  </si>
  <si>
    <t>-596.534722218312 -147.817604451786 752.908733979946</t>
  </si>
  <si>
    <t>-460.07084711919 -182.849156984322 825.280533652608</t>
  </si>
  <si>
    <t>9763-20170724T104515.686319000.bin</t>
  </si>
  <si>
    <t>-682.551756158899 95.9131520152464 -538.838890182123</t>
  </si>
  <si>
    <t>-648.015972802874 139.766267351187 -249.917819321638</t>
  </si>
  <si>
    <t>-412.973251955157 192.31454312133 -256.585486866373</t>
  </si>
  <si>
    <t>-655.324538933239 36.7526565485514 -102.846631068949</t>
  </si>
  <si>
    <t>-672.148116881082 66.1160133718208 299.284486235452</t>
  </si>
  <si>
    <t>-711.628536959975 101.754494017114 744.008162519493</t>
  </si>
  <si>
    <t>-567.588436627516 125.702324267302 805.377913811939</t>
  </si>
  <si>
    <t>-579.035319693687 -148.252805955504 305.38320365291</t>
  </si>
  <si>
    <t>-596.525134339257 -147.902608417225 752.923112203714</t>
  </si>
  <si>
    <t>-460.094162556842 -183.019801665659 825.315622275383</t>
  </si>
  <si>
    <t>9763-20170724T104515.750495000.bin</t>
  </si>
  <si>
    <t>-681.747417581885 95.6283212504377 -539.211191069513</t>
  </si>
  <si>
    <t>-645.2206638786 140.90530892021 -250.754883934606</t>
  </si>
  <si>
    <t>-410.502916825037 194.807385012656 -258.034991246525</t>
  </si>
  <si>
    <t>-655.224638913831 36.8400300182657 -102.799533632474</t>
  </si>
  <si>
    <t>-671.744635285359 66.1958565862897 299.344679482184</t>
  </si>
  <si>
    <t>-711.705734751856 101.762106658304 744.044938339138</t>
  </si>
  <si>
    <t>-567.644399200143 125.676863662167 805.377841028663</t>
  </si>
  <si>
    <t>-579.233435555986 -148.473641245372 305.461434124432</t>
  </si>
  <si>
    <t>-596.505259542573 -148.248485631389 752.993715925169</t>
  </si>
  <si>
    <t>-459.867294505514 -182.5911883685 825.367382622639</t>
  </si>
  <si>
    <t>9763-20170724T104515.785588900.bin</t>
  </si>
  <si>
    <t>-681.591164402296 95.6011139270067 -539.356983809638</t>
  </si>
  <si>
    <t>-644.133750040856 141.815191889671 -251.168790105648</t>
  </si>
  <si>
    <t>-409.597779437199 196.489025605856 -258.554121504263</t>
  </si>
  <si>
    <t>-655.215515930117 36.9789979235334 -102.783634849414</t>
  </si>
  <si>
    <t>-671.62036639587 66.3039081771622 299.367572734619</t>
  </si>
  <si>
    <t>-711.713856158321 101.725945232784 744.053076863806</t>
  </si>
  <si>
    <t>-567.621946079095 125.501799075382 805.368084972624</t>
  </si>
  <si>
    <t>-579.384478255763 -148.310566244073 305.498957623791</t>
  </si>
  <si>
    <t>-596.496619759774 -147.991453219387 753.01029263089</t>
  </si>
  <si>
    <t>-460.046436211627 -183.012508049092 825.41310791841</t>
  </si>
  <si>
    <t>9763-20170724T104515.853777000.bin</t>
  </si>
  <si>
    <t>-681.637499112701 95.4644292876003 -539.665178296629</t>
  </si>
  <si>
    <t>-641.936196465157 143.314666641096 -252.044960539721</t>
  </si>
  <si>
    <t>-407.793236736551 199.64629053674 -259.440046299966</t>
  </si>
  <si>
    <t>-655.298342186291 37.3672184490731 -102.817220050647</t>
  </si>
  <si>
    <t>-671.6402713354 66.5615555801792 299.346033879563</t>
  </si>
  <si>
    <t>-711.790759804481 101.835289585184 744.026627237352</t>
  </si>
  <si>
    <t>-567.606698299438 125.038655427001 805.344231631968</t>
  </si>
  <si>
    <t>-579.497550643631 -148.279794335198 305.509671584443</t>
  </si>
  <si>
    <t>-596.477614816269 -148.136997996924 753.037969122911</t>
  </si>
  <si>
    <t>-459.949131341087 -182.856692220695 825.438327861759</t>
  </si>
  <si>
    <t>9763-20170724T104515.884861200.bin</t>
  </si>
  <si>
    <t>-681.548141519367 95.372562994598 -539.838455628801</t>
  </si>
  <si>
    <t>-640.598619777558 144.111885177308 -252.542826684173</t>
  </si>
  <si>
    <t>-406.606884829832 201.069133796512 -259.935316496551</t>
  </si>
  <si>
    <t>-655.235613159308 37.4682242709007 -102.85321720069</t>
  </si>
  <si>
    <t>-671.635613119135 66.6541950286789 299.308238131022</t>
  </si>
  <si>
    <t>-711.762919625778 101.783730927511 744.007562652059</t>
  </si>
  <si>
    <t>-567.616310132259 125.216690397393 805.326124615462</t>
  </si>
  <si>
    <t>-579.543064970686 -148.256734240107 305.501718704882</t>
  </si>
  <si>
    <t>-596.477415212704 -148.240903000372 753.044087770271</t>
  </si>
  <si>
    <t>-459.918822377115 -182.853825357099 825.438819614377</t>
  </si>
  <si>
    <t>9763-20170724T104515.950054900.bin</t>
  </si>
  <si>
    <t>-680.960540435432 95.2971676025361 -540.182637907104</t>
  </si>
  <si>
    <t>-637.483774250582 146.166800941776 -253.628576229729</t>
  </si>
  <si>
    <t>-403.660254512404 203.877859518782 -260.47277883083</t>
  </si>
  <si>
    <t>-655.156344423018 37.8647267725489 -102.913317200042</t>
  </si>
  <si>
    <t>-671.742370616651 66.8418480772025 299.255643756793</t>
  </si>
  <si>
    <t>-711.717932755047 101.710759579203 743.975294811607</t>
  </si>
  <si>
    <t>-567.603421377968 125.299084814271 805.309623442069</t>
  </si>
  <si>
    <t>-579.524976088194 -148.026524273996 305.483309675799</t>
  </si>
  <si>
    <t>-596.454566423585 -148.286796075336 753.032955244525</t>
  </si>
  <si>
    <t>-459.807111401557 -182.560546168324 825.421403143358</t>
  </si>
  <si>
    <t>9763-20170724T104515.983145900.bin</t>
  </si>
  <si>
    <t>-680.731002168107 95.5255500108824 -540.314016499159</t>
  </si>
  <si>
    <t>-636.040043524235 147.464538492532 -254.138827179715</t>
  </si>
  <si>
    <t>-402.224411967477 205.255358671306 -260.569407545683</t>
  </si>
  <si>
    <t>-655.158556520016 38.1979760474035 -102.941046420784</t>
  </si>
  <si>
    <t>-671.832638953895 67.0690006840273 299.23199313818</t>
  </si>
  <si>
    <t>-711.7052894154 101.70377196646 743.973908701945</t>
  </si>
  <si>
    <t>-567.61946434012 125.453239794223 805.313388903873</t>
  </si>
  <si>
    <t>-579.429304071942 -147.810313742252 305.446464634349</t>
  </si>
  <si>
    <t>-596.438417119932 -148.139313287755 753.001551805342</t>
  </si>
  <si>
    <t>-459.887910952169 -182.747062600719 825.413934746953</t>
  </si>
  <si>
    <t>9763-20170724T104516.053035700.bin</t>
  </si>
  <si>
    <t>-679.846206389889 96.2730699460772 -540.549019611656</t>
  </si>
  <si>
    <t>-632.816679020377 150.099856240389 -255.098363773238</t>
  </si>
  <si>
    <t>-398.961560766452 207.839518157089 -260.465976752239</t>
  </si>
  <si>
    <t>-655.078471501301 39.0019541983654 -102.974162522415</t>
  </si>
  <si>
    <t>-672.023737214718 67.539312424753 299.211244596384</t>
  </si>
  <si>
    <t>-711.670412015234 101.675903933864 744.003831609479</t>
  </si>
  <si>
    <t>-567.60058004058 125.485019540369 805.357710069906</t>
  </si>
  <si>
    <t>-579.430742195801 -147.424069384273 305.377522493729</t>
  </si>
  <si>
    <t>-596.424180441833 -147.978053654736 752.945847368134</t>
  </si>
  <si>
    <t>-459.881126583551 -182.59241514206 825.369056619002</t>
  </si>
  <si>
    <t>9763-20170724T104516.086122100.bin</t>
  </si>
  <si>
    <t>-679.170318052645 96.5319689783362 -540.631617202278</t>
  </si>
  <si>
    <t>-630.968911107771 151.138498393135 -255.524771824583</t>
  </si>
  <si>
    <t>-397.063288885389 208.703182682478 -260.556201202311</t>
  </si>
  <si>
    <t>-654.982546245216 39.2250143491156 -102.954369388101</t>
  </si>
  <si>
    <t>-672.030281891005 67.7117501564701 299.230355937027</t>
  </si>
  <si>
    <t>-711.656584180279 101.645320144488 744.041306847661</t>
  </si>
  <si>
    <t>-567.594064563954 125.499872350454 805.39478979169</t>
  </si>
  <si>
    <t>-579.510114620699 -147.342449617192 305.358937730706</t>
  </si>
  <si>
    <t>-596.417494466071 -148.173743560036 752.929818713416</t>
  </si>
  <si>
    <t>-459.758013127206 -182.354239507199 825.339713985858</t>
  </si>
  <si>
    <t>9763-20170724T104516.151299900.bin</t>
  </si>
  <si>
    <t>-677.500328465051 97.3972900517247 -540.820691675915</t>
  </si>
  <si>
    <t>-627.375026161357 153.010925309834 -256.240622574483</t>
  </si>
  <si>
    <t>-393.379458064495 210.262286322587 -260.627683241975</t>
  </si>
  <si>
    <t>-655.001223942695 40.0024716497389 -102.915515409268</t>
  </si>
  <si>
    <t>-672.08666815239 68.1943491335023 299.28841654044</t>
  </si>
  <si>
    <t>-711.786479513605 101.911091270606 744.125632823771</t>
  </si>
  <si>
    <t>-567.61755701273 125.124211977953 805.475211176711</t>
  </si>
  <si>
    <t>-579.933899288038 -147.147604461709 305.323354554583</t>
  </si>
  <si>
    <t>-596.427053001231 -148.265733722557 752.91191014214</t>
  </si>
  <si>
    <t>-459.664656396505 -182.079074051885 825.299798181117</t>
  </si>
  <si>
    <t>9763-20170724T104516.184388100.bin</t>
  </si>
  <si>
    <t>-676.648499280296 97.8145981343398 -540.923200864398</t>
  </si>
  <si>
    <t>-625.574851916711 153.824622788935 -256.589622022717</t>
  </si>
  <si>
    <t>-391.546930557412 210.97296276035 -260.575154926876</t>
  </si>
  <si>
    <t>-654.996050312465 40.2908175440134 -102.882537747122</t>
  </si>
  <si>
    <t>-671.963248446772 68.3398062417812 299.336389810504</t>
  </si>
  <si>
    <t>-711.791390746542 101.911459811851 744.190284180477</t>
  </si>
  <si>
    <t>-567.604954497899 125.058627285631 805.523529989877</t>
  </si>
  <si>
    <t>-580.181357645853 -147.10731443496 305.301999769439</t>
  </si>
  <si>
    <t>-596.428955988446 -148.378048145984 752.902546182234</t>
  </si>
  <si>
    <t>-459.619856031197 -182.017242946968 825.283292929456</t>
  </si>
  <si>
    <t>9763-20170724T104516.252576200.bin</t>
  </si>
  <si>
    <t>-674.831886836078 98.8505504527375 -540.924608161254</t>
  </si>
  <si>
    <t>-622.382120219486 155.40531596435 -256.949557243441</t>
  </si>
  <si>
    <t>-388.286821266026 212.29919580551 -260.604886678863</t>
  </si>
  <si>
    <t>-654.689768595253 40.7586834154556 -102.762442759254</t>
  </si>
  <si>
    <t>-671.830743850487 68.6978264366821 299.456746986703</t>
  </si>
  <si>
    <t>-711.805339945046 101.931800339283 744.309271855382</t>
  </si>
  <si>
    <t>-567.569539719233 124.814200512436 805.626046433633</t>
  </si>
  <si>
    <t>-580.584317635216 -146.917907604097 305.281766330183</t>
  </si>
  <si>
    <t>-596.450388401684 -148.287688113782 752.883525654477</t>
  </si>
  <si>
    <t>-459.748873179204 -182.324663327309 825.281558629019</t>
  </si>
  <si>
    <t>9763-20170724T104516.282655800.bin</t>
  </si>
  <si>
    <t>-673.876100187486 99.4155188188079 -540.871609290982</t>
  </si>
  <si>
    <t>-620.847444233694 156.250332794207 -257.060221338722</t>
  </si>
  <si>
    <t>-386.740321732916 213.095599522342 -260.711844817008</t>
  </si>
  <si>
    <t>-654.48822768356 41.021021459452 -102.70985043266</t>
  </si>
  <si>
    <t>-671.791339030708 68.8943686607599 299.506958659979</t>
  </si>
  <si>
    <t>-711.796106837794 101.941698374991 744.355342615929</t>
  </si>
  <si>
    <t>-567.53682159144 124.675634538564 805.671927465083</t>
  </si>
  <si>
    <t>-580.825103068331 -146.899279500935 305.285509967135</t>
  </si>
  <si>
    <t>-596.454717307736 -148.417127380165 752.893220780917</t>
  </si>
  <si>
    <t>-459.706158975118 -182.285773689459 825.281312149629</t>
  </si>
  <si>
    <t>9763-20170724T104516.348844200.bin</t>
  </si>
  <si>
    <t>-672.027258085235 100.643308739917 -540.665008923129</t>
  </si>
  <si>
    <t>-617.746060947125 157.979764193738 -257.191505974789</t>
  </si>
  <si>
    <t>-383.683471775734 215.00459636756 -260.904115168629</t>
  </si>
  <si>
    <t>-654.081521400734 41.5641906629896 -102.595041758068</t>
  </si>
  <si>
    <t>-671.613673442013 69.2661116110771 299.623692260157</t>
  </si>
  <si>
    <t>-711.825308095779 102.076021842227 744.474157740181</t>
  </si>
  <si>
    <t>-567.530137656672 124.585630405232 805.789195761964</t>
  </si>
  <si>
    <t>-580.934422565196 -146.654480281165 305.276878170738</t>
  </si>
  <si>
    <t>-596.47488014013 -148.240479485261 752.892323849748</t>
  </si>
  <si>
    <t>-459.887969615497 -182.711103453186 825.301494192958</t>
  </si>
  <si>
    <t>9763-20170724T104516.386464200.bin</t>
  </si>
  <si>
    <t>-671.02645149816 101.025011880987 -540.566712390355</t>
  </si>
  <si>
    <t>-616.157800348612 158.659912619095 -257.266906553594</t>
  </si>
  <si>
    <t>-382.101259568654 215.704899609004 -261.042353178565</t>
  </si>
  <si>
    <t>-653.813008537302 41.6670045741803 -102.527638605613</t>
  </si>
  <si>
    <t>-671.516008365102 69.2876735307796 299.689274305607</t>
  </si>
  <si>
    <t>-711.814642951704 102.08026416456 744.529533571436</t>
  </si>
  <si>
    <t>-567.522005932795 124.592241274384 805.84947808762</t>
  </si>
  <si>
    <t>-581.001381854135 -146.693982561471 305.288246188653</t>
  </si>
  <si>
    <t>-596.485531851589 -148.383230070452 752.899785247991</t>
  </si>
  <si>
    <t>-459.819252071233 -182.562759667042 825.297256622723</t>
  </si>
  <si>
    <t>9763-20170724T104516.430585100.bin</t>
  </si>
  <si>
    <t>-669.996037984176 101.39045872404 -540.520003088183</t>
  </si>
  <si>
    <t>-614.540312413371 159.45925485979 -257.42309014109</t>
  </si>
  <si>
    <t>-380.487771684331 216.529561424983 -261.068403442166</t>
  </si>
  <si>
    <t>-653.470638286783 41.7945322848541 -102.466901694809</t>
  </si>
  <si>
    <t>-671.393053126651 69.3525943578773 299.744544754092</t>
  </si>
  <si>
    <t>-711.788851023746 102.058639519235 744.577650890299</t>
  </si>
  <si>
    <t>-567.473135872453 124.397718399093 805.906519433346</t>
  </si>
  <si>
    <t>-581.02828980338 -146.620666113757 305.299003812912</t>
  </si>
  <si>
    <t>-596.489565929829 -148.198085875899 752.894161709714</t>
  </si>
  <si>
    <t>-459.914320160749 -182.705014530142 825.307991635038</t>
  </si>
  <si>
    <t>9763-20170724T104516.486052900.bin</t>
  </si>
  <si>
    <t>-668.052328079478 102.070548373739 -540.474645048968</t>
  </si>
  <si>
    <t>-611.392184695678 161.13359252524 -257.822239921926</t>
  </si>
  <si>
    <t>-377.357439379994 218.30728429082 -260.947130813565</t>
  </si>
  <si>
    <t>-652.750922962926 42.0774223806216 -102.363701761362</t>
  </si>
  <si>
    <t>-671.208629197737 69.4870757339793 299.833662095133</t>
  </si>
  <si>
    <t>-711.774959429513 102.098755238166 744.658482817188</t>
  </si>
  <si>
    <t>-567.483271918248 124.576077385722 805.993532984333</t>
  </si>
  <si>
    <t>-581.121757870079 -146.5893702405 305.31109703855</t>
  </si>
  <si>
    <t>-596.494545861639 -148.222966616394 752.896676559861</t>
  </si>
  <si>
    <t>-459.915216295246 -182.683690791503 825.32486165865</t>
  </si>
  <si>
    <t>9763-20170724T104516.547724600.bin</t>
  </si>
  <si>
    <t>-665.999360063009 102.93916625948 -540.515292185346</t>
  </si>
  <si>
    <t>-608.178158956693 162.678231948624 -258.240441651582</t>
  </si>
  <si>
    <t>-374.222136062173 220.204785516284 -260.72106997527</t>
  </si>
  <si>
    <t>-651.941346596739 42.5889235338202 -102.28687787348</t>
  </si>
  <si>
    <t>-671.055055456252 69.7843409214511 299.894347643884</t>
  </si>
  <si>
    <t>-711.716390709545 102.056662659589 744.728099836154</t>
  </si>
  <si>
    <t>-567.464304994186 124.760051563828 806.072848197852</t>
  </si>
  <si>
    <t>-581.179939238054 -146.534143428739 305.332124994404</t>
  </si>
  <si>
    <t>-596.524407626975 -148.219072966806 752.917739024694</t>
  </si>
  <si>
    <t>-459.958755766608 -182.752058063564 825.337343527057</t>
  </si>
  <si>
    <t>9763-20170724T104516.584886900.bin</t>
  </si>
  <si>
    <t>-664.861867130511 103.361049388627 -540.558984686801</t>
  </si>
  <si>
    <t>-606.63662570629 163.457799418603 -258.44297181764</t>
  </si>
  <si>
    <t>-372.70259003541 221.088027993203 -260.560407667186</t>
  </si>
  <si>
    <t>-651.439557331586 42.8928668382193 -102.246464641412</t>
  </si>
  <si>
    <t>-670.921810958222 69.944126781947 299.926843894642</t>
  </si>
  <si>
    <t>-711.671631758007 102.010977665941 744.765932003297</t>
  </si>
  <si>
    <t>-567.428483437116 124.758854201833 806.115068772407</t>
  </si>
  <si>
    <t>-581.128822121686 -146.459563361439 305.358758008409</t>
  </si>
  <si>
    <t>-596.536130151826 -148.261898829591 752.935047117981</t>
  </si>
  <si>
    <t>-460.02089704335 -183.007099920161 825.348205655023</t>
  </si>
  <si>
    <t>9763-20170724T104516.653076400.bin</t>
  </si>
  <si>
    <t>-662.495143327056 104.048359042885 -540.627184253563</t>
  </si>
  <si>
    <t>-603.413047700001 164.938182706313 -258.859572149633</t>
  </si>
  <si>
    <t>-369.500377487187 222.670758610798 -260.495777839999</t>
  </si>
  <si>
    <t>-650.176765006591 43.422076907985 -102.139480716192</t>
  </si>
  <si>
    <t>-670.301823714776 70.1978617414072 300.020556025912</t>
  </si>
  <si>
    <t>-711.664991731027 102.07680138392 744.848665353015</t>
  </si>
  <si>
    <t>-567.432187170664 124.896383767907 806.195603610574</t>
  </si>
  <si>
    <t>-580.868277895628 -146.401753785533 305.415381234649</t>
  </si>
  <si>
    <t>-596.594269228729 -148.214951463949 752.981483215988</t>
  </si>
  <si>
    <t>-460.119988717229 -183.244107455308 825.334821890213</t>
  </si>
  <si>
    <t>9763-20170724T104516.683156800.bin</t>
  </si>
  <si>
    <t>-661.356324332699 104.16484830612 -540.638542796188</t>
  </si>
  <si>
    <t>-601.822908440942 165.421581808497 -259.045574302321</t>
  </si>
  <si>
    <t>-367.928986262838 223.235922660221 -260.46918174338</t>
  </si>
  <si>
    <t>-649.448902276163 43.4700988169732 -102.074572677424</t>
  </si>
  <si>
    <t>-669.838377108952 70.188166823609 300.07595252358</t>
  </si>
  <si>
    <t>-711.627061175214 102.008502388562 744.885493643156</t>
  </si>
  <si>
    <t>-567.405128776071 124.95246178272 806.211673581327</t>
  </si>
  <si>
    <t>-580.759018743864 -146.472722284547 305.462107319676</t>
  </si>
  <si>
    <t>-596.616807523125 -148.181190201155 752.996085403045</t>
  </si>
  <si>
    <t>-460.161947471451 -183.31772016403 825.33410655782</t>
  </si>
  <si>
    <t>9763-20170724T104516.751932600.bin</t>
  </si>
  <si>
    <t>-659.352153696795 104.655116933785 -540.661528526923</t>
  </si>
  <si>
    <t>-599.355189011711 166.255477771115 -259.242085111649</t>
  </si>
  <si>
    <t>-365.493741678297 224.210680822952 -260.181226821074</t>
  </si>
  <si>
    <t>-648.262973782362 43.7839910300465 -101.981028258075</t>
  </si>
  <si>
    <t>-668.742953510738 70.3173243352799 300.177169190167</t>
  </si>
  <si>
    <t>-711.594452519053 101.981217182606 744.90774600352</t>
  </si>
  <si>
    <t>-567.372726454392 125.03904982642 806.191841466288</t>
  </si>
  <si>
    <t>-579.986140663043 -146.405041974899 305.494539396964</t>
  </si>
  <si>
    <t>-596.637237930092 -147.681423974915 752.995938834331</t>
  </si>
  <si>
    <t>-460.405762147583 -183.656999735403 825.342661382052</t>
  </si>
  <si>
    <t>9763-20170724T104516.788024800.bin</t>
  </si>
  <si>
    <t>-658.464167171764 104.734445794982 -540.617152896793</t>
  </si>
  <si>
    <t>-598.266489084335 166.38625491315 -259.251796806144</t>
  </si>
  <si>
    <t>-364.440339607221 224.48714553958 -259.939980133696</t>
  </si>
  <si>
    <t>-647.754181655568 43.8740741536212 -101.940709442433</t>
  </si>
  <si>
    <t>-668.176868993448 70.2596123127998 300.230151468226</t>
  </si>
  <si>
    <t>-711.588300243721 101.970790334605 744.920240412028</t>
  </si>
  <si>
    <t>-567.360103831598 125.062120290624 806.176385459395</t>
  </si>
  <si>
    <t>-579.722219621096 -146.349395199667 305.50149187709</t>
  </si>
  <si>
    <t>-596.644423306731 -147.621289301416 752.999769498234</t>
  </si>
  <si>
    <t>-460.575497874726 -184.187507654274 825.356235994286</t>
  </si>
  <si>
    <t>9763-20170724T104516.852087200.bin</t>
  </si>
  <si>
    <t>-657.149088154661 104.893240655415 -540.417487624762</t>
  </si>
  <si>
    <t>-595.995222375864 166.556674124999 -259.260912479705</t>
  </si>
  <si>
    <t>-362.276761211774 225.088794102254 -259.985794554743</t>
  </si>
  <si>
    <t>-646.85575367146 44.0320627074054 -101.912608662175</t>
  </si>
  <si>
    <t>-667.477396420682 70.2603471920384 300.258413392292</t>
  </si>
  <si>
    <t>-711.605243004741 102.000949922275 744.883014190268</t>
  </si>
  <si>
    <t>-567.352955291518 125.058486622761 806.095199178345</t>
  </si>
  <si>
    <t>-579.29280641488 -146.495522572371 305.589509870023</t>
  </si>
  <si>
    <t>-596.683965505036 -147.711507170232 753.005904149674</t>
  </si>
  <si>
    <t>-460.519894735415 -183.975025853655 825.335725187032</t>
  </si>
  <si>
    <t>9763-20170724T104516.891192100.bin</t>
  </si>
  <si>
    <t>-656.713969658145 105.09797862725 -540.408610733817</t>
  </si>
  <si>
    <t>-595.124979158611 166.608742110697 -259.313607189222</t>
  </si>
  <si>
    <t>-361.434622892466 225.251559348682 -260.1598249285</t>
  </si>
  <si>
    <t>-646.533632177225 44.1271639938172 -101.92300930803</t>
  </si>
  <si>
    <t>-667.343961479096 70.2793394776163 300.243207255368</t>
  </si>
  <si>
    <t>-711.590708764285 101.993148240716 744.855427476723</t>
  </si>
  <si>
    <t>-567.343878740862 125.130106009567 806.050396955357</t>
  </si>
  <si>
    <t>-579.19975749424 -146.40362409927 305.580593993021</t>
  </si>
  <si>
    <t>-596.696278862462 -147.543602567715 753.005534378279</t>
  </si>
  <si>
    <t>-460.570485258997 -183.946873936976 825.337113056921</t>
  </si>
  <si>
    <t>9763-20170724T104516.926285700.bin</t>
  </si>
  <si>
    <t>-656.361478706258 105.102530614683 -540.447185533731</t>
  </si>
  <si>
    <t>-594.368545974619 166.435000476276 -259.401897430436</t>
  </si>
  <si>
    <t>-360.684483025634 225.102476275355 -260.253262300707</t>
  </si>
  <si>
    <t>-646.284590381525 44.1516773894195 -101.963282795739</t>
  </si>
  <si>
    <t>-667.230265582749 70.2796174409684 300.197563877948</t>
  </si>
  <si>
    <t>-711.55714011784 101.974612477974 744.80842325359</t>
  </si>
  <si>
    <t>-567.340511234549 125.315203574319 805.997254726156</t>
  </si>
  <si>
    <t>-578.991693219485 -146.426273122208 305.560192334213</t>
  </si>
  <si>
    <t>-596.713759435925 -147.715415562793 753.003222474763</t>
  </si>
  <si>
    <t>-460.580851096345 -184.09553356175 825.333174053675</t>
  </si>
  <si>
    <t>9763-20170724T104516.986471100.bin</t>
  </si>
  <si>
    <t>-656.1247037162 105.037946417121 -540.445574077341</t>
  </si>
  <si>
    <t>-593.628603238992 166.387338409911 -259.515415030584</t>
  </si>
  <si>
    <t>-359.920946064131 224.962959682404 -260.232795412429</t>
  </si>
  <si>
    <t>-646.073474496823 44.1528960583501 -101.98663409984</t>
  </si>
  <si>
    <t>-667.201083740772 70.3796982867686 300.158179736973</t>
  </si>
  <si>
    <t>-711.543804759747 102.075042541516 744.7468204257</t>
  </si>
  <si>
    <t>-567.340051987219 125.502998943758 805.93264032146</t>
  </si>
  <si>
    <t>-578.686840665612 -146.368238193061 305.558875211396</t>
  </si>
  <si>
    <t>-596.730544301167 -147.636101101906 752.978200138983</t>
  </si>
  <si>
    <t>-460.656127373597 -184.201138414194 825.324963513374</t>
  </si>
  <si>
    <t>9763-20170724T104517.049142100.bin</t>
  </si>
  <si>
    <t>-656.210560599335 105.162910244233 -540.391498414379</t>
  </si>
  <si>
    <t>-593.906963107007 165.874486410707 -259.280206837374</t>
  </si>
  <si>
    <t>-360.155302956178 224.277628519002 -259.610410088028</t>
  </si>
  <si>
    <t>-645.981963781666 44.5031247625368 -102.071201537505</t>
  </si>
  <si>
    <t>-667.52709018833 70.6706920364682 300.055314534495</t>
  </si>
  <si>
    <t>-711.544002540273 102.267359964787 744.662355783413</t>
  </si>
  <si>
    <t>-567.306694622067 125.436989737217 805.867387062771</t>
  </si>
  <si>
    <t>-578.477195260013 -146.241773482006 305.524759253571</t>
  </si>
  <si>
    <t>-596.749395678668 -147.543669993135 752.958458503383</t>
  </si>
  <si>
    <t>-460.757761759522 -184.38944337665 825.318346981125</t>
  </si>
  <si>
    <t>9763-20170724T104517.082734200.bin</t>
  </si>
  <si>
    <t>-656.350388653614 105.350924348204 -540.303231880265</t>
  </si>
  <si>
    <t>-594.108972559136 165.528293397151 -259.06322005961</t>
  </si>
  <si>
    <t>-360.389305739326 224.058826690816 -259.470434515542</t>
  </si>
  <si>
    <t>-646.108657594918 44.5432717028937 -102.088830866879</t>
  </si>
  <si>
    <t>-667.696973065655 70.7010990897613 300.036011037793</t>
  </si>
  <si>
    <t>-711.522178558344 102.306206754977 744.649732558728</t>
  </si>
  <si>
    <t>-567.288550188325 125.464749296196 805.867705734006</t>
  </si>
  <si>
    <t>-578.576226767808 -146.219470842892 305.502811337507</t>
  </si>
  <si>
    <t>-596.76953226217 -147.572218965286 752.95927107213</t>
  </si>
  <si>
    <t>-460.798342653879 -184.507739014228 825.3120097114</t>
  </si>
  <si>
    <t>9763-20170724T104517.150920100.bin</t>
  </si>
  <si>
    <t>-656.178706216962 105.53450575628 -540.106493272055</t>
  </si>
  <si>
    <t>-593.308881669114 165.358653671559 -258.931010599005</t>
  </si>
  <si>
    <t>-359.607469886306 223.960817839864 -259.495483367558</t>
  </si>
  <si>
    <t>-646.319383655897 44.3085752612183 -102.141777034102</t>
  </si>
  <si>
    <t>-667.987265155398 70.586049983368 299.971011586373</t>
  </si>
  <si>
    <t>-711.463413410476 102.328687520189 744.615836704326</t>
  </si>
  <si>
    <t>-567.279262378974 125.70891671377 805.866059595239</t>
  </si>
  <si>
    <t>-578.717910416517 -146.392168805139 305.470253188125</t>
  </si>
  <si>
    <t>-596.788646656563 -147.822177524484 752.946698211845</t>
  </si>
  <si>
    <t>-460.688227285856 -184.318874469618 825.279042630192</t>
  </si>
  <si>
    <t>9763-20170724T104517.185690700.bin</t>
  </si>
  <si>
    <t>-655.936178907619 105.527286535654 -540.087422960864</t>
  </si>
  <si>
    <t>-592.415059978862 165.915281984367 -259.178896556844</t>
  </si>
  <si>
    <t>-358.695072142266 224.442699570369 -259.793021051852</t>
  </si>
  <si>
    <t>-646.542048364039 44.1064285591403 -102.13773659225</t>
  </si>
  <si>
    <t>-668.222421286913 70.4755659336015 299.968363575523</t>
  </si>
  <si>
    <t>-711.411119582401 102.315885824558 744.602012194195</t>
  </si>
  <si>
    <t>-567.262969142551 125.838727097172 805.882507929555</t>
  </si>
  <si>
    <t>-578.773920358495 -146.559141908409 305.430163108842</t>
  </si>
  <si>
    <t>-596.793278763556 -147.98184658232 752.929261695599</t>
  </si>
  <si>
    <t>-460.598953510379 -184.13668568732 825.256586633182</t>
  </si>
  <si>
    <t>9763-20170724T104517.251372000.bin</t>
  </si>
  <si>
    <t>-655.626220182526 105.447688178396 -540.07004156649</t>
  </si>
  <si>
    <t>-591.160957856557 166.490376348139 -259.518384888537</t>
  </si>
  <si>
    <t>-357.3721999542 224.741730944347 -260.205147203416</t>
  </si>
  <si>
    <t>-647.156846866471 43.7124362670265 -102.127345493238</t>
  </si>
  <si>
    <t>-668.735810702742 70.4896222980942 299.957246955399</t>
  </si>
  <si>
    <t>-711.380775412066 102.4190559384 744.628276031536</t>
  </si>
  <si>
    <t>-567.253794333701 125.975815620778 805.945280528897</t>
  </si>
  <si>
    <t>-579.184582396689 -146.789617918283 305.399311724627</t>
  </si>
  <si>
    <t>-596.808343080563 -147.99129083974 752.914012903532</t>
  </si>
  <si>
    <t>-460.604108900837 -184.10164782631 825.244907483161</t>
  </si>
  <si>
    <t>9763-20170724T104517.284499700.bin</t>
  </si>
  <si>
    <t>-655.700547610316 105.606376746169 -540.099297805448</t>
  </si>
  <si>
    <t>-591.412012767947 166.333766443117 -259.438711757764</t>
  </si>
  <si>
    <t>-357.572267516095 224.381206625503 -259.998141638671</t>
  </si>
  <si>
    <t>-647.679558201838 43.8300686310374 -102.145002332271</t>
  </si>
  <si>
    <t>-669.255127662819 70.6480402018801 299.937009669527</t>
  </si>
  <si>
    <t>-711.460113204963 102.663970156696 744.644099109627</t>
  </si>
  <si>
    <t>-567.278935447179 125.847838692379 805.975911077342</t>
  </si>
  <si>
    <t>-579.459902778141 -146.768132690508 305.406086157546</t>
  </si>
  <si>
    <t>-596.8121808159 -148.012385094887 752.917395764277</t>
  </si>
  <si>
    <t>-460.673444065512 -184.348304028174 825.25851571105</t>
  </si>
  <si>
    <t>9763-20170724T104517.350679600.bin</t>
  </si>
  <si>
    <t>-656.002548941322 105.449562482758 -540.046185520491</t>
  </si>
  <si>
    <t>-592.737409149599 165.122638115623 -258.92737915594</t>
  </si>
  <si>
    <t>-358.866729875896 223.048255223134 -258.915551777454</t>
  </si>
  <si>
    <t>-648.354551039388 43.5108284832309 -102.13518802688</t>
  </si>
  <si>
    <t>-669.927563957122 70.5233482517738 299.933921335579</t>
  </si>
  <si>
    <t>-711.446929989575 102.65787450868 744.712811982097</t>
  </si>
  <si>
    <t>-567.260843274877 125.877182172259 806.019895581006</t>
  </si>
  <si>
    <t>-580.102569232815 -146.969927696352 305.406527832849</t>
  </si>
  <si>
    <t>-596.823207550933 -148.280296822986 752.954691036643</t>
  </si>
  <si>
    <t>-460.601241780345 -184.342059585862 825.276311414931</t>
  </si>
  <si>
    <t>9763-20170724T104517.385273500.bin</t>
  </si>
  <si>
    <t>-656.341279904826 105.310356612953 -540.00003926503</t>
  </si>
  <si>
    <t>-593.548879802447 164.57778306469 -258.689378122581</t>
  </si>
  <si>
    <t>-359.707050494141 222.619358686464 -258.492069741371</t>
  </si>
  <si>
    <t>-648.578012821007 43.3073477975065 -102.121618128001</t>
  </si>
  <si>
    <t>-670.141235979059 70.4406466722583 299.939863240288</t>
  </si>
  <si>
    <t>-711.446297291034 102.637527414715 744.744458059689</t>
  </si>
  <si>
    <t>-567.270942215597 125.991940180705 806.025243651975</t>
  </si>
  <si>
    <t>-580.148692689585 -146.979078908837 305.411539612216</t>
  </si>
  <si>
    <t>-596.818737283748 -148.111528587777 752.962281674381</t>
  </si>
  <si>
    <t>-460.709920144356 -184.569451627293 825.298343979597</t>
  </si>
  <si>
    <t>9763-20170724T104517.417358100.bin</t>
  </si>
  <si>
    <t>-657.02303574477 105.186577273283 -540.00288532036</t>
  </si>
  <si>
    <t>-594.457324125001 164.182344135992 -258.584813629328</t>
  </si>
  <si>
    <t>-360.623887877375 222.25793868342 -258.386209733441</t>
  </si>
  <si>
    <t>-648.865558071928 43.2526770335971 -102.114512290536</t>
  </si>
  <si>
    <t>-670.293228165907 70.3791230149861 299.954679018325</t>
  </si>
  <si>
    <t>-711.455200370351 102.628703174621 744.765839371099</t>
  </si>
  <si>
    <t>-567.282643701918 126.054585611703 806.025997934844</t>
  </si>
  <si>
    <t>-580.063089640338 -147.002403051896 305.429033352145</t>
  </si>
  <si>
    <t>-596.827696615996 -147.955753620935 752.977478005913</t>
  </si>
  <si>
    <t>-460.792096118611 -184.686997158052 825.312920182781</t>
  </si>
  <si>
    <t>9763-20170724T104517.484557800.bin</t>
  </si>
  <si>
    <t>-658.391416248557 104.584707951927 -540.124749123081</t>
  </si>
  <si>
    <t>-596.12842512687 163.26350114203 -258.57314476745</t>
  </si>
  <si>
    <t>-362.370922888896 221.642928335862 -258.924232743368</t>
  </si>
  <si>
    <t>-649.141329139971 42.9101242965871 -102.104394382062</t>
  </si>
  <si>
    <t>-670.298086931452 70.1361335831464 299.972510095226</t>
  </si>
  <si>
    <t>-711.409145031672 102.515370769513 744.785644676899</t>
  </si>
  <si>
    <t>-567.237629352693 126.015362637574 806.019731662637</t>
  </si>
  <si>
    <t>-580.038223675243 -147.057571444267 305.497627252002</t>
  </si>
  <si>
    <t>-596.842838662652 -148.081924208589 753.024270612444</t>
  </si>
  <si>
    <t>-460.682029459238 -184.434775327499 825.315341185843</t>
  </si>
  <si>
    <t>9763-20170724T104517.551236700.bin</t>
  </si>
  <si>
    <t>-659.637786529125 104.199356086667 -540.244310362074</t>
  </si>
  <si>
    <t>-597.98045121216 162.356897962914 -258.451354388037</t>
  </si>
  <si>
    <t>-364.275705094388 220.948399458585 -258.400867775336</t>
  </si>
  <si>
    <t>-649.540514031783 42.792196703851 -102.145969593348</t>
  </si>
  <si>
    <t>-670.202846310705 70.0068427775791 299.95743232432</t>
  </si>
  <si>
    <t>-711.420367682554 102.458114936153 744.783089497942</t>
  </si>
  <si>
    <t>-567.222568445783 125.911569391827 805.973145481605</t>
  </si>
  <si>
    <t>-579.791949543246 -147.062742633271 305.542724501542</t>
  </si>
  <si>
    <t>-596.836970590848 -148.067266445476 753.040904737239</t>
  </si>
  <si>
    <t>-460.692689938529 -184.470099277398 825.337950091494</t>
  </si>
  <si>
    <t>9763-20170724T104517.585830500.bin</t>
  </si>
  <si>
    <t>-660.511898584367 104.242345859708 -540.290324151023</t>
  </si>
  <si>
    <t>-599.191882150489 162.169469235657 -258.376346771919</t>
  </si>
  <si>
    <t>-365.535421575098 220.951689050991 -257.973892531022</t>
  </si>
  <si>
    <t>-649.790637375134 42.8519124526911 -102.181206500105</t>
  </si>
  <si>
    <t>-670.342435359413 70.0751269249208 299.927226398068</t>
  </si>
  <si>
    <t>-711.468707970083 102.559462092995 744.746306895712</t>
  </si>
  <si>
    <t>-567.256645445449 125.921692364415 805.93749965342</t>
  </si>
  <si>
    <t>-579.70851466018 -147.011107990258 305.545268528</t>
  </si>
  <si>
    <t>-596.842510718537 -148.00362885874 753.044409126482</t>
  </si>
  <si>
    <t>-460.735495847903 -184.540039668421 825.344249764158</t>
  </si>
  <si>
    <t>9763-20170724T104517.647504000.bin</t>
  </si>
  <si>
    <t>-662.155105926439 103.797940187109 -540.322734763919</t>
  </si>
  <si>
    <t>-601.154748002472 161.179258690766 -258.227749357731</t>
  </si>
  <si>
    <t>-367.592915342515 220.330138600633 -257.273964485779</t>
  </si>
  <si>
    <t>-649.83984445317 42.4117303279936 -102.204234892287</t>
  </si>
  <si>
    <t>-670.299341245383 69.931930267539 299.888652184557</t>
  </si>
  <si>
    <t>-711.368454277292 102.34132019969 744.698347922236</t>
  </si>
  <si>
    <t>-567.223551580986 126.14672288528 805.877093888293</t>
  </si>
  <si>
    <t>-579.636822189304 -147.069782246745 305.547800127598</t>
  </si>
  <si>
    <t>-596.841690313875 -147.907276614284 753.054437312521</t>
  </si>
  <si>
    <t>-460.817302412568 -184.74645027516 825.356041751277</t>
  </si>
  <si>
    <t>9763-20170724T104517.683607100.bin</t>
  </si>
  <si>
    <t>-662.739309659662 103.363169759029 -540.342657074541</t>
  </si>
  <si>
    <t>-601.819844759946 160.606929416539 -258.202266798458</t>
  </si>
  <si>
    <t>-368.270505551746 219.799300330166 -256.854657480225</t>
  </si>
  <si>
    <t>-649.927507809433 42.2262653659232 -102.223585053752</t>
  </si>
  <si>
    <t>-670.26236226257 69.7853927972678 299.873037810493</t>
  </si>
  <si>
    <t>-711.406454056562 102.430239625106 744.665562272574</t>
  </si>
  <si>
    <t>-567.228550018615 126.008249426381 805.854754219476</t>
  </si>
  <si>
    <t>-579.585801541589 -147.168419927505 305.531442122059</t>
  </si>
  <si>
    <t>-596.841029213544 -148.058349251458 753.059881491665</t>
  </si>
  <si>
    <t>-460.816315741411 -184.90483830391 825.357350071332</t>
  </si>
  <si>
    <t>9763-20170724T104517.752016200.bin</t>
  </si>
  <si>
    <t>-663.888077836869 102.592956031173 -540.381092032789</t>
  </si>
  <si>
    <t>-602.777328029104 160.198123015378 -258.355663939551</t>
  </si>
  <si>
    <t>-369.222032390825 219.351743212598 -256.444672526297</t>
  </si>
  <si>
    <t>-650.138385965651 41.8139501198229 -102.244210353957</t>
  </si>
  <si>
    <t>-670.371127585403 69.5221197713227 299.847283064867</t>
  </si>
  <si>
    <t>-711.390462333045 102.436527098498 744.60671466831</t>
  </si>
  <si>
    <t>-567.230313517882 126.07105994578 805.815887426147</t>
  </si>
  <si>
    <t>-579.586079456185 -147.349761315672 305.532091160675</t>
  </si>
  <si>
    <t>-596.832639766365 -148.136521687375 753.065750136868</t>
  </si>
  <si>
    <t>-460.762029563217 -184.829336563681 825.354894824799</t>
  </si>
  <si>
    <t>9763-20170724T104517.785669000.bin</t>
  </si>
  <si>
    <t>-664.405241180055 102.303026038943 -540.414712369747</t>
  </si>
  <si>
    <t>-603.014796549705 160.144624730406 -258.498420094646</t>
  </si>
  <si>
    <t>-369.452718038012 219.266309558484 -256.44344539836</t>
  </si>
  <si>
    <t>-650.186457847235 41.6585375815621 -102.248388951714</t>
  </si>
  <si>
    <t>-670.460053245298 69.4892124041799 299.832561062632</t>
  </si>
  <si>
    <t>-711.409536257592 102.509600937492 744.584383561116</t>
  </si>
  <si>
    <t>-567.264599062204 126.210742611013 805.80364899457</t>
  </si>
  <si>
    <t>-579.52476465872 -147.466989640134 305.527190138446</t>
  </si>
  <si>
    <t>-596.831177226337 -148.163875850263 753.06695480441</t>
  </si>
  <si>
    <t>-460.724445189512 -184.736572535735 825.348999335076</t>
  </si>
  <si>
    <t>9763-20170724T104517.850850600.bin</t>
  </si>
  <si>
    <t>-665.262889448589 101.860501668519 -540.562466544441</t>
  </si>
  <si>
    <t>-603.326956309065 160.01524116491 -258.830004418936</t>
  </si>
  <si>
    <t>-369.735063885379 219.007663258715 -256.46245358114</t>
  </si>
  <si>
    <t>-650.442138074069 41.6706914386668 -102.304507567362</t>
  </si>
  <si>
    <t>-670.548676962722 69.5555244076027 299.781073440294</t>
  </si>
  <si>
    <t>-711.504680546392 102.754268167011 744.54935726428</t>
  </si>
  <si>
    <t>-567.296970736199 125.98146506626 805.802343900823</t>
  </si>
  <si>
    <t>-579.592486341047 -147.397993492805 305.527688881964</t>
  </si>
  <si>
    <t>-596.827801147212 -148.090879276591 753.070423163033</t>
  </si>
  <si>
    <t>-460.762694067823 -184.821612059258 825.350737584484</t>
  </si>
  <si>
    <t>9763-20170724T104517.881935900.bin</t>
  </si>
  <si>
    <t>-665.511685738985 101.628256407648 -540.638517423398</t>
  </si>
  <si>
    <t>-603.461057513445 159.995049259906 -258.975230668054</t>
  </si>
  <si>
    <t>-369.844146825641 218.880300134962 -256.411303158254</t>
  </si>
  <si>
    <t>-650.439639453941 41.5407718398069 -102.316207171426</t>
  </si>
  <si>
    <t>-670.43691229937 69.4674761657084 299.77192559764</t>
  </si>
  <si>
    <t>-711.452134275342 102.651972340653 744.536799960046</t>
  </si>
  <si>
    <t>-567.285622872474 126.127066551798 805.792199867219</t>
  </si>
  <si>
    <t>-579.627962522082 -147.397999712467 305.535159898632</t>
  </si>
  <si>
    <t>-596.823439559142 -148.074225016377 753.070574369069</t>
  </si>
  <si>
    <t>-460.814039510093 -184.996334410052 825.358211708484</t>
  </si>
  <si>
    <t>9763-20170724T104517.927056800.bin</t>
  </si>
  <si>
    <t>-665.691347222257 101.467116579182 -540.730327094571</t>
  </si>
  <si>
    <t>-603.572142458915 160.013048169764 -259.119383317751</t>
  </si>
  <si>
    <t>-369.942363120647 218.838943854248 -256.375338900288</t>
  </si>
  <si>
    <t>-650.463403956648 41.5303683894683 -102.329906729827</t>
  </si>
  <si>
    <t>-670.316676068722 69.4514022189301 299.76579520412</t>
  </si>
  <si>
    <t>-711.473318233212 102.697397036341 744.525610594092</t>
  </si>
  <si>
    <t>-567.298599022423 126.107383597829 805.786620007383</t>
  </si>
  <si>
    <t>-579.637830981817 -147.455973593288 305.543945414107</t>
  </si>
  <si>
    <t>-596.819379414726 -148.120126961986 753.074347959369</t>
  </si>
  <si>
    <t>-460.742225614609 -184.809542525182 825.352931159274</t>
  </si>
  <si>
    <t>9763-20170724T104517.985174200.bin</t>
  </si>
  <si>
    <t>-666.199856371993 101.212920262805 -540.930066732977</t>
  </si>
  <si>
    <t>-603.681268449173 159.987497181815 -259.454976594416</t>
  </si>
  <si>
    <t>-370.037398857996 218.741568604142 -256.389067775492</t>
  </si>
  <si>
    <t>-650.591627275058 41.5851673863874 -102.368305647661</t>
  </si>
  <si>
    <t>-670.177590658641 69.4874125886113 299.741851129753</t>
  </si>
  <si>
    <t>-711.429817750962 102.610589915734 744.5005822347</t>
  </si>
  <si>
    <t>-567.274089600454 126.125828107589 805.765985784138</t>
  </si>
  <si>
    <t>-579.670206530365 -147.376908318582 305.536365483866</t>
  </si>
  <si>
    <t>-596.811644439326 -148.21412679258 753.071958629112</t>
  </si>
  <si>
    <t>-460.765514884445 -185.008911581166 825.355414272766</t>
  </si>
  <si>
    <t>9763-20170724T104518.050851900.bin</t>
  </si>
  <si>
    <t>-666.862859121823 100.935334530948 -541.120538103391</t>
  </si>
  <si>
    <t>-603.963931903161 160.104945642586 -259.81304411156</t>
  </si>
  <si>
    <t>-370.303838840574 218.784949081236 -256.576550931699</t>
  </si>
  <si>
    <t>-650.852555366772 41.7254628426549 -102.402871786783</t>
  </si>
  <si>
    <t>-670.095153164666 69.5990540095545 299.725798656738</t>
  </si>
  <si>
    <t>-711.428325700167 102.614981996276 744.491763288726</t>
  </si>
  <si>
    <t>-567.266011377137 126.087013206845 805.758270204509</t>
  </si>
  <si>
    <t>-579.597380283628 -147.185555859632 305.518886201033</t>
  </si>
  <si>
    <t>-596.806235926125 -148.135632727102 753.05507714496</t>
  </si>
  <si>
    <t>-460.77268739064 -184.962238803061 825.345970922186</t>
  </si>
  <si>
    <t>9763-20170724T104518.085445500.bin</t>
  </si>
  <si>
    <t>-667.222103594304 100.848447439437 -541.165732873009</t>
  </si>
  <si>
    <t>-604.077394201558 160.147098096385 -259.940597969715</t>
  </si>
  <si>
    <t>-370.356211273349 218.582950302923 -256.693314824732</t>
  </si>
  <si>
    <t>-651.015057386084 41.7825481661375 -102.414531783294</t>
  </si>
  <si>
    <t>-670.109502073461 69.6435603915299 299.722036834043</t>
  </si>
  <si>
    <t>-711.435544297648 102.637209833327 744.491274349476</t>
  </si>
  <si>
    <t>-567.290591988497 126.222954375042 805.755027765018</t>
  </si>
  <si>
    <t>-579.665495453135 -147.065337829122 305.516193356207</t>
  </si>
  <si>
    <t>-596.802688802299 -147.94911224006 753.0417860512</t>
  </si>
  <si>
    <t>-460.844355585223 -185.031003142406 825.343613365728</t>
  </si>
  <si>
    <t>9763-20170724T104518.149123600.bin</t>
  </si>
  <si>
    <t>-668.145252971887 100.945059795014 -541.140721512049</t>
  </si>
  <si>
    <t>-604.623528634988 160.308831738098 -260.014166475048</t>
  </si>
  <si>
    <t>-370.827201775204 218.456848175646 -257.021872939395</t>
  </si>
  <si>
    <t>-651.376658944151 41.9746631755434 -102.459185468602</t>
  </si>
  <si>
    <t>-670.19639094342 69.7858990999091 299.693801930912</t>
  </si>
  <si>
    <t>-711.432030048924 102.649024621762 744.49261948201</t>
  </si>
  <si>
    <t>-567.289933762185 126.268495678838 805.750120657938</t>
  </si>
  <si>
    <t>-579.990563374294 -146.994295326548 305.518975586175</t>
  </si>
  <si>
    <t>-596.805132573139 -147.972582747963 753.039107336608</t>
  </si>
  <si>
    <t>-460.917024664404 -185.279610414963 825.357297901089</t>
  </si>
  <si>
    <t>9763-20170724T104518.185569700.bin</t>
  </si>
  <si>
    <t>-668.858565777446 101.109740400849 -541.045652847575</t>
  </si>
  <si>
    <t>-605.116684097076 160.190709658641 -259.90925705548</t>
  </si>
  <si>
    <t>-371.32076521167 218.353229871692 -257.181581180161</t>
  </si>
  <si>
    <t>-651.709118194508 42.1301638836442 -102.48117683635</t>
  </si>
  <si>
    <t>-670.341526672927 69.8799765181084 299.684786213905</t>
  </si>
  <si>
    <t>-711.436722814918 102.661532898434 744.49116465679</t>
  </si>
  <si>
    <t>-567.271281200938 126.117718101466 805.756356960063</t>
  </si>
  <si>
    <t>-580.033430311191 -146.972429388426 305.514074971798</t>
  </si>
  <si>
    <t>-596.805217509771 -147.88608069652 753.035532424605</t>
  </si>
  <si>
    <t>-460.9369754386 -185.262252897296 825.355240307868</t>
  </si>
  <si>
    <t>9763-20170724T104518.252756400.bin</t>
  </si>
  <si>
    <t>-670.565958394571 100.991565771005 -540.783829942376</t>
  </si>
  <si>
    <t>-607.009046393245 159.231279457759 -259.430320062553</t>
  </si>
  <si>
    <t>-373.151164975926 217.15799636491 -257.006216266188</t>
  </si>
  <si>
    <t>-652.357545762977 41.9722123972308 -102.477755464015</t>
  </si>
  <si>
    <t>-670.568393604298 69.8346286673184 299.699685243743</t>
  </si>
  <si>
    <t>-711.468324467272 102.763143249058 744.516316948094</t>
  </si>
  <si>
    <t>-567.251975868427 125.884907662449 805.788974924285</t>
  </si>
  <si>
    <t>-580.12877929273 -146.993982652172 305.474925096414</t>
  </si>
  <si>
    <t>-596.832515061427 -148.058636739621 753.037690031559</t>
  </si>
  <si>
    <t>-460.859308850454 -185.099020710792 825.332839398765</t>
  </si>
  <si>
    <t>9763-20170724T104518.286860800.bin</t>
  </si>
  <si>
    <t>-671.480182881366 101.01558075706 -540.53498846793</t>
  </si>
  <si>
    <t>-608.722391770666 158.700126962926 -258.887698366087</t>
  </si>
  <si>
    <t>-374.801053825133 216.38889750232 -256.963633839326</t>
  </si>
  <si>
    <t>-652.696553432604 41.9020994641171 -102.457478120305</t>
  </si>
  <si>
    <t>-670.719882408391 69.83621833339 299.723511367069</t>
  </si>
  <si>
    <t>-711.514307055324 102.849902538716 744.547336083317</t>
  </si>
  <si>
    <t>-567.267107777092 125.80462475087 805.810088544171</t>
  </si>
  <si>
    <t>-580.178853013197 -146.917569211096 305.479940984291</t>
  </si>
  <si>
    <t>-596.842852602236 -147.781180416195 753.029093941429</t>
  </si>
  <si>
    <t>-460.932827258409 -185.043707375297 825.328855748966</t>
  </si>
  <si>
    <t>9763-20170724T104518.349525100.bin</t>
  </si>
  <si>
    <t>-674.156416595819 101.383821776909 -539.825507174402</t>
  </si>
  <si>
    <t>-615.009949956502 157.287094316871 -257.039891391752</t>
  </si>
  <si>
    <t>-381.042444584144 214.818409024542 -256.568896009183</t>
  </si>
  <si>
    <t>-653.943321404607 42.0854197627232 -102.444351705439</t>
  </si>
  <si>
    <t>-671.203808776547 69.9221766939379 299.77687067659</t>
  </si>
  <si>
    <t>-711.589150393527 102.983402353645 744.604209050571</t>
  </si>
  <si>
    <t>-567.310278767707 125.760117711991 805.858745857595</t>
  </si>
  <si>
    <t>-580.258102335406 -146.601522551198 305.468702425911</t>
  </si>
  <si>
    <t>-596.83304165743 -147.692982562412 753.010393742217</t>
  </si>
  <si>
    <t>-461.104008581526 -185.540007120964 825.34669911327</t>
  </si>
  <si>
    <t>9763-20170724T104518.384761100.bin</t>
  </si>
  <si>
    <t>-675.99256522731 101.59724231665 -539.386085526046</t>
  </si>
  <si>
    <t>-618.982461200065 155.76472070192 -255.824888923684</t>
  </si>
  <si>
    <t>-385.035927415015 213.383271755087 -255.9284421902</t>
  </si>
  <si>
    <t>-654.603699266927 42.0568396496865 -102.453262221941</t>
  </si>
  <si>
    <t>-671.532788576686 69.9059451398625 299.781125972118</t>
  </si>
  <si>
    <t>-711.548426493963 102.909905775316 744.625778701314</t>
  </si>
  <si>
    <t>-567.26598159454 125.660817962393 805.881626193676</t>
  </si>
  <si>
    <t>-580.282555444738 -146.365082531896 305.44063152585</t>
  </si>
  <si>
    <t>-596.818218533959 -147.584096191862 752.992487162929</t>
  </si>
  <si>
    <t>-461.121212481492 -185.512711891104 825.346051653802</t>
  </si>
  <si>
    <t>9763-20170724T104518.450940300.bin</t>
  </si>
  <si>
    <t>-680.220131709837 101.5487876928 -538.485278134677</t>
  </si>
  <si>
    <t>-626.14913432779 152.636594656713 -253.779258590434</t>
  </si>
  <si>
    <t>-392.254665570653 210.460340846553 -254.593308571085</t>
  </si>
  <si>
    <t>-655.976151895258 41.6884048081204 -102.508167867559</t>
  </si>
  <si>
    <t>-672.240009639687 69.7093014662903 299.741728362007</t>
  </si>
  <si>
    <t>-711.488765800548 102.832679054733 744.644173728582</t>
  </si>
  <si>
    <t>-567.236358581923 125.705692896873 805.925279167127</t>
  </si>
  <si>
    <t>-580.229815063365 -145.973650404063 305.370463786545</t>
  </si>
  <si>
    <t>-596.823009447589 -147.312683958516 752.971015787782</t>
  </si>
  <si>
    <t>-461.262440995228 -185.704824591905 825.335915529895</t>
  </si>
  <si>
    <t>9763-20170724T104518.484029600.bin</t>
  </si>
  <si>
    <t>-682.289533356717 101.102156479244 -538.056169995526</t>
  </si>
  <si>
    <t>-628.987322231544 151.105405547705 -253.012617325673</t>
  </si>
  <si>
    <t>-395.110663204092 208.994272304605 -254.218980979081</t>
  </si>
  <si>
    <t>-656.67494035867 41.2862235926352 -102.521521896337</t>
  </si>
  <si>
    <t>-672.725656172085 69.5128182446758 299.722502866248</t>
  </si>
  <si>
    <t>-711.507267904668 102.904170967331 744.651734552241</t>
  </si>
  <si>
    <t>-567.253705797427 125.716839206555 805.952653433567</t>
  </si>
  <si>
    <t>-580.446858637296 -146.042893543485 305.357806686992</t>
  </si>
  <si>
    <t>-596.835062138254 -147.698055942803 752.979454908675</t>
  </si>
  <si>
    <t>-460.963831066074 -185.067438395274 825.296973970079</t>
  </si>
  <si>
    <t>9763-20170724T104518.552213000.bin</t>
  </si>
  <si>
    <t>-685.759846461697 100.379161459777 -537.430855553306</t>
  </si>
  <si>
    <t>-633.553416760413 148.763716262536 -251.905688933658</t>
  </si>
  <si>
    <t>-399.72459084914 206.831428605997 -253.667128214471</t>
  </si>
  <si>
    <t>-658.392467037569 40.688291364188 -102.546243692513</t>
  </si>
  <si>
    <t>-673.866216550384 69.1682924879988 299.702529330664</t>
  </si>
  <si>
    <t>-711.464202021375 102.854654130139 744.701097543572</t>
  </si>
  <si>
    <t>-567.266551357388 125.98656669102 806.013900555236</t>
  </si>
  <si>
    <t>-580.557677553964 -145.948853650889 305.289984355098</t>
  </si>
  <si>
    <t>-596.82239102192 -147.641611255091 752.948287821935</t>
  </si>
  <si>
    <t>-461.000653552348 -185.16267541846 825.280295876272</t>
  </si>
  <si>
    <t>9763-20170724T104518.586307300.bin</t>
  </si>
  <si>
    <t>-687.190263454666 100.105407526274 -537.206069024514</t>
  </si>
  <si>
    <t>-635.583903255865 148.042172836741 -251.496276510118</t>
  </si>
  <si>
    <t>-401.711661553675 205.929932244482 -253.407932790141</t>
  </si>
  <si>
    <t>-659.277923195412 40.5153123226937 -102.543947590496</t>
  </si>
  <si>
    <t>-674.467264848137 69.0702678765617 299.710407438378</t>
  </si>
  <si>
    <t>-711.540104093413 102.981196242653 744.75245775298</t>
  </si>
  <si>
    <t>-567.303890801714 125.876868577864 806.06307119906</t>
  </si>
  <si>
    <t>-580.894282824021 -145.914629113747 305.262423616272</t>
  </si>
  <si>
    <t>-596.809631865399 -147.754073208725 752.939071855639</t>
  </si>
  <si>
    <t>-460.924245279085 -185.043663018662 825.271227008893</t>
  </si>
  <si>
    <t>9763-20170724T104518.651991400.bin</t>
  </si>
  <si>
    <t>-689.41320269466 99.8014046829605 -536.789617332396</t>
  </si>
  <si>
    <t>-640.444568578301 146.489539770588 -250.409680535796</t>
  </si>
  <si>
    <t>-406.545589815432 204.250722253538 -252.810227130716</t>
  </si>
  <si>
    <t>-660.887794488733 40.3272961805792 -102.511023201748</t>
  </si>
  <si>
    <t>-675.470153430416 68.8334784413644 299.769192035138</t>
  </si>
  <si>
    <t>-711.585222730802 102.933347717631 744.895367096418</t>
  </si>
  <si>
    <t>-567.324842889604 125.752748632979 806.177613488308</t>
  </si>
  <si>
    <t>-581.335867816142 -145.872459684297 305.239864441356</t>
  </si>
  <si>
    <t>-596.763256285264 -147.74549041804 752.911568536997</t>
  </si>
  <si>
    <t>-460.877248950737 -184.973193040729 825.274555840495</t>
  </si>
  <si>
    <t>9763-20170724T104518.686141000.bin</t>
  </si>
  <si>
    <t>-690.364636974188 99.8698422124253 -536.569761404848</t>
  </si>
  <si>
    <t>-643.37311798074 145.610505155043 -249.706140984249</t>
  </si>
  <si>
    <t>-409.434465343078 203.202805070197 -252.295531143733</t>
  </si>
  <si>
    <t>-661.500713443007 40.1667135104174 -102.47896615265</t>
  </si>
  <si>
    <t>-675.791166277787 68.8120725442402 299.80194674449</t>
  </si>
  <si>
    <t>-711.582487376815 102.864932311668 744.954970101601</t>
  </si>
  <si>
    <t>-567.314228167343 125.669934504291 806.22408947194</t>
  </si>
  <si>
    <t>-581.610803169764 -145.795349834652 305.236959181853</t>
  </si>
  <si>
    <t>-596.75030792701 -147.61190242219 752.903265481655</t>
  </si>
  <si>
    <t>-460.911361063574 -184.97282117337 825.285944669126</t>
  </si>
  <si>
    <t>9763-20170724T104518.753322300.bin</t>
  </si>
  <si>
    <t>-692.250755340785 99.8507903267755 -536.101659003407</t>
  </si>
  <si>
    <t>-649.486274413134 143.818204860589 -248.300886147061</t>
  </si>
  <si>
    <t>-415.564241248474 201.441653350614 -251.599228889454</t>
  </si>
  <si>
    <t>-662.649105433349 39.9776229078357 -102.472098529462</t>
  </si>
  <si>
    <t>-676.31560668376 68.6251985725389 299.830271060261</t>
  </si>
  <si>
    <t>-711.645013213412 102.866941694678 745.032483994634</t>
  </si>
  <si>
    <t>-567.367462451459 125.657798088339 806.284999751325</t>
  </si>
  <si>
    <t>-582.114210991682 -145.716683017737 305.223672134027</t>
  </si>
  <si>
    <t>-596.724540973706 -147.637348948507 752.908515023731</t>
  </si>
  <si>
    <t>-460.970295812416 -185.245492736106 825.321840090652</t>
  </si>
  <si>
    <t>9763-20170724T104518.782002400.bin</t>
  </si>
  <si>
    <t>-693.402717246072 99.6711180426778 -535.858109474444</t>
  </si>
  <si>
    <t>-652.386972015177 142.880317427017 -247.688152405029</t>
  </si>
  <si>
    <t>-418.433199791375 200.355362245915 -251.314359181481</t>
  </si>
  <si>
    <t>-663.233300112305 39.6812455163633 -102.461983088959</t>
  </si>
  <si>
    <t>-676.629479190452 68.3337695725804 299.849086055922</t>
  </si>
  <si>
    <t>-711.61512178646 102.749434573966 745.058866535174</t>
  </si>
  <si>
    <t>-567.35619185254 125.66368929086 806.30915797815</t>
  </si>
  <si>
    <t>-582.374777617063 -145.871452994385 305.228369117047</t>
  </si>
  <si>
    <t>-596.716623803574 -147.772717762793 752.910015765215</t>
  </si>
  <si>
    <t>-460.785659300323 -184.754491353346 825.314575854497</t>
  </si>
  <si>
    <t>9763-20170724T104518.853193700.bin</t>
  </si>
  <si>
    <t>-695.904255208708 99.2008337281222 -535.388276858981</t>
  </si>
  <si>
    <t>-657.937607628576 141.203597025026 -246.622801651204</t>
  </si>
  <si>
    <t>-423.895286282215 198.239862561627 -251.307421594651</t>
  </si>
  <si>
    <t>-664.844009896295 39.0742981664305 -102.450202923722</t>
  </si>
  <si>
    <t>-677.197872434429 67.6841208881938 299.897330052165</t>
  </si>
  <si>
    <t>-711.567603106869 102.562539716263 745.14149947319</t>
  </si>
  <si>
    <t>-567.330148737182 125.605489722896 806.394126473153</t>
  </si>
  <si>
    <t>-582.822560155119 -145.974966044541 305.177571466969</t>
  </si>
  <si>
    <t>-596.693230408094 -147.77042301673 752.887409348511</t>
  </si>
  <si>
    <t>-460.784730841377 -184.754784213765 825.332818553551</t>
  </si>
  <si>
    <t>9763-20170724T104518.886292500.bin</t>
  </si>
  <si>
    <t>-697.253825037561 98.9144954806384 -535.176637880509</t>
  </si>
  <si>
    <t>-660.892922496583 140.490559771039 -246.142916201787</t>
  </si>
  <si>
    <t>-426.764427631687 197.119012150538 -251.431863980599</t>
  </si>
  <si>
    <t>-665.637419800765 38.7774276002433 -102.420485738544</t>
  </si>
  <si>
    <t>-677.529412297503 67.3495013897395 299.943719170152</t>
  </si>
  <si>
    <t>-711.562082862894 102.493923845554 745.19517591086</t>
  </si>
  <si>
    <t>-567.327333674857 125.557043350572 806.446511604881</t>
  </si>
  <si>
    <t>-583.023224717921 -146.045965568814 305.148440280145</t>
  </si>
  <si>
    <t>-596.683010561479 -147.888933630856 752.88592100546</t>
  </si>
  <si>
    <t>-460.778257281654 -184.860552310425 825.344798059349</t>
  </si>
  <si>
    <t>9763-20170724T104518.951461100.bin</t>
  </si>
  <si>
    <t>-700.059492150932 98.2646174785489 -534.730891931021</t>
  </si>
  <si>
    <t>-666.948188578609 138.705140389987 -245.146104528753</t>
  </si>
  <si>
    <t>-432.837252878876 195.27516731682 -251.687690773759</t>
  </si>
  <si>
    <t>-667.090408927689 38.1766707028075 -102.307520423235</t>
  </si>
  <si>
    <t>-678.228087897675 66.8700779040444 300.069517384023</t>
  </si>
  <si>
    <t>-711.612925172264 102.475061878647 745.325748964279</t>
  </si>
  <si>
    <t>-567.337724195881 125.261014631492 806.58552631709</t>
  </si>
  <si>
    <t>-583.10679443032 -145.953199301317 305.113418885359</t>
  </si>
  <si>
    <t>-596.66346702815 -147.577555904065 752.8690916436</t>
  </si>
  <si>
    <t>-460.898956783953 -184.994530026323 825.362161964958</t>
  </si>
  <si>
    <t>9763-20170724T104518.985553900.bin</t>
  </si>
  <si>
    <t>-701.661158734865 97.90513830346 -534.447934499401</t>
  </si>
  <si>
    <t>-669.853434317824 137.535449413821 -244.60501588222</t>
  </si>
  <si>
    <t>-435.732796578551 193.992781075864 -251.7423889546</t>
  </si>
  <si>
    <t>-667.639121841505 37.6774258395876 -102.232418509641</t>
  </si>
  <si>
    <t>-678.447032194921 66.559249529083 300.140226093444</t>
  </si>
  <si>
    <t>-711.553541653655 102.285310102114 745.390931696844</t>
  </si>
  <si>
    <t>-567.308911436987 125.272295264075 806.647724891111</t>
  </si>
  <si>
    <t>-583.051198994408 -145.987105829965 305.115175233416</t>
  </si>
  <si>
    <t>-596.656861976795 -147.622523192819 752.868194607012</t>
  </si>
  <si>
    <t>-460.924197604813 -185.145894771168 825.365920093736</t>
  </si>
  <si>
    <t>9763-20170724T104519.049227400.bin</t>
  </si>
  <si>
    <t>-705.021144724823 96.9203076162034 -533.803466535971</t>
  </si>
  <si>
    <t>-675.509916016567 135.374254950261 -243.559327696397</t>
  </si>
  <si>
    <t>-441.323441826397 191.410266303372 -251.777105662869</t>
  </si>
  <si>
    <t>-669.060363831181 36.8441632148201 -102.133641347959</t>
  </si>
  <si>
    <t>-679.268125368816 65.8634509117207 300.244733332754</t>
  </si>
  <si>
    <t>-711.556288015219 102.162926722332 745.515211383288</t>
  </si>
  <si>
    <t>-567.349973783437 125.374742015299 806.777174964885</t>
  </si>
  <si>
    <t>-583.071265953562 -146.072133266801 305.116302684473</t>
  </si>
  <si>
    <t>-596.641792043538 -147.38813262404 752.860846404647</t>
  </si>
  <si>
    <t>-460.855293370999 -184.726323723822 825.353588570134</t>
  </si>
  <si>
    <t>9763-20170724T104519.082319500.bin</t>
  </si>
  <si>
    <t>-706.40751922339 96.5073700078701 -533.485674035869</t>
  </si>
  <si>
    <t>-677.936167220159 134.396498963092 -243.063609370427</t>
  </si>
  <si>
    <t>-443.689393994771 190.122667595838 -251.660434497249</t>
  </si>
  <si>
    <t>-669.966547784941 36.3937812542972 -102.090126947989</t>
  </si>
  <si>
    <t>-679.836815065328 65.4720970181256 300.292363565756</t>
  </si>
  <si>
    <t>-711.545680307001 102.074513625304 745.577058758438</t>
  </si>
  <si>
    <t>-567.348270886698 125.327423713613 806.844504248262</t>
  </si>
  <si>
    <t>-583.196108372442 -146.195709327852 305.099734245367</t>
  </si>
  <si>
    <t>-596.633579409057 -147.455667276478 752.857336131042</t>
  </si>
  <si>
    <t>-460.740547524234 -184.422735956802 825.340411464149</t>
  </si>
  <si>
    <t>9763-20170724T104519.151506200.bin</t>
  </si>
  <si>
    <t>-708.48258243972 95.3289545417708 -533.079556468144</t>
  </si>
  <si>
    <t>-682.445180144221 132.239853850379 -242.303345234374</t>
  </si>
  <si>
    <t>-448.07396774756 187.417126950988 -251.048121612232</t>
  </si>
  <si>
    <t>-671.574460947402 35.1120279307263 -102.019329776007</t>
  </si>
  <si>
    <t>-681.160676361959 64.7739190550863 300.327503869769</t>
  </si>
  <si>
    <t>-711.510923668374 101.893724389776 745.679400113724</t>
  </si>
  <si>
    <t>-567.359746874317 125.363953403106 806.972918418227</t>
  </si>
  <si>
    <t>-583.552985464427 -146.528644891016 305.079951234696</t>
  </si>
  <si>
    <t>-596.62928248732 -147.433436650056 752.863088343422</t>
  </si>
  <si>
    <t>-460.73078686229 -184.403585818625 825.334522841782</t>
  </si>
  <si>
    <t>9763-20170724T104519.186604000.bin</t>
  </si>
  <si>
    <t>-709.49026309661 94.5761168101101 -532.938607648263</t>
  </si>
  <si>
    <t>-685.2315985893 130.967910990921 -241.943030092988</t>
  </si>
  <si>
    <t>-450.777832078922 185.817028718522 -250.538384170636</t>
  </si>
  <si>
    <t>-672.283027421861 34.4323196606881 -101.978527342717</t>
  </si>
  <si>
    <t>-681.785575600017 64.4208649521245 300.345984474842</t>
  </si>
  <si>
    <t>-711.497273333255 101.817716161488 745.726802781088</t>
  </si>
  <si>
    <t>-567.366763878481 125.36900351227 807.037624522427</t>
  </si>
  <si>
    <t>-583.715043106769 -146.74979031207 305.070302871903</t>
  </si>
  <si>
    <t>-596.630872630181 -147.367231508679 752.876953064652</t>
  </si>
  <si>
    <t>-460.693916008552 -184.234600538885 825.328584181924</t>
  </si>
  <si>
    <t>9763-20170724T104519.251777100.bin</t>
  </si>
  <si>
    <t>-711.548260046751 93.3822535399142 -532.551403020519</t>
  </si>
  <si>
    <t>-691.200648953327 128.187007926161 -241.062505042056</t>
  </si>
  <si>
    <t>-456.729426725467 182.948094376674 -249.741358114614</t>
  </si>
  <si>
    <t>-673.60203656099 33.237167545811 -101.89703035297</t>
  </si>
  <si>
    <t>-682.726976690567 63.6405596383204 300.405137026375</t>
  </si>
  <si>
    <t>-711.4386194633 101.552464851561 745.810004941577</t>
  </si>
  <si>
    <t>-567.37878133519 125.443262967161 807.155556779326</t>
  </si>
  <si>
    <t>-584.266819250812 -147.305813624424 305.124111123471</t>
  </si>
  <si>
    <t>-596.626389773455 -147.650621821307 752.924622384797</t>
  </si>
  <si>
    <t>-460.534328880047 -184.024245281158 825.334689666937</t>
  </si>
  <si>
    <t>9763-20170724T104519.285873100.bin</t>
  </si>
  <si>
    <t>-712.574878821794 92.9608788713024 -532.32698141851</t>
  </si>
  <si>
    <t>-693.803382933497 126.85799706211 -240.625353758871</t>
  </si>
  <si>
    <t>-459.362814235298 181.733124009552 -249.410995498018</t>
  </si>
  <si>
    <t>-674.312958120533 32.7826232064335 -101.869461969841</t>
  </si>
  <si>
    <t>-683.020164422377 63.3904550414538 300.426496765392</t>
  </si>
  <si>
    <t>-711.450359951671 101.514027355582 745.836713754266</t>
  </si>
  <si>
    <t>-567.387699532499 125.322852017585 807.20775863617</t>
  </si>
  <si>
    <t>-584.497040409095 -147.423880085812 305.127157199713</t>
  </si>
  <si>
    <t>-596.614347779168 -147.597982659087 752.948246251045</t>
  </si>
  <si>
    <t>-460.568437762634 -184.152957843987 825.353662503708</t>
  </si>
  <si>
    <t>9763-20170724T104519.351053400.bin</t>
  </si>
  <si>
    <t>-714.491931757774 92.0790177133258 -531.885240927994</t>
  </si>
  <si>
    <t>-698.304993047418 124.532075421344 -239.864636954154</t>
  </si>
  <si>
    <t>-463.856062069222 179.348759439225 -248.792829214118</t>
  </si>
  <si>
    <t>-675.479989424793 31.8863032308859 -101.817003980407</t>
  </si>
  <si>
    <t>-683.492206439303 62.8150707641223 300.468827965828</t>
  </si>
  <si>
    <t>-711.453399644147 101.343280956267 745.887699649444</t>
  </si>
  <si>
    <t>-567.423812561597 125.310906423166 807.274400327539</t>
  </si>
  <si>
    <t>-584.859274852999 -147.660465012543 305.180961575059</t>
  </si>
  <si>
    <t>-596.58659575131 -147.592812733269 752.997305682829</t>
  </si>
  <si>
    <t>-460.383894265678 -183.629419860188 825.36781747129</t>
  </si>
  <si>
    <t>9763-20170724T104519.383676500.bin</t>
  </si>
  <si>
    <t>-715.379345621693 91.4168756103725 -531.802879963391</t>
  </si>
  <si>
    <t>-700.285308422853 123.379817018096 -239.669810089277</t>
  </si>
  <si>
    <t>-465.774894009264 177.952997461625 -248.473369107041</t>
  </si>
  <si>
    <t>-675.946579142186 31.4505631469078 -101.792995149454</t>
  </si>
  <si>
    <t>-683.777976868488 62.5504855615598 300.483195522226</t>
  </si>
  <si>
    <t>-711.488338584207 101.317704589248 745.898647374548</t>
  </si>
  <si>
    <t>-567.453644942439 125.228817519944 807.295359619547</t>
  </si>
  <si>
    <t>-584.996417733532 -147.792348195258 305.2038793483</t>
  </si>
  <si>
    <t>-596.576499571048 -147.613298679036 753.018269619364</t>
  </si>
  <si>
    <t>-460.3008046713 -183.405396233387 825.372648405168</t>
  </si>
  <si>
    <t>9763-20170724T104519.451361000.bin</t>
  </si>
  <si>
    <t>-717.034939784932 90.0534177321238 -531.835758258646</t>
  </si>
  <si>
    <t>-704.353265515758 121.38577941017 -239.519795230275</t>
  </si>
  <si>
    <t>-469.618583025735 175.028631445771 -248.061673419879</t>
  </si>
  <si>
    <t>-676.735229302649 30.5943080768986 -101.746306308162</t>
  </si>
  <si>
    <t>-684.211514678138 62.0273837262569 300.510747935075</t>
  </si>
  <si>
    <t>-711.449899174268 101.039646786934 745.923641196336</t>
  </si>
  <si>
    <t>-567.458414183165 125.178182472247 807.332742824141</t>
  </si>
  <si>
    <t>-585.170736579459 -148.050039538723 305.247295309801</t>
  </si>
  <si>
    <t>-596.542772070336 -147.606773897782 753.050302541589</t>
  </si>
  <si>
    <t>-460.202139796928 -183.191249496688 825.384816357427</t>
  </si>
  <si>
    <t>9763-20170724T104519.484099000.bin</t>
  </si>
  <si>
    <t>-717.720275836672 89.4281860160299 -531.874865754509</t>
  </si>
  <si>
    <t>-706.152479119496 120.522973455629 -239.487301516203</t>
  </si>
  <si>
    <t>-471.357231845901 173.912965872384 -247.947171548729</t>
  </si>
  <si>
    <t>-677.245401255576 30.2447375601932 -101.747131155209</t>
  </si>
  <si>
    <t>-684.497117711923 61.7690568780449 300.506935141076</t>
  </si>
  <si>
    <t>-711.443098154702 100.928310730259 745.930550577732</t>
  </si>
  <si>
    <t>-567.469643038404 125.159293149258 807.345508981246</t>
  </si>
  <si>
    <t>-585.373115936017 -148.114699312396 305.26761373477</t>
  </si>
  <si>
    <t>-596.528764954243 -147.568477195504 753.061081034447</t>
  </si>
  <si>
    <t>-460.145026506827 -183.007818203726 825.385574312099</t>
  </si>
  <si>
    <t>9763-20170724T104519.548771900.bin</t>
  </si>
  <si>
    <t>-719.23343009303 88.3465085407111 -532.005371308407</t>
  </si>
  <si>
    <t>-709.644620794463 118.85354996091 -239.484213890209</t>
  </si>
  <si>
    <t>-474.724615699949 171.737752598814 -247.653490804871</t>
  </si>
  <si>
    <t>-678.305512273931 29.7263675033253 -101.787359023558</t>
  </si>
  <si>
    <t>-684.995198924813 61.4674299490991 300.459371466571</t>
  </si>
  <si>
    <t>-711.496559194804 100.839930898469 745.921701346158</t>
  </si>
  <si>
    <t>-567.504423388537 124.912262342947 807.35525766479</t>
  </si>
  <si>
    <t>-585.867899391637 -148.195971411616 305.272530440636</t>
  </si>
  <si>
    <t>-596.486988063647 -147.586851390235 753.080229692178</t>
  </si>
  <si>
    <t>-460.029538091672 -182.753593628426 825.398843005245</t>
  </si>
  <si>
    <t>9763-20170724T104519.585904600.bin</t>
  </si>
  <si>
    <t>-720.061418696467 87.8480917293066 -532.090362835276</t>
  </si>
  <si>
    <t>-711.512287433523 118.298041823804 -239.531116219949</t>
  </si>
  <si>
    <t>-476.458137912023 170.652052691596 -247.245931729743</t>
  </si>
  <si>
    <t>-678.764908151732 29.4637390660139 -101.819204777898</t>
  </si>
  <si>
    <t>-685.22331380213 61.2711645814236 300.426010249278</t>
  </si>
  <si>
    <t>-711.464213972948 100.681223602614 745.904361991277</t>
  </si>
  <si>
    <t>-567.520359037758 125.029238070143 807.342418826171</t>
  </si>
  <si>
    <t>-586.012153782995 -148.187423703709 305.277240197166</t>
  </si>
  <si>
    <t>-596.465262089457 -147.484714673482 753.085652012378</t>
  </si>
  <si>
    <t>-459.997709894028 -182.614054157728 825.403272243462</t>
  </si>
  <si>
    <t>9763-20170724T104519.652585600.bin</t>
  </si>
  <si>
    <t>-721.524010894252 86.7611274279891 -532.360082074748</t>
  </si>
  <si>
    <t>-715.425695220166 117.4823198581 -239.767759625917</t>
  </si>
  <si>
    <t>-479.967632688627 168.154052401591 -246.302597133986</t>
  </si>
  <si>
    <t>-679.538815173527 28.9597031255842 -101.854266243746</t>
  </si>
  <si>
    <t>-685.62820648937 61.0509858051812 300.374179456733</t>
  </si>
  <si>
    <t>-711.472873957038 100.485564750876 745.868411096559</t>
  </si>
  <si>
    <t>-567.556138697626 124.961660134607 807.319074651631</t>
  </si>
  <si>
    <t>-586.233304014358 -148.087753634867 305.264268484958</t>
  </si>
  <si>
    <t>-596.420556022226 -147.214285726223 753.081260447366</t>
  </si>
  <si>
    <t>-460.056055940605 -182.702977854814 825.417817585117</t>
  </si>
  <si>
    <t>9763-20170724T104519.681940900.bin</t>
  </si>
  <si>
    <t>-722.173728227361 86.0326791311998 -532.500057881291</t>
  </si>
  <si>
    <t>-717.39836554233 116.764955700687 -239.884382277547</t>
  </si>
  <si>
    <t>-481.767089983981 166.685542098705 -245.941424927417</t>
  </si>
  <si>
    <t>-679.940437526081 28.6784340494364 -101.890058221769</t>
  </si>
  <si>
    <t>-685.784567701871 60.8686047155306 300.334184426684</t>
  </si>
  <si>
    <t>-711.509260426256 100.462677323414 745.839382883674</t>
  </si>
  <si>
    <t>-567.594498395768 124.939529166786 807.294396170938</t>
  </si>
  <si>
    <t>-586.395663662795 -148.271828438402 305.269181616022</t>
  </si>
  <si>
    <t>-596.392347849565 -147.513136185044 753.085241304815</t>
  </si>
  <si>
    <t>-459.842308198455 -182.304356944167 825.410710801993</t>
  </si>
  <si>
    <t>9763-20170724T104519.752106500.bin</t>
  </si>
  <si>
    <t>-723.766238142052 84.8467784997454 -532.64271814019</t>
  </si>
  <si>
    <t>-721.692748114949 115.093142210658 -239.944839889628</t>
  </si>
  <si>
    <t>-485.958350758078 164.57217350157 -245.600916660832</t>
  </si>
  <si>
    <t>-680.812314174671 28.228150012666 -101.953553878285</t>
  </si>
  <si>
    <t>-686.195249012348 60.603329564799 300.262214011625</t>
  </si>
  <si>
    <t>-711.56585879467 100.372970615904 745.770386904477</t>
  </si>
  <si>
    <t>-567.648904966679 124.794514420162 807.242318711793</t>
  </si>
  <si>
    <t>-586.520664407939 -148.213858632389 305.281725502058</t>
  </si>
  <si>
    <t>-596.341043363713 -147.246626216752 753.090199158085</t>
  </si>
  <si>
    <t>-459.891608794346 -182.387613664444 825.436376485491</t>
  </si>
  <si>
    <t>9763-20170724T104519.785204200.bin</t>
  </si>
  <si>
    <t>-724.662769391561 84.202614265798 -532.7074614052</t>
  </si>
  <si>
    <t>-723.960062612061 114.066788319706 -239.96396170624</t>
  </si>
  <si>
    <t>-488.220484071634 163.542082890506 -245.433924213027</t>
  </si>
  <si>
    <t>-681.241266240366 27.8560743406485 -101.982997388814</t>
  </si>
  <si>
    <t>-686.342909241788 60.3699352820449 300.225298462569</t>
  </si>
  <si>
    <t>-711.523529750008 100.19258751524 745.728890884711</t>
  </si>
  <si>
    <t>-567.62185462428 124.662706677093 807.217404006731</t>
  </si>
  <si>
    <t>-586.626850258127 -148.290131959845 305.278134312288</t>
  </si>
  <si>
    <t>-596.321458898425 -147.287398847334 753.105515551793</t>
  </si>
  <si>
    <t>-459.838454929094 -182.321523930096 825.44006863181</t>
  </si>
  <si>
    <t>9763-20170724T104519.851877100.bin</t>
  </si>
  <si>
    <t>-726.09260721364 82.8641210264113 -532.882259454268</t>
  </si>
  <si>
    <t>-728.09417842578 112.412127761028 -240.112543915973</t>
  </si>
  <si>
    <t>-492.318865859877 161.808539586224 -244.678299685888</t>
  </si>
  <si>
    <t>-681.957421709434 27.0838463763516 -102.047984764706</t>
  </si>
  <si>
    <t>-686.477128710123 59.916011119253 300.14136988854</t>
  </si>
  <si>
    <t>-711.510866559869 99.9807430510775 745.652629156641</t>
  </si>
  <si>
    <t>-567.659405371871 124.681908902618 807.166217271347</t>
  </si>
  <si>
    <t>-586.855314229227 -148.404557092739 305.284023533583</t>
  </si>
  <si>
    <t>-596.297450966004 -147.200740698132 753.111472726706</t>
  </si>
  <si>
    <t>-459.776038020058 -182.090187734038 825.443532414927</t>
  </si>
  <si>
    <t>9763-20170724T104519.885091200.bin</t>
  </si>
  <si>
    <t>-726.784293609041 82.279545943785 -532.946085078686</t>
  </si>
  <si>
    <t>-730.088502534212 111.697866053384 -240.175092501808</t>
  </si>
  <si>
    <t>-494.283364668937 161.00998594869 -244.06172725744</t>
  </si>
  <si>
    <t>-682.325856058371 26.7017687435173 -102.056267595908</t>
  </si>
  <si>
    <t>-686.597477289255 59.7092808298125 300.121481702519</t>
  </si>
  <si>
    <t>-711.529083753899 99.9206485403099 745.624195096795</t>
  </si>
  <si>
    <t>-567.664667310392 124.527596555903 807.145197467128</t>
  </si>
  <si>
    <t>-586.872134183585 -148.572804979047 305.295316349315</t>
  </si>
  <si>
    <t>-596.271333230466 -147.266004340504 753.119308571941</t>
  </si>
  <si>
    <t>-459.607000403429 -181.627893758443 825.434134981347</t>
  </si>
  <si>
    <t>9763-20170724T104519.951786600.bin</t>
  </si>
  <si>
    <t>-728.42037587541 81.0824556493853 -533.03160158221</t>
  </si>
  <si>
    <t>-734.457241432327 109.949175930091 -240.249280183906</t>
  </si>
  <si>
    <t>-498.558841613194 158.898773212962 -242.849987401771</t>
  </si>
  <si>
    <t>-682.839256487077 25.9035941144152 -102.065210657476</t>
  </si>
  <si>
    <t>-686.846655178147 59.2854189237282 300.084332667286</t>
  </si>
  <si>
    <t>-711.56975902224 99.7770693620155 745.576262852266</t>
  </si>
  <si>
    <t>-567.709100286675 124.433272457379 807.086190518636</t>
  </si>
  <si>
    <t>-586.95065088169 -148.765274991516 305.307829053321</t>
  </si>
  <si>
    <t>-596.225769815335 -147.255218991585 753.125478953952</t>
  </si>
  <si>
    <t>-459.566125150662 -181.601104601461 825.456500402492</t>
  </si>
  <si>
    <t>9763-20170724T104519.981367300.bin</t>
  </si>
  <si>
    <t>-729.334930242699 80.5234193772094 -533.017031490166</t>
  </si>
  <si>
    <t>-736.732515674117 108.96656958251 -240.224595718377</t>
  </si>
  <si>
    <t>-500.77378080819 157.643738399928 -242.43760049781</t>
  </si>
  <si>
    <t>-683.088814893652 25.5454468331 -102.058438153798</t>
  </si>
  <si>
    <t>-687.030073247421 59.0425712235954 300.082191730409</t>
  </si>
  <si>
    <t>-711.622931680917 99.7716426148543 745.558956328884</t>
  </si>
  <si>
    <t>-567.732350400713 124.260625973712 807.065823026723</t>
  </si>
  <si>
    <t>-587.071102499693 -148.817280315374 305.321432543312</t>
  </si>
  <si>
    <t>-596.221127541325 -147.094245579271 753.138927657744</t>
  </si>
  <si>
    <t>-459.628508458054 -181.705049270289 825.470518789433</t>
  </si>
  <si>
    <t>9763-20170724T104520.050053300.bin</t>
  </si>
  <si>
    <t>-731.155276986774 79.2327175337393 -532.949650303891</t>
  </si>
  <si>
    <t>-740.758785098629 106.81504070159 -240.138781551928</t>
  </si>
  <si>
    <t>-504.711538408466 155.096798625295 -241.333932848751</t>
  </si>
  <si>
    <t>-683.62098174086 24.6374541747934 -102.04816101904</t>
  </si>
  <si>
    <t>-687.320192304569 58.4333554283216 300.069752986529</t>
  </si>
  <si>
    <t>-711.651247454251 99.6069962200208 745.512916318624</t>
  </si>
  <si>
    <t>-567.805165146337 124.371206104588 807.013756129515</t>
  </si>
  <si>
    <t>-587.219819589579 -149.422120049987 305.371939849752</t>
  </si>
  <si>
    <t>-596.195855597855 -147.411655574323 753.179874178928</t>
  </si>
  <si>
    <t>-459.398183515933 -181.298472680784 825.466685793051</t>
  </si>
  <si>
    <t>9763-20170724T104520.082643200.bin</t>
  </si>
  <si>
    <t>-731.911813592131 78.6492618016587 -532.919601357789</t>
  </si>
  <si>
    <t>-742.346295446319 105.815608642863 -240.098376176204</t>
  </si>
  <si>
    <t>-506.289150769455 154.058511373239 -240.814219011451</t>
  </si>
  <si>
    <t>-683.839999471266 24.142996529823 -102.058188306283</t>
  </si>
  <si>
    <t>-687.449768838105 58.1367598517138 300.043889467566</t>
  </si>
  <si>
    <t>-711.636920351967 99.4714026626584 745.473672604502</t>
  </si>
  <si>
    <t>-567.796547839816 124.247049204854 806.983145779658</t>
  </si>
  <si>
    <t>-587.33936909968 -149.626704653719 305.384654821371</t>
  </si>
  <si>
    <t>-596.179626345273 -147.365172518354 753.197324231281</t>
  </si>
  <si>
    <t>-459.347779799379 -181.14744149857 825.468337428509</t>
  </si>
  <si>
    <t>9763-20170724T104520.150324900.bin</t>
  </si>
  <si>
    <t>-732.717374340885 77.7232710413996 -533.012166089141</t>
  </si>
  <si>
    <t>-743.814911179638 104.496074186791 -240.179057830374</t>
  </si>
  <si>
    <t>-507.838523430572 153.13761341891 -239.950996636246</t>
  </si>
  <si>
    <t>-684.239296501568 23.1992799931161 -102.112344819071</t>
  </si>
  <si>
    <t>-687.560795159265 57.516914664229 299.964728230369</t>
  </si>
  <si>
    <t>-711.579691029564 99.1209478264761 745.391860722904</t>
  </si>
  <si>
    <t>-567.781439732728 124.093018214328 806.920285730706</t>
  </si>
  <si>
    <t>-587.538810148919 -150.225331317408 305.430918178314</t>
  </si>
  <si>
    <t>-596.147670837174 -147.545340553703 753.23222030086</t>
  </si>
  <si>
    <t>-459.170453883501 -180.811001008628 825.467595074507</t>
  </si>
  <si>
    <t>9763-20170724T104520.189487700.bin</t>
  </si>
  <si>
    <t>-732.864897246381 77.2668200378159 -533.060624310871</t>
  </si>
  <si>
    <t>-743.488763452455 104.008223140179 -240.207012929889</t>
  </si>
  <si>
    <t>-507.601335387665 153.078124324671 -239.809137844035</t>
  </si>
  <si>
    <t>-684.295883392981 22.5557071189467 -102.069548270346</t>
  </si>
  <si>
    <t>-687.558141113832 57.0563926425054 299.992250125696</t>
  </si>
  <si>
    <t>-711.548266017475 98.8452157831209 745.42646609012</t>
  </si>
  <si>
    <t>-567.75744914264 123.923516094409 806.928949877366</t>
  </si>
  <si>
    <t>-587.766794304106 -150.487786423351 305.444130897354</t>
  </si>
  <si>
    <t>-596.147421056658 -147.50955392436 753.261745778236</t>
  </si>
  <si>
    <t>-459.130966895858 -180.67066597254 825.470481099064</t>
  </si>
  <si>
    <t>9763-20170724T104520.252197500.bin</t>
  </si>
  <si>
    <t>-732.301127918635 76.5468342000736 -533.139477133473</t>
  </si>
  <si>
    <t>-741.977239661737 104.102177377749 -240.328589499643</t>
  </si>
  <si>
    <t>-506.337448883305 154.332756496943 -239.049554378184</t>
  </si>
  <si>
    <t>-684.110237688294 21.7117710158273 -102.112491449887</t>
  </si>
  <si>
    <t>-687.526175231196 56.5217806650307 299.921467572191</t>
  </si>
  <si>
    <t>-711.622035122827 98.7209853169775 745.341379903881</t>
  </si>
  <si>
    <t>-567.821007920385 123.805399363604 806.817638533234</t>
  </si>
  <si>
    <t>-588.014394882992 -151.115854416851 305.495667052748</t>
  </si>
  <si>
    <t>-596.126007522786 -147.61532459476 753.30666376295</t>
  </si>
  <si>
    <t>-458.990771947207 -180.376571864879 825.472657958602</t>
  </si>
  <si>
    <t>9763-20170724T104520.283783500.bin</t>
  </si>
  <si>
    <t>-731.813286930432 76.8685230752374 -533.205429512014</t>
  </si>
  <si>
    <t>-741.10296611694 104.838439907311 -240.421219976721</t>
  </si>
  <si>
    <t>-505.595720162183 155.667320556525 -238.520116136104</t>
  </si>
  <si>
    <t>-684.044327374799 21.7155415802342 -102.132297382611</t>
  </si>
  <si>
    <t>-687.497540043982 56.5364728946536 299.900376060829</t>
  </si>
  <si>
    <t>-711.644949680717 98.6892366474567 745.275809467281</t>
  </si>
  <si>
    <t>-567.850636484537 123.787462142046 806.762121841569</t>
  </si>
  <si>
    <t>-588.015482999909 -151.236390400766 305.49510437004</t>
  </si>
  <si>
    <t>-596.114789770471 -147.437239810272 753.313348282596</t>
  </si>
  <si>
    <t>-459.0410525027 -180.463496376402 825.475511728767</t>
  </si>
  <si>
    <t>9763-20170724T104520.351978600.bin</t>
  </si>
  <si>
    <t>-730.731455666902 77.2791247170621 -533.248490005806</t>
  </si>
  <si>
    <t>-736.447677949922 107.555236948112 -240.602315285427</t>
  </si>
  <si>
    <t>-501.409883913541 160.463812284715 -237.64437763762</t>
  </si>
  <si>
    <t>-683.934311997948 21.4860566963166 -102.133410617383</t>
  </si>
  <si>
    <t>-687.491449729854 56.4851139423927 299.88284549937</t>
  </si>
  <si>
    <t>-711.706157620132 98.694859013671 745.215834577203</t>
  </si>
  <si>
    <t>-567.880277190905 123.532066626144 806.734322518783</t>
  </si>
  <si>
    <t>-588.273345036052 -151.444019379228 305.492994386994</t>
  </si>
  <si>
    <t>-596.092232974202 -147.430405916902 753.315295064311</t>
  </si>
  <si>
    <t>-458.937102917619 -180.184708568094 825.446691109642</t>
  </si>
  <si>
    <t>9763-20170724T104520.388084200.bin</t>
  </si>
  <si>
    <t>-730.100717078353 77.2885560942791 -533.255731534154</t>
  </si>
  <si>
    <t>-732.267620801278 109.061178636405 -240.720262011348</t>
  </si>
  <si>
    <t>-497.57313841273 163.459108895192 -237.52143134804</t>
  </si>
  <si>
    <t>-683.98513791639 21.2880945076861 -102.136698613706</t>
  </si>
  <si>
    <t>-687.598201394233 56.4044385793686 299.868873964286</t>
  </si>
  <si>
    <t>-711.700982532756 98.5979543986932 745.202846029669</t>
  </si>
  <si>
    <t>-567.870615922719 123.428048795074 806.713741266968</t>
  </si>
  <si>
    <t>-588.288880973886 -151.430896356623 305.508000809469</t>
  </si>
  <si>
    <t>-596.08151817456 -147.147681101491 753.308415814673</t>
  </si>
  <si>
    <t>-459.019956383832 -180.260908151041 825.453653312363</t>
  </si>
  <si>
    <t>9763-20170724T104520.450251700.bin</t>
  </si>
  <si>
    <t>-729.075747469378 77.3889835117686 -533.208104813818</t>
  </si>
  <si>
    <t>-720.60897449852 113.208387718387 -241.255277677331</t>
  </si>
  <si>
    <t>-486.515070423291 170.197678078226 -239.477414335585</t>
  </si>
  <si>
    <t>-684.400390345988 20.962710766288 -102.188531473587</t>
  </si>
  <si>
    <t>-687.899326490003 56.1415421208953 299.812505209171</t>
  </si>
  <si>
    <t>-711.655493272746 98.3876917108641 745.145894552089</t>
  </si>
  <si>
    <t>-567.878443441813 123.527369838645 806.655493709409</t>
  </si>
  <si>
    <t>-588.319903705447 -151.597126805694 305.513692687989</t>
  </si>
  <si>
    <t>-596.030753883379 -147.292810924024 753.305618402937</t>
  </si>
  <si>
    <t>-458.848978692999 -179.904740944575 825.450734491464</t>
  </si>
  <si>
    <t>9763-20170724T104520.483972800.bin</t>
  </si>
  <si>
    <t>-728.445535201048 77.291682166529 -533.166660072987</t>
  </si>
  <si>
    <t>-713.317711811461 115.362587386044 -241.768394313914</t>
  </si>
  <si>
    <t>-479.504391485207 173.51810456363 -241.378114555681</t>
  </si>
  <si>
    <t>-684.630572929351 20.7373478516972 -102.224653358373</t>
  </si>
  <si>
    <t>-688.025566575448 56.0277236125348 299.767584647466</t>
  </si>
  <si>
    <t>-711.670959244958 98.3670467502432 745.114698407242</t>
  </si>
  <si>
    <t>-567.905945637722 123.562294367115 806.629978439576</t>
  </si>
  <si>
    <t>-588.251284110613 -151.674505578165 305.496139664151</t>
  </si>
  <si>
    <t>-596.012285920458 -147.325386653591 753.296306928482</t>
  </si>
  <si>
    <t>-458.789267116896 -179.757077324772 825.444333048093</t>
  </si>
  <si>
    <t>9763-20170724T104520.550155500.bin</t>
  </si>
  <si>
    <t>-726.860046692703 76.7047641316153 -533.315985514819</t>
  </si>
  <si>
    <t>-697.397487624194 119.585673365926 -243.687957743095</t>
  </si>
  <si>
    <t>-464.125463915902 179.8769500647 -243.75096116706</t>
  </si>
  <si>
    <t>-685.194185821648 20.1493876559659 -102.274666557776</t>
  </si>
  <si>
    <t>-688.31420333618 55.7009687393331 299.696760346038</t>
  </si>
  <si>
    <t>-711.659081769236 98.1423048929967 745.069018824651</t>
  </si>
  <si>
    <t>-567.975335762135 123.832340423228 806.569290441835</t>
  </si>
  <si>
    <t>-588.283811412977 -151.655133116277 305.509082530668</t>
  </si>
  <si>
    <t>-595.97813487123 -147.055707215696 753.298014448328</t>
  </si>
  <si>
    <t>-458.835730510738 -179.792482516272 825.461431107041</t>
  </si>
  <si>
    <t>9763-20170724T104520.581243700.bin</t>
  </si>
  <si>
    <t>-726.120788031048 76.234764113354 -533.55234647344</t>
  </si>
  <si>
    <t>-689.591101634071 121.517281565053 -245.097376438735</t>
  </si>
  <si>
    <t>-456.6863356646 183.20557607292 -244.211532852726</t>
  </si>
  <si>
    <t>-685.5542298259 19.8410119507535 -102.293899929167</t>
  </si>
  <si>
    <t>-688.568015868241 55.5474679177428 299.664535993732</t>
  </si>
  <si>
    <t>-711.653158783496 98.0068731220567 745.044596743227</t>
  </si>
  <si>
    <t>-567.997180964805 123.874040793994 806.53570704003</t>
  </si>
  <si>
    <t>-588.38783300998 -151.576400698359 305.498271702301</t>
  </si>
  <si>
    <t>-595.964147178635 -146.796937291496 753.288001283271</t>
  </si>
  <si>
    <t>-458.903487203984 -179.84400379115 825.465327531379</t>
  </si>
  <si>
    <t>9763-20170724T104520.653940300.bin</t>
  </si>
  <si>
    <t>-724.659829008545 75.8039475934077 -534.090767044658</t>
  </si>
  <si>
    <t>-676.536188130184 124.218458942827 -247.854182584071</t>
  </si>
  <si>
    <t>-444.82546859121 189.997773279707 -242.017548086292</t>
  </si>
  <si>
    <t>-686.438422558471 19.5850793617362 -102.413575680932</t>
  </si>
  <si>
    <t>-689.246408649192 55.4822302749128 299.529409452684</t>
  </si>
  <si>
    <t>-711.743063040509 97.9986032266338 744.945002480868</t>
  </si>
  <si>
    <t>-568.065010130635 123.702134246336 806.453226621598</t>
  </si>
  <si>
    <t>-589.169004099196 -151.646507008481 305.545606380629</t>
  </si>
  <si>
    <t>-595.919759961815 -146.683815792628 753.29782357123</t>
  </si>
  <si>
    <t>-458.907461789394 -179.911670915558 825.484011771406</t>
  </si>
  <si>
    <t>9763-20170724T104520.684144800.bin</t>
  </si>
  <si>
    <t>-723.692900374679 76.1168816981535 -534.344544194982</t>
  </si>
  <si>
    <t>-672.192419152934 124.678026660793 -248.721191542401</t>
  </si>
  <si>
    <t>-441.152837362121 192.529732992516 -240.490555644507</t>
  </si>
  <si>
    <t>-686.863718304466 19.5167103786173 -102.519471276561</t>
  </si>
  <si>
    <t>-689.614022285356 55.5480596377192 299.411929893624</t>
  </si>
  <si>
    <t>-711.727541028547 97.8964784340687 744.862999466027</t>
  </si>
  <si>
    <t>-568.07363363356 123.720413637905 806.376993391146</t>
  </si>
  <si>
    <t>-590.009930755902 -151.704108530894 305.555259282839</t>
  </si>
  <si>
    <t>-595.921913327511 -146.53003595757 753.304262837215</t>
  </si>
  <si>
    <t>-458.979844859793 -180.036947108066 825.494671710885</t>
  </si>
  <si>
    <t>9763-20170724T104520.749823600.bin</t>
  </si>
  <si>
    <t>-722.351523780629 77.2446531572127 -534.632152731794</t>
  </si>
  <si>
    <t>-667.792370072049 124.460266228633 -249.351262282758</t>
  </si>
  <si>
    <t>-437.896702330758 195.300364459914 -235.91484688147</t>
  </si>
  <si>
    <t>-687.80545796088 19.5945336546881 -102.81939206491</t>
  </si>
  <si>
    <t>-690.070419251657 55.722214616686 299.106443739205</t>
  </si>
  <si>
    <t>-711.782421086826 97.8528995767263 744.647612691099</t>
  </si>
  <si>
    <t>-568.068533171481 123.308563886383 806.175018654644</t>
  </si>
  <si>
    <t>-592.213629981694 -151.818611604689 305.616302462584</t>
  </si>
  <si>
    <t>-595.926852350646 -146.383220999034 753.379146555677</t>
  </si>
  <si>
    <t>-459.107508845928 -180.425785075873 825.551697676774</t>
  </si>
  <si>
    <t>9763-20170724T104520.783926000.bin</t>
  </si>
  <si>
    <t>-722.109279655825 77.7395920926967 -534.634372720085</t>
  </si>
  <si>
    <t>-667.154836249265 123.907608111248 -249.257904241974</t>
  </si>
  <si>
    <t>-437.61675888634 195.622608210427 -234.422458537281</t>
  </si>
  <si>
    <t>-688.205545152921 19.5479876473987 -102.947044419886</t>
  </si>
  <si>
    <t>-690.203698040695 55.6726888611936 298.980415302468</t>
  </si>
  <si>
    <t>-711.776545378596 97.7347094554079 744.541169613418</t>
  </si>
  <si>
    <t>-568.061718122363 123.196591176978 806.063954269982</t>
  </si>
  <si>
    <t>-593.081382820124 -152.092443031471 305.652331278525</t>
  </si>
  <si>
    <t>-595.90983372013 -146.639529045711 753.4154305806</t>
  </si>
  <si>
    <t>-458.944158319164 -180.145118506689 825.561623265352</t>
  </si>
  <si>
    <t>9763-20170724T104520.851609100.bin</t>
  </si>
  <si>
    <t>-722.05699878995 77.7463664314118 -534.622436267606</t>
  </si>
  <si>
    <t>-667.263129496584 121.931753752579 -248.901409793563</t>
  </si>
  <si>
    <t>-437.833037672917 193.544229011318 -232.038689398634</t>
  </si>
  <si>
    <t>-688.472107077869 18.7951418913058 -103.034751563436</t>
  </si>
  <si>
    <t>-690.51300859054 55.4129199906288 298.847831901169</t>
  </si>
  <si>
    <t>-711.841067020452 97.6692118941789 744.345554721289</t>
  </si>
  <si>
    <t>-568.128824514458 123.157762417654 805.863319038819</t>
  </si>
  <si>
    <t>-593.972118624029 -152.352824985457 305.657251015362</t>
  </si>
  <si>
    <t>-595.915966828603 -146.337733410688 753.460105109441</t>
  </si>
  <si>
    <t>-459.081879326581 -180.402233636736 825.594344118994</t>
  </si>
  <si>
    <t>9763-20170724T104520.885702200.bin</t>
  </si>
  <si>
    <t>-722.130655060398 77.2478349447258 -534.565051056533</t>
  </si>
  <si>
    <t>-667.300981291181 121.265349058989 -248.824927430022</t>
  </si>
  <si>
    <t>-437.835926218029 192.651366133261 -231.484204040395</t>
  </si>
  <si>
    <t>-688.559435840629 18.3039953550549 -103.068093847934</t>
  </si>
  <si>
    <t>-690.590660474398 55.0913320943482 298.799015877593</t>
  </si>
  <si>
    <t>-711.818299354949 97.5435645028094 744.270875271573</t>
  </si>
  <si>
    <t>-568.13214151545 123.181084019808 805.787552381271</t>
  </si>
  <si>
    <t>-594.049531468187 -152.693157404283 305.652563998635</t>
  </si>
  <si>
    <t>-595.903363070913 -146.439613620421 753.475836113476</t>
  </si>
  <si>
    <t>-459.031657360975 -180.387679767731 825.593535939905</t>
  </si>
  <si>
    <t>9763-20170724T104520.932827800.bin</t>
  </si>
  <si>
    <t>-722.414900451701 76.5241507017649 -534.476972414517</t>
  </si>
  <si>
    <t>-667.383191381984 120.694249264119 -248.799193774559</t>
  </si>
  <si>
    <t>-437.854511098136 191.88788271956 -231.509756808745</t>
  </si>
  <si>
    <t>-688.655359485359 17.674479920041 -103.068678799908</t>
  </si>
  <si>
    <t>-690.613116887607 54.6504256744199 298.781607124503</t>
  </si>
  <si>
    <t>-711.787608333752 97.3991155605968 744.216965472799</t>
  </si>
  <si>
    <t>-568.15087093669 123.323586137387 805.728830162267</t>
  </si>
  <si>
    <t>-594.042354383812 -153.028779116101 305.669731157739</t>
  </si>
  <si>
    <t>-595.893473440339 -146.50468502863 753.484142680206</t>
  </si>
  <si>
    <t>-458.96820222459 -180.268990088285 825.586319285324</t>
  </si>
  <si>
    <t>9763-20170724T104520.985992200.bin</t>
  </si>
  <si>
    <t>-723.283015957663 75.5975457482248 -534.041224263319</t>
  </si>
  <si>
    <t>-667.074508549969 119.900896120488 -248.613327555216</t>
  </si>
  <si>
    <t>-437.616660834915 191.598560526537 -232.507025701114</t>
  </si>
  <si>
    <t>-688.702602990254 16.4152684532305 -103.06206808817</t>
  </si>
  <si>
    <t>-690.342323033057 53.8773513878446 298.744588524975</t>
  </si>
  <si>
    <t>-711.776901272283 97.2374669987353 744.105160344032</t>
  </si>
  <si>
    <t>-568.152028477826 123.18786090958 805.633831947201</t>
  </si>
  <si>
    <t>-593.984086158965 -153.489252028528 305.701600886565</t>
  </si>
  <si>
    <t>-595.874958539952 -146.453556598895 753.496160945341</t>
  </si>
  <si>
    <t>-459.00165731731 -180.444555400445 825.59052377817</t>
  </si>
  <si>
    <t>9763-20170724T104521.049671700.bin</t>
  </si>
  <si>
    <t>-723.930074359245 75.5254623340468 -533.320055573724</t>
  </si>
  <si>
    <t>-666.473787749686 119.647237791015 -248.112643560176</t>
  </si>
  <si>
    <t>-436.893320367524 191.482519112054 -234.571726255259</t>
  </si>
  <si>
    <t>-688.573397596504 15.3595742577247 -103.029448171896</t>
  </si>
  <si>
    <t>-689.889406848233 53.170228866479 298.745658388439</t>
  </si>
  <si>
    <t>-711.800186319529 97.1120121285671 744.023395255487</t>
  </si>
  <si>
    <t>-568.162865614649 122.990155619782 805.55359423439</t>
  </si>
  <si>
    <t>-594.10045893174 -154.097663510125 305.740863069824</t>
  </si>
  <si>
    <t>-595.872586211651 -146.424634788941 753.523809669839</t>
  </si>
  <si>
    <t>-458.969893413634 -180.366744226559 825.585492609765</t>
  </si>
  <si>
    <t>9763-20170724T104521.085879200.bin</t>
  </si>
  <si>
    <t>-724.501176735478 75.5627250926743 -532.867266392607</t>
  </si>
  <si>
    <t>-666.107725029636 119.322667131862 -247.794464228853</t>
  </si>
  <si>
    <t>-436.558162376076 191.48140776478 -235.506977756514</t>
  </si>
  <si>
    <t>-688.598569985336 14.8416276961163 -103.004072795084</t>
  </si>
  <si>
    <t>-689.692538474719 52.7936508559162 298.758479999387</t>
  </si>
  <si>
    <t>-711.794679037728 97.0267576045887 743.983322476724</t>
  </si>
  <si>
    <t>-568.174829348437 123.004602205072 805.511992010519</t>
  </si>
  <si>
    <t>-594.104684478767 -154.40655763335 305.748795870532</t>
  </si>
  <si>
    <t>-595.87527651313 -146.401427852785 753.53895342249</t>
  </si>
  <si>
    <t>-458.897070175279 -180.09667628843 825.572995048955</t>
  </si>
  <si>
    <t>9763-20170724T104521.153063700.bin</t>
  </si>
  <si>
    <t>-725.551155158904 74.551543191264 -532.189244051967</t>
  </si>
  <si>
    <t>-665.307869335115 117.622806560228 -247.396656076862</t>
  </si>
  <si>
    <t>-435.673782278058 189.905384693884 -237.687426182743</t>
  </si>
  <si>
    <t>-688.545661618094 13.4723207727343 -102.905721737094</t>
  </si>
  <si>
    <t>-689.473052285239 51.9092228715042 298.811132874206</t>
  </si>
  <si>
    <t>-711.790864212543 96.8582479671886 743.948357625022</t>
  </si>
  <si>
    <t>-568.193192386203 122.9941618282 805.461854990404</t>
  </si>
  <si>
    <t>-593.910176482607 -155.267183096038 305.796975408069</t>
  </si>
  <si>
    <t>-595.882482472361 -146.71336150188 753.591507964291</t>
  </si>
  <si>
    <t>-458.661906518408 -179.585965195691 825.544274942478</t>
  </si>
  <si>
    <t>9763-20170724T104521.185154300.bin</t>
  </si>
  <si>
    <t>-725.790676927893 73.5527346017329 -532.095767409368</t>
  </si>
  <si>
    <t>-664.878322938501 116.6357564963 -247.447316009167</t>
  </si>
  <si>
    <t>-435.192549873721 188.926591773128 -239.119519011893</t>
  </si>
  <si>
    <t>-688.455280300798 12.8447024058119 -102.838210269877</t>
  </si>
  <si>
    <t>-689.498185101209 51.5081679527968 298.856562252554</t>
  </si>
  <si>
    <t>-711.812413183586 96.8141961046051 743.943550038496</t>
  </si>
  <si>
    <t>-568.22324415701 123.007435939793 805.452600350005</t>
  </si>
  <si>
    <t>-593.755526295934 -155.612919292715 305.834588998708</t>
  </si>
  <si>
    <t>-595.878231138995 -146.809575604845 753.615128095195</t>
  </si>
  <si>
    <t>-458.66463392274 -179.757878539809 825.546497585523</t>
  </si>
  <si>
    <t>9763-20170724T104521.251856100.bin</t>
  </si>
  <si>
    <t>-725.897584701242 71.3717054089038 -532.235133172832</t>
  </si>
  <si>
    <t>-663.812262270015 115.308304966551 -247.970819810259</t>
  </si>
  <si>
    <t>-434.062075890684 187.631072686766 -242.043858359629</t>
  </si>
  <si>
    <t>-688.224166657689 11.7103433158247 -102.769293646965</t>
  </si>
  <si>
    <t>-689.43343913333 50.7878391214022 298.884958068503</t>
  </si>
  <si>
    <t>-711.770240749203 96.6011679302721 743.92484903799</t>
  </si>
  <si>
    <t>-568.220522798777 123.027848817721 805.426073984612</t>
  </si>
  <si>
    <t>-593.520338313068 -156.072894736463 305.886350245653</t>
  </si>
  <si>
    <t>-595.870616423512 -146.751320261127 753.632950680461</t>
  </si>
  <si>
    <t>-458.648317951793 -179.703480207456 825.546033201227</t>
  </si>
  <si>
    <t>9763-20170724T104521.283439000.bin</t>
  </si>
  <si>
    <t>-725.912660578725 70.6445876757132 -532.376180066888</t>
  </si>
  <si>
    <t>-663.433864048625 115.009568172507 -248.26460796833</t>
  </si>
  <si>
    <t>-433.741599858137 187.586566628931 -243.274193330097</t>
  </si>
  <si>
    <t>-688.232891222591 11.5291009897517 -102.790466669538</t>
  </si>
  <si>
    <t>-689.341532068168 50.6189875374587 298.862898589718</t>
  </si>
  <si>
    <t>-711.822078509485 96.6480280360827 743.904272170244</t>
  </si>
  <si>
    <t>-568.213821133923 122.736850537648 805.413051102156</t>
  </si>
  <si>
    <t>-593.485363512115 -156.275229828038 305.899108991305</t>
  </si>
  <si>
    <t>-595.848222584269 -146.964255029797 753.644681988751</t>
  </si>
  <si>
    <t>-458.532782392717 -179.548412023757 825.547675767375</t>
  </si>
  <si>
    <t>9763-20170724T104521.351122100.bin</t>
  </si>
  <si>
    <t>-726.118431375353 69.8799920693843 -532.692553884994</t>
  </si>
  <si>
    <t>-663.075885924678 114.867018297399 -248.803291978526</t>
  </si>
  <si>
    <t>-433.534363110358 188.030471161705 -245.860030621667</t>
  </si>
  <si>
    <t>-688.113870249185 11.4288459687693 -102.862187915197</t>
  </si>
  <si>
    <t>-689.130915590091 50.5165461650304 298.791573397293</t>
  </si>
  <si>
    <t>-711.813206369071 96.5388060652597 743.826523482696</t>
  </si>
  <si>
    <t>-568.240730025124 122.817183234237 805.338286301364</t>
  </si>
  <si>
    <t>-593.38077025949 -156.523122240948 305.931867862639</t>
  </si>
  <si>
    <t>-595.815421119142 -147.145693321726 753.658762893306</t>
  </si>
  <si>
    <t>-458.344298597334 -179.105557703835 825.544596729432</t>
  </si>
  <si>
    <t>9763-20170724T104521.384713900.bin</t>
  </si>
  <si>
    <t>-726.351854134937 69.7031724327865 -532.835984116247</t>
  </si>
  <si>
    <t>-663.004708230944 115.204696356947 -249.09674977214</t>
  </si>
  <si>
    <t>-433.518791371714 188.569119155942 -246.918251051024</t>
  </si>
  <si>
    <t>-688.027630975777 11.5209633222573 -102.903982283669</t>
  </si>
  <si>
    <t>-689.074639589993 50.6709892486149 298.743684177943</t>
  </si>
  <si>
    <t>-711.825415269972 96.5298070995759 743.77512823919</t>
  </si>
  <si>
    <t>-568.242890526816 122.742161842131 805.291481131602</t>
  </si>
  <si>
    <t>-593.263752268961 -156.365617294476 305.934380409632</t>
  </si>
  <si>
    <t>-595.808370585657 -146.877197964726 753.65641394191</t>
  </si>
  <si>
    <t>-458.428945966509 -179.193903010103 825.557780906032</t>
  </si>
  <si>
    <t>9763-20170724T104521.451399100.bin</t>
  </si>
  <si>
    <t>-726.577138655446 69.1011448380495 -533.273549538802</t>
  </si>
  <si>
    <t>-662.530084013645 115.392196099406 -249.81935363514</t>
  </si>
  <si>
    <t>-433.113551614265 188.9992292651 -248.84490517127</t>
  </si>
  <si>
    <t>-687.898322279492 11.9920811612019 -103.053790045416</t>
  </si>
  <si>
    <t>-688.856069949319 50.8970304922968 298.617938709151</t>
  </si>
  <si>
    <t>-711.870279296735 96.5530527433164 743.665424655727</t>
  </si>
  <si>
    <t>-568.26891442314 122.64324616957 805.189664515512</t>
  </si>
  <si>
    <t>-593.052247968153 -155.928999470633 305.911566055023</t>
  </si>
  <si>
    <t>-595.775255007001 -146.694327093767 753.636451506383</t>
  </si>
  <si>
    <t>-458.466254968391 -179.249455920533 825.56478199352</t>
  </si>
  <si>
    <t>9763-20170724T104521.483989000.bin</t>
  </si>
  <si>
    <t>-726.662199592963 68.6898776112882 -533.490115755698</t>
  </si>
  <si>
    <t>-662.31787670346 115.278658312074 -250.151931207349</t>
  </si>
  <si>
    <t>-432.889267779251 188.852053965146 -249.609116139307</t>
  </si>
  <si>
    <t>-687.780770874109 12.1210571540294 -103.117127323582</t>
  </si>
  <si>
    <t>-688.735432015414 50.9338393527448 298.563402456308</t>
  </si>
  <si>
    <t>-711.898522094223 96.5668348636748 743.614438264822</t>
  </si>
  <si>
    <t>-568.301297894562 122.678373638656 805.139378444411</t>
  </si>
  <si>
    <t>-592.817244170842 -155.836406055731 305.889792272846</t>
  </si>
  <si>
    <t>-595.752696470377 -146.796085162457 753.625478735307</t>
  </si>
  <si>
    <t>-458.342790805261 -178.927894916921 825.551585023122</t>
  </si>
  <si>
    <t>9763-20170724T104521.552176000.bin</t>
  </si>
  <si>
    <t>-726.836128125209 68.2144774248623 -533.778252134582</t>
  </si>
  <si>
    <t>-662.249577260591 115.053652402619 -250.536505685706</t>
  </si>
  <si>
    <t>-432.770683172703 188.470204072684 -251.083063091031</t>
  </si>
  <si>
    <t>-687.514193909223 12.4153132154245 -103.253240978209</t>
  </si>
  <si>
    <t>-688.442119751732 51.1170978088567 298.43816679692</t>
  </si>
  <si>
    <t>-711.89146796234 96.4788179660909 743.509157041009</t>
  </si>
  <si>
    <t>-568.315158464559 122.702891263652 805.035268980686</t>
  </si>
  <si>
    <t>-592.211491727211 -155.43385510641 305.838944185075</t>
  </si>
  <si>
    <t>-595.721295010446 -146.539169981479 753.581218550161</t>
  </si>
  <si>
    <t>-458.41096042164 -179.012054354609 825.544252074209</t>
  </si>
  <si>
    <t>9763-20170724T104521.587271000.bin</t>
  </si>
  <si>
    <t>-726.895232899332 68.0779163486213 -533.886359406616</t>
  </si>
  <si>
    <t>-662.261220599317 114.860233553861 -250.646105165844</t>
  </si>
  <si>
    <t>-432.776258959406 188.254320856059 -251.572798310636</t>
  </si>
  <si>
    <t>-687.437277450821 12.5853341261397 -103.317198907461</t>
  </si>
  <si>
    <t>-688.280364222744 51.1618821535428 298.386458706485</t>
  </si>
  <si>
    <t>-711.876650818612 96.4165422944811 743.462127111749</t>
  </si>
  <si>
    <t>-568.326504919044 122.785555531071 804.987142233101</t>
  </si>
  <si>
    <t>-591.947781435582 -155.280759289187 305.811208166607</t>
  </si>
  <si>
    <t>-595.704639494778 -146.575239573728 753.560288127136</t>
  </si>
  <si>
    <t>-458.349726384689 -178.851383683806 825.526810049938</t>
  </si>
  <si>
    <t>9763-20170724T104521.651947700.bin</t>
  </si>
  <si>
    <t>-727.08052118846 67.9701667776224 -534.015685822628</t>
  </si>
  <si>
    <t>-662.437941853993 114.833403249406 -250.790657556021</t>
  </si>
  <si>
    <t>-432.905581781516 188.06404453184 -252.521656852846</t>
  </si>
  <si>
    <t>-687.299994388117 12.8984566653232 -103.415594375642</t>
  </si>
  <si>
    <t>-688.05182555874 51.2597299639688 298.308823589907</t>
  </si>
  <si>
    <t>-711.831679273547 96.2475181912739 743.393396875946</t>
  </si>
  <si>
    <t>-568.295456956241 122.690334689267 804.919269355017</t>
  </si>
  <si>
    <t>-591.60333537837 -154.964679510604 305.751014198716</t>
  </si>
  <si>
    <t>-595.678199913266 -146.510381824212 753.514444811977</t>
  </si>
  <si>
    <t>-458.312781303072 -178.705527868112 825.497127023333</t>
  </si>
  <si>
    <t>9763-20170724T104521.686550700.bin</t>
  </si>
  <si>
    <t>-727.178368055495 68.1230349953389 -534.036402914618</t>
  </si>
  <si>
    <t>-662.506919031793 114.948109150074 -250.811696162465</t>
  </si>
  <si>
    <t>-432.99967864597 188.250982870018 -252.812623980375</t>
  </si>
  <si>
    <t>-687.272696683845 13.1236096274229 -103.451062731096</t>
  </si>
  <si>
    <t>-688.004639063392 51.3702305842132 298.284378412094</t>
  </si>
  <si>
    <t>-711.839577195348 96.2254925849813 743.366345602016</t>
  </si>
  <si>
    <t>-568.293546850115 122.60944258215 804.894644963746</t>
  </si>
  <si>
    <t>-591.518790859247 -154.797124728512 305.730774056392</t>
  </si>
  <si>
    <t>-595.674615056404 -146.405847734902 753.497258627731</t>
  </si>
  <si>
    <t>-458.332260410693 -178.690785803299 825.483650859754</t>
  </si>
  <si>
    <t>9763-20170724T104521.750223900.bin</t>
  </si>
  <si>
    <t>-727.420762925027 68.4020510326284 -534.092047397697</t>
  </si>
  <si>
    <t>-662.734647923609 115.143210583494 -250.85688534588</t>
  </si>
  <si>
    <t>-433.19948172389 188.356115877723 -252.937720922669</t>
  </si>
  <si>
    <t>-687.236317600892 13.4539941044861 -103.505911802429</t>
  </si>
  <si>
    <t>-688.048345077492 51.5991448261495 298.238958984414</t>
  </si>
  <si>
    <t>-711.895695951168 96.2650052468716 743.332054493236</t>
  </si>
  <si>
    <t>-568.319172538012 122.475040109919 804.863457640609</t>
  </si>
  <si>
    <t>-591.361541951998 -154.517200835958 305.684601648625</t>
  </si>
  <si>
    <t>-595.65704864476 -146.346580306438 753.462972684345</t>
  </si>
  <si>
    <t>-458.322883038006 -178.655794349788 825.45413057994</t>
  </si>
  <si>
    <t>9763-20170724T104521.781805300.bin</t>
  </si>
  <si>
    <t>-727.524850835209 68.493819359049 -534.09443819135</t>
  </si>
  <si>
    <t>-662.871352853399 115.260703857107 -250.856076437236</t>
  </si>
  <si>
    <t>-433.320478895876 188.421457658777 -253.047128241317</t>
  </si>
  <si>
    <t>-687.186314522836 13.5408888872089 -103.534522012072</t>
  </si>
  <si>
    <t>-687.994497748982 51.6294335366933 298.215689395108</t>
  </si>
  <si>
    <t>-711.894630568827 96.2253533165872 743.319835510036</t>
  </si>
  <si>
    <t>-568.335044934002 122.541690830848 804.845493625055</t>
  </si>
  <si>
    <t>-591.240756177574 -154.424938319627 305.659679407531</t>
  </si>
  <si>
    <t>-595.646645216122 -146.287762052862 753.444419187947</t>
  </si>
  <si>
    <t>-458.308918451266 -178.568745678468 825.441397536159</t>
  </si>
  <si>
    <t>9763-20170724T104521.850995200.bin</t>
  </si>
  <si>
    <t>-727.9232868515 68.6338116754948 -533.999750551946</t>
  </si>
  <si>
    <t>-663.332855070946 115.380214002973 -250.743534629692</t>
  </si>
  <si>
    <t>-433.689207121343 188.232231048104 -253.435388152532</t>
  </si>
  <si>
    <t>-687.011646639233 13.6280934079493 -103.545747634216</t>
  </si>
  <si>
    <t>-687.757709933756 51.6560285336325 298.210370543359</t>
  </si>
  <si>
    <t>-711.907916162152 96.1650362540743 743.310554456573</t>
  </si>
  <si>
    <t>-568.348153990951 122.497184724876 804.828840823922</t>
  </si>
  <si>
    <t>-590.971848828935 -154.331039654614 305.637238902388</t>
  </si>
  <si>
    <t>-595.624503807395 -146.31915132268 753.416959214432</t>
  </si>
  <si>
    <t>-458.280087964654 -178.546604118725 825.425300499814</t>
  </si>
  <si>
    <t>9763-20170724T104521.883652500.bin</t>
  </si>
  <si>
    <t>-728.322000763248 68.6908471693941 -533.921110854579</t>
  </si>
  <si>
    <t>-663.946786884615 115.344677591605 -250.600744184961</t>
  </si>
  <si>
    <t>-434.21249528211 187.891407279516 -253.759687194809</t>
  </si>
  <si>
    <t>-686.943915705223 13.6948903089658 -103.539542853993</t>
  </si>
  <si>
    <t>-687.703966237042 51.659117270211 298.222529126323</t>
  </si>
  <si>
    <t>-711.925556703094 96.1432666006672 743.310831765341</t>
  </si>
  <si>
    <t>-568.376569807157 122.544870848878 804.824534550864</t>
  </si>
  <si>
    <t>-590.851284017245 -154.194309629303 305.632131810422</t>
  </si>
  <si>
    <t>-595.616772184549 -146.172090947579 753.403859033885</t>
  </si>
  <si>
    <t>-458.342857448895 -178.670195567439 825.425056717967</t>
  </si>
  <si>
    <t>9763-20170724T104521.948827100.bin</t>
  </si>
  <si>
    <t>-729.358197256541 68.6435009824629 -533.803474733567</t>
  </si>
  <si>
    <t>-665.489569917819 115.006010441899 -250.320718901551</t>
  </si>
  <si>
    <t>-435.584367989267 186.949289967153 -254.639198633461</t>
  </si>
  <si>
    <t>-686.85729806296 13.7066771023165 -103.540841241695</t>
  </si>
  <si>
    <t>-687.759871743629 51.6402868908419 298.223903754607</t>
  </si>
  <si>
    <t>-711.880112283177 95.9529519490825 743.313950915895</t>
  </si>
  <si>
    <t>-568.361198188132 122.538935031917 804.81841509295</t>
  </si>
  <si>
    <t>-590.587152185328 -153.993659215645 305.616293533642</t>
  </si>
  <si>
    <t>-595.606467755853 -145.948736177425 753.381460296371</t>
  </si>
  <si>
    <t>-458.386262593368 -178.639958579192 825.417525021828</t>
  </si>
  <si>
    <t>9763-20170724T104521.985539500.bin</t>
  </si>
  <si>
    <t>-729.842411968545 68.5157280732083 -533.765108678386</t>
  </si>
  <si>
    <t>-666.225316086962 114.680953489734 -250.193483980782</t>
  </si>
  <si>
    <t>-436.331856719543 186.622289831928 -255.124488835532</t>
  </si>
  <si>
    <t>-686.895212153221 13.6878351659193 -103.55090802854</t>
  </si>
  <si>
    <t>-687.797493475736 51.5680724273263 298.218856218575</t>
  </si>
  <si>
    <t>-711.86326698265 95.8854809266718 743.314528327585</t>
  </si>
  <si>
    <t>-568.347584681585 122.481741415807 804.822199246589</t>
  </si>
  <si>
    <t>-590.531485164776 -154.042579484328 305.603813250391</t>
  </si>
  <si>
    <t>-595.596623337131 -146.090416551461 753.378649252392</t>
  </si>
  <si>
    <t>-458.263881933749 -178.339998355449 825.399295810096</t>
  </si>
  <si>
    <t>9763-20170724T104522.049212300.bin</t>
  </si>
  <si>
    <t>-730.589226280914 68.2544921662193 -533.692071644802</t>
  </si>
  <si>
    <t>-667.838756631719 113.772961612387 -249.822927312104</t>
  </si>
  <si>
    <t>-438.102265084113 186.096691623293 -256.249492165026</t>
  </si>
  <si>
    <t>-686.813158892205 13.602844012916 -103.562513383866</t>
  </si>
  <si>
    <t>-687.740882575529 51.5188863930669 298.203783637415</t>
  </si>
  <si>
    <t>-711.869451900459 95.8429760393678 743.309779932626</t>
  </si>
  <si>
    <t>-568.372606150923 122.50386071919 804.833373337448</t>
  </si>
  <si>
    <t>-590.245428391052 -154.000383049389 305.592482156451</t>
  </si>
  <si>
    <t>-595.57542442492 -146.113733544824 753.358264383625</t>
  </si>
  <si>
    <t>-458.208151191437 -178.203216513623 825.384572707684</t>
  </si>
  <si>
    <t>9763-20170724T104522.082803300.bin</t>
  </si>
  <si>
    <t>-730.956936689271 68.1938337423335 -533.632657277762</t>
  </si>
  <si>
    <t>-668.562316156201 113.446444231502 -249.642567223009</t>
  </si>
  <si>
    <t>-439.000208339115 186.280261219991 -256.522429704357</t>
  </si>
  <si>
    <t>-686.819129894468 13.5960458364714 -103.565315493884</t>
  </si>
  <si>
    <t>-687.745895708256 51.4730837941165 298.204771498335</t>
  </si>
  <si>
    <t>-711.871908997719 95.8092384484867 743.301892355307</t>
  </si>
  <si>
    <t>-568.384395123456 122.496326704582 804.835866821428</t>
  </si>
  <si>
    <t>-590.130069346399 -153.953308834605 305.575694829826</t>
  </si>
  <si>
    <t>-595.569529938515 -146.01342657378 753.351997720596</t>
  </si>
  <si>
    <t>-458.226792885402 -178.194140435656 825.384422167092</t>
  </si>
  <si>
    <t>9763-20170724T104522.151990700.bin</t>
  </si>
  <si>
    <t>-731.579319755345 68.0006517046907 -533.47570419261</t>
  </si>
  <si>
    <t>-669.449671256659 113.098086555696 -249.402923917583</t>
  </si>
  <si>
    <t>-440.18243809068 186.791815364406 -256.926251315094</t>
  </si>
  <si>
    <t>-686.753939804479 13.440903900716 -103.581644489408</t>
  </si>
  <si>
    <t>-687.744174431302 51.4008724779769 298.180388512818</t>
  </si>
  <si>
    <t>-711.843454501819 95.7013135505938 743.275843464479</t>
  </si>
  <si>
    <t>-568.379304200345 122.479706560366 804.824617273736</t>
  </si>
  <si>
    <t>-589.948225247627 -153.956345232178 305.589819124853</t>
  </si>
  <si>
    <t>-595.558453177505 -145.997199655151 753.352275985023</t>
  </si>
  <si>
    <t>-458.229744483175 -178.236877348339 825.385003517739</t>
  </si>
  <si>
    <t>9763-20170724T104522.186084900.bin</t>
  </si>
  <si>
    <t>-731.913916382199 67.814413361117 -533.431853125925</t>
  </si>
  <si>
    <t>-669.686993221866 113.049157868517 -249.402233885893</t>
  </si>
  <si>
    <t>-440.502938728062 186.984613599207 -257.088491039096</t>
  </si>
  <si>
    <t>-686.765058354113 13.3631395087423 -103.60324399585</t>
  </si>
  <si>
    <t>-687.722899485864 51.3242124565468 298.158729767649</t>
  </si>
  <si>
    <t>-711.806923319122 95.5973334679438 743.262138165717</t>
  </si>
  <si>
    <t>-568.359594541926 122.449738817126 804.817955457058</t>
  </si>
  <si>
    <t>-589.790734133274 -154.004729803516 305.596493473307</t>
  </si>
  <si>
    <t>-595.548518149067 -146.025762511578 753.35541337055</t>
  </si>
  <si>
    <t>-458.185160936056 -178.136843289057 825.379573704515</t>
  </si>
  <si>
    <t>9763-20170724T104522.248754500.bin</t>
  </si>
  <si>
    <t>-732.114251414176 67.3864618988162 -533.469142842681</t>
  </si>
  <si>
    <t>-669.717274313939 113.001261130435 -249.537704690499</t>
  </si>
  <si>
    <t>-440.594403870938 187.138896156958 -257.096758810983</t>
  </si>
  <si>
    <t>-686.547719729336 13.1949799176766 -103.621333848014</t>
  </si>
  <si>
    <t>-687.490302695394 51.185135305147 298.137991707476</t>
  </si>
  <si>
    <t>-711.831471170891 95.5567152506708 743.241040359939</t>
  </si>
  <si>
    <t>-568.331520787341 122.110316227176 804.803783388171</t>
  </si>
  <si>
    <t>-589.470451266891 -154.024711377603 305.597885724892</t>
  </si>
  <si>
    <t>-595.532437329864 -146.054668725148 753.361605098695</t>
  </si>
  <si>
    <t>-458.088527829296 -177.859564293253 825.367948574434</t>
  </si>
  <si>
    <t>9763-20170724T104522.284138200.bin</t>
  </si>
  <si>
    <t>-732.023849774001 67.2770105262882 -533.490522728743</t>
  </si>
  <si>
    <t>-669.531983656936 112.975529369077 -249.593278768076</t>
  </si>
  <si>
    <t>-440.465905790854 187.298103490281 -257.061638962309</t>
  </si>
  <si>
    <t>-686.343560963821 13.1782678072693 -103.634352011667</t>
  </si>
  <si>
    <t>-687.366845335162 51.16455673372 298.12507767321</t>
  </si>
  <si>
    <t>-711.871049023303 95.5930028312168 743.217070671224</t>
  </si>
  <si>
    <t>-568.381565208982 122.198868820118 804.781511327142</t>
  </si>
  <si>
    <t>-589.314335333625 -153.994632825054 305.610634442886</t>
  </si>
  <si>
    <t>-595.532791704726 -145.875225018503 753.357863042946</t>
  </si>
  <si>
    <t>-458.15358450076 -177.943278968631 825.370931028484</t>
  </si>
  <si>
    <t>9763-20170724T104522.350317400.bin</t>
  </si>
  <si>
    <t>-731.747084522746 67.215848045968 -533.571153908966</t>
  </si>
  <si>
    <t>-669.217548972498 113.056141684279 -249.705078377692</t>
  </si>
  <si>
    <t>-440.228339420017 187.645751430268 -256.862777228299</t>
  </si>
  <si>
    <t>-685.987181324204 13.2163859792695 -103.665940341289</t>
  </si>
  <si>
    <t>-687.273189483793 51.1813471983132 298.0947597206</t>
  </si>
  <si>
    <t>-711.8740120961 95.5134140872146 743.172604305288</t>
  </si>
  <si>
    <t>-568.389202951116 122.135950097304 804.740848604623</t>
  </si>
  <si>
    <t>-589.133741651974 -154.002560338456 305.62846508713</t>
  </si>
  <si>
    <t>-595.5269874523 -145.789212679297 753.365930602805</t>
  </si>
  <si>
    <t>-458.12674917704 -177.794391215469 825.366986744596</t>
  </si>
  <si>
    <t>9763-20170724T104522.384422600.bin</t>
  </si>
  <si>
    <t>-731.607648019903 67.1392135254812 -533.625715797392</t>
  </si>
  <si>
    <t>-669.058882826263 112.91457743992 -249.753351148679</t>
  </si>
  <si>
    <t>-440.096643824118 187.595184169811 -256.823503316046</t>
  </si>
  <si>
    <t>-685.871034454506 13.2065199379736 -103.700303238789</t>
  </si>
  <si>
    <t>-687.202806341855 51.1484480600645 298.06243602879</t>
  </si>
  <si>
    <t>-711.837516168099 95.4027094764483 743.143959753211</t>
  </si>
  <si>
    <t>-568.36651987694 122.101326519914 804.711440307761</t>
  </si>
  <si>
    <t>-589.117804259213 -154.100316645196 305.635792794467</t>
  </si>
  <si>
    <t>-595.509813784522 -145.926955824758 753.369731666313</t>
  </si>
  <si>
    <t>-458.032464126761 -177.614865347422 825.363832180461</t>
  </si>
  <si>
    <t>9763-20170724T104522.455612800.bin</t>
  </si>
  <si>
    <t>-731.381485995289 67.0438211880098 -533.677107656396</t>
  </si>
  <si>
    <t>-668.714273748194 112.757578968624 -249.82106218952</t>
  </si>
  <si>
    <t>-439.804741385587 187.584848177901 -257.043113655379</t>
  </si>
  <si>
    <t>-685.680780830165 13.1994060276943 -103.769517531014</t>
  </si>
  <si>
    <t>-687.024059481599 51.0874487622932 297.998238163962</t>
  </si>
  <si>
    <t>-711.842353935526 95.3285547833646 743.081015063188</t>
  </si>
  <si>
    <t>-568.383875287029 122.089619386866 804.650493606706</t>
  </si>
  <si>
    <t>-588.974300094191 -154.163660323645 305.629697867208</t>
  </si>
  <si>
    <t>-595.482698663374 -146.009410962149 753.364840777139</t>
  </si>
  <si>
    <t>-457.9604086273 -177.49770008565 825.360664835365</t>
  </si>
  <si>
    <t>9763-20170724T104522.486700600.bin</t>
  </si>
  <si>
    <t>-731.185810432531 67.0304560195166 -533.684718402895</t>
  </si>
  <si>
    <t>-668.496212868122 112.670935003842 -249.82180154173</t>
  </si>
  <si>
    <t>-439.581666247319 187.476888564942 -257.106064609566</t>
  </si>
  <si>
    <t>-685.497675490411 13.1452829147256 -103.799763739685</t>
  </si>
  <si>
    <t>-686.860079850305 51.0668212585379 297.964788024243</t>
  </si>
  <si>
    <t>-711.803009086389 95.2027512036263 743.05141775031</t>
  </si>
  <si>
    <t>-568.38265282668 122.179826111301 804.615408741046</t>
  </si>
  <si>
    <t>-588.832024731736 -154.038570127723 305.631935902866</t>
  </si>
  <si>
    <t>-595.485587199542 -145.668253824743 753.357315852736</t>
  </si>
  <si>
    <t>-458.103852881804 -177.723939974173 825.371131421384</t>
  </si>
  <si>
    <t>9763-20170724T104522.549371000.bin</t>
  </si>
  <si>
    <t>-730.813189207044 66.9949452301739 -533.66950323606</t>
  </si>
  <si>
    <t>-668.119233665617 112.460036111668 -249.779364803692</t>
  </si>
  <si>
    <t>-439.20412953248 187.247712925097 -257.232055538305</t>
  </si>
  <si>
    <t>-685.200543762927 13.0937268889572 -103.842548571878</t>
  </si>
  <si>
    <t>-686.637971536131 51.0263998916289 297.920626349183</t>
  </si>
  <si>
    <t>-711.832336279513 95.164848306443 742.984045273471</t>
  </si>
  <si>
    <t>-568.406174456307 122.095456035474 804.554920283148</t>
  </si>
  <si>
    <t>-588.586573040326 -153.961728516034 305.635106538071</t>
  </si>
  <si>
    <t>-595.476947895059 -145.442487723117 753.354358509784</t>
  </si>
  <si>
    <t>-458.106633313439 -177.55477368536 825.364846138969</t>
  </si>
  <si>
    <t>9763-20170724T104522.579954500.bin</t>
  </si>
  <si>
    <t>-730.589312169056 67.0292278372719 -533.660324519755</t>
  </si>
  <si>
    <t>-667.911070472841 112.406502521138 -249.7528314804</t>
  </si>
  <si>
    <t>-439.023578399656 187.259274118217 -257.396626915309</t>
  </si>
  <si>
    <t>-685.063717014516 13.0697550208836 -103.859084728567</t>
  </si>
  <si>
    <t>-686.579314343437 51.0227613644595 297.901926727136</t>
  </si>
  <si>
    <t>-711.858178960377 95.1830986087089 742.952315651598</t>
  </si>
  <si>
    <t>-568.423572683439 122.05024190192 804.531191588944</t>
  </si>
  <si>
    <t>-588.483185263902 -153.999768738568 305.629306939055</t>
  </si>
  <si>
    <t>-595.470121427005 -145.487792979728 753.354760161701</t>
  </si>
  <si>
    <t>-458.114059792113 -177.664273795357 825.363767799548</t>
  </si>
  <si>
    <t>9763-20170724T104522.651646500.bin</t>
  </si>
  <si>
    <t>-729.939636308389 67.3505334145279 -533.606564583774</t>
  </si>
  <si>
    <t>-667.204656853003 112.487535747881 -249.673195915418</t>
  </si>
  <si>
    <t>-438.36480686673 187.472696071749 -257.445016018206</t>
  </si>
  <si>
    <t>-684.775482584601 13.0552048002917 -103.874360393943</t>
  </si>
  <si>
    <t>-686.495208235228 50.9616682803271 297.890277141428</t>
  </si>
  <si>
    <t>-711.871741479481 95.1381990724735 742.924501087693</t>
  </si>
  <si>
    <t>-568.435331544044 121.990706560268 804.505507828597</t>
  </si>
  <si>
    <t>-588.373702634158 -154.057882353097 305.623845497134</t>
  </si>
  <si>
    <t>-595.462979200481 -145.494682073214 753.353212598667</t>
  </si>
  <si>
    <t>-458.106876669542 -177.689137423658 825.354085833639</t>
  </si>
  <si>
    <t>9763-20170724T104522.686202000.bin</t>
  </si>
  <si>
    <t>-729.498238652235 67.5512172306974 -533.535495740286</t>
  </si>
  <si>
    <t>-666.739365498165 112.545438187761 -249.584814629407</t>
  </si>
  <si>
    <t>-437.9146150778 187.564782057454 -257.475579517059</t>
  </si>
  <si>
    <t>-684.648360152222 13.0179517216327 -103.872516966059</t>
  </si>
  <si>
    <t>-686.45158280641 50.9216941238371 297.891988969604</t>
  </si>
  <si>
    <t>-711.864170354596 95.075679093035 742.920806811242</t>
  </si>
  <si>
    <t>-568.426942718719 121.933684076764 804.497614977249</t>
  </si>
  <si>
    <t>-588.340407399412 -154.151374382248 305.629057494678</t>
  </si>
  <si>
    <t>-595.459358977875 -145.499865807187 753.351303564892</t>
  </si>
  <si>
    <t>-458.00541914089 -177.313585234036 825.334654543548</t>
  </si>
  <si>
    <t>9763-20170724T104522.750379700.bin</t>
  </si>
  <si>
    <t>-728.606728134625 67.8478075979876 -533.430324891922</t>
  </si>
  <si>
    <t>-665.734812916619 112.406722390473 -249.435946075648</t>
  </si>
  <si>
    <t>-436.936918831089 187.492345992777 -257.469975983418</t>
  </si>
  <si>
    <t>-684.332441663849 12.9841493754434 -103.860554871122</t>
  </si>
  <si>
    <t>-686.3613086807 50.8298011299278 297.908366512609</t>
  </si>
  <si>
    <t>-711.853881614901 94.9702385456578 742.912147210497</t>
  </si>
  <si>
    <t>-568.445230550169 122.00136256853 804.479878271938</t>
  </si>
  <si>
    <t>-588.260433828807 -154.202687870093 305.619573919991</t>
  </si>
  <si>
    <t>-595.452374928155 -145.437113789986 753.348282889083</t>
  </si>
  <si>
    <t>-458.037836933611 -177.422013387311 825.33095449431</t>
  </si>
  <si>
    <t>9763-20170724T104522.786198600.bin</t>
  </si>
  <si>
    <t>-728.195805784195 68.0373196752762 -533.35987333743</t>
  </si>
  <si>
    <t>-665.249306933327 112.3939569356 -249.350211414364</t>
  </si>
  <si>
    <t>-436.473591102174 187.531491613417 -257.527196854192</t>
  </si>
  <si>
    <t>-684.189408718037 12.9961945916689 -103.848558213212</t>
  </si>
  <si>
    <t>-686.362848535282 50.8517042547978 297.918637557313</t>
  </si>
  <si>
    <t>-711.877198698528 94.9771162313727 742.91582568773</t>
  </si>
  <si>
    <t>-568.454516677641 121.926115328788 804.486980404069</t>
  </si>
  <si>
    <t>-588.169823553398 -154.219810545505 305.610472354338</t>
  </si>
  <si>
    <t>-595.446840766049 -145.423734836984 753.345319278788</t>
  </si>
  <si>
    <t>-458.036029629463 -177.4279598846 825.326500534219</t>
  </si>
  <si>
    <t>9763-20170724T104522.849873200.bin</t>
  </si>
  <si>
    <t>-727.42748405978 68.4090961592633 -533.1922424772</t>
  </si>
  <si>
    <t>-664.255191637167 112.397635086546 -249.175375190696</t>
  </si>
  <si>
    <t>-435.576793009903 187.781502991768 -257.795192379565</t>
  </si>
  <si>
    <t>-683.895622768202 13.0828559193267 -103.841573703308</t>
  </si>
  <si>
    <t>-686.291593276843 50.8917880105737 297.928792388186</t>
  </si>
  <si>
    <t>-711.877496439232 94.9170367853392 742.930559419152</t>
  </si>
  <si>
    <t>-568.442226803892 121.780746149557 804.509358553092</t>
  </si>
  <si>
    <t>-588.088192057912 -154.145302007089 305.600913783258</t>
  </si>
  <si>
    <t>-595.444698657398 -145.305007939835 753.340268962899</t>
  </si>
  <si>
    <t>-458.077796557861 -177.505746456652 825.317762981425</t>
  </si>
  <si>
    <t>9763-20170724T104522.884465600.bin</t>
  </si>
  <si>
    <t>-727.031054316825 68.6353073400876 -533.105808145886</t>
  </si>
  <si>
    <t>-663.785730811854 112.49445605698 -249.08552387921</t>
  </si>
  <si>
    <t>-435.147357039758 187.973381677849 -257.933275662359</t>
  </si>
  <si>
    <t>-683.771598223803 13.1955098632252 -103.830147114227</t>
  </si>
  <si>
    <t>-686.243549605288 50.9419979133631 297.945620145806</t>
  </si>
  <si>
    <t>-711.939786138171 95.0037469483038 742.94748782548</t>
  </si>
  <si>
    <t>-568.455104287862 121.596931599636 804.528652129343</t>
  </si>
  <si>
    <t>-587.989192543674 -154.169789236294 305.59658610817</t>
  </si>
  <si>
    <t>-595.436827345889 -145.399947075744 753.337050167447</t>
  </si>
  <si>
    <t>-458.010347634829 -177.371880105551 825.302634772466</t>
  </si>
  <si>
    <t>9763-20170724T104522.950152600.bin</t>
  </si>
  <si>
    <t>-726.137129351576 69.2621938843149 -532.913727981316</t>
  </si>
  <si>
    <t>-662.771320346872 112.951642231679 -248.893999740813</t>
  </si>
  <si>
    <t>-434.142354547477 188.446186274059 -257.851644928101</t>
  </si>
  <si>
    <t>-683.291351902262 13.2670001742008 -103.778113728429</t>
  </si>
  <si>
    <t>-685.873755530171 50.9728792850844 298.000732733984</t>
  </si>
  <si>
    <t>-711.915148537383 94.8964514174129 742.987565313313</t>
  </si>
  <si>
    <t>-568.448312232346 121.601665095822 804.5617616079</t>
  </si>
  <si>
    <t>-587.678511318598 -154.081907254798 305.584440010832</t>
  </si>
  <si>
    <t>-595.435951675507 -145.219189892617 753.325718924733</t>
  </si>
  <si>
    <t>-458.074638774846 -177.472981084093 825.2898182751</t>
  </si>
  <si>
    <t>9763-20170724T104522.986798700.bin</t>
  </si>
  <si>
    <t>-725.726932122579 69.5497156749213 -532.797504346076</t>
  </si>
  <si>
    <t>-662.255673694318 113.095733312229 -248.779303302441</t>
  </si>
  <si>
    <t>-433.65065030405 188.649933221305 -257.845087633833</t>
  </si>
  <si>
    <t>-683.057712254306 13.3897043051993 -103.751946811622</t>
  </si>
  <si>
    <t>-685.685398316963 50.982373121617 298.037232521276</t>
  </si>
  <si>
    <t>-711.933342857418 94.8936720362065 743.01419423346</t>
  </si>
  <si>
    <t>-568.449311581469 121.506479827549 804.58841516994</t>
  </si>
  <si>
    <t>-587.589797430829 -154.13630589873 305.587494274371</t>
  </si>
  <si>
    <t>-595.428403355176 -145.36037764251 753.328672782618</t>
  </si>
  <si>
    <t>-457.952446496123 -177.16674818628 825.273206506527</t>
  </si>
  <si>
    <t>9763-20170724T104523.051495100.bin</t>
  </si>
  <si>
    <t>-725.126460703841 70.4026350154104 -532.581261342145</t>
  </si>
  <si>
    <t>-661.394476263879 113.67968192304 -248.580266281739</t>
  </si>
  <si>
    <t>-432.723196383072 189.037578242616 -257.608141039219</t>
  </si>
  <si>
    <t>-682.608207872682 13.7852006118326 -103.669361493042</t>
  </si>
  <si>
    <t>-685.464242350952 51.2074741655715 298.134155884972</t>
  </si>
  <si>
    <t>-711.975201754472 94.8903353777432 743.093567740556</t>
  </si>
  <si>
    <t>-568.455210845635 121.358072191298 804.646580515084</t>
  </si>
  <si>
    <t>-587.347494482273 -153.947055036978 305.575690479515</t>
  </si>
  <si>
    <t>-595.411984185769 -145.215070948111 753.308103160493</t>
  </si>
  <si>
    <t>-457.988511495494 -177.200079206153 825.273594672608</t>
  </si>
  <si>
    <t>9763-20170724T104523.085088300.bin</t>
  </si>
  <si>
    <t>-724.903780996171 70.8542300285478 -532.490348073494</t>
  </si>
  <si>
    <t>-661.086900334338 113.920077216324 -248.476411704293</t>
  </si>
  <si>
    <t>-432.399703798092 189.225793161633 -257.537535153264</t>
  </si>
  <si>
    <t>-682.420712551815 14.0512039126565 -103.64178153675</t>
  </si>
  <si>
    <t>-685.374618711497 51.3915716075496 298.168621397174</t>
  </si>
  <si>
    <t>-712.020439699632 94.953749410457 743.129277288438</t>
  </si>
  <si>
    <t>-568.466592380909 121.265082534317 804.67027491073</t>
  </si>
  <si>
    <t>-587.243839149618 -153.82891288126 305.561914615458</t>
  </si>
  <si>
    <t>-595.399368383797 -145.204091197623 753.297520528242</t>
  </si>
  <si>
    <t>-457.998562488271 -177.261984861577 825.273992868069</t>
  </si>
  <si>
    <t>9763-20170724T104523.156285900.bin</t>
  </si>
  <si>
    <t>-724.360681588357 71.6877655109256 -532.242303668346</t>
  </si>
  <si>
    <t>-660.415108633549 114.144336157312 -248.165574624666</t>
  </si>
  <si>
    <t>-431.719726093706 189.400167065615 -257.432374648822</t>
  </si>
  <si>
    <t>-682.028427396967 14.4772116795698 -103.602598902196</t>
  </si>
  <si>
    <t>-685.20638349493 51.6302841849599 298.223504072332</t>
  </si>
  <si>
    <t>-712.042660594433 94.9510149261573 743.198557218049</t>
  </si>
  <si>
    <t>-568.471080719601 121.193690394153 804.727557012575</t>
  </si>
  <si>
    <t>-586.755053411596 -153.620592433239 305.534373696947</t>
  </si>
  <si>
    <t>-595.377699929493 -145.131339430601 753.26828312797</t>
  </si>
  <si>
    <t>-457.961203506884 -177.089631697493 825.259043346051</t>
  </si>
  <si>
    <t>9763-20170724T104523.184382800.bin</t>
  </si>
  <si>
    <t>-724.039659574667 72.0363429249389 -532.080713677597</t>
  </si>
  <si>
    <t>-660.000425135524 114.192177767959 -247.980244607111</t>
  </si>
  <si>
    <t>-431.399075431792 189.69876064877 -257.520878110443</t>
  </si>
  <si>
    <t>-681.787124537271 14.5980651920586 -103.576349126427</t>
  </si>
  <si>
    <t>-685.056486680785 51.6652091199574 298.25687822558</t>
  </si>
  <si>
    <t>-712.01408015166 94.874115740005 743.231264017277</t>
  </si>
  <si>
    <t>-568.465123890732 121.256507768186 804.753180116905</t>
  </si>
  <si>
    <t>-586.550630835325 -153.615931490574 305.524001261827</t>
  </si>
  <si>
    <t>-595.358030279129 -145.272911455461 753.252740006006</t>
  </si>
  <si>
    <t>-457.87512336686 -176.938098665683 825.246347450908</t>
  </si>
  <si>
    <t>9763-20170724T104523.250572600.bin</t>
  </si>
  <si>
    <t>-723.500877179056 72.8489313621967 -531.765296148952</t>
  </si>
  <si>
    <t>-659.10744891286 114.200145773821 -247.626649095187</t>
  </si>
  <si>
    <t>-431.159053618595 191.518141551038 -258.223806117797</t>
  </si>
  <si>
    <t>-681.363524457095 14.8633980269012 -103.546067674553</t>
  </si>
  <si>
    <t>-684.87375234884 51.8627167745283 298.291428281205</t>
  </si>
  <si>
    <t>-712.008305433683 94.8334183989866 743.278293678567</t>
  </si>
  <si>
    <t>-568.480921755303 121.324634038976 804.803889104871</t>
  </si>
  <si>
    <t>-586.093204214784 -153.416876744875 305.495705225175</t>
  </si>
  <si>
    <t>-595.337368632165 -145.126119321347 753.221501207632</t>
  </si>
  <si>
    <t>-457.945073670895 -177.112980781045 825.245789258344</t>
  </si>
  <si>
    <t>9763-20170724T104523.282294100.bin</t>
  </si>
  <si>
    <t>-723.294601071434 73.2958997459159 -531.637286766242</t>
  </si>
  <si>
    <t>-658.831081699361 114.152336063884 -247.442825766144</t>
  </si>
  <si>
    <t>-431.548532357822 193.246170118312 -259.175704774321</t>
  </si>
  <si>
    <t>-681.247323191162 15.0625239760684 -103.530552907015</t>
  </si>
  <si>
    <t>-684.813945363249 51.8899761252026 298.322272834637</t>
  </si>
  <si>
    <t>-711.977584162676 94.7463227479207 743.315084387247</t>
  </si>
  <si>
    <t>-568.455967108114 121.275800311093 804.837797630928</t>
  </si>
  <si>
    <t>-585.89681393307 -153.323645613268 305.480396735577</t>
  </si>
  <si>
    <t>-595.322813488048 -145.055161432666 753.203109554188</t>
  </si>
  <si>
    <t>-457.968108791239 -177.169614795384 825.242201755008</t>
  </si>
  <si>
    <t>9763-20170724T104523.349979600.bin</t>
  </si>
  <si>
    <t>-722.595954791431 74.1478349481993 -531.377532645362</t>
  </si>
  <si>
    <t>-658.122229409733 114.003185571276 -247.043406180901</t>
  </si>
  <si>
    <t>-431.987198723497 196.120686433395 -260.103534352041</t>
  </si>
  <si>
    <t>-680.845538130002 15.3389913899493 -103.476688764896</t>
  </si>
  <si>
    <t>-684.704859091969 51.9936737674125 298.389177206319</t>
  </si>
  <si>
    <t>-711.974575126213 94.698603120293 743.386864167546</t>
  </si>
  <si>
    <t>-568.464587943288 121.299282276206 804.90579434025</t>
  </si>
  <si>
    <t>-585.464697223829 -153.128164174172 305.458814836752</t>
  </si>
  <si>
    <t>-595.299614550961 -144.898359020388 753.176020244891</t>
  </si>
  <si>
    <t>-457.971977072774 -177.093867520677 825.230646453664</t>
  </si>
  <si>
    <t>9763-20170724T104523.385576000.bin</t>
  </si>
  <si>
    <t>-722.104105786973 74.6887005799128 -531.227949945763</t>
  </si>
  <si>
    <t>-657.63581744965 114.150349688547 -246.837593534196</t>
  </si>
  <si>
    <t>-431.980190933267 197.58516085003 -259.83945334795</t>
  </si>
  <si>
    <t>-680.584685843349 15.4937530149959 -103.457142565698</t>
  </si>
  <si>
    <t>-684.590254145355 52.0758170321728 298.413956978993</t>
  </si>
  <si>
    <t>-711.963675133665 94.6515454622509 743.417833731299</t>
  </si>
  <si>
    <t>-568.467145430854 121.332385473196 804.933368157725</t>
  </si>
  <si>
    <t>-585.198070240958 -152.99498054569 305.452539252252</t>
  </si>
  <si>
    <t>-595.291087411011 -144.827884085884 753.165548427849</t>
  </si>
  <si>
    <t>-457.980915450739 -177.084160629216 825.22633665795</t>
  </si>
  <si>
    <t>9763-20170724T104523.431710300.bin</t>
  </si>
  <si>
    <t>-721.179508366439 75.3483753338585 -531.059490231689</t>
  </si>
  <si>
    <t>-656.901552475505 114.21716392097 -246.544400475924</t>
  </si>
  <si>
    <t>-431.870724611166 199.419534952576 -258.896192844783</t>
  </si>
  <si>
    <t>-680.200002077899 15.7571254421653 -103.436571908883</t>
  </si>
  <si>
    <t>-684.384572307207 52.1883306733816 298.446420101438</t>
  </si>
  <si>
    <t>-712.008290240268 94.6936091318371 743.450026019544</t>
  </si>
  <si>
    <t>-568.509353140903 121.355297759636 804.968269113277</t>
  </si>
  <si>
    <t>-584.894906269847 -152.966692426483 305.454512031746</t>
  </si>
  <si>
    <t>-595.265330117198 -145.007400720486 753.158477403793</t>
  </si>
  <si>
    <t>-457.915618122756 -177.090638022482 825.221129969692</t>
  </si>
  <si>
    <t>9763-20170724T104523.481855700.bin</t>
  </si>
  <si>
    <t>-720.153085458702 76.2249959066542 -530.833051584919</t>
  </si>
  <si>
    <t>-656.165516207355 114.542984144318 -246.178052284467</t>
  </si>
  <si>
    <t>-431.444806255612 200.761862623458 -257.029876814348</t>
  </si>
  <si>
    <t>-679.670015544926 15.9942798703 -103.408647969975</t>
  </si>
  <si>
    <t>-684.052739652496 52.2845994525915 298.484951720116</t>
  </si>
  <si>
    <t>-711.972238398193 94.5761246952145 743.486769052708</t>
  </si>
  <si>
    <t>-568.493684331108 121.364655268607 804.997561188351</t>
  </si>
  <si>
    <t>-584.565468690712 -152.82774882015 305.434843680621</t>
  </si>
  <si>
    <t>-595.241115287449 -144.843298299472 753.140780880985</t>
  </si>
  <si>
    <t>-457.916209582247 -176.994467386553 825.220425617792</t>
  </si>
  <si>
    <t>9763-20170724T104523.550540600.bin</t>
  </si>
  <si>
    <t>-718.695956455132 77.3535875718451 -530.431713287425</t>
  </si>
  <si>
    <t>-655.263830295366 114.488320387595 -245.495542262833</t>
  </si>
  <si>
    <t>-430.628688946348 201.054087155445 -255.308196213325</t>
  </si>
  <si>
    <t>-678.875168178608 16.3002559539138 -103.366367513894</t>
  </si>
  <si>
    <t>-683.607182165204 52.4450230915988 298.536453795028</t>
  </si>
  <si>
    <t>-712.007196435914 94.5524071425239 743.528011176402</t>
  </si>
  <si>
    <t>-568.523557474448 121.35323646562 805.021643847246</t>
  </si>
  <si>
    <t>-584.251177531262 -152.766618741645 305.420292168406</t>
  </si>
  <si>
    <t>-595.200739478555 -144.731873317176 753.104294822219</t>
  </si>
  <si>
    <t>-457.932704576445 -177.040719973893 825.221718760116</t>
  </si>
  <si>
    <t>9763-20170724T104523.585900700.bin</t>
  </si>
  <si>
    <t>-718.12120430491 78.0040116087609 -530.263998846932</t>
  </si>
  <si>
    <t>-654.702549469078 114.582006842189 -245.25291969058</t>
  </si>
  <si>
    <t>-429.961762402538 200.896188920816 -254.860180521846</t>
  </si>
  <si>
    <t>-678.517100432848 16.5030863647557 -103.344732855868</t>
  </si>
  <si>
    <t>-683.479676611403 52.5288755821944 298.565933761781</t>
  </si>
  <si>
    <t>-712.054592493478 94.5972137612971 743.550627182903</t>
  </si>
  <si>
    <t>-568.528974356923 121.1784538452 805.041387873586</t>
  </si>
  <si>
    <t>-584.115739795842 -152.795704507562 305.391161457697</t>
  </si>
  <si>
    <t>-595.179342807233 -144.828898098609 753.088833305241</t>
  </si>
  <si>
    <t>-457.883554241821 -176.99929428348 825.215370416192</t>
  </si>
  <si>
    <t>9763-20170724T104523.653583500.bin</t>
  </si>
  <si>
    <t>-717.347001288309 79.0868277382235 -529.950697512345</t>
  </si>
  <si>
    <t>-653.928258012148 115.257968699738 -244.887536735746</t>
  </si>
  <si>
    <t>-429.136036317681 201.479841638211 -254.114602308595</t>
  </si>
  <si>
    <t>-677.805643979881 16.7135375007495 -103.282422619477</t>
  </si>
  <si>
    <t>-683.166815305238 52.6702098917308 298.62931963726</t>
  </si>
  <si>
    <t>-712.10875517426 94.6365932781814 743.585570600463</t>
  </si>
  <si>
    <t>-568.537163347063 120.971585711806 805.07507015379</t>
  </si>
  <si>
    <t>-583.830407512936 -152.726700310956 305.371992554256</t>
  </si>
  <si>
    <t>-595.159908999189 -144.632972078509 753.070366596124</t>
  </si>
  <si>
    <t>-457.980708867482 -177.246459928639 825.219631217406</t>
  </si>
  <si>
    <t>9763-20170724T104523.685172700.bin</t>
  </si>
  <si>
    <t>-716.976133795376 79.403585163054 -529.847253232451</t>
  </si>
  <si>
    <t>-653.68836394296 115.378834996017 -244.730259843036</t>
  </si>
  <si>
    <t>-428.878059093142 201.575407217588 -253.74975385078</t>
  </si>
  <si>
    <t>-677.536264820206 16.7914816864022 -103.246698438633</t>
  </si>
  <si>
    <t>-682.991535247581 52.6707882346548 298.670709269651</t>
  </si>
  <si>
    <t>-712.1255144799 94.6391404740118 743.606513555673</t>
  </si>
  <si>
    <t>-568.552037519405 120.96517003652 805.095524590149</t>
  </si>
  <si>
    <t>-583.715071827042 -152.760406979114 305.389617181185</t>
  </si>
  <si>
    <t>-595.151506617877 -144.563963620742 753.069510886725</t>
  </si>
  <si>
    <t>-457.985896223207 -177.229961926396 825.221062987637</t>
  </si>
  <si>
    <t>9763-20170724T104523.722278900.bin</t>
  </si>
  <si>
    <t>-716.559090283115 79.5169637074869 -529.832582123666</t>
  </si>
  <si>
    <t>-653.569251887547 115.473585360523 -244.647420551913</t>
  </si>
  <si>
    <t>-428.83380997992 201.896139760964 -253.365217757333</t>
  </si>
  <si>
    <t>-677.180303285263 16.6985629168582 -103.200298388415</t>
  </si>
  <si>
    <t>-682.790603033084 52.6232279006872 298.71091154952</t>
  </si>
  <si>
    <t>-712.147225027011 94.6526579031101 743.622917372273</t>
  </si>
  <si>
    <t>-568.569448010614 120.955756594056 805.111433041111</t>
  </si>
  <si>
    <t>-583.504115204991 -152.820402518662 305.401609997077</t>
  </si>
  <si>
    <t>-595.143686349421 -144.605427288389 753.075305092247</t>
  </si>
  <si>
    <t>-457.943517463619 -177.144413256771 825.218347095895</t>
  </si>
  <si>
    <t>9763-20170724T104523.782441100.bin</t>
  </si>
  <si>
    <t>-715.834801200145 79.2825301387065 -529.856810423272</t>
  </si>
  <si>
    <t>-653.545115579563 115.525422208442 -244.554228082247</t>
  </si>
  <si>
    <t>-428.892798729578 202.214124104017 -252.757814188202</t>
  </si>
  <si>
    <t>-676.47581418088 16.3811882507914 -103.122904404268</t>
  </si>
  <si>
    <t>-682.325298825313 52.3957613840762 298.77687430375</t>
  </si>
  <si>
    <t>-712.130513128786 94.5690339139444 743.646489653021</t>
  </si>
  <si>
    <t>-568.594658079243 121.098505416294 805.135697530092</t>
  </si>
  <si>
    <t>-583.11632430371 -153.138128150442 305.458433849356</t>
  </si>
  <si>
    <t>-595.131177582765 -144.713006288203 753.095050151022</t>
  </si>
  <si>
    <t>-457.866599680481 -177.029462222727 825.215726355709</t>
  </si>
  <si>
    <t>9763-20170724T104523.850623200.bin</t>
  </si>
  <si>
    <t>-715.526578152128 79.1097272878749 -530.007169225892</t>
  </si>
  <si>
    <t>-654.158943615353 115.871322507722 -244.571157982399</t>
  </si>
  <si>
    <t>-429.593109251978 202.781030637382 -252.80204238222</t>
  </si>
  <si>
    <t>-676.014121715895 16.3114802728692 -103.075572782296</t>
  </si>
  <si>
    <t>-682.009896184637 52.2899697956007 298.825250198536</t>
  </si>
  <si>
    <t>-712.121282706868 94.5017395231876 743.658195322306</t>
  </si>
  <si>
    <t>-568.59193846654 121.055268869079 805.15223609739</t>
  </si>
  <si>
    <t>-582.879226004426 -153.122159521363 305.494721883919</t>
  </si>
  <si>
    <t>-595.131773454539 -144.437596216787 753.116823450922</t>
  </si>
  <si>
    <t>-458.00165325358 -177.318952299192 825.237829225711</t>
  </si>
  <si>
    <t>9763-20170724T104523.883713500.bin</t>
  </si>
  <si>
    <t>-715.552253669745 79.113118038081 -530.085894769816</t>
  </si>
  <si>
    <t>-654.66601750943 115.840833541746 -244.542187680659</t>
  </si>
  <si>
    <t>-430.028008201996 202.580081554084 -252.601112208727</t>
  </si>
  <si>
    <t>-675.9431226576 16.3809212227379 -103.073517633173</t>
  </si>
  <si>
    <t>-681.964109638623 52.3499993000553 298.827744093132</t>
  </si>
  <si>
    <t>-712.197707731485 94.625825133729 743.655011159237</t>
  </si>
  <si>
    <t>-568.617319095252 120.891632904576 805.153566784606</t>
  </si>
  <si>
    <t>-582.76425586595 -153.147374512137 305.514656697154</t>
  </si>
  <si>
    <t>-595.123679791219 -144.432884186445 753.125680829987</t>
  </si>
  <si>
    <t>-457.992335031071 -177.320560977892 825.241487055848</t>
  </si>
  <si>
    <t>9763-20170724T104523.954403400.bin</t>
  </si>
  <si>
    <t>-715.828215229529 78.9417484020705 -530.140978651291</t>
  </si>
  <si>
    <t>-655.700726175133 115.397353645637 -244.401737484729</t>
  </si>
  <si>
    <t>-430.44977222806 200.605082538736 -251.649414892815</t>
  </si>
  <si>
    <t>-675.883445015192 16.2227061028186 -103.084997193442</t>
  </si>
  <si>
    <t>-681.928421183225 52.2641178239792 298.809472255015</t>
  </si>
  <si>
    <t>-712.195348662466 94.5779356880312 743.631821945564</t>
  </si>
  <si>
    <t>-568.651519642177 121.042158117481 805.130568385466</t>
  </si>
  <si>
    <t>-582.674057784494 -153.219078756974 305.54221234609</t>
  </si>
  <si>
    <t>-595.097098515983 -144.558078714763 753.14012567716</t>
  </si>
  <si>
    <t>-457.966488664192 -177.455897130896 825.252755453322</t>
  </si>
  <si>
    <t>9763-20170724T104523.986510200.bin</t>
  </si>
  <si>
    <t>-716.04729980554 78.760209397607 -530.1599255396</t>
  </si>
  <si>
    <t>-656.355906882405 115.215976205652 -244.329331175059</t>
  </si>
  <si>
    <t>-430.626740384728 199.224806643717 -250.634529957287</t>
  </si>
  <si>
    <t>-675.932729854637 16.1141661597785 -103.095959094835</t>
  </si>
  <si>
    <t>-681.943935528716 52.1653182454634 298.798069994307</t>
  </si>
  <si>
    <t>-712.190038764437 94.54745574444 743.613503498199</t>
  </si>
  <si>
    <t>-568.631981936088 120.928552213157 805.114862611001</t>
  </si>
  <si>
    <t>-582.584246169906 -153.290659004315 305.53544556642</t>
  </si>
  <si>
    <t>-595.085480871896 -144.605620492577 753.142567954853</t>
  </si>
  <si>
    <t>-457.884930872588 -177.232335951574 825.245305177256</t>
  </si>
  <si>
    <t>9763-20170724T104524.051710600.bin</t>
  </si>
  <si>
    <t>-716.618680811842 78.4136880022595 -530.182083718278</t>
  </si>
  <si>
    <t>-658.397854260848 114.196538912353 -243.963317757511</t>
  </si>
  <si>
    <t>-431.350237985723 194.701368138783 -248.34623438147</t>
  </si>
  <si>
    <t>-676.114144905901 15.765137005824 -103.118120322315</t>
  </si>
  <si>
    <t>-682.056461309633 51.9546811524183 298.764563906534</t>
  </si>
  <si>
    <t>-712.20402095053 94.5339777572933 743.576994753804</t>
  </si>
  <si>
    <t>-568.679764708488 121.073279440895 805.089196731464</t>
  </si>
  <si>
    <t>-582.439320575267 -153.310035642566 305.527983276079</t>
  </si>
  <si>
    <t>-595.064073232674 -144.564256432379 753.144796291167</t>
  </si>
  <si>
    <t>-457.845075640176 -177.140881333797 825.235147053707</t>
  </si>
  <si>
    <t>9763-20170724T104524.085303700.bin</t>
  </si>
  <si>
    <t>-716.914332455724 78.1697333055718 -530.214425545478</t>
  </si>
  <si>
    <t>-660.012539092045 113.46469761323 -243.670082167821</t>
  </si>
  <si>
    <t>-431.923691182854 191.057322458367 -246.065833750405</t>
  </si>
  <si>
    <t>-676.192695984927 15.5894308010154 -103.121410484526</t>
  </si>
  <si>
    <t>-682.110591553541 51.8669942967804 298.753628789176</t>
  </si>
  <si>
    <t>-712.22714815672 94.5483337192516 743.562454677754</t>
  </si>
  <si>
    <t>-568.698272464634 121.056717065721 805.077315650442</t>
  </si>
  <si>
    <t>-582.321157194218 -153.35694586921 305.52524389905</t>
  </si>
  <si>
    <t>-595.052650035615 -144.656714537035 753.145753156688</t>
  </si>
  <si>
    <t>-457.786123462925 -177.051495903656 825.227293042324</t>
  </si>
  <si>
    <t>9763-20170724T104524.153480500.bin</t>
  </si>
  <si>
    <t>-717.657117275649 77.394876572047 -530.350505135545</t>
  </si>
  <si>
    <t>-664.386666693517 111.778281900615 -242.998341842962</t>
  </si>
  <si>
    <t>-433.749480924892 181.3761814657 -239.326628853675</t>
  </si>
  <si>
    <t>-676.252725840363 15.1907445416 -103.109763352753</t>
  </si>
  <si>
    <t>-682.177534406511 51.587119590971 298.754430888324</t>
  </si>
  <si>
    <t>-712.191674852497 94.451179353618 743.542548836737</t>
  </si>
  <si>
    <t>-568.706990644458 121.191039136292 805.060255990331</t>
  </si>
  <si>
    <t>-582.193857472861 -153.485464402306 305.511226311666</t>
  </si>
  <si>
    <t>-595.046696737896 -144.493511710129 753.151671483402</t>
  </si>
  <si>
    <t>-457.799634923087 -177.018474165302 825.211795205455</t>
  </si>
  <si>
    <t>9763-20170724T104524.184107400.bin</t>
  </si>
  <si>
    <t>-717.900149290579 76.9747380385188 -530.448928216908</t>
  </si>
  <si>
    <t>-666.856348458469 111.109471689309 -242.663329340974</t>
  </si>
  <si>
    <t>-434.763694777035 175.294569503928 -234.654154900267</t>
  </si>
  <si>
    <t>-676.291793851733 15.0494268208581 -103.105253795004</t>
  </si>
  <si>
    <t>-682.224055304941 51.4644613955277 298.757218083744</t>
  </si>
  <si>
    <t>-712.173752698138 94.3953531869383 743.535878199406</t>
  </si>
  <si>
    <t>-568.707383905142 121.218395775076 805.059945530413</t>
  </si>
  <si>
    <t>-582.145281668031 -153.535013577047 305.521979223941</t>
  </si>
  <si>
    <t>-595.026619981065 -144.585946357881 753.150255956074</t>
  </si>
  <si>
    <t>-457.768144298258 -177.068933431876 825.207636962881</t>
  </si>
  <si>
    <t>9763-20170724T104524.252295100.bin</t>
  </si>
  <si>
    <t>-717.835282535258 76.3352189768232 -530.636448575717</t>
  </si>
  <si>
    <t>-669.728096944977 108.950551385147 -242.169516066701</t>
  </si>
  <si>
    <t>-435.700916752029 163.431734188402 -224.450773362238</t>
  </si>
  <si>
    <t>-676.278895375849 14.7531233359875 -103.110933555915</t>
  </si>
  <si>
    <t>-682.236399862265 51.3545637916429 298.734185508233</t>
  </si>
  <si>
    <t>-712.212384243043 94.4236095110521 743.513782041281</t>
  </si>
  <si>
    <t>-568.738419706033 121.18228831825 805.048318807028</t>
  </si>
  <si>
    <t>-582.054981590541 -153.703931000781 305.547261613097</t>
  </si>
  <si>
    <t>-594.991778521133 -144.562906643729 753.157410556052</t>
  </si>
  <si>
    <t>-457.721905219072 -177.011209749157 825.208615434348</t>
  </si>
  <si>
    <t>9763-20170724T104524.284886500.bin</t>
  </si>
  <si>
    <t>-717.686319966479 76.1389926552808 -530.680115509886</t>
  </si>
  <si>
    <t>-670.252366449864 107.809191770166 -241.996509640052</t>
  </si>
  <si>
    <t>-435.850465213201 159.422787654689 -220.957519918023</t>
  </si>
  <si>
    <t>-676.312460259481 14.6036400797157 -103.140627676855</t>
  </si>
  <si>
    <t>-682.248639896108 51.2944952381577 298.696615096991</t>
  </si>
  <si>
    <t>-712.219676471913 94.4068348070191 743.487154141008</t>
  </si>
  <si>
    <t>-568.762519285308 121.244593559254 805.026277285627</t>
  </si>
  <si>
    <t>-582.03590757646 -153.702162629133 305.566223116487</t>
  </si>
  <si>
    <t>-594.982628414443 -144.411012835034 753.157918741052</t>
  </si>
  <si>
    <t>-457.763460786145 -177.071217786224 825.210125425115</t>
  </si>
  <si>
    <t>9763-20170724T104524.351065000.bin</t>
  </si>
  <si>
    <t>-717.409457411134 75.626633058605 -530.913702488024</t>
  </si>
  <si>
    <t>-670.64764712872 106.458496253403 -242.029874934677</t>
  </si>
  <si>
    <t>-435.543668098608 153.933808488731 -219.159260565889</t>
  </si>
  <si>
    <t>-676.536186073785 14.1898275175176 -103.215932288505</t>
  </si>
  <si>
    <t>-682.401496315035 51.0062371467027 298.610881824853</t>
  </si>
  <si>
    <t>-712.234725309802 94.3585431180579 743.40572988541</t>
  </si>
  <si>
    <t>-568.799860532305 121.287884084944 804.956901094312</t>
  </si>
  <si>
    <t>-582.199861845451 -154.052088207897 305.599249348748</t>
  </si>
  <si>
    <t>-594.964354679616 -144.369681081615 753.180890715652</t>
  </si>
  <si>
    <t>-457.696344426753 -176.865970973664 825.214063806297</t>
  </si>
  <si>
    <t>9763-20170724T104524.382152400.bin</t>
  </si>
  <si>
    <t>-717.358309060215 75.144841053896 -531.157864942645</t>
  </si>
  <si>
    <t>-670.739014971315 106.257885887307 -242.281053393199</t>
  </si>
  <si>
    <t>-435.514404206189 153.247228760474 -219.647763835317</t>
  </si>
  <si>
    <t>-676.595672373754 13.8692365845648 -103.250440208727</t>
  </si>
  <si>
    <t>-682.49896228297 50.8445010603984 298.561299442195</t>
  </si>
  <si>
    <t>-712.268809343979 94.3735327150782 743.354719580244</t>
  </si>
  <si>
    <t>-568.836050350888 121.300012483837 804.911986731973</t>
  </si>
  <si>
    <t>-582.225316753569 -154.365498629169 305.615853802945</t>
  </si>
  <si>
    <t>-594.950118185741 -144.590125561773 753.20122307384</t>
  </si>
  <si>
    <t>-457.637136849935 -176.926633304172 825.220569991676</t>
  </si>
  <si>
    <t>9763-20170724T104524.449331000.bin</t>
  </si>
  <si>
    <t>-717.19700008315 73.6467291205806 -531.781209365678</t>
  </si>
  <si>
    <t>-671.363242395637 106.299690253344 -242.948630525596</t>
  </si>
  <si>
    <t>-436.035006194088 152.84895472811 -220.483670756651</t>
  </si>
  <si>
    <t>-676.628595114149 13.1225264362665 -103.285003945458</t>
  </si>
  <si>
    <t>-682.521514428874 50.4409677819115 298.495147749648</t>
  </si>
  <si>
    <t>-712.278900565946 94.299977729886 743.243575352458</t>
  </si>
  <si>
    <t>-568.864600060847 121.288389960788 804.816851854013</t>
  </si>
  <si>
    <t>-582.34316389692 -154.854605615668 305.677729789969</t>
  </si>
  <si>
    <t>-594.94182984309 -144.583044099473 753.246288338825</t>
  </si>
  <si>
    <t>-457.649679174962 -177.065203349655 825.239929059328</t>
  </si>
  <si>
    <t>9763-20170724T104524.483432600.bin</t>
  </si>
  <si>
    <t>-717.147687466795 72.7888580719764 -532.081982400358</t>
  </si>
  <si>
    <t>-672.109753921162 106.288944563674 -243.2212605319</t>
  </si>
  <si>
    <t>-436.723579883919 152.609502680669 -220.891784186502</t>
  </si>
  <si>
    <t>-676.505005513668 12.697400955097 -103.309672782728</t>
  </si>
  <si>
    <t>-682.386947012397 50.2244833526479 298.451134370165</t>
  </si>
  <si>
    <t>-712.283958054738 94.253530787714 743.179839751533</t>
  </si>
  <si>
    <t>-568.882353370953 121.304277068311 804.755325601642</t>
  </si>
  <si>
    <t>-582.406738624953 -155.045648162188 305.7242017143</t>
  </si>
  <si>
    <t>-594.930826563771 -144.53545473521 753.267444882145</t>
  </si>
  <si>
    <t>-457.720226252526 -177.35098921675 825.26533454495</t>
  </si>
  <si>
    <t>9763-20170724T104524.551621400.bin</t>
  </si>
  <si>
    <t>-717.777533484219 70.9990634045344 -532.652111931954</t>
  </si>
  <si>
    <t>-674.664703704735 105.789799002151 -243.650309598943</t>
  </si>
  <si>
    <t>-438.827575751447 150.446375817339 -222.733186218055</t>
  </si>
  <si>
    <t>-676.353368647674 12.0765741306802 -103.373918470707</t>
  </si>
  <si>
    <t>-682.128466377096 49.8334563918911 298.366976703867</t>
  </si>
  <si>
    <t>-712.303576840909 94.1852643297741 743.05333651072</t>
  </si>
  <si>
    <t>-568.918314922743 121.335580202945 804.622884907889</t>
  </si>
  <si>
    <t>-582.440733107261 -155.39145056056 305.757717782129</t>
  </si>
  <si>
    <t>-594.897767665954 -144.446180091973 753.284636765914</t>
  </si>
  <si>
    <t>-457.736106616415 -177.457149196111 825.286468401132</t>
  </si>
  <si>
    <t>9763-20170724T104524.588728000.bin</t>
  </si>
  <si>
    <t>-718.180025318405 70.2900936738783 -532.878664779972</t>
  </si>
  <si>
    <t>-676.096145829185 105.129682155894 -243.731038305845</t>
  </si>
  <si>
    <t>-439.97318191907 148.89191105403 -224.194324041639</t>
  </si>
  <si>
    <t>-676.351484511314 11.8451913121712 -103.404501364872</t>
  </si>
  <si>
    <t>-682.119105638199 49.6860080683334 298.328585380248</t>
  </si>
  <si>
    <t>-712.289676994176 94.1017228950775 742.995273477171</t>
  </si>
  <si>
    <t>-568.91220063593 121.298053463442 804.562775516379</t>
  </si>
  <si>
    <t>-582.497211051826 -155.52031394994 305.751596434669</t>
  </si>
  <si>
    <t>-594.895779480007 -144.355930968055 753.28592263972</t>
  </si>
  <si>
    <t>-457.73709126886 -177.39419407387 825.280750683865</t>
  </si>
  <si>
    <t>9763-20170724T104524.648892900.bin</t>
  </si>
  <si>
    <t>-719.05732553553 69.1706789011773 -533.115994211109</t>
  </si>
  <si>
    <t>-678.018705751105 102.76413064124 -243.670866976118</t>
  </si>
  <si>
    <t>-441.672869173548 146.629474676449 -227.319335118788</t>
  </si>
  <si>
    <t>-676.545380238327 11.3127341005097 -103.440381229608</t>
  </si>
  <si>
    <t>-682.239478095895 49.349227267217 298.275279591519</t>
  </si>
  <si>
    <t>-712.283229954081 94.0295279727263 742.897095540655</t>
  </si>
  <si>
    <t>-568.922651459015 121.270029637504 804.484544517981</t>
  </si>
  <si>
    <t>-582.608781951853 -155.847514625864 305.733792667581</t>
  </si>
  <si>
    <t>-594.868261826223 -144.565752040954 753.286822590469</t>
  </si>
  <si>
    <t>-457.599451272599 -177.210023560302 825.251522027181</t>
  </si>
  <si>
    <t>9763-20170724T104524.685733700.bin</t>
  </si>
  <si>
    <t>-719.383187653291 68.7000835113308 -533.223120261771</t>
  </si>
  <si>
    <t>-678.464566999823 102.513802157305 -243.786630211628</t>
  </si>
  <si>
    <t>-442.050674054879 146.339581876472 -228.339307143687</t>
  </si>
  <si>
    <t>-676.646220483996 11.0000516280359 -103.458120196221</t>
  </si>
  <si>
    <t>-682.303621488419 49.181231081988 298.244356824877</t>
  </si>
  <si>
    <t>-712.265123239088 93.9741590034175 742.860075820413</t>
  </si>
  <si>
    <t>-568.924750620867 121.297968054275 804.457449245123</t>
  </si>
  <si>
    <t>-582.640065464648 -155.972343490468 305.717345613892</t>
  </si>
  <si>
    <t>-594.860535932614 -144.56719216246 753.281402722202</t>
  </si>
  <si>
    <t>-457.568688475131 -177.143771587721 825.232848828115</t>
  </si>
  <si>
    <t>9763-20170724T104524.749905100.bin</t>
  </si>
  <si>
    <t>-720.165808617052 67.6463095114782 -533.582654369499</t>
  </si>
  <si>
    <t>-679.833336656155 103.018423554256 -244.250108781219</t>
  </si>
  <si>
    <t>-443.347559136824 146.648664335052 -229.358769716708</t>
  </si>
  <si>
    <t>-676.99019419598 10.4072109602 -103.442013751227</t>
  </si>
  <si>
    <t>-682.611448462776 48.8161775715441 298.239222049224</t>
  </si>
  <si>
    <t>-712.299305749783 93.9822158665324 742.829627180496</t>
  </si>
  <si>
    <t>-568.953182341033 121.22816608301 804.448291349518</t>
  </si>
  <si>
    <t>-582.713429449256 -156.397827011105 305.678063679779</t>
  </si>
  <si>
    <t>-594.853603910553 -144.770844062025 753.284108467062</t>
  </si>
  <si>
    <t>-457.358552092897 -176.620677719002 825.172794481565</t>
  </si>
  <si>
    <t>9763-20170724T104524.784007400.bin</t>
  </si>
  <si>
    <t>-720.448914136755 67.0719220989495 -533.788807018536</t>
  </si>
  <si>
    <t>-680.662999039816 103.026502617597 -244.452360119766</t>
  </si>
  <si>
    <t>-444.123950812231 146.3784041542 -229.594696836845</t>
  </si>
  <si>
    <t>-677.112115359628 10.0962028988006 -103.398882753586</t>
  </si>
  <si>
    <t>-682.824791873055 48.6334271024871 298.268793316713</t>
  </si>
  <si>
    <t>-712.307723659905 93.950751839325 742.849543509585</t>
  </si>
  <si>
    <t>-568.984960076854 121.327956541291 804.464048090352</t>
  </si>
  <si>
    <t>-582.759546578692 -156.588657576836 305.665578914015</t>
  </si>
  <si>
    <t>-594.845969332035 -144.91152822001 753.28041868921</t>
  </si>
  <si>
    <t>-457.290587393032 -176.540285153121 825.151502521588</t>
  </si>
  <si>
    <t>9763-20170724T104524.850178500.bin</t>
  </si>
  <si>
    <t>-720.617656206666 66.3197257571496 -534.138422325744</t>
  </si>
  <si>
    <t>-682.223579124461 103.151735539105 -244.72442250314</t>
  </si>
  <si>
    <t>-445.484662860549 145.695533092483 -230.740195449024</t>
  </si>
  <si>
    <t>-677.36878544718 9.81173479257336 -103.322917530391</t>
  </si>
  <si>
    <t>-683.207119693754 48.4353162865809 298.334578682399</t>
  </si>
  <si>
    <t>-712.342908420349 93.9259126085544 742.904337228879</t>
  </si>
  <si>
    <t>-569.031291428877 121.371853930268 804.514525484754</t>
  </si>
  <si>
    <t>-583.068221871375 -156.801181823774 305.65937709966</t>
  </si>
  <si>
    <t>-594.819111412546 -144.929600526477 753.268841087946</t>
  </si>
  <si>
    <t>-457.243245978379 -176.495711265536 825.128105805102</t>
  </si>
  <si>
    <t>9763-20170724T104524.883272400.bin</t>
  </si>
  <si>
    <t>-720.577364784562 66.0710299294849 -534.304934797571</t>
  </si>
  <si>
    <t>-682.660947865847 102.925424331549 -244.830683404126</t>
  </si>
  <si>
    <t>-445.838859181622 145.130548448151 -231.233174173585</t>
  </si>
  <si>
    <t>-677.470268850909 9.78042322846204 -103.288183955678</t>
  </si>
  <si>
    <t>-683.356812824322 48.385634486486 298.370406742654</t>
  </si>
  <si>
    <t>-712.349624730953 93.8936338359283 742.936867375869</t>
  </si>
  <si>
    <t>-569.060630401675 121.473665397608 804.539639620655</t>
  </si>
  <si>
    <t>-583.174205417125 -156.78434269684 305.660347905255</t>
  </si>
  <si>
    <t>-594.802775839324 -144.882167506023 753.265798890338</t>
  </si>
  <si>
    <t>-457.277500719794 -176.653947027272 825.131201190935</t>
  </si>
  <si>
    <t>9763-20170724T104524.950454100.bin</t>
  </si>
  <si>
    <t>-720.481867153339 65.6637758190541 -534.587654734295</t>
  </si>
  <si>
    <t>-682.951938227798 102.353860289131 -245.042127614073</t>
  </si>
  <si>
    <t>-445.958005042575 143.913525131068 -232.491244271246</t>
  </si>
  <si>
    <t>-677.789465732543 9.89546479964952 -103.248071742536</t>
  </si>
  <si>
    <t>-683.670925328277 48.4938821974608 298.41124023511</t>
  </si>
  <si>
    <t>-712.397695830465 93.9067250864618 742.989749780419</t>
  </si>
  <si>
    <t>-569.054339773012 121.198057057514 804.594592847884</t>
  </si>
  <si>
    <t>-583.293483013647 -156.580781184011 305.648427888952</t>
  </si>
  <si>
    <t>-594.763398361827 -144.648532890633 753.246371473654</t>
  </si>
  <si>
    <t>-457.275944824301 -176.545214072471 825.128977319155</t>
  </si>
  <si>
    <t>9763-20170724T104524.997593700.bin</t>
  </si>
  <si>
    <t>-720.506191418116 65.4127284162842 -534.701146785711</t>
  </si>
  <si>
    <t>-683.063680393296 102.177641563508 -245.153903075817</t>
  </si>
  <si>
    <t>-445.958331601433 143.263793310062 -233.159097238172</t>
  </si>
  <si>
    <t>-677.923660259218 9.96852430447939 -103.259155939506</t>
  </si>
  <si>
    <t>-683.799952523892 48.6142423180791 298.3957051468</t>
  </si>
  <si>
    <t>-712.461976103561 93.9953728336864 743.004539362387</t>
  </si>
  <si>
    <t>-569.087200319203 121.124504786064 804.607929684958</t>
  </si>
  <si>
    <t>-583.383765894841 -156.514286831714 305.644400080043</t>
  </si>
  <si>
    <t>-594.735242140071 -144.686558639867 753.241222490855</t>
  </si>
  <si>
    <t>-457.287038360721 -176.72158085256 825.137330164707</t>
  </si>
  <si>
    <t>9763-20170724T104525.054243400.bin</t>
  </si>
  <si>
    <t>-720.80232992282 64.7319586571646 -534.863682857294</t>
  </si>
  <si>
    <t>-683.484659870728 101.529785047824 -245.304572060382</t>
  </si>
  <si>
    <t>-446.154912190318 141.705725586314 -234.749953709041</t>
  </si>
  <si>
    <t>-678.091784450936 10.0330021077655 -103.282162797903</t>
  </si>
  <si>
    <t>-683.816143527044 48.5658100022142 298.38578493964</t>
  </si>
  <si>
    <t>-712.442510702153 93.8725426183175 743.020312949779</t>
  </si>
  <si>
    <t>-569.116924435606 121.29048374557 804.61036110445</t>
  </si>
  <si>
    <t>-583.491015335057 -156.458932057881 305.655959896122</t>
  </si>
  <si>
    <t>-594.689897089418 -144.767588741769 753.243403045431</t>
  </si>
  <si>
    <t>-457.168647274588 -176.479943613167 825.142694941557</t>
  </si>
  <si>
    <t>9763-20170724T104525.080450600.bin</t>
  </si>
  <si>
    <t>-721.143517140953 64.55250196009 -534.846524727776</t>
  </si>
  <si>
    <t>-683.731243016012 101.280333140573 -245.290721430395</t>
  </si>
  <si>
    <t>-446.34992682482 141.351419209135 -235.528789727841</t>
  </si>
  <si>
    <t>-678.161525041434 10.140277898048 -103.298106097063</t>
  </si>
  <si>
    <t>-683.792130345292 48.6357987893784 298.374745688218</t>
  </si>
  <si>
    <t>-712.499151370916 93.9475108826709 743.01638417821</t>
  </si>
  <si>
    <t>-569.120955006807 121.083630001259 804.608728644947</t>
  </si>
  <si>
    <t>-583.518031739795 -156.292594403089 305.655225779616</t>
  </si>
  <si>
    <t>-594.676488464359 -144.6370127213 753.239525412625</t>
  </si>
  <si>
    <t>-457.240501792175 -176.679364338288 825.155717258876</t>
  </si>
  <si>
    <t>9763-20170724T104525.153647600.bin</t>
  </si>
  <si>
    <t>-721.946951684328 63.9418382265612 -534.791813691986</t>
  </si>
  <si>
    <t>-684.163367365377 100.685549409895 -245.286149088187</t>
  </si>
  <si>
    <t>-446.711371453614 140.619247510415 -236.757729415616</t>
  </si>
  <si>
    <t>-678.180202618622 10.0506430261282 -103.340899934018</t>
  </si>
  <si>
    <t>-683.563129519758 48.511911772295 298.338550900984</t>
  </si>
  <si>
    <t>-712.482519360834 93.8385203453493 742.982878451563</t>
  </si>
  <si>
    <t>-569.139797149851 121.169520910907 804.571689714283</t>
  </si>
  <si>
    <t>-583.498941831599 -156.329016020785 305.673225221591</t>
  </si>
  <si>
    <t>-594.639816782111 -144.779155858253 753.247952916244</t>
  </si>
  <si>
    <t>-457.09909711224 -176.389948223564 825.154879064191</t>
  </si>
  <si>
    <t>9763-20170724T104525.185266800.bin</t>
  </si>
  <si>
    <t>-722.371431782367 63.5128725015602 -534.797543319153</t>
  </si>
  <si>
    <t>-684.437530722192 100.320987525316 -245.319718554221</t>
  </si>
  <si>
    <t>-446.954792052899 140.176174296328 -237.293965031003</t>
  </si>
  <si>
    <t>-678.224820551632 9.97632222841708 -103.366972197413</t>
  </si>
  <si>
    <t>-683.43670634618 48.4293513276823 298.315622409807</t>
  </si>
  <si>
    <t>-712.509928620073 93.8528519831118 742.959309735306</t>
  </si>
  <si>
    <t>-569.16101619756 121.148590512663 804.549189336706</t>
  </si>
  <si>
    <t>-583.532780972698 -156.409688996173 305.674605423659</t>
  </si>
  <si>
    <t>-594.624126306692 -144.954050608497 753.254560748868</t>
  </si>
  <si>
    <t>-456.994362417829 -176.195640644217 825.152348229374</t>
  </si>
  <si>
    <t>9763-20170724T104525.250440700.bin</t>
  </si>
  <si>
    <t>-723.060154212036 62.9009959226985 -534.832582174386</t>
  </si>
  <si>
    <t>-684.833134967422 99.7677070943932 -245.400885233709</t>
  </si>
  <si>
    <t>-447.301763577046 139.501898928411 -238.263356142014</t>
  </si>
  <si>
    <t>-678.390346865369 9.88843077400816 -103.425081589624</t>
  </si>
  <si>
    <t>-683.399292907067 48.3750318195207 298.256872013109</t>
  </si>
  <si>
    <t>-712.569689704128 93.9016326152259 742.897390704521</t>
  </si>
  <si>
    <t>-569.181720238892 120.993158165193 804.486614504991</t>
  </si>
  <si>
    <t>-583.80392033616 -156.355440611742 305.676035418757</t>
  </si>
  <si>
    <t>-594.603582042655 -144.865427445963 753.251068488554</t>
  </si>
  <si>
    <t>-457.044904628074 -176.373326965851 825.16885459503</t>
  </si>
  <si>
    <t>9763-20170724T104525.286562800.bin</t>
  </si>
  <si>
    <t>-723.333135414364 62.7200163503073 -534.859556111785</t>
  </si>
  <si>
    <t>-685.031203747435 99.4695550942552 -245.422851294116</t>
  </si>
  <si>
    <t>-447.491229129596 139.224620990642 -238.703258879092</t>
  </si>
  <si>
    <t>-678.494861493142 9.78544155290956 -103.455447561724</t>
  </si>
  <si>
    <t>-683.456926118997 48.3368545471765 298.220842062206</t>
  </si>
  <si>
    <t>-712.528349474845 93.7974755705548 742.865583964384</t>
  </si>
  <si>
    <t>-569.17898923177 121.105021687154 804.449367517997</t>
  </si>
  <si>
    <t>-583.956800924442 -156.380555145988 305.683456720688</t>
  </si>
  <si>
    <t>-594.60603397524 -144.715518085152 753.256352680823</t>
  </si>
  <si>
    <t>-457.08906707163 -176.401213361708 825.175793937879</t>
  </si>
  <si>
    <t>9763-20170724T104525.350733200.bin</t>
  </si>
  <si>
    <t>-724.023554322595 62.3030017597944 -534.839668293497</t>
  </si>
  <si>
    <t>-685.883928830817 98.2946935828886 -245.286178061196</t>
  </si>
  <si>
    <t>-448.364184448474 138.091451670489 -238.112016095236</t>
  </si>
  <si>
    <t>-678.859960347602 9.54827301636647 -103.507459914373</t>
  </si>
  <si>
    <t>-683.725456481816 48.2553321356586 298.155057919006</t>
  </si>
  <si>
    <t>-712.551625927674 93.8172226711777 742.802900298323</t>
  </si>
  <si>
    <t>-569.168648597944 120.960589489314 804.380987394449</t>
  </si>
  <si>
    <t>-584.371419259293 -156.583535735646 305.694163764652</t>
  </si>
  <si>
    <t>-594.598460447786 -144.816220975391 753.269023457185</t>
  </si>
  <si>
    <t>-457.026180290894 -176.288054993412 825.176484950919</t>
  </si>
  <si>
    <t>9763-20170724T104525.385331300.bin</t>
  </si>
  <si>
    <t>-724.322945744508 62.0738741190985 -534.86307781782</t>
  </si>
  <si>
    <t>-686.583960878478 97.7832096998773 -245.222350900327</t>
  </si>
  <si>
    <t>-449.016033405277 137.197678349203 -237.550349232411</t>
  </si>
  <si>
    <t>-679.027753161211 9.41917978580113 -103.530029196344</t>
  </si>
  <si>
    <t>-683.851104081207 48.2384073145302 298.122107551789</t>
  </si>
  <si>
    <t>-712.57739643641 93.8572759816284 742.778646397259</t>
  </si>
  <si>
    <t>-569.180794894772 120.942712189102 804.350611863614</t>
  </si>
  <si>
    <t>-584.584054612806 -156.601722485468 305.697211594045</t>
  </si>
  <si>
    <t>-594.599720929384 -144.78472435163 753.274881109374</t>
  </si>
  <si>
    <t>-457.103920867334 -176.574831490004 825.188687869584</t>
  </si>
  <si>
    <t>9763-20170724T104525.458025500.bin</t>
  </si>
  <si>
    <t>-724.766340450245 61.2367012119171 -535.01640588427</t>
  </si>
  <si>
    <t>-688.83203711131 95.9722813090532 -245.027868443602</t>
  </si>
  <si>
    <t>-451.334029382344 135.508708226667 -235.948018657797</t>
  </si>
  <si>
    <t>-679.229738572948 8.98102201936763 -103.561575024756</t>
  </si>
  <si>
    <t>-683.803281245749 48.0420248488504 298.070065839498</t>
  </si>
  <si>
    <t>-712.563000782094 93.8095176858085 742.711170357732</t>
  </si>
  <si>
    <t>-569.16050878839 120.856570464031 804.286135009073</t>
  </si>
  <si>
    <t>-584.862829040258 -156.882166333365 305.712638196023</t>
  </si>
  <si>
    <t>-594.598534081848 -144.804810339945 753.290556808218</t>
  </si>
  <si>
    <t>-457.059397276967 -176.434388482739 825.192319261953</t>
  </si>
  <si>
    <t>9763-20170724T104525.483189300.bin</t>
  </si>
  <si>
    <t>-725.092105028947 60.675025951555 -535.044337752394</t>
  </si>
  <si>
    <t>-689.920017429724 94.5355183492015 -244.858864949029</t>
  </si>
  <si>
    <t>-452.657776738899 135.314316107107 -235.1331414966</t>
  </si>
  <si>
    <t>-679.281491270961 8.59467485398659 -103.563103001276</t>
  </si>
  <si>
    <t>-683.68255236248 47.8093167503343 298.055522459443</t>
  </si>
  <si>
    <t>-712.553837460423 93.7912754729728 742.677214594207</t>
  </si>
  <si>
    <t>-569.160235457913 120.891672596097 804.249385458594</t>
  </si>
  <si>
    <t>-584.904615349105 -157.186879375021 305.725446828218</t>
  </si>
  <si>
    <t>-594.5957527175 -145.039901401957 753.307599741533</t>
  </si>
  <si>
    <t>-456.937988537529 -176.202379104267 825.186124331284</t>
  </si>
  <si>
    <t>9763-20170724T104525.552373100.bin</t>
  </si>
  <si>
    <t>-725.769302858888 59.5008052114954 -535.029274714764</t>
  </si>
  <si>
    <t>-690.713762743471 92.8656268598552 -244.772403152527</t>
  </si>
  <si>
    <t>-454.057615256092 137.100441683167 -235.390886970621</t>
  </si>
  <si>
    <t>-679.462761179318 7.81416630463082 -103.565450167981</t>
  </si>
  <si>
    <t>-683.41682008929 47.3823243416966 298.023122213917</t>
  </si>
  <si>
    <t>-712.579589376251 93.8347351541106 742.584226347752</t>
  </si>
  <si>
    <t>-569.185444098598 120.929052776102 804.15787827187</t>
  </si>
  <si>
    <t>-585.004525669376 -157.615858041359 305.763296675137</t>
  </si>
  <si>
    <t>-594.606483458472 -145.012562037745 753.328146809931</t>
  </si>
  <si>
    <t>-456.899014493611 -175.998556905953 825.187816324884</t>
  </si>
  <si>
    <t>9763-20170724T104525.584465900.bin</t>
  </si>
  <si>
    <t>-726.054517460645 58.9335608945478 -535.093309176961</t>
  </si>
  <si>
    <t>-690.466340588904 92.4297086549893 -244.916291274373</t>
  </si>
  <si>
    <t>-454.253152396319 139.037913600269 -235.867539121193</t>
  </si>
  <si>
    <t>-679.606940444581 7.38610596121862 -103.57018327103</t>
  </si>
  <si>
    <t>-683.381746974655 47.1575936104887 298.000014265872</t>
  </si>
  <si>
    <t>-712.594212997965 93.8461195866726 742.545162898982</t>
  </si>
  <si>
    <t>-569.195693422987 120.931527099655 804.11253752395</t>
  </si>
  <si>
    <t>-585.053844691042 -157.795377516853 305.787974006807</t>
  </si>
  <si>
    <t>-594.61779291864 -144.941355491091 753.344290859922</t>
  </si>
  <si>
    <t>-456.925566644218 -176.014416097135 825.195570609612</t>
  </si>
  <si>
    <t>9763-20170724T104525.654656800.bin</t>
  </si>
  <si>
    <t>-726.153740983316 57.4119313615843 -535.372321637613</t>
  </si>
  <si>
    <t>-689.499528370917 91.7932421297137 -245.431813854723</t>
  </si>
  <si>
    <t>-454.009162375197 141.982003013285 -236.698495317285</t>
  </si>
  <si>
    <t>-679.672172442895 6.2661703061317 -103.584793381687</t>
  </si>
  <si>
    <t>-683.166954773712 46.6072863363786 297.931168239662</t>
  </si>
  <si>
    <t>-712.557773678991 93.7512597269385 742.422611478771</t>
  </si>
  <si>
    <t>-569.183024881538 120.986814554417 803.979159874884</t>
  </si>
  <si>
    <t>-585.288787912963 -158.310537824341 305.86105324164</t>
  </si>
  <si>
    <t>-594.631713457981 -144.983953992299 753.393399126601</t>
  </si>
  <si>
    <t>-457.000058998511 -176.360256617194 825.229112893452</t>
  </si>
  <si>
    <t>9763-20170724T104525.686752400.bin</t>
  </si>
  <si>
    <t>-726.146496257929 56.5866280197492 -535.501366142956</t>
  </si>
  <si>
    <t>-688.849135642159 91.1197826319317 -245.660835809319</t>
  </si>
  <si>
    <t>-453.560120217694 142.430045635423 -238.096362819756</t>
  </si>
  <si>
    <t>-679.627637197368 5.62911246700537 -103.582038232325</t>
  </si>
  <si>
    <t>-683.071211749607 46.2983267123725 297.901215493403</t>
  </si>
  <si>
    <t>-712.549714817811 93.7083695190458 742.354611843298</t>
  </si>
  <si>
    <t>-569.187790581912 121.019787055545 803.907293671242</t>
  </si>
  <si>
    <t>-585.391631639372 -158.756590821996 305.904981653886</t>
  </si>
  <si>
    <t>-594.628716308455 -145.075926221119 753.417219163251</t>
  </si>
  <si>
    <t>-456.913305985632 -176.124806644391 825.234520052593</t>
  </si>
  <si>
    <t>9763-20170724T104525.750918500.bin</t>
  </si>
  <si>
    <t>-726.187211720239 54.9882583018243 -535.792156833118</t>
  </si>
  <si>
    <t>-687.791396346449 89.9183478284776 -246.142651245575</t>
  </si>
  <si>
    <t>-452.551313063622 141.585535102574 -239.547724925035</t>
  </si>
  <si>
    <t>-679.507046218154 4.56719270446661 -103.62392346823</t>
  </si>
  <si>
    <t>-682.862031871798 45.7438582432371 297.808353109003</t>
  </si>
  <si>
    <t>-712.527004369669 93.6401557622364 742.183735004422</t>
  </si>
  <si>
    <t>-569.190098481671 121.062062497004 803.745513691367</t>
  </si>
  <si>
    <t>-585.529545673974 -159.438250903613 305.975680546326</t>
  </si>
  <si>
    <t>-594.628634435955 -145.10823492985 753.46092116139</t>
  </si>
  <si>
    <t>-456.930078094071 -176.242591603916 825.273578219496</t>
  </si>
  <si>
    <t>9763-20170724T104525.783558200.bin</t>
  </si>
  <si>
    <t>-726.137326914753 54.0982411072807 -535.898630147365</t>
  </si>
  <si>
    <t>-687.521779199909 88.8207792893552 -246.253446302455</t>
  </si>
  <si>
    <t>-452.37409799938 140.939593689649 -239.922530329286</t>
  </si>
  <si>
    <t>-679.478030289289 3.98305230316987 -103.645926464647</t>
  </si>
  <si>
    <t>-682.670749800538 45.3729569184648 297.765761092612</t>
  </si>
  <si>
    <t>-712.528093295497 93.6171167425191 742.106696997323</t>
  </si>
  <si>
    <t>-569.208459432603 121.120176331294 803.672584789042</t>
  </si>
  <si>
    <t>-585.638493281744 -159.983651517182 306.010395965476</t>
  </si>
  <si>
    <t>-594.620014270794 -145.473824342789 753.494385752777</t>
  </si>
  <si>
    <t>-456.72579594293 -175.816459276031 825.270460367997</t>
  </si>
  <si>
    <t>9763-20170724T104525.853747400.bin</t>
  </si>
  <si>
    <t>-726.150515889788 52.6205606688279 -535.973036343346</t>
  </si>
  <si>
    <t>-687.18602314398 87.1165149327396 -246.347343111167</t>
  </si>
  <si>
    <t>-452.270820677378 140.298068505915 -240.229737417684</t>
  </si>
  <si>
    <t>-679.369640294953 2.71164799808662 -103.678667043669</t>
  </si>
  <si>
    <t>-682.211345055228 44.6384982908239 297.679912035725</t>
  </si>
  <si>
    <t>-712.528897710182 93.5526538106253 741.926668858914</t>
  </si>
  <si>
    <t>-569.214626386648 121.058054465649 803.504007728469</t>
  </si>
  <si>
    <t>-585.931280278617 -160.748076597781 306.111191584494</t>
  </si>
  <si>
    <t>-594.644893235598 -145.483002484231 753.562854417018</t>
  </si>
  <si>
    <t>-456.804462456754 -176.136604310053 825.310130460861</t>
  </si>
  <si>
    <t>9763-20170724T104525.883733900.bin</t>
  </si>
  <si>
    <t>-726.044755823879 51.8536273220027 -536.029118761107</t>
  </si>
  <si>
    <t>-687.210380182774 86.5561468896331 -246.410763774541</t>
  </si>
  <si>
    <t>-452.390983151163 140.168603285341 -240.37302748012</t>
  </si>
  <si>
    <t>-679.326760924158 2.04105088656547 -103.699654769802</t>
  </si>
  <si>
    <t>-682.09063410394 44.2401756018503 297.630986325446</t>
  </si>
  <si>
    <t>-712.53820886991 93.5449451805566 741.816837539422</t>
  </si>
  <si>
    <t>-569.249824708041 121.157031527131 803.406802278284</t>
  </si>
  <si>
    <t>-586.143491125031 -161.303584326294 306.170166267764</t>
  </si>
  <si>
    <t>-594.65678605428 -145.672943895156 753.608868104182</t>
  </si>
  <si>
    <t>-456.684385157303 -175.824043110483 825.31541353398</t>
  </si>
  <si>
    <t>9763-20170724T104525.952918500.bin</t>
  </si>
  <si>
    <t>-726.24742203088 50.5307364378903 -536.086509893022</t>
  </si>
  <si>
    <t>-687.933603042977 85.5461523746208 -246.436344335601</t>
  </si>
  <si>
    <t>-453.272528780879 139.896323344244 -240.860345213442</t>
  </si>
  <si>
    <t>-679.378382749615 0.75470749658075 -103.740917910401</t>
  </si>
  <si>
    <t>-682.222762678634 43.5250061700449 297.528742760486</t>
  </si>
  <si>
    <t>-712.490942891776 93.4138467327909 741.615985625291</t>
  </si>
  <si>
    <t>-569.274493768543 121.350822032283 803.226469465515</t>
  </si>
  <si>
    <t>-586.577028741616 -162.029295482713 306.253919810746</t>
  </si>
  <si>
    <t>-594.687028568694 -145.466985447698 753.671103867856</t>
  </si>
  <si>
    <t>-456.844662700274 -176.251207254411 825.358825900515</t>
  </si>
  <si>
    <t>9763-20170724T104525.985042600.bin</t>
  </si>
  <si>
    <t>-726.514873680525 49.8897764189292 -536.091451604485</t>
  </si>
  <si>
    <t>-688.474492697589 84.870140851524 -246.401063557837</t>
  </si>
  <si>
    <t>-453.828558967776 139.338792887037 -241.366857588999</t>
  </si>
  <si>
    <t>-679.498273688811 0.123875590736588 -103.768001827326</t>
  </si>
  <si>
    <t>-682.420905670783 43.1655293552992 297.471988563101</t>
  </si>
  <si>
    <t>-712.476096656131 93.3866120076136 741.519837694864</t>
  </si>
  <si>
    <t>-569.259944649305 121.287866358242 803.147236403222</t>
  </si>
  <si>
    <t>-586.792835142161 -162.461840800734 306.282527587002</t>
  </si>
  <si>
    <t>-594.689750029745 -145.621471695991 753.693763302247</t>
  </si>
  <si>
    <t>-456.809026253199 -176.279771329334 825.361542514648</t>
  </si>
  <si>
    <t>9763-20170724T104526.051216900.bin</t>
  </si>
  <si>
    <t>-727.226083934116 48.6106008083882 -536.045024966488</t>
  </si>
  <si>
    <t>-689.358860017136 83.4929600683486 -246.32004709204</t>
  </si>
  <si>
    <t>-454.654511063992 137.833718895539 -242.880568257443</t>
  </si>
  <si>
    <t>-682.671323309512 42.456102014165 297.354922235745</t>
  </si>
  <si>
    <t>-712.411323677486 93.263702891026 741.361510252892</t>
  </si>
  <si>
    <t>-569.274499706547 121.538915725161 803.002864345253</t>
  </si>
  <si>
    <t>-587.119455905874 -163.268893061891 306.319018424236</t>
  </si>
  <si>
    <t>-594.690307220062 -145.84481622117 753.738439984032</t>
  </si>
  <si>
    <t>-456.674088507324 -175.997647583934 825.359743320868</t>
  </si>
  <si>
    <t>9763-20170724T104526.082830800.bin</t>
  </si>
  <si>
    <t>-727.64430091617 48.0320673498727 -535.981099975826</t>
  </si>
  <si>
    <t>-689.730956078072 82.7932359103988 -246.247688641046</t>
  </si>
  <si>
    <t>-455.02460335377 137.190541663598 -244.068737101382</t>
  </si>
  <si>
    <t>-682.757848489231 42.2425197281577 297.301213807467</t>
  </si>
  <si>
    <t>-712.42617003471 93.2848390091965 741.287425441875</t>
  </si>
  <si>
    <t>-569.272959821158 121.456779558871 802.938074204865</t>
  </si>
  <si>
    <t>-587.144832496196 -163.516378021238 306.339569998519</t>
  </si>
  <si>
    <t>-594.691405248637 -145.757833970886 753.745961416789</t>
  </si>
  <si>
    <t>-456.724334962927 -176.13131570515 825.368776986984</t>
  </si>
  <si>
    <t>9763-20170724T104526.151012200.bin</t>
  </si>
  <si>
    <t>-728.372380134934 46.5530208203861 -535.915764676615</t>
  </si>
  <si>
    <t>-690.559950158465 81.7379326774685 -246.22032783099</t>
  </si>
  <si>
    <t>-455.724238160131 135.617685145415 -246.414328232656</t>
  </si>
  <si>
    <t>-682.517392468759 41.6189574457067 297.208517655516</t>
  </si>
  <si>
    <t>-712.420040531946 93.2257450487355 741.131857267312</t>
  </si>
  <si>
    <t>-569.313302736646 121.61854811712 802.788982276824</t>
  </si>
  <si>
    <t>-587.050596686364 -164.220043560766 306.384733571222</t>
  </si>
  <si>
    <t>-594.647899046591 -146.11075266527 753.772475894416</t>
  </si>
  <si>
    <t>-456.525738638681 -175.819455831227 825.375250965009</t>
  </si>
  <si>
    <t>9763-20170724T104526.183610600.bin</t>
  </si>
  <si>
    <t>-728.776728989761 45.8614970301001 -535.915421573998</t>
  </si>
  <si>
    <t>-691.050325099219 81.2869357705015 -246.238001019426</t>
  </si>
  <si>
    <t>-456.148639922913 134.85598744281 -247.796128224806</t>
  </si>
  <si>
    <t>-682.317012279708 41.3863496845674 297.154900807683</t>
  </si>
  <si>
    <t>-712.444166850985 93.230798110593 741.047515948733</t>
  </si>
  <si>
    <t>-569.328330367222 121.570632508946 802.707960460639</t>
  </si>
  <si>
    <t>-586.910969342542 -164.340668078293 306.4049141461</t>
  </si>
  <si>
    <t>-594.645935352778 -145.942142482851 753.76945948873</t>
  </si>
  <si>
    <t>-456.586141920734 -175.917468817942 825.381331219361</t>
  </si>
  <si>
    <t>9763-20170724T104526.251791600.bin</t>
  </si>
  <si>
    <t>-729.633372056498 44.294979591305 -535.883411816197</t>
  </si>
  <si>
    <t>-692.129569164538 80.3469494065018 -246.25443872539</t>
  </si>
  <si>
    <t>-457.167477942708 133.504093643211 -250.49492803698</t>
  </si>
  <si>
    <t>-681.558404153059 40.7482589930407 297.062903161945</t>
  </si>
  <si>
    <t>-712.419932530335 93.1144180837111 740.861274886797</t>
  </si>
  <si>
    <t>-569.368311969186 121.771461953823 802.524203254054</t>
  </si>
  <si>
    <t>-586.387101537375 -164.679950094873 306.416761956384</t>
  </si>
  <si>
    <t>-594.62864020442 -145.86672532817 753.767785322733</t>
  </si>
  <si>
    <t>-456.658751732767 -176.238172880263 825.386147782875</t>
  </si>
  <si>
    <t>9763-20170724T104526.287897800.bin</t>
  </si>
  <si>
    <t>-730.105266662184 43.4854779259369 -535.821258520661</t>
  </si>
  <si>
    <t>-692.687292719456 79.7932854615813 -246.213248185016</t>
  </si>
  <si>
    <t>-457.749810952992 132.937174709984 -251.780541014276</t>
  </si>
  <si>
    <t>-681.116332052085 40.4199514603954 297.020526966657</t>
  </si>
  <si>
    <t>-712.406660846716 93.0441000981191 740.765095920554</t>
  </si>
  <si>
    <t>-569.383458582698 121.835488318781 802.431308348685</t>
  </si>
  <si>
    <t>-586.155100817156 -164.903224226317 306.422841843182</t>
  </si>
  <si>
    <t>-594.624069636589 -145.845858120374 753.768070741467</t>
  </si>
  <si>
    <t>-456.63960825963 -176.159165705798 825.382901035548</t>
  </si>
  <si>
    <t>9763-20170724T104526.350063600.bin</t>
  </si>
  <si>
    <t>-730.946674018956 42.2319386290121 -535.682082609506</t>
  </si>
  <si>
    <t>-693.913053483678 79.1152111201725 -246.097293896885</t>
  </si>
  <si>
    <t>-458.946690572587 131.8931706929 -253.593356304374</t>
  </si>
  <si>
    <t>-680.481621123352 39.8711447296539 296.934100050122</t>
  </si>
  <si>
    <t>-712.390319014328 92.9344572388798 740.564037162236</t>
  </si>
  <si>
    <t>-569.410520619064 121.918899202638 802.240478016045</t>
  </si>
  <si>
    <t>-585.763315433469 -165.315663129693 306.463083470443</t>
  </si>
  <si>
    <t>-594.602446890842 -145.801689064652 753.767863461662</t>
  </si>
  <si>
    <t>-456.572814530609 -175.934504618043 825.371806641725</t>
  </si>
  <si>
    <t>9763-20170724T104526.383703600.bin</t>
  </si>
  <si>
    <t>-731.32629023177 41.6491348397049 -535.647748206105</t>
  </si>
  <si>
    <t>-694.583125336688 78.6700864211341 -246.043586644337</t>
  </si>
  <si>
    <t>-459.650227253683 131.395620958942 -254.842461217965</t>
  </si>
  <si>
    <t>-680.25595177706 39.5668705096607 296.885625413428</t>
  </si>
  <si>
    <t>-712.392967565161 92.9171160967412 740.459790337249</t>
  </si>
  <si>
    <t>-569.426402028322 121.940341306962 802.148594907793</t>
  </si>
  <si>
    <t>-585.6530879859 -165.488642496914 306.455635064082</t>
  </si>
  <si>
    <t>-594.589607098052 -145.816142486477 753.758680423696</t>
  </si>
  <si>
    <t>-456.58732121201 -176.059306574142 825.368913267122</t>
  </si>
  <si>
    <t>9763-20170724T104526.449877500.bin</t>
  </si>
  <si>
    <t>-732.407345663269 40.4103868219668 -535.613210513343</t>
  </si>
  <si>
    <t>-696.611257208842 77.7726845356283 -245.934194489814</t>
  </si>
  <si>
    <t>-461.590335077178 129.624573417025 -257.22295205411</t>
  </si>
  <si>
    <t>-680.279238471987 38.9713863132881 296.825284963831</t>
  </si>
  <si>
    <t>-712.38930494984 92.8660530868192 740.286586948635</t>
  </si>
  <si>
    <t>-569.424321534925 121.869606381682 801.988473515073</t>
  </si>
  <si>
    <t>-585.789790863646 -165.971795488617 306.443799513004</t>
  </si>
  <si>
    <t>-594.56984153782 -146.005805225864 753.758962053636</t>
  </si>
  <si>
    <t>-456.48587092785 -175.930558519478 825.345413954644</t>
  </si>
  <si>
    <t>9763-20170724T104526.483575700.bin</t>
  </si>
  <si>
    <t>-732.998480307966 39.9047073984225 -535.616864400056</t>
  </si>
  <si>
    <t>-697.877986800875 77.5352001236724 -245.889876812913</t>
  </si>
  <si>
    <t>-462.813574587387 128.848051084349 -258.640499700041</t>
  </si>
  <si>
    <t>-680.586502922235 38.7723494458523 296.8027599532</t>
  </si>
  <si>
    <t>-712.42128332787 92.8999855951454 740.232780276909</t>
  </si>
  <si>
    <t>-569.441965468405 121.837751502891 801.932331814373</t>
  </si>
  <si>
    <t>-585.883277018829 -166.218495147101 306.442581054538</t>
  </si>
  <si>
    <t>-594.555026866379 -146.153751552912 753.765668069167</t>
  </si>
  <si>
    <t>-456.386156808523 -175.738564630714 825.329673196897</t>
  </si>
  <si>
    <t>9763-20170724T104526.550753200.bin</t>
  </si>
  <si>
    <t>-734.142882925411 38.9824179584077 -535.628647158969</t>
  </si>
  <si>
    <t>-700.064129972049 76.8868745195375 -245.813055317224</t>
  </si>
  <si>
    <t>-464.967771230147 127.453815371907 -260.764417580418</t>
  </si>
  <si>
    <t>-681.16636846611 38.3912958732583 296.775510012857</t>
  </si>
  <si>
    <t>-712.43645960165 92.9039447053945 740.174796056304</t>
  </si>
  <si>
    <t>-569.487266851709 121.998498231546 801.87034707823</t>
  </si>
  <si>
    <t>-586.130244290422 -166.469627835693 306.403703877768</t>
  </si>
  <si>
    <t>-594.53049611758 -146.30025908977 753.746860683367</t>
  </si>
  <si>
    <t>-456.337399510942 -175.807238309768 825.29625997042</t>
  </si>
  <si>
    <t>9763-20170724T104526.584563200.bin</t>
  </si>
  <si>
    <t>-734.63891632343 38.750511954368 -535.592457619598</t>
  </si>
  <si>
    <t>-700.92329337884 76.737395765635 -245.745296367905</t>
  </si>
  <si>
    <t>-465.86415130711 127.163924077511 -261.721795397104</t>
  </si>
  <si>
    <t>-681.472505828958 38.2300487529444 296.780246935581</t>
  </si>
  <si>
    <t>-712.459840394195 92.9219442558585 740.1738754556</t>
  </si>
  <si>
    <t>-569.507022045204 122.000890371725 801.868256627304</t>
  </si>
  <si>
    <t>-586.315111472947 -166.52651106449 306.38186221903</t>
  </si>
  <si>
    <t>-594.534528494017 -146.184788702018 753.736416557666</t>
  </si>
  <si>
    <t>-456.346612346145 -175.732449086146 825.279050113545</t>
  </si>
  <si>
    <t>9763-20170724T104526.650738200.bin</t>
  </si>
  <si>
    <t>-735.423975880907 38.6667753613233 -535.453507178685</t>
  </si>
  <si>
    <t>-702.226836486349 76.5720349443773 -245.535653198839</t>
  </si>
  <si>
    <t>-467.285722961386 127.000056900601 -263.158121032682</t>
  </si>
  <si>
    <t>-682.181597529941 38.0191041759265 296.816955034783</t>
  </si>
  <si>
    <t>-712.509116751118 92.9700464313278 740.214506069877</t>
  </si>
  <si>
    <t>-569.530384428232 121.939840534092 801.90020753186</t>
  </si>
  <si>
    <t>-586.61881939716 -166.852435078054 306.350031323373</t>
  </si>
  <si>
    <t>-594.502661163484 -146.497493518052 753.721486419128</t>
  </si>
  <si>
    <t>-456.197865887707 -175.556651752266 825.238301656677</t>
  </si>
  <si>
    <t>9763-20170724T104526.684548200.bin</t>
  </si>
  <si>
    <t>-735.766977642818 38.7642150272545 -535.358618115029</t>
  </si>
  <si>
    <t>-702.724105840817 76.5291384369091 -245.40482350999</t>
  </si>
  <si>
    <t>-467.802722369 126.861872687214 -263.55466415463</t>
  </si>
  <si>
    <t>-682.523215229993 37.9990261910666 296.848381322384</t>
  </si>
  <si>
    <t>-712.551283591253 93.0279095989415 740.250304905183</t>
  </si>
  <si>
    <t>-569.556692541557 121.931919115596 801.930044208713</t>
  </si>
  <si>
    <t>-586.740906375022 -166.805539678295 306.334642079297</t>
  </si>
  <si>
    <t>-594.494614978948 -146.45383091637 753.710464144493</t>
  </si>
  <si>
    <t>-456.257241552028 -175.809991769969 825.236284397664</t>
  </si>
  <si>
    <t>9763-20170724T104526.754733800.bin</t>
  </si>
  <si>
    <t>-736.048256976523 38.8565122823018 -535.169603676362</t>
  </si>
  <si>
    <t>-703.266120988639 76.0404955895451 -245.111265814723</t>
  </si>
  <si>
    <t>-468.434164786363 126.415220105442 -264.273843430094</t>
  </si>
  <si>
    <t>-683.128751199785 37.9365553566533 296.897334250679</t>
  </si>
  <si>
    <t>-712.590684018316 93.0750062815962 740.326383510564</t>
  </si>
  <si>
    <t>-569.579797237701 121.907044640239 802.002163494344</t>
  </si>
  <si>
    <t>-587.001756021224 -166.766190416626 306.316954895256</t>
  </si>
  <si>
    <t>-594.473554853726 -146.274334087659 753.688225702852</t>
  </si>
  <si>
    <t>-456.334709156277 -176.036738950394 825.23660784059</t>
  </si>
  <si>
    <t>9763-20170724T104526.785342800.bin</t>
  </si>
  <si>
    <t>-736.009451313972 38.7304858013088 -535.101294326252</t>
  </si>
  <si>
    <t>-703.314799640797 75.7129163098173 -245.007244074005</t>
  </si>
  <si>
    <t>-468.494641538066 126.01700880049 -264.496963374257</t>
  </si>
  <si>
    <t>-683.278931978582 37.8388129417058 296.910771652578</t>
  </si>
  <si>
    <t>-712.591040784753 93.0492935055215 740.362486763866</t>
  </si>
  <si>
    <t>-569.594799589323 121.972737820712 802.029479663153</t>
  </si>
  <si>
    <t>-587.112650356767 -166.922926593681 306.317997221144</t>
  </si>
  <si>
    <t>-594.450189427758 -146.46175050309 753.690663421496</t>
  </si>
  <si>
    <t>-456.158475697128 -175.552537723644 825.219780561561</t>
  </si>
  <si>
    <t>9763-20170724T104526.829465100.bin</t>
  </si>
  <si>
    <t>-735.965534654194 38.6037050413352 -535.054404675099</t>
  </si>
  <si>
    <t>-703.38990524831 75.4931124200982 -244.935230872499</t>
  </si>
  <si>
    <t>-468.554161532816 125.612798851845 -264.710195817033</t>
  </si>
  <si>
    <t>-683.426308334244 37.7753791207626 296.925900407396</t>
  </si>
  <si>
    <t>-712.585227865596 93.0145672135741 740.38952252182</t>
  </si>
  <si>
    <t>-569.586229616582 121.933336020726 802.052314154144</t>
  </si>
  <si>
    <t>-587.14552520357 -167.003446009698 306.318912345599</t>
  </si>
  <si>
    <t>-594.439475229208 -146.449498979314 753.687989237621</t>
  </si>
  <si>
    <t>-456.139280081925 -175.498290069732 825.217882877322</t>
  </si>
  <si>
    <t>9763-20170724T104526.882116800.bin</t>
  </si>
  <si>
    <t>-735.946847925192 38.3794944000344 -534.966623152216</t>
  </si>
  <si>
    <t>-703.669449771096 75.2516623638746 -244.811804782799</t>
  </si>
  <si>
    <t>-468.731125278357 124.745352946635 -264.942470958688</t>
  </si>
  <si>
    <t>-683.514388554506 37.605519016902 296.983096902719</t>
  </si>
  <si>
    <t>-712.576711701 92.9526857147332 740.441242246456</t>
  </si>
  <si>
    <t>-569.614902940355 122.068246856207 802.097501434652</t>
  </si>
  <si>
    <t>-587.219644963109 -167.154391877217 306.327386456409</t>
  </si>
  <si>
    <t>-594.41056471037 -146.510846827894 753.686025409292</t>
  </si>
  <si>
    <t>-456.08821860696 -175.448676310145 825.218043191656</t>
  </si>
  <si>
    <t>9763-20170724T104526.952295400.bin</t>
  </si>
  <si>
    <t>-735.829304393451 38.1423175007935 -534.893830968574</t>
  </si>
  <si>
    <t>-703.836589761694 74.8434282494206 -244.685791196007</t>
  </si>
  <si>
    <t>-468.910741610438 124.196605552226 -265.30094927061</t>
  </si>
  <si>
    <t>-683.57085224773 37.5057805689489 297.035338643531</t>
  </si>
  <si>
    <t>-712.613393444766 92.9543226605051 740.489012148665</t>
  </si>
  <si>
    <t>-569.614584415687 121.904006166039 802.137676859881</t>
  </si>
  <si>
    <t>-587.30694533568 -167.296776712303 306.350896057054</t>
  </si>
  <si>
    <t>-594.383152537288 -146.612887357696 753.699066532449</t>
  </si>
  <si>
    <t>-456.028246926338 -175.394382250237 825.231275104753</t>
  </si>
  <si>
    <t>9763-20170724T104526.985406200.bin</t>
  </si>
  <si>
    <t>-735.755502937802 38.0811427553667 -534.828694175719</t>
  </si>
  <si>
    <t>-703.813106794475 74.6374782240648 -244.596790330133</t>
  </si>
  <si>
    <t>-468.905307455762 124.026205549943 -265.332167487083</t>
  </si>
  <si>
    <t>-683.568951439429 37.4640958529897 297.044964702779</t>
  </si>
  <si>
    <t>-712.642596263893 92.9899095523267 740.493531789433</t>
  </si>
  <si>
    <t>-569.646426632293 121.945106119762 802.145792849371</t>
  </si>
  <si>
    <t>-587.330280114761 -167.328681673393 306.368923668487</t>
  </si>
  <si>
    <t>-594.375894619789 -146.534705153307 753.707663900963</t>
  </si>
  <si>
    <t>-456.064272219709 -175.509501152921 825.245435624414</t>
  </si>
  <si>
    <t>9763-20170724T104527.051581200.bin</t>
  </si>
  <si>
    <t>-735.686516334573 37.9305802333884 -534.678979067102</t>
  </si>
  <si>
    <t>-703.778383120492 74.3862304417394 -244.43071319986</t>
  </si>
  <si>
    <t>-468.94017760566 123.905378296295 -265.63748425326</t>
  </si>
  <si>
    <t>-683.501047009102 37.3277199720224 297.043599747844</t>
  </si>
  <si>
    <t>-712.651818768376 92.9804460227945 740.479423333175</t>
  </si>
  <si>
    <t>-569.639363210386 121.80681465983 802.154305642969</t>
  </si>
  <si>
    <t>-587.363141259917 -167.459451082285 306.396906342521</t>
  </si>
  <si>
    <t>-594.364154298767 -146.448334209051 753.724709417737</t>
  </si>
  <si>
    <t>-456.074746393472 -175.530693222226 825.261906606368</t>
  </si>
  <si>
    <t>9763-20170724T104527.083191900.bin</t>
  </si>
  <si>
    <t>-735.602335168903 37.7846425180853 -534.620932759322</t>
  </si>
  <si>
    <t>-703.673470872009 74.0983784669934 -244.357220006697</t>
  </si>
  <si>
    <t>-468.856429622603 123.636230286371 -265.754432922363</t>
  </si>
  <si>
    <t>-683.460322933787 37.1643996804664 297.043353589801</t>
  </si>
  <si>
    <t>-712.618534702151 92.8954139622335 740.468889278317</t>
  </si>
  <si>
    <t>-569.651033430596 121.930634297175 802.149697638616</t>
  </si>
  <si>
    <t>-587.373397632073 -167.61574111514 306.419957099297</t>
  </si>
  <si>
    <t>-594.35063768263 -146.519011542069 753.738631162263</t>
  </si>
  <si>
    <t>-456.014879837944 -175.405314287051 825.26552616935</t>
  </si>
  <si>
    <t>9763-20170724T104527.150379900.bin</t>
  </si>
  <si>
    <t>-735.66620301096 37.3697228520093 -534.528909838125</t>
  </si>
  <si>
    <t>-703.634393531451 73.5132530746303 -244.255109017593</t>
  </si>
  <si>
    <t>-468.860915028748 123.072159883705 -266.077481624049</t>
  </si>
  <si>
    <t>-683.414828762334 36.9589247329845 297.045863648924</t>
  </si>
  <si>
    <t>-712.62581428664 92.8683574938611 740.44135885209</t>
  </si>
  <si>
    <t>-569.669988826742 121.930662082959 802.136705564332</t>
  </si>
  <si>
    <t>-587.316899299228 -167.848769283961 306.447191512471</t>
  </si>
  <si>
    <t>-594.332953191233 -146.477598799189 753.749777813263</t>
  </si>
  <si>
    <t>-456.052994252347 -175.607134653865 825.285870058808</t>
  </si>
  <si>
    <t>9763-20170724T104527.182989600.bin</t>
  </si>
  <si>
    <t>-735.78057481883 37.0524494536267 -534.486500588784</t>
  </si>
  <si>
    <t>-703.768756546682 73.262150929665 -244.218748220917</t>
  </si>
  <si>
    <t>-468.987212511578 122.719504516769 -266.183830373298</t>
  </si>
  <si>
    <t>-683.362404195819 36.7847397451515 297.054515283685</t>
  </si>
  <si>
    <t>-712.626862063051 92.8517408092964 740.425680837282</t>
  </si>
  <si>
    <t>-569.689596641361 121.988354126446 802.128857631048</t>
  </si>
  <si>
    <t>-587.261558067211 -168.015908474276 306.463816456468</t>
  </si>
  <si>
    <t>-594.314024506099 -146.613661701753 753.761013583918</t>
  </si>
  <si>
    <t>-455.950758424034 -175.380427487456 825.282883775618</t>
  </si>
  <si>
    <t>9763-20170724T104527.249161400.bin</t>
  </si>
  <si>
    <t>-736.156737208569 36.4924535833679 -534.382589495774</t>
  </si>
  <si>
    <t>-704.291738839637 72.6954235559888 -244.097935335501</t>
  </si>
  <si>
    <t>-469.507990779683 121.898724283325 -266.603164472601</t>
  </si>
  <si>
    <t>-683.273376755282 36.5669561178624 297.056354479704</t>
  </si>
  <si>
    <t>-712.662003296811 92.8733268184583 740.393431065691</t>
  </si>
  <si>
    <t>-569.706055906764 121.882150876482 802.113724967608</t>
  </si>
  <si>
    <t>-587.256282757212 -168.087487196408 306.481935065681</t>
  </si>
  <si>
    <t>-594.30932277901 -146.435930017245 753.775563095703</t>
  </si>
  <si>
    <t>-456.012711895354 -175.516624110937 825.299272384885</t>
  </si>
  <si>
    <t>9763-20170724T104527.280763300.bin</t>
  </si>
  <si>
    <t>-736.386515791596 36.1737179059496 -534.338189029808</t>
  </si>
  <si>
    <t>-704.636014919833 72.3786414328215 -244.041273414857</t>
  </si>
  <si>
    <t>-469.886828289699 121.545515737373 -266.982791638825</t>
  </si>
  <si>
    <t>-683.189471655151 36.4025649870039 297.060123763291</t>
  </si>
  <si>
    <t>-712.624738251804 92.7841238576138 740.380248104173</t>
  </si>
  <si>
    <t>-569.711001300597 121.996874036265 802.102025175346</t>
  </si>
  <si>
    <t>-587.236447702476 -168.216080323956 306.492200815919</t>
  </si>
  <si>
    <t>-594.291984063201 -146.578161255914 753.783148663697</t>
  </si>
  <si>
    <t>-455.941008981264 -175.428420267759 825.295178744659</t>
  </si>
  <si>
    <t>9763-20170724T104527.352955000.bin</t>
  </si>
  <si>
    <t>-737.052147639396 35.7946642799609 -534.276353188893</t>
  </si>
  <si>
    <t>-705.724250679162 72.0620386926375 -243.941270352983</t>
  </si>
  <si>
    <t>-470.999255989386 121.008268690821 -267.590950072429</t>
  </si>
  <si>
    <t>-683.093365669872 36.3211496405609 297.03596632403</t>
  </si>
  <si>
    <t>-712.643352212444 92.7773289300615 740.343806784132</t>
  </si>
  <si>
    <t>-569.753768011885 122.086536211471 802.075836836242</t>
  </si>
  <si>
    <t>-587.14883906624 -168.295893568152 306.518334368837</t>
  </si>
  <si>
    <t>-594.279194817864 -146.511206423118 753.79376646472</t>
  </si>
  <si>
    <t>-455.94152057832 -175.442303164385 825.298826788245</t>
  </si>
  <si>
    <t>9763-20170724T104527.385118700.bin</t>
  </si>
  <si>
    <t>-737.452236703605 35.633355636674 -534.261123170486</t>
  </si>
  <si>
    <t>-706.39416349416 71.9625918475549 -243.904926641572</t>
  </si>
  <si>
    <t>-471.669392772717 120.768547773402 -267.845019822573</t>
  </si>
  <si>
    <t>-683.047692229749 36.2960056444772 297.026675882418</t>
  </si>
  <si>
    <t>-712.663703076571 92.7867820166709 740.325753768528</t>
  </si>
  <si>
    <t>-569.757590248897 122.0019247255 802.064225658674</t>
  </si>
  <si>
    <t>-587.19731507056 -168.26998129242 306.522083650278</t>
  </si>
  <si>
    <t>-594.274679395534 -146.417577227735 753.802662928177</t>
  </si>
  <si>
    <t>-455.977215089363 -175.540403141826 825.307634852053</t>
  </si>
  <si>
    <t>9763-20170724T104527.428233200.bin</t>
  </si>
  <si>
    <t>-737.850436203918 35.4772311210681 -534.286161154259</t>
  </si>
  <si>
    <t>-707.153584989608 71.8533454244412 -243.897349690409</t>
  </si>
  <si>
    <t>-472.411310316195 120.451319057438 -268.087358369015</t>
  </si>
  <si>
    <t>-682.998312621032 36.2567227596578 297.021266534334</t>
  </si>
  <si>
    <t>-712.671539085215 92.7732620877725 740.31163479975</t>
  </si>
  <si>
    <t>-569.755906468154 121.938915962395 802.051268538611</t>
  </si>
  <si>
    <t>-587.209937596342 -168.231943124203 306.529537892318</t>
  </si>
  <si>
    <t>-594.263945363535 -146.42963155102 753.807232647483</t>
  </si>
  <si>
    <t>-455.949386682241 -175.486119155103 825.306299443212</t>
  </si>
  <si>
    <t>9763-20170724T104527.488404100.bin</t>
  </si>
  <si>
    <t>-738.563631945923 35.1718223305409 -534.313286848475</t>
  </si>
  <si>
    <t>-708.931809619732 71.5433438642103 -243.813351094948</t>
  </si>
  <si>
    <t>-474.193892122239 119.663019186523 -268.982664766986</t>
  </si>
  <si>
    <t>-682.969348616918 36.1578241728196 297.00489143437</t>
  </si>
  <si>
    <t>-712.679901721886 92.7383113531391 740.280188411433</t>
  </si>
  <si>
    <t>-569.782438292428 121.996227036073 802.018197076066</t>
  </si>
  <si>
    <t>-587.235654785603 -168.27947571155 306.538683397259</t>
  </si>
  <si>
    <t>-594.23890567114 -146.550232124446 753.8186563197</t>
  </si>
  <si>
    <t>-455.890508454399 -175.482793911391 825.302477106311</t>
  </si>
  <si>
    <t>9763-20170724T104527.549563800.bin</t>
  </si>
  <si>
    <t>-739.190983273771 35.0592674586051 -534.305356743533</t>
  </si>
  <si>
    <t>-710.611637886718 71.1464223293817 -243.664446615817</t>
  </si>
  <si>
    <t>-475.979290690444 119.155501655208 -270.001654626031</t>
  </si>
  <si>
    <t>-683.121948069654 36.1851307180375 297.001431977504</t>
  </si>
  <si>
    <t>-712.73508480534 92.7989931667339 740.262835000599</t>
  </si>
  <si>
    <t>-569.805928859008 121.891078750373 802.005815790603</t>
  </si>
  <si>
    <t>-587.352264361968 -168.175292422304 306.539909228056</t>
  </si>
  <si>
    <t>-594.23491476075 -146.477698285582 753.826047197026</t>
  </si>
  <si>
    <t>-455.928140814797 -175.628609935344 825.301563432857</t>
  </si>
  <si>
    <t>9763-20170724T104527.582169300.bin</t>
  </si>
  <si>
    <t>-739.488439111465 34.9902735628405 -534.311850141929</t>
  </si>
  <si>
    <t>-711.449469783293 71.0280349423504 -243.612120703361</t>
  </si>
  <si>
    <t>-476.853061328817 119.008100884287 -270.319894997718</t>
  </si>
  <si>
    <t>-683.229933504907 36.1958148702704 297.006288425367</t>
  </si>
  <si>
    <t>-712.74160340669 92.7856819828658 740.27264295486</t>
  </si>
  <si>
    <t>-569.818464675329 121.925061221397 802.007447861433</t>
  </si>
  <si>
    <t>-587.388832294112 -168.152059054335 306.530906422347</t>
  </si>
  <si>
    <t>-594.22629299263 -146.528558803984 753.830286439869</t>
  </si>
  <si>
    <t>-455.890449668779 -175.561694852582 825.297446417653</t>
  </si>
  <si>
    <t>9763-20170724T104527.651360200.bin</t>
  </si>
  <si>
    <t>-740.075304178296 34.9354794739243 -534.420251092186</t>
  </si>
  <si>
    <t>-713.092229791761 70.9828227138739 -243.621791951943</t>
  </si>
  <si>
    <t>-478.476991090335 118.755887735739 -270.534467197766</t>
  </si>
  <si>
    <t>-683.554374382968 36.2716142114825 297.026343435115</t>
  </si>
  <si>
    <t>-712.798735646642 92.8461410593761 740.303426103291</t>
  </si>
  <si>
    <t>-569.83424166581 121.801807866485 802.028850302388</t>
  </si>
  <si>
    <t>-587.480750526206 -167.994672002222 306.502418803736</t>
  </si>
  <si>
    <t>-594.203272542885 -146.571365210339 753.820615100614</t>
  </si>
  <si>
    <t>-455.865982556624 -175.602193494547 825.285908018483</t>
  </si>
  <si>
    <t>9763-20170724T104527.685532300.bin</t>
  </si>
  <si>
    <t>-740.213968882273 34.9989464566743 -534.461673476917</t>
  </si>
  <si>
    <t>-713.868415894135 71.034397803867 -243.603260016331</t>
  </si>
  <si>
    <t>-479.199371452988 118.52747206348 -270.542014190013</t>
  </si>
  <si>
    <t>-683.691592582746 36.3152040890309 297.031051503394</t>
  </si>
  <si>
    <t>-712.793635764255 92.8178463799916 740.318539284821</t>
  </si>
  <si>
    <t>-569.843790607637 121.848254915139 802.042742375485</t>
  </si>
  <si>
    <t>-587.53013466648 -167.828703145571 306.487385901415</t>
  </si>
  <si>
    <t>-594.200546221862 -146.383436562945 753.809296118947</t>
  </si>
  <si>
    <t>-455.923440527308 -175.674486309739 825.284905959015</t>
  </si>
  <si>
    <t>9763-20170724T104527.752711200.bin</t>
  </si>
  <si>
    <t>-740.569673031291 35.2744731108357 -534.511807295376</t>
  </si>
  <si>
    <t>-715.522515759774 71.0820910116586 -243.510704701514</t>
  </si>
  <si>
    <t>-480.731314536654 117.946916345041 -270.485796682829</t>
  </si>
  <si>
    <t>-683.988455140235 36.4454848419425 297.028225321455</t>
  </si>
  <si>
    <t>-712.818035205033 92.8355943694587 740.355551851289</t>
  </si>
  <si>
    <t>-569.876842684378 121.923027152195 802.072903593491</t>
  </si>
  <si>
    <t>-587.561293927701 -167.678434671727 306.458842801884</t>
  </si>
  <si>
    <t>-594.16728823826 -146.474113830986 753.797656066898</t>
  </si>
  <si>
    <t>-455.845547932262 -175.557064506473 825.27195244025</t>
  </si>
  <si>
    <t>9763-20170724T104527.785812800.bin</t>
  </si>
  <si>
    <t>-740.729974344134 35.5150531034114 -534.504992551425</t>
  </si>
  <si>
    <t>-716.323940175431 71.0679671453149 -243.41808886099</t>
  </si>
  <si>
    <t>-481.4863040311 117.619484875402 -270.530962087574</t>
  </si>
  <si>
    <t>-684.116820215148 36.5557870775801 297.035821599479</t>
  </si>
  <si>
    <t>-712.84244159666 92.8620297043599 740.378584294013</t>
  </si>
  <si>
    <t>-569.871949266771 121.801786863215 802.097417685712</t>
  </si>
  <si>
    <t>-587.610368494793 -167.484131113592 306.436753949444</t>
  </si>
  <si>
    <t>-594.161602687169 -146.32920517766 753.784893726477</t>
  </si>
  <si>
    <t>-455.900092331886 -175.670033610435 825.27040021551</t>
  </si>
  <si>
    <t>9763-20170724T104527.850985700.bin</t>
  </si>
  <si>
    <t>-740.634014701487 36.1682839902983 -534.493747137207</t>
  </si>
  <si>
    <t>-717.816731416731 71.1899541223736 -243.213734933212</t>
  </si>
  <si>
    <t>-482.853454520961 117.045034279188 -270.425303816717</t>
  </si>
  <si>
    <t>-684.285435105523 36.7436065572142 297.070544880762</t>
  </si>
  <si>
    <t>-712.878777078819 92.8873798747993 740.437156597904</t>
  </si>
  <si>
    <t>-569.917234591006 121.912198015978 802.137052103807</t>
  </si>
  <si>
    <t>-587.725629489603 -167.346103378616 306.422505791346</t>
  </si>
  <si>
    <t>-594.13277993951 -146.425038575687 753.778635588467</t>
  </si>
  <si>
    <t>-455.798378203554 -175.445798300731 825.253676488925</t>
  </si>
  <si>
    <t>9763-20170724T104527.894604800.bin</t>
  </si>
  <si>
    <t>-740.487702387644 36.5709473793199 -534.487185670285</t>
  </si>
  <si>
    <t>-718.531104011981 71.303667668624 -243.106388714342</t>
  </si>
  <si>
    <t>-483.477603640819 116.768009619787 -270.194155354047</t>
  </si>
  <si>
    <t>-684.373790676961 36.830545002719 297.077191308058</t>
  </si>
  <si>
    <t>-712.897863616249 92.8916732504204 740.448073571292</t>
  </si>
  <si>
    <t>-569.943849475617 121.954595600324 802.147229383414</t>
  </si>
  <si>
    <t>-587.764505752369 -167.256892955222 306.40311486487</t>
  </si>
  <si>
    <t>-594.123136678434 -146.421455594135 753.772835189534</t>
  </si>
  <si>
    <t>-455.772232820183 -175.365233763908 825.247119256996</t>
  </si>
  <si>
    <t>9763-20170724T104527.952759100.bin</t>
  </si>
  <si>
    <t>-740.452310297208 37.3053699298835 -534.39528855958</t>
  </si>
  <si>
    <t>-719.812652807207 71.278460166955 -242.828848649163</t>
  </si>
  <si>
    <t>-484.661046646451 116.182869563434 -269.998254390458</t>
  </si>
  <si>
    <t>-684.513310613597 37.0245763639266 297.142635576263</t>
  </si>
  <si>
    <t>-712.921694397965 92.9094026758705 740.533496277467</t>
  </si>
  <si>
    <t>-569.931239915775 121.79332444021 802.232190046811</t>
  </si>
  <si>
    <t>-587.790933631143 -166.981605999563 306.36665048742</t>
  </si>
  <si>
    <t>-594.107614080277 -146.241891126838 753.756485288147</t>
  </si>
  <si>
    <t>-455.918194933738 -175.879376534654 825.258877563095</t>
  </si>
  <si>
    <t>9763-20170724T104527.984470300.bin</t>
  </si>
  <si>
    <t>-740.495721422633 37.4631790832243 -534.324559803902</t>
  </si>
  <si>
    <t>-720.453911090802 71.1878299336015 -242.687423822795</t>
  </si>
  <si>
    <t>-485.203281370013 115.597976219201 -269.812546740978</t>
  </si>
  <si>
    <t>-684.581540091251 37.0418800096857 297.187788302887</t>
  </si>
  <si>
    <t>-712.961636801728 92.9581897308469 740.584031965564</t>
  </si>
  <si>
    <t>-569.951178229165 121.761170131402 802.274468751166</t>
  </si>
  <si>
    <t>-587.804871419792 -166.998659990634 306.365354573013</t>
  </si>
  <si>
    <t>-594.090543963213 -146.323524361638 753.757423484018</t>
  </si>
  <si>
    <t>-455.821360729677 -175.613539453432 825.248929811892</t>
  </si>
  <si>
    <t>9763-20170724T104528.050639700.bin</t>
  </si>
  <si>
    <t>-740.584286953721 37.5707496328835 -534.206308501963</t>
  </si>
  <si>
    <t>-721.988075962368 70.7061441947815 -242.406040997293</t>
  </si>
  <si>
    <t>-486.708036825935 114.447567596845 -270.349875142831</t>
  </si>
  <si>
    <t>-684.56443846692 36.9864115918858 297.258127006251</t>
  </si>
  <si>
    <t>-712.961511238232 92.9014058616651 740.662349746161</t>
  </si>
  <si>
    <t>-569.970411492578 121.826207141235 802.340676386322</t>
  </si>
  <si>
    <t>-587.733827905772 -166.929538274383 306.374197016262</t>
  </si>
  <si>
    <t>-594.074214340187 -146.193825482886 753.757268085837</t>
  </si>
  <si>
    <t>-455.854669538277 -175.688286115414 825.26057038856</t>
  </si>
  <si>
    <t>9763-20170724T104528.086276200.bin</t>
  </si>
  <si>
    <t>-740.787804377363 37.6209821090288 -534.15643816696</t>
  </si>
  <si>
    <t>-722.896469239785 70.5858391469847 -242.292677905771</t>
  </si>
  <si>
    <t>-487.602101661414 114.032514666911 -270.573757238695</t>
  </si>
  <si>
    <t>-684.58027541937 37.0249195068288 297.281932194914</t>
  </si>
  <si>
    <t>-713.011887304855 92.9679087915929 740.690786738478</t>
  </si>
  <si>
    <t>-569.98435597711 121.715509688456 802.3673782471</t>
  </si>
  <si>
    <t>-587.665059281049 -166.899610038445 306.381754307121</t>
  </si>
  <si>
    <t>-594.064241097724 -146.164641291758 753.757184594772</t>
  </si>
  <si>
    <t>-455.85969063815 -175.714914344218 825.266424410397</t>
  </si>
  <si>
    <t>9763-20170724T104528.153455800.bin</t>
  </si>
  <si>
    <t>-741.378297299427 37.6281244970196 -534.032980524633</t>
  </si>
  <si>
    <t>-724.636503371913 70.0083351027276 -242.035606542578</t>
  </si>
  <si>
    <t>-489.333705184673 113.22061277169 -270.604004349837</t>
  </si>
  <si>
    <t>-684.633850150343 36.9976347363374 297.313182882669</t>
  </si>
  <si>
    <t>-713.020342392392 92.9315144261452 740.728365359706</t>
  </si>
  <si>
    <t>-570.00222861979 121.742961943226 802.396862250274</t>
  </si>
  <si>
    <t>-587.557767054704 -167.004559552457 306.394190499199</t>
  </si>
  <si>
    <t>-594.029561838908 -146.372662039296 753.764586678335</t>
  </si>
  <si>
    <t>-455.71321620245 -175.430446744194 825.259521993366</t>
  </si>
  <si>
    <t>9763-20170724T104528.188058100.bin</t>
  </si>
  <si>
    <t>-741.723763975965 37.6768229183499 -533.989108985421</t>
  </si>
  <si>
    <t>-725.426088419293 69.8943094325784 -241.948785169587</t>
  </si>
  <si>
    <t>-490.120327337131 113.077051344491 -270.538558083334</t>
  </si>
  <si>
    <t>-684.67589413958 36.9908733121001 297.328867898466</t>
  </si>
  <si>
    <t>-712.996528080229 92.8658898994174 740.749325704645</t>
  </si>
  <si>
    <t>-570.019101006241 121.889980105736 802.412503038525</t>
  </si>
  <si>
    <t>-587.513823192155 -166.964269112437 306.389838695736</t>
  </si>
  <si>
    <t>-594.015866150649 -146.379117107856 753.763303522874</t>
  </si>
  <si>
    <t>-455.749003164811 -175.651704308699 825.266238772785</t>
  </si>
  <si>
    <t>9763-20170724T104528.250222500.bin</t>
  </si>
  <si>
    <t>-742.318406241562 37.5788395246889 -533.921220415209</t>
  </si>
  <si>
    <t>-727.099964446019 69.34905882154 -241.773619759642</t>
  </si>
  <si>
    <t>-491.748924375235 112.409803842928 -270.173348910753</t>
  </si>
  <si>
    <t>-684.801673543902 37.0128405146133 297.351603663877</t>
  </si>
  <si>
    <t>-713.059412574784 92.9410730019399 740.778560594459</t>
  </si>
  <si>
    <t>-570.064600906877 121.878626233643 802.442170122766</t>
  </si>
  <si>
    <t>-587.384423113494 -167.053354744228 306.391401710124</t>
  </si>
  <si>
    <t>-593.970514442499 -146.609909010215 753.761831900335</t>
  </si>
  <si>
    <t>-455.581789191906 -175.333433307558 825.251776663518</t>
  </si>
  <si>
    <t>9763-20170724T104528.282839200.bin</t>
  </si>
  <si>
    <t>-742.576980326826 37.4833185254736 -533.924148512734</t>
  </si>
  <si>
    <t>-727.877912725775 69.149735813631 -241.738638055511</t>
  </si>
  <si>
    <t>-492.471262624226 112.067839267063 -269.892099302117</t>
  </si>
  <si>
    <t>-684.812394313944 37.0462406542674 297.345970203783</t>
  </si>
  <si>
    <t>-713.058407908214 92.9187413860614 740.784904803289</t>
  </si>
  <si>
    <t>-570.055166321629 121.804347666026 802.453118980396</t>
  </si>
  <si>
    <t>-587.30183220287 -166.990114153441 306.398334784312</t>
  </si>
  <si>
    <t>-593.966345975637 -146.492087527171 753.761146675991</t>
  </si>
  <si>
    <t>-455.631544811177 -175.454574085765 825.259099456902</t>
  </si>
  <si>
    <t>9763-20170724T104528.349025100.bin</t>
  </si>
  <si>
    <t>-743.048473037941 37.1878715550281 -533.91976549886</t>
  </si>
  <si>
    <t>-729.177974202981 68.2187013437051 -241.625519411305</t>
  </si>
  <si>
    <t>-493.670732384887 111.021118632452 -269.105964516865</t>
  </si>
  <si>
    <t>-684.755900060087 37.0326397448389 297.298510248092</t>
  </si>
  <si>
    <t>-713.123219708477 92.9636985052689 740.727478483747</t>
  </si>
  <si>
    <t>-570.106679369104 121.777922375078 802.398375654964</t>
  </si>
  <si>
    <t>-587.18332421989 -166.929060876681 306.39588008645</t>
  </si>
  <si>
    <t>-593.945286608729 -146.452056017858 753.761113542936</t>
  </si>
  <si>
    <t>-455.629039471006 -175.513040497014 825.255002146669</t>
  </si>
  <si>
    <t>9763-20170724T104528.387456500.bin</t>
  </si>
  <si>
    <t>-743.278679768512 37.0460975774395 -533.909971025437</t>
  </si>
  <si>
    <t>-729.71299669787 67.7643028234563 -241.568485129561</t>
  </si>
  <si>
    <t>-494.201105416976 110.597927962835 -268.960051399567</t>
  </si>
  <si>
    <t>-684.6899162991 37.0312178466947 297.290863352558</t>
  </si>
  <si>
    <t>-713.139812130089 92.9551848547549 740.731167903622</t>
  </si>
  <si>
    <t>-570.120943171299 121.753782124118 802.404037541522</t>
  </si>
  <si>
    <t>-587.09125690926 -166.844892670478 306.401848961286</t>
  </si>
  <si>
    <t>-593.944456184861 -146.254257885766 753.754774390356</t>
  </si>
  <si>
    <t>-455.72568310303 -175.73700188139 825.264499412055</t>
  </si>
  <si>
    <t>9763-20170724T104528.449622200.bin</t>
  </si>
  <si>
    <t>-743.611228705252 36.6455699297239 -533.940622350887</t>
  </si>
  <si>
    <t>-730.388683228171 66.9091280651146 -241.535972017158</t>
  </si>
  <si>
    <t>-494.79950459954 109.567260484652 -268.533508851574</t>
  </si>
  <si>
    <t>-684.584302598135 36.954703108333 297.279266348905</t>
  </si>
  <si>
    <t>-713.175631736945 92.9481950084069 740.713132817513</t>
  </si>
  <si>
    <t>-570.135234004666 121.633493435894 802.388901874879</t>
  </si>
  <si>
    <t>-586.985313749373 -166.944336430651 306.423422562987</t>
  </si>
  <si>
    <t>-593.913764721879 -146.345195115934 753.76983531251</t>
  </si>
  <si>
    <t>-455.670222995296 -175.71812675984 825.276760544997</t>
  </si>
  <si>
    <t>9763-20170724T104528.484722500.bin</t>
  </si>
  <si>
    <t>-743.72566296298 36.4168721564481 -533.955476948579</t>
  </si>
  <si>
    <t>-730.717866920173 66.6149847189911 -241.534516377904</t>
  </si>
  <si>
    <t>-495.059468112783 109.010988407161 -268.34076907946</t>
  </si>
  <si>
    <t>-684.507172609072 36.8719437849732 297.265334917841</t>
  </si>
  <si>
    <t>-713.147741636093 92.8613876359971 740.695973162913</t>
  </si>
  <si>
    <t>-570.144135896522 121.734779170086 802.369260778684</t>
  </si>
  <si>
    <t>-586.889601566849 -167.067725478104 306.434636460515</t>
  </si>
  <si>
    <t>-593.896343751086 -146.397162025705 753.773022830284</t>
  </si>
  <si>
    <t>-455.622248662795 -175.632911669863 825.277079801547</t>
  </si>
  <si>
    <t>9763-20170724T104528.551903100.bin</t>
  </si>
  <si>
    <t>-744.033120956561 35.9724881481156 -534.036150839565</t>
  </si>
  <si>
    <t>-731.41281570463 66.1770160024887 -241.598752462354</t>
  </si>
  <si>
    <t>-495.690162272563 108.228600144414 -268.382103519753</t>
  </si>
  <si>
    <t>-684.449955264793 36.7470747713169 297.252210915746</t>
  </si>
  <si>
    <t>-713.190448156682 92.8664352706251 740.660939861686</t>
  </si>
  <si>
    <t>-570.183837871768 121.724267279082 802.334506151716</t>
  </si>
  <si>
    <t>-586.886744561779 -167.143533182375 306.457646784704</t>
  </si>
  <si>
    <t>-593.887018790095 -146.300901304964 753.790598583474</t>
  </si>
  <si>
    <t>-455.641905972637 -175.676714946768 825.293343114903</t>
  </si>
  <si>
    <t>9763-20170724T104528.583540600.bin</t>
  </si>
  <si>
    <t>-744.075940247989 35.6680713831061 -534.085381373908</t>
  </si>
  <si>
    <t>-731.706808305714 65.9259000485345 -241.642706829786</t>
  </si>
  <si>
    <t>-495.906631482506 107.665575168285 -268.231527200366</t>
  </si>
  <si>
    <t>-684.432374233263 36.6097365564178 297.248107174953</t>
  </si>
  <si>
    <t>-713.161318376704 92.7747901957757 740.641724454659</t>
  </si>
  <si>
    <t>-570.183566268461 121.773753225319 802.316148874353</t>
  </si>
  <si>
    <t>-586.87904183207 -167.315446492837 306.47006600611</t>
  </si>
  <si>
    <t>-593.870019241199 -146.42496133025 753.799325485798</t>
  </si>
  <si>
    <t>-455.541781663213 -175.443326860359 825.287340896843</t>
  </si>
  <si>
    <t>9763-20170724T104528.650719200.bin</t>
  </si>
  <si>
    <t>-743.988286979564 35.313655734886 -534.200262750964</t>
  </si>
  <si>
    <t>-732.336952923599 65.5722906032597 -241.728249909585</t>
  </si>
  <si>
    <t>-496.444940315061 106.714395054095 -268.433492723553</t>
  </si>
  <si>
    <t>-684.399223516842 36.4555548569488 297.226765215147</t>
  </si>
  <si>
    <t>-713.21927525686 92.8175730177252 740.600102145784</t>
  </si>
  <si>
    <t>-570.228781559357 121.747851633136 802.27723952745</t>
  </si>
  <si>
    <t>-586.879889905553 -167.51730739738 306.499459741891</t>
  </si>
  <si>
    <t>-593.853009584181 -146.41477677561 753.8138849611</t>
  </si>
  <si>
    <t>-455.532701220907 -175.490533486099 825.29395862676</t>
  </si>
  <si>
    <t>9763-20170724T104528.683353200.bin</t>
  </si>
  <si>
    <t>-743.975843439387 35.0976402898616 -534.243319159643</t>
  </si>
  <si>
    <t>-732.688498683092 65.2911656187316 -241.75027819834</t>
  </si>
  <si>
    <t>-496.675994777514 105.92962352202 -268.160554791963</t>
  </si>
  <si>
    <t>-684.404962627959 36.3895397317883 297.219902466539</t>
  </si>
  <si>
    <t>-713.248693051129 92.8383400575517 740.57841668154</t>
  </si>
  <si>
    <t>-570.25184883201 121.737595792717 802.25532968313</t>
  </si>
  <si>
    <t>-586.863934608129 -167.591760514942 306.508295021017</t>
  </si>
  <si>
    <t>-593.842678277267 -146.416345614886 753.815013159713</t>
  </si>
  <si>
    <t>-455.573309063341 -175.714830030077 825.302531220992</t>
  </si>
  <si>
    <t>9763-20170724T104528.755546600.bin</t>
  </si>
  <si>
    <t>-743.902831417397 34.5941736463935 -534.259115510985</t>
  </si>
  <si>
    <t>-733.364042501026 64.4646415253656 -241.705029571143</t>
  </si>
  <si>
    <t>-497.192298946655 104.176971888883 -268.099849930709</t>
  </si>
  <si>
    <t>-684.378957100967 36.1377299791723 297.225507544248</t>
  </si>
  <si>
    <t>-713.252677731506 92.7672555378015 740.550891404797</t>
  </si>
  <si>
    <t>-570.24855196631 121.643988003036 802.221425668034</t>
  </si>
  <si>
    <t>-586.841180719976 -167.831330651721 306.529598473675</t>
  </si>
  <si>
    <t>-593.826836403682 -146.384550952266 753.825993179247</t>
  </si>
  <si>
    <t>-455.531721126137 -175.587483573897 825.302835473764</t>
  </si>
  <si>
    <t>9763-20170724T104528.785637200.bin</t>
  </si>
  <si>
    <t>-743.893022317154 34.3237594963291 -534.276926547354</t>
  </si>
  <si>
    <t>-733.620587443151 64.0991618589192 -241.703637545936</t>
  </si>
  <si>
    <t>-497.344525362949 103.420550801613 -267.748130623461</t>
  </si>
  <si>
    <t>-684.365447835256 35.9851877239928 297.172128422958</t>
  </si>
  <si>
    <t>-713.227230106835 92.6739576282403 740.443500396509</t>
  </si>
  <si>
    <t>-570.251394491119 121.695874312586 802.111356739333</t>
  </si>
  <si>
    <t>-586.755759700035 -167.955941837948 306.528250602196</t>
  </si>
  <si>
    <t>-593.822958328394 -146.298471901671 753.820671215809</t>
  </si>
  <si>
    <t>-455.525380397651 -175.497867086726 825.294299937075</t>
  </si>
  <si>
    <t>9763-20170724T104528.849805400.bin</t>
  </si>
  <si>
    <t>-743.802420196642 33.8761613213132 -534.306675166549</t>
  </si>
  <si>
    <t>-734.120058159043 63.291001042471 -241.676719028865</t>
  </si>
  <si>
    <t>-497.710783247907 102.219880128875 -267.095238030187</t>
  </si>
  <si>
    <t>-684.385841432378 35.7902113154323 297.149804616607</t>
  </si>
  <si>
    <t>-713.264694558674 92.6604327600273 740.436380807399</t>
  </si>
  <si>
    <t>-570.262477689181 121.541053791819 802.109586283674</t>
  </si>
  <si>
    <t>-586.626205298879 -168.150485789951 306.537269940882</t>
  </si>
  <si>
    <t>-593.800400228737 -146.370037212097 753.815635533942</t>
  </si>
  <si>
    <t>-455.540916613816 -175.736770786812 825.294218466968</t>
  </si>
  <si>
    <t>9763-20170724T104528.887414200.bin</t>
  </si>
  <si>
    <t>-743.634982286111 33.6720620805875 -534.30962042907</t>
  </si>
  <si>
    <t>-734.218567714855 62.9132221223474 -241.653791226159</t>
  </si>
  <si>
    <t>-497.773143437736 101.796249386234 -266.80389984441</t>
  </si>
  <si>
    <t>-684.31364977921 35.6493092065457 297.151332698504</t>
  </si>
  <si>
    <t>-713.251022017125 92.5671538452484 740.442807810475</t>
  </si>
  <si>
    <t>-570.253928652069 121.492944980844 802.106613294869</t>
  </si>
  <si>
    <t>-586.627300073919 -168.307027014945 306.549804574122</t>
  </si>
  <si>
    <t>-593.787192931904 -146.51142664946 753.826933985276</t>
  </si>
  <si>
    <t>-455.480991448226 -175.687840687434 825.293186574662</t>
  </si>
  <si>
    <t>9763-20170724T104528.947579200.bin</t>
  </si>
  <si>
    <t>-743.254662159614 33.6134545238838 -534.337973473919</t>
  </si>
  <si>
    <t>-734.456859584942 62.3217945759318 -241.609889325158</t>
  </si>
  <si>
    <t>-497.968777902358 101.427450009286 -266.002802375851</t>
  </si>
  <si>
    <t>-684.176965106625 35.5037654230989 297.156951787023</t>
  </si>
  <si>
    <t>-713.271342396198 92.5180703701224 740.423326751724</t>
  </si>
  <si>
    <t>-570.291388072205 121.555486312438 802.074307621081</t>
  </si>
  <si>
    <t>-586.599286435044 -168.396495645714 306.587358729648</t>
  </si>
  <si>
    <t>-593.785457750145 -146.311053260619 753.843615498518</t>
  </si>
  <si>
    <t>-455.553876676676 -175.828728321561 825.314063572104</t>
  </si>
  <si>
    <t>9763-20170724T104528.986280300.bin</t>
  </si>
  <si>
    <t>-742.945069063966 33.6487238647371 -534.357227658606</t>
  </si>
  <si>
    <t>-734.337839690508 62.0768797484573 -241.596217691471</t>
  </si>
  <si>
    <t>-497.898214182669 101.561429268847 -265.847870552591</t>
  </si>
  <si>
    <t>-684.112333020941 35.4646050721476 297.158031904893</t>
  </si>
  <si>
    <t>-713.267460065665 92.4837031378927 740.404778904603</t>
  </si>
  <si>
    <t>-570.295514300264 121.564700943422 802.053937143533</t>
  </si>
  <si>
    <t>-586.586403484004 -168.468847191119 306.599793313769</t>
  </si>
  <si>
    <t>-593.775675638591 -146.454342553006 753.859402172469</t>
  </si>
  <si>
    <t>-455.483819677179 -175.724366234334 825.315098683597</t>
  </si>
  <si>
    <t>9763-20170724T104529.052456700.bin</t>
  </si>
  <si>
    <t>-742.200116749267 33.6071010563012 -534.420973462315</t>
  </si>
  <si>
    <t>-733.98268210902 61.5572701173664 -241.60278510495</t>
  </si>
  <si>
    <t>-497.63348542539 101.755026425259 -265.562380945046</t>
  </si>
  <si>
    <t>-684.051834498241 35.3701628885785 297.143134105519</t>
  </si>
  <si>
    <t>-713.282817389986 92.4585470934787 740.373971632771</t>
  </si>
  <si>
    <t>-570.326184620003 121.64112555804 802.010486649916</t>
  </si>
  <si>
    <t>-586.584129041205 -168.553901904817 306.616451951455</t>
  </si>
  <si>
    <t>-593.761784750222 -146.461870902486 753.87147905268</t>
  </si>
  <si>
    <t>-455.469415361724 -175.75192012605 825.317961725149</t>
  </si>
  <si>
    <t>9763-20170724T104529.087125000.bin</t>
  </si>
  <si>
    <t>-741.870382426237 33.5655097247559 -534.441498715955</t>
  </si>
  <si>
    <t>-733.776745536038 61.4453309990636 -241.613113054112</t>
  </si>
  <si>
    <t>-497.48746087978 101.905751680772 -265.721079222904</t>
  </si>
  <si>
    <t>-684.052486034514 35.3589025895806 297.127059485264</t>
  </si>
  <si>
    <t>-713.307831862844 92.4848640013531 740.352844452822</t>
  </si>
  <si>
    <t>-570.333017430008 121.580608341018 801.988274347725</t>
  </si>
  <si>
    <t>-586.541499060018 -168.579447466505 306.625421561051</t>
  </si>
  <si>
    <t>-593.757351841166 -146.416594000919 753.873449011139</t>
  </si>
  <si>
    <t>-455.511834251611 -175.915530150264 825.324707566732</t>
  </si>
  <si>
    <t>9763-20170724T104529.118208500.bin</t>
  </si>
  <si>
    <t>-741.601253928516 33.5061947688896 -534.454097608009</t>
  </si>
  <si>
    <t>-733.585294445422 61.382762073408 -241.623284811857</t>
  </si>
  <si>
    <t>-497.320381821276 101.951254866546 -265.788874429819</t>
  </si>
  <si>
    <t>-684.009708541002 35.3312102518482 297.111395753848</t>
  </si>
  <si>
    <t>-713.323349907544 92.5019842238728 740.332434678337</t>
  </si>
  <si>
    <t>-570.368474376058 121.703040614906 801.964218761481</t>
  </si>
  <si>
    <t>-586.513236787015 -168.5805609331 306.636129490014</t>
  </si>
  <si>
    <t>-593.755447479823 -146.311783108272 753.878238671901</t>
  </si>
  <si>
    <t>-455.523012763074 -175.874989022665 825.328335177705</t>
  </si>
  <si>
    <t>9763-20170724T104529.234455900.bin</t>
  </si>
  <si>
    <t>-741.359931105675 33.3849265848917 -534.469221913322</t>
  </si>
  <si>
    <t>-733.482534238184 61.1994652999344 -241.62887643092</t>
  </si>
  <si>
    <t>-497.2186404492 101.753572921578 -265.828289998975</t>
  </si>
  <si>
    <t>-683.944896215025 35.2534218612066 297.111213308518</t>
  </si>
  <si>
    <t>-713.302308402699 92.445600033222 740.315565811183</t>
  </si>
  <si>
    <t>-570.364630689394 121.741501577796 801.94231746711</t>
  </si>
  <si>
    <t>-586.458809137727 -168.662214885185 306.627485053319</t>
  </si>
  <si>
    <t>-593.73571757708 -146.453624973066 753.878774490682</t>
  </si>
  <si>
    <t>-455.449405837729 -175.774173880459 825.324495224482</t>
  </si>
  <si>
    <t>9763-20170724T104529.237463700.bin</t>
  </si>
  <si>
    <t>-741.126426115613 33.2813623762727 -534.48548268656</t>
  </si>
  <si>
    <t>-733.391293535649 61.1252048995593 -241.644058217983</t>
  </si>
  <si>
    <t>-497.146784459459 101.641883705475 -266.094062628172</t>
  </si>
  <si>
    <t>-683.896208700021 35.1871736935047 297.106303154236</t>
  </si>
  <si>
    <t>-713.312554547534 92.450386622917 740.299136893796</t>
  </si>
  <si>
    <t>-570.370930977383 121.739596703624 801.92010278373</t>
  </si>
  <si>
    <t>-586.35148319222 -168.718315361953 306.620339289932</t>
  </si>
  <si>
    <t>-593.725769914997 -146.454503910296 753.875470185752</t>
  </si>
  <si>
    <t>-455.391983559095 -175.565851279714 825.314812510838</t>
  </si>
  <si>
    <t>9763-20170724T104529.282589200.bin</t>
  </si>
  <si>
    <t>-740.483270011842 33.1791221388751 -534.519388897767</t>
  </si>
  <si>
    <t>-733.617627103906 61.1029125353484 -241.663951384991</t>
  </si>
  <si>
    <t>-497.355929438 101.2488950354 -266.555622281698</t>
  </si>
  <si>
    <t>-683.786939027398 35.0905624898637 297.109364196537</t>
  </si>
  <si>
    <t>-713.350678864609 92.4790957018981 740.261372770782</t>
  </si>
  <si>
    <t>-570.380647663614 121.638212530778 801.878111198378</t>
  </si>
  <si>
    <t>-586.088634169167 -168.64874787999 306.61666508595</t>
  </si>
  <si>
    <t>-593.70123731107 -146.330110272216 753.864657724367</t>
  </si>
  <si>
    <t>-455.424852786814 -175.676822529809 825.318948822057</t>
  </si>
  <si>
    <t>9763-20170724T104529.348769500.bin</t>
  </si>
  <si>
    <t>-740.073340395738 33.0820807559383 -534.558345896743</t>
  </si>
  <si>
    <t>-734.02023925231 61.166420398253 -241.70030594895</t>
  </si>
  <si>
    <t>-497.747765797472 100.92741799121 -267.10173624805</t>
  </si>
  <si>
    <t>-683.613801336115 35.0279991608604 297.110156525675</t>
  </si>
  <si>
    <t>-713.397041516314 92.5342358003686 740.239005009267</t>
  </si>
  <si>
    <t>-570.432693765774 121.72371386899 801.854429577277</t>
  </si>
  <si>
    <t>-585.798182755798 -168.589523801535 306.600916043538</t>
  </si>
  <si>
    <t>-593.672774568198 -146.326469490843 753.848362731762</t>
  </si>
  <si>
    <t>-455.459982720901 -175.916910545143 825.325258522514</t>
  </si>
  <si>
    <t>9763-20170724T104529.381859800.bin</t>
  </si>
  <si>
    <t>-739.898767810566 32.969745366536 -534.583451787216</t>
  </si>
  <si>
    <t>-734.17360596831 61.104943610191 -241.723624897808</t>
  </si>
  <si>
    <t>-497.896515233086 100.700465359422 -267.340492085877</t>
  </si>
  <si>
    <t>-683.52391432148 34.9318070357797 297.110646814759</t>
  </si>
  <si>
    <t>-713.352775227381 92.4340823126879 740.227799631998</t>
  </si>
  <si>
    <t>-570.40603492948 121.713609073402 801.841427343714</t>
  </si>
  <si>
    <t>-585.682198138977 -168.555154985413 306.59174789423</t>
  </si>
  <si>
    <t>-593.660504394061 -146.270315706716 753.839400273205</t>
  </si>
  <si>
    <t>-455.46228192389 -175.913825587206 825.322377021856</t>
  </si>
  <si>
    <t>9763-20170724T104529.454052200.bin</t>
  </si>
  <si>
    <t>-739.718324900178 32.4855425720932 -534.603472313239</t>
  </si>
  <si>
    <t>-734.476284866096 60.725105235425 -241.744706541832</t>
  </si>
  <si>
    <t>-498.176662246765 99.9440952818682 -267.729975774088</t>
  </si>
  <si>
    <t>-683.499926322059 34.7675578541678 297.11449029599</t>
  </si>
  <si>
    <t>-713.374364014237 92.4457578813208 740.20978907105</t>
  </si>
  <si>
    <t>-570.428070988753 121.726888022913 801.823710176887</t>
  </si>
  <si>
    <t>-585.438747202094 -168.693848366804 306.577341158339</t>
  </si>
  <si>
    <t>-593.633896770975 -146.423112332847 753.829470890262</t>
  </si>
  <si>
    <t>-455.363659735392 -175.7468265809 825.305052883894</t>
  </si>
  <si>
    <t>9763-20170724T104529.519102300.bin</t>
  </si>
  <si>
    <t>-739.734956381687 31.797549122866 -534.544187591972</t>
  </si>
  <si>
    <t>-734.921166109341 60.123720905176 -241.686500683936</t>
  </si>
  <si>
    <t>-498.635787278617 98.8581314329952 -268.514344116491</t>
  </si>
  <si>
    <t>-683.461640834583 34.4987196501879 297.117393998016</t>
  </si>
  <si>
    <t>-713.379867259964 92.4272331924378 740.182889381622</t>
  </si>
  <si>
    <t>-570.4454524638 121.76767770266 801.796094454975</t>
  </si>
  <si>
    <t>-585.266935766651 -168.871881066566 306.594377529239</t>
  </si>
  <si>
    <t>-593.620421823779 -146.313580244681 753.821706147107</t>
  </si>
  <si>
    <t>-455.361168218308 -175.689489713203 825.297037048941</t>
  </si>
  <si>
    <t>9763-20170724T104529.551186900.bin</t>
  </si>
  <si>
    <t>-739.816756714737 31.3346445160241 -534.504004175543</t>
  </si>
  <si>
    <t>-735.158904940412 59.6860751519425 -241.646250079309</t>
  </si>
  <si>
    <t>-498.90411357872 98.3113963516191 -268.897506930261</t>
  </si>
  <si>
    <t>-683.461050259478 34.3366502652423 297.112838242696</t>
  </si>
  <si>
    <t>-713.418766768987 92.4915274172879 740.160976634628</t>
  </si>
  <si>
    <t>-570.457315512073 121.678084616698 801.784400948665</t>
  </si>
  <si>
    <t>-585.239599210853 -169.065834363372 306.609397816867</t>
  </si>
  <si>
    <t>-593.6047617711 -146.425510179139 753.823692858392</t>
  </si>
  <si>
    <t>-455.310182252854 -175.643585150661 825.295333743828</t>
  </si>
  <si>
    <t>9763-20170724T104529.584280100.bin</t>
  </si>
  <si>
    <t>-739.927294455041 30.9032290947134 -534.466517671185</t>
  </si>
  <si>
    <t>-735.428929455029 59.1926303267376 -241.600210263058</t>
  </si>
  <si>
    <t>-499.202523610312 97.7129073850367 -269.243411305841</t>
  </si>
  <si>
    <t>-683.415319976824 34.1095329182688 297.109637151141</t>
  </si>
  <si>
    <t>-713.397703008278 92.4412564742529 740.139521048598</t>
  </si>
  <si>
    <t>-570.470390887959 121.770773473713 801.774366957725</t>
  </si>
  <si>
    <t>-585.245834333007 -169.204257411238 306.614949798146</t>
  </si>
  <si>
    <t>-593.599294553945 -146.41982476209 753.82314157334</t>
  </si>
  <si>
    <t>-455.345651686444 -175.819413482814 825.299727679393</t>
  </si>
  <si>
    <t>9763-20170724T104529.650455700.bin</t>
  </si>
  <si>
    <t>-740.068931036066 30.1562072942033 -534.360493261216</t>
  </si>
  <si>
    <t>-736.18749857284 58.3554496950728 -241.476658963656</t>
  </si>
  <si>
    <t>-499.981828858371 96.5403372044643 -269.754964724318</t>
  </si>
  <si>
    <t>-683.352649889736 33.7387725138483 297.089068712495</t>
  </si>
  <si>
    <t>-713.397079191866 92.4226871868311 740.081290339257</t>
  </si>
  <si>
    <t>-570.496795327643 121.834873349643 801.739376596563</t>
  </si>
  <si>
    <t>-585.251616561086 -169.689594749295 306.666953238104</t>
  </si>
  <si>
    <t>-593.593019295455 -146.506288675849 753.845024967349</t>
  </si>
  <si>
    <t>-455.2821603721 -175.691042862918 825.298714665515</t>
  </si>
  <si>
    <t>9763-20170724T104529.682546700.bin</t>
  </si>
  <si>
    <t>-740.00645009347 29.7755498146298 -534.347274753106</t>
  </si>
  <si>
    <t>-736.504114521301 57.8204069023495 -241.443859179652</t>
  </si>
  <si>
    <t>-500.309856202124 95.9384582430662 -269.907316114982</t>
  </si>
  <si>
    <t>-683.296402239724 33.542034979215 297.077855244297</t>
  </si>
  <si>
    <t>-713.384719921068 92.3909349423818 740.046689806599</t>
  </si>
  <si>
    <t>-570.474435890384 121.720534409719 801.720886860689</t>
  </si>
  <si>
    <t>-585.311959615929 -170.032290090341 306.692761459134</t>
  </si>
  <si>
    <t>-593.583027738724 -146.689192774223 753.859182694308</t>
  </si>
  <si>
    <t>-455.171022254739 -175.44470680723 825.291247876947</t>
  </si>
  <si>
    <t>9763-20170724T104529.752733800.bin</t>
  </si>
  <si>
    <t>-739.84208664575 29.2853813664844 -534.320036766503</t>
  </si>
  <si>
    <t>-736.94751304205 56.8692148414696 -241.366169248695</t>
  </si>
  <si>
    <t>-500.835557539848 95.3585546811883 -270.012121703615</t>
  </si>
  <si>
    <t>-683.282234463426 33.2155163384405 297.051670318447</t>
  </si>
  <si>
    <t>-713.380767250031 92.3561896626925 739.979001359393</t>
  </si>
  <si>
    <t>-570.496117637692 121.779339289944 801.668186471204</t>
  </si>
  <si>
    <t>-585.501783209004 -170.326297124436 306.757032545374</t>
  </si>
  <si>
    <t>-593.600814213703 -146.550596647241 753.893831104098</t>
  </si>
  <si>
    <t>-455.317754736012 -175.939720541807 825.317678401709</t>
  </si>
  <si>
    <t>9763-20170724T104529.786832200.bin</t>
  </si>
  <si>
    <t>-739.735426159274 29.2011684488245 -534.29690514991</t>
  </si>
  <si>
    <t>-737.179075709812 56.5152740500791 -241.314615768746</t>
  </si>
  <si>
    <t>-501.13783866974 95.3579505289611 -270.066178335841</t>
  </si>
  <si>
    <t>-683.298736532505 33.1027804228727 297.03899334235</t>
  </si>
  <si>
    <t>-713.382918656685 92.3530883906835 739.941375356689</t>
  </si>
  <si>
    <t>-570.50003558039 121.77142430042 801.636970948224</t>
  </si>
  <si>
    <t>-585.666401834264 -170.437435972548 306.788040296703</t>
  </si>
  <si>
    <t>-593.615790395256 -146.47239417243 753.918370628669</t>
  </si>
  <si>
    <t>-455.354622953888 -175.997997985315 825.328376942939</t>
  </si>
  <si>
    <t>9763-20170724T104529.848996900.bin</t>
  </si>
  <si>
    <t>-739.571119358241 29.0538123359006 -534.265082786798</t>
  </si>
  <si>
    <t>-737.97100697317 56.0515246886184 -241.246787827903</t>
  </si>
  <si>
    <t>-502.054247105805 95.536100105393 -270.145169929012</t>
  </si>
  <si>
    <t>-683.344160422594 32.9020667770351 297.007909722405</t>
  </si>
  <si>
    <t>-713.441988804258 92.4483199277067 739.87675567663</t>
  </si>
  <si>
    <t>-570.500248459709 121.56817844314 801.57747041456</t>
  </si>
  <si>
    <t>-585.912582503085 -170.881596952282 306.822758054342</t>
  </si>
  <si>
    <t>-593.62309903303 -146.630079032731 753.958618160137</t>
  </si>
  <si>
    <t>-455.278640633537 -175.851843299964 825.332348464278</t>
  </si>
  <si>
    <t>9763-20170724T104529.887105300.bin</t>
  </si>
  <si>
    <t>-739.536636387561 28.9804887302071 -534.231508803331</t>
  </si>
  <si>
    <t>-738.52078682044 55.8078249425132 -241.194870234417</t>
  </si>
  <si>
    <t>-502.651659519535 95.6128407295325 -270.042107628679</t>
  </si>
  <si>
    <t>-683.230508827798 32.8177230315098 296.982294326036</t>
  </si>
  <si>
    <t>-713.398310793775 92.3649319224944 739.837220269053</t>
  </si>
  <si>
    <t>-570.506798730299 121.713582804673 801.546147261507</t>
  </si>
  <si>
    <t>-585.919716567821 -170.999508348285 306.842013726649</t>
  </si>
  <si>
    <t>-593.624230689995 -146.621361611956 753.96692884578</t>
  </si>
  <si>
    <t>-455.284141718616 -175.876332692778 825.335471422462</t>
  </si>
  <si>
    <t>9763-20170724T104529.956289500.bin</t>
  </si>
  <si>
    <t>-739.607765029945 28.6232917604661 -534.161289926045</t>
  </si>
  <si>
    <t>-739.630460503474 54.7976051747635 -241.063745428344</t>
  </si>
  <si>
    <t>-503.966130246618 95.9244795449267 -269.730098757576</t>
  </si>
  <si>
    <t>-682.91625468692 32.6328984179111 296.946379824612</t>
  </si>
  <si>
    <t>-713.402139197089 92.3701066815372 739.753342713729</t>
  </si>
  <si>
    <t>-570.512529382517 121.669533918085 801.489879327543</t>
  </si>
  <si>
    <t>-585.765800914507 -171.247219828379 306.857772089173</t>
  </si>
  <si>
    <t>-593.602987280804 -146.843781254595 753.984323143295</t>
  </si>
  <si>
    <t>-455.143862962731 -175.569990076921 825.3366915258</t>
  </si>
  <si>
    <t>9763-20170724T104529.988392800.bin</t>
  </si>
  <si>
    <t>-739.73362415269 28.4319144731646 -534.108723661684</t>
  </si>
  <si>
    <t>-740.092171062131 53.8975114796767 -240.949031256311</t>
  </si>
  <si>
    <t>-504.624737894599 96.1736471741449 -269.561296924567</t>
  </si>
  <si>
    <t>-682.777586571685 32.5577417771406 296.950211301224</t>
  </si>
  <si>
    <t>-713.392351188894 92.3507025029403 739.722218927557</t>
  </si>
  <si>
    <t>-570.514882383163 121.695587238666 801.465347475719</t>
  </si>
  <si>
    <t>-585.625461745918 -171.27314450308 306.860954219882</t>
  </si>
  <si>
    <t>-593.597417966425 -146.834942787635 753.990266191421</t>
  </si>
  <si>
    <t>-455.149819406231 -175.616626719191 825.342682955193</t>
  </si>
  <si>
    <t>9763-20170724T104530.051562500.bin</t>
  </si>
  <si>
    <t>-740.185044331704 28.1726462426163 -534.029806372718</t>
  </si>
  <si>
    <t>-741.106468987402 52.5464925156475 -240.77846436832</t>
  </si>
  <si>
    <t>-505.979547583059 97.2669166300807 -268.460686371306</t>
  </si>
  <si>
    <t>-682.695429220484 32.5192841932396 296.924148575279</t>
  </si>
  <si>
    <t>-713.359357345541 92.2771484756031 739.677272812079</t>
  </si>
  <si>
    <t>-570.528277760638 121.84265824175 801.422336885405</t>
  </si>
  <si>
    <t>-585.295328328551 -171.124064623289 306.853965308486</t>
  </si>
  <si>
    <t>-593.584706503133 -146.731204288407 753.972490342774</t>
  </si>
  <si>
    <t>-455.23132974606 -175.913409562107 825.345103657818</t>
  </si>
  <si>
    <t>9763-20170724T104530.084536800.bin</t>
  </si>
  <si>
    <t>-740.419176163602 28.0917132277823 -534.031867588372</t>
  </si>
  <si>
    <t>-741.665445878999 52.0174496561735 -240.745039776668</t>
  </si>
  <si>
    <t>-506.646524754708 97.9634119043087 -267.31516639605</t>
  </si>
  <si>
    <t>-682.740858327373 32.5445440284591 296.913878665961</t>
  </si>
  <si>
    <t>-713.349953637674 92.2530422500186 739.667788761955</t>
  </si>
  <si>
    <t>-570.540692911289 121.926765681713 801.411504230294</t>
  </si>
  <si>
    <t>-585.194219258429 -170.96827386014 306.837160070693</t>
  </si>
  <si>
    <t>-593.577552119756 -146.600776713749 753.955601125791</t>
  </si>
  <si>
    <t>-455.266966802187 -175.947093041189 825.343929574113</t>
  </si>
  <si>
    <t>9763-20170724T104530.149709600.bin</t>
  </si>
  <si>
    <t>-740.571383825447 27.9325624402441 -534.150587526712</t>
  </si>
  <si>
    <t>-742.534873995127 51.0026306640332 -240.798993606153</t>
  </si>
  <si>
    <t>-507.77799758834 99.5549062968157 -264.940013177542</t>
  </si>
  <si>
    <t>-682.766595791658 32.5762346262311 296.877594373977</t>
  </si>
  <si>
    <t>-713.372207585434 92.2732848150902 739.645125055463</t>
  </si>
  <si>
    <t>-570.562350049331 121.960113166277 801.381016153797</t>
  </si>
  <si>
    <t>-585.021518287433 -170.768130211955 306.798870942777</t>
  </si>
  <si>
    <t>-593.547061474159 -146.693644244182 753.944661055747</t>
  </si>
  <si>
    <t>-455.230061702594 -176.003622982112 825.335482630571</t>
  </si>
  <si>
    <t>9763-20170724T104530.185457900.bin</t>
  </si>
  <si>
    <t>-740.528700245902 27.9086904383173 -534.252662228165</t>
  </si>
  <si>
    <t>-742.804890516174 50.6192126063208 -240.875255420057</t>
  </si>
  <si>
    <t>-508.184137069766 100.326268645195 -263.965859050127</t>
  </si>
  <si>
    <t>-682.726926570452 32.6170805510603 296.841061459931</t>
  </si>
  <si>
    <t>-713.385589706415 92.2849344104852 739.622437481925</t>
  </si>
  <si>
    <t>-570.58961914882 122.045460202053 801.354991083099</t>
  </si>
  <si>
    <t>-584.905179029312 -170.642857906592 306.796390471223</t>
  </si>
  <si>
    <t>-593.534100286068 -146.649372930618 753.932344911947</t>
  </si>
  <si>
    <t>-455.2061279343 -175.888963876779 825.330528068842</t>
  </si>
  <si>
    <t>9763-20170724T104530.248628300.bin</t>
  </si>
  <si>
    <t>-740.327044963625 27.6877883095788 -534.539975404825</t>
  </si>
  <si>
    <t>-742.896364693069 50.1901423950358 -241.149076801663</t>
  </si>
  <si>
    <t>-508.515872553405 101.413893988174 -263.347798140404</t>
  </si>
  <si>
    <t>-682.682143910957 32.7501503677545 296.75536418763</t>
  </si>
  <si>
    <t>-713.424557731985 92.3476807556299 739.553334261974</t>
  </si>
  <si>
    <t>-570.61396667698 122.011769158089 801.298567177765</t>
  </si>
  <si>
    <t>-584.762663954941 -170.533819058426 306.76504561739</t>
  </si>
  <si>
    <t>-593.49516343063 -146.792845954142 753.918633849463</t>
  </si>
  <si>
    <t>-455.097597064103 -175.698458209627 825.318005362085</t>
  </si>
  <si>
    <t>9763-20170724T104530.286700000.bin</t>
  </si>
  <si>
    <t>-740.284806500843 27.5362098944227 -534.674838218121</t>
  </si>
  <si>
    <t>-742.784117864974 50.1463733406074 -241.2915835496</t>
  </si>
  <si>
    <t>-508.48600424549 101.787636690472 -263.39278732768</t>
  </si>
  <si>
    <t>-682.709868769805 32.7674362721423 296.722738791209</t>
  </si>
  <si>
    <t>-713.41569000499 92.3281701797591 739.522153594232</t>
  </si>
  <si>
    <t>-570.624419193686 122.087241449104 801.266269772074</t>
  </si>
  <si>
    <t>-584.791635663913 -170.428576431835 306.761656038558</t>
  </si>
  <si>
    <t>-593.4924839892 -146.624031426744 753.909684568027</t>
  </si>
  <si>
    <t>-455.177864966649 -175.889491254816 825.323201853953</t>
  </si>
  <si>
    <t>9763-20170724T104530.348868200.bin</t>
  </si>
  <si>
    <t>-740.29637541134 27.0999951121753 -534.974491693309</t>
  </si>
  <si>
    <t>-742.787528786231 49.7663246309528 -241.595459027292</t>
  </si>
  <si>
    <t>-508.675771537744 102.050139825416 -264.155830368791</t>
  </si>
  <si>
    <t>-682.770192589822 32.8143460538124 296.688085675913</t>
  </si>
  <si>
    <t>-713.452027748041 92.3637322879249 739.486267371316</t>
  </si>
  <si>
    <t>-570.63134077265 121.996885094357 801.222926219771</t>
  </si>
  <si>
    <t>-584.901641792585 -170.476066251629 306.758534209692</t>
  </si>
  <si>
    <t>-593.480460408172 -146.605687174499 753.902562462536</t>
  </si>
  <si>
    <t>-455.148155797527 -175.797011669827 825.312281243192</t>
  </si>
  <si>
    <t>9763-20170724T104530.395994100.bin</t>
  </si>
  <si>
    <t>-740.364938916011 26.8369306843401 -535.088710358228</t>
  </si>
  <si>
    <t>-743.069541134106 49.5274191535768 -241.713438794526</t>
  </si>
  <si>
    <t>-509.04576354352 102.14301140617 -264.414334224152</t>
  </si>
  <si>
    <t>-682.759258383914 32.7194937144543 296.683299198856</t>
  </si>
  <si>
    <t>-713.436672834762 92.3221289704559 739.475039979084</t>
  </si>
  <si>
    <t>-570.645943945361 122.109602462675 801.206851613008</t>
  </si>
  <si>
    <t>-584.980135665648 -170.55415806276 306.737097696267</t>
  </si>
  <si>
    <t>-593.467735819685 -146.759362965244 753.903265413141</t>
  </si>
  <si>
    <t>-455.069590773381 -175.666798821313 825.30096405071</t>
  </si>
  <si>
    <t>9763-20170724T104530.449135600.bin</t>
  </si>
  <si>
    <t>-740.784097258614 26.8223423165691 -535.144450683233</t>
  </si>
  <si>
    <t>-744.254199592287 49.3658501778593 -241.765966743728</t>
  </si>
  <si>
    <t>-510.390713894975 102.712047514658 -264.41458520785</t>
  </si>
  <si>
    <t>-682.86571672669 32.6352683576959 296.688708700683</t>
  </si>
  <si>
    <t>-713.493625487095 92.4077828572795 739.448922095013</t>
  </si>
  <si>
    <t>-570.672712761029 122.039954818266 801.185596999782</t>
  </si>
  <si>
    <t>-585.089298248626 -170.581917152106 306.715381909623</t>
  </si>
  <si>
    <t>-593.44742793245 -146.789181081661 753.890836525673</t>
  </si>
  <si>
    <t>-455.116191300565 -175.985247380879 825.300609109862</t>
  </si>
  <si>
    <t>9763-20170724T104530.483963300.bin</t>
  </si>
  <si>
    <t>-741.159063276004 26.9960581396797 -535.095025082755</t>
  </si>
  <si>
    <t>-744.993140353414 49.2893892016778 -241.701991935982</t>
  </si>
  <si>
    <t>-511.245564491902 103.090685547292 -264.469221592409</t>
  </si>
  <si>
    <t>-683.024303964821 32.6116687856882 296.696292423537</t>
  </si>
  <si>
    <t>-713.492565342737 92.4040349121076 739.446357287959</t>
  </si>
  <si>
    <t>-570.687493162431 122.09690266006 801.19062993655</t>
  </si>
  <si>
    <t>-585.166359746762 -170.618261982571 306.71364700655</t>
  </si>
  <si>
    <t>-593.444192274885 -146.780516695405 753.892970842808</t>
  </si>
  <si>
    <t>-455.085116445379 -175.865140401438 825.294180032112</t>
  </si>
  <si>
    <t>9763-20170724T104530.552153500.bin</t>
  </si>
  <si>
    <t>-742.221284300767 27.1059120786897 -534.883916267705</t>
  </si>
  <si>
    <t>-746.487998817495 48.9822049906516 -241.465340512109</t>
  </si>
  <si>
    <t>-512.986675661979 103.490140929383 -265.063984044831</t>
  </si>
  <si>
    <t>-683.540204004199 32.4994335310619 296.712171913977</t>
  </si>
  <si>
    <t>-713.461114731663 92.3362782682484 739.475640259846</t>
  </si>
  <si>
    <t>-570.689697349687 122.157796477153 801.235763789082</t>
  </si>
  <si>
    <t>-585.374543777113 -170.610755028609 306.687749298521</t>
  </si>
  <si>
    <t>-593.438049836275 -146.769269104453 753.885822759091</t>
  </si>
  <si>
    <t>-455.123778948055 -176.076720240578 825.282878677343</t>
  </si>
  <si>
    <t>9763-20170724T104530.584237000.bin</t>
  </si>
  <si>
    <t>-742.956962575607 26.9405269794681 -534.793692755743</t>
  </si>
  <si>
    <t>-747.195266669589 48.7406009836216 -241.368995269164</t>
  </si>
  <si>
    <t>-513.750693944594 103.355470223226 -265.279950415488</t>
  </si>
  <si>
    <t>-683.772631050183 32.4290515078189 296.737650860124</t>
  </si>
  <si>
    <t>-713.519805298698 92.4279000198617 739.510917445989</t>
  </si>
  <si>
    <t>-570.714139140067 122.090792636114 801.268123032683</t>
  </si>
  <si>
    <t>-585.458415269888 -170.62183336548 306.677938129659</t>
  </si>
  <si>
    <t>-593.434577572983 -146.749086968984 753.884758196108</t>
  </si>
  <si>
    <t>-455.116589067417 -176.053027244859 825.276037351933</t>
  </si>
  <si>
    <t>9763-20170724T104530.649411300.bin</t>
  </si>
  <si>
    <t>-744.454765666622 26.2497348889578 -534.549406441699</t>
  </si>
  <si>
    <t>-748.38774202129 48.140777207886 -241.12733538336</t>
  </si>
  <si>
    <t>-514.841799981715 102.108375907247 -265.512801059653</t>
  </si>
  <si>
    <t>-684.046806074874 32.101506192691 296.806848859001</t>
  </si>
  <si>
    <t>-713.497297030106 92.3440445615795 739.57342135401</t>
  </si>
  <si>
    <t>-570.719197407748 122.167110256612 801.317420606273</t>
  </si>
  <si>
    <t>-585.52487503969 -170.869245322097 306.690332248962</t>
  </si>
  <si>
    <t>-593.41518248078 -146.895946688862 753.894370344487</t>
  </si>
  <si>
    <t>-454.992903031711 -175.774920412666 825.256656116401</t>
  </si>
  <si>
    <t>9763-20170724T104530.712609500.bin</t>
  </si>
  <si>
    <t>-745.196231818147 25.8988533432787 -534.414010345702</t>
  </si>
  <si>
    <t>-749.144887014334 47.6654737459476 -240.982978045188</t>
  </si>
  <si>
    <t>-515.54887762447 101.335832967703 -265.544620310512</t>
  </si>
  <si>
    <t>-684.153287529178 31.9515255201184 296.854123092661</t>
  </si>
  <si>
    <t>-713.494638075776 92.3115270393535 739.603399928251</t>
  </si>
  <si>
    <t>-570.742163695286 122.269256836391 801.34115461739</t>
  </si>
  <si>
    <t>-585.546267752042 -170.976403957115 306.699193894314</t>
  </si>
  <si>
    <t>-593.403418560881 -146.926007218388 753.900023280888</t>
  </si>
  <si>
    <t>-455.006985599045 -175.933456204692 825.260350226591</t>
  </si>
  <si>
    <t>9763-20170724T104530.752716200.bin</t>
  </si>
  <si>
    <t>-746.36980016735 25.4335769950844 -534.306052107906</t>
  </si>
  <si>
    <t>-750.605044202321 46.9925912029591 -240.863480810977</t>
  </si>
  <si>
    <t>-516.924802144861 100.350560337138 -265.303268511623</t>
  </si>
  <si>
    <t>-684.663749574683 31.7815314905567 296.913375085121</t>
  </si>
  <si>
    <t>-713.530306374284 92.325695179019 739.664619702386</t>
  </si>
  <si>
    <t>-570.777070515786 122.270940388569 801.406722719788</t>
  </si>
  <si>
    <t>-585.556211495648 -171.01685424353 306.722460352169</t>
  </si>
  <si>
    <t>-593.379891760997 -146.985953812151 753.918289257005</t>
  </si>
  <si>
    <t>-454.927789101884 -175.781142725956 825.256617490671</t>
  </si>
  <si>
    <t>9763-20170724T104530.783815900.bin</t>
  </si>
  <si>
    <t>-746.755262542987 25.3435280396493 -534.301992013122</t>
  </si>
  <si>
    <t>-751.357743412579 46.8741261054054 -240.863000212156</t>
  </si>
  <si>
    <t>-517.592588210337 99.9580699938476 -265.087203297964</t>
  </si>
  <si>
    <t>-684.883972092289 31.7740174057585 296.92241436232</t>
  </si>
  <si>
    <t>-713.550003512571 92.3408707966064 739.685334116138</t>
  </si>
  <si>
    <t>-570.791909068872 122.241702338028 801.437583912013</t>
  </si>
  <si>
    <t>-585.516785568126 -171.030318549099 306.743281833374</t>
  </si>
  <si>
    <t>-593.364230143431 -147.030375244651 753.926416930964</t>
  </si>
  <si>
    <t>-454.898163270044 -175.776300806137 825.257438078051</t>
  </si>
  <si>
    <t>9763-20170724T104530.853000200.bin</t>
  </si>
  <si>
    <t>-747.024617479774 25.1839327777759 -534.359915626865</t>
  </si>
  <si>
    <t>-752.533286728847 46.3856402998092 -240.912630970868</t>
  </si>
  <si>
    <t>-518.685517404495 99.103701361706 -265.137997479992</t>
  </si>
  <si>
    <t>-685.073382342217 31.769896821424 296.91434949841</t>
  </si>
  <si>
    <t>-713.561836587597 92.3167425729121 739.703029617153</t>
  </si>
  <si>
    <t>-570.814181438423 122.249014289261 801.464238795105</t>
  </si>
  <si>
    <t>-585.52792244391 -171.018994345988 306.762882429488</t>
  </si>
  <si>
    <t>-593.336898186176 -146.916522684136 753.928356279895</t>
  </si>
  <si>
    <t>-454.883464308375 -175.709336680471 825.26497448371</t>
  </si>
  <si>
    <t>9763-20170724T104530.886095400.bin</t>
  </si>
  <si>
    <t>-747.117476934189 25.2557265532666 -534.415115589553</t>
  </si>
  <si>
    <t>-752.968052660077 46.2145709606225 -240.956919374932</t>
  </si>
  <si>
    <t>-519.070604381149 98.6454995732754 -265.325828904692</t>
  </si>
  <si>
    <t>-685.117646370606 31.8192775369753 296.897646429385</t>
  </si>
  <si>
    <t>-713.567826621036 92.2983596637266 739.700915706115</t>
  </si>
  <si>
    <t>-570.835491456275 122.299124068136 801.464462671332</t>
  </si>
  <si>
    <t>-585.51678373106 -170.873133827633 306.767790572089</t>
  </si>
  <si>
    <t>-593.330906112527 -146.710619664747 753.932497758787</t>
  </si>
  <si>
    <t>-454.975388746485 -175.939367180664 825.281909969047</t>
  </si>
  <si>
    <t>9763-20170724T104530.952273200.bin</t>
  </si>
  <si>
    <t>-747.291490115985 25.1898118961938 -534.494419000437</t>
  </si>
  <si>
    <t>-753.505381868572 45.8455708559754 -241.022237696262</t>
  </si>
  <si>
    <t>-519.643613451057 98.058208535145 -266.189378813701</t>
  </si>
  <si>
    <t>-685.088424294316 31.7953629487345 296.856950453593</t>
  </si>
  <si>
    <t>-713.59115164622 92.2989368743629 739.672484807065</t>
  </si>
  <si>
    <t>-570.872551731061 122.325478395891 801.455358880006</t>
  </si>
  <si>
    <t>-585.58396083914 -170.907276189528 306.785755317448</t>
  </si>
  <si>
    <t>-593.292866678154 -146.830219052168 753.944809648342</t>
  </si>
  <si>
    <t>-454.90018255837 -175.894914419485 825.289027102646</t>
  </si>
  <si>
    <t>9763-20170724T104530.985917800.bin</t>
  </si>
  <si>
    <t>-747.382880793336 24.835418653654 -534.575920467784</t>
  </si>
  <si>
    <t>-753.628440319103 45.3086337910722 -241.091578532922</t>
  </si>
  <si>
    <t>-519.825989162645 97.402545434134 -267.044138510825</t>
  </si>
  <si>
    <t>-685.083893738907 31.7476876236042 296.848792417742</t>
  </si>
  <si>
    <t>-713.621506596166 92.3257491691866 739.65740447509</t>
  </si>
  <si>
    <t>-570.918451472586 122.427785958624 801.439219259634</t>
  </si>
  <si>
    <t>-585.608989690142 -171.026099367566 306.796739311965</t>
  </si>
  <si>
    <t>-593.271435772615 -146.944237614406 753.950593678433</t>
  </si>
  <si>
    <t>-454.874617438077 -175.981386088811 825.298150261053</t>
  </si>
  <si>
    <t>9763-20170724T104531.051091700.bin</t>
  </si>
  <si>
    <t>-747.311392493873 24.262772062966 -534.731460523345</t>
  </si>
  <si>
    <t>-753.939281605087 44.9773377517793 -241.272395495038</t>
  </si>
  <si>
    <t>-520.481445677428 97.0042552662139 -270.280957725197</t>
  </si>
  <si>
    <t>-685.228231806165 31.6552523130399 296.824936302101</t>
  </si>
  <si>
    <t>-713.646731736666 92.2950907354716 739.628741052979</t>
  </si>
  <si>
    <t>-570.899127844352 122.184774052643 801.410796501026</t>
  </si>
  <si>
    <t>-585.740867788375 -171.101965447559 306.802466431202</t>
  </si>
  <si>
    <t>-593.264201556356 -146.747675410436 753.960616480239</t>
  </si>
  <si>
    <t>-454.934925248297 -176.102174194949 825.30925805526</t>
  </si>
  <si>
    <t>9763-20170724T104531.085687000.bin</t>
  </si>
  <si>
    <t>-747.405939462243 24.2639477382336 -534.735394207052</t>
  </si>
  <si>
    <t>-754.107865597313 45.1747904107949 -241.291851442258</t>
  </si>
  <si>
    <t>-520.952171626138 97.5611011047088 -272.032258128307</t>
  </si>
  <si>
    <t>-685.357708948485 31.5767007111949 296.820320777571</t>
  </si>
  <si>
    <t>-713.65297913888 92.2829979538694 739.619144073289</t>
  </si>
  <si>
    <t>-570.917407385763 122.223425781183 801.404413146868</t>
  </si>
  <si>
    <t>-585.842995867523 -171.170691460541 306.813088764162</t>
  </si>
  <si>
    <t>-593.260013428946 -146.758401394748 753.969460298175</t>
  </si>
  <si>
    <t>-454.922149005018 -176.096638155791 825.308183931911</t>
  </si>
  <si>
    <t>9763-20170724T104531.148861600.bin</t>
  </si>
  <si>
    <t>-748.26079969167 24.38401313226 -534.440144507276</t>
  </si>
  <si>
    <t>-754.007061496263 45.7181552103855 -241.006973240054</t>
  </si>
  <si>
    <t>-522.174056839862 99.7746896961928 -278.184914785648</t>
  </si>
  <si>
    <t>-685.680532590394 31.3648361988619 296.82504372513</t>
  </si>
  <si>
    <t>-713.687920948986 92.2831131601663 739.617238958454</t>
  </si>
  <si>
    <t>-570.974540140132 122.326940626653 801.403722118349</t>
  </si>
  <si>
    <t>-586.075527855122 -171.362011907755 306.854352772767</t>
  </si>
  <si>
    <t>-593.251153603873 -146.714099168288 753.986999642108</t>
  </si>
  <si>
    <t>-454.933602499567 -176.180411162445 825.312167948365</t>
  </si>
  <si>
    <t>9763-20170724T104531.182953700.bin</t>
  </si>
  <si>
    <t>-748.809259651437 24.4022559360094 -534.21286206519</t>
  </si>
  <si>
    <t>-753.595855008574 46.1288185942517 -240.791158855374</t>
  </si>
  <si>
    <t>-522.734548878383 101.633653288721 -281.695073499083</t>
  </si>
  <si>
    <t>-685.845151642622 31.2018662926314 296.832208573738</t>
  </si>
  <si>
    <t>-713.666084530522 92.2097574669692 739.620633974178</t>
  </si>
  <si>
    <t>-570.972331470688 122.345200152525 801.407845888837</t>
  </si>
  <si>
    <t>-586.258717421062 -171.605225358859 306.876771193154</t>
  </si>
  <si>
    <t>-593.242245966184 -146.86414624863 754.007823273286</t>
  </si>
  <si>
    <t>-454.805324927029 -175.842143025971 825.301567819492</t>
  </si>
  <si>
    <t>9763-20170724T104531.249129700.bin</t>
  </si>
  <si>
    <t>-750.089242894676 24.072764136371 -533.73184769288</t>
  </si>
  <si>
    <t>-752.428611560896 46.4608173337974 -240.330188081248</t>
  </si>
  <si>
    <t>-524.037214736768 105.561448185822 -289.272533744466</t>
  </si>
  <si>
    <t>-686.14445301711 30.7552326378716 296.911484088469</t>
  </si>
  <si>
    <t>-713.685113577294 92.1400208101368 739.669804342159</t>
  </si>
  <si>
    <t>-570.990670002132 122.327891292169 801.42965329997</t>
  </si>
  <si>
    <t>-586.335164825053 -171.958863149651 306.902309638991</t>
  </si>
  <si>
    <t>-593.22449214857 -147.064667193701 754.03386158865</t>
  </si>
  <si>
    <t>-454.703170961505 -175.722438595077 825.292970341386</t>
  </si>
  <si>
    <t>9763-20170724T104531.285778600.bin</t>
  </si>
  <si>
    <t>-750.505965973367 23.9715763586396 -533.449927385693</t>
  </si>
  <si>
    <t>-751.974896638098 46.1822989911402 -240.029269157912</t>
  </si>
  <si>
    <t>-524.939518401447 107.279054275318 -292.688246653707</t>
  </si>
  <si>
    <t>-686.213607446163 30.5885204924018 296.932937519072</t>
  </si>
  <si>
    <t>-713.724551263184 92.1767786449423 739.67444684854</t>
  </si>
  <si>
    <t>-571.015839795998 122.29914368253 801.433414757629</t>
  </si>
  <si>
    <t>-586.245802103359 -171.959270069725 306.918440550277</t>
  </si>
  <si>
    <t>-593.224139925669 -146.943233010703 754.035604051951</t>
  </si>
  <si>
    <t>-454.790312424017 -175.997827867681 825.304215768488</t>
  </si>
  <si>
    <t>9763-20170724T104531.330898800.bin</t>
  </si>
  <si>
    <t>-750.861937639065 23.7930370404783 -533.139162445854</t>
  </si>
  <si>
    <t>-751.546705188935 46.162944455629 -239.727676083702</t>
  </si>
  <si>
    <t>-525.61018880615 108.60933706426 -295.441475735701</t>
  </si>
  <si>
    <t>-686.227702389723 30.4169157610381 296.936580741734</t>
  </si>
  <si>
    <t>-713.72839701482 92.1511574509489 739.667753647835</t>
  </si>
  <si>
    <t>-571.046275314599 122.391474913034 801.430307524063</t>
  </si>
  <si>
    <t>-586.150049638886 -172.083430127183 306.933031844179</t>
  </si>
  <si>
    <t>-593.203255721407 -147.049324344919 754.040534031311</t>
  </si>
  <si>
    <t>-454.727275511176 -175.911779962647 825.305112818758</t>
  </si>
  <si>
    <t>9763-20170724T104531.381048700.bin</t>
  </si>
  <si>
    <t>-751.599592140328 23.2715224114702 -532.489994213083</t>
  </si>
  <si>
    <t>-751.326532086487 45.4075002039597 -239.059959324654</t>
  </si>
  <si>
    <t>-526.868044159975 109.729432451939 -298.490270248186</t>
  </si>
  <si>
    <t>-686.119099763767 30.0040159914963 296.945126042824</t>
  </si>
  <si>
    <t>-713.726065816408 92.0678335475354 739.639000657859</t>
  </si>
  <si>
    <t>-571.059521145225 122.392337901447 801.396412574951</t>
  </si>
  <si>
    <t>-585.832096884167 -172.286378074711 306.949113164832</t>
  </si>
  <si>
    <t>-593.157706165123 -147.091096435276 754.035288736467</t>
  </si>
  <si>
    <t>-454.670250582366 -175.87974777405 825.307477494933</t>
  </si>
  <si>
    <t>9763-20170724T104531.452242500.bin</t>
  </si>
  <si>
    <t>-752.464068301149 22.1312251783529 -532.176835840547</t>
  </si>
  <si>
    <t>-751.6315133868 43.7630602853658 -238.710302999244</t>
  </si>
  <si>
    <t>-527.571120566049 107.597257148697 -300.135306621</t>
  </si>
  <si>
    <t>-686.053250165741 29.5210871884956 297.027128970374</t>
  </si>
  <si>
    <t>-713.780212780165 92.0373792978357 739.655442613438</t>
  </si>
  <si>
    <t>-571.104390922975 122.386153248135 801.379407154666</t>
  </si>
  <si>
    <t>-585.701312538409 -172.525883486878 306.941287594895</t>
  </si>
  <si>
    <t>-593.126996220232 -147.212055129249 754.034205630429</t>
  </si>
  <si>
    <t>-454.556316454957 -175.62194538148 825.296664467905</t>
  </si>
  <si>
    <t>9763-20170724T104531.483865600.bin</t>
  </si>
  <si>
    <t>-752.808316507849 21.8683241327979 -532.075427952973</t>
  </si>
  <si>
    <t>-752.055198340616 43.4117971066282 -238.602251743849</t>
  </si>
  <si>
    <t>-527.878472881709 106.306949141948 -300.568841135713</t>
  </si>
  <si>
    <t>-686.092598442558 29.3944294891339 297.055971031921</t>
  </si>
  <si>
    <t>-713.793412645366 92.0130407453364 739.663729604585</t>
  </si>
  <si>
    <t>-571.116506448377 122.388517469442 801.37214028103</t>
  </si>
  <si>
    <t>-585.702725397702 -172.592746570104 306.945229590575</t>
  </si>
  <si>
    <t>-593.120705726957 -147.195274161348 754.033537982922</t>
  </si>
  <si>
    <t>-454.539951905091 -175.568471041557 825.291043516225</t>
  </si>
  <si>
    <t>9763-20170724T104531.552047000.bin</t>
  </si>
  <si>
    <t>-753.388715657855 22.2650429646528 -531.847716230433</t>
  </si>
  <si>
    <t>-752.720658881443 43.8816625971717 -238.379706857053</t>
  </si>
  <si>
    <t>-528.160197455882 104.919813991462 -300.811893130083</t>
  </si>
  <si>
    <t>-686.416656517536 29.4859102244122 297.078256743058</t>
  </si>
  <si>
    <t>-713.875233552252 92.0830977441494 739.688757164231</t>
  </si>
  <si>
    <t>-571.142689959519 122.235870254355 801.377629285044</t>
  </si>
  <si>
    <t>-585.943388676522 -172.509016393461 306.929846677545</t>
  </si>
  <si>
    <t>-593.099938658763 -147.175666795452 754.022406451828</t>
  </si>
  <si>
    <t>-454.488141460067 -175.410348666125 825.274556163915</t>
  </si>
  <si>
    <t>9763-20170724T104531.586700400.bin</t>
  </si>
  <si>
    <t>-753.311730749987 22.8391823533411 -531.760934842012</t>
  </si>
  <si>
    <t>-752.789684584161 44.2701853509925 -238.278893662425</t>
  </si>
  <si>
    <t>-528.030340664441 104.450689485339 -300.828314885121</t>
  </si>
  <si>
    <t>-686.595770089628 29.5874541765822 297.078737612089</t>
  </si>
  <si>
    <t>-713.879490096806 92.0645682742033 739.701576359603</t>
  </si>
  <si>
    <t>-571.170002661017 122.342030903645 801.382864732992</t>
  </si>
  <si>
    <t>-586.123553068696 -172.254197996561 306.905240794537</t>
  </si>
  <si>
    <t>-593.107112792689 -146.83263156788 754.013534527248</t>
  </si>
  <si>
    <t>-454.666842329709 -175.840594733582 825.288501141137</t>
  </si>
  <si>
    <t>9763-20170724T104531.650871100.bin</t>
  </si>
  <si>
    <t>-752.975602976685 23.8246249491456 -531.638512207694</t>
  </si>
  <si>
    <t>-752.940266920485 44.6735558433202 -238.114136019921</t>
  </si>
  <si>
    <t>-527.473827196125 102.714205146466 -300.138260302445</t>
  </si>
  <si>
    <t>-686.763779708689 29.7572827305685 297.088037626777</t>
  </si>
  <si>
    <t>-713.924261730312 92.0882294915154 739.744960031104</t>
  </si>
  <si>
    <t>-571.18228385809 122.23690710446 801.413908384723</t>
  </si>
  <si>
    <t>-586.383646876173 -172.069825568223 306.880565791591</t>
  </si>
  <si>
    <t>-593.089746254414 -146.884871908945 754.008208486254</t>
  </si>
  <si>
    <t>-454.633981200956 -175.831577192218 825.278035984634</t>
  </si>
  <si>
    <t>9763-20170724T104531.681957500.bin</t>
  </si>
  <si>
    <t>-752.761657308163 24.1057211736832 -531.617662005283</t>
  </si>
  <si>
    <t>-753.159254418098 44.728013157295 -238.077756911912</t>
  </si>
  <si>
    <t>-527.27362534386 101.592017797054 -299.66517958771</t>
  </si>
  <si>
    <t>-686.769337779339 29.8245588757675 297.117318041834</t>
  </si>
  <si>
    <t>-713.983902136871 92.1564499277636 739.776557707866</t>
  </si>
  <si>
    <t>-571.189947459833 122.076286621584 801.436657352133</t>
  </si>
  <si>
    <t>-586.495189842646 -172.027672967663 306.868955874056</t>
  </si>
  <si>
    <t>-593.080297614216 -146.85506890909 754.003187518991</t>
  </si>
  <si>
    <t>-454.595004832389 -175.667136825225 825.270185532918</t>
  </si>
  <si>
    <t>9763-20170724T104531.751141700.bin</t>
  </si>
  <si>
    <t>-752.23843133863 24.5365206360248 -531.645606315537</t>
  </si>
  <si>
    <t>-753.438985931753 44.5053491530134 -238.062546679466</t>
  </si>
  <si>
    <t>-526.713263916295 99.3384505793113 -298.391805953365</t>
  </si>
  <si>
    <t>-686.734562170809 29.9241356774032 297.183803991581</t>
  </si>
  <si>
    <t>-714.034279798102 92.1801364582916 739.836272199227</t>
  </si>
  <si>
    <t>-571.223683307721 122.058896494431 801.477877938478</t>
  </si>
  <si>
    <t>-586.588333115922 -171.938232877496 306.864651129972</t>
  </si>
  <si>
    <t>-593.064932646392 -146.85297939807 754.00296616282</t>
  </si>
  <si>
    <t>-454.636971348829 -175.92469926267 825.275889262039</t>
  </si>
  <si>
    <t>9763-20170724T104531.783240800.bin</t>
  </si>
  <si>
    <t>-752.086486229159 24.7209075379576 -531.621450583446</t>
  </si>
  <si>
    <t>-753.750405622809 44.2295040224947 -238.009742741091</t>
  </si>
  <si>
    <t>-526.654054636788 98.4197661025544 -297.520333803501</t>
  </si>
  <si>
    <t>-686.776019500721 29.9940987080258 297.215617215711</t>
  </si>
  <si>
    <t>-714.092300531122 92.2561442883484 739.867920989685</t>
  </si>
  <si>
    <t>-571.276585234246 122.145256224515 801.492680877346</t>
  </si>
  <si>
    <t>-586.654302538801 -171.840020155527 306.867552114263</t>
  </si>
  <si>
    <t>-593.066959473404 -146.693533502798 753.999236194838</t>
  </si>
  <si>
    <t>-454.671661632102 -175.911599852268 825.275704919567</t>
  </si>
  <si>
    <t>9763-20170724T104531.848414700.bin</t>
  </si>
  <si>
    <t>-752.219001326017 24.7629876346168 -531.60526278606</t>
  </si>
  <si>
    <t>-754.677444510554 43.9164285471895 -237.97557153611</t>
  </si>
  <si>
    <t>-527.046456126752 97.1611412969867 -296.285241119201</t>
  </si>
  <si>
    <t>-686.984500583968 30.0435898194944 297.237088700443</t>
  </si>
  <si>
    <t>-714.100234806389 92.2358999725504 739.916786000055</t>
  </si>
  <si>
    <t>-571.256358491067 122.014035749112 801.529976207538</t>
  </si>
  <si>
    <t>-586.642647855572 -171.826498674788 306.857773375784</t>
  </si>
  <si>
    <t>-593.029100946041 -146.951793705178 753.992626088108</t>
  </si>
  <si>
    <t>-454.531408029081 -175.693330588686 825.264017138881</t>
  </si>
  <si>
    <t>9763-20170724T104531.885521300.bin</t>
  </si>
  <si>
    <t>-752.36439134326 24.6181893900214 -531.633546363642</t>
  </si>
  <si>
    <t>-755.106960548076 43.6973544630671 -238.001643939292</t>
  </si>
  <si>
    <t>-527.27597256835 96.6408951776937 -295.801943021898</t>
  </si>
  <si>
    <t>-687.042079492446 30.0569912555975 297.251419241586</t>
  </si>
  <si>
    <t>-714.111345754133 92.2453155459477 739.938219183492</t>
  </si>
  <si>
    <t>-571.273728034317 122.052042399994 801.552132831299</t>
  </si>
  <si>
    <t>-586.629030065087 -171.821195886021 306.852891743079</t>
  </si>
  <si>
    <t>-593.013277108975 -147.012583229493 753.99345789827</t>
  </si>
  <si>
    <t>-454.434119962412 -175.383819147388 825.254923148809</t>
  </si>
  <si>
    <t>9763-20170724T104531.952701300.bin</t>
  </si>
  <si>
    <t>-752.395971626025 24.6055665732163 -531.741609037858</t>
  </si>
  <si>
    <t>-755.685786829679 44.1066540832992 -238.143037039181</t>
  </si>
  <si>
    <t>-527.495849726164 95.967844244009 -295.507198043003</t>
  </si>
  <si>
    <t>-687.166921820716 30.1568580915332 297.264339876502</t>
  </si>
  <si>
    <t>-714.130759533037 92.2396919899172 739.977155354067</t>
  </si>
  <si>
    <t>-571.292177524042 122.070837332948 801.576869453045</t>
  </si>
  <si>
    <t>-586.463677380216 -171.570478935586 306.831524316358</t>
  </si>
  <si>
    <t>-592.996878949857 -146.844285174413 753.971671016709</t>
  </si>
  <si>
    <t>-454.533340747201 -175.696574506548 825.264717497416</t>
  </si>
  <si>
    <t>9763-20170724T104531.986808900.bin</t>
  </si>
  <si>
    <t>-752.38062729728 24.7219380856625 -531.808886838337</t>
  </si>
  <si>
    <t>-755.974496097673 44.2029889654448 -238.212641242223</t>
  </si>
  <si>
    <t>-527.631770170553 95.7256392187546 -295.272944365568</t>
  </si>
  <si>
    <t>-687.187884051038 30.2740777007728 297.252619538453</t>
  </si>
  <si>
    <t>-714.137990949149 92.2306341057508 739.990458182309</t>
  </si>
  <si>
    <t>-571.290645927598 122.01490392311 801.592709496682</t>
  </si>
  <si>
    <t>-586.355440363161 -171.49172188779 306.838282091468</t>
  </si>
  <si>
    <t>-592.984812312185 -146.88330275188 753.97345424053</t>
  </si>
  <si>
    <t>-454.479847714139 -175.553528253775 825.259503242671</t>
  </si>
  <si>
    <t>9763-20170724T104532.052985300.bin</t>
  </si>
  <si>
    <t>-752.242890740485 24.8293791426106 -531.970881734538</t>
  </si>
  <si>
    <t>-756.488746508242 44.2400458707943 -238.37872625593</t>
  </si>
  <si>
    <t>-527.871307286374 95.141663488323 -294.893671405404</t>
  </si>
  <si>
    <t>-687.143881878912 30.407193830468 297.236408396573</t>
  </si>
  <si>
    <t>-714.139886057904 92.2015914909805 739.999763168593</t>
  </si>
  <si>
    <t>-571.311320358525 122.075244715783 801.602038806247</t>
  </si>
  <si>
    <t>-586.307913209552 -171.334172038936 306.820129485395</t>
  </si>
  <si>
    <t>-592.965056911101 -146.858391891071 753.963641309228</t>
  </si>
  <si>
    <t>-454.454973790727 -175.483753775076 825.257608460707</t>
  </si>
  <si>
    <t>9763-20170724T104532.084654500.bin</t>
  </si>
  <si>
    <t>-752.086316804142 24.8715291030701 -532.082824129823</t>
  </si>
  <si>
    <t>-756.774192856616 44.1699159071513 -238.489832090315</t>
  </si>
  <si>
    <t>-527.993746318658 94.7613915841423 -294.622551922509</t>
  </si>
  <si>
    <t>-687.186093433742 30.4865481993984 297.223300407723</t>
  </si>
  <si>
    <t>-714.178518196316 92.2478560387854 739.999357473134</t>
  </si>
  <si>
    <t>-571.32458944211 121.998682284504 801.602431892955</t>
  </si>
  <si>
    <t>-586.20303336733 -171.351760220898 306.817688267537</t>
  </si>
  <si>
    <t>-592.942135413453 -147.011113969206 753.963689764706</t>
  </si>
  <si>
    <t>-454.347582877284 -175.242585912664 825.250681319669</t>
  </si>
  <si>
    <t>9763-20170724T104532.152837000.bin</t>
  </si>
  <si>
    <t>-751.598994423723 24.8113911445912 -532.380134034315</t>
  </si>
  <si>
    <t>-757.156791890604 44.1664344714636 -238.8061450899</t>
  </si>
  <si>
    <t>-528.058970404737 93.9103645062569 -294.39924246246</t>
  </si>
  <si>
    <t>-687.059289784698 30.5594553107728 297.19075971057</t>
  </si>
  <si>
    <t>-714.170476287126 92.1964590139905 739.98175964754</t>
  </si>
  <si>
    <t>-571.357807250428 122.13165556873 801.591297392105</t>
  </si>
  <si>
    <t>-585.926506855362 -171.271889107539 306.799172679938</t>
  </si>
  <si>
    <t>-592.915299427365 -146.981169740188 753.945564769249</t>
  </si>
  <si>
    <t>-454.347435288516 -175.297608648201 825.250662032653</t>
  </si>
  <si>
    <t>9763-20170724T104532.183502300.bin</t>
  </si>
  <si>
    <t>-751.203899738943 24.7796556375465 -532.533795402393</t>
  </si>
  <si>
    <t>-757.231567191857 44.2301470387115 -238.975408155428</t>
  </si>
  <si>
    <t>-527.868119496468 93.3261267119155 -294.046486958363</t>
  </si>
  <si>
    <t>-686.931174269245 30.5966706238764 297.177493844123</t>
  </si>
  <si>
    <t>-714.203373598287 92.2341945082703 739.971801100332</t>
  </si>
  <si>
    <t>-571.390092183337 122.167651216274 801.580596288138</t>
  </si>
  <si>
    <t>-585.789648714138 -171.132590823615 306.786835779196</t>
  </si>
  <si>
    <t>-592.909876249729 -146.805380992167 753.934295188014</t>
  </si>
  <si>
    <t>-454.459727741926 -175.629927530303 825.264443346438</t>
  </si>
  <si>
    <t>9763-20170724T104532.254690500.bin</t>
  </si>
  <si>
    <t>-750.378268802759 24.7248370999255 -532.834992548954</t>
  </si>
  <si>
    <t>-757.641895922257 44.3266341778642 -239.314574367031</t>
  </si>
  <si>
    <t>-527.519357312451 92.0915690763245 -292.352331977592</t>
  </si>
  <si>
    <t>-686.582692467113 30.6307172079921 297.153000844714</t>
  </si>
  <si>
    <t>-714.196707968718 92.1780482142683 739.929365985854</t>
  </si>
  <si>
    <t>-571.398711338253 122.171669320627 801.544461931683</t>
  </si>
  <si>
    <t>-585.423343115266 -171.02650169754 306.792094899485</t>
  </si>
  <si>
    <t>-592.897073880785 -146.609330395202 753.918302235421</t>
  </si>
  <si>
    <t>-454.520227905486 -175.724400997596 825.27279829314</t>
  </si>
  <si>
    <t>9763-20170724T104532.282272200.bin</t>
  </si>
  <si>
    <t>-749.880836542596 24.6254758268508 -532.994000023902</t>
  </si>
  <si>
    <t>-758.211031427353 43.6782286216446 -239.465795523825</t>
  </si>
  <si>
    <t>-527.6245865336 91.1750332925219 -290.698827309198</t>
  </si>
  <si>
    <t>-686.389893613108 30.6271220763731 297.143236120266</t>
  </si>
  <si>
    <t>-714.203681971207 92.1653383516436 739.904353543082</t>
  </si>
  <si>
    <t>-571.41379739137 122.196371318778 801.519888723122</t>
  </si>
  <si>
    <t>-585.262082296657 -171.09532484278 306.797425939599</t>
  </si>
  <si>
    <t>-592.892509302298 -146.554793056977 753.917078632222</t>
  </si>
  <si>
    <t>-454.472196707299 -175.474595267423 825.266674918579</t>
  </si>
  <si>
    <t>9763-20170724T104532.353470600.bin</t>
  </si>
  <si>
    <t>-748.948073443233 24.1962168366929 -533.492864802175</t>
  </si>
  <si>
    <t>-759.981675091919 40.6004900204707 -239.893878312048</t>
  </si>
  <si>
    <t>-528.289549775083 89.4349099652627 -284.445368980172</t>
  </si>
  <si>
    <t>-686.056846216633 30.6860213757986 297.080433024876</t>
  </si>
  <si>
    <t>-714.236659979274 92.1921792580065 739.839735709291</t>
  </si>
  <si>
    <t>-571.42107604496 122.074663832212 801.467979957715</t>
  </si>
  <si>
    <t>-584.959312807305 -171.150364987878 306.804989983716</t>
  </si>
  <si>
    <t>-592.869383945694 -146.64325360887 753.913252665624</t>
  </si>
  <si>
    <t>-454.456944188258 -175.574860715511 825.27327454244</t>
  </si>
  <si>
    <t>9763-20170724T104532.384959600.bin</t>
  </si>
  <si>
    <t>-748.450455502093 23.9107359202912 -533.773303948877</t>
  </si>
  <si>
    <t>-760.879023540407 38.5954472981934 -240.138943640478</t>
  </si>
  <si>
    <t>-528.844372720616 89.2437119942263 -280.704197127746</t>
  </si>
  <si>
    <t>-685.82065670322 30.6104419294197 297.057102948241</t>
  </si>
  <si>
    <t>-714.228050252511 92.1544142348491 739.806084976572</t>
  </si>
  <si>
    <t>-571.422990596851 122.079807249537 801.43787618412</t>
  </si>
  <si>
    <t>-584.803085149047 -171.299237348556 306.81416160918</t>
  </si>
  <si>
    <t>-592.857126661532 -146.761638313845 753.915867124105</t>
  </si>
  <si>
    <t>-454.365326842248 -175.336467358621 825.26573494377</t>
  </si>
  <si>
    <t>9763-20170724T104532.453135400.bin</t>
  </si>
  <si>
    <t>-747.718981374493 23.2758803659408 -534.307033690529</t>
  </si>
  <si>
    <t>-761.27916299853 35.7019050940805 -240.618556616235</t>
  </si>
  <si>
    <t>-529.30378377219 91.7642951122527 -273.714608212626</t>
  </si>
  <si>
    <t>-685.576296203883 30.4432142493822 297.003713229112</t>
  </si>
  <si>
    <t>-714.193230865676 92.0629771558806 739.721436216703</t>
  </si>
  <si>
    <t>-571.43168471863 122.161795233186 801.369612647999</t>
  </si>
  <si>
    <t>-584.602466357165 -171.453551692043 306.836576688255</t>
  </si>
  <si>
    <t>-592.851918673056 -146.727823886845 753.916684740343</t>
  </si>
  <si>
    <t>-454.396323853474 -175.471742392629 825.268829879848</t>
  </si>
  <si>
    <t>9763-20170724T104532.482218900.bin</t>
  </si>
  <si>
    <t>-747.680545497229 22.9144874995827 -534.429921634486</t>
  </si>
  <si>
    <t>-760.738599679941 35.7013883794316 -240.734077921464</t>
  </si>
  <si>
    <t>-528.88676079304 93.6246951900032 -271.40183839472</t>
  </si>
  <si>
    <t>-685.58754344663 30.3428629791465 296.982303071599</t>
  </si>
  <si>
    <t>-714.217458812014 92.093412226724 739.680036401539</t>
  </si>
  <si>
    <t>-571.456565213846 122.179732348419 801.33584869776</t>
  </si>
  <si>
    <t>-584.524081013546 -171.536101824931 306.846543792343</t>
  </si>
  <si>
    <t>-592.854839293387 -146.641758964687 753.917923560069</t>
  </si>
  <si>
    <t>-454.417413249709 -175.475985805314 825.269002208498</t>
  </si>
  <si>
    <t>9763-20170724T104532.551853700.bin</t>
  </si>
  <si>
    <t>-747.722556758636 21.9412096423198 -534.603482541861</t>
  </si>
  <si>
    <t>-759.2462372168 36.8641888442655 -240.944367682686</t>
  </si>
  <si>
    <t>-527.777905091243 96.8234854724062 -270.5783678938</t>
  </si>
  <si>
    <t>-685.815472648146 29.9521691551352 296.890697406633</t>
  </si>
  <si>
    <t>-714.185617940396 92.0038903672571 739.577003244964</t>
  </si>
  <si>
    <t>-571.443498763437 122.138084726897 801.252932375258</t>
  </si>
  <si>
    <t>-584.510643346545 -171.854114891693 306.893607615015</t>
  </si>
  <si>
    <t>-592.862266009077 -146.639452947744 753.93862266238</t>
  </si>
  <si>
    <t>-454.37214814668 -175.282701604018 825.26423884951</t>
  </si>
  <si>
    <t>9763-20170724T104532.582942200.bin</t>
  </si>
  <si>
    <t>-747.676196487437 21.3003137249368 -534.689156626536</t>
  </si>
  <si>
    <t>-758.317695824732 37.0838152415395 -241.041554829526</t>
  </si>
  <si>
    <t>-527.113777162076 97.6252159230019 -271.543369567809</t>
  </si>
  <si>
    <t>-685.85736841479 29.7081267590831 296.853583929669</t>
  </si>
  <si>
    <t>-714.171283522243 91.9559799317451 739.532648207254</t>
  </si>
  <si>
    <t>-571.474330391639 122.291335288541 801.214484717421</t>
  </si>
  <si>
    <t>-584.376983286393 -172.15477275188 306.906356868664</t>
  </si>
  <si>
    <t>-592.84602448249 -146.882039402298 753.951682263269</t>
  </si>
  <si>
    <t>-454.282824801247 -175.212224089 825.260372698849</t>
  </si>
  <si>
    <t>9763-20170724T104532.653132800.bin</t>
  </si>
  <si>
    <t>-747.617054239251 20.3689013089031 -534.666652653172</t>
  </si>
  <si>
    <t>-757.26016728123 36.8297363897191 -241.02184405473</t>
  </si>
  <si>
    <t>-526.642770318489 98.3651836143647 -273.883450428568</t>
  </si>
  <si>
    <t>-685.688631960571 29.1806604676535 296.848040907125</t>
  </si>
  <si>
    <t>-714.125902546731 91.8128916534372 739.461117071281</t>
  </si>
  <si>
    <t>-571.477405945726 122.355670501381 801.152637400721</t>
  </si>
  <si>
    <t>-584.199322625757 -172.557296659371 306.949012341947</t>
  </si>
  <si>
    <t>-592.848695703507 -146.919079309444 753.967807382979</t>
  </si>
  <si>
    <t>-454.30087009216 -175.360538738901 825.26204858426</t>
  </si>
  <si>
    <t>9763-20170724T104532.687769700.bin</t>
  </si>
  <si>
    <t>-747.530936507973 20.0242081084843 -534.599423432015</t>
  </si>
  <si>
    <t>-757.035127764017 36.52245013684 -240.952196153722</t>
  </si>
  <si>
    <t>-526.593277786583 98.1589172299339 -274.84024394965</t>
  </si>
  <si>
    <t>-685.54498768919 28.9339192277764 296.855887263268</t>
  </si>
  <si>
    <t>-714.131415938408 91.7927724519141 739.424191988982</t>
  </si>
  <si>
    <t>-571.49767593067 122.390709452392 801.12244901367</t>
  </si>
  <si>
    <t>-584.137627932954 -172.865921736738 306.980171020246</t>
  </si>
  <si>
    <t>-592.838693158786 -147.045640228758 753.97874891093</t>
  </si>
  <si>
    <t>-454.145604806391 -174.838425239171 825.246317092351</t>
  </si>
  <si>
    <t>9763-20170724T104532.750937200.bin</t>
  </si>
  <si>
    <t>-747.63550622108 19.5985056319084 -534.422143141604</t>
  </si>
  <si>
    <t>-756.906061048401 35.8041475005307 -240.751256089622</t>
  </si>
  <si>
    <t>-526.909326199458 97.5594501511175 -277.338462320354</t>
  </si>
  <si>
    <t>-685.409017901412 28.62273385914 296.835274080893</t>
  </si>
  <si>
    <t>-714.138811988907 91.7465311200383 739.347429154504</t>
  </si>
  <si>
    <t>-571.510732450812 122.344772865002 801.058507007856</t>
  </si>
  <si>
    <t>-584.018630671481 -173.127837249097 307.00989765737</t>
  </si>
  <si>
    <t>-592.830883100124 -146.871643583106 753.975717448846</t>
  </si>
  <si>
    <t>-454.180873569418 -174.850635284501 825.254307873312</t>
  </si>
  <si>
    <t>9763-20170724T104532.784552600.bin</t>
  </si>
  <si>
    <t>-747.873204774004 19.1974636048365 -534.339413210712</t>
  </si>
  <si>
    <t>-756.973605928672 35.4469031274423 -240.665644273463</t>
  </si>
  <si>
    <t>-527.133849455266 97.0110676945483 -278.53928564679</t>
  </si>
  <si>
    <t>-685.297085048055 28.437173740901 296.804675515386</t>
  </si>
  <si>
    <t>-714.09949996083 91.6523864382814 739.304276921147</t>
  </si>
  <si>
    <t>-571.506508657498 122.397314941489 801.023713657279</t>
  </si>
  <si>
    <t>-583.92986782281 -173.259496063131 307.017341015123</t>
  </si>
  <si>
    <t>-592.822986759383 -146.840976209702 753.974792145044</t>
  </si>
  <si>
    <t>-454.205925431923 -174.963272831801 825.261123052328</t>
  </si>
  <si>
    <t>9763-20170724T104532.852733900.bin</t>
  </si>
  <si>
    <t>-748.427270282749 17.9589982364637 -534.247544434042</t>
  </si>
  <si>
    <t>-757.432594274898 34.6631114333095 -240.596261272966</t>
  </si>
  <si>
    <t>-527.995091653922 95.7141005078465 -281.609399524687</t>
  </si>
  <si>
    <t>-685.134309616907 27.9105355338015 296.769264005302</t>
  </si>
  <si>
    <t>-714.058513469879 91.5204930548459 739.22296609939</t>
  </si>
  <si>
    <t>-571.526136751584 122.527158032339 800.951399404634</t>
  </si>
  <si>
    <t>-583.767404613867 -173.693621853216 307.030387163538</t>
  </si>
  <si>
    <t>-592.810113651169 -146.923882577188 753.968103753262</t>
  </si>
  <si>
    <t>-454.130741875112 -174.760563392702 825.245353593665</t>
  </si>
  <si>
    <t>9763-20170724T104532.879808200.bin</t>
  </si>
  <si>
    <t>-748.720848785359 17.2943586769779 -534.22264910976</t>
  </si>
  <si>
    <t>-757.674326591883 34.4057281545572 -240.593138462651</t>
  </si>
  <si>
    <t>-528.4418583223 95.141518855869 -283.190646807243</t>
  </si>
  <si>
    <t>-685.081119162905 27.709932787224 296.747744141797</t>
  </si>
  <si>
    <t>-714.069130808662 91.5073401142531 739.177565345629</t>
  </si>
  <si>
    <t>-571.515653396874 122.400965577189 800.914053579084</t>
  </si>
  <si>
    <t>-583.687434744849 -173.859760014772 307.046799080945</t>
  </si>
  <si>
    <t>-592.813964690773 -146.827142438141 753.96820575617</t>
  </si>
  <si>
    <t>-454.182075448779 -174.884645557878 825.25109279421</t>
  </si>
  <si>
    <t>9763-20170724T104532.953004900.bin</t>
  </si>
  <si>
    <t>-749.401632184823 15.8914268337071 -534.130768006124</t>
  </si>
  <si>
    <t>-758.020517278458 33.6398475165211 -240.529233770899</t>
  </si>
  <si>
    <t>-529.405775582893 94.2669770749565 -286.469572937274</t>
  </si>
  <si>
    <t>-684.847372784726 27.1619725717233 296.713549958272</t>
  </si>
  <si>
    <t>-714.047622168756 91.3924393245998 739.072679702924</t>
  </si>
  <si>
    <t>-571.539073180519 122.5086078355 800.801005830396</t>
  </si>
  <si>
    <t>-583.588549358904 -174.271154408879 307.105741452126</t>
  </si>
  <si>
    <t>-592.805367663827 -146.877910701088 753.985852993566</t>
  </si>
  <si>
    <t>-454.136058788739 -174.786489595569 825.2546333409</t>
  </si>
  <si>
    <t>9763-20170724T104532.983596900.bin</t>
  </si>
  <si>
    <t>-749.763912439422 15.1951652698119 -534.078630421054</t>
  </si>
  <si>
    <t>-758.213190496925 33.3924728893198 -240.499601330365</t>
  </si>
  <si>
    <t>-529.720804239405 93.6246252848068 -287.554610195249</t>
  </si>
  <si>
    <t>-684.799090405119 26.9347328730564 296.678129032193</t>
  </si>
  <si>
    <t>-714.062430333999 91.3898571440775 739.002494373663</t>
  </si>
  <si>
    <t>-571.558177820338 122.505268817779 800.741282869316</t>
  </si>
  <si>
    <t>-583.577417598485 -174.454011921229 307.129915236919</t>
  </si>
  <si>
    <t>-592.803547343414 -146.950244243187 753.998085697102</t>
  </si>
  <si>
    <t>-454.121762630339 -174.818049161807 825.258397853859</t>
  </si>
  <si>
    <t>9763-20170724T104533.051897800.bin</t>
  </si>
  <si>
    <t>-750.642825219087 14.0960934881982 -534.007403971596</t>
  </si>
  <si>
    <t>-758.901187350381 32.8830898178182 -240.459949139303</t>
  </si>
  <si>
    <t>-530.789780063171 92.6231598417619 -289.928613132465</t>
  </si>
  <si>
    <t>-684.726683286896 26.5538269845324 296.610855919058</t>
  </si>
  <si>
    <t>-714.032330044394 91.2841432716755 738.8758476318</t>
  </si>
  <si>
    <t>-571.564683512073 122.549330629868 800.623289543935</t>
  </si>
  <si>
    <t>-583.622272412823 -174.776150844321 307.166348733571</t>
  </si>
  <si>
    <t>-592.809428473421 -146.92312459274 754.015910503751</t>
  </si>
  <si>
    <t>-454.114701332977 -174.774171297273 825.257667955933</t>
  </si>
  <si>
    <t>9763-20170724T104533.083502200.bin</t>
  </si>
  <si>
    <t>-751.078179837027 13.5747331703476 -533.975065524047</t>
  </si>
  <si>
    <t>-759.318741953608 32.89644314763 -240.461934824555</t>
  </si>
  <si>
    <t>-531.24244055051 92.13184422827 -290.693635494594</t>
  </si>
  <si>
    <t>-684.784897533863 26.4040288035717 296.569751589523</t>
  </si>
  <si>
    <t>-714.06773306296 91.3207851483296 738.820391583942</t>
  </si>
  <si>
    <t>-571.573246697771 122.448752155459 800.575319833652</t>
  </si>
  <si>
    <t>-583.665840558753 -174.934279738646 307.186270945841</t>
  </si>
  <si>
    <t>-592.804977898696 -146.976362267701 754.024530598444</t>
  </si>
  <si>
    <t>-454.078169630754 -174.698673187785 825.254042465836</t>
  </si>
  <si>
    <t>9763-20170724T104533.149180700.bin</t>
  </si>
  <si>
    <t>-751.572745984735 12.7328754996292 -533.939187451356</t>
  </si>
  <si>
    <t>-759.68824253305 33.2162162616719 -240.501426048646</t>
  </si>
  <si>
    <t>-531.381210013231 91.002336468455 -291.369008221942</t>
  </si>
  <si>
    <t>-684.816623399354 26.0206242090483 296.500741078386</t>
  </si>
  <si>
    <t>-714.026805950986 91.1981992683097 738.710822680677</t>
  </si>
  <si>
    <t>-571.558985632289 122.434070423137 800.472811209763</t>
  </si>
  <si>
    <t>-583.794110390274 -175.194952477479 307.201026405757</t>
  </si>
  <si>
    <t>-592.805160317795 -147.045097236474 754.035103624224</t>
  </si>
  <si>
    <t>-454.079626373249 -174.801359593075 825.253948456855</t>
  </si>
  <si>
    <t>9763-20170724T104533.182273800.bin</t>
  </si>
  <si>
    <t>-751.498177632017 12.4486677519187 -533.893924227853</t>
  </si>
  <si>
    <t>-759.404994323556 33.1859988670849 -240.468188907935</t>
  </si>
  <si>
    <t>-530.964134476488 90.6493229542477 -291.100056428676</t>
  </si>
  <si>
    <t>-684.814530704691 25.8452189693505 296.462247668427</t>
  </si>
  <si>
    <t>-714.039810687665 91.2045948004736 738.654207458264</t>
  </si>
  <si>
    <t>-571.555702308244 122.348422845262 800.425147414704</t>
  </si>
  <si>
    <t>-583.850240602631 -175.407392009401 307.200904073435</t>
  </si>
  <si>
    <t>-592.796511339951 -147.158240643889 754.034623503647</t>
  </si>
  <si>
    <t>-453.991638224399 -174.548018217519 825.240758513679</t>
  </si>
  <si>
    <t>9763-20170724T104533.255045900.bin</t>
  </si>
  <si>
    <t>-751.72803395942 12.0741668578667 -533.720969106827</t>
  </si>
  <si>
    <t>-758.800644468985 33.0222892413708 -240.288842573438</t>
  </si>
  <si>
    <t>-530.313623626987 90.6091712638442 -290.571136215914</t>
  </si>
  <si>
    <t>-684.888054382686 25.615506328046 296.403224923181</t>
  </si>
  <si>
    <t>-714.050527239438 91.186216091324 738.561035093167</t>
  </si>
  <si>
    <t>-571.559681396945 122.278152082588 800.342383829447</t>
  </si>
  <si>
    <t>-583.916650705813 -175.606447326504 307.203318921522</t>
  </si>
  <si>
    <t>-592.814178990932 -147.034745766627 754.036960592571</t>
  </si>
  <si>
    <t>-454.00093307461 -174.418373903773 825.229109897031</t>
  </si>
  <si>
    <t>9763-20170724T104533.282636800.bin</t>
  </si>
  <si>
    <t>-751.973067876327 11.889588241 -533.617364804028</t>
  </si>
  <si>
    <t>-758.761476496349 32.9701046707505 -240.188015621683</t>
  </si>
  <si>
    <t>-530.2352305085 90.7234527244982 -290.099914446322</t>
  </si>
  <si>
    <t>-684.898130579032 25.4964975563337 296.383817672259</t>
  </si>
  <si>
    <t>-714.040436290637 91.1523210716928 738.522091246229</t>
  </si>
  <si>
    <t>-571.568545659147 122.327945372651 800.305129109852</t>
  </si>
  <si>
    <t>-583.945017187686 -175.69339660971 307.209303997873</t>
  </si>
  <si>
    <t>-592.814850667244 -147.024650668147 754.034797993074</t>
  </si>
  <si>
    <t>-454.02662707825 -174.537169125545 825.226096163167</t>
  </si>
  <si>
    <t>9763-20170724T104533.349318500.bin</t>
  </si>
  <si>
    <t>-752.32082856269 11.4318441111909 -533.36934748761</t>
  </si>
  <si>
    <t>-758.905687015953 32.7303195736954 -239.951087721075</t>
  </si>
  <si>
    <t>-529.983488293422 90.1441277287252 -288.419220290279</t>
  </si>
  <si>
    <t>-684.753583831182 25.1538412354062 296.390614010585</t>
  </si>
  <si>
    <t>-714.041552272714 91.1212497703784 738.475398471234</t>
  </si>
  <si>
    <t>-571.574617010746 122.310633059906 800.26283248497</t>
  </si>
  <si>
    <t>-583.987600830744 -175.997987786759 307.236127258618</t>
  </si>
  <si>
    <t>-592.816089166356 -147.077707682835 754.034212154879</t>
  </si>
  <si>
    <t>-453.960056528785 -174.281069636263 825.211998917308</t>
  </si>
  <si>
    <t>9763-20170724T104533.383914500.bin</t>
  </si>
  <si>
    <t>-752.4185585852 11.4769298503836 -533.173253882621</t>
  </si>
  <si>
    <t>-758.818573019123 32.616876004327 -239.739500162601</t>
  </si>
  <si>
    <t>-529.80134731541 90.0901228049916 -287.685314718975</t>
  </si>
  <si>
    <t>-684.686823965208 25.0371048208431 296.40695350895</t>
  </si>
  <si>
    <t>-714.058517126557 91.1292254853861 738.464265713609</t>
  </si>
  <si>
    <t>-571.582646476692 122.287180034205 800.246950593924</t>
  </si>
  <si>
    <t>-583.970808103746 -176.00733730135 307.228865485906</t>
  </si>
  <si>
    <t>-592.836365367743 -146.898610140425 754.028639408729</t>
  </si>
  <si>
    <t>-454.035825507306 -174.371522509888 825.211045295272</t>
  </si>
  <si>
    <t>9763-20170724T104533.452600800.bin</t>
  </si>
  <si>
    <t>-753.026351812118 11.3402699429337 -532.699419788882</t>
  </si>
  <si>
    <t>-758.424428018354 32.2348300179412 -239.22797494623</t>
  </si>
  <si>
    <t>-529.487844300343 90.1897935726367 -286.978933267706</t>
  </si>
  <si>
    <t>-684.675541298193 24.6970545931931 296.462450202572</t>
  </si>
  <si>
    <t>-714.034716491922 91.0380290354585 738.463858194948</t>
  </si>
  <si>
    <t>-571.570662236401 122.289737905659 800.226355318275</t>
  </si>
  <si>
    <t>-583.833928908564 -176.301438814032 307.230284805199</t>
  </si>
  <si>
    <t>-592.8295871666 -147.101740012727 754.030131245691</t>
  </si>
  <si>
    <t>-453.951811583574 -174.221071480087 825.197497290763</t>
  </si>
  <si>
    <t>9763-20170724T104533.485433700.bin</t>
  </si>
  <si>
    <t>-753.367665682693 11.1951336753425 -532.448385064911</t>
  </si>
  <si>
    <t>-758.360904704375 32.2744732598896 -238.982890272377</t>
  </si>
  <si>
    <t>-529.282387255846 89.8613098950093 -286.497799298887</t>
  </si>
  <si>
    <t>-684.700309208745 24.4691364605608 296.496675853087</t>
  </si>
  <si>
    <t>-714.024388758654 91.011119853644 738.465047680584</t>
  </si>
  <si>
    <t>-571.598852333826 122.451577367162 800.22069768807</t>
  </si>
  <si>
    <t>-583.792266971446 -176.430933285385 307.225697949981</t>
  </si>
  <si>
    <t>-592.832670320732 -147.113664215704 754.027177729305</t>
  </si>
  <si>
    <t>-453.937883054478 -174.165166078143 825.18716759219</t>
  </si>
  <si>
    <t>9763-20170724T104533.552612600.bin</t>
  </si>
  <si>
    <t>-754.105309155787 11.1157492308314 -531.96408103254</t>
  </si>
  <si>
    <t>-758.765427921087 32.2796015681213 -238.499338227688</t>
  </si>
  <si>
    <t>-529.25922013508 88.626566286232 -285.433347220283</t>
  </si>
  <si>
    <t>-684.758394823598 24.1673139335057 296.554213039144</t>
  </si>
  <si>
    <t>-714.026403182986 91.0200909651619 738.470641579403</t>
  </si>
  <si>
    <t>-571.612023778998 122.517104267803 800.223250436652</t>
  </si>
  <si>
    <t>-583.637640618716 -176.465987130198 307.209054728812</t>
  </si>
  <si>
    <t>-592.840101630371 -146.937483453494 754.0024954569</t>
  </si>
  <si>
    <t>-453.99685839726 -174.222037473592 825.174173781894</t>
  </si>
  <si>
    <t>9763-20170724T104533.581196400.bin</t>
  </si>
  <si>
    <t>-754.429804176832 11.0090398893167 -531.721780775327</t>
  </si>
  <si>
    <t>-759.57517331174 32.2102493691257 -238.267751763519</t>
  </si>
  <si>
    <t>-529.725389975699 87.3166728910583 -284.992757000029</t>
  </si>
  <si>
    <t>-684.696142163025 23.9583499753696 296.58591271118</t>
  </si>
  <si>
    <t>-714.045400964011 91.0735674425553 738.470473382127</t>
  </si>
  <si>
    <t>-571.614888065241 122.480367365671 800.231830218954</t>
  </si>
  <si>
    <t>-583.56678905791 -176.597069426575 307.213994257752</t>
  </si>
  <si>
    <t>-592.82821792866 -147.047688680358 753.994957889389</t>
  </si>
  <si>
    <t>-453.95315704894 -174.162331464887 825.169518747448</t>
  </si>
  <si>
    <t>9763-20170724T104533.651884600.bin</t>
  </si>
  <si>
    <t>-755.388661300152 10.6745301519402 -531.104636550397</t>
  </si>
  <si>
    <t>-760.929433187784 31.6136161394811 -237.639067035343</t>
  </si>
  <si>
    <t>-530.743152338753 84.4141470214395 -285.359544425611</t>
  </si>
  <si>
    <t>-684.259702930872 23.5444186159486 296.660734988873</t>
  </si>
  <si>
    <t>-713.976695934737 90.93027369476 738.471440957216</t>
  </si>
  <si>
    <t>-571.642551200609 122.728523386994 800.254634287166</t>
  </si>
  <si>
    <t>-583.144190538282 -176.738996832003 307.213566502024</t>
  </si>
  <si>
    <t>-592.830148010511 -146.885974782385 753.989206639074</t>
  </si>
  <si>
    <t>-454.075328462933 -174.557410158269 825.183856278338</t>
  </si>
  <si>
    <t>9763-20170724T104533.682999100.bin</t>
  </si>
  <si>
    <t>-755.918451013321 10.0561828544965 -530.753358148709</t>
  </si>
  <si>
    <t>-761.248375010146 30.6967786232515 -237.262700057972</t>
  </si>
  <si>
    <t>-531.092772013738 82.9821589906353 -285.693330712562</t>
  </si>
  <si>
    <t>-683.983720313683 23.1707847422044 296.718309840519</t>
  </si>
  <si>
    <t>-713.930348757303 90.7975382363293 738.482339969176</t>
  </si>
  <si>
    <t>-571.643974671402 122.804478692486 800.267816072896</t>
  </si>
  <si>
    <t>-583.056747986659 -176.952178310758 307.23947950828</t>
  </si>
  <si>
    <t>-592.820335990473 -146.974166662461 753.995942169174</t>
  </si>
  <si>
    <t>-453.999686830116 -174.349667837559 825.176756447543</t>
  </si>
  <si>
    <t>9763-20170724T104533.748715000.bin</t>
  </si>
  <si>
    <t>-756.976262721717 8.64861788515918 -530.147369065788</t>
  </si>
  <si>
    <t>-761.795809300052 28.9981851889549 -236.627609122538</t>
  </si>
  <si>
    <t>-531.896331995188 80.5217655816562 -287.049858724418</t>
  </si>
  <si>
    <t>-683.521008138006 22.4894770026547 296.786950842143</t>
  </si>
  <si>
    <t>-713.905127497104 90.6623290174487 738.447043634758</t>
  </si>
  <si>
    <t>-571.648828541127 122.807525153318 800.229825150166</t>
  </si>
  <si>
    <t>-582.725653099701 -177.477013029896 307.328143225067</t>
  </si>
  <si>
    <t>-592.791995001793 -147.168326915674 754.027816320591</t>
  </si>
  <si>
    <t>-453.842384293699 -173.945961860295 825.184363156383</t>
  </si>
  <si>
    <t>9763-20170724T104533.785313900.bin</t>
  </si>
  <si>
    <t>-757.604883768333 8.00164283741151 -529.905689044673</t>
  </si>
  <si>
    <t>-762.214263187694 28.5895116916347 -236.399090329849</t>
  </si>
  <si>
    <t>-532.447652461462 79.8460843206649 -287.691349513534</t>
  </si>
  <si>
    <t>-683.525089340393 22.2133782543287 296.800003777817</t>
  </si>
  <si>
    <t>-713.916775277602 90.6441540036358 738.410033442661</t>
  </si>
  <si>
    <t>-571.676395176344 122.851436274771 800.197353694885</t>
  </si>
  <si>
    <t>-582.540851332383 -177.664872549069 307.36964617002</t>
  </si>
  <si>
    <t>-592.774221694029 -147.200741870556 754.039021083658</t>
  </si>
  <si>
    <t>-453.834367901055 -174.017038151342 825.200203095268</t>
  </si>
  <si>
    <t>9763-20170724T104533.852495200.bin</t>
  </si>
  <si>
    <t>-758.50091247079 6.61590229772401 -529.443950553215</t>
  </si>
  <si>
    <t>-762.625071964415 27.4098527457859 -235.944797974301</t>
  </si>
  <si>
    <t>-533.174844851139 78.6294384446571 -288.67037992666</t>
  </si>
  <si>
    <t>-683.626807305426 21.535445615762 296.827072213733</t>
  </si>
  <si>
    <t>-713.877693366015 90.5312049818813 738.342492076064</t>
  </si>
  <si>
    <t>-571.709747797718 123.037114671101 800.140070044166</t>
  </si>
  <si>
    <t>-582.295828930759 -178.029556255579 307.395828529065</t>
  </si>
  <si>
    <t>-592.730019204669 -147.233930621311 754.034140226656</t>
  </si>
  <si>
    <t>-453.785549992464 -173.992533966263 825.207965657309</t>
  </si>
  <si>
    <t>9763-20170724T104533.885093300.bin</t>
  </si>
  <si>
    <t>-758.781361781669 5.97900125587739 -529.238141227054</t>
  </si>
  <si>
    <t>-762.686130055377 26.6795847785909 -235.729224964906</t>
  </si>
  <si>
    <t>-533.380520198707 78.0191480744363 -288.96498814915</t>
  </si>
  <si>
    <t>-683.621200443836 21.1746043168346 296.823589293862</t>
  </si>
  <si>
    <t>-713.853735035137 90.4466432278407 738.314548499932</t>
  </si>
  <si>
    <t>-571.716204668289 123.071883822809 800.119138071988</t>
  </si>
  <si>
    <t>-582.131350293346 -178.268701675875 307.403066902978</t>
  </si>
  <si>
    <t>-592.717610056012 -147.269687488473 754.029837368048</t>
  </si>
  <si>
    <t>-453.727542154644 -173.802642887074 825.199120980146</t>
  </si>
  <si>
    <t>9763-20170724T104533.950335900.bin</t>
  </si>
  <si>
    <t>-759.180981741917 4.90694297100731 -528.931284735985</t>
  </si>
  <si>
    <t>-763.020385073647 25.5062368352646 -235.414482369849</t>
  </si>
  <si>
    <t>-533.839113191664 76.4890799725054 -289.521539779035</t>
  </si>
  <si>
    <t>-683.510572523732 20.5796620447047 296.830887552111</t>
  </si>
  <si>
    <t>-713.853030253982 90.3521990320617 738.250217823802</t>
  </si>
  <si>
    <t>-571.744216917611 123.053849571893 800.080443543556</t>
  </si>
  <si>
    <t>-581.890847214192 -178.653828138463 307.433754937656</t>
  </si>
  <si>
    <t>-592.719313413582 -147.061096997054 754.030715246879</t>
  </si>
  <si>
    <t>-453.817450444053 -174.030717762746 825.207872409567</t>
  </si>
  <si>
    <t>9763-20170724T104533.985961600.bin</t>
  </si>
  <si>
    <t>-759.39320307247 4.32543918347164 -528.769287254001</t>
  </si>
  <si>
    <t>-763.215439062232 24.945635740643 -235.253595038227</t>
  </si>
  <si>
    <t>-534.063811703228 75.567534400263 -289.823279684591</t>
  </si>
  <si>
    <t>-683.41374760184 20.2932108634225 296.837307321478</t>
  </si>
  <si>
    <t>-713.831883036678 90.2696366253772 738.212243720854</t>
  </si>
  <si>
    <t>-571.760511600405 123.093789158979 800.063573995536</t>
  </si>
  <si>
    <t>-581.827547347306 -178.83968955335 307.459722424962</t>
  </si>
  <si>
    <t>-592.716502166579 -146.983426270557 754.039961567703</t>
  </si>
  <si>
    <t>-453.803057475693 -173.913143917832 825.209785490723</t>
  </si>
  <si>
    <t>9763-20170724T104534.052131900.bin</t>
  </si>
  <si>
    <t>-759.923489055846 3.16063227618656 -528.415525349396</t>
  </si>
  <si>
    <t>-763.574385040827 23.7911020773399 -234.89849573892</t>
  </si>
  <si>
    <t>-534.443920939916 73.6795480222358 -290.227096584552</t>
  </si>
  <si>
    <t>-683.302234211772 19.8367043704384 296.838018406171</t>
  </si>
  <si>
    <t>-713.808877906739 90.1547740817641 738.129488370077</t>
  </si>
  <si>
    <t>-571.775538750053 123.08579933046 800.0113629618</t>
  </si>
  <si>
    <t>-581.560078758779 -179.106916938978 307.521961486718</t>
  </si>
  <si>
    <t>-592.687234142421 -146.885167977623 754.044871396352</t>
  </si>
  <si>
    <t>-453.806032116016 -173.956148652849 825.224027929179</t>
  </si>
  <si>
    <t>9763-20170724T104534.084218400.bin</t>
  </si>
  <si>
    <t>-760.272743926471 2.49007658717323 -528.297759527894</t>
  </si>
  <si>
    <t>-763.907145451496 23.2597149485687 -234.790324019768</t>
  </si>
  <si>
    <t>-534.733383026392 72.5688828839566 -290.457689374609</t>
  </si>
  <si>
    <t>-683.237275868431 19.5549577644169 296.8476360846</t>
  </si>
  <si>
    <t>-713.813546652949 90.1333400008755 738.089457889648</t>
  </si>
  <si>
    <t>-571.787088870018 123.085733918642 799.975797251651</t>
  </si>
  <si>
    <t>-581.377768371259 -179.291552185451 307.531888945458</t>
  </si>
  <si>
    <t>-592.659609070742 -146.960200332013 754.041713471303</t>
  </si>
  <si>
    <t>-453.74639435362 -173.867461167003 825.220510158497</t>
  </si>
  <si>
    <t>9763-20170724T104534.151512200.bin</t>
  </si>
  <si>
    <t>-760.755744723802 1.16317076512223 -528.100161655808</t>
  </si>
  <si>
    <t>-764.433173407502 22.1042748086652 -234.605427382847</t>
  </si>
  <si>
    <t>-535.114917776253 70.4561695915902 -290.516917667563</t>
  </si>
  <si>
    <t>-683.049757593531 19.0579075379396 296.822183809816</t>
  </si>
  <si>
    <t>-713.749932160692 89.9287096067192 738.027069781786</t>
  </si>
  <si>
    <t>-571.807695736851 123.235354157749 799.917058502064</t>
  </si>
  <si>
    <t>-580.979246590249 -179.458475047186 307.534684311734</t>
  </si>
  <si>
    <t>-592.636523769929 -146.839176846247 754.024489526807</t>
  </si>
  <si>
    <t>-453.753822420848 -173.875923029558 825.21359196253</t>
  </si>
  <si>
    <t>9763-20170724T104534.185609900.bin</t>
  </si>
  <si>
    <t>-761.085388793899 0.564838617828627 -527.922165285817</t>
  </si>
  <si>
    <t>-764.684946522666 21.5537674780696 -234.429975533679</t>
  </si>
  <si>
    <t>-535.384080338696 69.645171607161 -290.636530861122</t>
  </si>
  <si>
    <t>-682.946917804239 18.7537629900382 296.848313233784</t>
  </si>
  <si>
    <t>-713.769797938243 89.8998680528914 738.016410274171</t>
  </si>
  <si>
    <t>-571.826863661879 123.232606042533 799.890610056582</t>
  </si>
  <si>
    <t>-580.805733082333 -179.590023895771 307.534031978144</t>
  </si>
  <si>
    <t>-592.613822268082 -146.921063962264 754.017051008283</t>
  </si>
  <si>
    <t>-453.701421705713 -173.802318528731 825.207129118599</t>
  </si>
  <si>
    <t>9763-20170724T104534.250786300.bin</t>
  </si>
  <si>
    <t>-765.138042443736 20.1682947600159 -234.042245525081</t>
  </si>
  <si>
    <t>-536.100287764548 68.4525892929507 -291.149189627809</t>
  </si>
  <si>
    <t>-682.662143856033 18.342819133587 296.822308895038</t>
  </si>
  <si>
    <t>-713.742714959274 89.7345837135942 737.942272754476</t>
  </si>
  <si>
    <t>-571.864304441325 123.363165630309 799.804395537594</t>
  </si>
  <si>
    <t>-580.493623013659 -179.828417314582 307.569021208124</t>
  </si>
  <si>
    <t>-592.595378434957 -146.867166249945 754.020123109393</t>
  </si>
  <si>
    <t>-453.659628977447 -173.647241500441 825.202995998519</t>
  </si>
  <si>
    <t>9763-20170724T104534.285908000.bin</t>
  </si>
  <si>
    <t>-765.405275555401 19.5787879876023 -233.855526910138</t>
  </si>
  <si>
    <t>-536.479109966103 67.9444970189038 -291.339687457186</t>
  </si>
  <si>
    <t>-682.550670397731 18.186124140183 296.822300097218</t>
  </si>
  <si>
    <t>-713.75596881833 89.7014383392864 737.906127048987</t>
  </si>
  <si>
    <t>-571.884949961124 123.357086410574 799.770634628178</t>
  </si>
  <si>
    <t>-580.263650788793 -179.917212325299 307.576593018057</t>
  </si>
  <si>
    <t>-592.587463661884 -146.860756464083 754.021056972294</t>
  </si>
  <si>
    <t>-453.624942006171 -173.516844223245 825.198069939996</t>
  </si>
  <si>
    <t>9763-20170724T104534.348076900.bin</t>
  </si>
  <si>
    <t>-766.048570773438 18.0913205391691 -233.531969645405</t>
  </si>
  <si>
    <t>-537.307086489643 66.6341819907107 -291.599249402648</t>
  </si>
  <si>
    <t>-682.123423279621 17.7417640413667 296.840822348729</t>
  </si>
  <si>
    <t>-713.807953788857 89.6810328582587 737.837828602032</t>
  </si>
  <si>
    <t>-571.929690784847 123.339387221374 799.684136537235</t>
  </si>
  <si>
    <t>-579.908674713248 -180.216686127499 307.601434474249</t>
  </si>
  <si>
    <t>-592.546800595674 -147.024316424084 754.020948614377</t>
  </si>
  <si>
    <t>-453.505374682222 -173.303067754541 825.184213593514</t>
  </si>
  <si>
    <t>9763-20170724T104534.385176800.bin</t>
  </si>
  <si>
    <t>-766.407778242656 17.6436434631357 -233.407323260708</t>
  </si>
  <si>
    <t>-537.753681546024 66.1610526165975 -291.838815601795</t>
  </si>
  <si>
    <t>-681.891326449183 17.5491331461706 296.827029456795</t>
  </si>
  <si>
    <t>-713.790056990723 89.6018707283351 737.786918593035</t>
  </si>
  <si>
    <t>-571.935208318559 123.369097775746 799.627748152894</t>
  </si>
  <si>
    <t>-579.743929274857 -180.18762994681 307.618793860649</t>
  </si>
  <si>
    <t>-592.544722987689 -146.84103924183 754.011163299888</t>
  </si>
  <si>
    <t>-453.60571503885 -173.602231151195 825.194593430014</t>
  </si>
  <si>
    <t>9763-20170724T104534.452923100.bin</t>
  </si>
  <si>
    <t>-766.814218211894 16.5176342531522 -233.15792490023</t>
  </si>
  <si>
    <t>-538.444413431745 65.2453135624623 -292.518691495594</t>
  </si>
  <si>
    <t>-681.526894212281 17.2230935555287 296.802766741998</t>
  </si>
  <si>
    <t>-713.800351578581 89.5233568949263 737.692175530893</t>
  </si>
  <si>
    <t>-571.964425077951 123.356823244188 799.540212459471</t>
  </si>
  <si>
    <t>-579.314540967729 -180.342708216971 307.622542963369</t>
  </si>
  <si>
    <t>-592.497785149637 -146.92855436063 753.999426224109</t>
  </si>
  <si>
    <t>-453.499281612841 -173.371967964037 825.185552875263</t>
  </si>
  <si>
    <t>9763-20170724T104534.483510900.bin</t>
  </si>
  <si>
    <t>-767.051185250145 15.9989803102681 -233.07955805221</t>
  </si>
  <si>
    <t>-538.815809632057 64.7484503044864 -292.937835156684</t>
  </si>
  <si>
    <t>-681.429258388811 17.0782883184563 296.784440764675</t>
  </si>
  <si>
    <t>-713.82030418467 89.5124740154924 737.647564827241</t>
  </si>
  <si>
    <t>-571.985065462865 123.339964355305 799.500296197139</t>
  </si>
  <si>
    <t>-579.193406206217 -180.406832270306 307.627145403081</t>
  </si>
  <si>
    <t>-592.487575716705 -146.885789132029 753.993191695492</t>
  </si>
  <si>
    <t>-453.489090260076 -173.331788016511 825.178484822942</t>
  </si>
  <si>
    <t>9763-20170724T104534.550189400.bin</t>
  </si>
  <si>
    <t>-767.514031140911 15.3127288950691 -233.000081135976</t>
  </si>
  <si>
    <t>-539.508427432398 63.9139803339447 -293.846030797172</t>
  </si>
  <si>
    <t>-681.356655294432 16.8003268519528 296.746109351529</t>
  </si>
  <si>
    <t>-713.808862591347 89.3942964613384 737.575000227643</t>
  </si>
  <si>
    <t>-572.011968664843 123.383331533209 799.427124694628</t>
  </si>
  <si>
    <t>-579.031511336722 -180.433864068309 307.628990445683</t>
  </si>
  <si>
    <t>-592.489867000655 -146.691939548435 753.985355116003</t>
  </si>
  <si>
    <t>-453.511078814499 -173.268446092005 825.160393389337</t>
  </si>
  <si>
    <t>9763-20170724T104534.582275800.bin</t>
  </si>
  <si>
    <t>-767.658006431363 14.9557614504852 -232.989512629306</t>
  </si>
  <si>
    <t>-539.791174512657 63.4907192337823 -294.405567774705</t>
  </si>
  <si>
    <t>-681.295929218228 16.6706943113124 296.725831436049</t>
  </si>
  <si>
    <t>-713.792051644358 89.3200248253693 737.542985034475</t>
  </si>
  <si>
    <t>-572.026973217215 123.432995869247 799.399648355736</t>
  </si>
  <si>
    <t>-579.011076402644 -180.459531827706 307.640937849233</t>
  </si>
  <si>
    <t>-592.489098045766 -146.595929834518 753.98167862666</t>
  </si>
  <si>
    <t>-453.522130638974 -173.24325788506 825.15334734091</t>
  </si>
  <si>
    <t>9763-20170724T104534.649458500.bin</t>
  </si>
  <si>
    <t>-767.835466245888 14.4602153424103 -233.104636194748</t>
  </si>
  <si>
    <t>-540.145097620232 62.7149550362583 -295.389832500719</t>
  </si>
  <si>
    <t>-681.247270361567 16.5346141087475 296.67809200482</t>
  </si>
  <si>
    <t>-713.837191574581 89.331145193604 737.465812377171</t>
  </si>
  <si>
    <t>-572.046031258993 123.284712521628 799.350655593134</t>
  </si>
  <si>
    <t>-578.978031213057 -180.606720558209 307.642704373769</t>
  </si>
  <si>
    <t>-592.471615557724 -146.594446737103 753.975892294501</t>
  </si>
  <si>
    <t>-453.509571741854 -173.270102949347 825.146572795985</t>
  </si>
  <si>
    <t>9763-20170724T104534.686065200.bin</t>
  </si>
  <si>
    <t>-768.010119127501 14.1652164858767 -233.207526099008</t>
  </si>
  <si>
    <t>-540.335877282069 62.2879843212104 -295.653759554372</t>
  </si>
  <si>
    <t>-681.227529756289 16.443931566967 296.665931690312</t>
  </si>
  <si>
    <t>-713.812248478132 89.2470195291482 737.441382271233</t>
  </si>
  <si>
    <t>-572.050080375814 123.315996307704 799.328892214393</t>
  </si>
  <si>
    <t>-578.936901758612 -180.674722940934 307.649891622961</t>
  </si>
  <si>
    <t>-592.46381138963 -146.580894374444 753.976663292473</t>
  </si>
  <si>
    <t>-453.480216250383 -173.157300142112 825.142243461624</t>
  </si>
  <si>
    <t>9763-20170724T104534.751753900.bin</t>
  </si>
  <si>
    <t>-768.265764115932 13.5982968144888 -233.377921881136</t>
  </si>
  <si>
    <t>-540.564713957395 61.3590704885555 -296.004047450304</t>
  </si>
  <si>
    <t>-681.313690360531 16.2663912109726 296.632529090881</t>
  </si>
  <si>
    <t>-713.817249158393 89.1778197857025 737.395717855037</t>
  </si>
  <si>
    <t>-572.073888487019 123.324348053982 799.283816854502</t>
  </si>
  <si>
    <t>-578.951899165632 -180.792614970574 307.651888590859</t>
  </si>
  <si>
    <t>-592.444408595706 -146.591792560417 753.968027040256</t>
  </si>
  <si>
    <t>-453.442708999492 -173.07715218923 825.132389948759</t>
  </si>
  <si>
    <t>9763-20170724T104534.783836400.bin</t>
  </si>
  <si>
    <t>-768.499269559116 13.4500253255346 -233.469019523528</t>
  </si>
  <si>
    <t>-540.804045216717 60.9735701430209 -296.296491670995</t>
  </si>
  <si>
    <t>-681.332839178745 16.2336385728067 296.6076677225</t>
  </si>
  <si>
    <t>-713.831124325468 89.1695400121664 737.371777675474</t>
  </si>
  <si>
    <t>-572.070638791556 123.247807254432 799.258378887745</t>
  </si>
  <si>
    <t>-578.967864420273 -180.796207567925 307.65503887343</t>
  </si>
  <si>
    <t>-592.43076019712 -146.636454375875 753.967502612814</t>
  </si>
  <si>
    <t>-453.455710650168 -173.247533452838 825.136933005377</t>
  </si>
  <si>
    <t>9763-20170724T104534.854029800.bin</t>
  </si>
  <si>
    <t>-768.957506528435 13.0600986394502 -233.676976811389</t>
  </si>
  <si>
    <t>-541.360292268341 60.1316470652309 -297.195952750445</t>
  </si>
  <si>
    <t>-681.256585202741 16.1944728964163 296.548961829465</t>
  </si>
  <si>
    <t>-713.858796735803 89.1651755330272 737.308622056678</t>
  </si>
  <si>
    <t>-572.098614366287 123.208527726 799.215051022444</t>
  </si>
  <si>
    <t>-578.911537334895 -180.802163338346 307.644480106043</t>
  </si>
  <si>
    <t>-592.417244319164 -146.70182279753 753.964219963927</t>
  </si>
  <si>
    <t>-453.411757775159 -173.169632289831 825.127504748673</t>
  </si>
  <si>
    <t>9763-20170724T104534.883110100.bin</t>
  </si>
  <si>
    <t>-769.104801618294 12.9043354404921 -233.812812105622</t>
  </si>
  <si>
    <t>-541.529008691383 59.733191130269 -297.587315631955</t>
  </si>
  <si>
    <t>-681.183579563053 16.1384016985712 296.52963575099</t>
  </si>
  <si>
    <t>-713.824872702125 89.074459871872 737.286200090139</t>
  </si>
  <si>
    <t>-572.116339149944 123.335266802846 799.190854870581</t>
  </si>
  <si>
    <t>-578.849098506607 -180.771648062079 307.648823172284</t>
  </si>
  <si>
    <t>-592.419167975899 -146.615066980311 753.962092917064</t>
  </si>
  <si>
    <t>-453.414111210888 -173.091655477046 825.123193956339</t>
  </si>
  <si>
    <t>9763-20170724T104534.952295800.bin</t>
  </si>
  <si>
    <t>-769.430287346263 12.8805913275378 -234.227515788099</t>
  </si>
  <si>
    <t>-541.692144485975 59.1701748744613 -297.815776364883</t>
  </si>
  <si>
    <t>-681.157732657388 16.1383705462899 296.489146661018</t>
  </si>
  <si>
    <t>-713.886726951347 89.1228184969714 737.239996053881</t>
  </si>
  <si>
    <t>-572.128528043397 123.167160843664 799.150345588509</t>
  </si>
  <si>
    <t>-578.882667789112 -180.763036819918 307.648258682334</t>
  </si>
  <si>
    <t>-592.400738977877 -146.661693597158 753.952514911514</t>
  </si>
  <si>
    <t>-453.407721823999 -173.178395571712 825.121961138434</t>
  </si>
  <si>
    <t>9763-20170724T104534.987396000.bin</t>
  </si>
  <si>
    <t>-769.598022254737 12.9788175460787 -234.414288697773</t>
  </si>
  <si>
    <t>-541.761582637107 58.9713852704137 -297.865922275441</t>
  </si>
  <si>
    <t>-681.175357228047 16.1506912446971 296.451096847866</t>
  </si>
  <si>
    <t>-713.891394741724 89.1116976267874 737.211878433455</t>
  </si>
  <si>
    <t>-572.145121978816 123.199458053263 799.125574744479</t>
  </si>
  <si>
    <t>-578.981291827947 -180.762306009864 307.650343017349</t>
  </si>
  <si>
    <t>-592.408598859951 -146.542081920978 753.950961564383</t>
  </si>
  <si>
    <t>-453.413242000861 -173.053515060385 825.117963787995</t>
  </si>
  <si>
    <t>9763-20170724T104535.047559600.bin</t>
  </si>
  <si>
    <t>-769.97781268266 12.8129659352135 -234.730890182082</t>
  </si>
  <si>
    <t>-542.111987951993 58.3681269837612 -298.392065485263</t>
  </si>
  <si>
    <t>-681.264227428009 16.1554926103115 296.406006695025</t>
  </si>
  <si>
    <t>-713.942411660094 89.1521136581378 737.163824891939</t>
  </si>
  <si>
    <t>-572.139417163021 123.008293620849 799.074972810546</t>
  </si>
  <si>
    <t>-579.277052720784 -180.846104607596 307.665961145699</t>
  </si>
  <si>
    <t>-592.421549411323 -146.451336517894 753.963371807625</t>
  </si>
  <si>
    <t>-453.416796784199 -172.93592109731 825.121946781907</t>
  </si>
  <si>
    <t>9763-20170724T104535.084674300.bin</t>
  </si>
  <si>
    <t>-770.227309340177 12.6569617216926 -234.879276329422</t>
  </si>
  <si>
    <t>-542.388461750542 57.8775424420094 -298.875036740265</t>
  </si>
  <si>
    <t>-681.217630098381 16.0722499647559 296.389060880923</t>
  </si>
  <si>
    <t>-713.910395562466 89.0700931218207 737.136064626972</t>
  </si>
  <si>
    <t>-572.143661468555 123.088255639134 799.041260694465</t>
  </si>
  <si>
    <t>-579.378188324572 -180.940022603796 307.673559446831</t>
  </si>
  <si>
    <t>-592.414910888017 -146.527310903973 753.970362878277</t>
  </si>
  <si>
    <t>-453.400371230228 -172.966458530688 825.126658112159</t>
  </si>
  <si>
    <t>9763-20170724T104535.154866600.bin</t>
  </si>
  <si>
    <t>-770.652915582623 12.3657043812289 -235.10727700874</t>
  </si>
  <si>
    <t>-542.863945864584 56.9641778693151 -299.714240890643</t>
  </si>
  <si>
    <t>-681.046759793335 15.9056565831354 296.359910762485</t>
  </si>
  <si>
    <t>-713.900334402694 88.9959563248838 737.080044308981</t>
  </si>
  <si>
    <t>-572.148908193465 123.082488589748 798.982682041351</t>
  </si>
  <si>
    <t>-579.370600045115 -181.011890558658 307.691604295965</t>
  </si>
  <si>
    <t>-592.43361499677 -146.28624196447 753.975325911792</t>
  </si>
  <si>
    <t>-453.49064262025 -173.071557160228 825.142108691718</t>
  </si>
  <si>
    <t>9763-20170724T104535.183950200.bin</t>
  </si>
  <si>
    <t>-770.866319455644 11.9133745112579 -235.13777242258</t>
  </si>
  <si>
    <t>-543.138778983543 56.43443174203 -300.014019165176</t>
  </si>
  <si>
    <t>-680.9470444543 15.7569726236609 296.368669936614</t>
  </si>
  <si>
    <t>-713.898570494165 88.9648495897782 737.058443996195</t>
  </si>
  <si>
    <t>-572.152852333232 123.074818085633 798.961201594598</t>
  </si>
  <si>
    <t>-579.269190546585 -181.15727283661 307.694481156157</t>
  </si>
  <si>
    <t>-592.416378254926 -146.483610082383 753.975716011119</t>
  </si>
  <si>
    <t>-453.444762568933 -173.122994861695 825.141289693877</t>
  </si>
  <si>
    <t>9763-20170724T104535.254665100.bin</t>
  </si>
  <si>
    <t>-771.519904274603 10.7745102116639 -235.083222560283</t>
  </si>
  <si>
    <t>-543.879547783982 55.1262982826929 -300.379924700928</t>
  </si>
  <si>
    <t>-680.69088507035 15.5048679103038 296.37778618807</t>
  </si>
  <si>
    <t>-713.910359126759 88.9207402264208 737.019620581029</t>
  </si>
  <si>
    <t>-572.168697392911 123.082568597523 798.90293436952</t>
  </si>
  <si>
    <t>-579.07375997181 -181.316229285632 307.717862844817</t>
  </si>
  <si>
    <t>-592.421922113468 -146.349670705217 753.967676361889</t>
  </si>
  <si>
    <t>-453.450886823657 -172.960909920494 825.144786073042</t>
  </si>
  <si>
    <t>9763-20170724T104535.284246500.bin</t>
  </si>
  <si>
    <t>-772.002209542255 10.2279521399803 -235.048384045519</t>
  </si>
  <si>
    <t>-544.39674067743 54.3876003363705 -300.59636790719</t>
  </si>
  <si>
    <t>-680.374581644395 15.3379070123024 296.378812512037</t>
  </si>
  <si>
    <t>-713.916490915032 88.9006269679603 736.98247259964</t>
  </si>
  <si>
    <t>-572.180406982867 123.108172947974 798.853529101962</t>
  </si>
  <si>
    <t>-578.946936952371 -181.483155818896 307.740109893569</t>
  </si>
  <si>
    <t>-592.407222301976 -146.427474945037 753.968565726284</t>
  </si>
  <si>
    <t>-453.447247329267 -173.067546463408 825.156553628773</t>
  </si>
  <si>
    <t>9763-20170724T104535.351975800.bin</t>
  </si>
  <si>
    <t>-773.009464417307 9.09161647107658 -234.917270514408</t>
  </si>
  <si>
    <t>-545.544149750944 52.7378413360293 -301.290262335126</t>
  </si>
  <si>
    <t>-679.666341109772 15.0309907001313 296.369499111614</t>
  </si>
  <si>
    <t>-713.937885873414 88.8631959809811 736.886228675611</t>
  </si>
  <si>
    <t>-572.186874833324 123.032518149483 798.744138424891</t>
  </si>
  <si>
    <t>-578.656235081637 -181.668404385909 307.786706821254</t>
  </si>
  <si>
    <t>-592.402506603467 -146.336661687524 753.972461053079</t>
  </si>
  <si>
    <t>-453.477447734483 -173.123656916415 825.173397971645</t>
  </si>
  <si>
    <t>9763-20170724T104535.384565400.bin</t>
  </si>
  <si>
    <t>-773.461429983542 8.22480042977713 -234.84170757798</t>
  </si>
  <si>
    <t>-546.135266190396 51.75936350246 -301.763035484577</t>
  </si>
  <si>
    <t>-679.234174293143 14.8406757305909 296.372789520335</t>
  </si>
  <si>
    <t>-713.932289001278 88.811590675816 736.824392518527</t>
  </si>
  <si>
    <t>-572.190704029376 123.034627138236 798.674378936443</t>
  </si>
  <si>
    <t>-578.425388348552 -181.874793383972 307.822410302373</t>
  </si>
  <si>
    <t>-592.397987162546 -146.332596173325 753.977228584595</t>
  </si>
  <si>
    <t>-453.448247095554 -172.996933098562 825.176191074479</t>
  </si>
  <si>
    <t>9763-20170724T104535.455282400.bin</t>
  </si>
  <si>
    <t>-774.114699371431 6.4152648921588 -234.720946259636</t>
  </si>
  <si>
    <t>-546.913749157252 49.6643454696457 -302.249655024436</t>
  </si>
  <si>
    <t>-678.218303694801 14.5243165377117 296.317891291676</t>
  </si>
  <si>
    <t>-713.958066689507 88.7601834547636 736.669155976905</t>
  </si>
  <si>
    <t>-572.218230530789 123.015387983492 798.50513482632</t>
  </si>
  <si>
    <t>-577.990633971938 -182.282293259557 307.874836384873</t>
  </si>
  <si>
    <t>-592.380961135518 -146.425366374763 753.979646737962</t>
  </si>
  <si>
    <t>-453.410120495054 -172.95633247441 825.187196886489</t>
  </si>
  <si>
    <t>9763-20170724T104535.484380400.bin</t>
  </si>
  <si>
    <t>-774.439354538719 5.5502670370829 -234.65842893127</t>
  </si>
  <si>
    <t>-547.208873486784 48.7529113856194 -302.117514886484</t>
  </si>
  <si>
    <t>-677.681258264097 14.4137077549669 296.290218587163</t>
  </si>
  <si>
    <t>-713.963100087257 88.706527961798 736.590704682067</t>
  </si>
  <si>
    <t>-572.212164976206 122.955122029219 798.405086834187</t>
  </si>
  <si>
    <t>-577.776292907426 -182.4926086117 307.899971799322</t>
  </si>
  <si>
    <t>-592.372227293108 -146.51982342523 753.98168564254</t>
  </si>
  <si>
    <t>-453.400114777429 -173.037010492261 825.191754865441</t>
  </si>
  <si>
    <t>9763-20170724T104535.551561400.bin</t>
  </si>
  <si>
    <t>-774.782576027116 3.82488136783354 -234.55544298565</t>
  </si>
  <si>
    <t>-547.591197136377 46.6586836833058 -302.380231973546</t>
  </si>
  <si>
    <t>-676.026427706382 14.3134847139136 296.222012348361</t>
  </si>
  <si>
    <t>-713.96113402413 88.602104335871 736.402025134634</t>
  </si>
  <si>
    <t>-572.251672344724 123.132646894571 798.154350155484</t>
  </si>
  <si>
    <t>-577.310084078107 -182.923974249225 307.964038426492</t>
  </si>
  <si>
    <t>-592.371672952893 -146.501925693045 754.001816874657</t>
  </si>
  <si>
    <t>-453.366798192217 -172.87285603648 825.202396243461</t>
  </si>
  <si>
    <t>9763-20170724T104535.586657800.bin</t>
  </si>
  <si>
    <t>-774.725073101796 3.02219335676864 -234.529304213368</t>
  </si>
  <si>
    <t>-547.430350426986 45.0371362281589 -302.520008412148</t>
  </si>
  <si>
    <t>-675.020694471118 14.2484588362213 296.173795221581</t>
  </si>
  <si>
    <t>-713.988602044491 88.6192844880304 736.258170309032</t>
  </si>
  <si>
    <t>-572.250742952894 123.049416088559 798.001576544806</t>
  </si>
  <si>
    <t>-576.980693231571 -183.099380380932 308.005744298576</t>
  </si>
  <si>
    <t>-592.379528560511 -146.440835973294 754.014017052693</t>
  </si>
  <si>
    <t>-453.394686810918 -172.91950240679 825.213611978139</t>
  </si>
  <si>
    <t>9763-20170724T104535.651833400.bin</t>
  </si>
  <si>
    <t>-774.128235240869 1.59990718446943 -234.546716440189</t>
  </si>
  <si>
    <t>-546.847116661198 42.1376966703283 -303.473080185555</t>
  </si>
  <si>
    <t>-673.180340435617 14.1284689600891 296.08352206214</t>
  </si>
  <si>
    <t>-714.027104537115 88.6509575137659 735.924195187289</t>
  </si>
  <si>
    <t>-572.29411332097 123.063993728604 797.688455654536</t>
  </si>
  <si>
    <t>-576.280626938175 -183.427961929162 308.083444230273</t>
  </si>
  <si>
    <t>-592.36886595898 -146.334472459425 754.023922746456</t>
  </si>
  <si>
    <t>-453.409637285595 -172.914268559258 825.23589231512</t>
  </si>
  <si>
    <t>9763-20170724T104535.683920200.bin</t>
  </si>
  <si>
    <t>-773.631919570769 0.867278151407618 -234.610074594753</t>
  </si>
  <si>
    <t>-546.445757288265 41.5108436464075 -303.786907020289</t>
  </si>
  <si>
    <t>-672.589104840295 14.0803875185277 295.988834095282</t>
  </si>
  <si>
    <t>-714.079546376784 88.7345943093931 735.742989762087</t>
  </si>
  <si>
    <t>-572.308196142949 122.945995367454 797.530961575284</t>
  </si>
  <si>
    <t>-576.014683589195 -183.694519585439 308.134723933804</t>
  </si>
  <si>
    <t>-592.354817936039 -146.445705612232 754.03545599751</t>
  </si>
  <si>
    <t>-453.379813987705 -172.937505671397 825.24947404486</t>
  </si>
  <si>
    <t>9763-20170724T104535.749609300.bin</t>
  </si>
  <si>
    <t>-772.545455542352 0.202495521502442 -235.079725659206</t>
  </si>
  <si>
    <t>-544.783266839739 40.628101387638 -302.466871464026</t>
  </si>
  <si>
    <t>-672.077424467168 13.7967052704141 295.805238046557</t>
  </si>
  <si>
    <t>-714.06908344012 88.6968306463962 735.428150666326</t>
  </si>
  <si>
    <t>-572.3083737431 122.912764883883 797.238017322803</t>
  </si>
  <si>
    <t>-575.805161798346 -184.0330894893 308.184784787432</t>
  </si>
  <si>
    <t>-592.373013834111 -146.083110014733 754.028912403107</t>
  </si>
  <si>
    <t>-453.513681850724 -173.103649272027 825.269835861881</t>
  </si>
  <si>
    <t>9763-20170724T104535.785707400.bin</t>
  </si>
  <si>
    <t>-772.634644801022 0.0971928764563472 -235.488232624216</t>
  </si>
  <si>
    <t>-544.606925257733 40.3411220310497 -302.081279007132</t>
  </si>
  <si>
    <t>-671.984065239328 13.6108918635255 295.682498082693</t>
  </si>
  <si>
    <t>-714.052174319226 88.6582719066216 735.281295736095</t>
  </si>
  <si>
    <t>-572.296329428603 122.866024093926 797.107060584542</t>
  </si>
  <si>
    <t>-575.782063916721 -184.293257842242 308.195827126037</t>
  </si>
  <si>
    <t>-592.373697605055 -146.123972726344 754.030430205695</t>
  </si>
  <si>
    <t>-453.504632347562 -173.099369843216 825.269453361112</t>
  </si>
  <si>
    <t>9763-20170724T104535.847373800.bin</t>
  </si>
  <si>
    <t>-544.198909637778 38.8123300101001 -299.676415384675</t>
  </si>
  <si>
    <t>-671.704303996709 13.1549219081694 295.430205678223</t>
  </si>
  <si>
    <t>-714.009681032154 88.6113529496067 734.956351516551</t>
  </si>
  <si>
    <t>-572.306078157637 122.864457294083 796.876494178974</t>
  </si>
  <si>
    <t>-575.623248678954 -184.91896653587 308.234509592723</t>
  </si>
  <si>
    <t>-592.362184694625 -146.496173691966 754.04345923057</t>
  </si>
  <si>
    <t>-453.408514529822 -173.08551770651 825.262606622008</t>
  </si>
  <si>
    <t>9763-20170724T104535.884977600.bin</t>
  </si>
  <si>
    <t>-543.699599069868 38.2974036979685 -297.201014519579</t>
  </si>
  <si>
    <t>-671.498517502972 12.9172884582565 295.316531659812</t>
  </si>
  <si>
    <t>-713.927998707675 88.4953725768401 734.804426944624</t>
  </si>
  <si>
    <t>-572.300414404052 122.97315806736 796.773713732222</t>
  </si>
  <si>
    <t>-575.505357084029 -185.17158825142 308.251707685431</t>
  </si>
  <si>
    <t>-592.373988634818 -146.398256036233 754.040771125433</t>
  </si>
  <si>
    <t>-453.409310784948 -172.928616895412 825.260575776851</t>
  </si>
  <si>
    <t>9763-20170724T104535.950661000.bin</t>
  </si>
  <si>
    <t>-542.138124592455 41.6893671043929 -291.725012637041</t>
  </si>
  <si>
    <t>-671.391411995504 12.8056222061471 295.024296355142</t>
  </si>
  <si>
    <t>-713.911339617969 88.546221233569 734.477425988577</t>
  </si>
  <si>
    <t>-572.302594395684 122.901592605917 796.557794879513</t>
  </si>
  <si>
    <t>-575.524590399676 -185.4085529137 308.292130937759</t>
  </si>
  <si>
    <t>-592.384813897334 -146.346279887283 754.042858700184</t>
  </si>
  <si>
    <t>-453.532316581854 -173.410741253725 825.280478966993</t>
  </si>
  <si>
    <t>9763-20170724T104535.983250300.bin</t>
  </si>
  <si>
    <t>-541.54722801649 45.0542422073297 -289.284603232839</t>
  </si>
  <si>
    <t>-671.492666187445 12.7371498952434 294.838597927043</t>
  </si>
  <si>
    <t>-713.853573414275 88.5186743458589 734.288676985664</t>
  </si>
  <si>
    <t>-572.310916845383 123.052075266707 796.420784066391</t>
  </si>
  <si>
    <t>-575.569879838163 -185.592992072291 308.315993388591</t>
  </si>
  <si>
    <t>-592.375779520097 -146.445984297379 754.047726097425</t>
  </si>
  <si>
    <t>-453.444360713784 -173.131082855408 825.274495925561</t>
  </si>
  <si>
    <t>9763-20170724T104536.050932700.bin</t>
  </si>
  <si>
    <t>-772.561710810032 1.07119400899887 -242.24063143598</t>
  </si>
  <si>
    <t>-541.164053836043 52.3901995497126 -285.511323141437</t>
  </si>
  <si>
    <t>-671.844261548974 12.5004574283826 294.533003836203</t>
  </si>
  <si>
    <t>-713.81593106489 88.5397443720974 733.982998033148</t>
  </si>
  <si>
    <t>-572.318114411188 123.105287062497 796.199558465066</t>
  </si>
  <si>
    <t>-575.762157600911 -185.798884593509 308.285769113128</t>
  </si>
  <si>
    <t>-592.375491729818 -146.574913812035 754.042211542011</t>
  </si>
  <si>
    <t>-453.389147332681 -173.007761021568 825.255925239437</t>
  </si>
  <si>
    <t>9763-20170724T104536.084023400.bin</t>
  </si>
  <si>
    <t>-772.438961321007 1.60998908338047 -243.491003859321</t>
  </si>
  <si>
    <t>-541.318284914174 55.6325843677189 -284.911380784324</t>
  </si>
  <si>
    <t>-672.030302047271 12.3725536288578 294.393260499719</t>
  </si>
  <si>
    <t>-713.800615059565 88.5390676985412 733.855319331869</t>
  </si>
  <si>
    <t>-572.328442447446 123.156630259813 796.10123411356</t>
  </si>
  <si>
    <t>-575.788581468843 -185.990957233408 308.287105005086</t>
  </si>
  <si>
    <t>-592.363578137422 -146.775923538689 754.044403809572</t>
  </si>
  <si>
    <t>-453.257843477585 -172.631225132987 825.237034476308</t>
  </si>
  <si>
    <t>9763-20170724T104536.151785100.bin</t>
  </si>
  <si>
    <t>-772.301718541184 1.66955304967223 -245.646420136062</t>
  </si>
  <si>
    <t>-541.574950016262 59.3531663634085 -284.229363281656</t>
  </si>
  <si>
    <t>-672.209013097409 12.1533876423828 294.126160208805</t>
  </si>
  <si>
    <t>-713.665906928611 88.4146827842801 733.587805513159</t>
  </si>
  <si>
    <t>-572.310189790699 123.341549382684 795.925352957737</t>
  </si>
  <si>
    <t>-575.76915073298 -185.961839454213 308.27435236996</t>
  </si>
  <si>
    <t>-592.388054498778 -146.492086425465 754.011870126708</t>
  </si>
  <si>
    <t>-453.400186166597 -172.938905503025 825.217450703637</t>
  </si>
  <si>
    <t>9763-20170724T104536.184363100.bin</t>
  </si>
  <si>
    <t>-772.006328127787 1.71868641500896 -246.541066680256</t>
  </si>
  <si>
    <t>-541.376592024172 60.5063519923438 -284.021916607578</t>
  </si>
  <si>
    <t>-672.23640308528 11.9843518222663 294.022624770034</t>
  </si>
  <si>
    <t>-713.595030806895 88.3304338613812 733.485425450744</t>
  </si>
  <si>
    <t>-572.300142907354 123.438259239428 795.859057154926</t>
  </si>
  <si>
    <t>-575.835487066527 -186.098037794845 308.275230162827</t>
  </si>
  <si>
    <t>-592.386328524001 -146.549548174164 754.005858806474</t>
  </si>
  <si>
    <t>-453.328095139838 -172.658106027702 825.198901688074</t>
  </si>
  <si>
    <t>9763-20170724T104536.250585300.bin</t>
  </si>
  <si>
    <t>-770.203643058029 1.59697794658405 -247.804814571845</t>
  </si>
  <si>
    <t>-539.882865840934 63.1697365190867 -282.61931876249</t>
  </si>
  <si>
    <t>-672.541191700229 11.6677274419176 293.837206166763</t>
  </si>
  <si>
    <t>-713.467957684401 88.1111115351364 733.317736979796</t>
  </si>
  <si>
    <t>-572.244789843711 123.458137197008 795.718775369757</t>
  </si>
  <si>
    <t>-576.227860071363 -186.487197380179 308.290621298692</t>
  </si>
  <si>
    <t>-592.383288178617 -146.731943553331 754.005905993503</t>
  </si>
  <si>
    <t>-453.261618382303 -172.540633784996 825.184341300999</t>
  </si>
  <si>
    <t>9763-20170724T104536.282172000.bin</t>
  </si>
  <si>
    <t>-769.485641063763 1.99968121205984 -248.350818005143</t>
  </si>
  <si>
    <t>-539.261019211058 64.5468411866991 -282.045921545946</t>
  </si>
  <si>
    <t>-672.73932182311 11.5421514631587 293.742363476931</t>
  </si>
  <si>
    <t>-713.458258833568 88.1047380031148 733.241205718187</t>
  </si>
  <si>
    <t>-572.217745707943 123.350048062679 795.660760669816</t>
  </si>
  <si>
    <t>-576.48107150679 -186.618476335999 308.295159801847</t>
  </si>
  <si>
    <t>-592.388439128223 -146.796119120189 754.016839143569</t>
  </si>
  <si>
    <t>-453.298083274653 -172.791928457769 825.188390150468</t>
  </si>
  <si>
    <t>9763-20170724T104536.351939800.bin</t>
  </si>
  <si>
    <t>-768.526036360248 3.66760657321015 -249.181734629418</t>
  </si>
  <si>
    <t>-537.983344922055 66.4888658070756 -280.0755577977</t>
  </si>
  <si>
    <t>-673.140976062133 11.3072767020753 293.589001380999</t>
  </si>
  <si>
    <t>-713.383638906815 88.0271872784356 733.082381441282</t>
  </si>
  <si>
    <t>-572.199336910517 123.379633962383 795.568469472458</t>
  </si>
  <si>
    <t>-576.881267783429 -186.85505241388 308.296714003536</t>
  </si>
  <si>
    <t>-592.43731865672 -146.639316460971 754.028724231846</t>
  </si>
  <si>
    <t>-453.38522381109 -172.907703544981 825.17489185042</t>
  </si>
  <si>
    <t>9763-20170724T104536.385530900.bin</t>
  </si>
  <si>
    <t>-767.967404990185 3.86569629661085 -249.346232191239</t>
  </si>
  <si>
    <t>-537.320602264461 67.0676805596677 -278.645327914892</t>
  </si>
  <si>
    <t>-673.205964730398 11.1524073271671 293.57929157995</t>
  </si>
  <si>
    <t>-713.369534967894 88.0086411257878 733.044847024054</t>
  </si>
  <si>
    <t>-572.208926776005 123.429073747159 795.545807385806</t>
  </si>
  <si>
    <t>-577.067354948474 -186.994614291961 308.30576809583</t>
  </si>
  <si>
    <t>-592.455713209872 -146.586475044435 754.030467176461</t>
  </si>
  <si>
    <t>-453.382364912443 -172.764971823163 825.16819002843</t>
  </si>
  <si>
    <t>9763-20170724T104536.449740400.bin</t>
  </si>
  <si>
    <t>-767.337983052057 3.03987212310903 -249.08195499946</t>
  </si>
  <si>
    <t>-537.114126977164 68.0211542182003 -277.809310290525</t>
  </si>
  <si>
    <t>-673.229402633818 10.7886518379205 293.608478527588</t>
  </si>
  <si>
    <t>-713.407864808312 88.0059626779646 733.011796663715</t>
  </si>
  <si>
    <t>-572.208662104056 123.322739755884 795.484298512576</t>
  </si>
  <si>
    <t>-577.472983829345 -187.51102997515 308.357717939998</t>
  </si>
  <si>
    <t>-592.441087648048 -146.898524148271 754.048364054007</t>
  </si>
  <si>
    <t>-453.243788129797 -172.476611450067 825.1621080858</t>
  </si>
  <si>
    <t>9763-20170724T104536.481827100.bin</t>
  </si>
  <si>
    <t>-767.362756416298 2.25837234049322 -248.773541505898</t>
  </si>
  <si>
    <t>-537.34046049703 67.9944083045964 -277.397795247176</t>
  </si>
  <si>
    <t>-673.155160843203 10.579797122318 293.658328139002</t>
  </si>
  <si>
    <t>-713.398002213931 87.9409052067911 733.015766403781</t>
  </si>
  <si>
    <t>-572.229178497485 123.447791565172 795.449179883359</t>
  </si>
  <si>
    <t>-577.635633237298 -187.624893278643 308.357017381214</t>
  </si>
  <si>
    <t>-592.467277815073 -146.654096067966 754.038035475667</t>
  </si>
  <si>
    <t>-453.362438809083 -172.684049529042 825.168843887592</t>
  </si>
  <si>
    <t>9763-20170724T104536.549510600.bin</t>
  </si>
  <si>
    <t>-767.753415394808 1.18101573629042 -247.852786285221</t>
  </si>
  <si>
    <t>-537.849226403309 66.9624921652712 -277.310108050305</t>
  </si>
  <si>
    <t>-672.955831152235 10.1873028334949 293.841956104205</t>
  </si>
  <si>
    <t>-713.465497154197 87.8714601452168 733.113609463702</t>
  </si>
  <si>
    <t>-572.252656395796 123.473572341772 795.393186651372</t>
  </si>
  <si>
    <t>-577.931678843726 -188.000525019533 308.377142854367</t>
  </si>
  <si>
    <t>-592.497862165575 -146.533635323478 754.041272155775</t>
  </si>
  <si>
    <t>-453.437702737655 -172.822975217314 825.163901428604</t>
  </si>
  <si>
    <t>9763-20170724T104536.584105900.bin</t>
  </si>
  <si>
    <t>-767.645839119035 0.577146291043618 -247.253745563079</t>
  </si>
  <si>
    <t>-537.775822901745 66.0132874872133 -277.728619854744</t>
  </si>
  <si>
    <t>-672.405906038954 9.98258827633504 293.957677553938</t>
  </si>
  <si>
    <t>-713.455762299853 87.7229709591468 733.194769468696</t>
  </si>
  <si>
    <t>-572.271674847625 123.627969634806 795.365424339405</t>
  </si>
  <si>
    <t>-578.13395831614 -188.438833092246 308.422218557131</t>
  </si>
  <si>
    <t>-592.505428981691 -146.707620717747 754.06198820277</t>
  </si>
  <si>
    <t>-453.376364283581 -172.693010263347 825.161552090831</t>
  </si>
  <si>
    <t>9763-20170724T104536.650397200.bin</t>
  </si>
  <si>
    <t>-537.366367085073 63.536271855148 -279.796191887422</t>
  </si>
  <si>
    <t>-669.635625703317 10.0148383792625 294.201219589844</t>
  </si>
  <si>
    <t>-713.542160125178 87.6091983580031 733.249537598999</t>
  </si>
  <si>
    <t>-572.298347538184 123.703912637772 795.174167076363</t>
  </si>
  <si>
    <t>-578.365384203946 -189.21945277652 308.582783626404</t>
  </si>
  <si>
    <t>-592.530703555953 -146.814660647375 754.133608072423</t>
  </si>
  <si>
    <t>-453.385071623833 -172.787744540804 825.205338343009</t>
  </si>
  <si>
    <t>9763-20170724T104536.682485700.bin</t>
  </si>
  <si>
    <t>-537.071409952203 62.2564536470447 -281.136842069149</t>
  </si>
  <si>
    <t>-667.161534216172 10.1131944140323 294.274502008947</t>
  </si>
  <si>
    <t>-713.620139553259 87.6870502681918 733.096276142534</t>
  </si>
  <si>
    <t>-572.346646216623 123.766183786205 794.962216629358</t>
  </si>
  <si>
    <t>-578.236103988994 -189.695142720098 308.718169113449</t>
  </si>
  <si>
    <t>-592.534782128066 -146.849213049718 754.194333038648</t>
  </si>
  <si>
    <t>-453.382978261925 -172.826294982938 825.25244995671</t>
  </si>
  <si>
    <t>9763-20170724T104536.752238400.bin</t>
  </si>
  <si>
    <t>-536.83106961285 58.8764827157434 -284.340848100744</t>
  </si>
  <si>
    <t>-660.633486591089 10.0488746987037 294.498325777089</t>
  </si>
  <si>
    <t>-713.638639469701 87.5742957883688 732.5648576832</t>
  </si>
  <si>
    <t>-572.386484466478 123.827630167692 794.37768560627</t>
  </si>
  <si>
    <t>-577.437453825449 -190.75627991694 309.043795775222</t>
  </si>
  <si>
    <t>-592.500183539246 -147.072188957173 754.340778644885</t>
  </si>
  <si>
    <t>-453.327264363499 -172.948348988448 825.394376749687</t>
  </si>
  <si>
    <t>9763-20170724T104536.786342800.bin</t>
  </si>
  <si>
    <t>-536.641004134312 57.1155069800495 -285.577872194039</t>
  </si>
  <si>
    <t>-657.01796776216 9.90051078815168 294.611116659108</t>
  </si>
  <si>
    <t>-713.666623742519 87.5233277420643 732.19648140153</t>
  </si>
  <si>
    <t>-572.428065088319 123.870475861841 793.985295424972</t>
  </si>
  <si>
    <t>-576.866676582618 -191.318773023331 309.245718705602</t>
  </si>
  <si>
    <t>-592.468176224087 -147.057647823095 754.408749964972</t>
  </si>
  <si>
    <t>-453.33577681494 -173.103535538459 825.479806657689</t>
  </si>
  <si>
    <t>9763-20170724T104536.852528400.bin</t>
  </si>
  <si>
    <t>-536.981781548459 54.6159269265427 -288.207225012783</t>
  </si>
  <si>
    <t>-649.92307559312 9.53071021843061 294.704625026338</t>
  </si>
  <si>
    <t>-713.706537470265 87.418001155 731.2486866577</t>
  </si>
  <si>
    <t>-572.477038399243 123.769078942613 793.055983578677</t>
  </si>
  <si>
    <t>-575.808096088587 -192.397169473173 309.546311818306</t>
  </si>
  <si>
    <t>-592.440697697825 -146.914123211997 754.547016547222</t>
  </si>
  <si>
    <t>-453.35706179845 -173.187929696742 825.629550680812</t>
  </si>
  <si>
    <t>9763-20170724T104536.884622500.bin</t>
  </si>
  <si>
    <t>-536.959021530448 53.7705558212465 -288.477318819945</t>
  </si>
  <si>
    <t>-646.499371955581 9.34226902188584 294.722708970547</t>
  </si>
  <si>
    <t>-713.669771819807 87.2953855924509 730.701160436469</t>
  </si>
  <si>
    <t>-572.512629033996 123.849005215001 792.554104185639</t>
  </si>
  <si>
    <t>-575.322844662237 -192.965054520303 309.696067887521</t>
  </si>
  <si>
    <t>-592.426247134471 -146.879326207053 754.613403953332</t>
  </si>
  <si>
    <t>-453.361451344136 -173.253735280205 825.695398357981</t>
  </si>
  <si>
    <t>9763-20170724T104536.923731000.bin</t>
  </si>
  <si>
    <t>-536.996318614509 53.237998431789 -288.483541100785</t>
  </si>
  <si>
    <t>-643.039368320666 9.28636989469896 294.730057619295</t>
  </si>
  <si>
    <t>-713.637798553689 87.1677146739855 730.143280051951</t>
  </si>
  <si>
    <t>-572.540939203068 123.890347513103 792.033638237225</t>
  </si>
  <si>
    <t>-574.845520735681 -193.607221477426 309.831542073305</t>
  </si>
  <si>
    <t>-592.402486583887 -146.940729560192 754.671177111316</t>
  </si>
  <si>
    <t>-453.331303955164 -173.280068350197 825.753808464448</t>
  </si>
  <si>
    <t>9763-20170724T104536.985401200.bin</t>
  </si>
  <si>
    <t>-536.25352625333 52.7239567014674 -287.516687776212</t>
  </si>
  <si>
    <t>-635.798046577645 9.37116126036449 294.738563789199</t>
  </si>
  <si>
    <t>-713.622231461256 87.0125973258039 728.867950481862</t>
  </si>
  <si>
    <t>-572.633806626716 124.012992179754 790.839992215472</t>
  </si>
  <si>
    <t>-574.151406491461 -194.836242759294 310.127471375121</t>
  </si>
  <si>
    <t>-592.366085522257 -147.033365216291 754.810322954265</t>
  </si>
  <si>
    <t>-453.346570598431 -173.680274302624 825.879431752637</t>
  </si>
  <si>
    <t>9763-20170724T104537.051950300.bin</t>
  </si>
  <si>
    <t>-535.441855648146 53.1733310141451 -286.58895590537</t>
  </si>
  <si>
    <t>-629.088975675918 8.95718188662158 294.682787276097</t>
  </si>
  <si>
    <t>-713.407774113305 86.5378610332184 727.491857254332</t>
  </si>
  <si>
    <t>-572.693032584284 124.229856154685 789.668780618236</t>
  </si>
  <si>
    <t>-573.400597905133 -195.948806861732 310.290408623541</t>
  </si>
  <si>
    <t>-592.307202443716 -147.28412604997 754.93096315718</t>
  </si>
  <si>
    <t>-453.231908736382 -173.756144682278 825.956311374411</t>
  </si>
  <si>
    <t>9763-20170724T104537.087047400.bin</t>
  </si>
  <si>
    <t>-535.266916573674 53.7326259717374 -286.446587936783</t>
  </si>
  <si>
    <t>-626.692599597518 8.98298111366285 294.566227402785</t>
  </si>
  <si>
    <t>-713.289602624989 86.2931497922807 726.874686421866</t>
  </si>
  <si>
    <t>-572.690743021237 124.236018126585 789.161055471568</t>
  </si>
  <si>
    <t>-573.146577371042 -196.105416762249 310.295069111707</t>
  </si>
  <si>
    <t>-592.291760427686 -147.117705375572 754.948070943567</t>
  </si>
  <si>
    <t>-453.310902334077 -174.082977284886 825.972554191142</t>
  </si>
  <si>
    <t>9763-20170724T104537.149214500.bin</t>
  </si>
  <si>
    <t>-534.288137479327 56.4346986112887 -286.48065245498</t>
  </si>
  <si>
    <t>-623.960567580771 8.89897342509448 294.377268576997</t>
  </si>
  <si>
    <t>-713.153827618121 85.8012466473906 726.061038249926</t>
  </si>
  <si>
    <t>-572.732796337196 124.393556412893 788.349759607825</t>
  </si>
  <si>
    <t>-572.543014718648 -196.4147583503 310.22563296682</t>
  </si>
  <si>
    <t>-592.198499047747 -147.483688475457 754.919154074309</t>
  </si>
  <si>
    <t>-453.133764511302 -174.107370157395 825.908297811327</t>
  </si>
  <si>
    <t>9763-20170724T104537.184812000.bin</t>
  </si>
  <si>
    <t>-533.320785989205 58.6907043697513 -286.724942628451</t>
  </si>
  <si>
    <t>-623.604431646155 8.84778683659329 294.242060005691</t>
  </si>
  <si>
    <t>-713.239262172925 85.8137014846318 725.778113399678</t>
  </si>
  <si>
    <t>-572.791747475413 124.395991733817 788.013249518021</t>
  </si>
  <si>
    <t>-572.207715015118 -196.356705267864 310.145361013112</t>
  </si>
  <si>
    <t>-592.180711842364 -147.394883944564 754.874555765327</t>
  </si>
  <si>
    <t>-453.155901615326 -174.247502723996 825.855741042614</t>
  </si>
  <si>
    <t>9763-20170724T104537.252005600.bin</t>
  </si>
  <si>
    <t>-530.028018939687 64.5877806947801 -287.836052124248</t>
  </si>
  <si>
    <t>-624.197493005936 9.01280110799325 293.845415816788</t>
  </si>
  <si>
    <t>-713.424933333395 85.9994575766466 725.347491737278</t>
  </si>
  <si>
    <t>-572.911464703011 124.519009902382 787.472357605474</t>
  </si>
  <si>
    <t>-571.721640398211 -195.986265285022 309.849923647759</t>
  </si>
  <si>
    <t>-592.111924310165 -147.423949951148 754.721105088036</t>
  </si>
  <si>
    <t>-453.117500074516 -174.424854943409 825.7056663098</t>
  </si>
  <si>
    <t>9763-20170724T104537.282587400.bin</t>
  </si>
  <si>
    <t>-528.029025731946 67.5109140700267 -288.416869850461</t>
  </si>
  <si>
    <t>-624.553058324272 9.15004874178931 293.71630274219</t>
  </si>
  <si>
    <t>-713.522913546573 86.0943094323243 725.258269807648</t>
  </si>
  <si>
    <t>-572.953157681669 124.53692747791 787.303487970607</t>
  </si>
  <si>
    <t>-571.445461075054 -195.7168142657 309.68390126249</t>
  </si>
  <si>
    <t>-592.080310812141 -147.396783079933 754.632267882352</t>
  </si>
  <si>
    <t>-453.143494444072 -174.666269112573 825.62687825929</t>
  </si>
  <si>
    <t>9763-20170724T104537.352363000.bin</t>
  </si>
  <si>
    <t>-525.115949566178 72.4607323830837 -288.359090184354</t>
  </si>
  <si>
    <t>-624.981028309625 9.28342325448307 293.622436587055</t>
  </si>
  <si>
    <t>-713.763974694393 86.3454762466533 725.198600425339</t>
  </si>
  <si>
    <t>-573.105471687956 124.73808061675 787.073446850985</t>
  </si>
  <si>
    <t>-570.926827752745 -195.235849663714 309.41987732971</t>
  </si>
  <si>
    <t>-592.000610619989 -147.483900232434 754.475614887309</t>
  </si>
  <si>
    <t>-453.05384288913 -174.697647913909 825.472199459281</t>
  </si>
  <si>
    <t>9763-20170724T104537.386963600.bin</t>
  </si>
  <si>
    <t>-523.993415171856 73.4070730940043 -287.676844602135</t>
  </si>
  <si>
    <t>-625.145889332145 9.31464515553307 293.629634305292</t>
  </si>
  <si>
    <t>-713.863793740212 86.460501125001 725.211200638466</t>
  </si>
  <si>
    <t>-573.159358377257 124.789913635125 787.020736169422</t>
  </si>
  <si>
    <t>-570.64973845718 -195.006470810456 309.310027281608</t>
  </si>
  <si>
    <t>-591.947145047894 -147.64416679451 754.402028990769</t>
  </si>
  <si>
    <t>-452.985019469061 -174.757976219864 825.406602967065</t>
  </si>
  <si>
    <t>9763-20170724T104537.452246100.bin</t>
  </si>
  <si>
    <t>-522.936708603151 75.5042344145438 -285.752641198281</t>
  </si>
  <si>
    <t>-625.366524797974 9.4362197029468 293.691862187779</t>
  </si>
  <si>
    <t>-714.024080615816 86.6586263022948 725.263731416248</t>
  </si>
  <si>
    <t>-573.187700315662 124.653712324859 786.979103729526</t>
  </si>
  <si>
    <t>-570.016732980668 -194.455118505894 309.152206524603</t>
  </si>
  <si>
    <t>-591.887246255986 -147.511671990157 754.280270479711</t>
  </si>
  <si>
    <t>-452.951565522019 -174.728609769965 825.297256864979</t>
  </si>
  <si>
    <t>9763-20170724T104537.484833900.bin</t>
  </si>
  <si>
    <t>-522.878802768425 77.7822901768068 -284.36597346082</t>
  </si>
  <si>
    <t>-625.480014940028 9.51692123442558 293.713589969407</t>
  </si>
  <si>
    <t>-714.103779210376 86.7637962754222 725.287926904031</t>
  </si>
  <si>
    <t>-573.23770848109 124.708911546332 786.96612858525</t>
  </si>
  <si>
    <t>-569.751785642582 -194.218319507409 309.088173176766</t>
  </si>
  <si>
    <t>-591.853398190863 -147.432334103867 754.223192677163</t>
  </si>
  <si>
    <t>-452.971475053103 -174.858816953818 825.264723121809</t>
  </si>
  <si>
    <t>9763-20170724T104537.550092100.bin</t>
  </si>
  <si>
    <t>-742.937791499099 0.728777861929302 -234.620889237379</t>
  </si>
  <si>
    <t>-520.213219154792 81.0875714909841 -279.197922323068</t>
  </si>
  <si>
    <t>-625.610381309861 9.77102116068113 293.663252961748</t>
  </si>
  <si>
    <t>-714.219063075882 86.9360900777592 725.30324323437</t>
  </si>
  <si>
    <t>-573.230482494131 124.514080417417 786.926292042999</t>
  </si>
  <si>
    <t>-569.422884405338 -193.896594576838 309.034554721335</t>
  </si>
  <si>
    <t>-591.765319188562 -147.599409695248 754.154634401318</t>
  </si>
  <si>
    <t>-452.913864987367 -175.086093239963 825.232344774624</t>
  </si>
  <si>
    <t>9763-20170724T104537.583683100.bin</t>
  </si>
  <si>
    <t>-741.987353697802 1.7971483388169 -234.947757910116</t>
  </si>
  <si>
    <t>-518.356293411037 82.2645291857209 -274.508269856103</t>
  </si>
  <si>
    <t>-625.609161791067 9.9343437195414 293.616826422457</t>
  </si>
  <si>
    <t>-714.269823682511 87.0386259044674 725.287722253435</t>
  </si>
  <si>
    <t>-573.275403324821 124.612692731154 786.899884118308</t>
  </si>
  <si>
    <t>-569.262025702566 -193.734581854777 309.01807559582</t>
  </si>
  <si>
    <t>-591.722101939369 -147.664366494558 754.133832316777</t>
  </si>
  <si>
    <t>-452.866149399765 -175.088643893816 825.226982670138</t>
  </si>
  <si>
    <t>9763-20170724T104537.653015700.bin</t>
  </si>
  <si>
    <t>-740.377129953399 1.62039859677702 -235.529607955247</t>
  </si>
  <si>
    <t>-515.128677114837 82.0705029943365 -264.543210696525</t>
  </si>
  <si>
    <t>-625.450663276142 10.2128906207802 293.538571411473</t>
  </si>
  <si>
    <t>-714.318598316576 87.1753364110948 725.248449721608</t>
  </si>
  <si>
    <t>-573.304300774731 124.619558796402 786.894075014211</t>
  </si>
  <si>
    <t>-569.069066562349 -193.471642757059 308.99324590065</t>
  </si>
  <si>
    <t>-591.675905564307 -147.550244199354 754.106966063188</t>
  </si>
  <si>
    <t>-452.940498226066 -175.500019665885 825.230892967383</t>
  </si>
  <si>
    <t>9763-20170724T104537.716227300.bin</t>
  </si>
  <si>
    <t>-738.998604252588 0.29752316116469 -235.925588337621</t>
  </si>
  <si>
    <t>-512.798896859177 81.0811684418977 -254.86104043224</t>
  </si>
  <si>
    <t>-625.616564366568 10.4458914277584 293.477589763494</t>
  </si>
  <si>
    <t>-714.450158243995 87.4700824213724 725.18655530733</t>
  </si>
  <si>
    <t>-573.470077612944 125.013223504309 786.850323295437</t>
  </si>
  <si>
    <t>-569.371361130823 -193.617128900023 309.008399000093</t>
  </si>
  <si>
    <t>-591.627239739128 -147.738620641013 754.119157647696</t>
  </si>
  <si>
    <t>-452.82473925468 -175.393445868283 825.227476524679</t>
  </si>
  <si>
    <t>9763-20170724T104537.749314800.bin</t>
  </si>
  <si>
    <t>-738.020145837173 0.286190222581808 -236.224878915873</t>
  </si>
  <si>
    <t>-511.608661500738 81.405904780069 -250.657553775785</t>
  </si>
  <si>
    <t>-625.866610710518 10.4800438335999 293.416522002899</t>
  </si>
  <si>
    <t>-714.451195550476 87.5013133059351 725.160048914032</t>
  </si>
  <si>
    <t>-573.47660985369 125.046429290164 786.835178454722</t>
  </si>
  <si>
    <t>-569.586322077046 -193.616873533735 308.990245991105</t>
  </si>
  <si>
    <t>-591.616807278899 -147.7590633443 754.125042313967</t>
  </si>
  <si>
    <t>-452.843800527473 -175.579368542385 825.22627829927</t>
  </si>
  <si>
    <t>9763-20170724T104537.860131500.bin</t>
  </si>
  <si>
    <t>-737.142128131114 0.577218069224955 -236.580701220309</t>
  </si>
  <si>
    <t>-510.706379554132 82.1819447901589 -247.461184475764</t>
  </si>
  <si>
    <t>-626.234976055664 10.4104649650253 293.348558802279</t>
  </si>
  <si>
    <t>-714.44671372008 87.5165845694544 725.153838078627</t>
  </si>
  <si>
    <t>-573.478357840581 125.063972252855 786.841878687693</t>
  </si>
  <si>
    <t>-569.784275694338 -193.731236081975 308.977473490271</t>
  </si>
  <si>
    <t>-591.594716794266 -147.931135251658 754.129654702673</t>
  </si>
  <si>
    <t>-452.776602831146 -175.561994183821 825.216629590357</t>
  </si>
  <si>
    <t>9763-20170724T104537.884193700.bin</t>
  </si>
  <si>
    <t>-735.484018441915 2.72293508775329 -237.943744794882</t>
  </si>
  <si>
    <t>-509.385251570248 85.8078122597462 -243.152134639826</t>
  </si>
  <si>
    <t>-627.186985562606 10.305879910253 293.233178342724</t>
  </si>
  <si>
    <t>-714.53122174781 87.6834230083923 725.198536038734</t>
  </si>
  <si>
    <t>-573.545045773394 125.159586865638 786.889204692135</t>
  </si>
  <si>
    <t>-570.433224568879 -194.028058631573 308.994749716573</t>
  </si>
  <si>
    <t>-591.55779198166 -148.098477653551 754.156145164048</t>
  </si>
  <si>
    <t>-452.717890104225 -175.700236401551 825.211927761348</t>
  </si>
  <si>
    <t>9763-20170724T104537.948439600.bin</t>
  </si>
  <si>
    <t>-735.686262761865 3.38096812898561 -238.693648463599</t>
  </si>
  <si>
    <t>-509.539778439219 86.3506643993546 -243.657508985952</t>
  </si>
  <si>
    <t>-627.314433120927 10.3190294679937 293.219594398637</t>
  </si>
  <si>
    <t>-714.642183997828 87.852955282259 725.223833449086</t>
  </si>
  <si>
    <t>-573.631966992968 125.257544153099 786.902874329388</t>
  </si>
  <si>
    <t>-570.954315882338 -194.341083271196 309.035688934532</t>
  </si>
  <si>
    <t>-591.514676330183 -148.490926612624 754.193702982455</t>
  </si>
  <si>
    <t>-452.577852721633 -175.676309212674 825.220671133949</t>
  </si>
  <si>
    <t>9763-20170724T104537.999580700.bin</t>
  </si>
  <si>
    <t>-736.107338604453 3.43357047051882 -238.935211247599</t>
  </si>
  <si>
    <t>-509.80581761939 85.9164753527491 -244.855026472185</t>
  </si>
  <si>
    <t>-627.402417100722 10.3532088686652 293.192449813709</t>
  </si>
  <si>
    <t>-714.648210721533 87.866042495175 725.215248232102</t>
  </si>
  <si>
    <t>-573.650760953746 125.334141590103 786.88489939674</t>
  </si>
  <si>
    <t>-571.16447909292 -194.323370744347 309.047609583841</t>
  </si>
  <si>
    <t>-591.514724325805 -148.370483503412 754.209206096097</t>
  </si>
  <si>
    <t>-452.66593452189 -175.986478434951 825.242042242424</t>
  </si>
  <si>
    <t>9763-20170724T104538.052721200.bin</t>
  </si>
  <si>
    <t>-737.279987765566 2.98927491907352 -239.168682749527</t>
  </si>
  <si>
    <t>-510.553097768833 83.9883576234654 -248.385456143592</t>
  </si>
  <si>
    <t>-627.594056697311 10.4747727808988 293.10527575072</t>
  </si>
  <si>
    <t>-714.704005902143 87.9565007092351 725.191637695397</t>
  </si>
  <si>
    <t>-573.702582742711 125.423466966417 786.853155718232</t>
  </si>
  <si>
    <t>-571.576861486789 -194.331036181664 309.078212109227</t>
  </si>
  <si>
    <t>-591.494033492965 -148.346309400486 754.234039731904</t>
  </si>
  <si>
    <t>-452.677783674252 -176.139595128736 825.261390479265</t>
  </si>
  <si>
    <t>9763-20170724T104538.083304000.bin</t>
  </si>
  <si>
    <t>-737.661655477016 2.81835821546588 -239.235601060236</t>
  </si>
  <si>
    <t>-510.803592443518 83.1855729249855 -250.521911266471</t>
  </si>
  <si>
    <t>-627.527604891915 10.5923040316459 293.049196109944</t>
  </si>
  <si>
    <t>-714.725565536849 87.9917444893201 725.154043957203</t>
  </si>
  <si>
    <t>-573.725817131982 125.482293030371 786.805018313162</t>
  </si>
  <si>
    <t>-571.694202652772 -194.414346055595 309.102306708765</t>
  </si>
  <si>
    <t>-591.469484866892 -148.430792538688 754.246217757244</t>
  </si>
  <si>
    <t>-452.594293591779 -175.940366854608 825.268836353825</t>
  </si>
  <si>
    <t>9763-20170724T104538.156560600.bin</t>
  </si>
  <si>
    <t>-738.434816006104 2.66015800105174 -239.432346397064</t>
  </si>
  <si>
    <t>-511.623600730495 82.4131771990199 -255.148931219448</t>
  </si>
  <si>
    <t>-627.13940792669 10.787770655051 292.940751169058</t>
  </si>
  <si>
    <t>-714.770948607908 88.0784181713973 725.016418961696</t>
  </si>
  <si>
    <t>-573.78526119739 125.618009417084 786.669417388271</t>
  </si>
  <si>
    <t>-571.877662520174 -194.447053874548 309.132424688762</t>
  </si>
  <si>
    <t>-591.436478304777 -148.599886520738 754.287618357918</t>
  </si>
  <si>
    <t>-452.602467814244 -176.325750008739 825.306515247427</t>
  </si>
  <si>
    <t>9763-20170724T104538.186147000.bin</t>
  </si>
  <si>
    <t>-738.705708192342 2.71455150522434 -239.466361117739</t>
  </si>
  <si>
    <t>-511.846687939925 81.9085436308217 -257.190623837259</t>
  </si>
  <si>
    <t>-626.850167923743 10.7409271096292 292.89495034111</t>
  </si>
  <si>
    <t>-714.728352239286 88.0117247254166 724.950229576513</t>
  </si>
  <si>
    <t>-573.805662411166 125.777001991506 786.609568294346</t>
  </si>
  <si>
    <t>-572.011347292729 -194.521083761187 309.146722793274</t>
  </si>
  <si>
    <t>-591.418586972739 -148.697608079139 754.300222367192</t>
  </si>
  <si>
    <t>-452.557660966962 -176.304195368561 825.31299516068</t>
  </si>
  <si>
    <t>9763-20170724T104538.253360000.bin</t>
  </si>
  <si>
    <t>-738.378882192457 4.43925738762982 -239.511210243378</t>
  </si>
  <si>
    <t>-511.956400952684 83.9484574139733 -261.005633381401</t>
  </si>
  <si>
    <t>-626.328137247133 10.7675215120933 292.692482875549</t>
  </si>
  <si>
    <t>-714.544588375389 87.8830594758549 724.660503323367</t>
  </si>
  <si>
    <t>-573.713325207031 125.623766121149 786.54329917144</t>
  </si>
  <si>
    <t>-572.225218289794 -194.861533702149 309.211257393068</t>
  </si>
  <si>
    <t>-591.395089349488 -148.923253468444 754.34408413803</t>
  </si>
  <si>
    <t>-452.439176791312 -176.155940455161 825.315432199693</t>
  </si>
  <si>
    <t>9763-20170724T104538.282944300.bin</t>
  </si>
  <si>
    <t>-736.815880356726 6.6435218717013 -239.836996645686</t>
  </si>
  <si>
    <t>-510.485153159494 86.1452029924064 -262.303891033379</t>
  </si>
  <si>
    <t>-625.817858138159 10.5348940792362 292.600608201123</t>
  </si>
  <si>
    <t>-714.330291696327 87.6963313186943 724.493774596292</t>
  </si>
  <si>
    <t>-573.598775532717 125.513031594729 786.556905897381</t>
  </si>
  <si>
    <t>-572.6258669596 -195.109838406215 309.229363818286</t>
  </si>
  <si>
    <t>-591.416172033542 -148.831499473826 754.366322228216</t>
  </si>
  <si>
    <t>-452.463012421155 -176.155686964716 825.307815023906</t>
  </si>
  <si>
    <t>9763-20170724T104538.341950900.bin</t>
  </si>
  <si>
    <t>-733.129938713994 11.4263644411037 -240.881494927312</t>
  </si>
  <si>
    <t>-506.822165359543 90.8098476766841 -263.988229943744</t>
  </si>
  <si>
    <t>-624.803784387472 10.2818148570977 292.530421484067</t>
  </si>
  <si>
    <t>-714.196870299257 87.5719238573836 724.321859592294</t>
  </si>
  <si>
    <t>-573.55737350641 125.473047890012 786.541964467394</t>
  </si>
  <si>
    <t>-573.78908430245 -195.615194197383 309.268662076794</t>
  </si>
  <si>
    <t>-591.411564996955 -149.185840927796 754.424081056228</t>
  </si>
  <si>
    <t>-452.293089467687 -175.820410737512 825.303841334427</t>
  </si>
  <si>
    <t>9763-20170724T104538.384064300.bin</t>
  </si>
  <si>
    <t>-729.333190278395 17.1806700655841 -242.450980128352</t>
  </si>
  <si>
    <t>-502.563287252135 95.2231396402101 -265.595130070415</t>
  </si>
  <si>
    <t>-624.185173608106 10.3039475166297 292.582368255459</t>
  </si>
  <si>
    <t>-714.137209699261 87.3794311065394 724.258396977877</t>
  </si>
  <si>
    <t>-573.617224198503 125.694166263942 786.495096410115</t>
  </si>
  <si>
    <t>-574.713409638507 -195.868719636319 309.285828799126</t>
  </si>
  <si>
    <t>-591.407406038552 -149.179032861788 754.47709397155</t>
  </si>
  <si>
    <t>-452.330924454196 -176.041040537896 825.353572483633</t>
  </si>
  <si>
    <t>9763-20170724T104538.451771800.bin</t>
  </si>
  <si>
    <t>-725.175309258748 23.241374136684 -244.16702155912</t>
  </si>
  <si>
    <t>-497.423259336031 98.6948809402184 -266.227009183838</t>
  </si>
  <si>
    <t>-624.295747975861 10.7285529926269 292.742154998551</t>
  </si>
  <si>
    <t>-714.511156381234 87.6285753640943 724.340782488632</t>
  </si>
  <si>
    <t>-573.74495439887 125.314466255854 786.40502076807</t>
  </si>
  <si>
    <t>-575.414248733808 -195.627791710092 309.299121391967</t>
  </si>
  <si>
    <t>-591.377329746029 -149.117436538133 754.527978313502</t>
  </si>
  <si>
    <t>-452.394026680135 -176.386215774499 825.431877010629</t>
  </si>
  <si>
    <t>9763-20170724T104538.484368100.bin</t>
  </si>
  <si>
    <t>-723.599877146973 25.1204789256435 -244.529411838663</t>
  </si>
  <si>
    <t>-495.677993761907 100.119714952137 -266.383011744588</t>
  </si>
  <si>
    <t>-624.56026908094 10.9002871249213 292.794672992878</t>
  </si>
  <si>
    <t>-714.657404086439 87.6770793865055 724.383783717721</t>
  </si>
  <si>
    <t>-573.801667792744 125.248752515552 786.313790294602</t>
  </si>
  <si>
    <t>-575.588450783505 -195.271288766729 309.281843680758</t>
  </si>
  <si>
    <t>-591.352775008243 -149.093929867949 754.541238744745</t>
  </si>
  <si>
    <t>-452.469644033848 -176.791328757681 825.475189077141</t>
  </si>
  <si>
    <t>9763-20170724T104538.553556500.bin</t>
  </si>
  <si>
    <t>-720.912227234792 27.8903825574132 -244.791133001837</t>
  </si>
  <si>
    <t>-492.994912349852 102.981693334345 -266.375701029213</t>
  </si>
  <si>
    <t>-624.763168458157 11.3543306993531 292.656951315971</t>
  </si>
  <si>
    <t>-714.741225046008 87.5915330684727 724.270491460836</t>
  </si>
  <si>
    <t>-573.662536574827 124.600228441374 786.031758735237</t>
  </si>
  <si>
    <t>-575.578966044212 -194.701144753291 309.168749229146</t>
  </si>
  <si>
    <t>-591.310748523882 -149.239355463581 754.542068038054</t>
  </si>
  <si>
    <t>-452.466809629654 -177.086642937617 825.494185242812</t>
  </si>
  <si>
    <t>9763-20170724T104538.582636200.bin</t>
  </si>
  <si>
    <t>-719.478133148572 29.7135998729541 -245.027727070305</t>
  </si>
  <si>
    <t>-491.568561474426 104.840073381445 -266.569752981474</t>
  </si>
  <si>
    <t>-624.600155711505 11.7637546580977 292.594831463561</t>
  </si>
  <si>
    <t>-714.78251123267 87.6961874278222 724.253961523679</t>
  </si>
  <si>
    <t>-573.643717956751 124.513039891745 785.992642577252</t>
  </si>
  <si>
    <t>-575.53090340944 -194.183504708467 309.09700792085</t>
  </si>
  <si>
    <t>-591.31384109027 -149.053203382165 754.518884545257</t>
  </si>
  <si>
    <t>-452.562251130822 -177.313021561019 825.48853377655</t>
  </si>
  <si>
    <t>9763-20170724T104538.653829200.bin</t>
  </si>
  <si>
    <t>-715.923385621055 34.5831139972772 -246.181186165161</t>
  </si>
  <si>
    <t>-488.088305200056 110.085985468953 -267.189268425094</t>
  </si>
  <si>
    <t>-623.31832611091 12.5811524749238 292.685195655608</t>
  </si>
  <si>
    <t>-714.84053119105 87.7861534468261 724.213931012691</t>
  </si>
  <si>
    <t>-573.679165456165 124.619002506629 785.891342595135</t>
  </si>
  <si>
    <t>-575.200592682649 -193.449160792099 309.003149618556</t>
  </si>
  <si>
    <t>-591.288004241603 -149.122226761507 754.495887246674</t>
  </si>
  <si>
    <t>-452.527205963506 -177.31408823212 825.47448141157</t>
  </si>
  <si>
    <t>9763-20170724T104538.680904600.bin</t>
  </si>
  <si>
    <t>-714.515557427328 36.5384554036455 -246.754864254396</t>
  </si>
  <si>
    <t>-486.857940025973 112.69771445976 -267.312635141456</t>
  </si>
  <si>
    <t>-622.324830683624 12.8133412432294 292.820814181233</t>
  </si>
  <si>
    <t>-714.901904236102 87.8533164570028 724.153322453304</t>
  </si>
  <si>
    <t>-573.762709900551 124.885280989966 785.762388257968</t>
  </si>
  <si>
    <t>-574.894578460329 -193.18113640669 308.96807520688</t>
  </si>
  <si>
    <t>-591.267153519609 -149.265300100291 754.487105287202</t>
  </si>
  <si>
    <t>-452.463842988595 -177.237971822965 825.469193098232</t>
  </si>
  <si>
    <t>9763-20170724T104538.752094500.bin</t>
  </si>
  <si>
    <t>-714.220487243843 38.8976489622532 -247.197619655541</t>
  </si>
  <si>
    <t>-486.536354650479 115.511278247453 -265.667726012796</t>
  </si>
  <si>
    <t>-620.76730072914 13.3257128289467 293.001482220171</t>
  </si>
  <si>
    <t>-715.011945768517 87.8589292736303 724.03227595644</t>
  </si>
  <si>
    <t>-573.771079951709 124.777140253908 785.476186606029</t>
  </si>
  <si>
    <t>-574.226883145964 -192.459650708754 308.887483432747</t>
  </si>
  <si>
    <t>-591.228528404596 -149.248671171982 754.460569814775</t>
  </si>
  <si>
    <t>-452.525698473833 -177.631485274664 825.476339129969</t>
  </si>
  <si>
    <t>9763-20170724T104538.784191800.bin</t>
  </si>
  <si>
    <t>-714.866484284639 39.0298611853075 -246.988404988388</t>
  </si>
  <si>
    <t>-487.323722470387 116.307488034019 -264.404850164749</t>
  </si>
  <si>
    <t>-620.181222493039 13.6285952454755 293.047650947503</t>
  </si>
  <si>
    <t>-715.063984530464 87.8704747170102 723.981549479316</t>
  </si>
  <si>
    <t>-573.750924823923 124.648737184729 785.343217305125</t>
  </si>
  <si>
    <t>-573.70901673999 -191.90402836709 308.826561541276</t>
  </si>
  <si>
    <t>-591.219492971232 -149.009535383493 754.426093142035</t>
  </si>
  <si>
    <t>-452.702658759893 -178.183926039027 825.484119105433</t>
  </si>
  <si>
    <t>9763-20170724T104538.848366400.bin</t>
  </si>
  <si>
    <t>-715.873441166642 37.5716742108436 -246.166696452988</t>
  </si>
  <si>
    <t>-489.240731916746 117.823604745267 -261.918180293765</t>
  </si>
  <si>
    <t>-618.961235721906 14.2348507743261 293.122055019825</t>
  </si>
  <si>
    <t>-715.15359757947 87.9423026819384 723.89114634295</t>
  </si>
  <si>
    <t>-573.724530830977 124.500180246322 785.11733596057</t>
  </si>
  <si>
    <t>-572.770776748483 -191.043152344917 308.702751421867</t>
  </si>
  <si>
    <t>-591.166649089117 -148.955190220458 754.345915284972</t>
  </si>
  <si>
    <t>-452.638069521327 -177.958429308608 825.451125006012</t>
  </si>
  <si>
    <t>9763-20170724T104538.883459600.bin</t>
  </si>
  <si>
    <t>-716.077941906594 37.5180409671598 -245.958963913995</t>
  </si>
  <si>
    <t>-489.820853437813 119.121367869835 -260.083433359905</t>
  </si>
  <si>
    <t>-618.282158251092 14.6113858275558 293.145154378948</t>
  </si>
  <si>
    <t>-715.191309577713 88.0275256935806 723.828040675514</t>
  </si>
  <si>
    <t>-573.744526823167 124.576605472097 785.018504215908</t>
  </si>
  <si>
    <t>-572.371506939235 -190.578498841373 308.644467814304</t>
  </si>
  <si>
    <t>-591.148703950505 -148.954227030423 754.314856887807</t>
  </si>
  <si>
    <t>-452.658383206351 -178.085470241858 825.442290416152</t>
  </si>
  <si>
    <t>9763-20170724T104538.962672900.bin</t>
  </si>
  <si>
    <t>-715.502613629104 38.6227034264177 -246.008600363544</t>
  </si>
  <si>
    <t>-489.579030375808 121.888058208834 -254.744844034917</t>
  </si>
  <si>
    <t>-616.977443968167 15.4441992193526 293.185409041088</t>
  </si>
  <si>
    <t>-715.266681755736 88.2611964751279 723.690585944594</t>
  </si>
  <si>
    <t>-573.878303166182 125.091181895614 784.847627080784</t>
  </si>
  <si>
    <t>-571.520280651946 -189.773180150663 308.583090497044</t>
  </si>
  <si>
    <t>-591.112894248353 -149.108593147658 754.285698560188</t>
  </si>
  <si>
    <t>-452.623337593012 -178.216772824532 825.4239872399</t>
  </si>
  <si>
    <t>9763-20170724T104538.983231600.bin</t>
  </si>
  <si>
    <t>-714.704623620575 39.7696108648536 -246.35111965378</t>
  </si>
  <si>
    <t>-488.768704721426 123.291174646713 -251.643653061734</t>
  </si>
  <si>
    <t>-616.507596423737 15.6725168901498 293.196101124685</t>
  </si>
  <si>
    <t>-715.291236460315 88.343370670829 723.62282625278</t>
  </si>
  <si>
    <t>-573.886115940236 125.121675663523 784.772052427165</t>
  </si>
  <si>
    <t>-571.155082597912 -189.542357840596 308.567138312697</t>
  </si>
  <si>
    <t>-591.101520619785 -149.217233428291 754.269565022012</t>
  </si>
  <si>
    <t>-452.557944871719 -178.069054652738 825.406933735164</t>
  </si>
  <si>
    <t>9763-20170724T104539.047907900.bin</t>
  </si>
  <si>
    <t>-710.394310422718 41.8988935469201 -247.868504625252</t>
  </si>
  <si>
    <t>-485.558047407612 128.457423979023 -245.204638419888</t>
  </si>
  <si>
    <t>-616.465591042064 16.0956696364881 293.099570626303</t>
  </si>
  <si>
    <t>-715.344933052271 88.5410796194253 723.548002966297</t>
  </si>
  <si>
    <t>-573.910964651754 125.224685391991 784.687513727913</t>
  </si>
  <si>
    <t>-570.612087989849 -188.939099889852 308.476379275528</t>
  </si>
  <si>
    <t>-591.081817318189 -149.122443401927 754.20450974995</t>
  </si>
  <si>
    <t>-452.667665081621 -178.481420020148 825.386467110967</t>
  </si>
  <si>
    <t>9763-20170724T104539.082002500.bin</t>
  </si>
  <si>
    <t>-707.132270071898 43.6276499355661 -249.037695150907</t>
  </si>
  <si>
    <t>-483.181592414948 132.278634212614 -242.87600370441</t>
  </si>
  <si>
    <t>-616.76160879233 16.298760499594 293.044598831733</t>
  </si>
  <si>
    <t>-715.389605644991 88.6588044553916 723.53392971959</t>
  </si>
  <si>
    <t>-573.892075748117 125.144607017472 784.644640103688</t>
  </si>
  <si>
    <t>-570.710605761194 -188.811961614889 308.434809867314</t>
  </si>
  <si>
    <t>-591.071329632284 -149.062208912198 754.164559942096</t>
  </si>
  <si>
    <t>-452.652447982115 -178.361967895525 825.361605140593</t>
  </si>
  <si>
    <t>9763-20170724T104539.151709300.bin</t>
  </si>
  <si>
    <t>-700.174142461451 46.6643470183478 -251.792109437384</t>
  </si>
  <si>
    <t>-478.405282466214 139.763371257912 -237.578161238472</t>
  </si>
  <si>
    <t>-617.348086024914 16.6035867496814 292.885680337622</t>
  </si>
  <si>
    <t>-715.465362201108 88.860678662978 723.51142766473</t>
  </si>
  <si>
    <t>-573.873506942994 125.072570203782 784.566660449759</t>
  </si>
  <si>
    <t>-571.280066051836 -188.652804247663 308.323937705642</t>
  </si>
  <si>
    <t>-591.058627733464 -149.206392879373 754.127331445314</t>
  </si>
  <si>
    <t>-452.621924516357 -178.393277016137 825.336269125735</t>
  </si>
  <si>
    <t>9763-20170724T104539.183796400.bin</t>
  </si>
  <si>
    <t>-697.302548132236 48.3056041768377 -253.214930217105</t>
  </si>
  <si>
    <t>-476.308268476014 142.537593401341 -234.973750350645</t>
  </si>
  <si>
    <t>-617.629394188509 16.6710448715171 292.829168217045</t>
  </si>
  <si>
    <t>-715.493275017993 88.957049115123 723.515426363321</t>
  </si>
  <si>
    <t>-573.88288320257 125.12349483106 784.554672229441</t>
  </si>
  <si>
    <t>-571.610736102941 -188.742792671087 308.290771388097</t>
  </si>
  <si>
    <t>-591.047797406795 -149.446847547174 754.123964901965</t>
  </si>
  <si>
    <t>-452.501646945918 -178.152697774113 825.315443226022</t>
  </si>
  <si>
    <t>9763-20170724T104539.249999600.bin</t>
  </si>
  <si>
    <t>-692.341605642603 50.2729125827505 -255.394623803825</t>
  </si>
  <si>
    <t>-473.847384062016 148.063002622171 -228.040920331503</t>
  </si>
  <si>
    <t>-618.068689680748 16.830905424692 292.760342720397</t>
  </si>
  <si>
    <t>-715.524495444615 89.1081782920953 723.543105904124</t>
  </si>
  <si>
    <t>-573.888939123902 125.204600069906 784.56522508671</t>
  </si>
  <si>
    <t>-572.406810229955 -188.550958995668 308.223552141467</t>
  </si>
  <si>
    <t>-591.078663890014 -149.311908901064 754.112593352651</t>
  </si>
  <si>
    <t>-452.718704436194 -178.86020811049 825.321605924433</t>
  </si>
  <si>
    <t>9763-20170724T104539.317343900.bin</t>
  </si>
  <si>
    <t>-688.668046218375 49.3672241061538 -256.554200995122</t>
  </si>
  <si>
    <t>-472.487489834087 150.313300503007 -222.987572600272</t>
  </si>
  <si>
    <t>-618.576784737647 17.0655831095287 292.682259216518</t>
  </si>
  <si>
    <t>-715.539226917051 89.2267069532732 723.578503999158</t>
  </si>
  <si>
    <t>-573.850066219001 125.12591330135 784.592740088749</t>
  </si>
  <si>
    <t>-573.361254823642 -188.536943118117 308.204328198107</t>
  </si>
  <si>
    <t>-591.105480934429 -149.490150226435 754.151405126304</t>
  </si>
  <si>
    <t>-452.777187668744 -179.242525929894 825.336961219348</t>
  </si>
  <si>
    <t>9763-20170724T104539.349429200.bin</t>
  </si>
  <si>
    <t>-687.684158127372 49.3879927515034 -257.098705106948</t>
  </si>
  <si>
    <t>-472.357245940027 151.409970628608 -221.367739601072</t>
  </si>
  <si>
    <t>-618.929384851285 17.1424802159984 292.671565370156</t>
  </si>
  <si>
    <t>-715.560868225538 89.3056181087277 723.616615047268</t>
  </si>
  <si>
    <t>-573.810149911996 124.979533861255 784.619725352642</t>
  </si>
  <si>
    <t>-573.889225871399 -188.532617840273 308.181496175447</t>
  </si>
  <si>
    <t>-591.112296213822 -149.506980272772 754.154597023011</t>
  </si>
  <si>
    <t>-452.811998978682 -179.383530543887 825.342511387309</t>
  </si>
  <si>
    <t>9763-20170724T104539.380514200.bin</t>
  </si>
  <si>
    <t>-686.910451341118 49.50629548249 -257.630915115612</t>
  </si>
  <si>
    <t>-471.977933835622 151.823209821557 -220.400436950502</t>
  </si>
  <si>
    <t>-619.405868770228 17.2394171193832 292.661717677049</t>
  </si>
  <si>
    <t>-715.594879712605 89.4182333662154 723.664866037208</t>
  </si>
  <si>
    <t>-573.861872837938 125.210489866698 784.640059676431</t>
  </si>
  <si>
    <t>-574.516730608374 -188.470279692618 308.167506938807</t>
  </si>
  <si>
    <t>-591.130706118014 -149.339798115634 754.154977186487</t>
  </si>
  <si>
    <t>-452.893212377454 -179.485361956849 825.351309641073</t>
  </si>
  <si>
    <t>9763-20170724T104539.421627600.bin</t>
  </si>
  <si>
    <t>-686.740053034624 50.0107438111179 -258.120925406678</t>
  </si>
  <si>
    <t>-471.544021252788 151.632011846081 -220.509042838072</t>
  </si>
  <si>
    <t>-619.869427661964 17.3314680075264 292.64683365524</t>
  </si>
  <si>
    <t>-715.620039919022 89.4821627918745 723.726328930795</t>
  </si>
  <si>
    <t>-573.818300754669 125.049301398659 784.673387777441</t>
  </si>
  <si>
    <t>-575.138478550098 -188.561246063214 308.14679582976</t>
  </si>
  <si>
    <t>-591.129477538345 -149.520754948608 754.167217224653</t>
  </si>
  <si>
    <t>-452.891954568722 -179.681564606647 825.357076787958</t>
  </si>
  <si>
    <t>9763-20170724T104539.483296500.bin</t>
  </si>
  <si>
    <t>-688.12721082477 51.14070148066 -258.679666852762</t>
  </si>
  <si>
    <t>-471.265718740533 149.745902676038 -222.63838437257</t>
  </si>
  <si>
    <t>-620.407269089174 17.5229368593532 292.669444581541</t>
  </si>
  <si>
    <t>-715.674655802859 89.6406627857202 723.865013797113</t>
  </si>
  <si>
    <t>-573.857271800355 125.240317487231 784.756670840014</t>
  </si>
  <si>
    <t>-576.040957712863 -188.629071596071 308.070634323049</t>
  </si>
  <si>
    <t>-591.125827599054 -149.824115124236 754.18252878935</t>
  </si>
  <si>
    <t>-452.869080368801 -179.924510178349 825.360742170394</t>
  </si>
  <si>
    <t>9763-20170724T104539.552755000.bin</t>
  </si>
  <si>
    <t>-689.272762440602 51.7521766571006 -258.894651874931</t>
  </si>
  <si>
    <t>-470.500740015863 147.828453270439 -227.926832447849</t>
  </si>
  <si>
    <t>-620.61910244867 17.8015811477442 292.738648963031</t>
  </si>
  <si>
    <t>-715.736162760657 89.8428464480007 723.997023616898</t>
  </si>
  <si>
    <t>-573.940769000434 125.609787689516 784.841834363697</t>
  </si>
  <si>
    <t>-576.953225059218 -188.701785299734 308.055291663299</t>
  </si>
  <si>
    <t>-591.111874726511 -150.156914246756 754.197969924008</t>
  </si>
  <si>
    <t>-452.825088942385 -180.134067211236 825.369813175472</t>
  </si>
  <si>
    <t>9763-20170724T104539.614927400.bin</t>
  </si>
  <si>
    <t>-690.773686103408 52.3596934797779 -258.942319156118</t>
  </si>
  <si>
    <t>-469.984403598917 145.932310653198 -235.551768930294</t>
  </si>
  <si>
    <t>-620.749688942125 18.0339940566864 292.763318491372</t>
  </si>
  <si>
    <t>-715.803768033279 90.0508635953245 724.055131063259</t>
  </si>
  <si>
    <t>-574.01930969229 125.929241487613 784.859860982495</t>
  </si>
  <si>
    <t>-577.65244881532 -188.665327339521 308.085859672388</t>
  </si>
  <si>
    <t>-591.108148779667 -150.170842089611 754.239522789229</t>
  </si>
  <si>
    <t>-452.879648924101 -180.422320975912 825.408538204598</t>
  </si>
  <si>
    <t>9763-20170724T104539.647012400.bin</t>
  </si>
  <si>
    <t>-692.072722539066 52.5632999682286 -258.782404912478</t>
  </si>
  <si>
    <t>-470.218808850832 144.743797214452 -240.494423669718</t>
  </si>
  <si>
    <t>-620.690897132446 18.0193271848716 292.79198422848</t>
  </si>
  <si>
    <t>-715.816390648312 90.1053885664417 724.067428982683</t>
  </si>
  <si>
    <t>-573.99736002672 125.859457136987 784.864520303962</t>
  </si>
  <si>
    <t>-577.772060500066 -188.726773754528 308.113226399543</t>
  </si>
  <si>
    <t>-591.101095588491 -150.280562351548 754.259923113684</t>
  </si>
  <si>
    <t>-452.820781785094 -180.322386800631 825.417057738611</t>
  </si>
  <si>
    <t>9763-20170724T104539.685115600.bin</t>
  </si>
  <si>
    <t>-693.454500473016 52.3601947857428 -258.519134507427</t>
  </si>
  <si>
    <t>-470.74424373361 143.418698571206 -245.894094409052</t>
  </si>
  <si>
    <t>-620.521680982387 17.9813824691446 292.831654924488</t>
  </si>
  <si>
    <t>-715.824335636373 90.1625021425555 724.079286443634</t>
  </si>
  <si>
    <t>-574.072849088378 126.190687160764 784.872263770022</t>
  </si>
  <si>
    <t>-577.770808841826 -188.761182980072 308.130028400462</t>
  </si>
  <si>
    <t>-591.101781707007 -150.291824774886 754.272974687441</t>
  </si>
  <si>
    <t>-452.807995357121 -180.282665700482 825.425285944627</t>
  </si>
  <si>
    <t>9763-20170724T104539.752299400.bin</t>
  </si>
  <si>
    <t>-696.076210243857 50.7424936227578 -257.66630970599</t>
  </si>
  <si>
    <t>-472.093603219088 139.487437093567 -255.026600717377</t>
  </si>
  <si>
    <t>-619.915196549208 17.6608636304788 292.954336147395</t>
  </si>
  <si>
    <t>-715.814670248244 90.2308874439248 724.056943748228</t>
  </si>
  <si>
    <t>-574.091698159024 126.343308963232 784.866371128939</t>
  </si>
  <si>
    <t>-577.54093228208 -189.093707042976 308.219611288707</t>
  </si>
  <si>
    <t>-591.087278118279 -150.663365253286 754.312144399501</t>
  </si>
  <si>
    <t>-452.687704603351 -180.218746842164 825.441033807328</t>
  </si>
  <si>
    <t>9763-20170724T104539.784391800.bin</t>
  </si>
  <si>
    <t>-697.428110355604 49.6525306409033 -257.159574715968</t>
  </si>
  <si>
    <t>-473.121599552961 137.599022125934 -258.848267627688</t>
  </si>
  <si>
    <t>-619.69231189717 17.4366847887288 292.990629951556</t>
  </si>
  <si>
    <t>-715.798621204188 90.2140065304022 724.028823206116</t>
  </si>
  <si>
    <t>-574.023956489453 126.0985382193 784.852519009884</t>
  </si>
  <si>
    <t>-577.390273638479 -189.298644652801 308.277935747232</t>
  </si>
  <si>
    <t>-591.088130595421 -150.72204769947 754.33834843988</t>
  </si>
  <si>
    <t>-452.676528248602 -180.246710778259 825.456808582916</t>
  </si>
  <si>
    <t>9763-20170724T104539.861190400.bin</t>
  </si>
  <si>
    <t>-698.544593289247 48.440688273761 -256.71136142636</t>
  </si>
  <si>
    <t>-474.034103983257 135.703799712424 -262.28551220356</t>
  </si>
  <si>
    <t>-619.614624332046 17.2123267179586 292.989726996323</t>
  </si>
  <si>
    <t>-715.792885731108 90.2537122726073 724.004393251531</t>
  </si>
  <si>
    <t>-574.050923986697 126.243507749107 784.842259245358</t>
  </si>
  <si>
    <t>-577.304760838996 -189.45926883971 308.313812720365</t>
  </si>
  <si>
    <t>-591.090958591592 -150.76397019821 754.354460778737</t>
  </si>
  <si>
    <t>-452.708252678353 -180.430695443259 825.469913180762</t>
  </si>
  <si>
    <t>9763-20170724T104539.885265000.bin</t>
  </si>
  <si>
    <t>-701.556587632447 45.8885106417008 -255.922275031544</t>
  </si>
  <si>
    <t>-476.75133875184 131.829672841819 -267.217701297956</t>
  </si>
  <si>
    <t>-619.868986028105 16.7125141288789 292.944411093194</t>
  </si>
  <si>
    <t>-715.789452245858 90.3297975731853 723.958155742103</t>
  </si>
  <si>
    <t>-574.103527243496 126.519039610211 784.808276604255</t>
  </si>
  <si>
    <t>-577.37315070627 -189.786363153597 308.373793076551</t>
  </si>
  <si>
    <t>-591.095447009744 -150.758801702087 754.364861566664</t>
  </si>
  <si>
    <t>-452.788638273858 -180.745281296164 825.493776806508</t>
  </si>
  <si>
    <t>9763-20170724T104539.948436700.bin</t>
  </si>
  <si>
    <t>-705.317806559546 43.2552829460119 -255.138141355244</t>
  </si>
  <si>
    <t>-480.012239610112 127.304579016499 -270.103899934852</t>
  </si>
  <si>
    <t>-620.3566321983 16.324553427198 292.851489553588</t>
  </si>
  <si>
    <t>-715.786720284807 90.408480013675 723.907816820217</t>
  </si>
  <si>
    <t>-574.11150252663 126.617064268728 784.771287197604</t>
  </si>
  <si>
    <t>-577.733154917461 -190.202149076131 308.386381732146</t>
  </si>
  <si>
    <t>-591.102657475339 -150.841805880909 754.371003812563</t>
  </si>
  <si>
    <t>-452.747534697115 -180.616373783089 825.495094596881</t>
  </si>
  <si>
    <t>9763-20170724T104539.986544800.bin</t>
  </si>
  <si>
    <t>-707.173831224714 41.6805141375435 -254.638976714308</t>
  </si>
  <si>
    <t>-481.638787166361 124.913595649877 -270.672543095867</t>
  </si>
  <si>
    <t>-620.676137100047 16.0604776986745 292.817234616445</t>
  </si>
  <si>
    <t>-715.779004948633 90.4307610846579 723.901069874591</t>
  </si>
  <si>
    <t>-574.099345016897 126.604953292754 784.774655475398</t>
  </si>
  <si>
    <t>-577.92097407586 -190.502769843204 308.383178053392</t>
  </si>
  <si>
    <t>-591.100025848659 -151.018914500946 754.372150395045</t>
  </si>
  <si>
    <t>-452.729527655929 -180.729302684599 825.493079525022</t>
  </si>
  <si>
    <t>9763-20170724T104540.054492000.bin</t>
  </si>
  <si>
    <t>-710.538900996427 38.7886920838764 -253.615566671642</t>
  </si>
  <si>
    <t>-484.758970405857 121.165428529486 -270.596273363922</t>
  </si>
  <si>
    <t>-621.563291308499 15.6195669944707 292.760641754597</t>
  </si>
  <si>
    <t>-715.772355281092 90.5211792866273 723.941805977892</t>
  </si>
  <si>
    <t>-574.145612263212 126.858221509539 784.84140494676</t>
  </si>
  <si>
    <t>-578.38259406737 -190.920779634717 308.380067082739</t>
  </si>
  <si>
    <t>-591.117749414283 -151.006159242153 754.361110741216</t>
  </si>
  <si>
    <t>-452.696886883966 -180.513007062206 825.468778273016</t>
  </si>
  <si>
    <t>9763-20170724T104540.090599300.bin</t>
  </si>
  <si>
    <t>-711.85494320376 37.5593669189916 -253.214201927109</t>
  </si>
  <si>
    <t>-486.153310442267 119.974286050832 -271.029679218048</t>
  </si>
  <si>
    <t>-622.137705172838 15.4093792688516 292.713329827691</t>
  </si>
  <si>
    <t>-715.770282422935 90.590184023433 723.982384760739</t>
  </si>
  <si>
    <t>-574.205955220621 127.130613726671 784.905418868751</t>
  </si>
  <si>
    <t>-578.649589448898 -191.229439828249 308.384591342875</t>
  </si>
  <si>
    <t>-591.105759873332 -151.347642729511 754.35994857516</t>
  </si>
  <si>
    <t>-452.539685190361 -180.223263353366 825.444033947449</t>
  </si>
  <si>
    <t>9763-20170724T104540.148293800.bin</t>
  </si>
  <si>
    <t>-714.439867228192 36.2946978146686 -252.862082518064</t>
  </si>
  <si>
    <t>-488.660097545233 118.311351331489 -271.506286691297</t>
  </si>
  <si>
    <t>-623.480551900323 15.1028192071728 292.590939892573</t>
  </si>
  <si>
    <t>-715.760635217951 90.6587105087656 724.092353812901</t>
  </si>
  <si>
    <t>-574.210772887134 127.190613032847 785.054229684564</t>
  </si>
  <si>
    <t>-579.2806112047 -191.434497275483 308.37560327058</t>
  </si>
  <si>
    <t>-591.132606407805 -151.25545935423 754.351175572974</t>
  </si>
  <si>
    <t>-452.68919326491 -180.690105045384 825.444878124178</t>
  </si>
  <si>
    <t>9763-20170724T104540.187403000.bin</t>
  </si>
  <si>
    <t>-715.639209683882 35.7012977343311 -252.773676849679</t>
  </si>
  <si>
    <t>-489.714496371474 117.236680310746 -271.771264702261</t>
  </si>
  <si>
    <t>-624.221269078992 14.8839606579659 292.556370653493</t>
  </si>
  <si>
    <t>-715.771857654254 90.7136664547443 724.171616287565</t>
  </si>
  <si>
    <t>-574.214880252174 127.207975283147 785.139674710878</t>
  </si>
  <si>
    <t>-579.573943498883 -191.676350079078 308.370375486147</t>
  </si>
  <si>
    <t>-591.137832827555 -151.398810290958 754.353338081626</t>
  </si>
  <si>
    <t>-452.613417606656 -180.499741271176 825.42669183005</t>
  </si>
  <si>
    <t>9763-20170724T104540.250573000.bin</t>
  </si>
  <si>
    <t>-717.883207811411 34.2475765325712 -252.372407362394</t>
  </si>
  <si>
    <t>-491.631799360141 114.707040626311 -272.055854154908</t>
  </si>
  <si>
    <t>-625.508091252299 14.5203065073229 292.526885460858</t>
  </si>
  <si>
    <t>-715.778401331417 90.7851154974235 724.347164119324</t>
  </si>
  <si>
    <t>-574.242652579331 127.344074449156 785.325527466536</t>
  </si>
  <si>
    <t>-580.082451305601 -191.967448201668 308.398915792145</t>
  </si>
  <si>
    <t>-591.153837316846 -151.425255706245 754.355879265544</t>
  </si>
  <si>
    <t>-452.574117727592 -180.314701799348 825.407706989037</t>
  </si>
  <si>
    <t>9763-20170724T104540.283162500.bin</t>
  </si>
  <si>
    <t>-718.819470106516 33.3746338142032 -252.078051238344</t>
  </si>
  <si>
    <t>-492.45178833228 113.439877894837 -272.030111649138</t>
  </si>
  <si>
    <t>-625.995072653671 14.3548137300998 292.534685186665</t>
  </si>
  <si>
    <t>-715.774601185733 90.7985426232174 724.437415421231</t>
  </si>
  <si>
    <t>-574.239746025322 127.349148538175 785.422936235102</t>
  </si>
  <si>
    <t>-580.388511922998 -192.094781225557 308.416811857948</t>
  </si>
  <si>
    <t>-591.158174640737 -151.475315513995 754.362934316679</t>
  </si>
  <si>
    <t>-452.614638443971 -180.534180824161 825.416080660288</t>
  </si>
  <si>
    <t>9763-20170724T104540.350845700.bin</t>
  </si>
  <si>
    <t>-720.538564575365 32.0421417399507 -251.526906853244</t>
  </si>
  <si>
    <t>-493.799645536028 111.046063713753 -271.495720021121</t>
  </si>
  <si>
    <t>-626.872489040535 14.0758414304121 292.548451475439</t>
  </si>
  <si>
    <t>-715.78129548347 90.8627486505211 724.596742513449</t>
  </si>
  <si>
    <t>-574.239134638217 127.348426964616 785.604130963801</t>
  </si>
  <si>
    <t>-580.960273528745 -192.325809899456 308.470654393647</t>
  </si>
  <si>
    <t>-591.175566126838 -151.50875618171 754.394766214762</t>
  </si>
  <si>
    <t>-452.583472924988 -180.383133176847 825.42844206996</t>
  </si>
  <si>
    <t>9763-20170724T104540.384436300.bin</t>
  </si>
  <si>
    <t>-721.383243311185 31.5952240184274 -251.299422081574</t>
  </si>
  <si>
    <t>-494.366731510166 109.836437705582 -271.11563059327</t>
  </si>
  <si>
    <t>-627.263896888112 13.9537344999378 292.550569577863</t>
  </si>
  <si>
    <t>-715.771943062484 90.86653386798 724.662140774218</t>
  </si>
  <si>
    <t>-574.203987653694 127.234383110836 785.680018865764</t>
  </si>
  <si>
    <t>-581.180170945963 -192.451175947834 308.48494187017</t>
  </si>
  <si>
    <t>-591.17360285967 -151.594241752943 754.406184817723</t>
  </si>
  <si>
    <t>-452.570494997082 -180.422176500434 825.437185132749</t>
  </si>
  <si>
    <t>9763-20170724T104540.437079300.bin</t>
  </si>
  <si>
    <t>-722.234039081207 31.198190276617 -251.118148372414</t>
  </si>
  <si>
    <t>-494.870197461676 108.434642894903 -270.895207340072</t>
  </si>
  <si>
    <t>-627.707830525527 13.8490730952026 292.551836826393</t>
  </si>
  <si>
    <t>-715.774505072169 90.8961090393577 724.734114455684</t>
  </si>
  <si>
    <t>-574.226287500593 127.325139397758 785.761436614846</t>
  </si>
  <si>
    <t>-581.398925901755 -192.548556043764 308.493496799875</t>
  </si>
  <si>
    <t>-591.184038033657 -151.553411262321 754.417037715124</t>
  </si>
  <si>
    <t>-452.595267004737 -180.457170906757 825.445390165638</t>
  </si>
  <si>
    <t>9763-20170724T104540.483203700.bin</t>
  </si>
  <si>
    <t>-723.723984672458 30.147243255919 -250.658247377747</t>
  </si>
  <si>
    <t>-495.749515099238 105.47362190662 -270.768982323883</t>
  </si>
  <si>
    <t>-628.719363417708 13.7142747436999 292.580331982761</t>
  </si>
  <si>
    <t>-715.799957280199 90.9762233069114 724.9002300599</t>
  </si>
  <si>
    <t>-574.277860291381 127.506379165125 785.927691503927</t>
  </si>
  <si>
    <t>-581.794215227171 -192.746136245748 308.519646699082</t>
  </si>
  <si>
    <t>-591.200570576752 -151.624130116341 754.443495494339</t>
  </si>
  <si>
    <t>-452.59066472231 -180.476338196451 825.451533325744</t>
  </si>
  <si>
    <t>9763-20170724T104540.548392400.bin</t>
  </si>
  <si>
    <t>-725.030536929852 29.0844789698285 -250.051006579713</t>
  </si>
  <si>
    <t>-496.629094252225 102.831566562549 -271.146345968053</t>
  </si>
  <si>
    <t>-629.292870291421 13.5761530321881 292.626652558031</t>
  </si>
  <si>
    <t>-715.827153250331 91.025714612475 725.041946669222</t>
  </si>
  <si>
    <t>-574.25387413388 127.388831027572 786.050373053884</t>
  </si>
  <si>
    <t>-582.027095802483 -192.814103694063 308.541233841058</t>
  </si>
  <si>
    <t>-591.207604334877 -151.650324954246 754.465143905793</t>
  </si>
  <si>
    <t>-452.647107972208 -180.748720054725 825.469167804723</t>
  </si>
  <si>
    <t>9763-20170724T104540.586498400.bin</t>
  </si>
  <si>
    <t>-725.725450394305 28.6158402474798 -249.701645039721</t>
  </si>
  <si>
    <t>-497.093897813002 101.471171329215 -271.394283269921</t>
  </si>
  <si>
    <t>-629.46816652283 13.5402253928912 292.656197339789</t>
  </si>
  <si>
    <t>-715.84217388489 91.0729377954292 725.10222601305</t>
  </si>
  <si>
    <t>-574.285248450723 127.499018919752 786.110939085278</t>
  </si>
  <si>
    <t>-581.960295882136 -192.882309460879 308.566711507532</t>
  </si>
  <si>
    <t>-591.212308183353 -151.664678415774 754.478571690833</t>
  </si>
  <si>
    <t>-452.604910120682 -180.567611642443 825.470916009857</t>
  </si>
  <si>
    <t>9763-20170724T104540.652676500.bin</t>
  </si>
  <si>
    <t>-727.204171253785 27.5298762793911 -248.871439055915</t>
  </si>
  <si>
    <t>-498.163532612385 98.6036456511968 -272.103808176001</t>
  </si>
  <si>
    <t>-629.447848853542 13.4194140850339 292.76290155161</t>
  </si>
  <si>
    <t>-715.857619241307 91.1247360642355 725.193671613814</t>
  </si>
  <si>
    <t>-574.35895787522 127.774335852137 786.203736694665</t>
  </si>
  <si>
    <t>-581.787715458425 -193.021663940497 308.626700913997</t>
  </si>
  <si>
    <t>-591.208173100056 -151.760853314158 754.498796763248</t>
  </si>
  <si>
    <t>-452.573651835691 -180.547189709146 825.485470318118</t>
  </si>
  <si>
    <t>9763-20170724T104540.686285500.bin</t>
  </si>
  <si>
    <t>-727.804954527442 26.6772567779174 -248.418125731573</t>
  </si>
  <si>
    <t>-498.696803180128 97.3373380065152 -272.239976377307</t>
  </si>
  <si>
    <t>-629.37890742292 13.3565084378693 292.794345149314</t>
  </si>
  <si>
    <t>-715.858212483115 91.1242451612952 725.217499107883</t>
  </si>
  <si>
    <t>-574.364139267535 127.779846929611 786.234599586977</t>
  </si>
  <si>
    <t>-581.609873270843 -193.141617186993 308.658236620805</t>
  </si>
  <si>
    <t>-591.199426086247 -151.865104542834 754.51207824572</t>
  </si>
  <si>
    <t>-452.509756780325 -180.407217398265 825.48960467154</t>
  </si>
  <si>
    <t>9763-20170724T104540.751972500.bin</t>
  </si>
  <si>
    <t>-728.452120687912 25.140846095934 -247.535847947053</t>
  </si>
  <si>
    <t>-499.356893797748 95.4308912098436 -272.545833301935</t>
  </si>
  <si>
    <t>-629.203793978313 13.2979528686487 292.859054620338</t>
  </si>
  <si>
    <t>-715.858409556879 91.1309936311511 725.257584668313</t>
  </si>
  <si>
    <t>-574.368738451465 127.778024959144 786.290049746837</t>
  </si>
  <si>
    <t>-581.280316388243 -193.226645686695 308.705000152666</t>
  </si>
  <si>
    <t>-591.195482334392 -151.870385153396 754.528472173199</t>
  </si>
  <si>
    <t>-452.552465398109 -180.606652658582 825.518855547908</t>
  </si>
  <si>
    <t>9763-20170724T104540.781552500.bin</t>
  </si>
  <si>
    <t>-728.853738865536 24.6861743420045 -247.180947923136</t>
  </si>
  <si>
    <t>-499.742456022461 94.7356410842785 -272.714299138554</t>
  </si>
  <si>
    <t>-629.050303989089 13.2832120698704 292.872378328819</t>
  </si>
  <si>
    <t>-715.863864146121 91.1301612818063 725.25929994019</t>
  </si>
  <si>
    <t>-574.337212287718 127.626397917104 786.296334220831</t>
  </si>
  <si>
    <t>-581.059223274484 -193.246773183966 308.731549058164</t>
  </si>
  <si>
    <t>-591.192961373192 -151.827708166079 754.534925113289</t>
  </si>
  <si>
    <t>-452.535827421678 -180.491468132947 825.527000750465</t>
  </si>
  <si>
    <t>9763-20170724T104540.851236700.bin</t>
  </si>
  <si>
    <t>-729.898130943286 23.6029522892923 -246.473749182253</t>
  </si>
  <si>
    <t>-500.696481561813 92.8331486095899 -273.392897534084</t>
  </si>
  <si>
    <t>-628.653451310584 13.2000155588294 292.942403699207</t>
  </si>
  <si>
    <t>-715.884901305308 91.1558517227511 725.240500335981</t>
  </si>
  <si>
    <t>-574.427211107071 127.923692924651 786.274474562103</t>
  </si>
  <si>
    <t>-580.568310487461 -193.343182991649 308.760978503922</t>
  </si>
  <si>
    <t>-591.187430950233 -151.838793803636 754.547472606013</t>
  </si>
  <si>
    <t>-452.536436804068 -180.528660696698 825.541005289452</t>
  </si>
  <si>
    <t>9763-20170724T104540.883829100.bin</t>
  </si>
  <si>
    <t>-730.384297157728 22.9395608113673 -246.123262009388</t>
  </si>
  <si>
    <t>-501.128430342101 91.7602803927673 -273.624810163038</t>
  </si>
  <si>
    <t>-628.459063042941 13.1081559707304 292.979089927591</t>
  </si>
  <si>
    <t>-715.890478243566 91.1555140583221 725.227752248317</t>
  </si>
  <si>
    <t>-574.435289034036 127.932446271278 786.26199665863</t>
  </si>
  <si>
    <t>-580.258768193673 -193.461930164356 308.777802893941</t>
  </si>
  <si>
    <t>-591.179614592075 -151.958933986173 754.549834553518</t>
  </si>
  <si>
    <t>-452.453172262816 -180.311285925938 825.531636137327</t>
  </si>
  <si>
    <t>9763-20170724T104540.953516500.bin</t>
  </si>
  <si>
    <t>-731.145291762383 21.6724360458647 -245.374803205059</t>
  </si>
  <si>
    <t>-501.879351244207 89.9305361563945 -274.16370919396</t>
  </si>
  <si>
    <t>-628.187159395414 13.1030537503621 293.021640488989</t>
  </si>
  <si>
    <t>-715.919239073991 91.1700838879367 725.193190458602</t>
  </si>
  <si>
    <t>-574.472601043491 128.00697940173 786.211230094762</t>
  </si>
  <si>
    <t>-579.662230524854 -193.333770460882 308.792133520821</t>
  </si>
  <si>
    <t>-591.185610968054 -151.776403029064 754.538379409862</t>
  </si>
  <si>
    <t>-452.594510482 -180.713332053802 825.548529757834</t>
  </si>
  <si>
    <t>9763-20170724T104540.983109900.bin</t>
  </si>
  <si>
    <t>-731.588490103321 21.1295822921056 -245.012021209337</t>
  </si>
  <si>
    <t>-502.266011497975 88.938368592261 -274.40687181038</t>
  </si>
  <si>
    <t>-628.070985668535 13.1256877276487 293.031690284659</t>
  </si>
  <si>
    <t>-715.949785207771 91.2279956732566 725.176227424142</t>
  </si>
  <si>
    <t>-574.569394964477 128.337329467126 786.182634596451</t>
  </si>
  <si>
    <t>-579.307874283751 -193.402461934399 308.797739530346</t>
  </si>
  <si>
    <t>-591.175319930364 -151.905679988451 754.536189232842</t>
  </si>
  <si>
    <t>-452.51241482029 -180.51493007939 825.539025075088</t>
  </si>
  <si>
    <t>9763-20170724T104541.046713600.bin</t>
  </si>
  <si>
    <t>-732.82066827507 20.0215997329892 -244.301932638678</t>
  </si>
  <si>
    <t>-503.292138672489 86.427969860531 -275.248938577816</t>
  </si>
  <si>
    <t>-627.914752799171 13.1288680274533 293.050650805064</t>
  </si>
  <si>
    <t>-715.981160395959 91.2509971469842 725.149653289629</t>
  </si>
  <si>
    <t>-574.517752847856 128.064486762054 786.142902298774</t>
  </si>
  <si>
    <t>-578.824621226289 -193.249398702774 308.800453460373</t>
  </si>
  <si>
    <t>-591.193306493241 -151.615207731067 754.519829985175</t>
  </si>
  <si>
    <t>-452.634417385684 -180.691960253222 825.535861362418</t>
  </si>
  <si>
    <t>9763-20170724T104541.082814600.bin</t>
  </si>
  <si>
    <t>-733.612709349255 19.3914835339883 -243.923364770131</t>
  </si>
  <si>
    <t>-503.918870961441 84.8027447731085 -275.750985352533</t>
  </si>
  <si>
    <t>-627.800941148264 12.9998831931987 293.076213878607</t>
  </si>
  <si>
    <t>-715.982447681312 91.2259697907866 725.144192549304</t>
  </si>
  <si>
    <t>-574.498768054202 127.969466581469 786.132535185664</t>
  </si>
  <si>
    <t>-578.619307187613 -193.330857064275 308.797344936888</t>
  </si>
  <si>
    <t>-591.18946116287 -151.716839902107 754.517014531437</t>
  </si>
  <si>
    <t>-452.531515480106 -180.353134967721 825.518868360233</t>
  </si>
  <si>
    <t>9763-20170724T104541.148993400.bin</t>
  </si>
  <si>
    <t>-735.234436050902 18.0398083326882 -243.095481680939</t>
  </si>
  <si>
    <t>-505.300468420184 81.5188098198728 -277.031533936597</t>
  </si>
  <si>
    <t>-627.691893624619 12.9621346629776 293.122808382063</t>
  </si>
  <si>
    <t>-716.010486932731 91.2645589461727 725.152416401467</t>
  </si>
  <si>
    <t>-574.618956486104 128.3758172272 786.131820560723</t>
  </si>
  <si>
    <t>-578.153024991183 -193.320524753034 308.788985783952</t>
  </si>
  <si>
    <t>-591.194132989554 -151.657675516587 754.498620444839</t>
  </si>
  <si>
    <t>-452.579959017775 -180.48512782978 825.508373235961</t>
  </si>
  <si>
    <t>9763-20170724T104541.185091600.bin</t>
  </si>
  <si>
    <t>-735.972411702077 17.0690376599293 -242.580608292811</t>
  </si>
  <si>
    <t>-505.971031760326 79.6408769260106 -277.722958199788</t>
  </si>
  <si>
    <t>-627.635570095163 12.91054772182 293.162785975312</t>
  </si>
  <si>
    <t>-716.029815817672 91.2719015632049 725.158120523045</t>
  </si>
  <si>
    <t>-574.678977473586 128.562945449066 786.122289849852</t>
  </si>
  <si>
    <t>-577.947158859484 -193.439957272994 308.791488976607</t>
  </si>
  <si>
    <t>-591.177434984288 -151.815100575024 754.489127409794</t>
  </si>
  <si>
    <t>-452.478095507486 -180.247273562218 825.491819636223</t>
  </si>
  <si>
    <t>9763-20170724T104541.253072700.bin</t>
  </si>
  <si>
    <t>-737.184590144462 15.4622374626715 -241.569716338427</t>
  </si>
  <si>
    <t>-507.147710457495 76.579732593209 -278.96698913833</t>
  </si>
  <si>
    <t>-627.323469955663 12.8250996386503 293.226114373261</t>
  </si>
  <si>
    <t>-716.068357366631 91.3097560971275 725.163331121772</t>
  </si>
  <si>
    <t>-574.756981811051 128.773014747265 786.113228386441</t>
  </si>
  <si>
    <t>-577.471133434207 -193.445146451657 308.806993610918</t>
  </si>
  <si>
    <t>-591.175942577255 -151.84998216039 754.484825734491</t>
  </si>
  <si>
    <t>-452.435015532171 -180.097356827596 825.480104461133</t>
  </si>
  <si>
    <t>9763-20170724T104541.284661200.bin</t>
  </si>
  <si>
    <t>-737.767997384313 14.8178567004509 -241.112930156091</t>
  </si>
  <si>
    <t>-507.692356865972 75.2308159090016 -279.405951705622</t>
  </si>
  <si>
    <t>-627.154776971438 12.8049075059307 293.267141597052</t>
  </si>
  <si>
    <t>-716.078425413637 91.2958595050909 725.171505766765</t>
  </si>
  <si>
    <t>-574.760536499335 128.749961533854 786.111754296634</t>
  </si>
  <si>
    <t>-577.162469249761 -193.366144954338 308.806925268038</t>
  </si>
  <si>
    <t>-591.182237508078 -151.661660563587 754.470292040327</t>
  </si>
  <si>
    <t>-452.516860906514 -180.24140514508 825.480284003144</t>
  </si>
  <si>
    <t>9763-20170724T104541.348968000.bin</t>
  </si>
  <si>
    <t>-738.892890231095 13.2903738525426 -240.108001937666</t>
  </si>
  <si>
    <t>-508.905490758629 72.8730134086161 -280.189983321608</t>
  </si>
  <si>
    <t>-626.671201279975 12.6487836012955 293.362063736991</t>
  </si>
  <si>
    <t>-716.083156519415 91.2337780484961 725.181029131845</t>
  </si>
  <si>
    <t>-574.776871007838 128.733866325095 786.120129035353</t>
  </si>
  <si>
    <t>-576.58709954403 -193.418291012262 308.816011819106</t>
  </si>
  <si>
    <t>-591.170183055012 -151.650640546166 754.448716463044</t>
  </si>
  <si>
    <t>-452.501980731486 -180.191162637794 825.46886993824</t>
  </si>
  <si>
    <t>9763-20170724T104541.384578100.bin</t>
  </si>
  <si>
    <t>-739.371655918719 12.4930105202047 -239.591024418237</t>
  </si>
  <si>
    <t>-509.46521533937 71.7887287613614 -280.553384439243</t>
  </si>
  <si>
    <t>-626.522955419768 12.6159292879624 293.408940701546</t>
  </si>
  <si>
    <t>-716.095724720768 91.241102796806 725.186176729048</t>
  </si>
  <si>
    <t>-574.822498312004 128.862036040094 786.127383867989</t>
  </si>
  <si>
    <t>-576.370069730743 -193.410943350557 308.829630589493</t>
  </si>
  <si>
    <t>-591.172779280131 -151.555503539925 754.441826520605</t>
  </si>
  <si>
    <t>-452.540992807229 -180.251955733669 825.470186127892</t>
  </si>
  <si>
    <t>9763-20170724T104541.448250500.bin</t>
  </si>
  <si>
    <t>-740.333464785592 11.2381472489822 -238.69277385869</t>
  </si>
  <si>
    <t>-510.605602592348 70.1125430336763 -281.234172251728</t>
  </si>
  <si>
    <t>-626.26963194536 12.4736721728873 293.505766300858</t>
  </si>
  <si>
    <t>-716.100485787659 91.2052195620777 725.20304154157</t>
  </si>
  <si>
    <t>-574.856499591953 128.930715277414 786.147631778821</t>
  </si>
  <si>
    <t>-576.031480482261 -193.505887021054 308.82860881673</t>
  </si>
  <si>
    <t>-591.165997918742 -151.634563954542 754.42812477621</t>
  </si>
  <si>
    <t>-452.478922615281 -180.085637839542 825.447223963081</t>
  </si>
  <si>
    <t>9763-20170724T104541.486356100.bin</t>
  </si>
  <si>
    <t>-740.885072646873 10.7050026336585 -238.335115649316</t>
  </si>
  <si>
    <t>-511.179493775908 69.3276840147262 -281.341576320684</t>
  </si>
  <si>
    <t>-626.232448652833 12.4015340778333 293.530175581691</t>
  </si>
  <si>
    <t>-716.097109059824 91.2011740281935 725.214690611417</t>
  </si>
  <si>
    <t>-574.862978759389 128.962885412688 786.159424584529</t>
  </si>
  <si>
    <t>-575.972910659055 -193.532701985001 308.83289827823</t>
  </si>
  <si>
    <t>-591.174495887092 -151.576796716882 754.421795882304</t>
  </si>
  <si>
    <t>-452.484881470695 -180.021871317396 825.438506447572</t>
  </si>
  <si>
    <t>9763-20170724T104541.550529700.bin</t>
  </si>
  <si>
    <t>-742.238745999454 9.87577371023212 -237.72789745877</t>
  </si>
  <si>
    <t>-512.58015675686 68.0609018423297 -281.57180451596</t>
  </si>
  <si>
    <t>-626.244544022917 12.4083900123112 293.551079471281</t>
  </si>
  <si>
    <t>-716.111471852182 91.1570185384226 725.25007641537</t>
  </si>
  <si>
    <t>-574.931588170038 129.07904185872 786.220897816372</t>
  </si>
  <si>
    <t>-575.914581049441 -193.505374490178 308.838562381971</t>
  </si>
  <si>
    <t>-591.182165306204 -151.561244236799 754.422638740764</t>
  </si>
  <si>
    <t>-452.50552425473 -180.088214148453 825.431846017489</t>
  </si>
  <si>
    <t>9763-20170724T104541.585126300.bin</t>
  </si>
  <si>
    <t>-742.950525692102 9.34931965010492 -237.422230924394</t>
  </si>
  <si>
    <t>-513.354796072261 67.4023888605918 -281.767525108074</t>
  </si>
  <si>
    <t>-626.23331181432 12.3872143255905 293.596533145281</t>
  </si>
  <si>
    <t>-716.131019771007 91.1643286426447 725.268938731475</t>
  </si>
  <si>
    <t>-574.988920579202 129.241807146861 786.230500539631</t>
  </si>
  <si>
    <t>-575.871343556403 -193.579359640063 308.837635885969</t>
  </si>
  <si>
    <t>-591.183154435241 -151.63226697235 754.42173441226</t>
  </si>
  <si>
    <t>-452.450306203029 -179.918805789828 825.417453520307</t>
  </si>
  <si>
    <t>9763-20170724T104541.653825700.bin</t>
  </si>
  <si>
    <t>-744.170027626293 8.51772417099733 -236.89246321376</t>
  </si>
  <si>
    <t>-514.638808845734 66.0842503515255 -282.196065483614</t>
  </si>
  <si>
    <t>-626.001533778208 12.291552840833 293.738364393999</t>
  </si>
  <si>
    <t>-716.196998429831 91.1919186718965 725.316862042493</t>
  </si>
  <si>
    <t>-574.974020096448 129.057416459354 786.223106961198</t>
  </si>
  <si>
    <t>-575.577935009111 -193.611336594341 308.842337106304</t>
  </si>
  <si>
    <t>-591.177331456539 -151.654632242667 754.408392638755</t>
  </si>
  <si>
    <t>-452.399733148531 -179.745936724071 825.393935169732</t>
  </si>
  <si>
    <t>9763-20170724T104541.680897500.bin</t>
  </si>
  <si>
    <t>-744.464807110879 8.16595683656169 -236.586816290625</t>
  </si>
  <si>
    <t>-514.962266366964 65.7451834882811 -282.018994191469</t>
  </si>
  <si>
    <t>-625.721172817333 12.1700646601025 293.865322050558</t>
  </si>
  <si>
    <t>-716.243655352666 91.2128178759328 725.346099094565</t>
  </si>
  <si>
    <t>-575.006478335602 129.11043467987 786.199514785386</t>
  </si>
  <si>
    <t>-575.455763697133 -193.563795349405 308.829759953232</t>
  </si>
  <si>
    <t>-591.185836994265 -151.439375012089 754.392453907585</t>
  </si>
  <si>
    <t>-452.440852362799 -179.668583548183 825.387069104439</t>
  </si>
  <si>
    <t>9763-20170724T104541.748789100.bin</t>
  </si>
  <si>
    <t>-744.626035992684 7.25358757610206 -235.695577537315</t>
  </si>
  <si>
    <t>-515.194925331391 65.2204677684474 -280.995192088957</t>
  </si>
  <si>
    <t>-624.834590783319 11.6682430573831 294.130542262329</t>
  </si>
  <si>
    <t>-716.282709306401 91.1477809527148 725.387591950703</t>
  </si>
  <si>
    <t>-575.036292032356 129.123820257686 786.170520665945</t>
  </si>
  <si>
    <t>-575.381615020582 -193.891741260567 308.852158079212</t>
  </si>
  <si>
    <t>-591.188327455491 -151.462807048121 754.374220696489</t>
  </si>
  <si>
    <t>-452.396262928975 -179.451177932709 825.372088186494</t>
  </si>
  <si>
    <t>9763-20170724T104541.780874800.bin</t>
  </si>
  <si>
    <t>-744.616865151802 6.80080564013747 -235.164352845747</t>
  </si>
  <si>
    <t>-515.381809353196 65.5763256706261 -280.414178503017</t>
  </si>
  <si>
    <t>-624.491663613872 11.4713494068722 294.219156173941</t>
  </si>
  <si>
    <t>-716.268747962083 91.0542111486704 725.397246127933</t>
  </si>
  <si>
    <t>-575.033323685746 129.073291261116 786.178908793355</t>
  </si>
  <si>
    <t>-575.439185033995 -194.044740082547 308.881180267925</t>
  </si>
  <si>
    <t>-591.200573533603 -151.358202776434 754.379731306114</t>
  </si>
  <si>
    <t>-452.433846418614 -179.464123555716 825.380681804097</t>
  </si>
  <si>
    <t>9763-20170724T104541.851067500.bin</t>
  </si>
  <si>
    <t>-744.283565875831 5.55199602692528 -234.025966990556</t>
  </si>
  <si>
    <t>-515.920918132538 67.2561359743693 -279.785611730013</t>
  </si>
  <si>
    <t>-624.207211862999 11.0319588437812 294.373586025269</t>
  </si>
  <si>
    <t>-716.246326881194 90.926045040643 725.416727404886</t>
  </si>
  <si>
    <t>-575.050326830959 129.063658867521 786.215621152512</t>
  </si>
  <si>
    <t>-575.548512909976 -194.423545318805 308.945258560712</t>
  </si>
  <si>
    <t>-591.214224925473 -151.305748388522 754.398797503188</t>
  </si>
  <si>
    <t>-452.513854783025 -179.726949162451 825.403915844932</t>
  </si>
  <si>
    <t>9763-20170724T104541.884658800.bin</t>
  </si>
  <si>
    <t>-743.982684052914 4.88672149340755 -233.467247802408</t>
  </si>
  <si>
    <t>-515.817953216308 67.7287500063994 -278.662507454362</t>
  </si>
  <si>
    <t>-624.190395945679 10.8446915109691 294.403900084084</t>
  </si>
  <si>
    <t>-716.222111899296 90.8486910213965 725.432912483101</t>
  </si>
  <si>
    <t>-575.043430518307 129.021522576842 786.249928455427</t>
  </si>
  <si>
    <t>-575.635738989596 -194.726230821578 308.978360282362</t>
  </si>
  <si>
    <t>-591.203860054467 -151.495244819567 754.413339845006</t>
  </si>
  <si>
    <t>-452.385615513798 -179.383146452266 825.399705271751</t>
  </si>
  <si>
    <t>9763-20170724T104541.949912400.bin</t>
  </si>
  <si>
    <t>-743.74139366742 3.77669630642981 -232.317549933664</t>
  </si>
  <si>
    <t>-516.140829609612 68.9641842854689 -277.032794652423</t>
  </si>
  <si>
    <t>-624.059700991259 10.7036892883414 294.474190341186</t>
  </si>
  <si>
    <t>-716.190153495468 90.7859526633772 725.458137770608</t>
  </si>
  <si>
    <t>-575.070278715078 129.093446958743 786.327008890236</t>
  </si>
  <si>
    <t>-575.860296427503 -195.038878092346 309.050286981368</t>
  </si>
  <si>
    <t>-591.224672467223 -151.403362213415 754.443346764112</t>
  </si>
  <si>
    <t>-452.443263199019 -179.478829481303 825.427705149303</t>
  </si>
  <si>
    <t>9763-20170724T104541.982001300.bin</t>
  </si>
  <si>
    <t>-743.673318974119 3.1574625546416 -231.82977142368</t>
  </si>
  <si>
    <t>-516.445335983791 69.6064381768206 -276.583075006097</t>
  </si>
  <si>
    <t>-623.780473275454 10.7469124143111 294.496306082901</t>
  </si>
  <si>
    <t>-716.105110927079 90.7532217460302 725.46292189608</t>
  </si>
  <si>
    <t>-575.129100255772 129.387406762493 786.458402589266</t>
  </si>
  <si>
    <t>-575.931768543953 -195.241310331118 309.092059117722</t>
  </si>
  <si>
    <t>-591.230718841292 -151.532025022947 754.475434463881</t>
  </si>
  <si>
    <t>-452.417391177586 -179.502850581137 825.438740827168</t>
  </si>
  <si>
    <t>9763-20170724T104542.050722900.bin</t>
  </si>
  <si>
    <t>-743.446806922793 3.16035194708911 -231.258495978263</t>
  </si>
  <si>
    <t>-516.823069990782 72.0261618701707 -275.418253735195</t>
  </si>
  <si>
    <t>-622.77131191558 11.0383766526222 294.586800207842</t>
  </si>
  <si>
    <t>-715.947894834907 90.9024707290862 725.463177555525</t>
  </si>
  <si>
    <t>-575.213634350362 129.793463008767 786.852541526812</t>
  </si>
  <si>
    <t>-576.001804967784 -195.538523872465 309.234450741153</t>
  </si>
  <si>
    <t>-591.270737228133 -151.634743131061 754.579391477798</t>
  </si>
  <si>
    <t>-452.351158406179 -179.25422306526 825.472240262984</t>
  </si>
  <si>
    <t>9763-20170724T104542.084314300.bin</t>
  </si>
  <si>
    <t>-742.971252011177 4.1496498153906 -231.229376367488</t>
  </si>
  <si>
    <t>-516.578453670508 74.1037457195648 -274.859771703454</t>
  </si>
  <si>
    <t>-621.970633756995 11.3937260584717 294.62498362432</t>
  </si>
  <si>
    <t>-715.91702640995 91.0260404184223 725.397403751077</t>
  </si>
  <si>
    <t>-575.301475213132 130.09001074212 786.948655524045</t>
  </si>
  <si>
    <t>-576.021524933771 -195.45874654476 309.340222960252</t>
  </si>
  <si>
    <t>-591.293242776143 -151.47898242963 754.637542357646</t>
  </si>
  <si>
    <t>-452.431193060819 -179.422984652765 825.515904607712</t>
  </si>
  <si>
    <t>9763-20170724T104542.152498100.bin</t>
  </si>
  <si>
    <t>-741.080041543426 6.67481049673756 -231.630179586069</t>
  </si>
  <si>
    <t>-514.769316353986 77.8076602107083 -273.754331331553</t>
  </si>
  <si>
    <t>-620.61904736911 12.2914648581946 294.561765845479</t>
  </si>
  <si>
    <t>-715.933122286017 91.2112589066908 725.144569204356</t>
  </si>
  <si>
    <t>-575.469504939925 130.528442192864 786.881545792345</t>
  </si>
  <si>
    <t>-576.038270788382 -195.262189809805 309.485681637925</t>
  </si>
  <si>
    <t>-591.291120575359 -151.560853310142 754.754317140986</t>
  </si>
  <si>
    <t>-452.397411832137 -179.426783841901 825.601418578059</t>
  </si>
  <si>
    <t>9763-20170724T104542.180572800.bin</t>
  </si>
  <si>
    <t>-739.946154058505 8.09023712408498 -232.041329750497</t>
  </si>
  <si>
    <t>-513.579625018832 79.4958194489238 -273.397261617268</t>
  </si>
  <si>
    <t>-620.392285318092 12.7055254017957 294.459184723451</t>
  </si>
  <si>
    <t>-715.971517834113 91.1992068693189 725.010354880736</t>
  </si>
  <si>
    <t>-575.515420062933 130.555890780619 786.738966874314</t>
  </si>
  <si>
    <t>-575.918179672366 -194.905112239107 309.471485402806</t>
  </si>
  <si>
    <t>-591.285233542499 -151.404582657508 754.77109786424</t>
  </si>
  <si>
    <t>-452.409827449434 -179.34974314774 825.62292837145</t>
  </si>
  <si>
    <t>9763-20170724T104542.252777900.bin</t>
  </si>
  <si>
    <t>-737.111304348866 11.1771542816048 -233.140289718807</t>
  </si>
  <si>
    <t>-510.561995682512 82.879236875023 -272.953258619915</t>
  </si>
  <si>
    <t>-620.56507740238 13.4092792674865 294.137396725587</t>
  </si>
  <si>
    <t>-716.084572116046 91.1215176650489 724.794107040927</t>
  </si>
  <si>
    <t>-575.477125947367 130.138489280954 786.39377947596</t>
  </si>
  <si>
    <t>-575.40701209513 -194.056530523655 309.321540061312</t>
  </si>
  <si>
    <t>-591.264052982404 -151.201623503501 754.737301415502</t>
  </si>
  <si>
    <t>-452.509079432323 -179.644566526585 825.62698453413</t>
  </si>
  <si>
    <t>9763-20170724T104542.282854400.bin</t>
  </si>
  <si>
    <t>-735.476929858018 13.0528623947175 -233.764902539419</t>
  </si>
  <si>
    <t>-508.754713672606 84.7940261266422 -272.508817847971</t>
  </si>
  <si>
    <t>-620.991128216726 13.8401658396836 293.937905841483</t>
  </si>
  <si>
    <t>-716.147615077576 91.0753138968892 724.726175693315</t>
  </si>
  <si>
    <t>-575.480812582729 130.005255769339 786.245259094356</t>
  </si>
  <si>
    <t>-575.137888409669 -193.522749888739 309.217671706637</t>
  </si>
  <si>
    <t>-591.243889779839 -151.218017227829 754.70244271119</t>
  </si>
  <si>
    <t>-452.489013851354 -179.618267663787 825.609435194409</t>
  </si>
  <si>
    <t>9763-20170724T104542.350043100.bin</t>
  </si>
  <si>
    <t>-731.815797322753 17.5272819209379 -235.09766049604</t>
  </si>
  <si>
    <t>-504.656897433031 88.8657503409249 -271.983130354899</t>
  </si>
  <si>
    <t>-622.437947075589 14.878541694613 293.622898796242</t>
  </si>
  <si>
    <t>-716.312614185368 91.1604102878205 724.74849640727</t>
  </si>
  <si>
    <t>-575.403300697039 129.475702029079 786.098315060432</t>
  </si>
  <si>
    <t>-574.699982715605 -192.351980161131 308.950258692608</t>
  </si>
  <si>
    <t>-591.237151782674 -151.091455210684 754.606542473824</t>
  </si>
  <si>
    <t>-452.542046381718 -179.715982207891 825.540323015055</t>
  </si>
  <si>
    <t>9763-20170724T104542.382128100.bin</t>
  </si>
  <si>
    <t>-730.049753473912 19.5127298122454 -235.655755740674</t>
  </si>
  <si>
    <t>-502.650498066557 90.5477611230342 -271.63416627444</t>
  </si>
  <si>
    <t>-623.354288092463 15.3880733427068 293.501848717337</t>
  </si>
  <si>
    <t>-716.384194687685 91.2130107582848 724.844808637195</t>
  </si>
  <si>
    <t>-575.358328245093 129.233582889086 786.109973689089</t>
  </si>
  <si>
    <t>-574.478692137259 -191.751404039449 308.803117899194</t>
  </si>
  <si>
    <t>-591.233021008056 -151.003590611192 754.55082945377</t>
  </si>
  <si>
    <t>-452.600510385856 -179.892261537478 825.499871966858</t>
  </si>
  <si>
    <t>9763-20170724T104542.449971300.bin</t>
  </si>
  <si>
    <t>-727.572178318377 23.1210529373286 -236.371067119265</t>
  </si>
  <si>
    <t>-499.657037719285 92.9726734055519 -271.389633228668</t>
  </si>
  <si>
    <t>-625.539066255591 16.3551845466991 293.34192465727</t>
  </si>
  <si>
    <t>-716.523324273496 91.3475979293571 725.213974253008</t>
  </si>
  <si>
    <t>-575.309533907814 128.921782673695 786.321583860954</t>
  </si>
  <si>
    <t>-573.713044401825 -190.296951431303 308.459352480479</t>
  </si>
  <si>
    <t>-591.221626074349 -150.734540977129 754.395970534573</t>
  </si>
  <si>
    <t>-452.678987229065 -179.954500948478 825.384888550758</t>
  </si>
  <si>
    <t>9763-20170724T104542.485067700.bin</t>
  </si>
  <si>
    <t>-726.423826278097 24.7070736615515 -236.553032551318</t>
  </si>
  <si>
    <t>-498.254945069183 94.0041215754618 -271.01662270684</t>
  </si>
  <si>
    <t>-626.42676819325 16.7527939206809 293.381441634289</t>
  </si>
  <si>
    <t>-716.59540959197 91.4344622805888 725.458788314385</t>
  </si>
  <si>
    <t>-575.26229841226 128.69773181721 786.480832618348</t>
  </si>
  <si>
    <t>-573.350133451947 -189.565119442199 308.311450834846</t>
  </si>
  <si>
    <t>-591.221243792877 -150.653131933609 754.31136006619</t>
  </si>
  <si>
    <t>-452.739057951126 -180.092579459028 825.327593528755</t>
  </si>
  <si>
    <t>9763-20170724T104542.553819600.bin</t>
  </si>
  <si>
    <t>-723.741294845673 28.2531235233223 -236.569611001281</t>
  </si>
  <si>
    <t>-495.102905792969 96.5074342238213 -269.98683336876</t>
  </si>
  <si>
    <t>-627.451771874867 17.6579753706867 293.538112283332</t>
  </si>
  <si>
    <t>-716.721052695538 91.5761713833954 725.936974043472</t>
  </si>
  <si>
    <t>-575.215076846347 128.447069689085 786.796520116331</t>
  </si>
  <si>
    <t>-572.65833059223 -188.2161796138 308.144506067329</t>
  </si>
  <si>
    <t>-591.220914485593 -150.414784662312 754.207273415676</t>
  </si>
  <si>
    <t>-452.865132199393 -180.346584589587 825.26404146519</t>
  </si>
  <si>
    <t>9763-20170724T104542.585908400.bin</t>
  </si>
  <si>
    <t>-722.595234189136 29.7964705197273 -236.409324811049</t>
  </si>
  <si>
    <t>-493.810027530175 97.7272395528844 -269.479350296469</t>
  </si>
  <si>
    <t>-627.608213338741 18.2620246862514 293.621323696315</t>
  </si>
  <si>
    <t>-716.781988409983 91.6965501407765 726.153127770266</t>
  </si>
  <si>
    <t>-575.232882243027 128.490071113423 786.959162368782</t>
  </si>
  <si>
    <t>-572.189349168226 -187.529293313832 308.097360540272</t>
  </si>
  <si>
    <t>-591.21335207517 -150.392807567878 754.178538989461</t>
  </si>
  <si>
    <t>-452.918755205431 -180.553857253191 825.257531423515</t>
  </si>
  <si>
    <t>9763-20170724T104542.650643700.bin</t>
  </si>
  <si>
    <t>-721.108813296341 31.2016181265053 -235.589349140986</t>
  </si>
  <si>
    <t>-492.195857202737 98.6815616246226 -268.697673347417</t>
  </si>
  <si>
    <t>-626.762924783257 19.015001798427 293.998595818287</t>
  </si>
  <si>
    <t>-716.898155825594 91.8553430224581 726.462367704641</t>
  </si>
  <si>
    <t>-575.19823158433 128.28790447656 787.134329997622</t>
  </si>
  <si>
    <t>-571.082472677908 -186.530359619586 308.066919724505</t>
  </si>
  <si>
    <t>-591.169767672323 -150.312876008555 754.118281042963</t>
  </si>
  <si>
    <t>-452.895857505096 -180.419006727453 825.260711010172</t>
  </si>
  <si>
    <t>9763-20170724T104542.701785500.bin</t>
  </si>
  <si>
    <t>-720.896357005503 31.5438797958532 -235.049081798946</t>
  </si>
  <si>
    <t>-492.010662874419 99.1070187011908 -268.176689381004</t>
  </si>
  <si>
    <t>-626.050487470511 19.3835078957754 294.145228107318</t>
  </si>
  <si>
    <t>-716.949937425866 91.9220468098172 726.556246371741</t>
  </si>
  <si>
    <t>-575.224860785717 128.359915931733 787.16631962505</t>
  </si>
  <si>
    <t>-570.624321015537 -186.092439643344 308.082189404417</t>
  </si>
  <si>
    <t>-591.154141815373 -150.107666243615 754.092183706154</t>
  </si>
  <si>
    <t>-452.974403351603 -180.531805178807 825.282222624095</t>
  </si>
  <si>
    <t>9763-20170724T104542.752919300.bin</t>
  </si>
  <si>
    <t>-720.004259901174 31.0286628053052 -233.618485573563</t>
  </si>
  <si>
    <t>-491.503879326827 99.4527032801502 -267.626874594953</t>
  </si>
  <si>
    <t>-624.827988023367 19.6640817451355 294.452063959251</t>
  </si>
  <si>
    <t>-716.99617893032 91.9703643631931 726.675946710217</t>
  </si>
  <si>
    <t>-575.27136391497 128.533978771875 787.210799956525</t>
  </si>
  <si>
    <t>-569.88528215329 -185.694821319805 308.113980631894</t>
  </si>
  <si>
    <t>-591.12887510534 -150.214352868274 754.086368230389</t>
  </si>
  <si>
    <t>-452.855677944916 -180.152746524912 825.301028504607</t>
  </si>
  <si>
    <t>9763-20170724T104542.781997100.bin</t>
  </si>
  <si>
    <t>-719.322970062456 30.61164548172 -232.787839408177</t>
  </si>
  <si>
    <t>-491.035372166506 99.5220382759346 -267.240762743254</t>
  </si>
  <si>
    <t>-624.566735275508 19.6406804231476 294.594705602593</t>
  </si>
  <si>
    <t>-717.013980245952 91.9907289384598 726.754046076469</t>
  </si>
  <si>
    <t>-575.316468543291 128.695257600359 787.267647077908</t>
  </si>
  <si>
    <t>-569.643073252256 -185.612050690419 308.110094421188</t>
  </si>
  <si>
    <t>-591.127422140612 -150.205800635831 754.090010842094</t>
  </si>
  <si>
    <t>-452.890372224883 -180.295475699679 825.310950296567</t>
  </si>
  <si>
    <t>9763-20170724T104542.852190900.bin</t>
  </si>
  <si>
    <t>-718.34637210764 29.9170300224127 -231.040588949378</t>
  </si>
  <si>
    <t>-490.387841039825 99.1727394129693 -266.9494090328</t>
  </si>
  <si>
    <t>-624.625616015628 19.4114433218683 294.862788365522</t>
  </si>
  <si>
    <t>-717.021411117895 91.9688664185662 726.953124190245</t>
  </si>
  <si>
    <t>-575.249502540372 128.43156516733 787.43872026035</t>
  </si>
  <si>
    <t>-569.074841066984 -185.576162034643 308.103291510559</t>
  </si>
  <si>
    <t>-591.148364855906 -149.997709184408 754.066411492033</t>
  </si>
  <si>
    <t>-452.889350169288 -179.9803788195 825.289856899783</t>
  </si>
  <si>
    <t>9763-20170724T104542.885280500.bin</t>
  </si>
  <si>
    <t>-718.199083213702 29.4518092994435 -230.284064026818</t>
  </si>
  <si>
    <t>-490.262994985765 98.4809152484322 -266.767172878939</t>
  </si>
  <si>
    <t>-624.778603867815 19.3060478692037 294.958616419878</t>
  </si>
  <si>
    <t>-717.01519321637 91.9550922216474 727.075752700706</t>
  </si>
  <si>
    <t>-575.212742406226 128.302730740762 787.559150081252</t>
  </si>
  <si>
    <t>-569.049846536 -185.728859288414 308.096126961619</t>
  </si>
  <si>
    <t>-591.144656481187 -150.27333158865 754.067718491986</t>
  </si>
  <si>
    <t>-452.816012215084 -179.960445154665 825.279686794402</t>
  </si>
  <si>
    <t>9763-20170724T104542.953004500.bin</t>
  </si>
  <si>
    <t>-718.497074369964 29.0063479533135 -229.070410852193</t>
  </si>
  <si>
    <t>-490.599055646118 97.4071843774498 -266.947555676895</t>
  </si>
  <si>
    <t>-625.047936065358 19.2269443481887 295.164165598333</t>
  </si>
  <si>
    <t>-717.043977307364 92.0249643497536 727.283913810249</t>
  </si>
  <si>
    <t>-575.302145000844 128.634084698629 787.751526610646</t>
  </si>
  <si>
    <t>-569.364741267529 -185.715158212448 308.123473418994</t>
  </si>
  <si>
    <t>-591.179407174507 -150.126305001811 754.087450677336</t>
  </si>
  <si>
    <t>-452.940325822692 -180.241979026471 825.293433015063</t>
  </si>
  <si>
    <t>9763-20170724T104542.984602200.bin</t>
  </si>
  <si>
    <t>-718.599717191004 28.9896638265191 -228.735550382747</t>
  </si>
  <si>
    <t>-490.699524728339 97.2084285999456 -266.926852673804</t>
  </si>
  <si>
    <t>-625.118286176069 19.1759984258213 295.237816221533</t>
  </si>
  <si>
    <t>-717.031456659019 91.98978937735 727.371129447247</t>
  </si>
  <si>
    <t>-575.227952200692 128.351662014953 787.843367673511</t>
  </si>
  <si>
    <t>-569.56764238054 -185.765600440052 308.145417892292</t>
  </si>
  <si>
    <t>-591.186691540038 -150.285587713989 754.115128799424</t>
  </si>
  <si>
    <t>-452.927481584135 -180.344616332698 825.305936297784</t>
  </si>
  <si>
    <t>9763-20170724T104543.032230600.bin</t>
  </si>
  <si>
    <t>-718.791001054576 29.2248163122033 -228.554145469688</t>
  </si>
  <si>
    <t>-490.829857744647 97.2803659788863 -266.67285020246</t>
  </si>
  <si>
    <t>-625.209961358263 19.2223460227262 295.279230465749</t>
  </si>
  <si>
    <t>-717.042209661985 92.0293088604408 727.439076419874</t>
  </si>
  <si>
    <t>-575.296387650731 128.607081970876 787.916131199621</t>
  </si>
  <si>
    <t>-569.707476599832 -185.650281891439 308.178950514766</t>
  </si>
  <si>
    <t>-591.211640497147 -150.049406243345 754.134846734081</t>
  </si>
  <si>
    <t>-453.028378721486 -180.460142165855 825.323822526772</t>
  </si>
  <si>
    <t>9763-20170724T104543.081361400.bin</t>
  </si>
  <si>
    <t>-719.066753164676 29.2307670542007 -228.453630314581</t>
  </si>
  <si>
    <t>-491.024956627917 97.0341876250918 -266.538819497119</t>
  </si>
  <si>
    <t>-625.379755110607 19.3139788601864 295.300520607536</t>
  </si>
  <si>
    <t>-717.04828563431 92.0496751013538 727.545455696281</t>
  </si>
  <si>
    <t>-575.248365022824 128.37343252997 788.048710738483</t>
  </si>
  <si>
    <t>-569.9106336651 -185.7389067116 308.248753618061</t>
  </si>
  <si>
    <t>-591.216366973077 -150.319337788711 754.191260518439</t>
  </si>
  <si>
    <t>-452.893557209282 -180.18106627411 825.341643148428</t>
  </si>
  <si>
    <t>9763-20170724T104543.154563000.bin</t>
  </si>
  <si>
    <t>-719.223447573092 29.1363465262125 -228.336864416176</t>
  </si>
  <si>
    <t>-491.120506603957 96.4571945363489 -266.909198067775</t>
  </si>
  <si>
    <t>-625.552916542685 19.5270199325666 295.275895722902</t>
  </si>
  <si>
    <t>-717.082971665066 92.1333559141949 727.608235444742</t>
  </si>
  <si>
    <t>-575.320792443645 128.597272281611 788.115683823501</t>
  </si>
  <si>
    <t>-570.066813175758 -185.49557338327 308.283214425261</t>
  </si>
  <si>
    <t>-591.231669778348 -150.184836307728 754.2276250019</t>
  </si>
  <si>
    <t>-453.019405368157 -180.539154491741 825.384325341269</t>
  </si>
  <si>
    <t>9763-20170724T104543.197682100.bin</t>
  </si>
  <si>
    <t>-719.08975764498 29.0999594842626 -228.178635368976</t>
  </si>
  <si>
    <t>-491.075914727524 96.3482236449502 -267.398653351701</t>
  </si>
  <si>
    <t>-625.603955064652 19.5781933379621 295.267205202137</t>
  </si>
  <si>
    <t>-717.088883545251 92.1450675139049 727.637433774709</t>
  </si>
  <si>
    <t>-575.350151210246 128.701007636644 788.144451482921</t>
  </si>
  <si>
    <t>-570.146059699394 -185.508517142161 308.282817317977</t>
  </si>
  <si>
    <t>-591.229327168784 -150.276439286486 754.23401753515</t>
  </si>
  <si>
    <t>-452.897748466305 -180.119819848726 825.375003435465</t>
  </si>
  <si>
    <t>9763-20170724T104543.249657600.bin</t>
  </si>
  <si>
    <t>-718.554795883213 29.2429841074604 -227.653570395141</t>
  </si>
  <si>
    <t>-490.719365243452 96.2666039549547 -268.270252366192</t>
  </si>
  <si>
    <t>-625.419550668633 19.6906017131128 295.299131478774</t>
  </si>
  <si>
    <t>-717.124619147088 92.1911659827099 727.671538734707</t>
  </si>
  <si>
    <t>-575.411074095859 128.865720619542 788.165746965224</t>
  </si>
  <si>
    <t>-570.244916846986 -185.542291264702 308.287035042118</t>
  </si>
  <si>
    <t>-591.222669772892 -150.429541616462 754.240905365852</t>
  </si>
  <si>
    <t>-452.794669915729 -179.851969261087 825.369635492842</t>
  </si>
  <si>
    <t>9763-20170724T104543.283748200.bin</t>
  </si>
  <si>
    <t>-718.089134633723 29.16013239476 -227.260344995529</t>
  </si>
  <si>
    <t>-490.513521229501 96.5027701031472 -268.795760365108</t>
  </si>
  <si>
    <t>-625.235058737564 19.6501792734041 295.324400235709</t>
  </si>
  <si>
    <t>-717.131843776904 92.1822113165099 727.674346499016</t>
  </si>
  <si>
    <t>-575.407469197748 128.826101950259 788.1616169344</t>
  </si>
  <si>
    <t>-570.343092191514 -185.5128713018 308.284126992538</t>
  </si>
  <si>
    <t>-591.238711457849 -150.21737531309 754.234911916329</t>
  </si>
  <si>
    <t>-452.856464843899 -179.833592321159 825.372251043395</t>
  </si>
  <si>
    <t>9763-20170724T104543.350945800.bin</t>
  </si>
  <si>
    <t>-716.813436554758 28.1499342440718 -226.162791003274</t>
  </si>
  <si>
    <t>-490.045777073798 97.1648313638202 -269.339717213589</t>
  </si>
  <si>
    <t>-625.252562588608 19.5527927246974 295.348404443596</t>
  </si>
  <si>
    <t>-717.107312496399 92.1431425353628 727.702850189882</t>
  </si>
  <si>
    <t>-575.369437094371 128.658723112316 788.236205152238</t>
  </si>
  <si>
    <t>-570.352240378234 -185.569581359109 308.26347191844</t>
  </si>
  <si>
    <t>-591.233349736821 -150.167842576234 754.210026033266</t>
  </si>
  <si>
    <t>-452.856423446584 -179.760615169733 825.367591079061</t>
  </si>
  <si>
    <t>9763-20170724T104543.384034700.bin</t>
  </si>
  <si>
    <t>-716.061065309619 27.6324667356664 -225.461932778559</t>
  </si>
  <si>
    <t>-489.80891011184 98.043138838374 -269.087563422794</t>
  </si>
  <si>
    <t>-625.273707623249 19.5453686922801 295.382435634625</t>
  </si>
  <si>
    <t>-717.084507763274 92.1143516348129 727.73569928037</t>
  </si>
  <si>
    <t>-575.376896136936 128.693591808211 788.301336576884</t>
  </si>
  <si>
    <t>-570.340301774615 -185.547037924847 308.253279741542</t>
  </si>
  <si>
    <t>-591.249705393071 -149.99631354479 754.200201808075</t>
  </si>
  <si>
    <t>-452.940288367512 -179.883111907074 825.36609516489</t>
  </si>
  <si>
    <t>9763-20170724T104543.452818000.bin</t>
  </si>
  <si>
    <t>-714.407326475848 27.6709581550324 -224.109099244965</t>
  </si>
  <si>
    <t>-489.16463223456 101.151509757066 -267.895114339546</t>
  </si>
  <si>
    <t>-625.178493898011 19.6401316057531 295.438252382071</t>
  </si>
  <si>
    <t>-716.992056326052 92.1031845962868 727.831585967569</t>
  </si>
  <si>
    <t>-575.40828877383 128.896481676684 788.557016214538</t>
  </si>
  <si>
    <t>-570.417940566564 -185.668946024251 308.272591878423</t>
  </si>
  <si>
    <t>-591.272163892511 -150.177838118387 754.218460817927</t>
  </si>
  <si>
    <t>-452.90086887501 -179.850514042435 825.353569020122</t>
  </si>
  <si>
    <t>9763-20170724T104543.487409400.bin</t>
  </si>
  <si>
    <t>-713.576402268464 28.274869889698 -223.589254929106</t>
  </si>
  <si>
    <t>-488.666990208091 102.760010957365 -267.391325274123</t>
  </si>
  <si>
    <t>-625.067090575679 19.6639878672279 295.513011771352</t>
  </si>
  <si>
    <t>-716.959013415215 92.1105450344248 727.896450960978</t>
  </si>
  <si>
    <t>-575.452813148064 129.071894311205 788.700678098074</t>
  </si>
  <si>
    <t>-570.454257478906 -185.796414822727 308.283509368093</t>
  </si>
  <si>
    <t>-591.278568717528 -150.444962783664 754.236996202874</t>
  </si>
  <si>
    <t>-452.789363929015 -179.638756529052 825.340872221255</t>
  </si>
  <si>
    <t>9763-20170724T104543.547640000.bin</t>
  </si>
  <si>
    <t>-778.761177168236 0.409561758897553 -507.845466280724</t>
  </si>
  <si>
    <t>-711.480065827101 29.9447247902658 -222.903106555795</t>
  </si>
  <si>
    <t>-487.283196201017 106.027519412072 -267.602650930021</t>
  </si>
  <si>
    <t>-624.982166816256 19.9052436895693 295.646373606554</t>
  </si>
  <si>
    <t>-716.951950692818 92.0751267911148 728.038119321115</t>
  </si>
  <si>
    <t>-575.467077753485 129.042061686048 788.888536539267</t>
  </si>
  <si>
    <t>-570.532100614804 -185.519130556501 308.283614438748</t>
  </si>
  <si>
    <t>-591.303638061934 -150.281113065678 754.248083450732</t>
  </si>
  <si>
    <t>-452.870954441707 -179.75809906913 825.345095982818</t>
  </si>
  <si>
    <t>9763-20170724T104543.584739500.bin</t>
  </si>
  <si>
    <t>-778.921390894877 1.54170976862997 -507.374871814658</t>
  </si>
  <si>
    <t>-710.473179367248 31.2025510403646 -222.723778394096</t>
  </si>
  <si>
    <t>-486.510395374242 107.79062407418 -267.732808913328</t>
  </si>
  <si>
    <t>-625.081314873209 20.1016499006428 295.685546430591</t>
  </si>
  <si>
    <t>-716.981963313103 92.063906340255 728.104121603469</t>
  </si>
  <si>
    <t>-575.474365919989 128.991462532649 788.925478069786</t>
  </si>
  <si>
    <t>-570.463059557447 -185.373396279984 308.258339654571</t>
  </si>
  <si>
    <t>-591.315807784415 -150.188935578915 754.245120623072</t>
  </si>
  <si>
    <t>-452.896255115649 -179.731730205883 825.340447173508</t>
  </si>
  <si>
    <t>9763-20170724T104543.650921600.bin</t>
  </si>
  <si>
    <t>-779.115524116893 3.91416875675759 -506.536404260348</t>
  </si>
  <si>
    <t>-708.400641263232 33.7902649826028 -222.46252541854</t>
  </si>
  <si>
    <t>-484.964221224574 111.733258943882 -267.760292425882</t>
  </si>
  <si>
    <t>-625.561269413564 20.6132384516602 295.756783501709</t>
  </si>
  <si>
    <t>-717.071737023717 92.1295474957083 728.278397323809</t>
  </si>
  <si>
    <t>-575.488474923645 128.872954502224 789.035123542605</t>
  </si>
  <si>
    <t>-570.258193363126 -184.802804503044 308.174450601477</t>
  </si>
  <si>
    <t>-591.323374281444 -150.214287513496 754.236657053256</t>
  </si>
  <si>
    <t>-452.873199062389 -179.645195180584 825.318856309453</t>
  </si>
  <si>
    <t>9763-20170724T104543.684009700.bin</t>
  </si>
  <si>
    <t>-779.255607995848 5.19731891355286 -506.102455302716</t>
  </si>
  <si>
    <t>-707.345527818731 35.1045922808639 -222.331957495994</t>
  </si>
  <si>
    <t>-484.258591399585 114.010950327739 -267.684893558751</t>
  </si>
  <si>
    <t>-625.811151229947 20.9653432323937 295.795223130451</t>
  </si>
  <si>
    <t>-717.100087329045 92.1446565901954 728.397221742384</t>
  </si>
  <si>
    <t>-575.44007434386 128.628621454552 789.131548336269</t>
  </si>
  <si>
    <t>-570.065780879276 -184.362258439534 308.123617074095</t>
  </si>
  <si>
    <t>-591.330871198036 -150.082287159844 754.21558323733</t>
  </si>
  <si>
    <t>-452.942724550356 -179.781530262006 825.307033219302</t>
  </si>
  <si>
    <t>9763-20170724T104543.749194600.bin</t>
  </si>
  <si>
    <t>-779.818704028825 8.16502622158964 -505.00782435284</t>
  </si>
  <si>
    <t>-705.622524684353 37.8782692741408 -221.806083693195</t>
  </si>
  <si>
    <t>-483.485503733558 119.02683767115 -267.859647539015</t>
  </si>
  <si>
    <t>-626.257573228681 21.7384506436392 295.941681974039</t>
  </si>
  <si>
    <t>-717.139413744482 92.2144453209044 728.696541500215</t>
  </si>
  <si>
    <t>-575.395351079454 128.38181922838 789.423961027918</t>
  </si>
  <si>
    <t>-569.778684867294 -183.402198502018 308.00572086477</t>
  </si>
  <si>
    <t>-591.327026945684 -149.964183297741 754.169886327599</t>
  </si>
  <si>
    <t>-452.995192925745 -179.891264960847 825.275271019979</t>
  </si>
  <si>
    <t>9763-20170724T104543.783282100.bin</t>
  </si>
  <si>
    <t>-780.268690252595 9.77865404032627 -504.322231307238</t>
  </si>
  <si>
    <t>-704.846984800986 39.3496792578317 -221.429373353793</t>
  </si>
  <si>
    <t>-483.159924503454 121.529430061564 -267.820933033585</t>
  </si>
  <si>
    <t>-626.488238877571 22.1676814759219 296.045622230636</t>
  </si>
  <si>
    <t>-717.175046355342 92.2837155507666 728.885338895354</t>
  </si>
  <si>
    <t>-575.429797655896 128.458223602343 789.605914491998</t>
  </si>
  <si>
    <t>-569.610292001883 -182.865688201966 307.928520077752</t>
  </si>
  <si>
    <t>-591.326221928511 -149.932486572782 754.148718339358</t>
  </si>
  <si>
    <t>-452.992782757375 -179.846782523167 825.256220439261</t>
  </si>
  <si>
    <t>9763-20170724T104543.854027300.bin</t>
  </si>
  <si>
    <t>-781.41591721771 13.7005234369503 -502.815799723302</t>
  </si>
  <si>
    <t>-703.714923311433 42.5441093333923 -220.465365858621</t>
  </si>
  <si>
    <t>-482.854403695407 126.443241714324 -267.713923321578</t>
  </si>
  <si>
    <t>-627.045231001015 22.971935467649 296.358479430691</t>
  </si>
  <si>
    <t>-717.268810901334 92.3040943222634 729.336301170264</t>
  </si>
  <si>
    <t>-575.402139633957 128.159970309209 789.962224639409</t>
  </si>
  <si>
    <t>-569.296450983755 -181.641855661161 307.770933143646</t>
  </si>
  <si>
    <t>-591.309218243041 -149.718317510194 754.074230037596</t>
  </si>
  <si>
    <t>-453.076621334776 -180.025875741758 825.211316309445</t>
  </si>
  <si>
    <t>9763-20170724T104543.887620100.bin</t>
  </si>
  <si>
    <t>-782.181616282296 15.8068607823411 -502.105300609546</t>
  </si>
  <si>
    <t>-703.612635410158 44.0995952401911 -219.939381412264</t>
  </si>
  <si>
    <t>-483.063000806271 128.536779468649 -267.679546356769</t>
  </si>
  <si>
    <t>-627.370043367261 23.3513002837467 296.527345329635</t>
  </si>
  <si>
    <t>-717.31357479391 92.2689961681888 729.608116337895</t>
  </si>
  <si>
    <t>-575.346834236297 127.865110507644 790.152892582599</t>
  </si>
  <si>
    <t>-569.142666717643 -180.97075342769 307.65625768202</t>
  </si>
  <si>
    <t>-591.297520379411 -149.605127947693 754.023468516789</t>
  </si>
  <si>
    <t>-453.066305121122 -179.882713734688 825.176165376385</t>
  </si>
  <si>
    <t>9763-20170724T104543.933246700.bin</t>
  </si>
  <si>
    <t>-782.930773970642 17.9847217566619 -501.540199679255</t>
  </si>
  <si>
    <t>-703.846962574778 45.4977460351304 -219.440923852664</t>
  </si>
  <si>
    <t>-483.542652074914 130.51458571967 -267.284534342048</t>
  </si>
  <si>
    <t>-628.085674842536 23.607524336024 296.696501279789</t>
  </si>
  <si>
    <t>-717.375637013765 92.2157722554728 729.923520394025</t>
  </si>
  <si>
    <t>-575.300013801226 127.56585661661 790.356842938626</t>
  </si>
  <si>
    <t>-569.049447461712 -180.237698450499 307.500277971291</t>
  </si>
  <si>
    <t>-591.269799060446 -149.67212366178 753.951208499171</t>
  </si>
  <si>
    <t>-453.055785673426 -179.953974116685 825.135358197037</t>
  </si>
  <si>
    <t>9763-20170724T104543.986400600.bin</t>
  </si>
  <si>
    <t>-784.365442838284 22.7385665230247 -500.957949586466</t>
  </si>
  <si>
    <t>-705.500576954164 48.5454455573245 -218.636241787608</t>
  </si>
  <si>
    <t>-485.034066748897 133.011411409519 -266.707881527562</t>
  </si>
  <si>
    <t>-631.99553612719 24.4233921395094 296.947176034373</t>
  </si>
  <si>
    <t>-717.637295282831 92.4421125737722 730.836341373963</t>
  </si>
  <si>
    <t>-575.261380888495 127.073027610629 790.978662755174</t>
  </si>
  <si>
    <t>-568.370471649616 -178.278861102426 307.030667114126</t>
  </si>
  <si>
    <t>-591.220472838897 -149.344733069666 753.72075705548</t>
  </si>
  <si>
    <t>-453.162093968395 -180.099269591718 825.004234420521</t>
  </si>
  <si>
    <t>9763-20170724T104544.052132700.bin</t>
  </si>
  <si>
    <t>-785.32921939918 27.648862625196 -501.14115584924</t>
  </si>
  <si>
    <t>-708.483247274883 51.4496894732943 -218.08743658552</t>
  </si>
  <si>
    <t>-487.535945814583 133.916965435606 -267.405954123233</t>
  </si>
  <si>
    <t>-636.04647585013 26.2749803749616 297.280433824142</t>
  </si>
  <si>
    <t>-717.943961348982 93.0621159529865 732.019331352685</t>
  </si>
  <si>
    <t>-575.184414086457 126.509007917714 791.92180509899</t>
  </si>
  <si>
    <t>-566.729454244295 -176.161932326261 306.604037070853</t>
  </si>
  <si>
    <t>-591.106690771699 -148.966107434301 753.406751036166</t>
  </si>
  <si>
    <t>-453.197609954412 -180.033077873941 824.843706778962</t>
  </si>
  <si>
    <t>9763-20170724T104544.082213400.bin</t>
  </si>
  <si>
    <t>-785.829441168627 29.5434599283856 -501.352588994654</t>
  </si>
  <si>
    <t>-709.736239520174 52.3604438960315 -218.014449187392</t>
  </si>
  <si>
    <t>-488.387531713714 133.815508045196 -267.214640932688</t>
  </si>
  <si>
    <t>-637.141421659392 27.2415916863506 297.506836778532</t>
  </si>
  <si>
    <t>-718.045536957458 93.3463572383816 732.608268321423</t>
  </si>
  <si>
    <t>-575.175422223914 126.436228838814 792.445420236199</t>
  </si>
  <si>
    <t>-566.060163573256 -175.152931078651 306.47434034319</t>
  </si>
  <si>
    <t>-591.074902932367 -148.87746400469 753.288175476052</t>
  </si>
  <si>
    <t>-453.22976192641 -180.084820866835 824.787278453853</t>
  </si>
  <si>
    <t>9763-20170724T104544.149419400.bin</t>
  </si>
  <si>
    <t>-787.507015431332 30.8404289951868 -502.17857893849</t>
  </si>
  <si>
    <t>-713.840067252688 54.2391294237459 -218.247414166287</t>
  </si>
  <si>
    <t>-491.676641846226 133.372190597548 -267.565517613212</t>
  </si>
  <si>
    <t>-638.360087504786 28.9257321348002 297.992693604053</t>
  </si>
  <si>
    <t>-718.195891668064 93.8085140206135 733.574000032089</t>
  </si>
  <si>
    <t>-575.206792507708 126.493306534727 793.349630118837</t>
  </si>
  <si>
    <t>-565.748801439368 -173.543585639228 306.459055624986</t>
  </si>
  <si>
    <t>-591.02724382684 -148.672299455543 753.206138763177</t>
  </si>
  <si>
    <t>-453.21368379325 -179.85720865851 824.775801338385</t>
  </si>
  <si>
    <t>9763-20170724T104544.183494200.bin</t>
  </si>
  <si>
    <t>-788.644476947906 30.7087813537578 -502.785623168937</t>
  </si>
  <si>
    <t>-715.58271342091 55.3784135211965 -218.805691036977</t>
  </si>
  <si>
    <t>-492.461288794477 132.019407166605 -267.733065716704</t>
  </si>
  <si>
    <t>-638.673795084695 29.6731340279628 298.186825235454</t>
  </si>
  <si>
    <t>-718.253443103004 94.0262701949207 733.930701897935</t>
  </si>
  <si>
    <t>-575.244806290092 126.642078558174 793.697268673068</t>
  </si>
  <si>
    <t>-565.564236196671 -172.881257102383 306.506936085107</t>
  </si>
  <si>
    <t>-590.995102264711 -148.521916669852 753.197572138316</t>
  </si>
  <si>
    <t>-453.20738004726 -179.733418027035 824.805334163228</t>
  </si>
  <si>
    <t>9763-20170724T104544.249420600.bin</t>
  </si>
  <si>
    <t>-790.761885686265 29.1146726940956 -504.383011809845</t>
  </si>
  <si>
    <t>-718.985972831428 56.4556970769445 -220.319876005517</t>
  </si>
  <si>
    <t>-493.598867513502 128.302873096381 -266.030848667708</t>
  </si>
  <si>
    <t>-639.041071231935 30.4589835621475 298.345052474221</t>
  </si>
  <si>
    <t>-718.148019699747 94.5590140243041 734.414100173717</t>
  </si>
  <si>
    <t>-575.316160401379 127.12378362516 794.62948467169</t>
  </si>
  <si>
    <t>-565.29847804295 -172.135912993325 306.694309909558</t>
  </si>
  <si>
    <t>-591.101156584375 -148.742127298945 753.364336188619</t>
  </si>
  <si>
    <t>-453.164898859601 -179.481527701474 824.890436066054</t>
  </si>
  <si>
    <t>9763-20170724T104544.283510600.bin</t>
  </si>
  <si>
    <t>-791.814347554175 27.9163429392768 -505.267918268617</t>
  </si>
  <si>
    <t>-720.485973591637 56.1644569716495 -221.180743116367</t>
  </si>
  <si>
    <t>-494.314616657241 126.161405407562 -265.877930527919</t>
  </si>
  <si>
    <t>-639.15519838376 30.4004491945987 298.512176076843</t>
  </si>
  <si>
    <t>-718.163572775835 94.9090552091352 734.602993296511</t>
  </si>
  <si>
    <t>-575.455826401463 127.506382991192 795.094368502521</t>
  </si>
  <si>
    <t>-564.398634141804 -172.156998107105 306.887889746267</t>
  </si>
  <si>
    <t>-591.217136804597 -148.993486788459 753.567342206448</t>
  </si>
  <si>
    <t>-453.204935502578 -179.700810625131 824.960594520019</t>
  </si>
  <si>
    <t>9763-20170724T104544.353254400.bin</t>
  </si>
  <si>
    <t>-791.741491454778 26.2946867866835 -506.934447734749</t>
  </si>
  <si>
    <t>-721.505609970513 56.4366325031635 -222.769681805349</t>
  </si>
  <si>
    <t>-493.290792894638 121.74377733271 -264.047063634341</t>
  </si>
  <si>
    <t>-638.483462283202 29.8685533612963 299.196227501208</t>
  </si>
  <si>
    <t>-717.676162995467 94.2083609619087 735.344241302469</t>
  </si>
  <si>
    <t>-575.255688892517 127.716007229539 796.015118596285</t>
  </si>
  <si>
    <t>-557.397775154421 -171.669490225375 307.333658533278</t>
  </si>
  <si>
    <t>-591.446259124912 -149.283770591949 753.79722161784</t>
  </si>
  <si>
    <t>-453.40956795815 -180.296741351134 825.01066753476</t>
  </si>
  <si>
    <t>9763-20170724T104544.387848600.bin</t>
  </si>
  <si>
    <t>-789.797332866715 26.2027871088378 -507.897680775893</t>
  </si>
  <si>
    <t>-721.687447755943 56.364911214916 -223.21804587715</t>
  </si>
  <si>
    <t>-492.161525510331 118.895926739744 -261.410021329894</t>
  </si>
  <si>
    <t>-639.305024894667 29.6440243642583 300.103217293166</t>
  </si>
  <si>
    <t>-717.634931062527 93.9645864346799 736.412682253867</t>
  </si>
  <si>
    <t>-575.191804830592 127.832088354607 796.829972108372</t>
  </si>
  <si>
    <t>-550.55533142866 -171.232425851033 307.67604786487</t>
  </si>
  <si>
    <t>-591.500335098406 -149.669162617117 753.761418599582</t>
  </si>
  <si>
    <t>-453.290995234446 -180.004082988418 824.932166872263</t>
  </si>
  <si>
    <t>9763-20170724T104544.449799900.bin</t>
  </si>
  <si>
    <t>-779.004235614683 26.1235573239094 -510.231936883361</t>
  </si>
  <si>
    <t>-720.304622171947 55.6277943479211 -223.395476697467</t>
  </si>
  <si>
    <t>-487.819678883878 112.540858150725 -251.009100520926</t>
  </si>
  <si>
    <t>-643.169988657844 30.7990341490513 303.651549075985</t>
  </si>
  <si>
    <t>-717.757796225565 95.1570593520505 740.087823153599</t>
  </si>
  <si>
    <t>-575.000270023221 127.925037240603 800.36910153953</t>
  </si>
  <si>
    <t>-522.567995575097 -170.789969570108 309.354392141418</t>
  </si>
  <si>
    <t>-591.496237600477 -151.587466457315 752.601902507023</t>
  </si>
  <si>
    <t>-452.585264617103 -177.657340194065 824.095911338994</t>
  </si>
  <si>
    <t>9763-20170724T104544.488902000.bin</t>
  </si>
  <si>
    <t>-768.852019662465 23.5096218557694 -506.626389206717</t>
  </si>
  <si>
    <t>-716.940302855903 51.1104528184596 -218.295705816409</t>
  </si>
  <si>
    <t>-483.409734215807 106.616053036023 -239.115180123407</t>
  </si>
  <si>
    <t>-644.137915529273 31.4605692302671 311.218428577163</t>
  </si>
  <si>
    <t>-717.442936857826 95.5703308250218 748.941353161516</t>
  </si>
  <si>
    <t>-574.580256691558 128.12549413787 809.088756665797</t>
  </si>
  <si>
    <t>-498.625532019476 -168.413925771297 312.851397114139</t>
  </si>
  <si>
    <t>-595.203444321297 -153.688703193374 749.296267412169</t>
  </si>
  <si>
    <t>-457.14000433643 -174.584081433563 824.057057235952</t>
  </si>
  <si>
    <t>9763-20170724T104544.548613900.bin</t>
  </si>
  <si>
    <t>-770.937803030386 26.5025149797752 -507.252992692866</t>
  </si>
  <si>
    <t>-733.337767868275 55.9612525226471 -216.891808854146</t>
  </si>
  <si>
    <t>-499.396092546218 113.287939213718 -222.874511176346</t>
  </si>
  <si>
    <t>-651.564841971466 35.0419336082314 317.413801566582</t>
  </si>
  <si>
    <t>-716.195934289055 94.1693043973116 755.864388179274</t>
  </si>
  <si>
    <t>-573.474672222193 127.799940289631 815.755419155189</t>
  </si>
  <si>
    <t>-492.755673704389 -144.187642770484 307.084726399235</t>
  </si>
  <si>
    <t>-643.447419091809 -146.678306187098 728.339218947364</t>
  </si>
  <si>
    <t>-513.812330585931 -141.844448180902 819.216500159718</t>
  </si>
  <si>
    <t>9763-20170724T104544.581703500.bin</t>
  </si>
  <si>
    <t>-775.318112271386 23.6356191132584 -509.401238504521</t>
  </si>
  <si>
    <t>-740.761637467382 56.2672470948055 -219.001021342772</t>
  </si>
  <si>
    <t>-507.801137505373 117.749389910874 -218.517000983608</t>
  </si>
  <si>
    <t>-655.819390846124 34.9531987463258 318.782717331103</t>
  </si>
  <si>
    <t>-715.684002745605 93.3724049129239 757.67284543878</t>
  </si>
  <si>
    <t>-573.263826841938 128.543750574345 817.395163659057</t>
  </si>
  <si>
    <t>-490.616924808185 -141.757980917169 305.099513062433</t>
  </si>
  <si>
    <t>-648.067487269101 -158.17268871337 723.24774286935</t>
  </si>
  <si>
    <t>-524.623053131297 -147.140404724648 821.873584360748</t>
  </si>
  <si>
    <t>9763-20170724T104544.650892600.bin</t>
  </si>
  <si>
    <t>-777.34004285428 2.01475431741301 -512.029822978256</t>
  </si>
  <si>
    <t>-739.504699678893 46.4986223270923 -223.618817482338</t>
  </si>
  <si>
    <t>-511.283544649524 122.040746342431 -207.514159618819</t>
  </si>
  <si>
    <t>-659.372290101069 30.6055391373823 320.327119861977</t>
  </si>
  <si>
    <t>-714.503451951499 91.1257865085352 759.699434664834</t>
  </si>
  <si>
    <t>-572.757109940866 129.597320560846 818.988531914052</t>
  </si>
  <si>
    <t>-479.314297586536 -167.807370253411 310.37148682102</t>
  </si>
  <si>
    <t>-636.681472134387 -216.005086485564 727.195617000328</t>
  </si>
  <si>
    <t>-519.842657858533 -228.191332775208 833.438141549877</t>
  </si>
  <si>
    <t>9763-20170724T104544.690500700.bin</t>
  </si>
  <si>
    <t>-732.602042297864 42.1681946993701 -226.127300619048</t>
  </si>
  <si>
    <t>-508.397310721243 127.244800578934 -202.780521735713</t>
  </si>
  <si>
    <t>-657.817638105101 25.6010557136533 321.377670013601</t>
  </si>
  <si>
    <t>-713.87906132818 89.8589243869092 760.343840017342</t>
  </si>
  <si>
    <t>-572.579158128986 130.212363865787 819.447278409518</t>
  </si>
  <si>
    <t>-476.88693992565 -184.767810159301 316.181696396606</t>
  </si>
  <si>
    <t>-626.832603938149 -251.94802300405 733.545170334822</t>
  </si>
  <si>
    <t>-511.087198989519 -276.009856449252 838.955419871034</t>
  </si>
  <si>
    <t>9763-20170724T104544.751841700.bin</t>
  </si>
  <si>
    <t>-717.918897419492 32.9742992217969 -231.492794343405</t>
  </si>
  <si>
    <t>-505.370040140608 137.967568074465 -188.47777674167</t>
  </si>
  <si>
    <t>-655.521222832256 9.99561056878451 323.911984695168</t>
  </si>
  <si>
    <t>-713.757801731965 88.6000920322945 760.875873600288</t>
  </si>
  <si>
    <t>-573.110686406108 131.855165502937 819.481999880879</t>
  </si>
  <si>
    <t>-478.869640651111 -212.961462219939 326.234361086718</t>
  </si>
  <si>
    <t>-605.931107418648 -292.17509005656 749.159475368627</t>
  </si>
  <si>
    <t>-479.761300348341 -309.33359820797 843.361734253864</t>
  </si>
  <si>
    <t>9763-20170724T104544.785932400.bin</t>
  </si>
  <si>
    <t>-711.664234333734 27.6600295177525 -234.208998369203</t>
  </si>
  <si>
    <t>-506.038657568871 142.468900969498 -183.337635444302</t>
  </si>
  <si>
    <t>-657.403987667349 0.204550016351732 325.175550118633</t>
  </si>
  <si>
    <t>-713.940557417887 87.8099841944972 760.752555526221</t>
  </si>
  <si>
    <t>-573.628253418344 132.833736866509 818.826783918199</t>
  </si>
  <si>
    <t>-480.015370318151 -225.506878375476 328.688526373193</t>
  </si>
  <si>
    <t>-594.643282302827 -286.549436391558 757.370625703704</t>
  </si>
  <si>
    <t>-462.30309275786 -297.434211048767 843.712357651368</t>
  </si>
  <si>
    <t>9763-20170724T104544.852657800.bin</t>
  </si>
  <si>
    <t>-694.410768114853 14.6095918942153 -238.112659743648</t>
  </si>
  <si>
    <t>-500.569494995586 142.49299691741 -173.907685694566</t>
  </si>
  <si>
    <t>-662.074621564739 -18.7072072149599 326.04968094548</t>
  </si>
  <si>
    <t>-714.785787853299 84.0705037526634 759.086441313039</t>
  </si>
  <si>
    <t>-574.8747368411 134.095566614001 813.947080760771</t>
  </si>
  <si>
    <t>-484.643643487899 -249.905340184947 331.917655951294</t>
  </si>
  <si>
    <t>-590.078119002359 -299.668395978735 763.633639593582</t>
  </si>
  <si>
    <t>-449.870204501294 -309.541632805063 836.651141639256</t>
  </si>
  <si>
    <t>9763-20170724T104544.881735600.bin</t>
  </si>
  <si>
    <t>-683.969709216245 13.0673306081094 -243.950705220769</t>
  </si>
  <si>
    <t>-495.275134575954 145.697909256225 -174.277586910118</t>
  </si>
  <si>
    <t>-663.389363692393 -26.7182010450911 323.346377042591</t>
  </si>
  <si>
    <t>-715.64836197339 79.8543050686137 756.30436532659</t>
  </si>
  <si>
    <t>-576.220743342197 133.87806533192 808.541289246775</t>
  </si>
  <si>
    <t>-486.041927219618 -265.853942568454 326.973165078423</t>
  </si>
  <si>
    <t>-589.507769712664 -302.635273075778 761.464098182468</t>
  </si>
  <si>
    <t>-448.13579535356 -308.566654778854 832.640376402726</t>
  </si>
  <si>
    <t>9763-20170724T104544.954988000.bin</t>
  </si>
  <si>
    <t>-494.258092244869 121.130496761577 -176.688918984163</t>
  </si>
  <si>
    <t>-663.704497193671 -56.8861596772202 313.74926503832</t>
  </si>
  <si>
    <t>-728.355168676779 35.6000671964591 747.358867677261</t>
  </si>
  <si>
    <t>-593.08583267518 99.5264871262609 799.34838024803</t>
  </si>
  <si>
    <t>-502.810531740645 -284.78294963308 321.923749800168</t>
  </si>
  <si>
    <t>-588.744887847513 -304.797404436729 760.0920129594</t>
  </si>
  <si>
    <t>-446.896934044574 -307.098804527627 830.527507616739</t>
  </si>
  <si>
    <t>9763-20170724T104544.998610300.bin</t>
  </si>
  <si>
    <t>-496.968970927308 123.51441619709 -181.051523524266</t>
  </si>
  <si>
    <t>-663.468658590268 -61.6171445553808 308.441204708497</t>
  </si>
  <si>
    <t>-737.632052396334 21.2777266231735 742.190618642736</t>
  </si>
  <si>
    <t>-604.044255230027 86.8603268266302 796.417259544024</t>
  </si>
  <si>
    <t>-512.528851453325 -284.27971701326 320.027533146958</t>
  </si>
  <si>
    <t>-588.798330734003 -304.691123574151 759.461327416737</t>
  </si>
  <si>
    <t>-447.000487759034 -308.080538310905 829.953733846083</t>
  </si>
  <si>
    <t>9763-20170724T104545.048912200.bin</t>
  </si>
  <si>
    <t>-503.323323643389 137.77675721651 -193.744788282499</t>
  </si>
  <si>
    <t>-669.573777171335 -64.4765516523735 304.397474654858</t>
  </si>
  <si>
    <t>-752.888569330649 5.28970025796343 738.832572919607</t>
  </si>
  <si>
    <t>-617.807076520025 62.3863521416374 798.667950965703</t>
  </si>
  <si>
    <t>-524.810963330359 -293.597127349767 315.868510940583</t>
  </si>
  <si>
    <t>-588.816633604318 -305.078538377964 758.75258703881</t>
  </si>
  <si>
    <t>-446.948545480492 -308.531755261233 829.100327437232</t>
  </si>
  <si>
    <t>9763-20170724T104545.083005000.bin</t>
  </si>
  <si>
    <t>-504.654195040695 140.667401562831 -200.01878416795</t>
  </si>
  <si>
    <t>-672.640721501843 -68.9457289287503 304.446905402657</t>
  </si>
  <si>
    <t>-757.475100550157 -4.81971302724946 739.489789069586</t>
  </si>
  <si>
    <t>-620.21029390761 44.2138776944942 801.468778011059</t>
  </si>
  <si>
    <t>-528.813876488566 -293.233081081909 314.52226417622</t>
  </si>
  <si>
    <t>-588.940779605017 -304.951037189055 758.406756840477</t>
  </si>
  <si>
    <t>-447.060356461775 -308.683123387184 828.715512373858</t>
  </si>
  <si>
    <t>9763-20170724T104545.152200500.bin</t>
  </si>
  <si>
    <t>-694.029211911379 0.0353189918266708 -267.466210595929</t>
  </si>
  <si>
    <t>-506.462461843342 140.913341241232 -212.484805021156</t>
  </si>
  <si>
    <t>-672.672490736187 -77.4898361452632 306.122892101606</t>
  </si>
  <si>
    <t>-750.37373311941 -20.3383404066601 743.429399623457</t>
  </si>
  <si>
    <t>-612.976219170823 26.4545948159898 806.830064115285</t>
  </si>
  <si>
    <t>-532.729220691132 -292.816694754068 313.553312649009</t>
  </si>
  <si>
    <t>-588.914404122557 -304.974610361083 757.934142327944</t>
  </si>
  <si>
    <t>-447.048650844635 -308.894631326537 828.262142743478</t>
  </si>
  <si>
    <t>9763-20170724T104545.182284700.bin</t>
  </si>
  <si>
    <t>-506.006473897463 137.767363071894 -218.666784416378</t>
  </si>
  <si>
    <t>-673.521941254939 -80.0866684253585 307.046006119548</t>
  </si>
  <si>
    <t>-747.901495346285 -19.0161345570496 744.748196877891</t>
  </si>
  <si>
    <t>-610.846419439839 28.1957459295645 808.577905319874</t>
  </si>
  <si>
    <t>-531.244052654526 -292.171264682928 313.460796957027</t>
  </si>
  <si>
    <t>-588.889428885532 -304.466485594054 757.679985029345</t>
  </si>
  <si>
    <t>-447.040280392591 -308.265991216036 828.048163654916</t>
  </si>
  <si>
    <t>9763-20170724T104545.249469600.bin</t>
  </si>
  <si>
    <t>-501.687686122802 130.280054194812 -226.589027463187</t>
  </si>
  <si>
    <t>-678.514493322264 -79.9883239301382 308.291357852101</t>
  </si>
  <si>
    <t>-751.734013403559 -17.424483901076 745.958429202581</t>
  </si>
  <si>
    <t>-613.077440560812 26.3770360924855 808.752356442325</t>
  </si>
  <si>
    <t>-524.008521235659 -287.323898611403 313.579458911079</t>
  </si>
  <si>
    <t>-588.947017492807 -302.747150477722 756.76212238087</t>
  </si>
  <si>
    <t>-447.285810535133 -307.614223467383 827.442453589856</t>
  </si>
  <si>
    <t>9763-20170724T104545.284556400.bin</t>
  </si>
  <si>
    <t>-501.243180332047 129.456152470288 -230.400774837795</t>
  </si>
  <si>
    <t>-681.943502134455 -79.1747772090686 308.548868055472</t>
  </si>
  <si>
    <t>-751.870502622729 -17.703703117905 746.679184823465</t>
  </si>
  <si>
    <t>-613.303365631417 27.1051267197988 808.957599364588</t>
  </si>
  <si>
    <t>-523.483088122111 -284.703208830268 313.430533422073</t>
  </si>
  <si>
    <t>-588.882997549531 -302.204988013115 756.345513965502</t>
  </si>
  <si>
    <t>-447.334808936483 -307.341872559662 827.233073586366</t>
  </si>
  <si>
    <t>9763-20170724T104545.349261000.bin</t>
  </si>
  <si>
    <t>-497.744805707634 125.704269507116 -237.438880986375</t>
  </si>
  <si>
    <t>-683.421148085759 -76.9071887014403 308.380504716864</t>
  </si>
  <si>
    <t>-751.632680605883 -18.8221428051029 747.066646143863</t>
  </si>
  <si>
    <t>-613.522696252385 28.1233091330587 808.784129901778</t>
  </si>
  <si>
    <t>-522.150786111649 -279.849202697193 313.216243476549</t>
  </si>
  <si>
    <t>-588.698523117233 -301.312534060354 755.766045629518</t>
  </si>
  <si>
    <t>-447.35119789728 -306.57077642029 827.044194201115</t>
  </si>
  <si>
    <t>9763-20170724T104545.384346400.bin</t>
  </si>
  <si>
    <t>-496.854083071955 124.705036697725 -240.678036306564</t>
  </si>
  <si>
    <t>-685.279205204416 -75.513215291764 308.0087518627</t>
  </si>
  <si>
    <t>-751.719586170645 -18.8476612101899 747.182559740143</t>
  </si>
  <si>
    <t>-613.496642022649 28.0155575256777 808.709608913761</t>
  </si>
  <si>
    <t>-521.806479397369 -278.028916340036 313.145968867819</t>
  </si>
  <si>
    <t>-588.639596695325 -301.003414248116 755.537369479376</t>
  </si>
  <si>
    <t>-447.387033919359 -306.689874291852 826.970396535834</t>
  </si>
  <si>
    <t>9763-20170724T104545.449729100.bin</t>
  </si>
  <si>
    <t>-498.89753454613 125.160446055938 -245.736285884691</t>
  </si>
  <si>
    <t>-688.005506671056 -72.96765662067 307.34287447993</t>
  </si>
  <si>
    <t>-751.999549649907 -18.4994453896522 747.530736860758</t>
  </si>
  <si>
    <t>-613.345722816056 27.2599275187927 808.918829324536</t>
  </si>
  <si>
    <t>-523.688685301332 -273.879077355879 312.610282506179</t>
  </si>
  <si>
    <t>-588.60131900275 -300.515441566807 755.115224950692</t>
  </si>
  <si>
    <t>-447.486038153032 -306.767503544521 826.771865099796</t>
  </si>
  <si>
    <t>9763-20170724T104545.483819400.bin</t>
  </si>
  <si>
    <t>-500.186559316197 125.659512459395 -247.546163714762</t>
  </si>
  <si>
    <t>-689.424688089112 -72.0708143174571 307.307280457104</t>
  </si>
  <si>
    <t>-752.05672762432 -18.4097655311218 747.811264366677</t>
  </si>
  <si>
    <t>-613.281925685405 27.031089978932 809.162547408955</t>
  </si>
  <si>
    <t>-524.736846799885 -271.935140298391 312.334746592955</t>
  </si>
  <si>
    <t>-588.65667842893 -300.313979186367 754.940408677543</t>
  </si>
  <si>
    <t>-447.587196609004 -306.870765281192 826.660031128225</t>
  </si>
  <si>
    <t>9763-20170724T104545.553011000.bin</t>
  </si>
  <si>
    <t>-500.875378743313 126.57268955233 -249.719700678241</t>
  </si>
  <si>
    <t>-693.596663775858 -69.8458124339614 307.472600935637</t>
  </si>
  <si>
    <t>-752.100070461354 -18.230141543009 748.654964196241</t>
  </si>
  <si>
    <t>-613.074105936123 26.5010189470011 809.959253425574</t>
  </si>
  <si>
    <t>-525.412706022237 -269.049593184907 312.096951064852</t>
  </si>
  <si>
    <t>-588.80727174625 -299.78429087093 754.577880017085</t>
  </si>
  <si>
    <t>-447.822756054689 -306.928251033161 826.408329559813</t>
  </si>
  <si>
    <t>9763-20170724T104545.585095000.bin</t>
  </si>
  <si>
    <t>-500.40166822199 126.697775633284 -250.238539141156</t>
  </si>
  <si>
    <t>-695.211547657022 -68.6052129772198 307.584697656942</t>
  </si>
  <si>
    <t>-752.038663220936 -18.2549561149781 749.08958044562</t>
  </si>
  <si>
    <t>-613.024538158281 26.5182160118645 810.38989397832</t>
  </si>
  <si>
    <t>-524.997984870068 -267.826513561396 312.006294947241</t>
  </si>
  <si>
    <t>-588.84731074546 -299.634587537705 754.437345963585</t>
  </si>
  <si>
    <t>-447.91489770743 -307.183475978049 826.328660120858</t>
  </si>
  <si>
    <t>9763-20170724T104545.649734600.bin</t>
  </si>
  <si>
    <t>-500.527381966888 127.236842713265 -251.165864161343</t>
  </si>
  <si>
    <t>-696.500520039285 -66.1984696164471 308.092208454677</t>
  </si>
  <si>
    <t>-752.053124269583 -18.0347953377859 750.032317663523</t>
  </si>
  <si>
    <t>-612.911090550109 26.3118456365917 811.352546878403</t>
  </si>
  <si>
    <t>-523.87373410329 -265.106323731411 312.086992358497</t>
  </si>
  <si>
    <t>-588.988478186354 -299.125338317032 754.209225815116</t>
  </si>
  <si>
    <t>-448.140565305408 -307.311127101103 826.1963203435</t>
  </si>
  <si>
    <t>9763-20170724T104545.688346900.bin</t>
  </si>
  <si>
    <t>-501.469384690445 127.366809503705 -251.782948082198</t>
  </si>
  <si>
    <t>-696.47810177432 -65.2265828559816 308.424712550505</t>
  </si>
  <si>
    <t>-752.048542672769 -17.9377402893278 750.540971303291</t>
  </si>
  <si>
    <t>-612.82354562175 26.1289912434968 811.874674456714</t>
  </si>
  <si>
    <t>-523.881767491041 -263.553210869517 312.204772586369</t>
  </si>
  <si>
    <t>-589.065328212646 -298.872687555771 754.145752433836</t>
  </si>
  <si>
    <t>-448.256603319326 -307.434787868125 826.165867034146</t>
  </si>
  <si>
    <t>9763-20170724T104545.752523300.bin</t>
  </si>
  <si>
    <t>-502.625168377872 126.160819456817 -253.240385742525</t>
  </si>
  <si>
    <t>-695.643200234444 -63.5476069725468 309.108959079581</t>
  </si>
  <si>
    <t>-751.932658360129 -18.0423819049308 751.495475392713</t>
  </si>
  <si>
    <t>-612.561949720705 25.5570055010082 812.832239032035</t>
  </si>
  <si>
    <t>-524.390784696199 -261.259207397877 312.412385713617</t>
  </si>
  <si>
    <t>-589.255468348649 -298.716511012056 754.14452126397</t>
  </si>
  <si>
    <t>-448.441611112182 -307.263772426751 826.15627659215</t>
  </si>
  <si>
    <t>9763-20170724T104545.785610100.bin</t>
  </si>
  <si>
    <t>-501.969912493487 125.823405363981 -253.555732817255</t>
  </si>
  <si>
    <t>-694.68421637375 -62.6842704590123 309.415480271264</t>
  </si>
  <si>
    <t>-751.84963510325 -18.1483368703609 751.851746661205</t>
  </si>
  <si>
    <t>-612.471130651278 25.4299484015012 813.185614516654</t>
  </si>
  <si>
    <t>-524.638498182664 -260.684892651758 312.554554895945</t>
  </si>
  <si>
    <t>-589.356794615535 -298.691831501088 754.203517616624</t>
  </si>
  <si>
    <t>-448.529872975677 -307.152946725515 826.19997221954</t>
  </si>
  <si>
    <t>9763-20170724T104545.850342500.bin</t>
  </si>
  <si>
    <t>-706.225794985106 2.84825540558791 -237.282325931703</t>
  </si>
  <si>
    <t>-500.646908715142 127.367229850254 -254.112124554269</t>
  </si>
  <si>
    <t>-692.83587682621 -60.4006429686324 309.968669956133</t>
  </si>
  <si>
    <t>-751.767195410549 -18.2412661839869 752.371572906435</t>
  </si>
  <si>
    <t>-612.331735278969 25.1711552556703 813.693750492896</t>
  </si>
  <si>
    <t>-524.820835060049 -259.610252959157 312.899646993599</t>
  </si>
  <si>
    <t>-589.597368453678 -298.50049027243 754.388569641197</t>
  </si>
  <si>
    <t>-448.774673027855 -307.335615660402 826.348270580438</t>
  </si>
  <si>
    <t>9763-20170724T104545.883431000.bin</t>
  </si>
  <si>
    <t>-706.038818541847 5.23568772759972 -236.678810905015</t>
  </si>
  <si>
    <t>-499.936043632261 128.826973314676 -253.932269162896</t>
  </si>
  <si>
    <t>-692.10864589764 -59.2279656676651 310.263030637993</t>
  </si>
  <si>
    <t>-751.755465236166 -18.2546706304165 752.639746627967</t>
  </si>
  <si>
    <t>-612.278293321097 25.0398078290375 813.950473019203</t>
  </si>
  <si>
    <t>-525.034720626632 -258.86356638658 313.039602877943</t>
  </si>
  <si>
    <t>-589.703792235922 -298.412011663316 754.479771182947</t>
  </si>
  <si>
    <t>-448.903128712546 -307.664828447704 826.430101304625</t>
  </si>
  <si>
    <t>9763-20170724T104545.949118000.bin</t>
  </si>
  <si>
    <t>-705.776103060467 9.81346001307361 -235.397593380233</t>
  </si>
  <si>
    <t>-498.741384089386 131.695331853822 -253.627643102347</t>
  </si>
  <si>
    <t>-691.628357486366 -56.7031719192235 310.80804174577</t>
  </si>
  <si>
    <t>-751.809000652886 -18.1010299624777 753.204199161044</t>
  </si>
  <si>
    <t>-612.109988077086 24.483809527396 814.506829201993</t>
  </si>
  <si>
    <t>-525.509213140605 -257.097613778769 313.323167803518</t>
  </si>
  <si>
    <t>-589.851469534957 -298.412373411304 754.625922009777</t>
  </si>
  <si>
    <t>-449.062255864552 -307.983422059552 826.557090561874</t>
  </si>
  <si>
    <t>9763-20170724T104545.986228800.bin</t>
  </si>
  <si>
    <t>-705.695133144221 12.2655941098014 -234.77655890975</t>
  </si>
  <si>
    <t>-498.114056620021 133.181239099868 -253.226192234978</t>
  </si>
  <si>
    <t>-691.696051234081 -55.4545904011877 311.073894371014</t>
  </si>
  <si>
    <t>-751.773374896704 -18.1157624507166 753.524871862722</t>
  </si>
  <si>
    <t>-612.030494396435 24.3350804640047 814.820349613368</t>
  </si>
  <si>
    <t>-525.662451050285 -256.300863218847 313.407977524538</t>
  </si>
  <si>
    <t>-589.95383482505 -298.35951845924 754.677814151319</t>
  </si>
  <si>
    <t>-449.152933764649 -307.876588444618 826.593203836377</t>
  </si>
  <si>
    <t>9763-20170724T104546.049390000.bin</t>
  </si>
  <si>
    <t>-706.049346621614 17.4055243946568 -233.423362766551</t>
  </si>
  <si>
    <t>-497.554394601124 136.60636061996 -252.707949614973</t>
  </si>
  <si>
    <t>-692.32415294272 -52.5834932352072 311.710638469981</t>
  </si>
  <si>
    <t>-751.859434604085 -17.860246324565 754.31440610319</t>
  </si>
  <si>
    <t>-611.888656387857 23.8664354765788 815.587253360891</t>
  </si>
  <si>
    <t>-525.567687425389 -254.380228403625 313.523151512334</t>
  </si>
  <si>
    <t>-590.078175436477 -298.304563359847 754.689950386943</t>
  </si>
  <si>
    <t>-449.357485204367 -308.616760723789 826.652835605933</t>
  </si>
  <si>
    <t>9763-20170724T104546.087491300.bin</t>
  </si>
  <si>
    <t>-706.39220925092 20.0085721245928 -232.592902649953</t>
  </si>
  <si>
    <t>-497.574775480363 138.579984336333 -252.264860614202</t>
  </si>
  <si>
    <t>-692.542529744814 -51.2671233214708 312.115600375672</t>
  </si>
  <si>
    <t>-751.829131732037 -17.863533899224 754.800258330478</t>
  </si>
  <si>
    <t>-611.867371990689 23.9427090498539 816.039339080789</t>
  </si>
  <si>
    <t>-524.995032028545 -253.23365338714 313.638079661628</t>
  </si>
  <si>
    <t>-590.093792066184 -298.26487830178 754.641502439062</t>
  </si>
  <si>
    <t>-449.351536151259 -308.042347802883 826.636778053954</t>
  </si>
  <si>
    <t>9763-20170724T104546.151668000.bin</t>
  </si>
  <si>
    <t>-707.585146503507 24.4687557222685 -230.668670680449</t>
  </si>
  <si>
    <t>-498.439341281131 142.349139189172 -250.993667486147</t>
  </si>
  <si>
    <t>-692.854972525693 -48.6896542860675 313.061571899569</t>
  </si>
  <si>
    <t>-751.853827511213 -17.6850169118327 755.871919285679</t>
  </si>
  <si>
    <t>-611.735767130634 23.6434996114765 817.078032253702</t>
  </si>
  <si>
    <t>-523.076208795663 -250.024670479116 313.906581540941</t>
  </si>
  <si>
    <t>-590.209259389613 -297.44415463168 754.424482925698</t>
  </si>
  <si>
    <t>-449.689477165784 -308.805728708234 826.621389156395</t>
  </si>
  <si>
    <t>9763-20170724T104546.185757700.bin</t>
  </si>
  <si>
    <t>-707.916299130463 26.1259366047784 -229.618817377122</t>
  </si>
  <si>
    <t>-498.480793764016 143.450084308688 -250.178855703782</t>
  </si>
  <si>
    <t>-692.882569164635 -47.645330060211 313.537740324662</t>
  </si>
  <si>
    <t>-751.869518180814 -17.5453157323541 756.415130559719</t>
  </si>
  <si>
    <t>-611.684485146223 23.5519166299455 817.6235243177</t>
  </si>
  <si>
    <t>-522.026060007067 -248.633478656378 314.049863884941</t>
  </si>
  <si>
    <t>-590.211814362438 -297.132175509217 754.264153291937</t>
  </si>
  <si>
    <t>-449.765425929699 -308.591902836247 826.588317834008</t>
  </si>
  <si>
    <t>9763-20170724T104546.250466100.bin</t>
  </si>
  <si>
    <t>-708.66257447298 29.074831170677 -227.671466264052</t>
  </si>
  <si>
    <t>-498.522854553425 145.041249748313 -248.741136723765</t>
  </si>
  <si>
    <t>-693.467693449541 -45.8559189679252 314.360668160111</t>
  </si>
  <si>
    <t>-751.801919914497 -17.3445226735801 757.401451527825</t>
  </si>
  <si>
    <t>-611.556895447823 23.4655890247018 818.664482199058</t>
  </si>
  <si>
    <t>-520.240431698631 -245.637589175649 314.115443517733</t>
  </si>
  <si>
    <t>-590.165076738289 -295.944308234723 753.795876426565</t>
  </si>
  <si>
    <t>-450.138833482786 -309.278421113179 826.611605535814</t>
  </si>
  <si>
    <t>9763-20170724T104546.284557900.bin</t>
  </si>
  <si>
    <t>-709.253417323155 29.9894074135527 -226.641572049556</t>
  </si>
  <si>
    <t>-498.74328173904 145.219428659723 -248.052714433638</t>
  </si>
  <si>
    <t>-693.852735124131 -45.2753441316743 314.757649030153</t>
  </si>
  <si>
    <t>-751.729452326903 -17.2863914105249 757.893807722162</t>
  </si>
  <si>
    <t>-611.501746522348 23.5575695867988 819.173963120703</t>
  </si>
  <si>
    <t>-518.458840164425 -244.002583387522 313.886024515266</t>
  </si>
  <si>
    <t>-589.953556510642 -294.858810408054 753.298140490345</t>
  </si>
  <si>
    <t>-450.288693627643 -309.165825390741 826.621626542834</t>
  </si>
  <si>
    <t>9763-20170724T104546.351240200.bin</t>
  </si>
  <si>
    <t>-709.799291600338 30.5933480991901 -224.255197499125</t>
  </si>
  <si>
    <t>-498.385976876239 144.024775192943 -246.35836593017</t>
  </si>
  <si>
    <t>-694.261622071104 -45.4944104076729 315.819245368671</t>
  </si>
  <si>
    <t>-751.4331648713 -17.4085514541898 759.02909037122</t>
  </si>
  <si>
    <t>-611.306839084124 23.737267886341 820.339169846631</t>
  </si>
  <si>
    <t>-512.14361263374 -240.931695167357 312.753324528033</t>
  </si>
  <si>
    <t>-589.415864879407 -289.695823144261 751.86386580012</t>
  </si>
  <si>
    <t>-451.170698397029 -309.522253964127 826.579780259882</t>
  </si>
  <si>
    <t>9763-20170724T104546.384327700.bin</t>
  </si>
  <si>
    <t>-710.216428359934 29.4123824011472 -222.883193804938</t>
  </si>
  <si>
    <t>-498.450031752526 142.009758661699 -245.855232948533</t>
  </si>
  <si>
    <t>-694.325488180393 -46.2982014466102 316.407897718516</t>
  </si>
  <si>
    <t>-751.370875555434 -17.3945425987613 759.619738458714</t>
  </si>
  <si>
    <t>-611.285567034891 23.8752880347852 820.940262452073</t>
  </si>
  <si>
    <t>-510.682564423899 -240.982492419586 311.947454942482</t>
  </si>
  <si>
    <t>-589.420208979732 -284.350806222001 751.363760292613</t>
  </si>
  <si>
    <t>-452.381238417702 -309.765894227977 826.607890343982</t>
  </si>
  <si>
    <t>9763-20170724T104546.451526700.bin</t>
  </si>
  <si>
    <t>-711.443865140423 30.796886229125 -219.701546941435</t>
  </si>
  <si>
    <t>-499.567485186573 142.632281685471 -245.23819398917</t>
  </si>
  <si>
    <t>-694.55604922572 -45.7557126098881 317.544249311313</t>
  </si>
  <si>
    <t>-751.308116715247 -17.5215123488888 760.842571255354</t>
  </si>
  <si>
    <t>-611.239160618666 23.8253184187308 822.148385153862</t>
  </si>
  <si>
    <t>-510.440333843511 -239.612073601197 310.945986125657</t>
  </si>
  <si>
    <t>-589.817672946651 -272.076703215087 750.79487116165</t>
  </si>
  <si>
    <t>-456.931604719479 -312.678994236625 826.821573259698</t>
  </si>
  <si>
    <t>9763-20170724T104546.482600100.bin</t>
  </si>
  <si>
    <t>-712.027903121591 34.5442924404133 -218.027141626008</t>
  </si>
  <si>
    <t>-500.249560911837 146.271232994144 -244.820946370682</t>
  </si>
  <si>
    <t>-694.402855588202 -44.1082780599706 318.165971231991</t>
  </si>
  <si>
    <t>-751.345051764329 -17.5176191617306 761.496687657015</t>
  </si>
  <si>
    <t>-611.20814318758 23.6300527925534 822.78135461564</t>
  </si>
  <si>
    <t>-510.701979141639 -238.038344967027 310.981344304895</t>
  </si>
  <si>
    <t>-591.577575066449 -270.511764905409 750.583170356955</t>
  </si>
  <si>
    <t>-459.322528012268 -313.457816356713 826.421991069357</t>
  </si>
  <si>
    <t>9763-20170724T104546.548806100.bin</t>
  </si>
  <si>
    <t>-715.492911154298 37.1024024745311 -215.269899508299</t>
  </si>
  <si>
    <t>-504.388687126814 149.676586036847 -243.782242312395</t>
  </si>
  <si>
    <t>-695.220618897584 -42.7407837930871 318.732237093314</t>
  </si>
  <si>
    <t>-751.517713400877 -17.4083143289399 762.089362785372</t>
  </si>
  <si>
    <t>-611.214866620487 23.2157168713234 823.343617698206</t>
  </si>
  <si>
    <t>-518.186518694078 -237.548202675173 311.549922225227</t>
  </si>
  <si>
    <t>-593.46137937509 -273.261490708113 751.96043022132</t>
  </si>
  <si>
    <t>-459.175863194841 -312.418833951902 826.266472876164</t>
  </si>
  <si>
    <t>9763-20170724T104546.581894600.bin</t>
  </si>
  <si>
    <t>-718.280731515579 36.4183466439461 -214.15231298163</t>
  </si>
  <si>
    <t>-507.528537918481 149.491014111915 -243.289114146506</t>
  </si>
  <si>
    <t>-695.927469891395 -42.8922567748948 318.763077632611</t>
  </si>
  <si>
    <t>-751.742761391319 -17.2141640101163 762.193385610687</t>
  </si>
  <si>
    <t>-611.23052873525 22.6985238781438 823.435370460703</t>
  </si>
  <si>
    <t>-522.354225963307 -237.67246869501 311.575549431556</t>
  </si>
  <si>
    <t>-593.448930422649 -273.548680166619 752.439870146671</t>
  </si>
  <si>
    <t>-458.845654517761 -312.17439221448 826.448718126172</t>
  </si>
  <si>
    <t>9763-20170724T104546.647964200.bin</t>
  </si>
  <si>
    <t>-720.232949116124 36.9841845161775 -212.344244835218</t>
  </si>
  <si>
    <t>-509.799435848232 150.335321612872 -242.677505007598</t>
  </si>
  <si>
    <t>-694.902212225321 -42.1988893232322 318.961958054731</t>
  </si>
  <si>
    <t>-751.929814870969 -17.3293195807225 762.351992482986</t>
  </si>
  <si>
    <t>-611.308924115511 22.2501497064707 823.560803626212</t>
  </si>
  <si>
    <t>-525.412900266967 -237.299870225814 311.823552879472</t>
  </si>
  <si>
    <t>-593.494422669097 -273.7817057986 753.119816799113</t>
  </si>
  <si>
    <t>-458.701998271859 -312.221502029959 826.880911122519</t>
  </si>
  <si>
    <t>9763-20170724T104546.686065200.bin</t>
  </si>
  <si>
    <t>-719.813431317958 37.4593000595783 -211.865283354047</t>
  </si>
  <si>
    <t>-509.59267058701 150.985605978726 -243.008379114467</t>
  </si>
  <si>
    <t>-693.98928766466 -41.4933046895139 319.026278534932</t>
  </si>
  <si>
    <t>-751.990053983286 -17.4107641066937 762.312696043493</t>
  </si>
  <si>
    <t>-611.378928052551 22.2240001005443 823.508177316619</t>
  </si>
  <si>
    <t>-526.820003249387 -237.340908812758 311.946175816246</t>
  </si>
  <si>
    <t>-593.485524588808 -273.964042028109 753.465239630141</t>
  </si>
  <si>
    <t>-458.64120049171 -312.351236350332 827.158738032295</t>
  </si>
  <si>
    <t>9763-20170724T104546.750870200.bin</t>
  </si>
  <si>
    <t>-814.280525105583 0.283986511748935 -487.129621869013</t>
  </si>
  <si>
    <t>-718.781104362541 38.9283497468789 -211.489179852779</t>
  </si>
  <si>
    <t>-508.855879222641 152.636751860137 -243.933854818758</t>
  </si>
  <si>
    <t>-692.226162989972 -40.1853665735355 319.036350553891</t>
  </si>
  <si>
    <t>-752.160366994459 -17.4445477998736 762.070902005346</t>
  </si>
  <si>
    <t>-611.59676938299 22.3762071754672 823.254872637216</t>
  </si>
  <si>
    <t>-525.575392202673 -236.578086124766 312.148402772291</t>
  </si>
  <si>
    <t>-593.392802885402 -273.980280253659 753.619689084348</t>
  </si>
  <si>
    <t>-458.608866507973 -312.671671954934 827.264513935729</t>
  </si>
  <si>
    <t>9763-20170724T104546.793488600.bin</t>
  </si>
  <si>
    <t>-814.074258439463 0.543221414061918 -487.046268174826</t>
  </si>
  <si>
    <t>-718.517160350689 39.6315590043757 -211.488323202553</t>
  </si>
  <si>
    <t>-508.670528348378 153.374786781169 -244.317194563014</t>
  </si>
  <si>
    <t>-691.817363534907 -39.800929703993 319.03235230146</t>
  </si>
  <si>
    <t>-752.264035539307 -17.3921275652617 761.99484262529</t>
  </si>
  <si>
    <t>-611.642464508818 22.2090439080864 823.188068099045</t>
  </si>
  <si>
    <t>-524.736684017779 -235.90414930487 312.251888229232</t>
  </si>
  <si>
    <t>-593.336340356938 -273.808459010661 753.609909627333</t>
  </si>
  <si>
    <t>-458.645547590999 -312.846622535036 827.242117653399</t>
  </si>
  <si>
    <t>9763-20170724T104546.848690100.bin</t>
  </si>
  <si>
    <t>-813.530299952012 0.861391898451757 -487.084161162305</t>
  </si>
  <si>
    <t>-717.931143057883 40.9602055454909 -211.686019967599</t>
  </si>
  <si>
    <t>-508.064395528001 154.599316392497 -244.746051960528</t>
  </si>
  <si>
    <t>-691.731790719139 -39.2127127114397 319.053733927464</t>
  </si>
  <si>
    <t>-752.488771785876 -17.2619776691415 761.991721535546</t>
  </si>
  <si>
    <t>-611.786701571212 22.0424228016509 823.191410265148</t>
  </si>
  <si>
    <t>-524.179071355225 -234.806879123669 312.435012199275</t>
  </si>
  <si>
    <t>-593.296537107757 -273.961409500774 753.584166268241</t>
  </si>
  <si>
    <t>-458.357640889781 -312.311047052308 827.123941230808</t>
  </si>
  <si>
    <t>9763-20170724T104546.883782600.bin</t>
  </si>
  <si>
    <t>-813.040933404098 1.49900539296209 -487.208462264716</t>
  </si>
  <si>
    <t>-717.276163898376 41.9177133928843 -211.914697913566</t>
  </si>
  <si>
    <t>-507.274312091586 155.270913567621 -245.098562030409</t>
  </si>
  <si>
    <t>-691.830018615929 -38.8135305209034 319.036730484025</t>
  </si>
  <si>
    <t>-752.533576211453 -17.3099247801756 762.00911171082</t>
  </si>
  <si>
    <t>-611.842143876078 22.0380601197976 823.205124269199</t>
  </si>
  <si>
    <t>-524.330192773081 -234.245033426585 312.37568841011</t>
  </si>
  <si>
    <t>-593.231097608596 -273.930998980878 753.523215756315</t>
  </si>
  <si>
    <t>-458.141634171987 -311.732947102952 827.070154716359</t>
  </si>
  <si>
    <t>9763-20170724T104546.951523500.bin</t>
  </si>
  <si>
    <t>-811.793516147366 3.94566799162044 -487.560661571335</t>
  </si>
  <si>
    <t>-715.440094795912 44.465366795587 -212.487254155321</t>
  </si>
  <si>
    <t>-505.198278541286 157.430952204968 -245.472107215542</t>
  </si>
  <si>
    <t>-692.255195887158 -37.5403938611371 319.015009004161</t>
  </si>
  <si>
    <t>-752.744488784292 -17.2200498883594 762.08073111609</t>
  </si>
  <si>
    <t>-612.006422739591 21.9407719876606 823.28954554996</t>
  </si>
  <si>
    <t>-524.137450496661 -233.134607735739 312.307940303567</t>
  </si>
  <si>
    <t>-593.138974089259 -273.779476158364 753.434207259449</t>
  </si>
  <si>
    <t>-458.178493406731 -311.986055647852 827.00884888778</t>
  </si>
  <si>
    <t>9763-20170724T104546.982607100.bin</t>
  </si>
  <si>
    <t>-811.027076417063 5.35207405861252 -487.606137163647</t>
  </si>
  <si>
    <t>-714.356582145633 46.0015755842849 -212.663172114699</t>
  </si>
  <si>
    <t>-504.031890481581 158.85516825056 -245.503524564983</t>
  </si>
  <si>
    <t>-692.266142268994 -36.8298549902956 319.050217030704</t>
  </si>
  <si>
    <t>-752.807005398218 -17.2512704887838 762.157826456184</t>
  </si>
  <si>
    <t>-612.065200270943 21.9104772092412 823.357633320018</t>
  </si>
  <si>
    <t>-523.900897912734 -232.594429910195 312.359551969881</t>
  </si>
  <si>
    <t>-593.087126199381 -273.753715111408 753.394478519164</t>
  </si>
  <si>
    <t>-458.282395076022 -312.463172315401 826.99181384223</t>
  </si>
  <si>
    <t>9763-20170724T104547.049790900.bin</t>
  </si>
  <si>
    <t>-809.611470512927 8.17706257885629 -487.82964194528</t>
  </si>
  <si>
    <t>-712.82255645448 48.8739424191833 -212.93534569796</t>
  </si>
  <si>
    <t>-502.425415336265 161.593917955383 -245.770813663354</t>
  </si>
  <si>
    <t>-692.242153553732 -35.6042166763889 319.095027316005</t>
  </si>
  <si>
    <t>-752.952520093126 -17.2407015503034 762.2666063466</t>
  </si>
  <si>
    <t>-612.157970771307 21.7247516246061 823.470268993335</t>
  </si>
  <si>
    <t>-523.77837418034 -231.696223314651 312.402070383382</t>
  </si>
  <si>
    <t>-592.989932246505 -273.438440225563 753.315590495096</t>
  </si>
  <si>
    <t>-458.261238015573 -312.360754516312 826.939808762497</t>
  </si>
  <si>
    <t>9763-20170724T104547.082879800.bin</t>
  </si>
  <si>
    <t>-808.831530960098 9.39387294452263 -488.081478942205</t>
  </si>
  <si>
    <t>-712.173706330052 50.2385300595706 -213.162873073301</t>
  </si>
  <si>
    <t>-501.658119075506 162.744434041012 -245.972695468308</t>
  </si>
  <si>
    <t>-692.188464023346 -35.0164739329734 319.127370183816</t>
  </si>
  <si>
    <t>-753.032223438028 -17.215746681883 762.311255401054</t>
  </si>
  <si>
    <t>-612.176854228076 21.5269440379409 823.516402074057</t>
  </si>
  <si>
    <t>-524.00286279347 -231.311580251733 312.451718491629</t>
  </si>
  <si>
    <t>-593.001218661259 -273.615757232035 753.341924362379</t>
  </si>
  <si>
    <t>-458.245860874404 -312.518647899172 826.927702510779</t>
  </si>
  <si>
    <t>9763-20170724T104547.148564000.bin</t>
  </si>
  <si>
    <t>-807.231728880416 11.3790885006888 -488.879710288381</t>
  </si>
  <si>
    <t>-711.053639475355 52.9064206405121 -213.895273421795</t>
  </si>
  <si>
    <t>-500.15516007488 164.78055570012 -246.405296659648</t>
  </si>
  <si>
    <t>-692.236543185338 -34.0861357933084 319.070234049164</t>
  </si>
  <si>
    <t>-753.126330152953 -17.269723245794 762.299916768819</t>
  </si>
  <si>
    <t>-612.301213333667 21.5905290882772 823.500077704918</t>
  </si>
  <si>
    <t>-525.410622310478 -230.779262512072 312.457613121304</t>
  </si>
  <si>
    <t>-592.947443390318 -273.692688470998 753.389658033951</t>
  </si>
  <si>
    <t>-458.059597196404 -312.186495671759 826.947679876791</t>
  </si>
  <si>
    <t>9763-20170724T104547.189673800.bin</t>
  </si>
  <si>
    <t>-806.566338975995 12.6488298994548 -489.365868248266</t>
  </si>
  <si>
    <t>-710.591737997582 54.4221330019086 -214.347581134992</t>
  </si>
  <si>
    <t>-499.498689079732 165.978952797892 -246.684503495328</t>
  </si>
  <si>
    <t>-692.538109523689 -33.4207352780497 318.939963938032</t>
  </si>
  <si>
    <t>-753.214025563907 -17.232047243815 762.24194817935</t>
  </si>
  <si>
    <t>-612.358883862388 21.5349410673623 823.432057904024</t>
  </si>
  <si>
    <t>-526.423189357931 -230.351910118986 312.401983635106</t>
  </si>
  <si>
    <t>-592.893197066715 -273.383322455341 753.406089722397</t>
  </si>
  <si>
    <t>-458.303142527457 -312.820045580814 827.010097553219</t>
  </si>
  <si>
    <t>9763-20170724T104547.253415400.bin</t>
  </si>
  <si>
    <t>-805.622190986083 15.1796402966597 -490.323729494265</t>
  </si>
  <si>
    <t>-710.760250616579 56.8067013600648 -214.897549323191</t>
  </si>
  <si>
    <t>-499.248675269372 167.725509613182 -246.689448063998</t>
  </si>
  <si>
    <t>-694.203859859354 -32.0344725704513 318.459658375593</t>
  </si>
  <si>
    <t>-753.328706308755 -17.186520411665 762.062954434408</t>
  </si>
  <si>
    <t>-612.457529084448 21.5694015696708 823.223032424892</t>
  </si>
  <si>
    <t>-529.227162233332 -229.794512272729 312.1408868611</t>
  </si>
  <si>
    <t>-592.770281391115 -273.383698089848 753.419191820179</t>
  </si>
  <si>
    <t>-458.317998537638 -313.115099279836 827.116473220574</t>
  </si>
  <si>
    <t>9763-20170724T104547.287501500.bin</t>
  </si>
  <si>
    <t>-805.56719899903 15.8399184540876 -491.026595293636</t>
  </si>
  <si>
    <t>-711.743557927376 57.2291692142007 -215.209135144058</t>
  </si>
  <si>
    <t>-499.610485813434 167.19376805024 -246.163859218951</t>
  </si>
  <si>
    <t>-694.916735270184 -31.5544538524414 318.160310289055</t>
  </si>
  <si>
    <t>-753.388084762767 -17.163484052832 761.909739731295</t>
  </si>
  <si>
    <t>-612.55285930441 21.7329163490806 823.06372523484</t>
  </si>
  <si>
    <t>-530.318698697388 -229.506112509209 312.008264623822</t>
  </si>
  <si>
    <t>-592.659324678691 -273.274687679557 753.377854811495</t>
  </si>
  <si>
    <t>-458.350534487415 -313.300247206209 827.177581132203</t>
  </si>
  <si>
    <t>9763-20170724T104547.349701400.bin</t>
  </si>
  <si>
    <t>-804.972217551693 15.3980525684012 -492.216379769905</t>
  </si>
  <si>
    <t>-713.846181177326 55.6336705410963 -215.3258043034</t>
  </si>
  <si>
    <t>-500.55829340398 163.816575790877 -244.576134970807</t>
  </si>
  <si>
    <t>-695.547659922272 -31.2298582560559 317.597370652128</t>
  </si>
  <si>
    <t>-753.465250506687 -17.1041573830416 761.485743911381</t>
  </si>
  <si>
    <t>-612.752048680224 22.1822154007043 822.671245847317</t>
  </si>
  <si>
    <t>-531.067461280481 -228.976592579093 311.7349255865</t>
  </si>
  <si>
    <t>-592.522236614386 -273.172346336708 753.311583282091</t>
  </si>
  <si>
    <t>-458.340295122161 -313.393947960333 827.235278848342</t>
  </si>
  <si>
    <t>9763-20170724T104547.382788600.bin</t>
  </si>
  <si>
    <t>-804.625721477368 14.7161602593803 -492.5791172694</t>
  </si>
  <si>
    <t>-714.640533415939 53.1413675308443 -215.059064919714</t>
  </si>
  <si>
    <t>-501.209428207079 161.22603417705 -243.619967654017</t>
  </si>
  <si>
    <t>-695.51616097291 -31.37072187785 317.433725688214</t>
  </si>
  <si>
    <t>-753.463773928264 -17.1472230997063 761.308389698492</t>
  </si>
  <si>
    <t>-612.799313165908 22.2846418626473 822.512651508036</t>
  </si>
  <si>
    <t>-530.991809382506 -229.011159454003 311.666781606011</t>
  </si>
  <si>
    <t>-592.506013532359 -273.236475109657 753.313483018313</t>
  </si>
  <si>
    <t>-458.366800114729 -313.613292628659 827.230202565423</t>
  </si>
  <si>
    <t>9763-20170724T104547.450517900.bin</t>
  </si>
  <si>
    <t>-804.381528193603 13.438415277132 -493.017202563487</t>
  </si>
  <si>
    <t>-716.507461526409 50.0848223181829 -214.581626265766</t>
  </si>
  <si>
    <t>-502.875361191095 158.160569187193 -241.633677239977</t>
  </si>
  <si>
    <t>-695.431895083762 -31.9641324321819 317.336343187247</t>
  </si>
  <si>
    <t>-753.598528688804 -17.0481615656061 761.101513545466</t>
  </si>
  <si>
    <t>-612.913111518005 22.2592873469057 822.337350380401</t>
  </si>
  <si>
    <t>-530.345682237077 -229.481151063132 311.57100631085</t>
  </si>
  <si>
    <t>-592.429689742069 -273.070458960901 753.245229769065</t>
  </si>
  <si>
    <t>-458.252475226692 -313.342020473947 827.150440427799</t>
  </si>
  <si>
    <t>9763-20170724T104547.483605700.bin</t>
  </si>
  <si>
    <t>-804.168291079171 13.1667826576963 -493.278268313775</t>
  </si>
  <si>
    <t>-717.366418707143 49.6758363844199 -214.488601299848</t>
  </si>
  <si>
    <t>-503.774195103897 157.957415567059 -241.027701763211</t>
  </si>
  <si>
    <t>-695.582778745005 -32.1746319426188 317.318774708717</t>
  </si>
  <si>
    <t>-753.681254505253 -16.9908449401971 761.036607141715</t>
  </si>
  <si>
    <t>-612.967535741146 22.1982490097337 822.283307488119</t>
  </si>
  <si>
    <t>-530.259063042907 -229.762453629834 311.538925577217</t>
  </si>
  <si>
    <t>-592.421460595883 -273.010937024296 753.248261861973</t>
  </si>
  <si>
    <t>-458.223864922574 -313.28308519377 827.115990508928</t>
  </si>
  <si>
    <t>9763-20170724T104547.548826200.bin</t>
  </si>
  <si>
    <t>-803.905119379825 12.2896806624196 -493.631740398659</t>
  </si>
  <si>
    <t>-717.463773102858 49.8155049453285 -214.865049264418</t>
  </si>
  <si>
    <t>-504.225615177481 158.854042711638 -241.151110586678</t>
  </si>
  <si>
    <t>-695.853315217196 -32.4687973488199 317.265521527729</t>
  </si>
  <si>
    <t>-753.792488174829 -16.9747451021797 760.933520737135</t>
  </si>
  <si>
    <t>-613.113509730217 22.3263344009122 822.18818740347</t>
  </si>
  <si>
    <t>-530.327587254659 -230.548437951661 311.6066309826</t>
  </si>
  <si>
    <t>-592.463614703054 -273.580774398403 753.3419792145</t>
  </si>
  <si>
    <t>-457.860393084731 -312.778830501092 827.049373428949</t>
  </si>
  <si>
    <t>9763-20170724T104547.581912900.bin</t>
  </si>
  <si>
    <t>-803.914619468618 11.704143060168 -493.88432437142</t>
  </si>
  <si>
    <t>-717.509878144173 49.8116417364872 -215.185046922009</t>
  </si>
  <si>
    <t>-504.378102022174 159.023622043548 -241.612866535253</t>
  </si>
  <si>
    <t>-695.987029826036 -32.5237067759049 317.216736058216</t>
  </si>
  <si>
    <t>-753.859768069253 -16.9733858753923 760.884102397246</t>
  </si>
  <si>
    <t>-613.176025632574 22.3254161699801 822.129410609188</t>
  </si>
  <si>
    <t>-530.692852253196 -230.471842539065 311.664625221003</t>
  </si>
  <si>
    <t>-592.448064339948 -273.350405026662 753.398697136695</t>
  </si>
  <si>
    <t>-458.013927111982 -313.187337321438 827.072299437048</t>
  </si>
  <si>
    <t>9763-20170724T104547.648665900.bin</t>
  </si>
  <si>
    <t>-803.617195609399 10.4165814486505 -494.562405469312</t>
  </si>
  <si>
    <t>-717.330745509109 49.0691680532393 -215.901502727599</t>
  </si>
  <si>
    <t>-504.254652738607 158.38446035448 -242.351646946565</t>
  </si>
  <si>
    <t>-696.359258440781 -32.7923820948886 316.959744553185</t>
  </si>
  <si>
    <t>-754.044267618508 -16.9114907555536 760.672777621137</t>
  </si>
  <si>
    <t>-613.286671121299 22.1513423014612 821.899370467395</t>
  </si>
  <si>
    <t>-532.245227225533 -230.590812489758 311.671373642568</t>
  </si>
  <si>
    <t>-592.411335943901 -273.547929361012 753.534046321958</t>
  </si>
  <si>
    <t>-457.795615456005 -312.917806101666 827.127123589351</t>
  </si>
  <si>
    <t>9763-20170724T104547.680751200.bin</t>
  </si>
  <si>
    <t>-803.535031064213 10.1205015733606 -494.853604762506</t>
  </si>
  <si>
    <t>-717.171029178283 48.8361586417045 -216.225541952883</t>
  </si>
  <si>
    <t>-504.110585269271 158.185032471049 -242.663130139357</t>
  </si>
  <si>
    <t>-696.832133466577 -32.8502400791144 316.731057750813</t>
  </si>
  <si>
    <t>-754.123599855198 -16.9025236446469 760.50862222416</t>
  </si>
  <si>
    <t>-613.346868859482 22.1073005966457 821.724907221138</t>
  </si>
  <si>
    <t>-533.268740346756 -230.543050672497 311.6193453157</t>
  </si>
  <si>
    <t>-592.375148770783 -273.417584097956 753.593943489682</t>
  </si>
  <si>
    <t>-457.926832333796 -313.352450251626 827.188517097044</t>
  </si>
  <si>
    <t>9763-20170724T104547.751738400.bin</t>
  </si>
  <si>
    <t>-803.811563079522 9.9853062363768 -495.468530607505</t>
  </si>
  <si>
    <t>-717.104655205845 48.5387026917658 -216.92448532449</t>
  </si>
  <si>
    <t>-504.137229358088 157.99233050566 -243.676241351835</t>
  </si>
  <si>
    <t>-698.516570955997 -32.8273650115691 316.069099810291</t>
  </si>
  <si>
    <t>-754.27302352315 -16.8435959562889 760.083174854978</t>
  </si>
  <si>
    <t>-613.499557743182 22.1824596188042 821.296554627252</t>
  </si>
  <si>
    <t>-535.7604198021 -230.432193038587 311.425986720049</t>
  </si>
  <si>
    <t>-592.307142895578 -273.400952879829 753.70386567385</t>
  </si>
  <si>
    <t>-457.843642311215 -313.335388596283 827.270871347357</t>
  </si>
  <si>
    <t>9763-20170724T104547.785826200.bin</t>
  </si>
  <si>
    <t>-804.141666288708 9.86705730704807 -495.827250524974</t>
  </si>
  <si>
    <t>-717.336307542074 48.4334339405673 -217.315796987871</t>
  </si>
  <si>
    <t>-504.403697943702 157.911610947847 -244.244464973078</t>
  </si>
  <si>
    <t>-699.23342016205 -32.7836080509815 315.702894563862</t>
  </si>
  <si>
    <t>-754.29973729421 -16.894989586305 759.854692540545</t>
  </si>
  <si>
    <t>-613.544196394653 22.1994907109745 821.065760624574</t>
  </si>
  <si>
    <t>-536.944288681285 -230.491120698105 311.2567471869</t>
  </si>
  <si>
    <t>-592.266854162829 -273.498646179333 753.731821921851</t>
  </si>
  <si>
    <t>-457.767666943983 -313.316305583728 827.29694247278</t>
  </si>
  <si>
    <t>9763-20170724T104547.849598100.bin</t>
  </si>
  <si>
    <t>-804.749660610508 9.34482524791656 -496.464886689438</t>
  </si>
  <si>
    <t>-718.215181190306 47.8109943133211 -217.855261770922</t>
  </si>
  <si>
    <t>-505.314769354971 157.266745077138 -245.127663348695</t>
  </si>
  <si>
    <t>-699.8232847119 -32.7867694089134 315.137968774668</t>
  </si>
  <si>
    <t>-754.44139502853 -16.8631842200937 759.400533901335</t>
  </si>
  <si>
    <t>-613.689136921169 22.2313020262072 820.6191428726</t>
  </si>
  <si>
    <t>-538.226286376692 -230.685875318086 310.984533673046</t>
  </si>
  <si>
    <t>-592.167151107842 -273.483696502569 753.720268045961</t>
  </si>
  <si>
    <t>-457.61933963432 -313.107126494616 827.301345309935</t>
  </si>
  <si>
    <t>9763-20170724T104547.919299600.bin</t>
  </si>
  <si>
    <t>-804.763026102366 8.32735925117527 -496.976811631294</t>
  </si>
  <si>
    <t>-718.601070432066 46.7861719567788 -218.250747145017</t>
  </si>
  <si>
    <t>-505.757092355907 156.262001083079 -245.879902102491</t>
  </si>
  <si>
    <t>-699.900685587595 -33.0735236814642 314.812652920028</t>
  </si>
  <si>
    <t>-754.537690212843 -16.8629687769176 759.006147944088</t>
  </si>
  <si>
    <t>-613.804862956323 22.2394677630041 820.264376036639</t>
  </si>
  <si>
    <t>-538.108605873257 -230.897712994614 310.791752641032</t>
  </si>
  <si>
    <t>-592.060234427482 -273.348021306277 753.6458676172</t>
  </si>
  <si>
    <t>-457.600797346468 -313.206971725271 827.261375609638</t>
  </si>
  <si>
    <t>9763-20170724T104547.948379600.bin</t>
  </si>
  <si>
    <t>-804.658047348642 7.5573616204606 -497.165480680752</t>
  </si>
  <si>
    <t>-718.433751681257 46.33754295473 -218.503321717146</t>
  </si>
  <si>
    <t>-505.653188365902 155.884516296755 -246.337872845794</t>
  </si>
  <si>
    <t>-699.719772923489 -33.3272289024467 314.697063692169</t>
  </si>
  <si>
    <t>-754.553821348343 -16.8686212453963 758.831970175126</t>
  </si>
  <si>
    <t>-613.862494971806 22.3344116765422 820.121131550196</t>
  </si>
  <si>
    <t>-537.844691729855 -231.208410949582 310.734706493734</t>
  </si>
  <si>
    <t>-592.012688921243 -273.431444742869 753.598049978653</t>
  </si>
  <si>
    <t>-457.373272584377 -312.689483220168 827.207450200944</t>
  </si>
  <si>
    <t>9763-20170724T104547.981468900.bin</t>
  </si>
  <si>
    <t>-804.587004388576 6.83230019931034 -497.33096868245</t>
  </si>
  <si>
    <t>-718.085392114456 46.20967766185 -218.838474303366</t>
  </si>
  <si>
    <t>-505.3483633307 155.76123938937 -246.985255275168</t>
  </si>
  <si>
    <t>-699.420541134558 -33.5096837432998 314.60321366361</t>
  </si>
  <si>
    <t>-754.620169061566 -16.798014665924 758.690651450178</t>
  </si>
  <si>
    <t>-613.895572552457 22.2660932779597 819.992289694362</t>
  </si>
  <si>
    <t>-537.61055457774 -231.295796736508 310.699273872309</t>
  </si>
  <si>
    <t>-591.964095331976 -273.23311531271 753.555856349597</t>
  </si>
  <si>
    <t>-457.479886464119 -312.976563897448 827.188474714756</t>
  </si>
  <si>
    <t>9763-20170724T104548.047733400.bin</t>
  </si>
  <si>
    <t>-804.398125072703 5.33624956776521 -497.59330402845</t>
  </si>
  <si>
    <t>-717.498869556593 45.9674004902993 -219.404824449103</t>
  </si>
  <si>
    <t>-504.800241966533 155.386141935671 -248.34779646748</t>
  </si>
  <si>
    <t>-698.369952898284 -33.9108068563894 314.593401168512</t>
  </si>
  <si>
    <t>-754.717037114926 -16.8580918228727 758.506946802594</t>
  </si>
  <si>
    <t>-614.044256771234 22.4337210732617 819.78197561134</t>
  </si>
  <si>
    <t>-536.951773756694 -231.937828262619 310.704695774685</t>
  </si>
  <si>
    <t>-591.89559116457 -273.326957583927 753.531867124519</t>
  </si>
  <si>
    <t>-457.296537007007 -312.72892560203 827.138062473953</t>
  </si>
  <si>
    <t>9763-20170724T104548.085834000.bin</t>
  </si>
  <si>
    <t>-804.199994044036 4.58704843379746 -497.662577129528</t>
  </si>
  <si>
    <t>-717.077778457005 45.5962253496948 -219.599247102372</t>
  </si>
  <si>
    <t>-504.418936786658 154.970698076582 -248.998049732149</t>
  </si>
  <si>
    <t>-697.824042766501 -34.1647105719737 314.629335438035</t>
  </si>
  <si>
    <t>-754.831703311236 -16.8195059908273 758.426233465055</t>
  </si>
  <si>
    <t>-614.111759450663 22.3216403859187 819.689283532347</t>
  </si>
  <si>
    <t>-536.569556350144 -232.219488941566 310.744217315976</t>
  </si>
  <si>
    <t>-591.860447646752 -273.200270025108 753.535197995029</t>
  </si>
  <si>
    <t>-457.27743604123 -312.683014891758 827.127503940767</t>
  </si>
  <si>
    <t>9763-20170724T104548.149013200.bin</t>
  </si>
  <si>
    <t>-803.364401612074 2.80927431199075 -497.856816468074</t>
  </si>
  <si>
    <t>-715.742195551959 44.0945894084502 -219.991562279369</t>
  </si>
  <si>
    <t>-503.203497052991 153.564261059844 -249.901285148802</t>
  </si>
  <si>
    <t>-696.751443497921 -34.9443257512896 314.630559453928</t>
  </si>
  <si>
    <t>-754.843762437616 -17.0621725648512 758.242060259078</t>
  </si>
  <si>
    <t>-614.230179542538 22.4976540814264 819.480353213085</t>
  </si>
  <si>
    <t>-535.99688632118 -232.952141175503 310.824442564438</t>
  </si>
  <si>
    <t>-591.815882955005 -273.404916186032 753.565211060732</t>
  </si>
  <si>
    <t>-457.097495877966 -312.515375199017 827.108523522277</t>
  </si>
  <si>
    <t>9763-20170724T104548.186111000.bin</t>
  </si>
  <si>
    <t>-802.936607788762 2.15264202653179 -497.852924634971</t>
  </si>
  <si>
    <t>-714.976676278687 43.4346143920343 -220.093958024442</t>
  </si>
  <si>
    <t>-502.517687686248 152.994405117176 -250.23890527436</t>
  </si>
  <si>
    <t>-696.335130986999 -35.2126478437265 314.599042923959</t>
  </si>
  <si>
    <t>-754.923431810531 -17.0465765990621 758.142350468968</t>
  </si>
  <si>
    <t>-614.2967635427 22.4661204202398 819.381130545114</t>
  </si>
  <si>
    <t>-535.657953258705 -233.14087742619 310.884711961622</t>
  </si>
  <si>
    <t>-591.794614355918 -273.223078553989 753.590230480445</t>
  </si>
  <si>
    <t>-457.149857652168 -312.621225548879 827.114873020893</t>
  </si>
  <si>
    <t>9763-20170724T104548.248856100.bin</t>
  </si>
  <si>
    <t>-802.429679412709 0.782983859885007 -497.767069605311</t>
  </si>
  <si>
    <t>-713.641586595718 41.8767812390076 -220.243698461308</t>
  </si>
  <si>
    <t>-501.430563952749 151.749517410002 -250.990218331079</t>
  </si>
  <si>
    <t>-695.601230761081 -35.9373271261823 314.53745212233</t>
  </si>
  <si>
    <t>-755.020683367174 -17.1595130586052 757.973893558945</t>
  </si>
  <si>
    <t>-614.38645816974 22.3646367571539 819.187964846853</t>
  </si>
  <si>
    <t>-535.139827321734 -233.898683795646 310.936728622387</t>
  </si>
  <si>
    <t>-591.751097998908 -273.21691960577 753.624694635274</t>
  </si>
  <si>
    <t>-457.031311295141 -312.441409584472 827.104794657398</t>
  </si>
  <si>
    <t>9763-20170724T104548.280941400.bin</t>
  </si>
  <si>
    <t>-802.549677298921 0.0192961149246003 -497.720285771116</t>
  </si>
  <si>
    <t>-713.441814692425 41.0871917641964 -220.295670654775</t>
  </si>
  <si>
    <t>-501.269425096164 150.9565110737 -251.319330219371</t>
  </si>
  <si>
    <t>-695.417851467402 -36.2875185134669 314.496646662423</t>
  </si>
  <si>
    <t>-755.11137886873 -17.1461888900365 757.892287322483</t>
  </si>
  <si>
    <t>-614.448999035897 22.3000087160119 819.091861977193</t>
  </si>
  <si>
    <t>-535.070530801475 -234.279392067342 310.926190344166</t>
  </si>
  <si>
    <t>-591.735445558667 -273.224164407183 753.646958621489</t>
  </si>
  <si>
    <t>-457.003528963821 -312.45000702416 827.104041392657</t>
  </si>
  <si>
    <t>9763-20170724T104548.353475100.bin</t>
  </si>
  <si>
    <t>-713.529768202673 39.29082803498 -220.198527681388</t>
  </si>
  <si>
    <t>-501.606398426528 149.316812984022 -252.348952324225</t>
  </si>
  <si>
    <t>-695.29910370514 -37.25326113405 314.368111846532</t>
  </si>
  <si>
    <t>-755.086833518086 -17.4163711808078 757.704650800104</t>
  </si>
  <si>
    <t>-614.541526660227 22.4482935018675 818.901976003543</t>
  </si>
  <si>
    <t>-534.912212535457 -234.915755067696 310.931672633868</t>
  </si>
  <si>
    <t>-591.709520985991 -273.29052628138 753.669306493912</t>
  </si>
  <si>
    <t>-456.956992823133 -312.521556762483 827.08579090885</t>
  </si>
  <si>
    <t>9763-20170724T104548.382552000.bin</t>
  </si>
  <si>
    <t>-713.796367241159 38.1821325654194 -220.114251332275</t>
  </si>
  <si>
    <t>-502.076151436063 148.423545896025 -252.859569134205</t>
  </si>
  <si>
    <t>-695.299735713138 -37.6792079983688 314.291355976605</t>
  </si>
  <si>
    <t>-755.140846301494 -17.4180170557372 757.618294796457</t>
  </si>
  <si>
    <t>-614.582867925691 22.387777940696 818.82492268342</t>
  </si>
  <si>
    <t>-534.835545431192 -235.203998216065 310.912510473482</t>
  </si>
  <si>
    <t>-591.691994116085 -273.277730821629 753.669038419937</t>
  </si>
  <si>
    <t>-456.79323791237 -312.049170033318 827.060961671741</t>
  </si>
  <si>
    <t>9763-20170724T104548.453618800.bin</t>
  </si>
  <si>
    <t>-714.650363338166 36.2264331029287 -219.951751745493</t>
  </si>
  <si>
    <t>-503.283747030111 146.891732204737 -253.541044236026</t>
  </si>
  <si>
    <t>-695.371647911862 -38.4339074815066 314.133175068177</t>
  </si>
  <si>
    <t>-755.170191608589 -17.5112286637418 757.43460506788</t>
  </si>
  <si>
    <t>-614.659607697069 22.4233299810001 818.665997397538</t>
  </si>
  <si>
    <t>-534.824954312393 -235.7022845812 310.862053362976</t>
  </si>
  <si>
    <t>-591.656847351248 -273.335998001952 753.66549857363</t>
  </si>
  <si>
    <t>-456.660534146504 -311.808510259795 827.035537808272</t>
  </si>
  <si>
    <t>9763-20170724T104548.481697700.bin</t>
  </si>
  <si>
    <t>-715.134282403797 35.4793511348505 -219.917581943056</t>
  </si>
  <si>
    <t>-503.939258083645 146.343327930718 -253.927986830403</t>
  </si>
  <si>
    <t>-695.381718716864 -38.6712545489395 314.060392104153</t>
  </si>
  <si>
    <t>-755.249870407082 -17.439883943433 757.34205679282</t>
  </si>
  <si>
    <t>-614.734604017659 22.4604395681765 818.585130928119</t>
  </si>
  <si>
    <t>-534.778355205906 -235.85573743745 310.833503726663</t>
  </si>
  <si>
    <t>-591.642301676405 -273.249413695041 753.666343488042</t>
  </si>
  <si>
    <t>-456.689138227901 -311.886232662125 827.029406638981</t>
  </si>
  <si>
    <t>9763-20170724T104548.547876600.bin</t>
  </si>
  <si>
    <t>-716.109223183982 34.2830098382067 -219.929695538492</t>
  </si>
  <si>
    <t>-505.184086287878 145.410933590462 -254.744119972662</t>
  </si>
  <si>
    <t>-695.341332234626 -39.0350945181626 313.958266537424</t>
  </si>
  <si>
    <t>-755.295557976353 -17.4813656786039 757.202561566303</t>
  </si>
  <si>
    <t>-614.827540094133 22.5773923725726 818.450751723424</t>
  </si>
  <si>
    <t>-534.372725840259 -236.074288422086 310.830713310153</t>
  </si>
  <si>
    <t>-591.625012558743 -273.380025992679 753.681863828063</t>
  </si>
  <si>
    <t>-456.655362007115 -312.042681494235 827.000912388802</t>
  </si>
  <si>
    <t>9763-20170724T104548.580970800.bin</t>
  </si>
  <si>
    <t>-716.440624849581 33.7599495139721 -220.004801949038</t>
  </si>
  <si>
    <t>-505.642165907405 144.969059998606 -255.323955879513</t>
  </si>
  <si>
    <t>-695.267101967394 -39.3144646242872 313.930725687392</t>
  </si>
  <si>
    <t>-755.326114105436 -17.5107011819807 757.149623531036</t>
  </si>
  <si>
    <t>-614.902019346729 22.7040629878079 818.396223468182</t>
  </si>
  <si>
    <t>-534.190757610073 -236.293406218568 310.84845884593</t>
  </si>
  <si>
    <t>-591.616273279705 -273.433103394222 753.68545054213</t>
  </si>
  <si>
    <t>-456.489686732202 -311.602507289979 826.973826171568</t>
  </si>
  <si>
    <t>9763-20170724T104548.647144700.bin</t>
  </si>
  <si>
    <t>-716.990510066515 32.925943907386 -220.188941380611</t>
  </si>
  <si>
    <t>-506.351303150378 144.196716310009 -256.255694443781</t>
  </si>
  <si>
    <t>-695.229501239127 -39.5936449108081 313.905437579629</t>
  </si>
  <si>
    <t>-755.422204339182 -17.4945877246951 757.072963862977</t>
  </si>
  <si>
    <t>-614.965662553032 22.5977107069739 818.32542683969</t>
  </si>
  <si>
    <t>-533.503792473097 -236.210106257091 310.867628073654</t>
  </si>
  <si>
    <t>-591.543847277092 -273.07594699622 753.651123855681</t>
  </si>
  <si>
    <t>-456.602620225372 -311.853387221862 826.961902362989</t>
  </si>
  <si>
    <t>9763-20170724T104548.686248200.bin</t>
  </si>
  <si>
    <t>-717.383014239702 32.4212790939175 -220.223630365674</t>
  </si>
  <si>
    <t>-506.752727956274 143.644383400427 -256.488552050104</t>
  </si>
  <si>
    <t>-695.221667888329 -39.8124862127781 313.921624747574</t>
  </si>
  <si>
    <t>-755.41661721571 -17.5765130512875 757.06345158322</t>
  </si>
  <si>
    <t>-615.026807184453 22.7471502471972 818.317033000122</t>
  </si>
  <si>
    <t>-532.946272706958 -236.362984320398 310.876620726312</t>
  </si>
  <si>
    <t>-591.521121805909 -273.221131967022 753.625268393104</t>
  </si>
  <si>
    <t>-456.354668997373 -311.241818371997 826.917472881138</t>
  </si>
  <si>
    <t>9763-20170724T104548.753438000.bin</t>
  </si>
  <si>
    <t>-717.858804800009 31.2190098486319 -220.149675532629</t>
  </si>
  <si>
    <t>-507.275720101788 142.485621731062 -256.555740136967</t>
  </si>
  <si>
    <t>-694.981511390432 -40.2298045011696 314.029596171678</t>
  </si>
  <si>
    <t>-755.516191666527 -17.5410473890454 757.103368601421</t>
  </si>
  <si>
    <t>-615.112464147954 22.7088851048904 818.373597373924</t>
  </si>
  <si>
    <t>-531.426252088112 -236.48026389503 310.950995272471</t>
  </si>
  <si>
    <t>-591.457782942082 -273.364036236591 753.550073651922</t>
  </si>
  <si>
    <t>-456.162332001725 -310.907570006151 826.850180510274</t>
  </si>
  <si>
    <t>9763-20170724T104548.788542400.bin</t>
  </si>
  <si>
    <t>-717.933961412385 30.6125179948913 -220.02509069313</t>
  </si>
  <si>
    <t>-507.375971938812 141.915253959804 -256.465493182342</t>
  </si>
  <si>
    <t>-694.720232188317 -40.4606743254776 314.134477158472</t>
  </si>
  <si>
    <t>-755.503208517766 -17.6191965775145 757.157436993754</t>
  </si>
  <si>
    <t>-615.129941282763 22.7266078114362 818.434241728079</t>
  </si>
  <si>
    <t>-530.449451261009 -236.450386361922 311.018033139686</t>
  </si>
  <si>
    <t>-591.427581868564 -273.352738803636 753.501901354448</t>
  </si>
  <si>
    <t>-456.106057022514 -310.782745885501 826.811937433616</t>
  </si>
  <si>
    <t>9763-20170724T104548.850322700.bin</t>
  </si>
  <si>
    <t>-717.626776483949 29.984256966462 -219.821942874568</t>
  </si>
  <si>
    <t>-507.134170220102 141.453177841544 -256.132039819938</t>
  </si>
  <si>
    <t>-694.031316535411 -40.8241441471071 314.402860307895</t>
  </si>
  <si>
    <t>-755.512765884171 -17.7450345153757 757.328857299825</t>
  </si>
  <si>
    <t>-615.209656876511 22.8520740763929 818.600642289903</t>
  </si>
  <si>
    <t>-528.599228503503 -236.302473019234 311.147521083619</t>
  </si>
  <si>
    <t>-591.361085663106 -273.124169759192 753.393122117958</t>
  </si>
  <si>
    <t>-456.077491827711 -310.617679500307 826.740918470713</t>
  </si>
  <si>
    <t>9763-20170724T104548.880402800.bin</t>
  </si>
  <si>
    <t>-717.623105153028 29.9372737127117 -219.734908659156</t>
  </si>
  <si>
    <t>-507.151629701263 141.480711461794 -255.938200399569</t>
  </si>
  <si>
    <t>-693.86179529097 -40.8259184628796 314.53370084712</t>
  </si>
  <si>
    <t>-755.620070636836 -17.6395732518379 757.422103391323</t>
  </si>
  <si>
    <t>-615.22891319127 22.6475801330216 818.696454088111</t>
  </si>
  <si>
    <t>-527.938681851219 -236.128277871183 311.199421939352</t>
  </si>
  <si>
    <t>-591.331437826106 -272.850054964359 753.346731701406</t>
  </si>
  <si>
    <t>-456.207217164556 -310.856642182839 826.724195148283</t>
  </si>
  <si>
    <t>9763-20170724T104548.949113400.bin</t>
  </si>
  <si>
    <t>-717.843102799186 29.5878428523542 -219.56303222091</t>
  </si>
  <si>
    <t>-507.410050485744 141.166874533987 -255.880456215145</t>
  </si>
  <si>
    <t>-693.711941297231 -40.8906772220798 314.726818237746</t>
  </si>
  <si>
    <t>-755.663175730109 -17.7078772527511 757.583616187244</t>
  </si>
  <si>
    <t>-615.282888361169 22.6380028424346 818.844299767267</t>
  </si>
  <si>
    <t>-527.510941348974 -236.185602035839 311.303840943985</t>
  </si>
  <si>
    <t>-591.315048032278 -272.810296571446 753.337200817986</t>
  </si>
  <si>
    <t>-456.145098013661 -310.680568767763 826.700676211546</t>
  </si>
  <si>
    <t>9763-20170724T104548.995740700.bin</t>
  </si>
  <si>
    <t>-717.979527328333 29.4184244814135 -219.558283492656</t>
  </si>
  <si>
    <t>-507.560767141261 141.016560269455 -255.89888887816</t>
  </si>
  <si>
    <t>-693.69664171683 -40.8853107381049 314.747656508728</t>
  </si>
  <si>
    <t>-755.689496888207 -17.7406365595173 757.616499472604</t>
  </si>
  <si>
    <t>-615.267865972132 22.46397713231 818.875338324765</t>
  </si>
  <si>
    <t>-527.676413451514 -236.120886095439 311.362963521534</t>
  </si>
  <si>
    <t>-591.320114905942 -272.731056581281 753.373961054424</t>
  </si>
  <si>
    <t>-456.161432203662 -310.685218179145 826.714987488422</t>
  </si>
  <si>
    <t>9763-20170724T104549.052465200.bin</t>
  </si>
  <si>
    <t>-718.09544961068 28.8587865965771 -219.499884558829</t>
  </si>
  <si>
    <t>-507.757665315891 140.681644808215 -255.617966540283</t>
  </si>
  <si>
    <t>-693.612518995954 -41.1047525753522 314.696742035975</t>
  </si>
  <si>
    <t>-755.712052928467 -17.8558496447968 757.597939634568</t>
  </si>
  <si>
    <t>-615.373834641723 22.6444414855284 818.853244351445</t>
  </si>
  <si>
    <t>-527.923193358 -236.319471062859 311.432698944384</t>
  </si>
  <si>
    <t>-591.342030062898 -272.886031455741 753.460302752663</t>
  </si>
  <si>
    <t>-456.007281948687 -310.3485776298 826.729350988421</t>
  </si>
  <si>
    <t>9763-20170724T104549.084547000.bin</t>
  </si>
  <si>
    <t>-717.963646239261 28.8946918959621 -219.440854971105</t>
  </si>
  <si>
    <t>-507.679910605999 140.877869681822 -255.376468562952</t>
  </si>
  <si>
    <t>-693.525915066796 -41.1035342803705 314.670899352548</t>
  </si>
  <si>
    <t>-755.741956359891 -17.8759164330529 757.569326208227</t>
  </si>
  <si>
    <t>-615.377543371207 22.5174112986995 818.835263236233</t>
  </si>
  <si>
    <t>-527.948154619705 -236.310753015117 311.474472285956</t>
  </si>
  <si>
    <t>-591.368939837451 -272.723702480705 753.509237776196</t>
  </si>
  <si>
    <t>-456.028654768295 -310.244699544001 826.738080948543</t>
  </si>
  <si>
    <t>9763-20170724T104549.154419200.bin</t>
  </si>
  <si>
    <t>-717.401779682009 29.7363428705205 -219.498262083017</t>
  </si>
  <si>
    <t>-507.065226818895 141.917028050326 -254.497059921856</t>
  </si>
  <si>
    <t>-693.2238395323 -41.0350303576565 314.634479882976</t>
  </si>
  <si>
    <t>-755.786021857476 -17.947410204649 757.51514796041</t>
  </si>
  <si>
    <t>-615.399446199992 22.358711330216 818.787607346762</t>
  </si>
  <si>
    <t>-528.18040305913 -236.581058035513 311.556263820669</t>
  </si>
  <si>
    <t>-591.432050547243 -273.058691431572 753.618747942028</t>
  </si>
  <si>
    <t>-455.853036997656 -309.930493187083 826.73580862259</t>
  </si>
  <si>
    <t>9763-20170724T104549.182495300.bin</t>
  </si>
  <si>
    <t>-717.122477579821 30.809026706462 -219.645515206708</t>
  </si>
  <si>
    <t>-506.724618788237 143.01041169664 -254.206497476751</t>
  </si>
  <si>
    <t>-693.223382701559 -40.7778735239604 314.608514987713</t>
  </si>
  <si>
    <t>-755.896431475576 -17.8411405946299 757.482407126697</t>
  </si>
  <si>
    <t>-615.42482323933 22.1662750061157 818.755720444645</t>
  </si>
  <si>
    <t>-528.352350773293 -236.571771045701 311.591796496421</t>
  </si>
  <si>
    <t>-591.450342452535 -273.088595470757 753.666759787577</t>
  </si>
  <si>
    <t>-455.88437134394 -310.078040515338 826.74846825349</t>
  </si>
  <si>
    <t>9763-20170724T104549.249681900.bin</t>
  </si>
  <si>
    <t>-716.375556987074 33.3132460015318 -220.159160228873</t>
  </si>
  <si>
    <t>-505.804577518461 145.34123717847 -254.224681522032</t>
  </si>
  <si>
    <t>-693.265619769704 -40.2769730197579 314.593547518783</t>
  </si>
  <si>
    <t>-755.963310150156 -17.8780907114869 757.45922439169</t>
  </si>
  <si>
    <t>-615.50910252952 22.2185874480169 818.714147634063</t>
  </si>
  <si>
    <t>-528.553128312231 -236.286920608709 311.622037079855</t>
  </si>
  <si>
    <t>-591.453323652273 -273.007498998165 753.713359589018</t>
  </si>
  <si>
    <t>-455.901119244896 -310.107364316352 826.76474224459</t>
  </si>
  <si>
    <t>9763-20170724T104549.285778300.bin</t>
  </si>
  <si>
    <t>-716.070055933423 34.5253628701314 -220.410310321494</t>
  </si>
  <si>
    <t>-505.290426855307 146.163690624046 -254.464690580569</t>
  </si>
  <si>
    <t>-693.254679857822 -39.9231896849885 314.627414205899</t>
  </si>
  <si>
    <t>-756.00632455295 -17.8755677630227 757.484032977484</t>
  </si>
  <si>
    <t>-615.503165322708 22.0639968314813 818.729338463304</t>
  </si>
  <si>
    <t>-528.375848935904 -236.089424645106 311.627698914728</t>
  </si>
  <si>
    <t>-591.444749050431 -272.998608540713 753.708994228974</t>
  </si>
  <si>
    <t>-455.939539209882 -310.254277837959 826.768182133863</t>
  </si>
  <si>
    <t>9763-20170724T104549.349632700.bin</t>
  </si>
  <si>
    <t>-715.683796048361 36.3798411138548 -220.622538642121</t>
  </si>
  <si>
    <t>-504.466697897089 147.274947303219 -254.392922629823</t>
  </si>
  <si>
    <t>-692.981978910972 -39.0789085178737 314.754643924712</t>
  </si>
  <si>
    <t>-756.078887375239 -17.9019823287265 757.589478970295</t>
  </si>
  <si>
    <t>-615.590137149931 22.1302262364152 818.807349164494</t>
  </si>
  <si>
    <t>-527.753968336718 -235.566466964249 311.712573305769</t>
  </si>
  <si>
    <t>-591.395336305105 -272.896367383624 753.656342135961</t>
  </si>
  <si>
    <t>-455.847870060912 -309.935986795687 826.747050581758</t>
  </si>
  <si>
    <t>9763-20170724T104549.382721200.bin</t>
  </si>
  <si>
    <t>-715.728376612325 37.0662078318826 -220.534004809186</t>
  </si>
  <si>
    <t>-504.25168066136 147.626322009155 -253.77464912</t>
  </si>
  <si>
    <t>-692.716387780545 -38.6162129902687 314.852583817242</t>
  </si>
  <si>
    <t>-756.131688833358 -17.8710885742964 757.647452765241</t>
  </si>
  <si>
    <t>-615.592552468808 21.9951229266621 818.85804829458</t>
  </si>
  <si>
    <t>-527.446930448055 -235.177589992244 311.753991690177</t>
  </si>
  <si>
    <t>-591.36651358186 -272.799153788495 753.624111773976</t>
  </si>
  <si>
    <t>-455.898783794504 -310.05946370923 826.750450348986</t>
  </si>
  <si>
    <t>9763-20170724T104549.449465700.bin</t>
  </si>
  <si>
    <t>-715.953693273472 37.8963932829695 -220.119008651536</t>
  </si>
  <si>
    <t>-503.902316987266 147.752852966201 -252.00402365262</t>
  </si>
  <si>
    <t>-692.139554631778 -37.7744083359107 315.002480135216</t>
  </si>
  <si>
    <t>-756.198180493958 -17.8552529190663 757.747401763871</t>
  </si>
  <si>
    <t>-615.650599370778 22.0052748280777 818.942163595424</t>
  </si>
  <si>
    <t>-527.155962574995 -234.272326195447 311.798943556445</t>
  </si>
  <si>
    <t>-591.301285474471 -272.618867247848 753.559036392158</t>
  </si>
  <si>
    <t>-456.060923415035 -310.533360507512 826.769832491799</t>
  </si>
  <si>
    <t>9763-20170724T104549.480549200.bin</t>
  </si>
  <si>
    <t>-715.953792548301 38.4009033808316 -219.895267388524</t>
  </si>
  <si>
    <t>-503.689938892668 148.036985477322 -251.117661467776</t>
  </si>
  <si>
    <t>-692.064040189036 -37.3380736146391 315.037756590465</t>
  </si>
  <si>
    <t>-756.257948621333 -17.8093887196662 757.793264503691</t>
  </si>
  <si>
    <t>-615.651633706189 21.8680379203938 818.972109122902</t>
  </si>
  <si>
    <t>-527.274207255989 -233.861585360054 311.804288895075</t>
  </si>
  <si>
    <t>-591.279303135174 -272.626316083093 753.536449872295</t>
  </si>
  <si>
    <t>-456.121384052798 -310.765541542577 826.782844068765</t>
  </si>
  <si>
    <t>9763-20170724T104549.553756800.bin</t>
  </si>
  <si>
    <t>-715.963029536241 39.2614140262697 -219.420384808646</t>
  </si>
  <si>
    <t>-503.372277336588 148.476043940237 -249.887245038252</t>
  </si>
  <si>
    <t>-692.190624580502 -36.5128748310003 315.078726897129</t>
  </si>
  <si>
    <t>-756.327326543834 -17.7786554665011 757.866612996147</t>
  </si>
  <si>
    <t>-615.706721411655 21.8680174899066 819.032643297352</t>
  </si>
  <si>
    <t>-527.539952617087 -233.195784032289 311.770257890303</t>
  </si>
  <si>
    <t>-591.237344231905 -272.568757870825 753.498405700052</t>
  </si>
  <si>
    <t>-456.123917753278 -310.774355978708 826.792299914819</t>
  </si>
  <si>
    <t>9763-20170724T104549.588850000.bin</t>
  </si>
  <si>
    <t>-716.036622371697 40.0815468160165 -219.152297175541</t>
  </si>
  <si>
    <t>-503.362645481054 149.192014838103 -249.410470697572</t>
  </si>
  <si>
    <t>-692.279355630969 -36.1418718334523 315.074969638896</t>
  </si>
  <si>
    <t>-756.348430746807 -17.7630504649019 757.888794086312</t>
  </si>
  <si>
    <t>-615.745277402885 21.9348070759054 819.06181908095</t>
  </si>
  <si>
    <t>-527.757362430115 -232.788762985484 311.736151344822</t>
  </si>
  <si>
    <t>-591.208382772607 -272.402418258895 753.473608376958</t>
  </si>
  <si>
    <t>-456.213390038525 -310.948045925095 826.807730409735</t>
  </si>
  <si>
    <t>9763-20170724T104549.651019600.bin</t>
  </si>
  <si>
    <t>-716.001716241834 41.6529137210605 -218.676272925791</t>
  </si>
  <si>
    <t>-503.289084376008 150.752374042115 -248.701673687999</t>
  </si>
  <si>
    <t>-692.420036573724 -35.3421306298073 315.113022011483</t>
  </si>
  <si>
    <t>-756.433368329106 -17.6649663148362 757.95285595017</t>
  </si>
  <si>
    <t>-615.752310001436 21.7134862296884 819.15318355795</t>
  </si>
  <si>
    <t>-528.030702021718 -232.227658096929 311.69522817031</t>
  </si>
  <si>
    <t>-591.19381367576 -272.370636941163 753.463618036906</t>
  </si>
  <si>
    <t>-456.212471855824 -310.930162317707 826.815386794898</t>
  </si>
  <si>
    <t>9763-20170724T104549.687115600.bin</t>
  </si>
  <si>
    <t>-716.030629392493 42.4902975575476 -218.402958959402</t>
  </si>
  <si>
    <t>-503.264627965301 151.48260720409 -248.439093830897</t>
  </si>
  <si>
    <t>-692.516591575989 -34.9307008186609 315.157118244461</t>
  </si>
  <si>
    <t>-756.488265042004 -17.5882651418806 757.995000778095</t>
  </si>
  <si>
    <t>-615.790369046478 21.7074284890127 819.209654294177</t>
  </si>
  <si>
    <t>-528.119061435884 -231.940515503858 311.717819194373</t>
  </si>
  <si>
    <t>-591.194315523049 -272.285586485717 753.470035621266</t>
  </si>
  <si>
    <t>-456.241145765873 -310.953037528838 826.816947166801</t>
  </si>
  <si>
    <t>9763-20170724T104549.728778000.bin</t>
  </si>
  <si>
    <t>-805.480676923072 0.748171267987118 -495.222584938998</t>
  </si>
  <si>
    <t>-715.940945462259 43.3301896369887 -218.165495220987</t>
  </si>
  <si>
    <t>-503.116664430083 152.191497043462 -248.263758312903</t>
  </si>
  <si>
    <t>-692.53173915861 -34.5857412691578 315.211783067981</t>
  </si>
  <si>
    <t>-756.498488402448 -17.588957859459 758.062085831206</t>
  </si>
  <si>
    <t>-615.807828224204 21.7277145374037 819.280002300429</t>
  </si>
  <si>
    <t>-528.133888303526 -231.784306788301 311.736211038093</t>
  </si>
  <si>
    <t>-591.206389512363 -272.477351434556 753.487013403415</t>
  </si>
  <si>
    <t>-456.122328953027 -310.745308282006 826.802460948134</t>
  </si>
  <si>
    <t>9763-20170724T104549.781918500.bin</t>
  </si>
  <si>
    <t>-805.544055529385 2.92716392673606 -494.71128665988</t>
  </si>
  <si>
    <t>-715.594598196458 45.4088344185177 -217.771628587903</t>
  </si>
  <si>
    <t>-502.647780017877 153.951674363132 -248.152058487528</t>
  </si>
  <si>
    <t>-692.468551811491 -33.7341206027793 315.40046406322</t>
  </si>
  <si>
    <t>-756.59404886161 -17.4984794257302 758.238721770828</t>
  </si>
  <si>
    <t>-615.830610554286 21.5586252169005 819.455508294649</t>
  </si>
  <si>
    <t>-528.0892095407 -231.089267466219 311.774252284078</t>
  </si>
  <si>
    <t>-591.189494723908 -272.294578740895 753.480304090804</t>
  </si>
  <si>
    <t>-456.239553036242 -311.015721254205 826.804708834952</t>
  </si>
  <si>
    <t>9763-20170724T104549.851610100.bin</t>
  </si>
  <si>
    <t>-804.975333617759 5.43208787534786 -494.286602118848</t>
  </si>
  <si>
    <t>-714.796355824611 47.9590983455882 -217.428402155872</t>
  </si>
  <si>
    <t>-501.546662448154 155.93651529668 -247.698947890911</t>
  </si>
  <si>
    <t>-692.271321371436 -32.8294848063806 315.650305590949</t>
  </si>
  <si>
    <t>-756.692383296611 -17.3996040569291 758.455951250901</t>
  </si>
  <si>
    <t>-615.87402081339 21.4710159490144 819.66517278079</t>
  </si>
  <si>
    <t>-527.753300447056 -230.488840434855 311.867228030746</t>
  </si>
  <si>
    <t>-591.177243261006 -272.378116368121 753.477203721226</t>
  </si>
  <si>
    <t>-456.177952806716 -310.923966111708 826.803225863507</t>
  </si>
  <si>
    <t>9763-20170724T104549.884698000.bin</t>
  </si>
  <si>
    <t>-804.492489495118 6.81777245794456 -494.073634567642</t>
  </si>
  <si>
    <t>-714.292162103445 49.4502966327359 -217.238794145045</t>
  </si>
  <si>
    <t>-500.780487787325 157.004561594458 -247.167156455078</t>
  </si>
  <si>
    <t>-692.164366232305 -32.2772042952206 315.79845812563</t>
  </si>
  <si>
    <t>-756.772772899206 -17.289114123728 758.584689174888</t>
  </si>
  <si>
    <t>-615.889717281151 21.3390833083322 819.798387231897</t>
  </si>
  <si>
    <t>-527.424902387067 -229.967451267453 311.92702427474</t>
  </si>
  <si>
    <t>-591.177913990405 -272.107723353544 753.476605508377</t>
  </si>
  <si>
    <t>-456.360305245601 -311.271285255402 826.809611673292</t>
  </si>
  <si>
    <t>9763-20170724T104549.949395100.bin</t>
  </si>
  <si>
    <t>-803.335725535162 9.69471539347751 -493.561896471545</t>
  </si>
  <si>
    <t>-712.944455692224 52.6245841520831 -216.835188562726</t>
  </si>
  <si>
    <t>-498.980648882275 159.547235635043 -245.782326993129</t>
  </si>
  <si>
    <t>-691.643152054055 -31.1903597718158 316.172000534009</t>
  </si>
  <si>
    <t>-756.840576990605 -17.2208802032703 758.893373197451</t>
  </si>
  <si>
    <t>-615.862231548772 21.0747997220735 820.096798341061</t>
  </si>
  <si>
    <t>-526.667928175879 -229.098825558788 312.111573940834</t>
  </si>
  <si>
    <t>-591.164869444582 -272.018148051323 753.464104476514</t>
  </si>
  <si>
    <t>-456.427157272362 -311.442065531877 826.804467562463</t>
  </si>
  <si>
    <t>9763-20170724T104549.984486900.bin</t>
  </si>
  <si>
    <t>-802.788015300922 11.1086533692769 -493.313642528046</t>
  </si>
  <si>
    <t>-712.282066699112 54.2482322704132 -216.657029665139</t>
  </si>
  <si>
    <t>-498.135313315441 160.923615786227 -245.15929620242</t>
  </si>
  <si>
    <t>-691.419868783214 -30.6326451896052 316.360368468948</t>
  </si>
  <si>
    <t>-756.916776530526 -17.1220453572937 759.047487282307</t>
  </si>
  <si>
    <t>-615.903228222899 21.0485724640575 820.247817600834</t>
  </si>
  <si>
    <t>-526.326561370897 -228.564047822736 312.196248223591</t>
  </si>
  <si>
    <t>-591.14763805535 -271.923267157552 753.449563634279</t>
  </si>
  <si>
    <t>-456.433424629924 -311.398570162576 826.805362004867</t>
  </si>
  <si>
    <t>9763-20170724T104550.047688300.bin</t>
  </si>
  <si>
    <t>-801.544800482605 13.8198405298458 -493.001744600295</t>
  </si>
  <si>
    <t>-710.967370583619 57.1385290459923 -216.396475874012</t>
  </si>
  <si>
    <t>-496.605308759123 163.487262992922 -244.49790392728</t>
  </si>
  <si>
    <t>-691.059336620015 -29.60393594005 316.682542121702</t>
  </si>
  <si>
    <t>-757.02231715534 -17.0179673195128 759.345114577313</t>
  </si>
  <si>
    <t>-615.969464902504 21.0425498556176 820.523495262022</t>
  </si>
  <si>
    <t>-525.965697034975 -227.442530666935 312.277036095525</t>
  </si>
  <si>
    <t>-591.064152458086 -271.726105961252 753.38184235152</t>
  </si>
  <si>
    <t>-456.562674141395 -311.711806977133 826.851573557898</t>
  </si>
  <si>
    <t>9763-20170724T104550.084785700.bin</t>
  </si>
  <si>
    <t>-801.022920319881 15.1570137118745 -492.814370475822</t>
  </si>
  <si>
    <t>-710.41844612298 58.3669457226861 -216.201160518928</t>
  </si>
  <si>
    <t>-496.070477999727 164.718522768465 -244.399421712168</t>
  </si>
  <si>
    <t>-690.965429993037 -29.1524656191518 316.833489421832</t>
  </si>
  <si>
    <t>-757.039854867388 -17.0372012918251 759.490492880885</t>
  </si>
  <si>
    <t>-615.996687100384 21.0864505311463 820.651664977623</t>
  </si>
  <si>
    <t>-525.731468513792 -227.206777037907 312.297062666015</t>
  </si>
  <si>
    <t>-591.021704900687 -272.086217972734 753.337406536798</t>
  </si>
  <si>
    <t>-456.261433939149 -311.112711187649 826.84859047188</t>
  </si>
  <si>
    <t>9763-20170724T104550.154994300.bin</t>
  </si>
  <si>
    <t>-800.237625921103 18.1677152516838 -492.270925046356</t>
  </si>
  <si>
    <t>-709.184342601724 61.2205010029863 -215.780501798292</t>
  </si>
  <si>
    <t>-495.077716173473 167.868225943393 -244.685232810656</t>
  </si>
  <si>
    <t>-690.747704786331 -28.0992981680479 317.157917854765</t>
  </si>
  <si>
    <t>-757.119519006492 -16.9876627374199 759.789975408779</t>
  </si>
  <si>
    <t>-616.055841632741 21.0944064907778 820.929963087831</t>
  </si>
  <si>
    <t>-525.001387302592 -226.081488685853 312.279147038651</t>
  </si>
  <si>
    <t>-590.889967196914 -271.634646921586 753.196475033962</t>
  </si>
  <si>
    <t>-456.512994011476 -311.597298049165 826.906070967734</t>
  </si>
  <si>
    <t>9763-20170724T104550.182067200.bin</t>
  </si>
  <si>
    <t>-799.833440990114 19.3952111585809 -491.952013931032</t>
  </si>
  <si>
    <t>-708.501821158989 62.5974657757286 -215.576864402273</t>
  </si>
  <si>
    <t>-494.487335501422 169.236286288347 -245.188030944389</t>
  </si>
  <si>
    <t>-690.489968286097 -27.64416872532 317.347708419271</t>
  </si>
  <si>
    <t>-757.157427173114 -16.9585062105239 759.940771792251</t>
  </si>
  <si>
    <t>-616.032070161214 20.8957193712642 821.079935875463</t>
  </si>
  <si>
    <t>-524.520267883387 -225.655157016957 312.277952423108</t>
  </si>
  <si>
    <t>-590.830354477192 -271.675912375395 753.12932230051</t>
  </si>
  <si>
    <t>-456.613317376604 -311.98293969185 826.942852477021</t>
  </si>
  <si>
    <t>9763-20170724T104550.251757000.bin</t>
  </si>
  <si>
    <t>-798.935622057627 21.6911513508701 -491.297917464386</t>
  </si>
  <si>
    <t>-706.984250026622 65.3615447955433 -215.201802589085</t>
  </si>
  <si>
    <t>-492.975889164783 171.572337359411 -246.355839444725</t>
  </si>
  <si>
    <t>-689.783719945499 -27.0087178025005 317.766246752896</t>
  </si>
  <si>
    <t>-757.22524052203 -16.9467565348921 760.261663348587</t>
  </si>
  <si>
    <t>-616.129929108049 21.0352795688209 821.390723751359</t>
  </si>
  <si>
    <t>-523.40759395906 -225.048656831768 312.318835046294</t>
  </si>
  <si>
    <t>-590.687813207055 -271.672723055969 752.965474008088</t>
  </si>
  <si>
    <t>-456.553577356346 -311.855749525905 826.996715519466</t>
  </si>
  <si>
    <t>9763-20170724T104550.286850900.bin</t>
  </si>
  <si>
    <t>-798.53729149513 22.8116627020436 -491.03691408978</t>
  </si>
  <si>
    <t>-706.321303446007 66.611913348587 -215.049616589562</t>
  </si>
  <si>
    <t>-492.288110707213 172.610152330638 -246.752324155886</t>
  </si>
  <si>
    <t>-689.431082042127 -26.7166040324869 318.003374002149</t>
  </si>
  <si>
    <t>-757.233985658121 -17.0002337633632 760.445820710287</t>
  </si>
  <si>
    <t>-616.136123997468 20.9843828308658 821.567661589236</t>
  </si>
  <si>
    <t>-522.829719761491 -224.735160669334 312.319457765825</t>
  </si>
  <si>
    <t>-590.58260123617 -271.711005796611 752.851463352963</t>
  </si>
  <si>
    <t>-456.530557137104 -311.883563341543 827.037035914327</t>
  </si>
  <si>
    <t>9763-20170724T104550.351568200.bin</t>
  </si>
  <si>
    <t>-797.773635065161 25.028492837642 -490.530146661834</t>
  </si>
  <si>
    <t>-704.966917751252 69.036412106223 -214.773946884398</t>
  </si>
  <si>
    <t>-490.707837842459 174.440857906799 -246.927375784343</t>
  </si>
  <si>
    <t>-688.828023318462 -26.1236736318419 318.4028529118</t>
  </si>
  <si>
    <t>-757.311747447798 -16.9682178322687 760.759020459221</t>
  </si>
  <si>
    <t>-616.149200398716 20.7730402296895 821.882098366018</t>
  </si>
  <si>
    <t>-521.97077609119 -223.925370705018 312.305779916457</t>
  </si>
  <si>
    <t>-590.361163132186 -271.456145532587 752.647306172161</t>
  </si>
  <si>
    <t>-456.574907290025 -311.938007501083 827.143946250331</t>
  </si>
  <si>
    <t>9763-20170724T104550.383654200.bin</t>
  </si>
  <si>
    <t>-797.342170507147 26.1807969298018 -490.272176832592</t>
  </si>
  <si>
    <t>-704.249242286652 70.2762382257658 -214.626470412682</t>
  </si>
  <si>
    <t>-489.832685685895 175.302250562701 -246.967865781006</t>
  </si>
  <si>
    <t>-688.613870005434 -25.7685910967625 318.593432036623</t>
  </si>
  <si>
    <t>-757.356889155959 -16.9346882362381 760.908366852911</t>
  </si>
  <si>
    <t>-616.17735063759 20.7238635935785 822.043114203853</t>
  </si>
  <si>
    <t>-521.572169328345 -223.62023529501 312.329181973779</t>
  </si>
  <si>
    <t>-590.325222363425 -271.619999214483 752.595420091906</t>
  </si>
  <si>
    <t>-456.535378122951 -311.922071419616 827.183022657002</t>
  </si>
  <si>
    <t>9763-20170724T104550.435406100.bin</t>
  </si>
  <si>
    <t>-796.584803217746 28.0203635303458 -489.93106541171</t>
  </si>
  <si>
    <t>-703.042252721549 72.4078741281853 -214.484629558721</t>
  </si>
  <si>
    <t>-488.417544644453 176.885332388232 -247.219683592082</t>
  </si>
  <si>
    <t>-688.312538811376 -25.1837276980937 318.890022509777</t>
  </si>
  <si>
    <t>-757.372768884684 -16.9625944578777 761.147520244224</t>
  </si>
  <si>
    <t>-616.151370158371 20.5179182155259 822.294960080629</t>
  </si>
  <si>
    <t>-520.861693470795 -223.164617127579 312.366053511414</t>
  </si>
  <si>
    <t>-590.260673205996 -271.584654829274 752.52356721162</t>
  </si>
  <si>
    <t>-456.615885785419 -312.124197227528 827.242481397864</t>
  </si>
  <si>
    <t>9763-20170724T104550.496071400.bin</t>
  </si>
  <si>
    <t>-795.877371333809 29.8075559113838 -489.601958836208</t>
  </si>
  <si>
    <t>-701.846975660266 74.6310597148586 -214.392387203833</t>
  </si>
  <si>
    <t>-487.007052409537 178.540288086987 -247.521232938831</t>
  </si>
  <si>
    <t>-687.788884850264 -24.5494102073642 319.239583038262</t>
  </si>
  <si>
    <t>-757.421083901329 -16.8997084763037 761.41325696303</t>
  </si>
  <si>
    <t>-616.174391351417 20.464508326603 822.573512768979</t>
  </si>
  <si>
    <t>-519.969595266752 -222.606328350366 312.45357452216</t>
  </si>
  <si>
    <t>-590.193946385302 -271.630743594583 752.442248080886</t>
  </si>
  <si>
    <t>-456.675867495769 -312.326939743798 827.302349051192</t>
  </si>
  <si>
    <t>9763-20170724T104550.551325500.bin</t>
  </si>
  <si>
    <t>-794.47477715551 31.6520484820783 -489.222667279277</t>
  </si>
  <si>
    <t>-699.510508824413 77.2637778274207 -214.463524738669</t>
  </si>
  <si>
    <t>-484.22271011484 180.184231233817 -247.77130807129</t>
  </si>
  <si>
    <t>-686.233516757171 -24.0543983548785 319.895485300482</t>
  </si>
  <si>
    <t>-757.343127976837 -17.0848165911293 761.848077187319</t>
  </si>
  <si>
    <t>-616.137757297727 20.442368602279 823.003839747089</t>
  </si>
  <si>
    <t>-518.388741677762 -222.169054370912 312.617972239802</t>
  </si>
  <si>
    <t>-590.075432563577 -272.105498387084 752.287768509195</t>
  </si>
  <si>
    <t>-456.554993810735 -312.280452056076 827.424627869203</t>
  </si>
  <si>
    <t>9763-20170724T104550.585415800.bin</t>
  </si>
  <si>
    <t>-793.737548436056 32.5759709750944 -489.073415931855</t>
  </si>
  <si>
    <t>-698.380414007197 78.5627911708364 -214.512976590026</t>
  </si>
  <si>
    <t>-482.795760040918 180.877446021208 -247.766982713344</t>
  </si>
  <si>
    <t>-685.312960872502 -23.7869130609176 320.303361024967</t>
  </si>
  <si>
    <t>-757.413504893221 -17.0180733799909 762.134352714768</t>
  </si>
  <si>
    <t>-616.174680294825 20.3882360955547 823.287074817089</t>
  </si>
  <si>
    <t>-517.348763517023 -221.952867522499 312.629687302069</t>
  </si>
  <si>
    <t>-589.92824968684 -272.278035837807 752.074494376601</t>
  </si>
  <si>
    <t>-456.520635451792 -312.336905050098 827.473393455699</t>
  </si>
  <si>
    <t>9763-20170724T104550.652104900.bin</t>
  </si>
  <si>
    <t>-792.116124778817 34.4859879846499 -489.00149244349</t>
  </si>
  <si>
    <t>-696.191002437964 80.8304454102258 -214.69908693821</t>
  </si>
  <si>
    <t>-480.052161331316 182.087142835886 -247.59230529762</t>
  </si>
  <si>
    <t>-683.578686020095 -23.375668788764 320.932086735062</t>
  </si>
  <si>
    <t>-757.450803996368 -17.1620947999998 762.519582957018</t>
  </si>
  <si>
    <t>-616.201253955968 20.2988568006899 823.614062746868</t>
  </si>
  <si>
    <t>-514.988589198291 -221.595080971677 312.368345336258</t>
  </si>
  <si>
    <t>-589.531165599412 -272.728859122108 751.347357864148</t>
  </si>
  <si>
    <t>-456.424783084873 -312.500006804699 827.427856604709</t>
  </si>
  <si>
    <t>9763-20170724T104550.685192100.bin</t>
  </si>
  <si>
    <t>-791.308114119187 35.7262390165192 -488.989138532178</t>
  </si>
  <si>
    <t>-695.307924990939 81.9936117994814 -214.699936718529</t>
  </si>
  <si>
    <t>-478.932042262671 182.77129933469 -247.505194849302</t>
  </si>
  <si>
    <t>-683.150690320434 -23.075188715082 321.149759918514</t>
  </si>
  <si>
    <t>-757.540145247957 -17.1401166989151 762.647823913563</t>
  </si>
  <si>
    <t>-616.209424798071 20.0577799686289 823.715485141777</t>
  </si>
  <si>
    <t>-513.71856635438 -221.437665535661 312.152980905484</t>
  </si>
  <si>
    <t>-589.291273365502 -272.987478936762 750.904138568147</t>
  </si>
  <si>
    <t>-456.265777146113 -312.304037730587 827.361441080632</t>
  </si>
  <si>
    <t>9763-20170724T104550.751875500.bin</t>
  </si>
  <si>
    <t>-789.949569542182 38.3257900355165 -488.971902190173</t>
  </si>
  <si>
    <t>-693.838754309893 84.343742314768 -214.679621753792</t>
  </si>
  <si>
    <t>-476.893316024405 183.951781339105 -247.295521932184</t>
  </si>
  <si>
    <t>-682.732380648129 -22.1885062057231 321.403249882801</t>
  </si>
  <si>
    <t>-757.515244204479 -17.305807342447 762.818982504568</t>
  </si>
  <si>
    <t>-616.218569062401 20.0790574630364 823.851066683646</t>
  </si>
  <si>
    <t>-511.339136376033 -221.061175765653 311.521705684046</t>
  </si>
  <si>
    <t>-588.793416620105 -273.389041966494 749.86868862294</t>
  </si>
  <si>
    <t>-456.006677102863 -311.990022865122 827.101772088536</t>
  </si>
  <si>
    <t>9763-20170724T104550.783959500.bin</t>
  </si>
  <si>
    <t>-789.210286655645 39.7936910596286 -488.913220829441</t>
  </si>
  <si>
    <t>-692.84076550818 85.8721912882959 -214.72199456704</t>
  </si>
  <si>
    <t>-475.709504445076 185.100381861925 -247.25911823412</t>
  </si>
  <si>
    <t>-682.344512775475 -21.8053009479972 321.505088894814</t>
  </si>
  <si>
    <t>-757.49736598065 -17.3887040860268 762.872438297603</t>
  </si>
  <si>
    <t>-616.262635031367 20.2501699937384 823.891721444288</t>
  </si>
  <si>
    <t>-510.279764428265 -220.568032144129 311.173733671973</t>
  </si>
  <si>
    <t>-588.562130369173 -272.962025258238 749.345956117243</t>
  </si>
  <si>
    <t>-456.236717199008 -312.360011851103 826.967330234193</t>
  </si>
  <si>
    <t>9763-20170724T104550.847642100.bin</t>
  </si>
  <si>
    <t>-787.733698770235 42.1010530022872 -488.839583066616</t>
  </si>
  <si>
    <t>-689.952987953936 88.5808781721705 -215.216104662468</t>
  </si>
  <si>
    <t>-472.842033603899 187.789814821681 -247.946927680379</t>
  </si>
  <si>
    <t>-681.480133306167 -21.4338966489786 321.67572576539</t>
  </si>
  <si>
    <t>-757.485183413854 -17.5141798432057 762.947788810897</t>
  </si>
  <si>
    <t>-616.244646270337 20.1389309092747 823.944931733555</t>
  </si>
  <si>
    <t>-508.223971942395 -220.048090747824 310.506768683572</t>
  </si>
  <si>
    <t>-588.172708181243 -272.955442546637 748.341428660362</t>
  </si>
  <si>
    <t>-456.045276107056 -311.760340578291 826.596208304908</t>
  </si>
  <si>
    <t>9763-20170724T104550.888761200.bin</t>
  </si>
  <si>
    <t>-787.351738971483 43.0281810736055 -488.958279576099</t>
  </si>
  <si>
    <t>-688.979964956783 90.2313568259751 -215.670868454166</t>
  </si>
  <si>
    <t>-471.683242571795 189.007081082768 -248.478613105563</t>
  </si>
  <si>
    <t>-681.318791588388 -21.1342270517382 321.721175083447</t>
  </si>
  <si>
    <t>-757.567016127098 -17.434989939313 762.98148250803</t>
  </si>
  <si>
    <t>-616.223595815159 19.860221591126 823.960232401869</t>
  </si>
  <si>
    <t>-507.277256331975 -219.590992334607 310.183956269305</t>
  </si>
  <si>
    <t>-587.971245610429 -272.760373682845 747.827256253155</t>
  </si>
  <si>
    <t>-456.183101005706 -312.027814363415 826.422651780767</t>
  </si>
  <si>
    <t>9763-20170724T104550.949418800.bin</t>
  </si>
  <si>
    <t>-786.75713957751 44.2355132842868 -489.414293625991</t>
  </si>
  <si>
    <t>-688.622750492905 92.5008152273447 -216.226988812811</t>
  </si>
  <si>
    <t>-470.730007886583 190.052412488484 -248.743193407356</t>
  </si>
  <si>
    <t>-681.31995981935 -20.9997656193375 321.710419262727</t>
  </si>
  <si>
    <t>-757.594821759368 -17.4263321550457 762.979753309029</t>
  </si>
  <si>
    <t>-616.25282816855 19.8801767600085 823.95502037043</t>
  </si>
  <si>
    <t>-505.260483147475 -218.923940805658 309.517390323936</t>
  </si>
  <si>
    <t>-587.61700297205 -272.700489600711 746.796227540922</t>
  </si>
  <si>
    <t>-456.048060096788 -311.481803693341 825.998009712119</t>
  </si>
  <si>
    <t>9763-20170724T104550.986517600.bin</t>
  </si>
  <si>
    <t>-786.625274692841 44.6389111849594 -489.59870313719</t>
  </si>
  <si>
    <t>-688.540148231605 92.756617551147 -216.367708948112</t>
  </si>
  <si>
    <t>-470.424411636671 189.935765225239 -248.501774516643</t>
  </si>
  <si>
    <t>-681.384392388301 -20.9275799264042 321.682257002587</t>
  </si>
  <si>
    <t>-757.589560164398 -17.41990917727 762.96218511338</t>
  </si>
  <si>
    <t>-616.228029160007 19.7861197560551 823.953298078556</t>
  </si>
  <si>
    <t>-504.143530992308 -218.546381257273 309.122577326989</t>
  </si>
  <si>
    <t>-587.432294916189 -272.690832664841 746.212804384524</t>
  </si>
  <si>
    <t>-456.083828054497 -311.519986080468 825.756329510815</t>
  </si>
  <si>
    <t>9763-20170724T104551.053242700.bin</t>
  </si>
  <si>
    <t>-786.589131195794 44.9489539321501 -489.875722552224</t>
  </si>
  <si>
    <t>-688.420748679618 91.6975766235262 -216.436930320333</t>
  </si>
  <si>
    <t>-469.860670888908 188.130280800767 -247.791594311334</t>
  </si>
  <si>
    <t>-681.241234263258 -20.991696560998 321.613391920691</t>
  </si>
  <si>
    <t>-757.557081568603 -17.4323095499494 762.896031849078</t>
  </si>
  <si>
    <t>-616.22496522665 19.81768652957 823.928625621811</t>
  </si>
  <si>
    <t>-502.010848969569 -218.134656787491 308.21517601132</t>
  </si>
  <si>
    <t>-587.003276555777 -273.176470497738 744.941443753416</t>
  </si>
  <si>
    <t>-455.849142767536 -311.083112490156 825.246885623396</t>
  </si>
  <si>
    <t>9763-20170724T104551.086329500.bin</t>
  </si>
  <si>
    <t>-786.749465077168 45.241489554583 -489.881537869624</t>
  </si>
  <si>
    <t>-688.387868777318 91.0936058626794 -216.360411669506</t>
  </si>
  <si>
    <t>-469.647244202911 187.151348264669 -247.606055341159</t>
  </si>
  <si>
    <t>-681.227304956404 -20.8837247277195 321.575386644542</t>
  </si>
  <si>
    <t>-757.573252397193 -17.393411116358 762.862078027888</t>
  </si>
  <si>
    <t>-616.210332265556 19.7108685901405 823.912096981109</t>
  </si>
  <si>
    <t>-500.940924688425 -217.728378440547 307.742253985799</t>
  </si>
  <si>
    <t>-586.74847968378 -272.88280959973 744.263615542487</t>
  </si>
  <si>
    <t>-456.02416720573 -311.300770517947 825.025638088589</t>
  </si>
  <si>
    <t>9763-20170724T104551.153552800.bin</t>
  </si>
  <si>
    <t>-787.268624241193 45.27372864262 -489.770837783066</t>
  </si>
  <si>
    <t>-688.57197338631 89.4323019506046 -216.091785880551</t>
  </si>
  <si>
    <t>-469.413432591075 184.487338298137 -247.475637877965</t>
  </si>
  <si>
    <t>-680.971219990113 -21.086596302694 321.531437704794</t>
  </si>
  <si>
    <t>-757.496883379013 -17.5408103971238 762.802398355645</t>
  </si>
  <si>
    <t>-616.206663909772 19.8107425402479 823.869842779341</t>
  </si>
  <si>
    <t>-498.677860939831 -217.656648139792 306.796016683521</t>
  </si>
  <si>
    <t>-586.25409228069 -273.17246775265 742.941880873895</t>
  </si>
  <si>
    <t>-455.783875950833 -310.672281698524 824.542031943848</t>
  </si>
  <si>
    <t>9763-20170724T104551.183631700.bin</t>
  </si>
  <si>
    <t>-787.854574550562 45.4534779206567 -489.574289731261</t>
  </si>
  <si>
    <t>-689.207815853388 88.2197309651867 -215.656195413981</t>
  </si>
  <si>
    <t>-469.961183791859 182.994092474463 -247.272572007786</t>
  </si>
  <si>
    <t>-680.827748924742 -21.275940686965 321.53898855969</t>
  </si>
  <si>
    <t>-757.475667918953 -17.6216938129965 762.797354520525</t>
  </si>
  <si>
    <t>-616.193934647808 19.7662214106147 823.862065800918</t>
  </si>
  <si>
    <t>-497.664599191596 -217.485929825643 306.345425776184</t>
  </si>
  <si>
    <t>-586.03376880005 -273.345474974686 742.318412694908</t>
  </si>
  <si>
    <t>-455.744350557112 -310.619172023119 824.310069904952</t>
  </si>
  <si>
    <t>9763-20170724T104551.248027100.bin</t>
  </si>
  <si>
    <t>-789.075534584219 45.76510249383 -488.764483075121</t>
  </si>
  <si>
    <t>-691.353365844091 84.6270125843 -213.9348533478</t>
  </si>
  <si>
    <t>-472.029406840575 178.898650929928 -246.503835981409</t>
  </si>
  <si>
    <t>-680.677068849713 -21.7056472069748 321.570971182622</t>
  </si>
  <si>
    <t>-757.520831274804 -17.6671001391626 762.794031323039</t>
  </si>
  <si>
    <t>-616.139237880142 19.3439781152254 823.857287885721</t>
  </si>
  <si>
    <t>-495.917571946122 -217.459065775999 305.571469435758</t>
  </si>
  <si>
    <t>-585.679771311599 -273.793674423545 741.200997249538</t>
  </si>
  <si>
    <t>-455.538590787658 -310.170498099259 823.828427073999</t>
  </si>
  <si>
    <t>9763-20170724T104551.287134100.bin</t>
  </si>
  <si>
    <t>-789.589176434831 46.1888687729327 -488.095024887464</t>
  </si>
  <si>
    <t>-692.490135636323 82.6640546181961 -212.717891204227</t>
  </si>
  <si>
    <t>-473.339369432367 177.180621899369 -245.73984904526</t>
  </si>
  <si>
    <t>-680.399794136461 -21.9995023769061 321.601383992248</t>
  </si>
  <si>
    <t>-757.443124475425 -17.8526471029045 762.782352283959</t>
  </si>
  <si>
    <t>-616.124817841191 19.4000735669415 823.845160928075</t>
  </si>
  <si>
    <t>-495.043255284667 -217.476658650659 305.24218755701</t>
  </si>
  <si>
    <t>-585.555463359421 -273.935434916738 740.712458757348</t>
  </si>
  <si>
    <t>-455.442340273678 -309.858543223173 823.582264877035</t>
  </si>
  <si>
    <t>9763-20170724T104551.350815700.bin</t>
  </si>
  <si>
    <t>-790.654525213151 47.398043835987 -486.296508345043</t>
  </si>
  <si>
    <t>-692.960982770827 80.3141353725821 -210.681231604221</t>
  </si>
  <si>
    <t>-474.568226464105 176.229451085541 -244.676569116667</t>
  </si>
  <si>
    <t>-679.385550249537 -22.3992669727652 321.730811913455</t>
  </si>
  <si>
    <t>-757.352462520187 -18.1272449113476 762.750348424405</t>
  </si>
  <si>
    <t>-616.070537224132 19.2445365930239 823.824446260656</t>
  </si>
  <si>
    <t>-493.501414344352 -216.986015976261 304.73183908484</t>
  </si>
  <si>
    <t>-585.368213592489 -273.825958562979 739.864492479606</t>
  </si>
  <si>
    <t>-455.547937674848 -309.835530238567 823.154969691231</t>
  </si>
  <si>
    <t>9763-20170724T104551.384906000.bin</t>
  </si>
  <si>
    <t>-791.164245793907 48.1723939075839 -485.445876179415</t>
  </si>
  <si>
    <t>-692.463485563769 80.7872970914846 -210.153997676493</t>
  </si>
  <si>
    <t>-474.383164944978 177.102747712261 -245.013717417533</t>
  </si>
  <si>
    <t>-678.919244931529 -22.5794858134036 321.77249402732</t>
  </si>
  <si>
    <t>-757.330200517229 -18.251373239033 762.731028170387</t>
  </si>
  <si>
    <t>-616.052130037585 19.1296045893678 823.808590909008</t>
  </si>
  <si>
    <t>-492.818146992362 -216.759097121473 304.489768132222</t>
  </si>
  <si>
    <t>-585.277875071668 -273.754560269167 739.476623631374</t>
  </si>
  <si>
    <t>-455.600978393198 -309.796397086485 822.97626143518</t>
  </si>
  <si>
    <t>9763-20170724T104551.447938800.bin</t>
  </si>
  <si>
    <t>-791.806588040709 50.1165224341971 -484.469006113478</t>
  </si>
  <si>
    <t>-690.914850447524 83.9327509799007 -210.117876654592</t>
  </si>
  <si>
    <t>-473.384954820446 180.70915469729 -247.076507968975</t>
  </si>
  <si>
    <t>-678.866516125191 -22.4865159566448 321.778767351204</t>
  </si>
  <si>
    <t>-757.294222931176 -18.4552194044848 762.713480201149</t>
  </si>
  <si>
    <t>-616.019962833363 18.9381933743823 823.792191694073</t>
  </si>
  <si>
    <t>-491.216627475587 -216.302941716223 303.807550264509</t>
  </si>
  <si>
    <t>-584.978083366116 -273.976662939206 738.498114707308</t>
  </si>
  <si>
    <t>-455.540853416303 -309.554238412327 822.56682842124</t>
  </si>
  <si>
    <t>9763-20170724T104551.491054400.bin</t>
  </si>
  <si>
    <t>-791.916468527722 51.2701103940879 -484.201926180889</t>
  </si>
  <si>
    <t>-689.585658748137 86.3642800305829 -210.545261709258</t>
  </si>
  <si>
    <t>-472.180613381168 183.020080604438 -248.539646810997</t>
  </si>
  <si>
    <t>-678.947230246883 -22.291815874785 321.74409009343</t>
  </si>
  <si>
    <t>-757.30077191865 -18.4945849899791 762.687530549904</t>
  </si>
  <si>
    <t>-616.015165008239 18.8381898431776 823.777100355864</t>
  </si>
  <si>
    <t>-490.67601520148 -216.0433255742 303.365440013894</t>
  </si>
  <si>
    <t>-584.753688229341 -274.294304257678 737.927549006735</t>
  </si>
  <si>
    <t>-455.488862160883 -309.571494366886 822.387243207964</t>
  </si>
  <si>
    <t>9763-20170724T104551.549791600.bin</t>
  </si>
  <si>
    <t>-791.329143125488 54.131371934584 -484.110859474866</t>
  </si>
  <si>
    <t>-687.180936752282 91.8858703070036 -211.495825824291</t>
  </si>
  <si>
    <t>-469.379261805867 186.970925746357 -251.145593545813</t>
  </si>
  <si>
    <t>-678.681897633873 -21.6231503141378 321.712630416295</t>
  </si>
  <si>
    <t>-757.314288727276 -18.5944197504384 762.64605774157</t>
  </si>
  <si>
    <t>-615.986977922969 18.567880869791 823.743047390965</t>
  </si>
  <si>
    <t>-489.58310067343 -215.259730185571 302.514799312543</t>
  </si>
  <si>
    <t>-584.16619433406 -274.535883796759 736.775785593127</t>
  </si>
  <si>
    <t>-455.331209279684 -309.232496077386 822.127950962706</t>
  </si>
  <si>
    <t>9763-20170724T104551.583883000.bin</t>
  </si>
  <si>
    <t>-790.954975843218 55.6283449412765 -484.196888207823</t>
  </si>
  <si>
    <t>-686.681552067955 94.2817426397053 -211.755768920236</t>
  </si>
  <si>
    <t>-468.553824059324 188.47727270788 -251.735244631969</t>
  </si>
  <si>
    <t>-678.462229473191 -21.1499908385488 321.735861751743</t>
  </si>
  <si>
    <t>-757.33060714454 -18.6307785109041 762.625606936055</t>
  </si>
  <si>
    <t>-615.970364251782 18.3991155368089 823.726892726799</t>
  </si>
  <si>
    <t>-488.933857968054 -214.841882690994 302.134490457633</t>
  </si>
  <si>
    <t>-583.878431619988 -274.61120132068 736.23359163487</t>
  </si>
  <si>
    <t>-455.114468710758 -308.536346692916 822.002054695446</t>
  </si>
  <si>
    <t>9763-20170724T104551.649062200.bin</t>
  </si>
  <si>
    <t>-790.252126762296 58.9049411263356 -484.230571369763</t>
  </si>
  <si>
    <t>-685.64256830699 98.0133813609966 -211.983359676468</t>
  </si>
  <si>
    <t>-466.984182140102 191.135153947207 -251.57750314769</t>
  </si>
  <si>
    <t>-678.079652440496 -19.9164718616976 321.777113274679</t>
  </si>
  <si>
    <t>-757.272340416133 -18.8405564749357 762.582881796911</t>
  </si>
  <si>
    <t>-615.938681476411 18.2708610220432 823.696135804716</t>
  </si>
  <si>
    <t>-487.645147476856 -213.621551453439 301.395369777731</t>
  </si>
  <si>
    <t>-583.380497060748 -274.388300893679 735.208483755915</t>
  </si>
  <si>
    <t>-455.201153864023 -308.510298122805 821.770852683286</t>
  </si>
  <si>
    <t>9763-20170724T104551.687163600.bin</t>
  </si>
  <si>
    <t>-789.842259463182 60.8128578025066 -484.247117845716</t>
  </si>
  <si>
    <t>-685.06881396197 99.7307344470896 -212.035557962314</t>
  </si>
  <si>
    <t>-466.182575798509 192.383116464911 -251.471767302582</t>
  </si>
  <si>
    <t>-677.990133441343 -19.0477729100803 321.789677110202</t>
  </si>
  <si>
    <t>-757.282352041984 -18.8780383000096 762.575914686433</t>
  </si>
  <si>
    <t>-615.931519829823 18.168085906105 823.689167939858</t>
  </si>
  <si>
    <t>-486.975406791954 -212.824053441035 301.040448011051</t>
  </si>
  <si>
    <t>-583.165685030985 -274.072002626671 734.697551917704</t>
  </si>
  <si>
    <t>-455.401280985416 -308.772672568266 821.642331617047</t>
  </si>
  <si>
    <t>9763-20170724T104551.749333900.bin</t>
  </si>
  <si>
    <t>-788.708004138158 64.3798892482387 -484.43699830856</t>
  </si>
  <si>
    <t>-683.69739238619 103.081033514462 -212.285859831003</t>
  </si>
  <si>
    <t>-464.38553002338 194.5149536963 -252.198608814734</t>
  </si>
  <si>
    <t>-677.824036856274 -17.7012066929992 321.789915329487</t>
  </si>
  <si>
    <t>-757.231453367903 -19.1104676985058 762.564400176494</t>
  </si>
  <si>
    <t>-615.945503704394 18.2215612788568 823.653703215271</t>
  </si>
  <si>
    <t>-485.884976390732 -211.300968431416 300.424023449558</t>
  </si>
  <si>
    <t>-582.717960266288 -273.883609967151 733.727433712448</t>
  </si>
  <si>
    <t>-455.385351444843 -308.413133788431 821.371100640979</t>
  </si>
  <si>
    <t>9763-20170724T104551.782422400.bin</t>
  </si>
  <si>
    <t>-788.208588754109 66.1119849487741 -484.726189615762</t>
  </si>
  <si>
    <t>-683.140525449517 105.043821246236 -212.630218810368</t>
  </si>
  <si>
    <t>-463.583315265938 195.759407598273 -252.831760225432</t>
  </si>
  <si>
    <t>-677.753941853967 -16.9155700124179 321.767981458082</t>
  </si>
  <si>
    <t>-757.262651436108 -19.1047270678075 762.531467810246</t>
  </si>
  <si>
    <t>-615.929311564047 18.033058815091 823.629400790366</t>
  </si>
  <si>
    <t>-485.403833189844 -210.611029452608 300.054553264572</t>
  </si>
  <si>
    <t>-582.482514768207 -273.636263771877 733.233897527825</t>
  </si>
  <si>
    <t>-455.389038066932 -308.114649475504 821.244060173948</t>
  </si>
  <si>
    <t>9763-20170724T104551.847287100.bin</t>
  </si>
  <si>
    <t>-787.143712228306 69.2747612310434 -485.328478759072</t>
  </si>
  <si>
    <t>-681.962653229334 108.877201198591 -213.373053479468</t>
  </si>
  <si>
    <t>-461.740508177772 197.518226092534 -254.554079674454</t>
  </si>
  <si>
    <t>-677.351300336836 -15.3919307265487 321.768155035311</t>
  </si>
  <si>
    <t>-757.199055267387 -19.2838955833649 762.466542045069</t>
  </si>
  <si>
    <t>-615.918100605691 18.0174729566095 823.58600568006</t>
  </si>
  <si>
    <t>-484.462402278591 -209.148707634511 299.487948427416</t>
  </si>
  <si>
    <t>-582.094658018782 -273.140854063642 732.376914928839</t>
  </si>
  <si>
    <t>-455.629063753247 -308.277635195773 821.028825517563</t>
  </si>
  <si>
    <t>9763-20170724T104551.887392300.bin</t>
  </si>
  <si>
    <t>-786.611665350282 70.6373600968432 -485.53220502241</t>
  </si>
  <si>
    <t>-681.157192380404 110.767359371718 -213.760002797089</t>
  </si>
  <si>
    <t>-460.591927656176 198.217265512766 -255.645175987793</t>
  </si>
  <si>
    <t>-677.130564976066 -14.7458663429006 321.800690198365</t>
  </si>
  <si>
    <t>-757.205492195409 -19.3180157273237 762.435557906381</t>
  </si>
  <si>
    <t>-615.889807174933 17.8282056039195 823.569424125761</t>
  </si>
  <si>
    <t>-484.041766817558 -208.464670769802 299.322824253413</t>
  </si>
  <si>
    <t>-581.987797134037 -272.911766143624 732.065480214691</t>
  </si>
  <si>
    <t>-455.712260191478 -308.227287143981 820.916991476427</t>
  </si>
  <si>
    <t>9763-20170724T104551.954811000.bin</t>
  </si>
  <si>
    <t>-785.481224655834 73.138401585056 -485.872725162015</t>
  </si>
  <si>
    <t>-678.91653330552 113.489316994924 -214.566601311901</t>
  </si>
  <si>
    <t>-457.618764128431 198.510284793004 -257.574152404536</t>
  </si>
  <si>
    <t>-676.533904588159 -13.6958737875682 321.85152606244</t>
  </si>
  <si>
    <t>-757.144508838255 -19.527330289452 762.379233147088</t>
  </si>
  <si>
    <t>-615.855976791168 17.6993711367863 823.526871200332</t>
  </si>
  <si>
    <t>-483.418953921709 -207.380483781304 298.998342628958</t>
  </si>
  <si>
    <t>-581.85930368514 -272.351565430886 731.54917437785</t>
  </si>
  <si>
    <t>-455.770769750662 -307.66178441247 820.668029419185</t>
  </si>
  <si>
    <t>9763-20170724T104551.983885000.bin</t>
  </si>
  <si>
    <t>-785.01571904686 74.5890326801507 -485.970955210426</t>
  </si>
  <si>
    <t>-677.838444978776 114.80366321386 -214.885974590884</t>
  </si>
  <si>
    <t>-456.172033993929 198.721427165083 -258.16036978597</t>
  </si>
  <si>
    <t>-676.4363369825 -13.0976691263797 321.866135681762</t>
  </si>
  <si>
    <t>-757.277748930146 -19.3788769029393 762.365572527084</t>
  </si>
  <si>
    <t>-615.843124389219 17.2766472873584 823.520520269758</t>
  </si>
  <si>
    <t>-483.221918951597 -206.821055205314 298.83356599419</t>
  </si>
  <si>
    <t>-581.785355055544 -271.975124449536 731.303538299649</t>
  </si>
  <si>
    <t>-455.918186051976 -307.701567359954 820.569366083375</t>
  </si>
  <si>
    <t>9763-20170724T104552.049910500.bin</t>
  </si>
  <si>
    <t>-783.543931345935 77.4391316079505 -486.13997752258</t>
  </si>
  <si>
    <t>-675.500712914215 117.474068435559 -215.372392671444</t>
  </si>
  <si>
    <t>-453.10165605919 199.287774489846 -258.91572458809</t>
  </si>
  <si>
    <t>-676.147066302135 -12.1904764181609 321.882020647336</t>
  </si>
  <si>
    <t>-757.228756664731 -19.5853571002212 762.315958629754</t>
  </si>
  <si>
    <t>-615.830494361162 17.2068228088747 823.472790779233</t>
  </si>
  <si>
    <t>-482.799493603193 -206.047089028553 298.527691560432</t>
  </si>
  <si>
    <t>-581.691518672031 -271.593178366575 730.873281893991</t>
  </si>
  <si>
    <t>-456.159040373211 -307.877195818315 820.385096398892</t>
  </si>
  <si>
    <t>9763-20170724T104552.080993700.bin</t>
  </si>
  <si>
    <t>-782.5097354282 78.6888062517826 -486.202223686633</t>
  </si>
  <si>
    <t>-673.92187907538 118.733855637865 -215.654171624242</t>
  </si>
  <si>
    <t>-451.28679108208 199.830055608993 -259.333508544992</t>
  </si>
  <si>
    <t>-675.780409231564 -11.8901805046344 321.895660944609</t>
  </si>
  <si>
    <t>-757.194867773291 -19.6948721869858 762.288979762803</t>
  </si>
  <si>
    <t>-615.803924079812 17.1208450932336 823.448769025811</t>
  </si>
  <si>
    <t>-482.766901426198 -205.645750201824 298.450410773106</t>
  </si>
  <si>
    <t>-581.676267876528 -271.380234125646 730.709639042864</t>
  </si>
  <si>
    <t>-456.3029450403 -307.974506737396 820.318090124192</t>
  </si>
  <si>
    <t>9763-20170724T104552.152191700.bin</t>
  </si>
  <si>
    <t>-780.975678269743 80.8080777002585 -486.320148200173</t>
  </si>
  <si>
    <t>-670.27280091994 121.721010485559 -216.760697980115</t>
  </si>
  <si>
    <t>-447.432916318675 201.754266031951 -261.347008824054</t>
  </si>
  <si>
    <t>-675.028376028706 -11.3801963642347 321.951990143098</t>
  </si>
  <si>
    <t>-757.137126544783 -19.878830957869 762.242977605909</t>
  </si>
  <si>
    <t>-615.776233422979 17.0361206472123 823.412237959369</t>
  </si>
  <si>
    <t>-482.713684514382 -205.410030390925 298.297889946914</t>
  </si>
  <si>
    <t>-581.665323173615 -271.235079529994 730.471835416572</t>
  </si>
  <si>
    <t>-456.302178583568 -307.624715888185 820.177786159178</t>
  </si>
  <si>
    <t>9763-20170724T104552.187286300.bin</t>
  </si>
  <si>
    <t>-780.276516204721 81.7855117663928 -486.398252181863</t>
  </si>
  <si>
    <t>-668.844057437258 123.238252435341 -217.222146296714</t>
  </si>
  <si>
    <t>-445.979091341211 202.752172365045 -262.605128150395</t>
  </si>
  <si>
    <t>-674.790374527504 -11.1385230323347 321.977116334293</t>
  </si>
  <si>
    <t>-757.160404180311 -19.8843949612665 762.222942199764</t>
  </si>
  <si>
    <t>-615.733639843657 16.7611286006429 823.401838881183</t>
  </si>
  <si>
    <t>-482.804922703469 -205.178607107156 298.248999641937</t>
  </si>
  <si>
    <t>-581.686126319108 -270.978519573672 730.396495511905</t>
  </si>
  <si>
    <t>-456.418950431175 -307.635397238514 820.127666869879</t>
  </si>
  <si>
    <t>9763-20170724T104552.249461200.bin</t>
  </si>
  <si>
    <t>-779.173300412942 83.772746312078 -486.486413688652</t>
  </si>
  <si>
    <t>-666.429516448135 125.710484134937 -217.932323381374</t>
  </si>
  <si>
    <t>-443.796779107254 204.879054215159 -265.02652360316</t>
  </si>
  <si>
    <t>-674.363186131133 -10.8329589577893 321.987718731988</t>
  </si>
  <si>
    <t>-757.106503083026 -20.0499841417541 762.180955579152</t>
  </si>
  <si>
    <t>-615.694868019491 16.6297794752229 823.374705048684</t>
  </si>
  <si>
    <t>-483.298329318149 -204.838125921305 298.122490780522</t>
  </si>
  <si>
    <t>-581.773980202554 -270.321750795332 730.322013955476</t>
  </si>
  <si>
    <t>-456.685713335457 -307.590829586061 820.050655965086</t>
  </si>
  <si>
    <t>9763-20170724T104552.283551500.bin</t>
  </si>
  <si>
    <t>-778.692017886149 84.5394877914762 -486.439843006406</t>
  </si>
  <si>
    <t>-664.883776007461 126.494412565238 -218.337805560448</t>
  </si>
  <si>
    <t>-442.52499443685 205.874396826813 -266.361546954116</t>
  </si>
  <si>
    <t>-674.175410309044 -10.6274086024628 322.000942216612</t>
  </si>
  <si>
    <t>-757.116975030693 -20.0506100551561 762.162811056671</t>
  </si>
  <si>
    <t>-615.649097930737 16.394599752849 823.366588777793</t>
  </si>
  <si>
    <t>-483.47566709941 -204.802016944415 298.12291865612</t>
  </si>
  <si>
    <t>-581.846205998493 -270.157373842263 730.323930699455</t>
  </si>
  <si>
    <t>-456.765377453058 -307.552059415509 820.010644205427</t>
  </si>
  <si>
    <t>9763-20170724T104552.352328400.bin</t>
  </si>
  <si>
    <t>-777.725769173037 85.3264867897115 -486.437592630869</t>
  </si>
  <si>
    <t>-661.347267529213 127.529293535511 -219.480465210654</t>
  </si>
  <si>
    <t>-439.458217337074 207.262999827833 -269.065600785082</t>
  </si>
  <si>
    <t>-674.102759690947 -10.5023506444281 321.976901328114</t>
  </si>
  <si>
    <t>-757.050528630815 -20.1914858255111 762.127006724218</t>
  </si>
  <si>
    <t>-615.648422026684 16.4978900780563 823.336596763314</t>
  </si>
  <si>
    <t>-483.725520032861 -204.856846676704 298.14441159025</t>
  </si>
  <si>
    <t>-581.976329169904 -270.159394252777 730.331688285865</t>
  </si>
  <si>
    <t>-456.880579082902 -307.710770101722 819.932139125804</t>
  </si>
  <si>
    <t>9763-20170724T104552.385408900.bin</t>
  </si>
  <si>
    <t>-777.125729254235 85.2172503781212 -486.529323688023</t>
  </si>
  <si>
    <t>-659.190851551195 127.814075709253 -220.318580542268</t>
  </si>
  <si>
    <t>-437.706809968612 208.266689277713 -270.548931852915</t>
  </si>
  <si>
    <t>-674.236741201564 -10.4507419312909 321.904387501418</t>
  </si>
  <si>
    <t>-757.116126983873 -20.0441611774963 762.08451968662</t>
  </si>
  <si>
    <t>-615.645027650262 16.3394321584085 823.317416495743</t>
  </si>
  <si>
    <t>-483.822200300339 -204.821773167736 298.21712669256</t>
  </si>
  <si>
    <t>-582.06985915438 -270.111030628773 730.37663083412</t>
  </si>
  <si>
    <t>-456.841281779899 -307.443933310903 819.882731311455</t>
  </si>
  <si>
    <t>9763-20170724T104552.449586300.bin</t>
  </si>
  <si>
    <t>-776.421180727749 83.7703381837732 -486.542811909791</t>
  </si>
  <si>
    <t>-655.382477958187 127.34491299667 -221.888170175623</t>
  </si>
  <si>
    <t>-435.240720717449 209.726770404463 -274.81928599952</t>
  </si>
  <si>
    <t>-674.879290952213 -10.6646247876079 321.629723857639</t>
  </si>
  <si>
    <t>-757.148264540158 -19.9024529072003 762.018259585785</t>
  </si>
  <si>
    <t>-615.581098571429 16.0495440404204 823.284056851928</t>
  </si>
  <si>
    <t>-484.06023156672 -204.738020085219 298.565201289748</t>
  </si>
  <si>
    <t>-582.375107432319 -270.143598020478 730.601939581152</t>
  </si>
  <si>
    <t>-456.65358869828 -306.650016576937 819.757250218091</t>
  </si>
  <si>
    <t>9763-20170724T104552.482675200.bin</t>
  </si>
  <si>
    <t>-776.941721683384 82.3862064236807 -486.51233709098</t>
  </si>
  <si>
    <t>-654.758018805208 126.666331558714 -222.50164246539</t>
  </si>
  <si>
    <t>-435.370936212679 210.027503237946 -277.00948678806</t>
  </si>
  <si>
    <t>-675.24320374101 -11.0819049062557 321.409241732825</t>
  </si>
  <si>
    <t>-757.095939073979 -19.9358357317969 761.972695847605</t>
  </si>
  <si>
    <t>-615.533408014744 16.0094096470093 823.253162812285</t>
  </si>
  <si>
    <t>-484.174873408994 -204.581222068048 298.730201757719</t>
  </si>
  <si>
    <t>-582.459071286198 -269.854386517997 730.683546187271</t>
  </si>
  <si>
    <t>-456.851066373329 -306.984730632938 819.741228490666</t>
  </si>
  <si>
    <t>9763-20170724T104552.551541700.bin</t>
  </si>
  <si>
    <t>-779.664088519013 77.5629126224098 -486.170073749414</t>
  </si>
  <si>
    <t>-658.430871061577 123.088943957512 -221.933357149306</t>
  </si>
  <si>
    <t>-439.164812069132 207.785711098441 -274.84591201907</t>
  </si>
  <si>
    <t>-675.501337388136 -12.5231627142043 320.94908202241</t>
  </si>
  <si>
    <t>-757.062237022872 -19.8065760597913 761.799829064378</t>
  </si>
  <si>
    <t>-615.429574862939 15.7679317383097 823.134407286207</t>
  </si>
  <si>
    <t>-484.593075333127 -203.994677781791 299.326067988561</t>
  </si>
  <si>
    <t>-582.726900077961 -269.234731078999 731.143318393302</t>
  </si>
  <si>
    <t>-456.753085136531 -305.964420851411 819.849699576974</t>
  </si>
  <si>
    <t>9763-20170724T104552.584628800.bin</t>
  </si>
  <si>
    <t>-781.551169725471 74.099244025042 -485.788167543076</t>
  </si>
  <si>
    <t>-662.463721783818 119.691121636083 -220.588723232733</t>
  </si>
  <si>
    <t>-442.56732562265 204.954226816228 -269.849579649412</t>
  </si>
  <si>
    <t>-675.739917616332 -13.5945203634185 320.784845156887</t>
  </si>
  <si>
    <t>-756.90683175728 -19.9917995933404 761.702924325017</t>
  </si>
  <si>
    <t>-615.402426147054 16.0567602107014 823.056802623297</t>
  </si>
  <si>
    <t>-484.878162073023 -204.368411692749 299.634722642435</t>
  </si>
  <si>
    <t>-583.030304295039 -269.117162527008 731.583494920526</t>
  </si>
  <si>
    <t>-456.786694183026 -305.709935488277 819.962245503848</t>
  </si>
  <si>
    <t>9763-20170724T104552.651724800.bin</t>
  </si>
  <si>
    <t>-784.42279951743 68.5679085001902 -484.730758732493</t>
  </si>
  <si>
    <t>-670.295775493714 109.357763463628 -216.584538544652</t>
  </si>
  <si>
    <t>-450.202657273917 197.272813956987 -259.953346387829</t>
  </si>
  <si>
    <t>-676.600153814343 -15.7903992786089 320.535383263473</t>
  </si>
  <si>
    <t>-756.75312229231 -20.1003606354411 761.559504308988</t>
  </si>
  <si>
    <t>-615.375229087208 16.3539095972144 822.965257304272</t>
  </si>
  <si>
    <t>-484.813107857465 -205.852780432248 300.065530608141</t>
  </si>
  <si>
    <t>-583.558072489254 -268.924763046727 732.264699952523</t>
  </si>
  <si>
    <t>-456.974040465774 -305.729100693807 820.066886276607</t>
  </si>
  <si>
    <t>9763-20170724T104552.685816200.bin</t>
  </si>
  <si>
    <t>-785.817161428719 65.7317062127545 -484.061761285685</t>
  </si>
  <si>
    <t>-673.158879732507 102.934882755446 -214.77514190307</t>
  </si>
  <si>
    <t>-453.114310845216 191.783618556923 -256.454999130677</t>
  </si>
  <si>
    <t>-677.046552477287 -16.8931311773276 320.455842681248</t>
  </si>
  <si>
    <t>-756.72328615221 -20.0973863088352 761.52494969446</t>
  </si>
  <si>
    <t>-615.36974287442 16.4310347418991 822.942543736933</t>
  </si>
  <si>
    <t>-484.568064727643 -206.869812311643 300.238249160485</t>
  </si>
  <si>
    <t>-583.811124736453 -269.253399561368 732.513166991219</t>
  </si>
  <si>
    <t>-456.864777439463 -305.427793644838 820.053652887507</t>
  </si>
  <si>
    <t>9763-20170724T104552.748933300.bin</t>
  </si>
  <si>
    <t>-788.24936381703 59.6213588931569 -482.993964992189</t>
  </si>
  <si>
    <t>-677.93846169598 91.5728438695483 -212.066375593772</t>
  </si>
  <si>
    <t>-457.70646103504 181.132695371623 -251.152777269085</t>
  </si>
  <si>
    <t>-677.834040164476 -19.6521378118871 320.280509261841</t>
  </si>
  <si>
    <t>-756.545914859749 -20.3769266216364 761.496687889953</t>
  </si>
  <si>
    <t>-615.389737533598 16.9297476623151 822.900696153416</t>
  </si>
  <si>
    <t>-484.283975614669 -209.206093968099 300.493491778338</t>
  </si>
  <si>
    <t>-584.232954759442 -270.062900805245 732.922001015837</t>
  </si>
  <si>
    <t>-456.579034833988 -304.815548320585 820.008289183001</t>
  </si>
  <si>
    <t>9763-20170724T104552.781020800.bin</t>
  </si>
  <si>
    <t>-789.335727273363 56.3477707873697 -482.82831641559</t>
  </si>
  <si>
    <t>-680.73044039968 86.1666724349288 -210.969965036059</t>
  </si>
  <si>
    <t>-460.273416062168 175.762270729662 -248.682011535407</t>
  </si>
  <si>
    <t>-678.182099555996 -21.1512703214034 320.168233685737</t>
  </si>
  <si>
    <t>-756.467173867028 -20.5057661209146 761.458105951266</t>
  </si>
  <si>
    <t>-615.375402448546 17.0403128502228 822.864134926105</t>
  </si>
  <si>
    <t>-484.805279224784 -210.57386063195 300.618406317411</t>
  </si>
  <si>
    <t>-584.417435532501 -270.190747552784 733.231553543232</t>
  </si>
  <si>
    <t>-456.48364224075 -304.513075073176 820.077558549059</t>
  </si>
  <si>
    <t>9763-20170724T104552.852857400.bin</t>
  </si>
  <si>
    <t>-791.459931523842 49.2223177725239 -482.567803120691</t>
  </si>
  <si>
    <t>-687.870036008686 75.5608975326468 -208.402460418466</t>
  </si>
  <si>
    <t>-465.264369203253 161.980045831396 -240.485354926265</t>
  </si>
  <si>
    <t>-678.456055634055 -24.26747970509 320.064132599279</t>
  </si>
  <si>
    <t>-756.355263489163 -20.8117420502167 761.388677103108</t>
  </si>
  <si>
    <t>-615.394115181947 17.2575865277388 822.772436316894</t>
  </si>
  <si>
    <t>-485.557140972434 -213.503970835784 301.19076030946</t>
  </si>
  <si>
    <t>-584.934159779803 -269.940345381022 734.205672926648</t>
  </si>
  <si>
    <t>-456.548500656245 -304.142566294414 820.429990624098</t>
  </si>
  <si>
    <t>9763-20170724T104552.885945200.bin</t>
  </si>
  <si>
    <t>-792.18464439629 45.8093499127513 -482.34871001023</t>
  </si>
  <si>
    <t>-692.390688967177 71.1294043932999 -206.683458906214</t>
  </si>
  <si>
    <t>-468.078294971184 154.119165267545 -235.795384405237</t>
  </si>
  <si>
    <t>-678.293007907034 -25.6708828827284 320.102225606808</t>
  </si>
  <si>
    <t>-756.289452028585 -21.004350003064 761.369048682507</t>
  </si>
  <si>
    <t>-615.414644431588 17.4199491407244 822.730004241477</t>
  </si>
  <si>
    <t>-485.379925566425 -214.522997123248 301.581852816987</t>
  </si>
  <si>
    <t>-585.163793105208 -269.930132995889 734.668893120153</t>
  </si>
  <si>
    <t>-456.661754204083 -304.361549015372 820.628208816092</t>
  </si>
  <si>
    <t>9763-20170724T104552.951120900.bin</t>
  </si>
  <si>
    <t>-793.369770723295 39.5055834399852 -481.628519646606</t>
  </si>
  <si>
    <t>-697.992774928518 60.7070693415085 -204.058817845449</t>
  </si>
  <si>
    <t>-470.606800742776 136.644009880133 -228.143579176014</t>
  </si>
  <si>
    <t>-677.570014617788 -28.2379922596999 320.26724945487</t>
  </si>
  <si>
    <t>-756.212306472622 -21.2844370201453 761.346745983174</t>
  </si>
  <si>
    <t>-615.468060328141 17.6728870048785 822.671054248651</t>
  </si>
  <si>
    <t>-484.296994829048 -216.364217610853 302.414599969343</t>
  </si>
  <si>
    <t>-585.414752758952 -270.490973035239 735.426739102596</t>
  </si>
  <si>
    <t>-456.304428558897 -303.593121398164 820.995810987781</t>
  </si>
  <si>
    <t>9763-20170724T104552.984208700.bin</t>
  </si>
  <si>
    <t>-793.991183856803 36.1593641793154 -481.154541878377</t>
  </si>
  <si>
    <t>-698.23809138407 56.3408987933738 -203.638205123341</t>
  </si>
  <si>
    <t>-469.693763601278 129.170527115916 -226.314025262534</t>
  </si>
  <si>
    <t>-677.249530716199 -29.5644208820411 320.326308162197</t>
  </si>
  <si>
    <t>-756.150571786778 -21.452896259492 761.322768331031</t>
  </si>
  <si>
    <t>-615.485014772533 17.8042365663659 822.636470682411</t>
  </si>
  <si>
    <t>-483.630164157538 -217.249580239057 302.789536330576</t>
  </si>
  <si>
    <t>-585.454773653359 -270.840512907385 735.730584985781</t>
  </si>
  <si>
    <t>-456.158919779815 -303.402577480608 821.226724108795</t>
  </si>
  <si>
    <t>9763-20170724T104553.014794700.bin</t>
  </si>
  <si>
    <t>-794.298257431483 32.9946483430151 -480.733488428696</t>
  </si>
  <si>
    <t>-696.503854482064 52.3803514303183 -203.873237949987</t>
  </si>
  <si>
    <t>-467.160438918536 122.937231161613 -225.649001732267</t>
  </si>
  <si>
    <t>-676.895723599442 -30.7929554357077 320.359270239662</t>
  </si>
  <si>
    <t>-756.109002310231 -21.5752629542746 761.295514095967</t>
  </si>
  <si>
    <t>-615.563322024794 18.129786659553 822.59579072705</t>
  </si>
  <si>
    <t>-482.83639832069 -217.733345223591 303.206681072999</t>
  </si>
  <si>
    <t>-585.440765443677 -271.055351958831 735.976831260269</t>
  </si>
  <si>
    <t>-456.053212389916 -303.2112018849 821.488012347618</t>
  </si>
  <si>
    <t>9763-20170724T104553.089468800.bin</t>
  </si>
  <si>
    <t>-793.859327725108 27.1208453700449 -480.615207719169</t>
  </si>
  <si>
    <t>-690.337502282314 48.6842942151743 -206.007379286252</t>
  </si>
  <si>
    <t>-459.495391942404 115.31762758867 -223.973738891624</t>
  </si>
  <si>
    <t>-677.010870073929 -32.9428464540642 320.23794265086</t>
  </si>
  <si>
    <t>-756.040111110547 -21.7582537858329 761.223333750006</t>
  </si>
  <si>
    <t>-615.667745314286 18.5291077104921 822.540736673468</t>
  </si>
  <si>
    <t>-481.226600443191 -218.526540411879 304.054874704344</t>
  </si>
  <si>
    <t>-585.213066628499 -272.413796841901 736.373017717054</t>
  </si>
  <si>
    <t>-455.390335787763 -302.284196451066 822.053362067687</t>
  </si>
  <si>
    <t>9763-20170724T104553.148634800.bin</t>
  </si>
  <si>
    <t>-792.468407063543 22.6282779300911 -481.437872771809</t>
  </si>
  <si>
    <t>-684.989070748897 46.039761482619 -208.506864492922</t>
  </si>
  <si>
    <t>-453.717443621448 112.748244659023 -219.198662029977</t>
  </si>
  <si>
    <t>-677.151439011423 -34.9506080254394 320.081900047655</t>
  </si>
  <si>
    <t>-755.9857047108 -21.8972930071564 761.13490157678</t>
  </si>
  <si>
    <t>-615.757575090522 18.8119715779906 822.503593760992</t>
  </si>
  <si>
    <t>-480.269760661114 -219.20732563465 304.655685578229</t>
  </si>
  <si>
    <t>-584.922961353197 -273.482470133148 736.728655923951</t>
  </si>
  <si>
    <t>-454.84259278438 -301.411338365791 822.672627526293</t>
  </si>
  <si>
    <t>9763-20170724T104553.197766100.bin</t>
  </si>
  <si>
    <t>-792.040766842488 20.553734028598 -481.764805065886</t>
  </si>
  <si>
    <t>-683.122845645114 44.6553571353586 -209.46490056909</t>
  </si>
  <si>
    <t>-452.041920367834 112.357771630399 -217.763175577204</t>
  </si>
  <si>
    <t>-676.928741825457 -35.7801034714962 320.053071038685</t>
  </si>
  <si>
    <t>-755.846076463136 -22.0936681004189 761.068609653543</t>
  </si>
  <si>
    <t>-615.738652415284 18.9456985258128 822.493096930405</t>
  </si>
  <si>
    <t>-480.00313540534 -219.647047972295 305.09060237541</t>
  </si>
  <si>
    <t>-584.93944090877 -273.699966537669 737.082528541069</t>
  </si>
  <si>
    <t>-454.765392117195 -301.35443415924 822.973363687056</t>
  </si>
  <si>
    <t>9763-20170724T104553.252933400.bin</t>
  </si>
  <si>
    <t>-790.775085573672 16.0404649939837 -482.707457716445</t>
  </si>
  <si>
    <t>-681.766320414985 45.3192204883953 -210.952039976573</t>
  </si>
  <si>
    <t>-451.084856853323 114.609376869856 -216.933515174423</t>
  </si>
  <si>
    <t>-676.320305350396 -37.1715280065475 320.081784235361</t>
  </si>
  <si>
    <t>-755.537145457781 -22.5491428950961 760.916245716174</t>
  </si>
  <si>
    <t>-615.671345922182 19.1714291332096 822.432473231545</t>
  </si>
  <si>
    <t>-480.644100756307 -221.179427392737 306.189497723988</t>
  </si>
  <si>
    <t>-585.546664932822 -273.597329791557 738.421034107153</t>
  </si>
  <si>
    <t>-454.674579018638 -300.577099526463 823.461539881072</t>
  </si>
  <si>
    <t>9763-20170724T104553.285017000.bin</t>
  </si>
  <si>
    <t>-789.695680469642 14.265397885353 -483.572260077605</t>
  </si>
  <si>
    <t>-681.529540854767 46.4166622908715 -211.804740933684</t>
  </si>
  <si>
    <t>-451.17280454468 116.655207220593 -219.097784782709</t>
  </si>
  <si>
    <t>-676.256162454809 -37.4951051864471 320.073696776289</t>
  </si>
  <si>
    <t>-755.490586919105 -22.6263151257244 760.853976581778</t>
  </si>
  <si>
    <t>-615.65944753775 19.1864179417532 822.386400534238</t>
  </si>
  <si>
    <t>-481.732602927931 -222.005970820358 306.701552352956</t>
  </si>
  <si>
    <t>-586.030681457658 -273.177517424665 739.259324356552</t>
  </si>
  <si>
    <t>-454.893357606698 -300.726933251434 823.706452695213</t>
  </si>
  <si>
    <t>9763-20170724T104553.355204400.bin</t>
  </si>
  <si>
    <t>-787.804646117775 12.3592217703479 -485.702116517838</t>
  </si>
  <si>
    <t>-681.759207572079 48.3277814648716 -213.577487635066</t>
  </si>
  <si>
    <t>-452.621416250961 121.639340816241 -226.699476130961</t>
  </si>
  <si>
    <t>-676.614855567828 -37.4813506417536 319.999940178906</t>
  </si>
  <si>
    <t>-755.603996080083 -22.6032721098693 760.836254780327</t>
  </si>
  <si>
    <t>-615.76653892328 19.2796020890873 822.306699361842</t>
  </si>
  <si>
    <t>-483.649066374273 -223.153900491221 307.628228983305</t>
  </si>
  <si>
    <t>-586.730876662867 -273.076818665323 740.680367994655</t>
  </si>
  <si>
    <t>-454.999167743601 -300.702050344602 824.172233020595</t>
  </si>
  <si>
    <t>9763-20170724T104553.395314200.bin</t>
  </si>
  <si>
    <t>-786.996324429569 11.6434981620321 -486.764135580444</t>
  </si>
  <si>
    <t>-681.614135288402 49.549909009558 -214.644944625294</t>
  </si>
  <si>
    <t>-453.276407410091 124.900940033757 -229.973974953323</t>
  </si>
  <si>
    <t>-677.052456802551 -37.352010277107 319.962101473281</t>
  </si>
  <si>
    <t>-755.709508496162 -22.5626269885513 760.864004182545</t>
  </si>
  <si>
    <t>-615.826345081295 19.225336073953 822.294709519057</t>
  </si>
  <si>
    <t>-484.475153909717 -223.077669579062 308.067106252022</t>
  </si>
  <si>
    <t>-586.949752421425 -272.674655934538 741.22854049799</t>
  </si>
  <si>
    <t>-455.24065000874 -301.209335485967 824.449889301103</t>
  </si>
  <si>
    <t>9763-20170724T104553.429070600.bin</t>
  </si>
  <si>
    <t>-785.928322692121 10.6886168861122 -487.775386069074</t>
  </si>
  <si>
    <t>-681.23435258545 50.2730394284488 -215.629370148522</t>
  </si>
  <si>
    <t>-453.930703136465 128.259122749652 -233.01003682791</t>
  </si>
  <si>
    <t>-677.545684585403 -37.498493731963 319.900195414771</t>
  </si>
  <si>
    <t>-755.790621851149 -22.5425654677647 760.863424026792</t>
  </si>
  <si>
    <t>-615.871704404327 19.1491947112991 822.278285463089</t>
  </si>
  <si>
    <t>-485.263537813256 -223.082256091789 308.486601284001</t>
  </si>
  <si>
    <t>-587.090537501771 -272.643550170869 741.741165046696</t>
  </si>
  <si>
    <t>-455.167494748255 -300.893219269743 824.720472283191</t>
  </si>
  <si>
    <t>9763-20170724T104553.481209700.bin</t>
  </si>
  <si>
    <t>-783.739952625811 8.46622329725733 -489.168472216007</t>
  </si>
  <si>
    <t>-681.136505822393 50.5284402692375 -216.598268334121</t>
  </si>
  <si>
    <t>-455.086693726943 131.57495097893 -236.189302127968</t>
  </si>
  <si>
    <t>-677.936131945273 -37.9226265899349 319.868966748929</t>
  </si>
  <si>
    <t>-755.797319101225 -22.6074545452539 760.842302618319</t>
  </si>
  <si>
    <t>-615.87452848715 19.0482353092775 822.272987191427</t>
  </si>
  <si>
    <t>-485.578993230467 -223.225305414845 309.261632851984</t>
  </si>
  <si>
    <t>-587.350568356305 -272.396887682195 742.659572654941</t>
  </si>
  <si>
    <t>-455.253807728854 -300.99110041214 825.243671973666</t>
  </si>
  <si>
    <t>9763-20170724T104553.550411500.bin</t>
  </si>
  <si>
    <t>-782.9009153731 7.03586347516944 -489.459405690556</t>
  </si>
  <si>
    <t>-682.016923247192 50.0126923974749 -216.39045798257</t>
  </si>
  <si>
    <t>-457.461609284421 134.334705612658 -239.096750438123</t>
  </si>
  <si>
    <t>-677.701049523404 -38.1024101372911 319.975287614211</t>
  </si>
  <si>
    <t>-755.778497480229 -22.679599098248 760.828431323688</t>
  </si>
  <si>
    <t>-615.87384679719 18.9781553527009 822.298759138858</t>
  </si>
  <si>
    <t>-485.543469658774 -223.10131024987 309.993506057313</t>
  </si>
  <si>
    <t>-587.625284416507 -272.218242289332 743.42611395197</t>
  </si>
  <si>
    <t>-455.300983318323 -300.916831895428 825.608687740604</t>
  </si>
  <si>
    <t>9763-20170724T104553.583499400.bin</t>
  </si>
  <si>
    <t>-782.97475681386 6.65544574929163 -489.440574325171</t>
  </si>
  <si>
    <t>-682.571148971969 50.0874356845388 -216.266741183054</t>
  </si>
  <si>
    <t>-458.7788127549 136.084783491101 -240.190389791509</t>
  </si>
  <si>
    <t>-677.703351007315 -38.0426789699372 320.032434639274</t>
  </si>
  <si>
    <t>-755.825653992137 -22.6435035805673 760.839888769292</t>
  </si>
  <si>
    <t>-615.883423297132 18.8814016132278 822.314926210608</t>
  </si>
  <si>
    <t>-485.540729691372 -223.154132373547 310.246454098686</t>
  </si>
  <si>
    <t>-587.709434193024 -272.354938386122 743.720357126217</t>
  </si>
  <si>
    <t>-455.245290456319 -300.866270473087 825.742686274212</t>
  </si>
  <si>
    <t>9763-20170724T104553.650249500.bin</t>
  </si>
  <si>
    <t>-782.684176539977 6.67392091786201 -489.349768578134</t>
  </si>
  <si>
    <t>-682.201870731338 52.6693976836343 -216.624914548527</t>
  </si>
  <si>
    <t>-459.190560648151 139.974781422113 -242.980210752676</t>
  </si>
  <si>
    <t>-677.717651336805 -37.7165590643974 320.140067673305</t>
  </si>
  <si>
    <t>-755.869623490449 -22.7138240876131 760.895939384672</t>
  </si>
  <si>
    <t>-615.915995620791 18.8045804265919 822.349109302168</t>
  </si>
  <si>
    <t>-485.341496507911 -222.782758712447 310.686100978839</t>
  </si>
  <si>
    <t>-587.764337053879 -272.375354730768 744.083132032001</t>
  </si>
  <si>
    <t>-455.135132481908 -300.566307805018 825.949355700766</t>
  </si>
  <si>
    <t>9763-20170724T104553.684340900.bin</t>
  </si>
  <si>
    <t>-782.169877962887 6.80462241744135 -489.38534753442</t>
  </si>
  <si>
    <t>-680.990952142212 54.8038619466492 -217.263895455434</t>
  </si>
  <si>
    <t>-458.450798231753 142.875808343004 -245.014306993019</t>
  </si>
  <si>
    <t>-677.708025901735 -37.5993758302286 320.174013707679</t>
  </si>
  <si>
    <t>-755.901736853528 -22.753683663108 760.918973361526</t>
  </si>
  <si>
    <t>-615.959627212415 18.8367995032493 822.349835904907</t>
  </si>
  <si>
    <t>-485.249426757571 -222.417726031797 310.853945427219</t>
  </si>
  <si>
    <t>-587.758108240655 -272.233043604578 744.220521310112</t>
  </si>
  <si>
    <t>-455.141243893373 -300.535369139415 826.068217414184</t>
  </si>
  <si>
    <t>9763-20170724T104553.751383300.bin</t>
  </si>
  <si>
    <t>-780.817616094765 7.76496971618508 -489.659352562552</t>
  </si>
  <si>
    <t>-677.986293493058 60.1215547214931 -218.964509659555</t>
  </si>
  <si>
    <t>-456.28576549196 149.424367691174 -249.37465931786</t>
  </si>
  <si>
    <t>-677.571848302002 -36.9449719384495 320.247359373772</t>
  </si>
  <si>
    <t>-756.026522331503 -22.7160130824814 760.979381018868</t>
  </si>
  <si>
    <t>-616.028096841818 18.7397316191723 822.373005400039</t>
  </si>
  <si>
    <t>-484.555035687489 -221.691084918019 310.986722916061</t>
  </si>
  <si>
    <t>-587.639444900039 -271.994987581523 744.226950993785</t>
  </si>
  <si>
    <t>-455.12164009342 -300.293858791518 826.236235393397</t>
  </si>
  <si>
    <t>9763-20170724T104553.786475000.bin</t>
  </si>
  <si>
    <t>-780.496096931068 8.49335340953553 -489.731987366615</t>
  </si>
  <si>
    <t>-677.03026941443 62.5254174475619 -219.608735763188</t>
  </si>
  <si>
    <t>-455.876277201412 152.769311312246 -251.197411629737</t>
  </si>
  <si>
    <t>-677.430323392865 -36.4150492865524 320.32832211862</t>
  </si>
  <si>
    <t>-756.090500502318 -22.6865659657985 761.015177157083</t>
  </si>
  <si>
    <t>-616.048535902957 18.6413895476567 822.395684596602</t>
  </si>
  <si>
    <t>-484.045808003874 -221.347100048872 311.046608434816</t>
  </si>
  <si>
    <t>-587.542451722934 -271.999594736987 744.156703734775</t>
  </si>
  <si>
    <t>-455.164761581431 -300.592388435451 826.290101416677</t>
  </si>
  <si>
    <t>9763-20170724T104553.851652500.bin</t>
  </si>
  <si>
    <t>-780.195837619598 9.99751156072784 -489.683775506555</t>
  </si>
  <si>
    <t>-675.858197914017 67.5644800214411 -220.628095780283</t>
  </si>
  <si>
    <t>-455.234891438542 158.813798085947 -253.028557538365</t>
  </si>
  <si>
    <t>-676.939653716304 -35.4107920056238 320.526991106482</t>
  </si>
  <si>
    <t>-756.133714072854 -22.7763484128568 761.084681124487</t>
  </si>
  <si>
    <t>-616.09184028952 18.5922023235235 822.437803860781</t>
  </si>
  <si>
    <t>-483.297817092532 -220.622031037849 311.032277992819</t>
  </si>
  <si>
    <t>-587.331002740473 -271.855230960697 743.941481137927</t>
  </si>
  <si>
    <t>-455.097896584677 -300.386446716195 826.328887610638</t>
  </si>
  <si>
    <t>9763-20170724T104553.886746000.bin</t>
  </si>
  <si>
    <t>-780.053883319004 10.9471197859887 -489.556747702558</t>
  </si>
  <si>
    <t>-675.303700159093 69.6051573075567 -220.897421481517</t>
  </si>
  <si>
    <t>-455.316188059472 162.127745615896 -254.002083320102</t>
  </si>
  <si>
    <t>-676.746516668739 -35.0056467373038 320.623552772745</t>
  </si>
  <si>
    <t>-756.151933064849 -22.8439866621654 761.120721485347</t>
  </si>
  <si>
    <t>-616.140649859364 18.6566684369095 822.454359448538</t>
  </si>
  <si>
    <t>-482.902409210464 -220.158076788418 311.062605559979</t>
  </si>
  <si>
    <t>-587.236407569242 -271.92287365558 743.844426479406</t>
  </si>
  <si>
    <t>-454.989852066187 -300.135883734256 826.319656013762</t>
  </si>
  <si>
    <t>9763-20170724T104553.947925100.bin</t>
  </si>
  <si>
    <t>-779.498895604563 12.5725000283519 -489.374756041811</t>
  </si>
  <si>
    <t>-673.100909826395 73.3031526281372 -221.825735104028</t>
  </si>
  <si>
    <t>-453.559593763213 166.452008677007 -256.115618109794</t>
  </si>
  <si>
    <t>-676.549918609812 -34.1437324913074 320.698457365313</t>
  </si>
  <si>
    <t>-756.191938451464 -22.9458803053783 761.182054875136</t>
  </si>
  <si>
    <t>-616.166802707816 18.5795690550797 822.467600039991</t>
  </si>
  <si>
    <t>-482.041223520742 -218.613149090288 311.098408124625</t>
  </si>
  <si>
    <t>-587.099225589208 -271.389226044533 743.60055506821</t>
  </si>
  <si>
    <t>-455.12299008993 -300.271992592666 826.276847450789</t>
  </si>
  <si>
    <t>9763-20170724T104553.982017200.bin</t>
  </si>
  <si>
    <t>-779.151987784152 13.398577650913 -489.506866246034</t>
  </si>
  <si>
    <t>-672.409297716679 75.0316258845298 -222.301648837795</t>
  </si>
  <si>
    <t>-453.085255223663 168.201185897981 -257.900580639933</t>
  </si>
  <si>
    <t>-676.564608892755 -33.7141476113866 320.68481813041</t>
  </si>
  <si>
    <t>-756.26323504182 -22.9212605721841 761.204967928415</t>
  </si>
  <si>
    <t>-616.214336689174 18.5592952258157 822.466338669786</t>
  </si>
  <si>
    <t>-481.713046119536 -217.867059749559 311.028162960279</t>
  </si>
  <si>
    <t>-586.982310537006 -271.376606595318 743.416249941247</t>
  </si>
  <si>
    <t>-455.12426252665 -300.360198313788 826.245548480854</t>
  </si>
  <si>
    <t>9763-20170724T104554.048226700.bin</t>
  </si>
  <si>
    <t>-778.76985092105 15.3387715085337 -490.156618837008</t>
  </si>
  <si>
    <t>-671.559332275148 78.5930011700102 -223.518286742683</t>
  </si>
  <si>
    <t>-451.699299378926 170.203840355252 -259.848087878764</t>
  </si>
  <si>
    <t>-676.649190165307 -32.7397461618364 320.672600091534</t>
  </si>
  <si>
    <t>-756.34306341975 -22.9750504270171 761.240936832462</t>
  </si>
  <si>
    <t>-616.260620068307 18.4339456802925 822.473996059702</t>
  </si>
  <si>
    <t>-481.176673865345 -216.84892833176 310.691208986186</t>
  </si>
  <si>
    <t>-586.657223886319 -271.511122468739 742.932439185674</t>
  </si>
  <si>
    <t>-454.866676067893 -299.650685339506 826.159398316475</t>
  </si>
  <si>
    <t>9763-20170724T104554.083320200.bin</t>
  </si>
  <si>
    <t>-778.326015268615 16.6430054988393 -490.410819487507</t>
  </si>
  <si>
    <t>-671.035134122541 80.4969849456249 -223.947794731502</t>
  </si>
  <si>
    <t>-450.742116111849 171.124808171726 -260.120888649568</t>
  </si>
  <si>
    <t>-676.627144133352 -32.1235950544328 320.713602379003</t>
  </si>
  <si>
    <t>-756.345896611428 -23.0654517430826 761.271932390236</t>
  </si>
  <si>
    <t>-616.296727484355 18.4822146682222 822.487223409806</t>
  </si>
  <si>
    <t>-480.885258797247 -216.339551750354 310.558505990366</t>
  </si>
  <si>
    <t>-586.50320792116 -271.577409904268 742.672965815552</t>
  </si>
  <si>
    <t>-454.785734539571 -299.472318954803 826.097619814424</t>
  </si>
  <si>
    <t>9763-20170724T104554.149504000.bin</t>
  </si>
  <si>
    <t>-776.914109849237 19.8354863990076 -490.841588467232</t>
  </si>
  <si>
    <t>-668.751013445305 85.3268272408864 -225.129561735701</t>
  </si>
  <si>
    <t>-447.42971864477 173.603729573097 -260.83669997044</t>
  </si>
  <si>
    <t>-676.216291843662 -30.8610964927404 320.855240797026</t>
  </si>
  <si>
    <t>-756.354505389329 -23.2781194461072 761.351657580667</t>
  </si>
  <si>
    <t>-616.311447137382 18.3474607243479 822.528090283095</t>
  </si>
  <si>
    <t>-480.654217443979 -215.467882859178 310.344110105936</t>
  </si>
  <si>
    <t>-586.296924945342 -271.410014768176 742.298365616061</t>
  </si>
  <si>
    <t>-454.807992434514 -299.544016074604 826.002822915974</t>
  </si>
  <si>
    <t>9763-20170724T104554.182592900.bin</t>
  </si>
  <si>
    <t>-775.996021611195 21.6929584811967 -491.142971804067</t>
  </si>
  <si>
    <t>-667.372259901869 87.4219662523979 -225.677779348411</t>
  </si>
  <si>
    <t>-445.688920309968 174.959594524329 -260.955674574005</t>
  </si>
  <si>
    <t>-676.053418807604 -30.1201389177938 320.888519800787</t>
  </si>
  <si>
    <t>-756.43421282369 -23.2112498702477 761.358285565306</t>
  </si>
  <si>
    <t>-616.317936866503 18.1739648552521 822.53015657124</t>
  </si>
  <si>
    <t>-480.679280237534 -214.925680152321 310.240480171596</t>
  </si>
  <si>
    <t>-586.247110385256 -271.052018482237 742.151600045874</t>
  </si>
  <si>
    <t>-454.908784923415 -299.616949307118 825.946469649287</t>
  </si>
  <si>
    <t>9763-20170724T104554.250307400.bin</t>
  </si>
  <si>
    <t>-773.638806148933 25.8813036926831 -491.756685737713</t>
  </si>
  <si>
    <t>-664.116238911639 91.5595753255852 -226.648251432489</t>
  </si>
  <si>
    <t>-441.7809885016 177.689359663916 -261.282514325585</t>
  </si>
  <si>
    <t>-675.846993411552 -28.7175960239776 320.94963870101</t>
  </si>
  <si>
    <t>-756.553089466047 -23.1588768174377 761.395722863464</t>
  </si>
  <si>
    <t>-616.327824252965 17.8766120769658 822.553371650772</t>
  </si>
  <si>
    <t>-481.057326152789 -214.267667868515 309.938832476888</t>
  </si>
  <si>
    <t>-586.217418616657 -270.702183279261 741.920072580897</t>
  </si>
  <si>
    <t>-455.084209505457 -299.898085962128 825.818660254176</t>
  </si>
  <si>
    <t>9763-20170724T104554.284397100.bin</t>
  </si>
  <si>
    <t>-772.282385538265 28.1168455869038 -491.972529788798</t>
  </si>
  <si>
    <t>-662.272131684559 93.8570243105753 -227.081680859783</t>
  </si>
  <si>
    <t>-439.613519626555 179.291891162647 -261.358396603279</t>
  </si>
  <si>
    <t>-675.652098393192 -28.01541221565 321.014145888381</t>
  </si>
  <si>
    <t>-756.588543776261 -23.1690378425003 761.421982007994</t>
  </si>
  <si>
    <t>-616.305710576125 17.6782442738415 822.573540816732</t>
  </si>
  <si>
    <t>-481.040709480083 -213.837207067757 309.829937333203</t>
  </si>
  <si>
    <t>-586.207527118619 -270.376852030728 741.773032914996</t>
  </si>
  <si>
    <t>-455.23371609986 -300.1214998059 825.727842139742</t>
  </si>
  <si>
    <t>9763-20170724T104554.351655300.bin</t>
  </si>
  <si>
    <t>-769.624161762265 32.4196357681058 -492.376574938483</t>
  </si>
  <si>
    <t>-658.558306255221 98.2499214348645 -227.948901860592</t>
  </si>
  <si>
    <t>-435.219624633499 182.321553659673 -261.155324532864</t>
  </si>
  <si>
    <t>-674.950468329311 -26.5488841207732 321.170333020418</t>
  </si>
  <si>
    <t>-756.699958021684 -23.1082884836596 761.45320391659</t>
  </si>
  <si>
    <t>-616.308521346075 17.3721612140914 822.599663640393</t>
  </si>
  <si>
    <t>-481.204793083423 -212.944903420353 309.59915433288</t>
  </si>
  <si>
    <t>-586.157820067988 -269.646778801512 741.485209321441</t>
  </si>
  <si>
    <t>-455.520298561013 -300.460586513017 825.578276074825</t>
  </si>
  <si>
    <t>9763-20170724T104554.387751700.bin</t>
  </si>
  <si>
    <t>-768.221875291148 34.4465360020827 -492.545431760454</t>
  </si>
  <si>
    <t>-656.7333789916 100.090022256683 -228.24929250467</t>
  </si>
  <si>
    <t>-433.213159975678 183.708573894441 -261.378300056921</t>
  </si>
  <si>
    <t>-674.569122113288 -25.8128553052063 321.237701036095</t>
  </si>
  <si>
    <t>-756.726614597131 -23.1275102768534 761.470465251521</t>
  </si>
  <si>
    <t>-616.311951292219 17.2725084138069 822.616809248183</t>
  </si>
  <si>
    <t>-481.288027588522 -212.44488833558 309.532980951585</t>
  </si>
  <si>
    <t>-586.130311343397 -269.468372164776 741.370670478864</t>
  </si>
  <si>
    <t>-455.589635814718 -300.523825627031 825.525224186199</t>
  </si>
  <si>
    <t>9763-20170724T104554.427869600.bin</t>
  </si>
  <si>
    <t>-766.864799934732 36.5440174973755 -492.719074722387</t>
  </si>
  <si>
    <t>-654.978974058026 102.341388367648 -228.629223519698</t>
  </si>
  <si>
    <t>-431.179020818808 185.382689645325 -261.318826616969</t>
  </si>
  <si>
    <t>-674.168896692813 -25.0959013695879 321.303592123308</t>
  </si>
  <si>
    <t>-756.763652837643 -23.1315852510381 761.48985775057</t>
  </si>
  <si>
    <t>-616.319430616304 17.1680565637303 822.634379596689</t>
  </si>
  <si>
    <t>-481.467468530179 -212.171375602661 309.472705245644</t>
  </si>
  <si>
    <t>-586.102358212951 -269.405391269696 741.290051918669</t>
  </si>
  <si>
    <t>-455.624667228569 -300.603448625504 825.489645343753</t>
  </si>
  <si>
    <t>9763-20170724T104554.500058800.bin</t>
  </si>
  <si>
    <t>-764.345156896304 40.6957194343186 -493.226751423904</t>
  </si>
  <si>
    <t>-652.251983106635 106.650064080065 -229.263805286395</t>
  </si>
  <si>
    <t>-427.998214123228 188.814971192694 -261.045318894013</t>
  </si>
  <si>
    <t>-673.794723921309 -23.4488016118441 321.364914185666</t>
  </si>
  <si>
    <t>-756.845373762194 -23.0526677222226 761.493276172354</t>
  </si>
  <si>
    <t>-616.31368693524 16.9068669769852 822.659985734942</t>
  </si>
  <si>
    <t>-481.807001763854 -211.445769904037 309.270144076211</t>
  </si>
  <si>
    <t>-586.05932815212 -268.871879136155 741.102301794878</t>
  </si>
  <si>
    <t>-455.861728347199 -300.926166068025 825.413617589465</t>
  </si>
  <si>
    <t>9763-20170724T104554.552214500.bin</t>
  </si>
  <si>
    <t>-762.32628826505 44.3748741770819 -493.708448435012</t>
  </si>
  <si>
    <t>-650.584989527638 109.894984155434 -229.488385002405</t>
  </si>
  <si>
    <t>-426.000371131306 191.152742446653 -261.266155948859</t>
  </si>
  <si>
    <t>-673.098911571493 -21.919711262643 321.488804396557</t>
  </si>
  <si>
    <t>-756.837739174871 -23.1275905772088 761.496671150578</t>
  </si>
  <si>
    <t>-616.315157029425 16.8105209407743 822.698449746679</t>
  </si>
  <si>
    <t>-482.193166691898 -210.716517072277 309.073644002112</t>
  </si>
  <si>
    <t>-586.000603296808 -268.442910357533 740.950582842848</t>
  </si>
  <si>
    <t>-456.042604059353 -301.140920402969 825.384270774253</t>
  </si>
  <si>
    <t>9763-20170724T104554.584308600.bin</t>
  </si>
  <si>
    <t>-761.435394103509 45.9498798656314 -493.834353365222</t>
  </si>
  <si>
    <t>-650.007210582516 111.161191642725 -229.405940943968</t>
  </si>
  <si>
    <t>-425.174093620772 191.723213286769 -261.197158825628</t>
  </si>
  <si>
    <t>-672.564191451003 -21.2085868366053 321.58783110421</t>
  </si>
  <si>
    <t>-756.858508055981 -23.1230711107967 761.495866180657</t>
  </si>
  <si>
    <t>-616.311757015673 16.6921019438719 822.722343878695</t>
  </si>
  <si>
    <t>-482.131679948528 -210.334597364036 309.044639003534</t>
  </si>
  <si>
    <t>-585.948937898714 -268.398326923894 740.87718298069</t>
  </si>
  <si>
    <t>-456.014093364849 -301.016687415821 825.377317026997</t>
  </si>
  <si>
    <t>9763-20170724T104554.654507300.bin</t>
  </si>
  <si>
    <t>-759.650890234736 48.5789276751289 -494.038596431593</t>
  </si>
  <si>
    <t>-648.834902361106 113.345278390467 -229.243764425221</t>
  </si>
  <si>
    <t>-423.55824889319 192.612951177571 -261.149127775245</t>
  </si>
  <si>
    <t>-671.748123770476 -19.9031531576788 321.750977589059</t>
  </si>
  <si>
    <t>-756.900173172847 -23.0673976091948 761.464165303481</t>
  </si>
  <si>
    <t>-616.359703424084 16.6798602157819 822.748876505634</t>
  </si>
  <si>
    <t>-481.99536557057 -209.464149055685 309.054608628144</t>
  </si>
  <si>
    <t>-585.83554070818 -268.432205997647 740.75004906097</t>
  </si>
  <si>
    <t>-455.937436634128 -300.879684491506 825.372362992142</t>
  </si>
  <si>
    <t>9763-20170724T104554.682586200.bin</t>
  </si>
  <si>
    <t>-758.684074172515 49.6965189032571 -494.187510503738</t>
  </si>
  <si>
    <t>-648.019870663117 114.15056547291 -229.25292669888</t>
  </si>
  <si>
    <t>-422.559366819322 192.778902624574 -261.440019982411</t>
  </si>
  <si>
    <t>-671.601346141422 -19.4141286818694 321.787731448521</t>
  </si>
  <si>
    <t>-756.904663862365 -23.0655971531041 761.449822707833</t>
  </si>
  <si>
    <t>-616.371096045738 16.6604295633488 822.764286586027</t>
  </si>
  <si>
    <t>-482.028233385019 -209.085051843702 309.040149091169</t>
  </si>
  <si>
    <t>-585.801860885918 -268.24712381167 740.711533026001</t>
  </si>
  <si>
    <t>-455.979155229901 -300.873010574919 825.381023051271</t>
  </si>
  <si>
    <t>9763-20170724T104554.748773900.bin</t>
  </si>
  <si>
    <t>-756.548419591262 51.6770855509483 -494.826212245075</t>
  </si>
  <si>
    <t>-645.594904782541 115.805682292101 -229.933623803557</t>
  </si>
  <si>
    <t>-419.912541044686 193.375165967839 -263.119778619781</t>
  </si>
  <si>
    <t>-671.899403288815 -18.4442367874144 321.734027138889</t>
  </si>
  <si>
    <t>-756.907954690515 -23.0377467166256 761.418330701047</t>
  </si>
  <si>
    <t>-616.41739500548 16.7459387999206 822.793923118482</t>
  </si>
  <si>
    <t>-482.377782051331 -207.927492034729 309.146102485707</t>
  </si>
  <si>
    <t>-585.854736954026 -267.756396890701 740.728601500223</t>
  </si>
  <si>
    <t>-456.315957534788 -301.522815478416 825.385782235977</t>
  </si>
  <si>
    <t>9763-20170724T104554.779855400.bin</t>
  </si>
  <si>
    <t>-755.642094450085 52.3409518676699 -495.239898324564</t>
  </si>
  <si>
    <t>-644.133654612198 117.070355442842 -230.726773496652</t>
  </si>
  <si>
    <t>-418.509057407417 194.498944251491 -264.626628553864</t>
  </si>
  <si>
    <t>-671.962848652002 -17.9715831192359 321.672656384256</t>
  </si>
  <si>
    <t>-756.903955456522 -23.0077271004868 761.386225554055</t>
  </si>
  <si>
    <t>-616.428884990978 16.7879318076275 822.789464122122</t>
  </si>
  <si>
    <t>-482.753259921053 -207.696030161611 309.206476560098</t>
  </si>
  <si>
    <t>-585.89577875423 -268.00188947148 740.795065026938</t>
  </si>
  <si>
    <t>-456.151652362003 -301.194703824358 825.36465057058</t>
  </si>
  <si>
    <t>9763-20170724T104554.847707700.bin</t>
  </si>
  <si>
    <t>-754.275277370474 54.1273087132417 -496.422222783715</t>
  </si>
  <si>
    <t>-641.917111687823 121.028823104917 -232.810673629957</t>
  </si>
  <si>
    <t>-416.541958382414 198.793473750674 -267.589598673247</t>
  </si>
  <si>
    <t>-672.324217356544 -16.8966360066868 321.494830193658</t>
  </si>
  <si>
    <t>-757.015074544348 -22.7443429834859 761.311316751508</t>
  </si>
  <si>
    <t>-616.467543207215 16.7459196884954 822.746110427703</t>
  </si>
  <si>
    <t>-483.79639882807 -207.038755390194 309.243130986228</t>
  </si>
  <si>
    <t>-585.996790989989 -267.395763280328 740.948772876684</t>
  </si>
  <si>
    <t>-456.423721769391 -301.559444895625 825.393708427368</t>
  </si>
  <si>
    <t>9763-20170724T104554.883801300.bin</t>
  </si>
  <si>
    <t>-754.136966425596 54.3499424699119 -497.299121652833</t>
  </si>
  <si>
    <t>-641.643387239487 123.157251289712 -234.236594872397</t>
  </si>
  <si>
    <t>-416.255705959029 201.074624558587 -268.589608291011</t>
  </si>
  <si>
    <t>-672.526778351589 -16.4494386746314 321.439919378752</t>
  </si>
  <si>
    <t>-757.023546246653 -22.7079268634322 761.291251153721</t>
  </si>
  <si>
    <t>-616.469201129799 16.7725679759501 822.716597153979</t>
  </si>
  <si>
    <t>-484.305631181073 -206.691412806214 309.176387656725</t>
  </si>
  <si>
    <t>-586.066520193623 -267.141274211417 741.058961224107</t>
  </si>
  <si>
    <t>-456.552374174745 -301.759517102656 825.409141760155</t>
  </si>
  <si>
    <t>9763-20170724T104554.959014900.bin</t>
  </si>
  <si>
    <t>-753.641495624906 55.0888287062573 -498.981963222126</t>
  </si>
  <si>
    <t>-641.905893744552 127.572886034056 -236.584450589006</t>
  </si>
  <si>
    <t>-415.793833484781 204.491693035245 -268.328975387113</t>
  </si>
  <si>
    <t>-672.720696309149 -15.3755385589905 321.500813193005</t>
  </si>
  <si>
    <t>-757.057823860608 -22.659999935747 761.311683150003</t>
  </si>
  <si>
    <t>-616.478798637264 16.773691453659 822.710427577611</t>
  </si>
  <si>
    <t>-484.993005515736 -206.142987320816 308.991589180037</t>
  </si>
  <si>
    <t>-586.151494641572 -267.036861137 741.056342232085</t>
  </si>
  <si>
    <t>-456.71649036591 -302.122446896992 825.334950692223</t>
  </si>
  <si>
    <t>9763-20170724T104555.015659700.bin</t>
  </si>
  <si>
    <t>-752.440491237295 56.6285008215411 -499.731435382252</t>
  </si>
  <si>
    <t>-640.920688298185 129.994514455072 -237.487321401386</t>
  </si>
  <si>
    <t>-414.362494445033 206.061164267189 -268.083627433715</t>
  </si>
  <si>
    <t>-672.724338107199 -14.2336915186961 321.578263417916</t>
  </si>
  <si>
    <t>-757.145082262471 -22.57155049016 761.359941036793</t>
  </si>
  <si>
    <t>-616.531560796538 16.7863630910031 822.728460150261</t>
  </si>
  <si>
    <t>-485.158384552627 -205.365483775496 309.169234326357</t>
  </si>
  <si>
    <t>-586.100746345626 -267.072922195945 740.980712603173</t>
  </si>
  <si>
    <t>-456.641480079724 -301.984722179129 825.294224124514</t>
  </si>
  <si>
    <t>9763-20170724T104555.054269900.bin</t>
  </si>
  <si>
    <t>-750.944626511472 57.4727988269508 -500.528239149174</t>
  </si>
  <si>
    <t>-638.812809619899 131.160071991511 -238.635422642437</t>
  </si>
  <si>
    <t>-411.970763481857 206.780567032008 -268.217140660113</t>
  </si>
  <si>
    <t>-672.528950457513 -13.4492770983059 321.571530334256</t>
  </si>
  <si>
    <t>-757.173673406274 -22.5233737771155 761.355586913981</t>
  </si>
  <si>
    <t>-616.519959005591 16.7134887130298 822.709335980831</t>
  </si>
  <si>
    <t>-485.597647773562 -204.534620189005 309.320569760793</t>
  </si>
  <si>
    <t>-586.122701389685 -266.785998679114 741.078069680683</t>
  </si>
  <si>
    <t>-456.823604368551 -302.383433212981 825.350496107379</t>
  </si>
  <si>
    <t>9763-20170724T104555.082343100.bin</t>
  </si>
  <si>
    <t>-750.112285715205 58.236060741219 -501.06590255561</t>
  </si>
  <si>
    <t>-637.628387187077 132.468478832224 -239.478125155558</t>
  </si>
  <si>
    <t>-410.523132839954 207.68016943837 -268.066338585734</t>
  </si>
  <si>
    <t>-672.635160176214 -12.8559234120542 321.52850066615</t>
  </si>
  <si>
    <t>-757.2512618958 -22.3866792691931 761.357587928466</t>
  </si>
  <si>
    <t>-616.52289877719 16.5886706794965 822.707096452863</t>
  </si>
  <si>
    <t>-486.04354636845 -204.0519114596 309.400241077525</t>
  </si>
  <si>
    <t>-586.204867624952 -266.511771870519 741.199046708573</t>
  </si>
  <si>
    <t>-456.954843561068 -302.511455363776 825.375925410548</t>
  </si>
  <si>
    <t>9763-20170724T104555.153093000.bin</t>
  </si>
  <si>
    <t>-748.365498187486 60.5241301218828 -502.116504883069</t>
  </si>
  <si>
    <t>-635.915139470791 136.363213872856 -240.975718112624</t>
  </si>
  <si>
    <t>-408.122606061631 210.133245723118 -267.797009451173</t>
  </si>
  <si>
    <t>-672.741424811536 -11.7190450785724 321.652971305389</t>
  </si>
  <si>
    <t>-757.231276805102 -22.5204983985905 761.49567823438</t>
  </si>
  <si>
    <t>-616.420630527381 16.2285580218345 822.799717528915</t>
  </si>
  <si>
    <t>-487.17254137677 -203.327211483454 309.612174410409</t>
  </si>
  <si>
    <t>-586.448954805192 -265.978904785397 741.48583950483</t>
  </si>
  <si>
    <t>-457.127578331325 -302.47780758697 825.337616555499</t>
  </si>
  <si>
    <t>9763-20170724T104555.184176200.bin</t>
  </si>
  <si>
    <t>-747.267823463229 61.7656055506939 -502.765650200951</t>
  </si>
  <si>
    <t>-634.992981121204 138.185604951101 -241.718683059898</t>
  </si>
  <si>
    <t>-406.870360431417 211.270576210786 -267.594111882749</t>
  </si>
  <si>
    <t>-672.717599448238 -11.077424466743 321.683331887339</t>
  </si>
  <si>
    <t>-757.238466084036 -22.5398062869451 761.553222669012</t>
  </si>
  <si>
    <t>-616.380753671983 16.0824794581931 822.828932359679</t>
  </si>
  <si>
    <t>-487.98282755233 -203.019923435547 309.662737351188</t>
  </si>
  <si>
    <t>-586.579795548564 -265.799408135307 741.642963557767</t>
  </si>
  <si>
    <t>-457.301130024737 -302.840420019958 825.32266930382</t>
  </si>
  <si>
    <t>9763-20170724T104555.247360300.bin</t>
  </si>
  <si>
    <t>-745.086643165867 63.9684330654352 -503.965582338974</t>
  </si>
  <si>
    <t>-633.208583136381 140.805192398529 -242.870572909202</t>
  </si>
  <si>
    <t>-404.290784763702 211.939870025696 -267.106909340376</t>
  </si>
  <si>
    <t>-672.165203354963 -9.78684287948909 321.832534410446</t>
  </si>
  <si>
    <t>-757.31543581102 -22.4560150581299 761.647426875749</t>
  </si>
  <si>
    <t>-616.368059434193 15.9320504396194 822.864134377919</t>
  </si>
  <si>
    <t>-489.26824066299 -202.263999492183 309.846812795585</t>
  </si>
  <si>
    <t>-586.787891215911 -264.932195539201 741.99611183699</t>
  </si>
  <si>
    <t>-457.722462110938 -303.295233748279 825.408728100776</t>
  </si>
  <si>
    <t>9763-20170724T104555.280441400.bin</t>
  </si>
  <si>
    <t>-744.184454927444 65.0449852533748 -504.420965539094</t>
  </si>
  <si>
    <t>-632.744402063518 141.736054797233 -243.095843219824</t>
  </si>
  <si>
    <t>-403.454331311816 211.851199875249 -266.777203479728</t>
  </si>
  <si>
    <t>-672.151440607752 -9.2155051552113 321.906687231335</t>
  </si>
  <si>
    <t>-757.447062241746 -22.2552878983374 761.674036436866</t>
  </si>
  <si>
    <t>-616.366417710935 15.6340476272928 822.894354430653</t>
  </si>
  <si>
    <t>-489.57687579863 -201.772974188055 310.00713375319</t>
  </si>
  <si>
    <t>-586.882155097398 -264.560190343973 742.157353463473</t>
  </si>
  <si>
    <t>-457.887101756229 -303.433969338302 825.44234036447</t>
  </si>
  <si>
    <t>9763-20170724T104555.350642200.bin</t>
  </si>
  <si>
    <t>-742.749175059479 66.7221576382958 -505.162553746159</t>
  </si>
  <si>
    <t>-631.889362143981 142.449959799337 -243.310292256814</t>
  </si>
  <si>
    <t>-401.816610609373 210.324204849695 -265.905107541482</t>
  </si>
  <si>
    <t>-672.383894326497 -7.94966170644011 321.878653918396</t>
  </si>
  <si>
    <t>-757.475512112326 -22.0155199831859 761.653950454956</t>
  </si>
  <si>
    <t>-616.317348249551 15.5255683922765 822.910251413365</t>
  </si>
  <si>
    <t>-490.377139996437 -200.675532732288 310.188339938108</t>
  </si>
  <si>
    <t>-587.071975936125 -263.679342633729 742.451708078171</t>
  </si>
  <si>
    <t>-458.338991779956 -303.928662155548 825.488465512767</t>
  </si>
  <si>
    <t>9763-20170724T104555.381723700.bin</t>
  </si>
  <si>
    <t>-742.596756815142 67.4030774328999 -505.393309973192</t>
  </si>
  <si>
    <t>-632.083431438002 142.569947747443 -243.233131469766</t>
  </si>
  <si>
    <t>-401.536400786782 209.040236880732 -265.15645419863</t>
  </si>
  <si>
    <t>-672.579850745401 -7.27358178940699 321.829104370206</t>
  </si>
  <si>
    <t>-757.513341859935 -21.831873987755 761.629193596222</t>
  </si>
  <si>
    <t>-616.335078342112 15.587779686859 822.913563663577</t>
  </si>
  <si>
    <t>-490.763844205631 -200.107626566641 310.23942676699</t>
  </si>
  <si>
    <t>-587.161888695581 -262.94162589958 742.620807203004</t>
  </si>
  <si>
    <t>-458.622514541435 -304.110140808452 825.506829046489</t>
  </si>
  <si>
    <t>9763-20170724T104555.428854800.bin</t>
  </si>
  <si>
    <t>-743.021643365595 68.1360072743942 -505.527944926883</t>
  </si>
  <si>
    <t>-632.893936595014 142.599084413746 -243.004900237322</t>
  </si>
  <si>
    <t>-401.836000443746 207.538657438387 -264.121860448894</t>
  </si>
  <si>
    <t>-672.971188022163 -6.65870177628744 321.804248213652</t>
  </si>
  <si>
    <t>-757.523694599996 -21.7212453500449 761.6206539636</t>
  </si>
  <si>
    <t>-616.316661396934 15.5591094897989 822.923600706058</t>
  </si>
  <si>
    <t>-491.267959694525 -199.550985043912 310.282428753683</t>
  </si>
  <si>
    <t>-587.317914854271 -262.520381984136 742.792955058887</t>
  </si>
  <si>
    <t>-458.804503230065 -304.18037817841 825.47327151089</t>
  </si>
  <si>
    <t>9763-20170724T104555.500044000.bin</t>
  </si>
  <si>
    <t>-744.125810214551 70.1632334570318 -505.721023772805</t>
  </si>
  <si>
    <t>-634.825120028109 142.922596220015 -242.375831155271</t>
  </si>
  <si>
    <t>-402.722717997526 204.859567723876 -260.89983543798</t>
  </si>
  <si>
    <t>-674.524811683332 -5.42772374448646 321.668183105343</t>
  </si>
  <si>
    <t>-757.577498348436 -21.4599515383734 761.621928301097</t>
  </si>
  <si>
    <t>-616.298297497827 15.4937612696326 822.956403511965</t>
  </si>
  <si>
    <t>-493.036392233185 -198.142378503035 310.239580810356</t>
  </si>
  <si>
    <t>-587.676412147132 -261.238660705889 743.063456091721</t>
  </si>
  <si>
    <t>-459.392900827115 -304.620093495541 825.213954298491</t>
  </si>
  <si>
    <t>9763-20170724T104555.550731700.bin</t>
  </si>
  <si>
    <t>-744.316335514318 72.8442666675826 -505.622446951619</t>
  </si>
  <si>
    <t>-635.057585488454 144.250659119271 -241.890022843608</t>
  </si>
  <si>
    <t>-402.208236280036 203.890026887492 -258.478378198484</t>
  </si>
  <si>
    <t>-676.611733400397 -4.09031879439522 321.332382710723</t>
  </si>
  <si>
    <t>-757.581217015655 -21.2599229467146 761.613486757414</t>
  </si>
  <si>
    <t>-616.277141795936 15.5657062214143 822.967685778978</t>
  </si>
  <si>
    <t>-494.743611546255 -197.004137404685 310.387214956816</t>
  </si>
  <si>
    <t>-588.33230141923 -260.427642416962 743.514155873226</t>
  </si>
  <si>
    <t>-459.820182188208 -304.844532960649 824.74889015986</t>
  </si>
  <si>
    <t>9763-20170724T104555.584823400.bin</t>
  </si>
  <si>
    <t>-744.038474745527 74.2223411000334 -505.670685180586</t>
  </si>
  <si>
    <t>-634.724588602775 145.367790422877 -241.890443156084</t>
  </si>
  <si>
    <t>-401.665459046479 204.336828511522 -257.92153766932</t>
  </si>
  <si>
    <t>-678.189963687261 -3.42577294989155 321.114909797265</t>
  </si>
  <si>
    <t>-757.683363199904 -21.0166869328516 761.633095406384</t>
  </si>
  <si>
    <t>-616.257900364595 15.3368906993421 822.989099511264</t>
  </si>
  <si>
    <t>-495.592466213275 -196.432176791003 310.538900852535</t>
  </si>
  <si>
    <t>-588.728220844809 -259.964102515745 743.76279291961</t>
  </si>
  <si>
    <t>-460.167579414089 -305.260972963096 824.432902397866</t>
  </si>
  <si>
    <t>9763-20170724T104555.649013500.bin</t>
  </si>
  <si>
    <t>-743.58159769674 76.5993014499522 -506.653459905975</t>
  </si>
  <si>
    <t>-634.278084817294 148.229668391573 -243.000276699619</t>
  </si>
  <si>
    <t>-400.870287548732 206.09250437584 -257.9513743487</t>
  </si>
  <si>
    <t>-689.262896595495 1.46234647994947 -83.0161862964853</t>
  </si>
  <si>
    <t>-681.851419978321 -2.50976692275253 320.448792229732</t>
  </si>
  <si>
    <t>-757.691014063793 -20.7547057163881 761.60841857964</t>
  </si>
  <si>
    <t>-616.218153857633 15.3313737524281 823.012951669695</t>
  </si>
  <si>
    <t>-498.411829146986 -196.145749579152 310.282391032225</t>
  </si>
  <si>
    <t>-589.399811514275 -259.001554170351 744.056745174314</t>
  </si>
  <si>
    <t>-460.621910107909 -305.375620359561 823.762444353036</t>
  </si>
  <si>
    <t>9763-20170724T104555.681096400.bin</t>
  </si>
  <si>
    <t>-743.175629966462 77.6935262162438 -507.455057762218</t>
  </si>
  <si>
    <t>-634.397211770103 149.885607981179 -243.737736919869</t>
  </si>
  <si>
    <t>-400.887523484113 207.459381246164 -258.207854265613</t>
  </si>
  <si>
    <t>-689.684204938297 2.44438773709817 -83.3492796946869</t>
  </si>
  <si>
    <t>-683.365746026827 -2.15604743289896 320.127566526134</t>
  </si>
  <si>
    <t>-757.703857103384 -20.6259578677709 761.609527216718</t>
  </si>
  <si>
    <t>-616.177769837301 15.2274248041535 823.027718556093</t>
  </si>
  <si>
    <t>-499.644282484399 -195.936683419334 310.10787920584</t>
  </si>
  <si>
    <t>-589.673023983668 -258.777771284635 744.059797957735</t>
  </si>
  <si>
    <t>-461.037520310804 -306.033362073644 823.477187344138</t>
  </si>
  <si>
    <t>9763-20170724T104555.749283800.bin</t>
  </si>
  <si>
    <t>-741.562912264333 79.2168784686176 -508.841763894281</t>
  </si>
  <si>
    <t>-634.253616111206 152.399520004362 -244.795869116263</t>
  </si>
  <si>
    <t>-400.584922066506 209.6451437137 -257.938721356113</t>
  </si>
  <si>
    <t>-689.96237087988 3.4187460514961 -83.8190818467926</t>
  </si>
  <si>
    <t>-684.766416648345 -1.87649938340223 319.665199040376</t>
  </si>
  <si>
    <t>-757.721242744844 -20.4618480483484 761.614780384561</t>
  </si>
  <si>
    <t>-616.133006727184 15.1379199860926 823.037306383809</t>
  </si>
  <si>
    <t>-501.491493985809 -196.35220071254 309.816697569497</t>
  </si>
  <si>
    <t>-590.00383149121 -259.172890132976 743.929513550963</t>
  </si>
  <si>
    <t>-461.189292258576 -306.365989395595 823.093581214291</t>
  </si>
  <si>
    <t>9763-20170724T104555.784375600.bin</t>
  </si>
  <si>
    <t>-741.145928133857 79.7379396988845 -509.304141715344</t>
  </si>
  <si>
    <t>-634.611484816573 153.030300173945 -244.975192626017</t>
  </si>
  <si>
    <t>-400.970001151113 210.463902105436 -257.776887800491</t>
  </si>
  <si>
    <t>-690.074275576041 3.71604353185762 -83.9838306178674</t>
  </si>
  <si>
    <t>-684.890200561204 -1.76455253641234 319.498181488251</t>
  </si>
  <si>
    <t>-757.652695671381 -20.4948256305988 761.548724401434</t>
  </si>
  <si>
    <t>-616.082690907741 15.1256961275158 823.001210186209</t>
  </si>
  <si>
    <t>-502.075718265471 -196.447407641477 309.637653841644</t>
  </si>
  <si>
    <t>-589.988468399394 -259.219327090351 743.793656909488</t>
  </si>
  <si>
    <t>-461.368142307636 -306.760229738612 823.065095558325</t>
  </si>
  <si>
    <t>9763-20170724T104555.832511300.bin</t>
  </si>
  <si>
    <t>-740.854460518365 79.8092519222159 -509.648155595283</t>
  </si>
  <si>
    <t>-635.027895671877 153.148846860805 -245.047841184206</t>
  </si>
  <si>
    <t>-401.428725760571 210.839268262535 -257.462736726863</t>
  </si>
  <si>
    <t>-690.036371991429 3.61102922821601 -84.0865065078505</t>
  </si>
  <si>
    <t>-684.542070936447 -1.79909719061357 319.392414251382</t>
  </si>
  <si>
    <t>-757.504606481528 -20.5889534668413 761.436106076491</t>
  </si>
  <si>
    <t>-616.047692767278 15.3896393502537 822.940356842042</t>
  </si>
  <si>
    <t>-502.52217917828 -196.598675664992 309.512223496455</t>
  </si>
  <si>
    <t>-590.021789792255 -259.605784283191 743.635775332726</t>
  </si>
  <si>
    <t>-461.281607828278 -306.648299381953 823.010018264493</t>
  </si>
  <si>
    <t>9763-20170724T104555.884647600.bin</t>
  </si>
  <si>
    <t>-739.551135983636 79.1438012776982 -509.856447264969</t>
  </si>
  <si>
    <t>-634.12600812477 153.538073559992 -245.390522535496</t>
  </si>
  <si>
    <t>-400.824754933431 212.487466219778 -257.488766759969</t>
  </si>
  <si>
    <t>-689.456847044014 2.59967002552662 -84.0696656484974</t>
  </si>
  <si>
    <t>-682.86607112271 -2.02965226795322 319.40252449865</t>
  </si>
  <si>
    <t>-757.262414249595 -20.642671777573 761.207707492048</t>
  </si>
  <si>
    <t>-615.982697822931 15.846289583483 822.818425775694</t>
  </si>
  <si>
    <t>-502.935074967415 -197.046358602673 309.796481903462</t>
  </si>
  <si>
    <t>-590.031700095427 -259.987479761666 743.963041938707</t>
  </si>
  <si>
    <t>-461.157677838731 -306.46257509158 823.454079459756</t>
  </si>
  <si>
    <t>9763-20170724T104555.951867000.bin</t>
  </si>
  <si>
    <t>-738.082773456439 78.3161907986537 -509.819008063831</t>
  </si>
  <si>
    <t>-632.61340313029 155.196479632785 -246.082671916873</t>
  </si>
  <si>
    <t>-399.487473938587 214.989424126507 -257.395218438207</t>
  </si>
  <si>
    <t>-688.862163348435 1.52353831281198 -83.7996524119792</t>
  </si>
  <si>
    <t>-681.210726821351 -2.4824822408732 319.660457053907</t>
  </si>
  <si>
    <t>-757.128916703701 -20.6519898524646 761.144768365401</t>
  </si>
  <si>
    <t>-615.947905088711 16.1785437606218 822.778521229413</t>
  </si>
  <si>
    <t>-502.733300693438 -197.817102881149 310.125123814693</t>
  </si>
  <si>
    <t>-590.130489036058 -260.363629580685 744.306581276543</t>
  </si>
  <si>
    <t>-460.962318375057 -306.095117603762 823.751650612996</t>
  </si>
  <si>
    <t>9763-20170724T104555.985952400.bin</t>
  </si>
  <si>
    <t>-737.679588696294 78.5416461932195 -509.835667854987</t>
  </si>
  <si>
    <t>-632.258209974457 156.847813785185 -246.499984535987</t>
  </si>
  <si>
    <t>-399.116625005683 216.723731770508 -257.024225033195</t>
  </si>
  <si>
    <t>-688.723325468336 1.37256916888805 -83.7214005084328</t>
  </si>
  <si>
    <t>-681.143465029446 -2.5119998298162 319.741238541328</t>
  </si>
  <si>
    <t>-757.150165891273 -20.549694880671 761.156209183833</t>
  </si>
  <si>
    <t>-615.9446332373 16.2177548443269 822.771504796703</t>
  </si>
  <si>
    <t>-502.828624911264 -198.093095381123 310.140323873951</t>
  </si>
  <si>
    <t>-590.153518113639 -260.347217649968 744.391198681965</t>
  </si>
  <si>
    <t>-461.185018026658 -306.595419813072 823.861408833259</t>
  </si>
  <si>
    <t>9763-20170724T104556.049772900.bin</t>
  </si>
  <si>
    <t>-736.120779454239 79.7346147677258 -509.903864684729</t>
  </si>
  <si>
    <t>-630.774415541444 160.624698944185 -247.320184628658</t>
  </si>
  <si>
    <t>-397.577149611417 220.432722276551 -256.959632982982</t>
  </si>
  <si>
    <t>-687.887014658414 1.64626763469778 -83.6984135467276</t>
  </si>
  <si>
    <t>-681.726732717347 -2.48082808651111 319.786027708213</t>
  </si>
  <si>
    <t>-757.137342280831 -20.3735370749027 761.201715332196</t>
  </si>
  <si>
    <t>-615.903940724273 16.3185414830321 822.798079947137</t>
  </si>
  <si>
    <t>-502.998027430997 -198.635834133766 310.170488973136</t>
  </si>
  <si>
    <t>-590.278690296428 -260.892051234867 744.4510866891</t>
  </si>
  <si>
    <t>-461.109866835093 -306.633866533704 823.889041093584</t>
  </si>
  <si>
    <t>9763-20170724T104556.083866800.bin</t>
  </si>
  <si>
    <t>-734.832568096137 80.4710796686602 -509.938755050733</t>
  </si>
  <si>
    <t>-629.159687748081 162.195449959574 -247.744964030744</t>
  </si>
  <si>
    <t>-395.878312255052 221.740075957271 -256.969537309298</t>
  </si>
  <si>
    <t>-687.248061504353 1.78023855734182 -83.7008573504635</t>
  </si>
  <si>
    <t>-681.827637634223 -2.40315900596465 319.793583288728</t>
  </si>
  <si>
    <t>-757.076471258528 -20.3586385280696 761.242072046517</t>
  </si>
  <si>
    <t>-615.830474866587 16.3057825633875 822.826075632626</t>
  </si>
  <si>
    <t>-502.913440121461 -198.841387375858 310.162410254929</t>
  </si>
  <si>
    <t>-590.315635848599 -261.266041485661 744.388351616824</t>
  </si>
  <si>
    <t>-461.127638793593 -306.90925988917 823.851834744418</t>
  </si>
  <si>
    <t>9763-20170724T104556.152048500.bin</t>
  </si>
  <si>
    <t>-732.218524907213 81.2346755104254 -509.780916160526</t>
  </si>
  <si>
    <t>-625.579085814304 164.270026824266 -248.391732507953</t>
  </si>
  <si>
    <t>-392.140741422788 223.28253839423 -257.046156344475</t>
  </si>
  <si>
    <t>-686.03650698015 1.6316243815395 -83.5785293019954</t>
  </si>
  <si>
    <t>-680.776351031661 -2.62862371502069 319.917278528937</t>
  </si>
  <si>
    <t>-756.959126696206 -20.4136247560159 761.328254319133</t>
  </si>
  <si>
    <t>-615.752350715143 16.4697287863639 822.871486210586</t>
  </si>
  <si>
    <t>-502.713896953774 -199.191410626189 310.159828402558</t>
  </si>
  <si>
    <t>-590.348861093294 -261.593610583605 744.304491230334</t>
  </si>
  <si>
    <t>-460.977474377091 -306.626145073704 823.818067286473</t>
  </si>
  <si>
    <t>9763-20170724T104556.184133900.bin</t>
  </si>
  <si>
    <t>-731.023383128379 81.5705268866775 -509.652247396529</t>
  </si>
  <si>
    <t>-624.09379507005 165.071067180059 -248.529776143915</t>
  </si>
  <si>
    <t>-390.609168901222 223.939479168215 -256.915333559364</t>
  </si>
  <si>
    <t>-685.357009241161 1.61034997998013 -83.42972221088</t>
  </si>
  <si>
    <t>-680.05650094638 -2.71467743427775 320.064851931811</t>
  </si>
  <si>
    <t>-757.039538212447 -20.2735705147979 761.379365875595</t>
  </si>
  <si>
    <t>-615.764453529526 16.3985352296361 822.892044914603</t>
  </si>
  <si>
    <t>-502.525557158632 -199.376738859344 310.146592038299</t>
  </si>
  <si>
    <t>-590.368440584364 -261.581637162163 744.29498641478</t>
  </si>
  <si>
    <t>-461.071653908648 -306.76231094874 823.845819602854</t>
  </si>
  <si>
    <t>9763-20170724T104556.250320500.bin</t>
  </si>
  <si>
    <t>-729.087297790253 82.8014541911002 -509.450482650329</t>
  </si>
  <si>
    <t>-621.706247626229 167.477404226683 -248.892361780398</t>
  </si>
  <si>
    <t>-388.286073944222 226.627293094884 -257.088392676468</t>
  </si>
  <si>
    <t>-684.012001552259 1.95449200526332 -83.1560264291643</t>
  </si>
  <si>
    <t>-679.33404238298 -2.53086046366138 320.344482754811</t>
  </si>
  <si>
    <t>-756.95067532893 -20.3595191413901 761.48080788356</t>
  </si>
  <si>
    <t>-615.724796599742 16.6007272343438 822.933967626119</t>
  </si>
  <si>
    <t>-502.20810942718 -199.882325729859 310.159815872421</t>
  </si>
  <si>
    <t>-590.454236015481 -261.85221650861 744.262811438866</t>
  </si>
  <si>
    <t>-461.253043603543 -307.257147663842 823.84134989748</t>
  </si>
  <si>
    <t>9763-20170724T104556.284411500.bin</t>
  </si>
  <si>
    <t>-728.256171414149 83.5897288456142 -509.312685885663</t>
  </si>
  <si>
    <t>-620.719583325608 168.891610087639 -249.023185830187</t>
  </si>
  <si>
    <t>-387.279537245792 227.972606671023 -257.151274029285</t>
  </si>
  <si>
    <t>-683.548748528462 2.27362157469338 -83.074378683649</t>
  </si>
  <si>
    <t>-679.186093571205 -2.30960214663378 320.428540960248</t>
  </si>
  <si>
    <t>-756.855350488655 -20.4509821874333 761.522969578697</t>
  </si>
  <si>
    <t>-615.735253019851 16.9527074324328 822.950630978857</t>
  </si>
  <si>
    <t>-502.1782014093 -200.064372717897 310.2108045423</t>
  </si>
  <si>
    <t>-590.507457227412 -262.179285573169 744.240063773553</t>
  </si>
  <si>
    <t>-461.065284950534 -306.940941940746 823.791442602701</t>
  </si>
  <si>
    <t>9763-20170724T104556.353135600.bin</t>
  </si>
  <si>
    <t>-726.637439008535 85.1253577619211 -509.186688233302</t>
  </si>
  <si>
    <t>-619.123319067213 170.873657513132 -249.034369551445</t>
  </si>
  <si>
    <t>-385.638317001696 229.756323414312 -257.308981035333</t>
  </si>
  <si>
    <t>-683.124057383919 2.92968630677478 -83.0173861800481</t>
  </si>
  <si>
    <t>-679.079451308493 -1.84603969728596 320.486684546879</t>
  </si>
  <si>
    <t>-756.769315666334 -20.3838470527389 761.551412576983</t>
  </si>
  <si>
    <t>-615.692405640085 17.1842775639764 822.978107551244</t>
  </si>
  <si>
    <t>-502.562582992146 -200.133238822105 310.212965758605</t>
  </si>
  <si>
    <t>-590.605341040534 -262.671860280988 744.234470844141</t>
  </si>
  <si>
    <t>-461.060219521873 -307.185166299636 823.757639055106</t>
  </si>
  <si>
    <t>9763-20170724T104556.387223800.bin</t>
  </si>
  <si>
    <t>-725.839079654026 86.0235906856685 -509.251907562796</t>
  </si>
  <si>
    <t>-618.538167496047 171.748224665739 -249.003712885365</t>
  </si>
  <si>
    <t>-385.008596283962 230.445722610564 -257.333641780065</t>
  </si>
  <si>
    <t>-682.994431875297 3.34162540489706 -83.003992473885</t>
  </si>
  <si>
    <t>-678.966150511628 -1.57929215477043 320.498511701377</t>
  </si>
  <si>
    <t>-756.714876144761 -20.3580271239282 761.554943243684</t>
  </si>
  <si>
    <t>-615.665801522407 17.3121380414932 822.982901351415</t>
  </si>
  <si>
    <t>-502.924762915545 -200.158019093751 310.121883454516</t>
  </si>
  <si>
    <t>-590.627621046669 -262.56798649913 744.220426731729</t>
  </si>
  <si>
    <t>-461.221662767174 -307.458402850237 823.758083744577</t>
  </si>
  <si>
    <t>9763-20170724T104556.449420500.bin</t>
  </si>
  <si>
    <t>-724.254396712127 88.0872953440983 -509.317462298084</t>
  </si>
  <si>
    <t>-617.284207348257 173.729847346008 -248.90640216774</t>
  </si>
  <si>
    <t>-383.64920702106 232.00025206397 -257.279927366318</t>
  </si>
  <si>
    <t>-682.57819159847 4.31260171465328 -82.9752242502568</t>
  </si>
  <si>
    <t>-678.972452169486 -0.99335314108589 320.526335969911</t>
  </si>
  <si>
    <t>-756.68832115598 -20.1826124392874 761.561523568767</t>
  </si>
  <si>
    <t>-615.635265910497 17.476550377208 822.98714464313</t>
  </si>
  <si>
    <t>-503.779881785575 -200.240072665659 310.022482881555</t>
  </si>
  <si>
    <t>-590.746719757968 -262.607081193071 744.248253146683</t>
  </si>
  <si>
    <t>-461.225319308448 -307.28413959738 823.718177373817</t>
  </si>
  <si>
    <t>9763-20170724T104556.485514800.bin</t>
  </si>
  <si>
    <t>-723.539070767446 89.1199852234995 -509.322949495205</t>
  </si>
  <si>
    <t>-616.786492521508 174.725778820174 -248.810530458247</t>
  </si>
  <si>
    <t>-383.088551512719 232.732995338356 -257.254116100105</t>
  </si>
  <si>
    <t>-682.513779976817 4.82919835725602 -82.961923459098</t>
  </si>
  <si>
    <t>-679.016926571346 -0.694243955386355 320.537632372078</t>
  </si>
  <si>
    <t>-756.700887948693 -20.0488437610611 761.573122108069</t>
  </si>
  <si>
    <t>-615.621262805362 17.5169078556482 822.994868075168</t>
  </si>
  <si>
    <t>-504.054011661981 -200.292680556084 309.939144260294</t>
  </si>
  <si>
    <t>-590.814701836128 -262.77782424775 744.251062662189</t>
  </si>
  <si>
    <t>-461.345142833754 -307.670402459236 823.683994273578</t>
  </si>
  <si>
    <t>9763-20170724T104556.550191800.bin</t>
  </si>
  <si>
    <t>-722.125796031424 90.7089679829512 -509.330972554507</t>
  </si>
  <si>
    <t>-615.951656826209 175.875984277695 -248.438558329799</t>
  </si>
  <si>
    <t>-382.093036056955 233.182697118024 -257.209588214958</t>
  </si>
  <si>
    <t>-682.337312954446 5.84604663040614 -82.8747028937263</t>
  </si>
  <si>
    <t>-678.750036947743 -0.056861862243295 320.618677748055</t>
  </si>
  <si>
    <t>-756.708804887061 -19.871441873388 761.618726978696</t>
  </si>
  <si>
    <t>-615.554273059309 17.4392064286969 823.02413899034</t>
  </si>
  <si>
    <t>-504.76440554607 -200.217734023605 309.910943668116</t>
  </si>
  <si>
    <t>-590.933354918751 -262.925458132983 744.261096024474</t>
  </si>
  <si>
    <t>-461.370984375842 -307.686625011729 823.616869911352</t>
  </si>
  <si>
    <t>9763-20170724T104556.584282900.bin</t>
  </si>
  <si>
    <t>-721.632664591201 91.3512370934345 -509.33981330793</t>
  </si>
  <si>
    <t>-615.686329121925 175.89555237119 -248.152384471036</t>
  </si>
  <si>
    <t>-381.753980923103 232.852977067197 -257.229025636191</t>
  </si>
  <si>
    <t>-682.428889994346 6.4329707402137 -82.8174096287878</t>
  </si>
  <si>
    <t>-678.46953133166 0.201834753511321 320.667561207537</t>
  </si>
  <si>
    <t>-756.72807538517 -19.7538943670493 761.631093210497</t>
  </si>
  <si>
    <t>-615.51946938589 17.3565933968835 823.033286130557</t>
  </si>
  <si>
    <t>-504.944840101506 -199.950323189749 309.889094345077</t>
  </si>
  <si>
    <t>-590.93225759322 -262.682364706918 744.242179667618</t>
  </si>
  <si>
    <t>-461.756807037445 -308.472908941881 823.641243846329</t>
  </si>
  <si>
    <t>9763-20170724T104556.649469500.bin</t>
  </si>
  <si>
    <t>-721.228794781121 92.0002898326736 -509.285709692983</t>
  </si>
  <si>
    <t>-615.221462051584 175.462046758954 -247.775129498177</t>
  </si>
  <si>
    <t>-381.168498643815 231.897014077908 -257.005120955718</t>
  </si>
  <si>
    <t>-682.492975894706 7.0372476578159 -82.714888480627</t>
  </si>
  <si>
    <t>-678.055892261025 0.536962556510389 320.76099852449</t>
  </si>
  <si>
    <t>-756.697715840904 -19.5735451811261 761.622979847188</t>
  </si>
  <si>
    <t>-615.456504655449 17.3913240455609 823.038095910755</t>
  </si>
  <si>
    <t>-504.962542634157 -199.88252079181 309.808517774808</t>
  </si>
  <si>
    <t>-591.00564922683 -263.06981978922 744.187659873277</t>
  </si>
  <si>
    <t>-461.663520975787 -308.344351636276 823.611369868229</t>
  </si>
  <si>
    <t>9763-20170724T104556.682564400.bin</t>
  </si>
  <si>
    <t>-721.017989769731 92.2534551330552 -509.207253653811</t>
  </si>
  <si>
    <t>-614.945360124434 175.743393826697 -247.732143262561</t>
  </si>
  <si>
    <t>-380.833689040229 231.934844876722 -256.957019530707</t>
  </si>
  <si>
    <t>-682.364686738693 7.36748321426307 -82.6780718123968</t>
  </si>
  <si>
    <t>-677.951016933757 0.756454601002361 320.79614412424</t>
  </si>
  <si>
    <t>-756.652593671436 -19.5298754751868 761.61545748277</t>
  </si>
  <si>
    <t>-615.42836102782 17.4853594284746 823.039356685073</t>
  </si>
  <si>
    <t>-504.876986360064 -199.742021754684 309.840035584724</t>
  </si>
  <si>
    <t>-591.048811135212 -263.021190861842 744.185636566941</t>
  </si>
  <si>
    <t>-461.794504282712 -308.565866990409 823.597895645916</t>
  </si>
  <si>
    <t>9763-20170724T104556.749746800.bin</t>
  </si>
  <si>
    <t>-720.717222773936 92.7493586864186 -509.1177069947</t>
  </si>
  <si>
    <t>-614.154426454353 176.542948077629 -247.939234467069</t>
  </si>
  <si>
    <t>-379.917152535079 232.214638307481 -257.128198159004</t>
  </si>
  <si>
    <t>-681.943858840691 8.19092862285424 -82.6701763873483</t>
  </si>
  <si>
    <t>-677.978517756235 1.20790838189009 320.802517453859</t>
  </si>
  <si>
    <t>-756.615045331296 -19.3421293120455 761.600833835912</t>
  </si>
  <si>
    <t>-615.407788515073 17.7137190231335 823.039114854286</t>
  </si>
  <si>
    <t>-504.822679555019 -199.419372284785 309.916276920532</t>
  </si>
  <si>
    <t>-591.120784832066 -263.039859650495 744.181505472835</t>
  </si>
  <si>
    <t>-461.913505069695 -308.788203009039 823.55328274292</t>
  </si>
  <si>
    <t>9763-20170724T104556.783837100.bin</t>
  </si>
  <si>
    <t>-720.640208468114 92.9702773534118 -509.085349214132</t>
  </si>
  <si>
    <t>-613.793837532248 176.799232801907 -248.034209675849</t>
  </si>
  <si>
    <t>-379.361902077591 231.658157679145 -257.146233182263</t>
  </si>
  <si>
    <t>-681.680994854122 8.69068093082456 -82.6209408537525</t>
  </si>
  <si>
    <t>-677.735785225361 1.44754410642986 320.847321421389</t>
  </si>
  <si>
    <t>-756.561262013934 -19.3265218840181 761.61060070952</t>
  </si>
  <si>
    <t>-615.410644157654 17.9472475736427 823.047385069887</t>
  </si>
  <si>
    <t>-504.718774857971 -199.308604110456 309.922771158872</t>
  </si>
  <si>
    <t>-591.151992163664 -263.059873840328 744.15402068174</t>
  </si>
  <si>
    <t>-461.875769481757 -308.64503006494 823.50729204071</t>
  </si>
  <si>
    <t>9763-20170724T104556.847555400.bin</t>
  </si>
  <si>
    <t>-719.759993661693 93.8763479749982 -508.869548917027</t>
  </si>
  <si>
    <t>-612.145489071824 176.815266257194 -247.849424507247</t>
  </si>
  <si>
    <t>-377.476162510091 230.573903961809 -257.399595781381</t>
  </si>
  <si>
    <t>-681.06565169595 9.59525990702309 -82.4472871380835</t>
  </si>
  <si>
    <t>-676.673449335485 1.8591986420704 321.007187349462</t>
  </si>
  <si>
    <t>-756.579491301832 -19.1313303394293 761.632268126814</t>
  </si>
  <si>
    <t>-615.357058669384 17.8726084963664 823.067047931039</t>
  </si>
  <si>
    <t>-504.702363959292 -199.193846184115 309.979509357322</t>
  </si>
  <si>
    <t>-591.18882983981 -263.098780532909 744.126285114163</t>
  </si>
  <si>
    <t>-462.082823779536 -309.107150751049 823.512378035055</t>
  </si>
  <si>
    <t>9763-20170724T104556.881648600.bin</t>
  </si>
  <si>
    <t>-719.162654504947 94.2808838519245 -508.623312354499</t>
  </si>
  <si>
    <t>-610.57871855921 176.329029725724 -247.723324703962</t>
  </si>
  <si>
    <t>-375.898138348022 229.997503737277 -257.500289062151</t>
  </si>
  <si>
    <t>-681.057306632406 9.84338886588421 -82.3987767704529</t>
  </si>
  <si>
    <t>-676.294954267242 1.91398006744498 321.047789251085</t>
  </si>
  <si>
    <t>-756.523852976692 -19.1483095357908 761.634549010334</t>
  </si>
  <si>
    <t>-615.316133415892 17.8988413592033 823.077000888803</t>
  </si>
  <si>
    <t>-504.759713254181 -199.39177795891 309.987200503465</t>
  </si>
  <si>
    <t>-591.214184925838 -263.286882575233 744.133343788488</t>
  </si>
  <si>
    <t>-462.0197406839 -309.030364889972 823.52871876913</t>
  </si>
  <si>
    <t>9763-20170724T104556.952429400.bin</t>
  </si>
  <si>
    <t>-718.429941000678 94.4751923303852 -508.268299304558</t>
  </si>
  <si>
    <t>-608.029928125197 176.065190305617 -247.987506060941</t>
  </si>
  <si>
    <t>-373.68740978095 231.134123038576 -258.079469863274</t>
  </si>
  <si>
    <t>-681.532511913719 9.70666962176847 -82.4962503949278</t>
  </si>
  <si>
    <t>-676.755967244965 1.96943814714905 320.953803101995</t>
  </si>
  <si>
    <t>-756.539548342914 -18.8523288476154 761.571668570381</t>
  </si>
  <si>
    <t>-615.282341002179 17.9154500911516 823.067992136872</t>
  </si>
  <si>
    <t>-504.799361913075 -199.633462713197 309.909386806976</t>
  </si>
  <si>
    <t>-591.2633832618 -263.266061847197 744.133195355013</t>
  </si>
  <si>
    <t>-462.178961945018 -309.25007622236 823.568652564082</t>
  </si>
  <si>
    <t>9763-20170724T104556.999553500.bin</t>
  </si>
  <si>
    <t>-718.256458812753 94.0981851549002 -508.34359792915</t>
  </si>
  <si>
    <t>-607.901202468572 175.657128582072 -248.034091540968</t>
  </si>
  <si>
    <t>-373.934432486964 232.241067363186 -258.459761824314</t>
  </si>
  <si>
    <t>-681.951954320646 9.3815007098508 -82.6254660364244</t>
  </si>
  <si>
    <t>-677.253379865121 1.80483621849635 320.828584837881</t>
  </si>
  <si>
    <t>-756.465906898616 -18.7943982766915 761.525757732471</t>
  </si>
  <si>
    <t>-615.259161835368 18.1130179662009 823.054472719441</t>
  </si>
  <si>
    <t>-505.032294720228 -199.69708822949 309.811804238526</t>
  </si>
  <si>
    <t>-591.306224554342 -263.430021840508 744.101299890346</t>
  </si>
  <si>
    <t>-462.229592757074 -309.397954471153 823.558627393193</t>
  </si>
  <si>
    <t>9763-20170724T104557.052252500.bin</t>
  </si>
  <si>
    <t>-718.66583438115 92.9396776697245 -508.715694460603</t>
  </si>
  <si>
    <t>-609.786378853949 173.198956529241 -247.382708234076</t>
  </si>
  <si>
    <t>-376.474639919027 232.330345289793 -258.336892345364</t>
  </si>
  <si>
    <t>-683.685937007158 8.55785259206664 -83.033555040001</t>
  </si>
  <si>
    <t>-678.951501526426 1.35818645856239 320.427022580284</t>
  </si>
  <si>
    <t>-756.46988732439 -18.4275716395096 761.433033859684</t>
  </si>
  <si>
    <t>-615.239091279292 18.2640992027659 823.035556983666</t>
  </si>
  <si>
    <t>-505.837772550336 -200.023463875173 309.469094497582</t>
  </si>
  <si>
    <t>-591.350216055101 -264.112670897683 743.934405213119</t>
  </si>
  <si>
    <t>-462.022007273855 -309.17103544076 823.503588202568</t>
  </si>
  <si>
    <t>9763-20170724T104557.084337200.bin</t>
  </si>
  <si>
    <t>-719.26977414197 92.653033307485 -508.911796113064</t>
  </si>
  <si>
    <t>-611.849973903867 171.131083160016 -246.436374379965</t>
  </si>
  <si>
    <t>-378.948285135432 231.769839942386 -257.864487884328</t>
  </si>
  <si>
    <t>-685.012556606439 8.07746158728901 -83.3062777450846</t>
  </si>
  <si>
    <t>-680.07635873237 1.20411153966143 320.157610874901</t>
  </si>
  <si>
    <t>-756.45018803784 -18.2829242004243 761.391037467452</t>
  </si>
  <si>
    <t>-615.222612560172 18.347983203724 823.037303268273</t>
  </si>
  <si>
    <t>-506.209178131448 -200.474304921114 309.105153174784</t>
  </si>
  <si>
    <t>-591.306929470188 -264.30024072033 743.726266259985</t>
  </si>
  <si>
    <t>-462.04306484137 -309.274517310917 823.44743009309</t>
  </si>
  <si>
    <t>9763-20170724T104557.151525600.bin</t>
  </si>
  <si>
    <t>-721.00337834906 93.0349116962122 -508.49192162146</t>
  </si>
  <si>
    <t>-616.905967732096 167.225383635046 -243.443262083116</t>
  </si>
  <si>
    <t>-384.968509363373 231.221581676842 -256.106391134657</t>
  </si>
  <si>
    <t>-688.350469501702 7.21572303704988 -83.7374813284785</t>
  </si>
  <si>
    <t>-682.028061734832 1.30726547246672 319.722347250098</t>
  </si>
  <si>
    <t>-756.320382434599 -18.0981177027306 761.293645589099</t>
  </si>
  <si>
    <t>-615.155657865942 18.5917615841533 823.048414523168</t>
  </si>
  <si>
    <t>-506.371215351323 -200.883159897351 308.537747718864</t>
  </si>
  <si>
    <t>-591.240121263212 -264.399320311211 743.248416054893</t>
  </si>
  <si>
    <t>-462.195202731001 -309.571546688345 823.212055466808</t>
  </si>
  <si>
    <t>9763-20170724T104557.187625100.bin</t>
  </si>
  <si>
    <t>-721.571288103761 92.8185958396236 -508.013871142836</t>
  </si>
  <si>
    <t>-618.394635220125 164.398696594176 -241.889786773169</t>
  </si>
  <si>
    <t>-386.775383874142 229.435464643255 -255.066431708303</t>
  </si>
  <si>
    <t>-689.400995481404 6.33710036459706 -83.9106742518724</t>
  </si>
  <si>
    <t>-682.600186634058 1.04419061234353 319.549850023826</t>
  </si>
  <si>
    <t>-756.227133108972 -18.0382595115293 761.227155743727</t>
  </si>
  <si>
    <t>-615.182530175065 19.024485322584 823.034001792603</t>
  </si>
  <si>
    <t>-506.296687791699 -201.047719754169 308.36700755749</t>
  </si>
  <si>
    <t>-591.273750057197 -264.199981221014 743.109813912745</t>
  </si>
  <si>
    <t>-462.374343054584 -309.771897656886 823.081353757678</t>
  </si>
  <si>
    <t>9763-20170724T104557.249320500.bin</t>
  </si>
  <si>
    <t>-722.68021510592 91.3584786052286 -507.3742677583</t>
  </si>
  <si>
    <t>-620.245252470189 159.313583558178 -240.015982422509</t>
  </si>
  <si>
    <t>-389.301852353172 226.437398494111 -254.520090573081</t>
  </si>
  <si>
    <t>-691.119989510164 4.1176691084695 -84.2280931575044</t>
  </si>
  <si>
    <t>-683.799460991518 -0.176922763155744 319.235228891406</t>
  </si>
  <si>
    <t>-756.252185002568 -17.6509992977922 761.110523280033</t>
  </si>
  <si>
    <t>-615.121317305655 18.9664386078523 822.98555671454</t>
  </si>
  <si>
    <t>-507.57074647865 -202.56513747303 308.178793843586</t>
  </si>
  <si>
    <t>-591.759143433804 -264.687028796615 743.280119903868</t>
  </si>
  <si>
    <t>-462.31748042193 -309.517468031219 822.793626155817</t>
  </si>
  <si>
    <t>9763-20170724T104557.284415400.bin</t>
  </si>
  <si>
    <t>-723.63501040794 91.2710188679989 -507.324963286911</t>
  </si>
  <si>
    <t>-621.42303735431 157.976377757111 -239.566965214371</t>
  </si>
  <si>
    <t>-391.078589746813 226.795884828285 -255.572375713148</t>
  </si>
  <si>
    <t>-692.325543352277 3.35618862821843 -84.3257865705657</t>
  </si>
  <si>
    <t>-684.178366115568 -0.716491736085345 319.12394267928</t>
  </si>
  <si>
    <t>-756.368330033548 -17.3174712441412 761.082255286331</t>
  </si>
  <si>
    <t>-615.089617295228 18.7380379934837 822.949955107779</t>
  </si>
  <si>
    <t>-508.535519434179 -203.319659663093 308.062742589409</t>
  </si>
  <si>
    <t>-592.065769967683 -264.718807723476 743.418915120266</t>
  </si>
  <si>
    <t>-462.70270949309 -310.320235629858 822.621248179284</t>
  </si>
  <si>
    <t>9763-20170724T104557.351600600.bin</t>
  </si>
  <si>
    <t>-726.977640265035 90.85007120928 -507.144738446291</t>
  </si>
  <si>
    <t>-625.408559761615 156.116370145777 -238.788249493826</t>
  </si>
  <si>
    <t>-396.326845073435 228.313967422661 -257.760930353383</t>
  </si>
  <si>
    <t>-695.442061691193 1.75000558509373 -84.4535011858478</t>
  </si>
  <si>
    <t>-684.867208280775 -1.6582770509267 318.946068076983</t>
  </si>
  <si>
    <t>-756.600046510652 -16.6915930182302 760.991233781711</t>
  </si>
  <si>
    <t>-614.955359852776 18.05686943108 822.770070137389</t>
  </si>
  <si>
    <t>-511.404145603982 -204.747264532713 307.864581375049</t>
  </si>
  <si>
    <t>-592.90201053624 -265.63478578757 743.683526972262</t>
  </si>
  <si>
    <t>-462.955110777641 -311.029611128306 822.044297017907</t>
  </si>
  <si>
    <t>9763-20170724T104557.386693100.bin</t>
  </si>
  <si>
    <t>-728.438961452723 90.7591403723284 -507.074717619535</t>
  </si>
  <si>
    <t>-627.567655088398 155.58290456269 -238.347900539712</t>
  </si>
  <si>
    <t>-399.017733072153 229.180825204073 -258.325973797322</t>
  </si>
  <si>
    <t>-696.205573577141 1.252552088622 -84.4618401770564</t>
  </si>
  <si>
    <t>-685.161551484837 -1.72992462685625 318.928595483914</t>
  </si>
  <si>
    <t>-756.716934659307 -16.4498855814063 760.982743385636</t>
  </si>
  <si>
    <t>-614.909592047609 17.7501353374455 822.694280848253</t>
  </si>
  <si>
    <t>-513.04960962705 -205.573391032265 307.791351807727</t>
  </si>
  <si>
    <t>-593.279754536338 -266.419925036838 743.939874239469</t>
  </si>
  <si>
    <t>-462.931936254959 -311.303153574856 821.928669218466</t>
  </si>
  <si>
    <t>9763-20170724T104557.447367200.bin</t>
  </si>
  <si>
    <t>-730.209323193392 91.5657610886265 -507.453095731851</t>
  </si>
  <si>
    <t>-630.760073778399 155.127126506655 -237.896066924781</t>
  </si>
  <si>
    <t>-404.204411351454 234.331372456452 -259.110958816623</t>
  </si>
  <si>
    <t>-697.285724348278 1.30089099165593 -84.5110482638312</t>
  </si>
  <si>
    <t>-685.398697135547 -1.07029983912935 318.85944410224</t>
  </si>
  <si>
    <t>-756.779438552983 -16.2724177997591 760.936770191972</t>
  </si>
  <si>
    <t>-614.952819316428 18.0033694166527 822.562145728437</t>
  </si>
  <si>
    <t>-515.047021809286 -206.010076293385 307.52817228333</t>
  </si>
  <si>
    <t>-593.358406182081 -268.004133957533 743.786287793203</t>
  </si>
  <si>
    <t>-462.667815701066 -311.730450897459 821.858540574305</t>
  </si>
  <si>
    <t>9763-20170724T104557.483462900.bin</t>
  </si>
  <si>
    <t>-730.909151719692 91.8923121316059 -507.877199078796</t>
  </si>
  <si>
    <t>-632.038671810404 155.645514568419 -238.152514252311</t>
  </si>
  <si>
    <t>-406.390727457259 237.432597956446 -259.24210474063</t>
  </si>
  <si>
    <t>-697.57727070992 1.20335781445624 -84.5018398928355</t>
  </si>
  <si>
    <t>-684.984890242676 -0.629423458971814 318.85004435799</t>
  </si>
  <si>
    <t>-756.699232624005 -16.3685850167228 760.892070399779</t>
  </si>
  <si>
    <t>-614.956973165079 18.2822218741521 822.501779123674</t>
  </si>
  <si>
    <t>-515.273749240757 -206.187907607068 307.1276469113</t>
  </si>
  <si>
    <t>-593.082874076452 -268.640215368377 743.437030449297</t>
  </si>
  <si>
    <t>-462.471449861163 -311.791775806898 821.960132382462</t>
  </si>
  <si>
    <t>9763-20170724T104557.550697900.bin</t>
  </si>
  <si>
    <t>-731.634098848447 92.6750875393359 -508.823989943772</t>
  </si>
  <si>
    <t>-634.558649278155 158.519365308458 -238.949687542136</t>
  </si>
  <si>
    <t>-409.524867863178 241.925454479637 -260.260161882895</t>
  </si>
  <si>
    <t>-697.471452573416 1.62964995229686 -84.1966237139339</t>
  </si>
  <si>
    <t>-683.372790029916 0.337079727565879 319.107522373947</t>
  </si>
  <si>
    <t>-756.54689234554 -16.6429484200969 760.866572850301</t>
  </si>
  <si>
    <t>-615.02299776591 18.9493834048174 822.441567096397</t>
  </si>
  <si>
    <t>-514.012118940535 -205.976644437735 306.308663718877</t>
  </si>
  <si>
    <t>-592.137668011758 -270.269957449647 742.381873572969</t>
  </si>
  <si>
    <t>-461.704330214973 -311.335420749112 822.307307426063</t>
  </si>
  <si>
    <t>9763-20170724T104557.582782900.bin</t>
  </si>
  <si>
    <t>-731.581625387611 93.1859049273912 -509.254809247298</t>
  </si>
  <si>
    <t>-634.997957079591 160.318670464288 -239.52147948104</t>
  </si>
  <si>
    <t>-409.639308483525 242.752661320634 -261.177687398107</t>
  </si>
  <si>
    <t>-696.664061447391 2.00210414913522 -83.8705616240322</t>
  </si>
  <si>
    <t>-681.990296328603 0.689868291875428 319.412991586156</t>
  </si>
  <si>
    <t>-756.478970305122 -16.8526158686877 760.903658472958</t>
  </si>
  <si>
    <t>-615.081683842306 19.2710467421 822.460191907803</t>
  </si>
  <si>
    <t>-512.583844152822 -205.510239826069 306.013698824026</t>
  </si>
  <si>
    <t>-591.560363112609 -270.457148564363 741.823503967006</t>
  </si>
  <si>
    <t>-461.659144751326 -311.596449396271 822.573331773462</t>
  </si>
  <si>
    <t>9763-20170724T104557.648979300.bin</t>
  </si>
  <si>
    <t>-731.464339738668 93.9904236553457 -509.803926559921</t>
  </si>
  <si>
    <t>-635.433766010493 161.795083865033 -240.041159418069</t>
  </si>
  <si>
    <t>-410.19273929178 243.739054801939 -264.588106819832</t>
  </si>
  <si>
    <t>-695.320654247675 3.12401869187556 -83.1477821316678</t>
  </si>
  <si>
    <t>-679.348413757711 0.958448568693711 320.082762692324</t>
  </si>
  <si>
    <t>-756.471497085688 -17.0149349249073 761.001462307909</t>
  </si>
  <si>
    <t>-615.180962105608 19.5371193200031 822.550084288987</t>
  </si>
  <si>
    <t>-509.804612487931 -204.437228836554 305.677979067414</t>
  </si>
  <si>
    <t>-590.508493153028 -271.025341493634 740.954752066312</t>
  </si>
  <si>
    <t>-461.286550498034 -311.451759697133 823.141502965711</t>
  </si>
  <si>
    <t>9763-20170724T104557.683071800.bin</t>
  </si>
  <si>
    <t>-731.501223250328 94.6820446747215 -510.079889803827</t>
  </si>
  <si>
    <t>-636.023504732 162.607903234751 -240.151580054324</t>
  </si>
  <si>
    <t>-410.854760496233 244.335644863002 -266.045956507276</t>
  </si>
  <si>
    <t>-695.261957175055 4.07214700054305 -82.8444950116998</t>
  </si>
  <si>
    <t>-678.39029423533 1.29414407001036 320.345625091189</t>
  </si>
  <si>
    <t>-756.470441591088 -17.0658365780953 761.032541341371</t>
  </si>
  <si>
    <t>-615.251655751839 19.6968905618062 822.620328653994</t>
  </si>
  <si>
    <t>-508.539678137655 -203.769866348456 305.641312659625</t>
  </si>
  <si>
    <t>-590.079663117981 -271.368707529178 740.650119612432</t>
  </si>
  <si>
    <t>-461.118743222455 -311.451928024816 823.413109248326</t>
  </si>
  <si>
    <t>9763-20170724T104557.751759500.bin</t>
  </si>
  <si>
    <t>-730.346359789633 96.717316704664 -511.07333656805</t>
  </si>
  <si>
    <t>-637.781605533419 164.51373981965 -240.099896801728</t>
  </si>
  <si>
    <t>-412.487277884554 245.196953477324 -268.091661332354</t>
  </si>
  <si>
    <t>-369.996104560833 5.4669530317949 -239.531833855454</t>
  </si>
  <si>
    <t>-694.794212858905 6.54185329744746 -82.5649109704767</t>
  </si>
  <si>
    <t>-678.432130753147 2.40878740359858 320.634675815003</t>
  </si>
  <si>
    <t>-756.425850046595 -17.168565258022 761.055269827633</t>
  </si>
  <si>
    <t>-615.327895526184 19.8297876480619 822.778807218613</t>
  </si>
  <si>
    <t>-506.761344179726 -202.263978360268 305.440084491844</t>
  </si>
  <si>
    <t>-589.384337224207 -271.436852258465 740.056518936529</t>
  </si>
  <si>
    <t>-461.156254931818 -311.834374420507 823.799520697241</t>
  </si>
  <si>
    <t>9763-20170724T104557.785850200.bin</t>
  </si>
  <si>
    <t>-729.239842076184 98.1777875476143 -511.651896000116</t>
  </si>
  <si>
    <t>-638.502212748296 165.196514919222 -239.868160068658</t>
  </si>
  <si>
    <t>-413.001995588041 245.233564497971 -268.056608945033</t>
  </si>
  <si>
    <t>-366.304218345682 16.4245957091891 -232.808108537006</t>
  </si>
  <si>
    <t>-694.713967173455 8.06827769189158 -82.5716228856979</t>
  </si>
  <si>
    <t>-678.691954061528 3.48048553561034 320.636652429692</t>
  </si>
  <si>
    <t>-756.421885167616 -17.0888901496032 761.025962750208</t>
  </si>
  <si>
    <t>-615.405307916943 20.069314305556 822.839365117788</t>
  </si>
  <si>
    <t>-506.457254760484 -201.586037061392 305.186262760348</t>
  </si>
  <si>
    <t>-589.104936939715 -271.536385164961 739.74796344102</t>
  </si>
  <si>
    <t>-461.004061187531 -311.527059952349 823.880052578703</t>
  </si>
  <si>
    <t>9763-20170724T104557.855053500.bin</t>
  </si>
  <si>
    <t>-726.993939391142 102.252150905002 -513.158679895182</t>
  </si>
  <si>
    <t>-640.026857199701 167.151799445818 -239.633650530145</t>
  </si>
  <si>
    <t>-414.575081223544 246.780537448493 -269.326096241412</t>
  </si>
  <si>
    <t>-361.261259165408 39.3152298075818 -221.057318120356</t>
  </si>
  <si>
    <t>-695.304767894812 11.9875558999927 -82.6599137305774</t>
  </si>
  <si>
    <t>-679.506546257115 6.05088490016965 320.539627154073</t>
  </si>
  <si>
    <t>-756.254729241465 -17.2353186968458 760.916620038541</t>
  </si>
  <si>
    <t>-615.501132687533 20.5932138252492 822.922512429737</t>
  </si>
  <si>
    <t>-506.789004406789 -199.492855555087 304.644591171904</t>
  </si>
  <si>
    <t>-588.481147067762 -271.79627884244 739.076581702716</t>
  </si>
  <si>
    <t>-461.06075874288 -312.198067218163 824.041502000875</t>
  </si>
  <si>
    <t>9763-20170724T104557.884121500.bin</t>
  </si>
  <si>
    <t>-726.059410956322 104.29946983353 -514.171601553643</t>
  </si>
  <si>
    <t>-640.392879906549 168.732254548378 -240.126297394799</t>
  </si>
  <si>
    <t>-414.817032365079 247.933279933231 -270.019367586129</t>
  </si>
  <si>
    <t>-360.018502147762 49.8034505339458 -216.636070309928</t>
  </si>
  <si>
    <t>-695.135085890868 14.0394840154804 -82.8591923434306</t>
  </si>
  <si>
    <t>-680.284300858284 7.46309347626266 320.366345595618</t>
  </si>
  <si>
    <t>-756.140101557117 -17.2958710996763 760.78357285779</t>
  </si>
  <si>
    <t>-615.558029973949 20.8895354001766 822.959529924862</t>
  </si>
  <si>
    <t>-506.848745937113 -198.317308970849 304.182954986035</t>
  </si>
  <si>
    <t>-588.021702951367 -271.904797523177 738.589732412039</t>
  </si>
  <si>
    <t>-460.994914331023 -312.34766656436 824.122544035926</t>
  </si>
  <si>
    <t>9763-20170724T104557.950301700.bin</t>
  </si>
  <si>
    <t>-595.796686004503 3.67620058066223 -667.823920866516</t>
  </si>
  <si>
    <t>-724.699643537163 107.544046378448 -516.022298625934</t>
  </si>
  <si>
    <t>-641.765185446185 172.213507847673 -241.193317883018</t>
  </si>
  <si>
    <t>-415.991281230695 250.460898065112 -272.08596466306</t>
  </si>
  <si>
    <t>-358.222556539501 64.5136336051494 -211.888814846144</t>
  </si>
  <si>
    <t>-694.513012729091 17.6653683778047 -83.2064764103294</t>
  </si>
  <si>
    <t>-680.512417609752 9.59086802742786 320.022357051777</t>
  </si>
  <si>
    <t>-755.906078820202 -17.3152835393535 760.431646917252</t>
  </si>
  <si>
    <t>-615.647232001979 21.3367433925036 823.047844103096</t>
  </si>
  <si>
    <t>-505.886196035561 -195.788800243109 303.485608057115</t>
  </si>
  <si>
    <t>-586.889160824087 -272.664053618773 737.506038341783</t>
  </si>
  <si>
    <t>-460.42854647486 -312.021318755165 824.373982271133</t>
  </si>
  <si>
    <t>9763-20170724T104557.986407300.bin</t>
  </si>
  <si>
    <t>-594.860658917268 5.16966597204714 -668.109469592653</t>
  </si>
  <si>
    <t>-724.394480924687 108.709793475173 -516.457287178751</t>
  </si>
  <si>
    <t>-642.160378892299 172.982231228448 -241.324976940332</t>
  </si>
  <si>
    <t>-416.405474383587 251.013403244305 -272.89638467473</t>
  </si>
  <si>
    <t>-357.251291654679 69.2030275459861 -210.894471325731</t>
  </si>
  <si>
    <t>-694.246404388912 19.0906375431389 -83.2658589776431</t>
  </si>
  <si>
    <t>-680.004305022237 10.2145904836418 319.937632175563</t>
  </si>
  <si>
    <t>-755.841806283972 -17.2701597384582 760.25762006118</t>
  </si>
  <si>
    <t>-615.720384403717 21.519330285616 823.095865338259</t>
  </si>
  <si>
    <t>-504.759898963852 -194.514762389573 303.240858945705</t>
  </si>
  <si>
    <t>-586.293640048871 -272.696094503954 736.982518274692</t>
  </si>
  <si>
    <t>-460.27794918618 -311.92297250043 824.553057808137</t>
  </si>
  <si>
    <t>9763-20170724T104558.029520400.bin</t>
  </si>
  <si>
    <t>-594.213416425723 6.18582340696503 -668.289214690967</t>
  </si>
  <si>
    <t>-724.225973968737 109.401535619798 -516.624358130785</t>
  </si>
  <si>
    <t>-642.316472933636 173.154219665757 -241.274237875474</t>
  </si>
  <si>
    <t>-416.656059837725 251.289477314212 -273.26066728953</t>
  </si>
  <si>
    <t>-356.289066354039 72.9371047001659 -210.321718691815</t>
  </si>
  <si>
    <t>-693.691452903006 20.1411964015049 -83.2575647430447</t>
  </si>
  <si>
    <t>-679.410771752838 10.6854137106409 319.931362313662</t>
  </si>
  <si>
    <t>-755.772607284969 -17.2406979761827 760.100702588761</t>
  </si>
  <si>
    <t>-615.781989742834 21.6746774156529 823.152284574714</t>
  </si>
  <si>
    <t>-503.228079805422 -193.520250559852 303.099154411399</t>
  </si>
  <si>
    <t>-585.734733012044 -272.76325629752 736.492329338433</t>
  </si>
  <si>
    <t>-460.115859828371 -311.798864197055 824.71602495664</t>
  </si>
  <si>
    <t>9763-20170724T104558.100716300.bin</t>
  </si>
  <si>
    <t>-593.536393423077 7.75940448344454 -668.416653060441</t>
  </si>
  <si>
    <t>-723.884159349585 110.408006779337 -516.467581569997</t>
  </si>
  <si>
    <t>-642.444462718667 174.077424800372 -240.959115049515</t>
  </si>
  <si>
    <t>-417.325395193972 253.54620103346 -273.470755151407</t>
  </si>
  <si>
    <t>-352.909623946661 77.304354393106 -209.654252169889</t>
  </si>
  <si>
    <t>-692.641466210315 21.7753521399245 -83.0686475713575</t>
  </si>
  <si>
    <t>-677.96300643788 11.0784845904075 320.075037339895</t>
  </si>
  <si>
    <t>-755.714088182606 -17.2925036526792 759.97765731864</t>
  </si>
  <si>
    <t>-615.843058018908 21.6332914264885 823.287789151783</t>
  </si>
  <si>
    <t>-499.483283244552 -191.883289531303 302.992607392558</t>
  </si>
  <si>
    <t>-584.821125328099 -272.575861762439 735.492730284814</t>
  </si>
  <si>
    <t>-459.915298478455 -311.518555970094 824.763697844083</t>
  </si>
  <si>
    <t>9763-20170724T104558.153856400.bin</t>
  </si>
  <si>
    <t>-593.397543806911 7.44431789637906 -668.688231734281</t>
  </si>
  <si>
    <t>-723.690850587229 110.070487210351 -516.599640666569</t>
  </si>
  <si>
    <t>-642.43034808492 175.112695804444 -241.358878027475</t>
  </si>
  <si>
    <t>-417.471787328966 255.1540223148 -273.575511023167</t>
  </si>
  <si>
    <t>-350.396649683817 78.9491632904426 -210.315291533285</t>
  </si>
  <si>
    <t>-691.29325940417 22.8074648369222 -82.9089924785901</t>
  </si>
  <si>
    <t>-676.811285693514 11.209930975217 320.216872192637</t>
  </si>
  <si>
    <t>-755.801760625776 -17.1778511991886 759.901596849018</t>
  </si>
  <si>
    <t>-615.943721620421 21.5922838638714 823.335846165078</t>
  </si>
  <si>
    <t>-496.54551295223 -190.880514836595 302.908360057806</t>
  </si>
  <si>
    <t>-584.266998140141 -272.329511019013 734.911482922634</t>
  </si>
  <si>
    <t>-459.822523483362 -311.267119895442 824.826670192186</t>
  </si>
  <si>
    <t>9763-20170724T104558.183935700.bin</t>
  </si>
  <si>
    <t>-593.105458254452 7.0313100511728 -668.844747378104</t>
  </si>
  <si>
    <t>-723.396396362596 109.790295268567 -516.73247937088</t>
  </si>
  <si>
    <t>-641.956081482964 175.062651333806 -241.599408258421</t>
  </si>
  <si>
    <t>-417.080569371991 255.318339962635 -273.862235417029</t>
  </si>
  <si>
    <t>-349.632480185552 79.4111291646127 -211.697996952204</t>
  </si>
  <si>
    <t>-690.465559873454 23.1737847685743 -82.871043621328</t>
  </si>
  <si>
    <t>-676.385357126544 11.4170297575504 320.26437745382</t>
  </si>
  <si>
    <t>-755.792327094416 -17.2251233519316 759.874189751585</t>
  </si>
  <si>
    <t>-615.988698825234 21.6737023513822 823.349435190499</t>
  </si>
  <si>
    <t>-495.530350033678 -190.513541852295 302.89985038864</t>
  </si>
  <si>
    <t>-584.029017862099 -272.131835120949 734.664929765183</t>
  </si>
  <si>
    <t>-459.863114210022 -311.306146328783 824.862020621703</t>
  </si>
  <si>
    <t>9763-20170724T104558.247655800.bin</t>
  </si>
  <si>
    <t>-593.035550843311 5.502361074183 -669.270488066574</t>
  </si>
  <si>
    <t>-723.365993842837 108.797194619024 -517.170409625461</t>
  </si>
  <si>
    <t>-643.572347824594 173.624492565705 -241.45027594949</t>
  </si>
  <si>
    <t>-418.216636233568 252.829146503305 -272.950855365977</t>
  </si>
  <si>
    <t>-349.491905006936 78.9566042130032 -214.715185818358</t>
  </si>
  <si>
    <t>-689.393300241904 24.056728262078 -82.7821653379548</t>
  </si>
  <si>
    <t>-675.510396357814 11.6638752346275 320.341101137166</t>
  </si>
  <si>
    <t>-755.854273043746 -17.228971395167 759.835380093824</t>
  </si>
  <si>
    <t>-616.030589644266 21.4254162910499 823.415885852363</t>
  </si>
  <si>
    <t>-493.830378233826 -189.861213222459 302.84523408382</t>
  </si>
  <si>
    <t>-583.553159143572 -272.112554939867 734.224000242184</t>
  </si>
  <si>
    <t>-459.775846949586 -311.326238677364 824.936603915052</t>
  </si>
  <si>
    <t>9763-20170724T104558.287763100.bin</t>
  </si>
  <si>
    <t>-593.612041817006 4.16274136803941 -669.493770388127</t>
  </si>
  <si>
    <t>-723.773399526104 107.81367973026 -517.288433793915</t>
  </si>
  <si>
    <t>-646.132329845161 172.76586924883 -240.983582680668</t>
  </si>
  <si>
    <t>-419.738313480234 249.579209625542 -270.922827558152</t>
  </si>
  <si>
    <t>-349.793793243616 78.5746620002819 -216.193742775773</t>
  </si>
  <si>
    <t>-688.728928645823 24.289980134502 -82.688160075904</t>
  </si>
  <si>
    <t>-675.017687800694 11.6370813549731 320.432852373681</t>
  </si>
  <si>
    <t>-755.882034824626 -17.2416086447297 759.822164922455</t>
  </si>
  <si>
    <t>-616.045622187687 21.3199470181305 823.431098980894</t>
  </si>
  <si>
    <t>-493.389365917436 -189.738438030793 302.867696404286</t>
  </si>
  <si>
    <t>-583.408260531272 -271.915519885177 734.148202693273</t>
  </si>
  <si>
    <t>-459.757292621998 -311.213579773034 824.996462714304</t>
  </si>
  <si>
    <t>9763-20170724T104558.350647900.bin</t>
  </si>
  <si>
    <t>-594.965636896303 1.91359276912817 -669.735872244467</t>
  </si>
  <si>
    <t>-724.930265288658 106.137042867347 -517.482964686404</t>
  </si>
  <si>
    <t>-656.598093683963 172.755904018834 -239.123730639194</t>
  </si>
  <si>
    <t>-427.745339702203 243.476221776536 -265.122604515139</t>
  </si>
  <si>
    <t>-350.719740154207 76.9162361411995 -219.587914625632</t>
  </si>
  <si>
    <t>-687.292997909963 24.8617015874759 -82.4324828550818</t>
  </si>
  <si>
    <t>-673.967249317657 11.8610083741257 320.690513459873</t>
  </si>
  <si>
    <t>-756.061423402353 -17.1924757745546 759.885094177427</t>
  </si>
  <si>
    <t>-616.151007805042 21.2587926119381 823.397861718766</t>
  </si>
  <si>
    <t>-492.570830857448 -189.81087703103 303.042278796174</t>
  </si>
  <si>
    <t>-583.357956651601 -271.686897005987 734.214691727216</t>
  </si>
  <si>
    <t>-459.756609174198 -311.108066803131 825.07708367036</t>
  </si>
  <si>
    <t>9763-20170724T104558.383736400.bin</t>
  </si>
  <si>
    <t>-595.495294316046 1.48660994676084 -669.721236303486</t>
  </si>
  <si>
    <t>-725.56280165697 105.702907760331 -517.698658397362</t>
  </si>
  <si>
    <t>-664.381752852847 172.115876035796 -237.631786109316</t>
  </si>
  <si>
    <t>-434.253485474944 239.17172819036 -262.032116275618</t>
  </si>
  <si>
    <t>-350.8098148477 76.2537950008912 -221.482563397095</t>
  </si>
  <si>
    <t>-686.489270000387 25.2268997108979 -82.2865771983102</t>
  </si>
  <si>
    <t>-673.484169066603 12.062673170587 320.841474514109</t>
  </si>
  <si>
    <t>-756.13321084696 -17.2076643996072 759.912753262893</t>
  </si>
  <si>
    <t>-616.20812673332 21.2724932808521 823.375745533197</t>
  </si>
  <si>
    <t>-492.145874379291 -190.001460893494 303.036786310507</t>
  </si>
  <si>
    <t>-583.320376797792 -271.54367390198 734.212005099511</t>
  </si>
  <si>
    <t>-459.740255268383 -310.983961440304 825.094976877097</t>
  </si>
  <si>
    <t>9763-20170724T104558.453926600.bin</t>
  </si>
  <si>
    <t>-596.953391322742 1.21398236220216 -669.4477372299</t>
  </si>
  <si>
    <t>-727.284089307824 105.008332878295 -517.508416479976</t>
  </si>
  <si>
    <t>-673.921172755122 167.384029768091 -234.92588776536</t>
  </si>
  <si>
    <t>-441.769523186589 226.951796322982 -259.587382666598</t>
  </si>
  <si>
    <t>-350.991657492644 75.6255792229992 -224.253201437094</t>
  </si>
  <si>
    <t>-685.648709110729 25.5778904709102 -81.958950911467</t>
  </si>
  <si>
    <t>-672.401216501894 12.3446500676953 321.158955833671</t>
  </si>
  <si>
    <t>-756.206813553954 -17.3257568976699 759.965484494675</t>
  </si>
  <si>
    <t>-616.264106429853 21.2202431573362 823.349577302056</t>
  </si>
  <si>
    <t>-491.095204978127 -189.916405436587 303.211386319227</t>
  </si>
  <si>
    <t>-583.182037012921 -271.337694532946 734.164152049302</t>
  </si>
  <si>
    <t>-459.737038103779 -310.927907241708 825.165453120982</t>
  </si>
  <si>
    <t>9763-20170724T104558.483004900.bin</t>
  </si>
  <si>
    <t>-598.026313484268 0.777627074896145 -669.24149185402</t>
  </si>
  <si>
    <t>-728.280914638989 104.428517318205 -516.946636029722</t>
  </si>
  <si>
    <t>-672.420995441209 165.312703911484 -234.52148969109</t>
  </si>
  <si>
    <t>-439.603055285562 221.633015317691 -260.496028775903</t>
  </si>
  <si>
    <t>-351.440873878595 74.423147142943 -225.228241177868</t>
  </si>
  <si>
    <t>-685.725749644119 25.4766647089359 -81.7815734364169</t>
  </si>
  <si>
    <t>-671.864299882224 12.4323964233538 321.321874107155</t>
  </si>
  <si>
    <t>-756.267092620151 -17.3601002733612 759.997615216648</t>
  </si>
  <si>
    <t>-616.302976640027 21.1784443782669 823.338941721518</t>
  </si>
  <si>
    <t>-490.544102596491 -189.857427511638 303.382147530337</t>
  </si>
  <si>
    <t>-583.152452126204 -271.476790540468 734.213355122356</t>
  </si>
  <si>
    <t>-459.593935952931 -310.718748683842 825.211441270512</t>
  </si>
  <si>
    <t>9763-20170724T104558.549185800.bin</t>
  </si>
  <si>
    <t>-728.766171692391 103.396997543543 -516.357859765648</t>
  </si>
  <si>
    <t>-666.055930595761 165.486997267443 -235.638245467018</t>
  </si>
  <si>
    <t>-432.406482685667 218.177265101965 -261.763251531317</t>
  </si>
  <si>
    <t>-355.406033993587 67.1919153944643 -230.854828084738</t>
  </si>
  <si>
    <t>-685.161628360069 24.951319725496 -81.574032468318</t>
  </si>
  <si>
    <t>-671.352893482062 12.3012852642833 321.543747736013</t>
  </si>
  <si>
    <t>-756.295311169681 -17.5447012647144 760.027719627567</t>
  </si>
  <si>
    <t>-616.411289083792 21.3866435182306 823.305809907193</t>
  </si>
  <si>
    <t>-489.215139163993 -189.529090134583 303.715009086735</t>
  </si>
  <si>
    <t>-583.064735837342 -271.547420246379 734.255136637527</t>
  </si>
  <si>
    <t>-459.371605056861 -310.308401069658 825.276591175693</t>
  </si>
  <si>
    <t>9763-20170724T104558.582279300.bin</t>
  </si>
  <si>
    <t>-728.35522879071 102.965967459258 -516.492064030465</t>
  </si>
  <si>
    <t>-664.648649050608 166.339658906102 -236.284196709235</t>
  </si>
  <si>
    <t>-430.906569093168 219.090967893865 -261.439779335945</t>
  </si>
  <si>
    <t>-357.706184546113 59.5799029212917 -234.628060392494</t>
  </si>
  <si>
    <t>-684.642452665619 24.7056505097237 -81.5705372382365</t>
  </si>
  <si>
    <t>-671.227870050779 12.0548712870311 321.560545080083</t>
  </si>
  <si>
    <t>-756.3576470874 -17.5312726754044 760.04934041637</t>
  </si>
  <si>
    <t>-616.465002824578 21.4369663260447 823.285555784089</t>
  </si>
  <si>
    <t>-488.603015112437 -189.715597730918 303.826218871284</t>
  </si>
  <si>
    <t>-583.000304618292 -271.800168505125 734.273808768752</t>
  </si>
  <si>
    <t>-459.141037318761 -309.970716586133 825.318796628036</t>
  </si>
  <si>
    <t>9763-20170724T104558.650009700.bin</t>
  </si>
  <si>
    <t>-726.962457139627 102.345590531386 -516.52143199582</t>
  </si>
  <si>
    <t>-662.556391885852 168.628537333715 -237.147857245083</t>
  </si>
  <si>
    <t>-428.534281326934 220.55272184705 -261.405631143963</t>
  </si>
  <si>
    <t>-369.150700217195 39.4881836202831 -243.50752725848</t>
  </si>
  <si>
    <t>-684.183542308091 23.9741103911731 -81.3356536344255</t>
  </si>
  <si>
    <t>-670.333903216785 11.1473941899735 321.775174883201</t>
  </si>
  <si>
    <t>-756.611737705282 -17.4408937785199 760.191786437094</t>
  </si>
  <si>
    <t>-616.518796224212 21.2105694168167 823.178591196902</t>
  </si>
  <si>
    <t>-487.519240167927 -189.958505887982 304.386674360942</t>
  </si>
  <si>
    <t>-583.121463833353 -271.715358454479 734.582883406564</t>
  </si>
  <si>
    <t>-459.160292423861 -310.028415412843 825.429029330409</t>
  </si>
  <si>
    <t>9763-20170724T104558.681092900.bin</t>
  </si>
  <si>
    <t>-725.623195119359 102.734183533787 -516.23756319777</t>
  </si>
  <si>
    <t>-660.277547994629 170.976317726866 -237.554576200978</t>
  </si>
  <si>
    <t>-426.480858136592 223.030023167284 -263.639130805935</t>
  </si>
  <si>
    <t>-375.399276504067 28.1663808471076 -247.478395494582</t>
  </si>
  <si>
    <t>-683.707000418701 23.7392332545423 -81.1574348862554</t>
  </si>
  <si>
    <t>-669.910533337519 10.913922050931 321.955278384729</t>
  </si>
  <si>
    <t>-756.764115182207 -17.424346162278 760.319598257046</t>
  </si>
  <si>
    <t>-616.511055116804 20.933182159258 823.129538092879</t>
  </si>
  <si>
    <t>-487.016877819917 -190.092808325174 304.725441652604</t>
  </si>
  <si>
    <t>-583.327229840923 -271.358394010963 734.813923290871</t>
  </si>
  <si>
    <t>-459.285560310017 -310.047379464053 825.390527598236</t>
  </si>
  <si>
    <t>9763-20170724T104558.750825100.bin</t>
  </si>
  <si>
    <t>-722.970273698155 103.612493173904 -516.181017247756</t>
  </si>
  <si>
    <t>-654.108752509809 174.801896921483 -239.086553442911</t>
  </si>
  <si>
    <t>-420.517644959569 227.050829529424 -266.583548238932</t>
  </si>
  <si>
    <t>-389.916704458757 8.52210142689046 -254.030993124742</t>
  </si>
  <si>
    <t>-682.960987862589 23.6243587879835 -80.9026137576366</t>
  </si>
  <si>
    <t>-669.547656550196 10.4652588266979 322.212270033651</t>
  </si>
  <si>
    <t>-757.046815155199 -17.3353622565726 760.47281432549</t>
  </si>
  <si>
    <t>-616.569726448066 20.5740450942085 823.053652738148</t>
  </si>
  <si>
    <t>-486.997561387461 -190.793919268547 305.028763715295</t>
  </si>
  <si>
    <t>-583.745607736377 -270.743208978796 735.253781324781</t>
  </si>
  <si>
    <t>-459.458854045524 -310.033423017817 825.233722171167</t>
  </si>
  <si>
    <t>9763-20170724T104558.783914000.bin</t>
  </si>
  <si>
    <t>-721.652623313504 103.780306765634 -516.555180352908</t>
  </si>
  <si>
    <t>-652.311759270824 176.761055254228 -240.046820000438</t>
  </si>
  <si>
    <t>-418.336621687924 227.897429207252 -266.345160866263</t>
  </si>
  <si>
    <t>-396.844834470387 0.196384188213187 -257.250359632377</t>
  </si>
  <si>
    <t>-682.294357387091 23.5234192678388 -80.8817795476546</t>
  </si>
  <si>
    <t>-669.363243516018 10.2953607001521 322.246505939767</t>
  </si>
  <si>
    <t>-757.149318042387 -17.2409868331035 760.502529782883</t>
  </si>
  <si>
    <t>-616.561648380469 20.3658621299696 823.017739623012</t>
  </si>
  <si>
    <t>-487.44626358574 -191.218642681662 305.06220287866</t>
  </si>
  <si>
    <t>-583.942538427317 -270.491200582024 735.460301743511</t>
  </si>
  <si>
    <t>-459.611010428056 -310.221975322603 825.184527189302</t>
  </si>
  <si>
    <t>9763-20170724T104558.852121400.bin</t>
  </si>
  <si>
    <t>-718.259915812896 105.104912199019 -516.945908122144</t>
  </si>
  <si>
    <t>-649.903313718433 179.926228171753 -240.684508073897</t>
  </si>
  <si>
    <t>-415.637247756844 230.357930137648 -265.722966496318</t>
  </si>
  <si>
    <t>-681.760824479556 23.8572103445922 -80.7329967617885</t>
  </si>
  <si>
    <t>-668.701494663404 10.5145743985204 322.387557661927</t>
  </si>
  <si>
    <t>-757.370255069158 -17.088816641789 760.606036341494</t>
  </si>
  <si>
    <t>-616.585392895067 20.0176783449879 822.976049070621</t>
  </si>
  <si>
    <t>-488.647644413943 -192.337355897517 305.22575512636</t>
  </si>
  <si>
    <t>-584.370290072977 -269.92033188168 735.888984519592</t>
  </si>
  <si>
    <t>-459.844573932732 -310.194268944488 825.100246416732</t>
  </si>
  <si>
    <t>9763-20170724T104558.881190500.bin</t>
  </si>
  <si>
    <t>-716.452858856542 105.89771531026 -516.739568986666</t>
  </si>
  <si>
    <t>-647.74552839798 180.299376212944 -240.451833521727</t>
  </si>
  <si>
    <t>-413.692923444078 231.353053920572 -266.215586834364</t>
  </si>
  <si>
    <t>-681.330095951498 23.899378501126 -80.557435754489</t>
  </si>
  <si>
    <t>-668.11422056297 10.582660051524 322.558787502296</t>
  </si>
  <si>
    <t>-757.427884745857 -17.1204991065304 760.678084948655</t>
  </si>
  <si>
    <t>-616.579569202632 19.887672886528 822.963397289921</t>
  </si>
  <si>
    <t>-489.096253339527 -192.867229350176 305.395851797028</t>
  </si>
  <si>
    <t>-584.62414221531 -269.586588426542 736.16644001721</t>
  </si>
  <si>
    <t>-459.989073156831 -310.208723316919 825.066565742815</t>
  </si>
  <si>
    <t>9763-20170724T104558.918291800.bin</t>
  </si>
  <si>
    <t>-715.254463593237 106.357750792739 -516.429063240957</t>
  </si>
  <si>
    <t>-645.523915488786 180.771198618129 -240.400960803242</t>
  </si>
  <si>
    <t>-411.681781647814 232.464880455027 -266.792197760209</t>
  </si>
  <si>
    <t>-681.142519088145 23.8348377596105 -80.3811588239386</t>
  </si>
  <si>
    <t>-667.589162621118 10.5101945110828 322.72352655961</t>
  </si>
  <si>
    <t>-757.500027930695 -17.1047468217375 760.736394050195</t>
  </si>
  <si>
    <t>-616.57707030152 19.7492582359805 822.944108373794</t>
  </si>
  <si>
    <t>-489.888293925679 -193.412366623781 305.58100943049</t>
  </si>
  <si>
    <t>-584.913361282268 -269.646105143252 736.505215399225</t>
  </si>
  <si>
    <t>-460.072418004149 -310.419197222055 825.046659574553</t>
  </si>
  <si>
    <t>9763-20170724T104558.985191400.bin</t>
  </si>
  <si>
    <t>-713.909385622862 106.405473226374 -516.389624719253</t>
  </si>
  <si>
    <t>-642.326415797515 182.301183455283 -241.240729768654</t>
  </si>
  <si>
    <t>-408.858045985334 235.321689995021 -268.299590432489</t>
  </si>
  <si>
    <t>-681.05425769255 23.672800772644 -80.1778941256672</t>
  </si>
  <si>
    <t>-666.983752090842 10.405411447098 322.910927434439</t>
  </si>
  <si>
    <t>-757.695603628004 -16.9010779082341 760.818185329204</t>
  </si>
  <si>
    <t>-616.536038423566 19.2467493194781 822.903751882531</t>
  </si>
  <si>
    <t>-491.858608110123 -194.0843481836 305.849105750725</t>
  </si>
  <si>
    <t>-585.441946435272 -269.371059448321 737.167333675352</t>
  </si>
  <si>
    <t>-460.366816221506 -310.794986438069 825.073909471252</t>
  </si>
  <si>
    <t>9763-20170724T104559.052904500.bin</t>
  </si>
  <si>
    <t>-712.732674485387 105.955647376611 -516.63101190601</t>
  </si>
  <si>
    <t>-639.297827998157 184.581234559547 -242.739489999927</t>
  </si>
  <si>
    <t>-405.785668086994 237.625039730621 -269.372204607304</t>
  </si>
  <si>
    <t>-680.477792200351 23.3603347485232 -80.1509447596542</t>
  </si>
  <si>
    <t>-667.246179648674 10.0670231909255 322.965562271064</t>
  </si>
  <si>
    <t>-757.684358670472 -17.0847042701694 760.950641707396</t>
  </si>
  <si>
    <t>-616.574178790377 19.5583508572975 822.857814661526</t>
  </si>
  <si>
    <t>-493.167531316602 -194.673684494451 306.052242819562</t>
  </si>
  <si>
    <t>-585.810261897535 -269.378775160694 737.664824910963</t>
  </si>
  <si>
    <t>-460.40036678641 -310.776531170668 825.105533565177</t>
  </si>
  <si>
    <t>9763-20170724T104559.083986300.bin</t>
  </si>
  <si>
    <t>-712.410968298962 105.840748896315 -516.756131199115</t>
  </si>
  <si>
    <t>-637.961244051718 185.525921318558 -243.445330559249</t>
  </si>
  <si>
    <t>-404.421598400332 238.668066531514 -269.637522133557</t>
  </si>
  <si>
    <t>-680.677594511601 23.4563828234539 -80.0830180766612</t>
  </si>
  <si>
    <t>-667.277432329595 10.0492876374581 323.024084791876</t>
  </si>
  <si>
    <t>-757.789286035967 -16.991091679934 761.011463973597</t>
  </si>
  <si>
    <t>-616.570428867363 19.3464551073416 822.850840719494</t>
  </si>
  <si>
    <t>-493.509034025324 -194.63134705148 306.166874024461</t>
  </si>
  <si>
    <t>-585.940365711632 -269.421806691181 737.861176889849</t>
  </si>
  <si>
    <t>-460.540868868582 -311.198267842142 825.136564857494</t>
  </si>
  <si>
    <t>9763-20170724T104559.152428300.bin</t>
  </si>
  <si>
    <t>-711.033827653642 105.318314120897 -516.963040469043</t>
  </si>
  <si>
    <t>-635.253391229399 186.798047786364 -244.548698699464</t>
  </si>
  <si>
    <t>-401.590600007321 240.392981830682 -268.634693216127</t>
  </si>
  <si>
    <t>-680.39161176108 23.0790831208242 -79.8377885410364</t>
  </si>
  <si>
    <t>-666.446651150956 9.72345256103108 323.252564608124</t>
  </si>
  <si>
    <t>-757.794584937172 -17.1068396495971 761.091601650331</t>
  </si>
  <si>
    <t>-616.568290431254 19.3570022955907 822.839569485204</t>
  </si>
  <si>
    <t>-493.671492752135 -194.777858440149 306.342599230604</t>
  </si>
  <si>
    <t>-586.050841831676 -269.22350342535 738.084558968449</t>
  </si>
  <si>
    <t>-460.637498683659 -311.243951125332 825.222780495279</t>
  </si>
  <si>
    <t>9763-20170724T104559.183511900.bin</t>
  </si>
  <si>
    <t>-709.924983456025 104.901393410154 -517.16999277196</t>
  </si>
  <si>
    <t>-633.822004310911 187.143373416945 -245.074732363524</t>
  </si>
  <si>
    <t>-399.98807144315 240.568647607873 -267.840442901202</t>
  </si>
  <si>
    <t>-680.157505587317 22.8698919242847 -79.6580789586103</t>
  </si>
  <si>
    <t>-665.799415246879 9.53381234018798 323.418399670825</t>
  </si>
  <si>
    <t>-757.75791385958 -17.2753991335067 761.152181051228</t>
  </si>
  <si>
    <t>-616.56890655206 19.42722672113 822.843974284238</t>
  </si>
  <si>
    <t>-493.500674180307 -194.970854376352 306.417277453214</t>
  </si>
  <si>
    <t>-586.051585594349 -269.406483571816 738.15591554582</t>
  </si>
  <si>
    <t>-460.579977432934 -311.220127279332 825.309764938729</t>
  </si>
  <si>
    <t>9763-20170724T104559.246442400.bin</t>
  </si>
  <si>
    <t>-707.090675458787 104.912603420747 -517.460028971102</t>
  </si>
  <si>
    <t>-630.174164851995 189.424340941435 -246.290677706928</t>
  </si>
  <si>
    <t>-395.860532356976 241.609974743244 -266.897508811173</t>
  </si>
  <si>
    <t>-679.19855392523 23.2040344874174 -79.2762643678878</t>
  </si>
  <si>
    <t>-664.538808845416 9.74238986213231 323.78522487553</t>
  </si>
  <si>
    <t>-757.735031348853 -17.4346399639228 761.218589285318</t>
  </si>
  <si>
    <t>-616.618308651472 19.6397918679802 822.853441534662</t>
  </si>
  <si>
    <t>-493.52949506837 -194.672933969068 306.73631896752</t>
  </si>
  <si>
    <t>-586.017675133187 -269.081637439223 738.353355304692</t>
  </si>
  <si>
    <t>-460.763512997796 -311.421324202619 825.565973284282</t>
  </si>
  <si>
    <t>9763-20170724T104559.287551900.bin</t>
  </si>
  <si>
    <t>-705.630832862443 105.034456111283 -517.725143226786</t>
  </si>
  <si>
    <t>-628.573462331848 190.810452381744 -246.993064592293</t>
  </si>
  <si>
    <t>-394.007576472508 242.194388801378 -266.726662051034</t>
  </si>
  <si>
    <t>-678.599940969935 23.4604213511552 -79.1023912609362</t>
  </si>
  <si>
    <t>-663.93731840446 9.98442024224073 323.958553731916</t>
  </si>
  <si>
    <t>-757.785740929035 -17.3514014885691 761.242055222687</t>
  </si>
  <si>
    <t>-616.610011954845 19.5021539139723 822.874327213983</t>
  </si>
  <si>
    <t>-493.651070949405 -194.633026385221 306.915167223448</t>
  </si>
  <si>
    <t>-586.049646754191 -269.26272894509 738.481708289449</t>
  </si>
  <si>
    <t>-460.701392003106 -311.366546505743 825.673192053517</t>
  </si>
  <si>
    <t>9763-20170724T104559.350729300.bin</t>
  </si>
  <si>
    <t>-702.876728500116 105.502484820538 -518.51127605124</t>
  </si>
  <si>
    <t>-625.507923797833 193.64862138072 -248.630632558639</t>
  </si>
  <si>
    <t>-390.531829612573 243.801740231547 -266.567726348388</t>
  </si>
  <si>
    <t>-678.102162622592 24.5316838691201 -78.7637540878427</t>
  </si>
  <si>
    <t>-663.031539843252 10.3706313943487 324.258605112317</t>
  </si>
  <si>
    <t>-757.844609026884 -17.2947162798223 761.34512385645</t>
  </si>
  <si>
    <t>-616.595782992085 19.3047488435241 822.96115193978</t>
  </si>
  <si>
    <t>-493.697908743357 -194.630086442612 307.041479044896</t>
  </si>
  <si>
    <t>-586.073051418455 -269.347317443259 738.619685278564</t>
  </si>
  <si>
    <t>-460.785195154048 -311.606219084626 825.823107700329</t>
  </si>
  <si>
    <t>9763-20170724T104559.382814000.bin</t>
  </si>
  <si>
    <t>-701.557442687297 105.769124315092 -518.98076654151</t>
  </si>
  <si>
    <t>-624.201823830808 195.150038888793 -249.50282503758</t>
  </si>
  <si>
    <t>-389.004722584735 244.61535069588 -266.426521347498</t>
  </si>
  <si>
    <t>-677.876844657844 25.1084227220745 -78.6724447901572</t>
  </si>
  <si>
    <t>-662.907061115425 10.6499821021469 324.343042706479</t>
  </si>
  <si>
    <t>-757.817286415166 -17.3099623758824 761.361379418473</t>
  </si>
  <si>
    <t>-616.580135222889 19.3074684699386 822.993590688418</t>
  </si>
  <si>
    <t>-494.135407477253 -194.549592799898 307.069707409328</t>
  </si>
  <si>
    <t>-586.096114612882 -269.309904823011 738.696742877325</t>
  </si>
  <si>
    <t>-460.78795122465 -311.552065698322 825.879083782862</t>
  </si>
  <si>
    <t>9763-20170724T104559.454541900.bin</t>
  </si>
  <si>
    <t>-698.639075545581 106.509915596681 -520.227580523325</t>
  </si>
  <si>
    <t>-621.694626050723 198.231489908328 -251.419323939188</t>
  </si>
  <si>
    <t>-386.121272411723 246.578880431533 -266.204390522995</t>
  </si>
  <si>
    <t>-677.730229827615 26.6634502786458 -78.5313414334541</t>
  </si>
  <si>
    <t>-662.456928000219 11.5707379011997 324.449620931474</t>
  </si>
  <si>
    <t>-757.801046285912 -17.207284116761 761.352654466566</t>
  </si>
  <si>
    <t>-616.580227783743 19.3752672189319 823.042915076033</t>
  </si>
  <si>
    <t>-495.065926802997 -194.122687646415 307.154723661589</t>
  </si>
  <si>
    <t>-586.196678506978 -269.148205153095 738.850944912592</t>
  </si>
  <si>
    <t>-461.107350786188 -312.134533656334 825.983793659487</t>
  </si>
  <si>
    <t>9763-20170724T104559.484623700.bin</t>
  </si>
  <si>
    <t>-696.933805036424 106.88418804668 -520.94936201415</t>
  </si>
  <si>
    <t>-620.325941096347 199.85260869316 -252.473421602112</t>
  </si>
  <si>
    <t>-384.606059698872 247.882226202971 -265.896829657552</t>
  </si>
  <si>
    <t>-677.715182878261 27.5903709671354 -78.4829583223982</t>
  </si>
  <si>
    <t>-662.369655805723 12.165933169008 324.482685484868</t>
  </si>
  <si>
    <t>-757.795375214599 -17.1219396370254 761.341285634465</t>
  </si>
  <si>
    <t>-616.568243054702 19.3685641312968 823.071882233923</t>
  </si>
  <si>
    <t>-495.510194308164 -193.756842023857 307.236213421094</t>
  </si>
  <si>
    <t>-586.24749325618 -269.091910561339 738.888382394495</t>
  </si>
  <si>
    <t>-461.208165512298 -312.282236702401 825.9921553994</t>
  </si>
  <si>
    <t>9763-20170724T104559.550371700.bin</t>
  </si>
  <si>
    <t>-692.958226920621 107.506018938829 -522.793835169248</t>
  </si>
  <si>
    <t>-617.417347847672 203.918539119543 -255.231931597631</t>
  </si>
  <si>
    <t>-381.35354659798 251.025673844193 -265.51137922235</t>
  </si>
  <si>
    <t>-677.930882717944 29.7514852053125 -78.437703655277</t>
  </si>
  <si>
    <t>-662.345502294676 13.6414084482335 324.491884190179</t>
  </si>
  <si>
    <t>-757.805884473717 -16.9272454435818 761.339106836252</t>
  </si>
  <si>
    <t>-616.567804730511 19.4574899829925 823.106928840591</t>
  </si>
  <si>
    <t>-496.194490322405 -193.190999206486 307.244294959353</t>
  </si>
  <si>
    <t>-586.299133812631 -269.274524305182 738.863404653029</t>
  </si>
  <si>
    <t>-461.280084662952 -312.497182369497 825.980189201051</t>
  </si>
  <si>
    <t>9763-20170724T104559.582457400.bin</t>
  </si>
  <si>
    <t>-690.905110871681 107.517046899381 -523.964620513835</t>
  </si>
  <si>
    <t>-616.158234011412 206.1615979762 -256.993938290981</t>
  </si>
  <si>
    <t>-379.932736053365 252.808752853768 -265.502777854206</t>
  </si>
  <si>
    <t>-678.068702100266 30.8021918123559 -78.4125978558444</t>
  </si>
  <si>
    <t>-662.264621552304 14.3683690382325 324.495319901777</t>
  </si>
  <si>
    <t>-757.769676089579 -16.9057962805916 761.330109315748</t>
  </si>
  <si>
    <t>-616.538174649788 19.485565340766 823.108900272554</t>
  </si>
  <si>
    <t>-496.515473480655 -192.966674887826 307.211486499396</t>
  </si>
  <si>
    <t>-586.277974856636 -269.553065149897 738.800234204236</t>
  </si>
  <si>
    <t>-461.167803770184 -312.393459513953 825.974947899702</t>
  </si>
  <si>
    <t>9763-20170724T104559.652163100.bin</t>
  </si>
  <si>
    <t>-686.214838619198 107.064726376948 -526.520771509797</t>
  </si>
  <si>
    <t>-613.54854221828 210.240841316036 -260.691065625345</t>
  </si>
  <si>
    <t>-376.897298327781 255.287411891005 -264.919649520924</t>
  </si>
  <si>
    <t>-678.066985544217 32.8860320737845 -78.3017000315158</t>
  </si>
  <si>
    <t>-661.854600537797 15.756729509349 324.561094828889</t>
  </si>
  <si>
    <t>-757.689137667512 -16.8986938287198 761.312811248823</t>
  </si>
  <si>
    <t>-616.533009263732 19.7820829823384 823.092706996614</t>
  </si>
  <si>
    <t>-497.37028478988 -192.275793522537 307.245321674643</t>
  </si>
  <si>
    <t>-586.171584203092 -270.000303664098 738.677197251118</t>
  </si>
  <si>
    <t>-461.122958292712 -312.535601801639 826.089381650958</t>
  </si>
  <si>
    <t>9763-20170724T104559.682243500.bin</t>
  </si>
  <si>
    <t>-684.007568793814 107.245645748409 -527.722716858984</t>
  </si>
  <si>
    <t>-612.416986357187 212.509212058778 -262.420031748787</t>
  </si>
  <si>
    <t>-375.520875792334 256.411072441055 -264.3511592823</t>
  </si>
  <si>
    <t>-677.813740083509 34.1589062986384 -78.311627250455</t>
  </si>
  <si>
    <t>-661.943049418525 16.6379926183088 324.547864573839</t>
  </si>
  <si>
    <t>-757.707339864388 -16.747536049154 761.292842729506</t>
  </si>
  <si>
    <t>-616.524541404067 19.8017587455906 823.089773518707</t>
  </si>
  <si>
    <t>-497.968516430512 -191.998483247075 307.161466326105</t>
  </si>
  <si>
    <t>-586.083690853927 -270.013374508737 738.601151705015</t>
  </si>
  <si>
    <t>-461.261729919674 -312.883925660874 826.173373830537</t>
  </si>
  <si>
    <t>9763-20170724T104559.747469600.bin</t>
  </si>
  <si>
    <t>-680.747105351175 108.141204945596 -529.48864913502</t>
  </si>
  <si>
    <t>-611.395893988824 216.356417625037 -264.77931399641</t>
  </si>
  <si>
    <t>-374.231904881881 258.781729083267 -262.729851567653</t>
  </si>
  <si>
    <t>-678.089405890767 36.9213177584993 -78.2942899514806</t>
  </si>
  <si>
    <t>-662.2376944604 18.3003726266609 324.516661478467</t>
  </si>
  <si>
    <t>-757.649117019848 -16.6108471076641 761.288448849485</t>
  </si>
  <si>
    <t>-616.525921743252 20.1089760585112 823.120406147581</t>
  </si>
  <si>
    <t>-499.644655288429 -191.42007199101 307.132972326444</t>
  </si>
  <si>
    <t>-586.093298354718 -270.068527406603 738.688574447168</t>
  </si>
  <si>
    <t>-461.460922304655 -313.346230291167 826.330461688136</t>
  </si>
  <si>
    <t>9763-20170724T104559.781565900.bin</t>
  </si>
  <si>
    <t>-679.449893016213 108.823689105587 -530.018713914926</t>
  </si>
  <si>
    <t>-611.273735500352 217.785870021455 -265.310379950699</t>
  </si>
  <si>
    <t>-374.184057958943 260.570727285678 -262.341820281566</t>
  </si>
  <si>
    <t>-678.453228354324 38.1632188624756 -78.3081681140941</t>
  </si>
  <si>
    <t>-662.492387867612 19.0997017469228 324.477823861892</t>
  </si>
  <si>
    <t>-757.659791833243 -16.4734580023314 761.280229365454</t>
  </si>
  <si>
    <t>-616.510650787037 20.1042289913389 823.137277062885</t>
  </si>
  <si>
    <t>-500.612742585263 -190.910087413416 307.162047260814</t>
  </si>
  <si>
    <t>-586.125428751603 -269.584328105285 738.811474250276</t>
  </si>
  <si>
    <t>-461.880959610423 -313.982731809837 826.443500793055</t>
  </si>
  <si>
    <t>9763-20170724T104559.849758600.bin</t>
  </si>
  <si>
    <t>-677.16180842636 109.371364105094 -531.024117570694</t>
  </si>
  <si>
    <t>-611.372571883885 217.789084516072 -265.489543486772</t>
  </si>
  <si>
    <t>-374.815182982097 263.426035395009 -262.537066421248</t>
  </si>
  <si>
    <t>-680.242843280288 39.6322966144207 -78.7534837786268</t>
  </si>
  <si>
    <t>-664.099563262589 19.6686439031632 323.98151887273</t>
  </si>
  <si>
    <t>-757.711890613537 -16.0471562621963 761.180862258561</t>
  </si>
  <si>
    <t>-616.52854409837 20.2120428115534 823.147259352465</t>
  </si>
  <si>
    <t>-502.552661184289 -189.997457154924 307.115612185623</t>
  </si>
  <si>
    <t>-586.143221301455 -268.938359961907 739.016008181788</t>
  </si>
  <si>
    <t>-462.342536924126 -314.443482174613 826.708619008504</t>
  </si>
  <si>
    <t>9763-20170724T104559.880841400.bin</t>
  </si>
  <si>
    <t>-676.828153125106 109.208868589251 -531.606793974015</t>
  </si>
  <si>
    <t>-612.71744045034 216.028882518176 -265.016175552101</t>
  </si>
  <si>
    <t>-376.630449268598 264.100407546268 -263.308713193885</t>
  </si>
  <si>
    <t>-681.611596156681 39.5912548183253 -79.1823214794533</t>
  </si>
  <si>
    <t>-665.530444220257 19.3985695419951 323.543887724474</t>
  </si>
  <si>
    <t>-757.73064290398 -15.8033297109218 761.115520762525</t>
  </si>
  <si>
    <t>-616.5159501469 20.1947301875332 823.162690208221</t>
  </si>
  <si>
    <t>-503.080511069858 -190.149033629809 306.707801387362</t>
  </si>
  <si>
    <t>-586.001930696411 -268.849520824001 738.923352658066</t>
  </si>
  <si>
    <t>-462.283957571204 -314.162853007214 826.831589157277</t>
  </si>
  <si>
    <t>9763-20170724T104559.921456900.bin</t>
  </si>
  <si>
    <t>-676.823930040563 109.20312350951 -532.173966228808</t>
  </si>
  <si>
    <t>-615.718895960419 213.037599382571 -263.704676638624</t>
  </si>
  <si>
    <t>-380.205783664079 263.874160867643 -263.422376920074</t>
  </si>
  <si>
    <t>-683.527921598508 39.2503614002837 -79.7026715062442</t>
  </si>
  <si>
    <t>-667.335251219482 19.1301971752887 323.022696723651</t>
  </si>
  <si>
    <t>-757.676123125085 -15.5995583231891 761.017112236264</t>
  </si>
  <si>
    <t>-616.474053524462 20.2246412526408 823.193427681735</t>
  </si>
  <si>
    <t>-503.693103526988 -190.219468627545 306.175490811886</t>
  </si>
  <si>
    <t>-585.695488487797 -268.556233102019 738.622330171034</t>
  </si>
  <si>
    <t>-462.450499555081 -314.338052792045 826.951159878966</t>
  </si>
  <si>
    <t>9763-20170724T104559.981620800.bin</t>
  </si>
  <si>
    <t>-677.040048703164 108.710863167391 -532.795848429941</t>
  </si>
  <si>
    <t>-625.073067491036 205.927271979302 -259.959597050329</t>
  </si>
  <si>
    <t>-390.944491971201 262.75370237173 -262.290487623246</t>
  </si>
  <si>
    <t>-687.725074414164 37.7343666238407 -80.7733155795939</t>
  </si>
  <si>
    <t>-670.78562299537 18.4356396741307 321.961497599629</t>
  </si>
  <si>
    <t>-757.417192751884 -15.2581843141038 760.669689018421</t>
  </si>
  <si>
    <t>-616.354936472662 20.4266251087477 823.242299979397</t>
  </si>
  <si>
    <t>-505.438662241831 -189.902348593012 305.133205999761</t>
  </si>
  <si>
    <t>-585.146759374644 -268.021750111743 738.111272707613</t>
  </si>
  <si>
    <t>-462.661775982217 -314.195817414534 827.289185955309</t>
  </si>
  <si>
    <t>9763-20170724T104600.014711100.bin</t>
  </si>
  <si>
    <t>-677.50028509086 108.896065929215 -532.770603547795</t>
  </si>
  <si>
    <t>-629.73943218545 201.288304343013 -257.500162311341</t>
  </si>
  <si>
    <t>-396.208595067894 260.456211253646 -261.157560070508</t>
  </si>
  <si>
    <t>-689.4784937739 36.5785709029956 -81.2914992292049</t>
  </si>
  <si>
    <t>-671.929390120376 18.0358094584876 321.452673228781</t>
  </si>
  <si>
    <t>-757.123302406822 -15.3081628402483 760.42917527791</t>
  </si>
  <si>
    <t>-616.296028808744 20.8823628742296 823.240236429404</t>
  </si>
  <si>
    <t>-506.526087599376 -190.184565959998 304.634692182355</t>
  </si>
  <si>
    <t>-585.018926431629 -268.295114666399 737.94659514927</t>
  </si>
  <si>
    <t>-462.64536856096 -314.161492327455 827.435655890293</t>
  </si>
  <si>
    <t>9763-20170724T104600.085902500.bin</t>
  </si>
  <si>
    <t>-679.278965587068 109.943057811592 -531.697426471265</t>
  </si>
  <si>
    <t>-636.423211543552 193.235203583487 -252.740408976806</t>
  </si>
  <si>
    <t>-403.945180320083 255.952513802683 -261.188663366777</t>
  </si>
  <si>
    <t>-692.354470964314 34.286986202437 -81.9423137322669</t>
  </si>
  <si>
    <t>-673.08431353392 17.5112015131117 320.800667395359</t>
  </si>
  <si>
    <t>-756.806939123385 -15.172999774911 760.117378736512</t>
  </si>
  <si>
    <t>-616.209647393456 21.4694036578392 823.181181312432</t>
  </si>
  <si>
    <t>-508.249865106756 -190.9315266971 304.009641089453</t>
  </si>
  <si>
    <t>-585.037358286182 -269.08840549076 737.830701553483</t>
  </si>
  <si>
    <t>-462.653898738731 -314.331530034634 827.622907056161</t>
  </si>
  <si>
    <t>9763-20170724T104600.150581300.bin</t>
  </si>
  <si>
    <t>-682.185789000532 109.652080308843 -530.582956150407</t>
  </si>
  <si>
    <t>-642.472321135881 184.625294095029 -248.815184281995</t>
  </si>
  <si>
    <t>-411.548375919671 252.853916943825 -257.173724366672</t>
  </si>
  <si>
    <t>-694.713452034567 31.6901021044528 -82.3196080443928</t>
  </si>
  <si>
    <t>-674.990420732161 16.1992380296335 320.452971657553</t>
  </si>
  <si>
    <t>-756.787497574946 -15.0714130640376 760.164939898391</t>
  </si>
  <si>
    <t>-616.07842539661 21.3362131962708 823.115244275841</t>
  </si>
  <si>
    <t>-510.740402739572 -191.873080381501 303.899237242266</t>
  </si>
  <si>
    <t>-585.38695973497 -270.001398161125 738.111079970779</t>
  </si>
  <si>
    <t>-462.425543186554 -314.222588642868 827.622292829434</t>
  </si>
  <si>
    <t>9763-20170724T104600.184672000.bin</t>
  </si>
  <si>
    <t>-684.147892466484 108.631301189289 -530.3134128691</t>
  </si>
  <si>
    <t>-647.22739469689 179.658183091159 -247.147002802215</t>
  </si>
  <si>
    <t>-416.772210375111 249.789241542506 -251.935782384839</t>
  </si>
  <si>
    <t>-695.549131803882 30.2348815624252 -82.5044371931692</t>
  </si>
  <si>
    <t>-675.771566004183 15.4232250880684 320.290953213361</t>
  </si>
  <si>
    <t>-756.782936828754 -15.0644284847438 760.188748440829</t>
  </si>
  <si>
    <t>-616.048942477872 21.4038370584969 823.04802675186</t>
  </si>
  <si>
    <t>-512.007216035704 -192.705890361233 303.91654946099</t>
  </si>
  <si>
    <t>-585.670261729366 -270.109756379853 738.459546332043</t>
  </si>
  <si>
    <t>-462.424367322793 -314.225013169298 827.631197700113</t>
  </si>
  <si>
    <t>9763-20170724T104600.253363200.bin</t>
  </si>
  <si>
    <t>-687.890095819739 107.052536576255 -528.984244134836</t>
  </si>
  <si>
    <t>-662.110808029341 172.222625868869 -243.187949196547</t>
  </si>
  <si>
    <t>-430.905942164721 239.675192646864 -236.457761466663</t>
  </si>
  <si>
    <t>-696.460484572863 27.3121756535108 -82.5495704928705</t>
  </si>
  <si>
    <t>-676.122102363119 13.7089205769209 320.2605024176</t>
  </si>
  <si>
    <t>-756.854528180521 -15.0026615235925 760.309685868793</t>
  </si>
  <si>
    <t>-615.991505253187 21.3898763462976 822.923566590793</t>
  </si>
  <si>
    <t>-513.504735665971 -194.399741482284 303.965875393508</t>
  </si>
  <si>
    <t>-586.363384894474 -269.428077848137 739.165000367446</t>
  </si>
  <si>
    <t>-463.021924692392 -314.788394639442 827.576646611618</t>
  </si>
  <si>
    <t>9763-20170724T104600.287453500.bin</t>
  </si>
  <si>
    <t>-689.458610858999 106.647138780589 -528.023585236839</t>
  </si>
  <si>
    <t>-669.170918113454 167.781030537215 -240.895884387335</t>
  </si>
  <si>
    <t>-437.50461208307 232.839728726592 -228.69145094087</t>
  </si>
  <si>
    <t>-696.662054056536 25.9797833367161 -82.3517759173561</t>
  </si>
  <si>
    <t>-675.693802080893 12.8791697803604 320.442649819631</t>
  </si>
  <si>
    <t>-756.960494156478 -14.9163974562978 760.403017827856</t>
  </si>
  <si>
    <t>-615.968576818682 21.2234307885685 822.873099553218</t>
  </si>
  <si>
    <t>-513.542986048616 -195.170857292085 304.125506388479</t>
  </si>
  <si>
    <t>-586.704424614027 -269.376269525307 739.470246432193</t>
  </si>
  <si>
    <t>-463.210022197664 -315.027258538495 827.51800587403</t>
  </si>
  <si>
    <t>9763-20170724T104600.349627000.bin</t>
  </si>
  <si>
    <t>-692.153784829551 105.810123165627 -525.825664836084</t>
  </si>
  <si>
    <t>-674.7678773884 159.213122257891 -236.970989831451</t>
  </si>
  <si>
    <t>-441.659609212416 218.348336514122 -222.327191636445</t>
  </si>
  <si>
    <t>-696.994790997197 23.4243525916943 -82.0383515781843</t>
  </si>
  <si>
    <t>-674.955356314009 11.5044007439553 320.735578664976</t>
  </si>
  <si>
    <t>-757.123024977587 -14.7316954260918 760.527415408642</t>
  </si>
  <si>
    <t>-615.931461125976 20.977224504255 822.793807803667</t>
  </si>
  <si>
    <t>-512.93352248618 -196.397350841725 304.57626415863</t>
  </si>
  <si>
    <t>-587.209484154922 -270.033250945394 739.882136972482</t>
  </si>
  <si>
    <t>-463.024863546727 -314.876013582843 827.372608296354</t>
  </si>
  <si>
    <t>9763-20170724T104600.384719100.bin</t>
  </si>
  <si>
    <t>-693.323804274455 105.007246934232 -525.000083057552</t>
  </si>
  <si>
    <t>-673.566963822031 156.821842192826 -236.008527591223</t>
  </si>
  <si>
    <t>-439.388121334766 211.984216620251 -223.037070056562</t>
  </si>
  <si>
    <t>-697.112154372103 22.0838782618484 -81.9785566160707</t>
  </si>
  <si>
    <t>-674.790069706756 10.915277512154 320.801304631233</t>
  </si>
  <si>
    <t>-757.084750135278 -14.8093220498538 760.55292852968</t>
  </si>
  <si>
    <t>-615.920041626759 21.1048236009074 822.762258953744</t>
  </si>
  <si>
    <t>-512.534759261225 -196.920656958002 304.727526435897</t>
  </si>
  <si>
    <t>-587.345056726138 -270.163823223755 740.024308320153</t>
  </si>
  <si>
    <t>-463.044639034784 -315.01053891662 827.34818005995</t>
  </si>
  <si>
    <t>9763-20170724T104600.452414600.bin</t>
  </si>
  <si>
    <t>-693.599020978658 102.723708815366 -524.486681788252</t>
  </si>
  <si>
    <t>-666.791047853317 155.256816498635 -236.193771418019</t>
  </si>
  <si>
    <t>-431.606512232126 207.116711021238 -229.148560796339</t>
  </si>
  <si>
    <t>-696.262334316173 19.5818086069012 -82.1404609868281</t>
  </si>
  <si>
    <t>-675.227134095875 9.43668263805762 320.735684049219</t>
  </si>
  <si>
    <t>-757.114308424574 -14.7083427197758 760.53493305792</t>
  </si>
  <si>
    <t>-615.968102384811 21.3050571860958 822.729010788675</t>
  </si>
  <si>
    <t>-511.802080622546 -197.605179172065 304.932086010341</t>
  </si>
  <si>
    <t>-587.509836932317 -270.110205665844 740.235617564611</t>
  </si>
  <si>
    <t>-463.051502398113 -314.90561225125 827.360812219806</t>
  </si>
  <si>
    <t>9763-20170724T104600.484499200.bin</t>
  </si>
  <si>
    <t>-693.246144995476 101.947517432893 -524.557770822372</t>
  </si>
  <si>
    <t>-663.481489191969 155.717335909091 -236.783480128802</t>
  </si>
  <si>
    <t>-428.22278790097 207.383927952682 -230.890387507927</t>
  </si>
  <si>
    <t>-695.732353423774 18.8812668274511 -82.1898341671682</t>
  </si>
  <si>
    <t>-675.082419176389 8.86640406671722 320.709605298235</t>
  </si>
  <si>
    <t>-757.10333320078 -14.7067851263043 760.537023882175</t>
  </si>
  <si>
    <t>-615.932796221802 21.2139057839313 822.729213860413</t>
  </si>
  <si>
    <t>-511.511924739602 -198.033316793861 304.974490437902</t>
  </si>
  <si>
    <t>-587.58287107364 -270.264689802442 740.305948511967</t>
  </si>
  <si>
    <t>-462.951678532729 -314.707821576576 827.364469373111</t>
  </si>
  <si>
    <t>9763-20170724T104600.553190500.bin</t>
  </si>
  <si>
    <t>-691.306427823832 100.957742245956 -524.500098572182</t>
  </si>
  <si>
    <t>-658.63884760231 158.892663973934 -237.851146006197</t>
  </si>
  <si>
    <t>-423.333814277092 210.504765758502 -233.537289231039</t>
  </si>
  <si>
    <t>-693.893806915111 17.7833728789467 -81.9846237446707</t>
  </si>
  <si>
    <t>-673.81507210092 8.04312022517524 320.950430158476</t>
  </si>
  <si>
    <t>-757.147290343893 -14.8017612823026 760.657011622909</t>
  </si>
  <si>
    <t>-615.938831116042 21.2075993348626 822.711873875358</t>
  </si>
  <si>
    <t>-510.799132487717 -199.041021804776 305.277682011509</t>
  </si>
  <si>
    <t>-587.77299394263 -270.663808825619 740.559267428812</t>
  </si>
  <si>
    <t>-462.806833798842 -314.547278504946 827.421188028327</t>
  </si>
  <si>
    <t>9763-20170724T104600.584276900.bin</t>
  </si>
  <si>
    <t>-689.874308368341 101.121493747037 -524.400556195574</t>
  </si>
  <si>
    <t>-656.031932211072 160.502661005127 -238.184240217268</t>
  </si>
  <si>
    <t>-420.869344314301 212.849474644117 -235.136920674364</t>
  </si>
  <si>
    <t>-692.758915416352 17.832069960856 -81.8092689100293</t>
  </si>
  <si>
    <t>-673.236353939255 7.99986054844157 321.150885008399</t>
  </si>
  <si>
    <t>-757.146795054892 -14.9279126038832 760.735696449533</t>
  </si>
  <si>
    <t>-615.902936059345 21.0702560520199 822.716318725806</t>
  </si>
  <si>
    <t>-510.232245770163 -199.527487472028 305.493829530143</t>
  </si>
  <si>
    <t>-587.876339836004 -270.794422301824 740.704276953529</t>
  </si>
  <si>
    <t>-462.640862826286 -314.170370819852 827.433174206057</t>
  </si>
  <si>
    <t>9763-20170724T104600.652033700.bin</t>
  </si>
  <si>
    <t>-686.675001407665 101.90694971482 -524.601654612245</t>
  </si>
  <si>
    <t>-652.061511225668 163.574631610427 -238.961714020844</t>
  </si>
  <si>
    <t>-416.899519913843 215.91839060806 -235.827183894918</t>
  </si>
  <si>
    <t>-690.197162945571 18.4865374570782 -81.5614119774475</t>
  </si>
  <si>
    <t>-672.157292365702 8.46412030721353 321.463197093762</t>
  </si>
  <si>
    <t>-757.081909789411 -15.1622855880344 760.822715035696</t>
  </si>
  <si>
    <t>-615.942605233514 21.3206996307233 822.758115279035</t>
  </si>
  <si>
    <t>-509.176302734273 -199.929384583566 305.795777318868</t>
  </si>
  <si>
    <t>-587.891393190744 -270.318010704201 740.875130987453</t>
  </si>
  <si>
    <t>-462.733720278167 -314.030892313024 827.547075736587</t>
  </si>
  <si>
    <t>9763-20170724T104600.686125100.bin</t>
  </si>
  <si>
    <t>-685.06790004995 102.397971110929 -524.812016503411</t>
  </si>
  <si>
    <t>-651.280033017579 164.674251594604 -239.205367935345</t>
  </si>
  <si>
    <t>-415.982389238096 216.369709697125 -235.53767129511</t>
  </si>
  <si>
    <t>-689.369053019651 19.1401751186859 -81.4863230313721</t>
  </si>
  <si>
    <t>-671.618970378138 8.90669105334064 321.54580605457</t>
  </si>
  <si>
    <t>-757.042296366682 -15.2140062512428 760.815690224546</t>
  </si>
  <si>
    <t>-615.960759114525 21.4137386427626 822.797256294819</t>
  </si>
  <si>
    <t>-508.623086637429 -199.825682657446 305.903304831206</t>
  </si>
  <si>
    <t>-587.826267931148 -270.264079909455 740.867957344458</t>
  </si>
  <si>
    <t>-462.857144689592 -314.274999317132 827.661138667722</t>
  </si>
  <si>
    <t>9763-20170724T104600.747846200.bin</t>
  </si>
  <si>
    <t>-681.754712292307 103.34904310811 -524.820882330783</t>
  </si>
  <si>
    <t>-648.78207953259 165.456489141043 -239.08204818979</t>
  </si>
  <si>
    <t>-413.426552502718 216.867547899983 -235.140632768495</t>
  </si>
  <si>
    <t>-686.924194304906 19.716341483628 -81.2627098745311</t>
  </si>
  <si>
    <t>-670.248417874402 9.20268505952731 321.808116335852</t>
  </si>
  <si>
    <t>-756.720655487485 -15.5842444964783 760.716233424926</t>
  </si>
  <si>
    <t>-615.971948938911 22.0432716882569 822.855301337238</t>
  </si>
  <si>
    <t>-506.704938556124 -199.802208961231 306.005783109826</t>
  </si>
  <si>
    <t>-587.564424485555 -270.565239160166 740.670998354786</t>
  </si>
  <si>
    <t>-462.809514825279 -314.333374983462 827.894013455967</t>
  </si>
  <si>
    <t>9763-20170724T104600.782940000.bin</t>
  </si>
  <si>
    <t>-679.855259714541 103.565050734091 -524.730026194931</t>
  </si>
  <si>
    <t>-646.648114363044 165.665284100837 -239.016804515144</t>
  </si>
  <si>
    <t>-411.336955545914 217.287300245185 -235.18479757751</t>
  </si>
  <si>
    <t>-685.541141443238 19.752733963752 -81.0915718713209</t>
  </si>
  <si>
    <t>-669.29287194437 9.15949801153988 321.994546848085</t>
  </si>
  <si>
    <t>-756.593957386377 -15.7510832023204 760.722400599526</t>
  </si>
  <si>
    <t>-615.949472480281 22.2305071600422 822.882181858091</t>
  </si>
  <si>
    <t>-505.658070605556 -199.976373262505 306.126425493971</t>
  </si>
  <si>
    <t>-587.446452306797 -270.962147077521 740.579026766172</t>
  </si>
  <si>
    <t>-462.464504963927 -313.75026496367 827.963100620631</t>
  </si>
  <si>
    <t>9763-20170724T104600.847122000.bin</t>
  </si>
  <si>
    <t>-676.332220824418 104.783346045992 -524.660623658235</t>
  </si>
  <si>
    <t>-643.455150737762 167.924542224534 -239.137343580048</t>
  </si>
  <si>
    <t>-408.208011535929 219.852573388715 -235.510580697549</t>
  </si>
  <si>
    <t>-683.196558335512 20.713406822505 -80.6631400796896</t>
  </si>
  <si>
    <t>-667.433055447457 9.47757025108672 322.424815234377</t>
  </si>
  <si>
    <t>-756.643447953327 -15.75328052432 760.836681866223</t>
  </si>
  <si>
    <t>-615.957632102918 22.1709902718299 822.937876259375</t>
  </si>
  <si>
    <t>-504.223524982115 -200.125326171123 306.30853613065</t>
  </si>
  <si>
    <t>-587.260839929554 -270.944482962897 740.508224315988</t>
  </si>
  <si>
    <t>-462.471986153686 -313.794232781492 828.137785629919</t>
  </si>
  <si>
    <t>9763-20170724T104600.881218000.bin</t>
  </si>
  <si>
    <t>-674.973768077822 105.476138966642 -524.743575505804</t>
  </si>
  <si>
    <t>-642.58234952759 169.4432729954 -239.348724212538</t>
  </si>
  <si>
    <t>-407.310535030708 221.238572353321 -235.439544053386</t>
  </si>
  <si>
    <t>-682.146128926232 21.3300336417171 -80.4862358703607</t>
  </si>
  <si>
    <t>-666.83970746532 9.69496310887075 322.608010379942</t>
  </si>
  <si>
    <t>-756.691223829968 -15.7344326577652 760.900188274206</t>
  </si>
  <si>
    <t>-615.948135688055 22.0311250893342 822.96824724711</t>
  </si>
  <si>
    <t>-503.798418055881 -200.170789224536 306.404266012509</t>
  </si>
  <si>
    <t>-587.214106198865 -270.839985583513 740.52898054097</t>
  </si>
  <si>
    <t>-462.619388657207 -314.090394170614 828.237804446441</t>
  </si>
  <si>
    <t>9763-20170724T104600.949919800.bin</t>
  </si>
  <si>
    <t>-672.528957457811 106.339761111383 -524.799258811145</t>
  </si>
  <si>
    <t>-640.756249107597 170.867085798551 -239.46097539171</t>
  </si>
  <si>
    <t>-405.663871036744 223.532920917751 -236.499263583271</t>
  </si>
  <si>
    <t>-680.099380081598 22.3984898696822 -80.1452073638608</t>
  </si>
  <si>
    <t>-665.813109203764 10.1469899674314 322.968211139624</t>
  </si>
  <si>
    <t>-756.729576489469 -15.8044201754356 761.032176265296</t>
  </si>
  <si>
    <t>-615.984109415493 22.0846219871457 823.019611730862</t>
  </si>
  <si>
    <t>-502.678871435325 -199.961531746581 306.734706364757</t>
  </si>
  <si>
    <t>-587.152614856993 -270.5160506916 740.617997562621</t>
  </si>
  <si>
    <t>-462.763737780958 -314.118361181639 828.444748195333</t>
  </si>
  <si>
    <t>9763-20170724T104600.986016600.bin</t>
  </si>
  <si>
    <t>-671.431438344967 106.441262024724 -524.727924407586</t>
  </si>
  <si>
    <t>-639.553273188073 171.036654605117 -239.416735844248</t>
  </si>
  <si>
    <t>-404.50133998577 223.903760833462 -236.865143160786</t>
  </si>
  <si>
    <t>-679.20787783801 22.7023658552635 -79.9540152767685</t>
  </si>
  <si>
    <t>-665.235958645726 10.1998485376307 323.162708872189</t>
  </si>
  <si>
    <t>-756.747821582218 -15.7960795350273 761.068760531037</t>
  </si>
  <si>
    <t>-615.977115725372 22.029252500944 823.037650681269</t>
  </si>
  <si>
    <t>-501.959176696832 -199.903209404617 306.94137850149</t>
  </si>
  <si>
    <t>-587.117278206407 -270.556263984798 740.677094005632</t>
  </si>
  <si>
    <t>-462.69870010698 -313.981690089081 828.549476397585</t>
  </si>
  <si>
    <t>9763-20170724T104601.050293800.bin</t>
  </si>
  <si>
    <t>-669.126823409876 106.495033751748 -524.800480286034</t>
  </si>
  <si>
    <t>-637.595907414118 172.126377510524 -239.687307924191</t>
  </si>
  <si>
    <t>-402.513200143895 224.878517449019 -237.631016936679</t>
  </si>
  <si>
    <t>-677.499403970374 23.141018277732 -79.6640487352279</t>
  </si>
  <si>
    <t>-663.960763790307 10.3488478152258 323.458391872801</t>
  </si>
  <si>
    <t>-756.687029976479 -15.799880226177 761.050051376666</t>
  </si>
  <si>
    <t>-615.929670814217 22.0121334357775 823.057492729759</t>
  </si>
  <si>
    <t>-500.553717846687 -199.837371976169 307.212486220237</t>
  </si>
  <si>
    <t>-587.040079903824 -270.294158386223 740.718061659262</t>
  </si>
  <si>
    <t>-462.804565157857 -313.985085853793 828.717752504613</t>
  </si>
  <si>
    <t>9763-20170724T104601.083383000.bin</t>
  </si>
  <si>
    <t>-668.089802750284 106.558719978814 -524.908769609188</t>
  </si>
  <si>
    <t>-636.815569506007 172.824754711552 -239.914162445814</t>
  </si>
  <si>
    <t>-401.809580413899 225.931074949896 -238.246141904103</t>
  </si>
  <si>
    <t>-676.964091176992 23.533942680252 -79.5130451926321</t>
  </si>
  <si>
    <t>-663.266126027426 10.4967771376778 323.596246967909</t>
  </si>
  <si>
    <t>-756.695812291573 -15.7752304217179 761.071940013071</t>
  </si>
  <si>
    <t>-615.922244683016 21.9897440958421 823.071183470478</t>
  </si>
  <si>
    <t>-499.991247753003 -199.617791753441 307.352782790738</t>
  </si>
  <si>
    <t>-587.009574757298 -270.066660568582 740.776098752023</t>
  </si>
  <si>
    <t>-463.088916295671 -314.526689396566 828.834394035477</t>
  </si>
  <si>
    <t>9763-20170724T104601.147559000.bin</t>
  </si>
  <si>
    <t>-666.423257978878 106.088761330143 -525.301547129889</t>
  </si>
  <si>
    <t>-635.500905607929 174.574607060714 -240.793696461796</t>
  </si>
  <si>
    <t>-400.718835492883 228.685149831128 -240.259102716994</t>
  </si>
  <si>
    <t>-675.862052835702 24.0701163277279 -79.2624272301758</t>
  </si>
  <si>
    <t>-662.582252374852 10.6697677855848 323.848899946601</t>
  </si>
  <si>
    <t>-756.732381152062 -15.7535464946632 761.120499481969</t>
  </si>
  <si>
    <t>-615.912533223495 21.9322004162293 823.062970764468</t>
  </si>
  <si>
    <t>-499.263545916891 -199.655369266906 307.739717487078</t>
  </si>
  <si>
    <t>-587.056837795392 -270.261432454006 740.980713436458</t>
  </si>
  <si>
    <t>-462.743985310002 -313.750691023579 828.971012826978</t>
  </si>
  <si>
    <t>9763-20170724T104601.185662500.bin</t>
  </si>
  <si>
    <t>-665.597832770583 105.549242951844 -525.733123363941</t>
  </si>
  <si>
    <t>-634.848745322448 175.612205241533 -241.59078512515</t>
  </si>
  <si>
    <t>-400.139755257077 230.041557943232 -241.581179286427</t>
  </si>
  <si>
    <t>-675.469876182353 24.4752155538233 -79.1755684533296</t>
  </si>
  <si>
    <t>-662.368888030495 10.848187282354 323.934039603306</t>
  </si>
  <si>
    <t>-756.773755474191 -15.7255854936939 761.162544572703</t>
  </si>
  <si>
    <t>-615.914693051831 21.9005753086112 823.051878882776</t>
  </si>
  <si>
    <t>-499.085046801258 -199.421868031635 307.969515427865</t>
  </si>
  <si>
    <t>-587.082227356626 -270.15534008893 741.11622010339</t>
  </si>
  <si>
    <t>-462.825180744803 -313.870140298366 829.073600312927</t>
  </si>
  <si>
    <t>9763-20170724T104601.247845500.bin</t>
  </si>
  <si>
    <t>-663.637376468439 103.86646981305 -526.981869226473</t>
  </si>
  <si>
    <t>-633.573774907068 177.831777047304 -243.756703427414</t>
  </si>
  <si>
    <t>-398.821886794297 232.075955170721 -243.755194518145</t>
  </si>
  <si>
    <t>-674.625983165313 25.3363409663611 -79.0063353252532</t>
  </si>
  <si>
    <t>-661.752039849844 11.3280825381401 324.097542852558</t>
  </si>
  <si>
    <t>-756.792537693409 -15.7810495100468 761.196619786965</t>
  </si>
  <si>
    <t>-615.924662302201 21.945141105758 823.005017805212</t>
  </si>
  <si>
    <t>-498.882924413274 -198.555238791474 308.538762305255</t>
  </si>
  <si>
    <t>-587.110706908387 -270.069430010281 741.474781145235</t>
  </si>
  <si>
    <t>-462.851154356672 -313.902474974057 829.369759576424</t>
  </si>
  <si>
    <t>9763-20170724T104601.282935800.bin</t>
  </si>
  <si>
    <t>-662.381059578112 102.898087044895 -527.577967495034</t>
  </si>
  <si>
    <t>-632.499925602167 178.691018648421 -244.816965690761</t>
  </si>
  <si>
    <t>-397.735278415776 232.879683525532 -244.784246486877</t>
  </si>
  <si>
    <t>-674.179717527304 25.7021189121017 -78.9034234513094</t>
  </si>
  <si>
    <t>-661.332905860583 11.4796174892924 324.193803896239</t>
  </si>
  <si>
    <t>-756.798974033683 -15.8004338389082 761.198073898824</t>
  </si>
  <si>
    <t>-615.911287334079 21.8958927844981 822.979661306203</t>
  </si>
  <si>
    <t>-498.753143811494 -198.190143198461 308.919898712841</t>
  </si>
  <si>
    <t>-587.155402317853 -270.063914593585 741.746862446199</t>
  </si>
  <si>
    <t>-462.853674879026 -313.920048205265 829.570642297271</t>
  </si>
  <si>
    <t>9763-20170724T104601.350126300.bin</t>
  </si>
  <si>
    <t>-659.425671119533 100.677061491334 -528.828301114516</t>
  </si>
  <si>
    <t>-629.752647039007 179.922323371751 -246.993465490776</t>
  </si>
  <si>
    <t>-394.947902886885 233.936994463072 -246.875671881994</t>
  </si>
  <si>
    <t>-673.450260281722 26.4204390351742 -78.7622601785969</t>
  </si>
  <si>
    <t>-660.302018356954 11.783422294915 324.31042290323</t>
  </si>
  <si>
    <t>-756.80958669294 -15.7770627857421 761.167580901366</t>
  </si>
  <si>
    <t>-615.917630312516 21.9403531899652 822.926420033397</t>
  </si>
  <si>
    <t>-498.232052365327 -197.474522491665 309.714441579849</t>
  </si>
  <si>
    <t>-587.236657690546 -269.747279375399 742.339911265109</t>
  </si>
  <si>
    <t>-462.986188685492 -314.003510328079 830.035416953836</t>
  </si>
  <si>
    <t>9763-20170724T104601.385219200.bin</t>
  </si>
  <si>
    <t>-658.177617961413 99.5158468647605 -529.576283784612</t>
  </si>
  <si>
    <t>-628.886588713378 180.509814017935 -248.199035031623</t>
  </si>
  <si>
    <t>-394.005562515008 234.19029629987 -247.782513838789</t>
  </si>
  <si>
    <t>-673.265521202269 26.9065096000722 -78.6591944939534</t>
  </si>
  <si>
    <t>-659.915125548241 11.9674036412086 324.39571668838</t>
  </si>
  <si>
    <t>-756.810859703921 -15.7888337123072 761.174525793051</t>
  </si>
  <si>
    <t>-615.897133392711 21.8718639380988 822.918324842832</t>
  </si>
  <si>
    <t>-497.952406737272 -197.256810419128 310.032726528225</t>
  </si>
  <si>
    <t>-587.276843069811 -269.771209765606 742.592920826593</t>
  </si>
  <si>
    <t>-462.901794050236 -313.76859011196 830.24208118587</t>
  </si>
  <si>
    <t>9763-20170724T104601.449401800.bin</t>
  </si>
  <si>
    <t>-655.42018567946 97.4286445068005 -531.233373756921</t>
  </si>
  <si>
    <t>-627.316047274116 182.376131599845 -250.902544166185</t>
  </si>
  <si>
    <t>-392.230380210993 235.134747963538 -249.448134731656</t>
  </si>
  <si>
    <t>-673.055188625852 28.2510679140407 -78.4430316001963</t>
  </si>
  <si>
    <t>-659.259786970816 12.8531741237703 324.579611597818</t>
  </si>
  <si>
    <t>-756.85782088999 -15.6519291713828 761.173580587248</t>
  </si>
  <si>
    <t>-615.909335926158 21.85063049988 822.934295958166</t>
  </si>
  <si>
    <t>-497.933128774266 -196.931296207885 310.599213103225</t>
  </si>
  <si>
    <t>-587.318133915304 -269.521273086333 743.027472846262</t>
  </si>
  <si>
    <t>-462.900625514339 -313.493527783854 830.628933033899</t>
  </si>
  <si>
    <t>9763-20170724T104601.482486500.bin</t>
  </si>
  <si>
    <t>-653.948040036326 96.3589537727541 -531.993009429351</t>
  </si>
  <si>
    <t>-626.414177442822 183.345665015135 -252.231709129047</t>
  </si>
  <si>
    <t>-391.236760980104 235.672945416428 -250.157359452243</t>
  </si>
  <si>
    <t>-673.050560677246 28.8778675084623 -78.2630050193752</t>
  </si>
  <si>
    <t>-658.670297835276 13.2436106342343 324.730126812376</t>
  </si>
  <si>
    <t>-756.792345763278 -15.7572798880335 761.204684764833</t>
  </si>
  <si>
    <t>-615.889123540339 21.9215225063456 822.961339079705</t>
  </si>
  <si>
    <t>-497.775269183508 -196.665356609904 310.860463087166</t>
  </si>
  <si>
    <t>-587.343551274847 -269.35837705601 743.248762402282</t>
  </si>
  <si>
    <t>-463.185851520127 -314.068458378589 830.84539023316</t>
  </si>
  <si>
    <t>9763-20170724T104601.550687600.bin</t>
  </si>
  <si>
    <t>-650.727754244014 94.1783109130581 -533.467035533833</t>
  </si>
  <si>
    <t>-624.596943406335 185.574367957825 -254.979686977211</t>
  </si>
  <si>
    <t>-389.308157000735 237.289618727106 -251.030780812</t>
  </si>
  <si>
    <t>-673.155105183333 30.3921467515968 -77.7953761218947</t>
  </si>
  <si>
    <t>-657.855098648059 14.3199439163409 325.146618790625</t>
  </si>
  <si>
    <t>-756.862801262983 -15.7160451370503 761.325892831815</t>
  </si>
  <si>
    <t>-615.877833728056 21.7312164286334 823.036848719842</t>
  </si>
  <si>
    <t>-498.220752484094 -196.424605528212 311.50738794746</t>
  </si>
  <si>
    <t>-587.50506046044 -269.476367685731 743.795662349613</t>
  </si>
  <si>
    <t>-463.022538120317 -313.702798427449 831.176532635035</t>
  </si>
  <si>
    <t>9763-20170724T104601.580775400.bin</t>
  </si>
  <si>
    <t>-648.745674591088 93.0797248279998 -534.220569745425</t>
  </si>
  <si>
    <t>-623.553239695928 186.429235392707 -256.295369529475</t>
  </si>
  <si>
    <t>-388.230366761475 237.9013691412 -251.335068840492</t>
  </si>
  <si>
    <t>-673.124818013055 31.2691849996299 -77.6257149976002</t>
  </si>
  <si>
    <t>-657.540052826795 14.8402831319136 325.291028954522</t>
  </si>
  <si>
    <t>-756.897922849943 -15.6802899772347 761.376578205943</t>
  </si>
  <si>
    <t>-615.867399898965 21.6562564742028 823.050591371307</t>
  </si>
  <si>
    <t>-498.759173671371 -196.283706327893 311.945875411701</t>
  </si>
  <si>
    <t>-587.654034407133 -269.387591308415 744.188695264408</t>
  </si>
  <si>
    <t>-463.14102245278 -313.888470797994 831.386673583982</t>
  </si>
  <si>
    <t>9763-20170724T104601.648961700.bin</t>
  </si>
  <si>
    <t>-645.868821890252 91.749524831376 -535.538656431188</t>
  </si>
  <si>
    <t>-622.389232686513 187.537817437998 -258.294301153212</t>
  </si>
  <si>
    <t>-387.060795276438 238.830890965111 -251.936958433623</t>
  </si>
  <si>
    <t>-673.712765065735 33.1858065049414 -77.4670995373832</t>
  </si>
  <si>
    <t>-657.33142804972 15.9424102036378 325.383963229124</t>
  </si>
  <si>
    <t>-757.048570320184 -15.2866979190235 761.399655785108</t>
  </si>
  <si>
    <t>-615.838451708092 21.3627234689509 823.074805540806</t>
  </si>
  <si>
    <t>-499.814949921032 -195.720755841927 312.507537445817</t>
  </si>
  <si>
    <t>-587.897810769481 -268.30884084282 744.932281172449</t>
  </si>
  <si>
    <t>-463.866813022723 -314.756089987183 831.801485245606</t>
  </si>
  <si>
    <t>9763-20170724T104601.685045700.bin</t>
  </si>
  <si>
    <t>-644.711953647989 90.854508426112 -536.015165933869</t>
  </si>
  <si>
    <t>-621.621790911205 187.306570620867 -258.968163977571</t>
  </si>
  <si>
    <t>-386.273876392444 238.421485917186 -251.932468241133</t>
  </si>
  <si>
    <t>-673.938589206203 33.7154238554053 -77.4815457596652</t>
  </si>
  <si>
    <t>-657.131340723667 16.1681313815186 325.338900050852</t>
  </si>
  <si>
    <t>-756.960623060991 -15.2680382080566 761.337342754986</t>
  </si>
  <si>
    <t>-615.805533816982 21.4984972811483 823.068676051363</t>
  </si>
  <si>
    <t>-500.363834317605 -195.29430000173 312.812228866248</t>
  </si>
  <si>
    <t>-587.974652793002 -267.749391550336 745.278459631544</t>
  </si>
  <si>
    <t>-464.08707598786 -314.8167702161 832.018441724241</t>
  </si>
  <si>
    <t>9763-20170724T104601.746790400.bin</t>
  </si>
  <si>
    <t>-642.160323719917 88.7056727704078 -536.810124661598</t>
  </si>
  <si>
    <t>-619.731935240756 185.855964331585 -259.952778208415</t>
  </si>
  <si>
    <t>-384.410018199316 236.799289705623 -251.050555210413</t>
  </si>
  <si>
    <t>-673.939679670885 34.0549840663889 -77.7195587397067</t>
  </si>
  <si>
    <t>-656.530500194084 16.3442071860763 325.068144845676</t>
  </si>
  <si>
    <t>-756.866996012219 -15.2227729566443 761.034867050209</t>
  </si>
  <si>
    <t>-615.713686223453 21.5064697808784 822.792391878379</t>
  </si>
  <si>
    <t>-501.291894516837 -194.937764847576 313.146660467867</t>
  </si>
  <si>
    <t>-588.234816852849 -267.427932750181 745.755453414028</t>
  </si>
  <si>
    <t>-464.089990842471 -314.334895712245 832.214066019709</t>
  </si>
  <si>
    <t>9763-20170724T104601.784890700.bin</t>
  </si>
  <si>
    <t>-641.056875332849 87.5971764825592 -537.209301860593</t>
  </si>
  <si>
    <t>-618.988634761544 185.05047772212 -260.429606907323</t>
  </si>
  <si>
    <t>-383.703820420858 235.742883103815 -249.374582968228</t>
  </si>
  <si>
    <t>-674.177066816973 34.2612269905076 -77.8244290148723</t>
  </si>
  <si>
    <t>-655.879108292128 16.3894556354353 324.916782943658</t>
  </si>
  <si>
    <t>-756.898524356807 -15.1549838478877 760.831401487263</t>
  </si>
  <si>
    <t>-615.658448786969 21.2853243729248 822.561873928099</t>
  </si>
  <si>
    <t>-501.5047980215 -194.692387543368 313.191239591749</t>
  </si>
  <si>
    <t>-588.305408824021 -267.019528692899 745.868687922119</t>
  </si>
  <si>
    <t>-464.449934407917 -314.802108486126 832.262839401571</t>
  </si>
  <si>
    <t>9763-20170724T104601.849072000.bin</t>
  </si>
  <si>
    <t>-639.927605533831 85.843245571434 -537.929500846011</t>
  </si>
  <si>
    <t>-618.058068552276 182.466947425269 -260.843304215299</t>
  </si>
  <si>
    <t>-383.110760576846 233.322223408074 -244.583853945548</t>
  </si>
  <si>
    <t>-674.610218492762 34.5081078770197 -78.0956651978697</t>
  </si>
  <si>
    <t>-655.145784497971 16.3560644254799 324.578334910175</t>
  </si>
  <si>
    <t>-756.946087485608 -15.0732610025589 760.372805080298</t>
  </si>
  <si>
    <t>-615.64976284877 21.2509054857906 822.042942190981</t>
  </si>
  <si>
    <t>-502.144612361275 -194.446176354578 312.958824893026</t>
  </si>
  <si>
    <t>-588.293261657771 -267.01328860508 745.751489219482</t>
  </si>
  <si>
    <t>-464.506037664598 -314.669739375505 832.312903543889</t>
  </si>
  <si>
    <t>9763-20170724T104601.885167300.bin</t>
  </si>
  <si>
    <t>-639.605229435439 85.7836717308287 -538.249040375195</t>
  </si>
  <si>
    <t>-617.375373973026 181.437314382214 -260.85509702555</t>
  </si>
  <si>
    <t>-382.605695312428 232.598308004526 -243.060230753383</t>
  </si>
  <si>
    <t>-675.048248761962 34.9456137171755 -78.3079724650662</t>
  </si>
  <si>
    <t>-655.025309243314 16.540976101857 324.327142594004</t>
  </si>
  <si>
    <t>-756.980868082025 -14.9603414056096 760.125641472898</t>
  </si>
  <si>
    <t>-615.659051742484 21.2579251395969 821.799590262019</t>
  </si>
  <si>
    <t>-502.434709440058 -194.177239774665 312.772526747758</t>
  </si>
  <si>
    <t>-588.172122975128 -267.060551823066 745.551713739762</t>
  </si>
  <si>
    <t>-464.625714183357 -314.850776906129 832.383040259125</t>
  </si>
  <si>
    <t>9763-20170724T104601.948926900.bin</t>
  </si>
  <si>
    <t>-639.681384685244 85.8526373251384 -538.677529698007</t>
  </si>
  <si>
    <t>-615.899088376188 180.590802212071 -261.098123366211</t>
  </si>
  <si>
    <t>-381.223178109794 231.665679808674 -241.877644520024</t>
  </si>
  <si>
    <t>-675.482742515502 35.6803819683751 -78.6249163409425</t>
  </si>
  <si>
    <t>-654.895057957057 17.1066366240648 323.973944803221</t>
  </si>
  <si>
    <t>-756.875523864582 -14.9765178435703 759.719394288774</t>
  </si>
  <si>
    <t>-615.551023454043 21.2030305151502 821.409837492692</t>
  </si>
  <si>
    <t>-503.079819994763 -193.560566773008 312.474500173098</t>
  </si>
  <si>
    <t>-587.961161493385 -267.413701526525 745.228228774702</t>
  </si>
  <si>
    <t>-464.817365967032 -315.367576453276 832.53986720505</t>
  </si>
  <si>
    <t>9763-20170724T104602.040186700.bin</t>
  </si>
  <si>
    <t>-640.818125094197 85.8577241232636 -539.110652253564</t>
  </si>
  <si>
    <t>-615.332312493128 181.478124649632 -261.98532740216</t>
  </si>
  <si>
    <t>-380.512776331605 231.44021255085 -241.627554110693</t>
  </si>
  <si>
    <t>-676.368567886216 36.6785857194757 -78.8195030410135</t>
  </si>
  <si>
    <t>-654.710169824923 17.5944735414048 323.699300196732</t>
  </si>
  <si>
    <t>-756.718051299644 -14.9804542834165 759.314020243966</t>
  </si>
  <si>
    <t>-615.440340605538 21.3166978153727 821.042457127157</t>
  </si>
  <si>
    <t>-504.268392253909 -193.140441755818 312.165256765932</t>
  </si>
  <si>
    <t>-588.005962835247 -266.914001116421 745.19270867997</t>
  </si>
  <si>
    <t>-465.002079365354 -315.085047050974 832.582035062082</t>
  </si>
  <si>
    <t>9763-20170724T104602.087304500.bin</t>
  </si>
  <si>
    <t>-641.442718206981 86.4132039177789 -539.062312489196</t>
  </si>
  <si>
    <t>-614.840848825649 182.342610570287 -262.148840058484</t>
  </si>
  <si>
    <t>-379.837025953602 231.307076027257 -241.495800805115</t>
  </si>
  <si>
    <t>-677.124133972628 37.3326817193715 -78.9247751730881</t>
  </si>
  <si>
    <t>-654.923600518039 17.8157311944417 323.543742911657</t>
  </si>
  <si>
    <t>-756.465284117143 -14.9589557521565 759.0539015492</t>
  </si>
  <si>
    <t>-615.183009804363 20.9942088340667 820.97298529661</t>
  </si>
  <si>
    <t>-505.131547997807 -192.790305117178 311.963767163409</t>
  </si>
  <si>
    <t>-588.191854317536 -266.619009955974 745.221998278496</t>
  </si>
  <si>
    <t>-465.483249494781 -315.740757909888 832.497147505627</t>
  </si>
  <si>
    <t>9763-20170724T104602.150487800.bin</t>
  </si>
  <si>
    <t>-641.260065553519 87.0920491216775 -538.412904017796</t>
  </si>
  <si>
    <t>-612.167241390969 184.681087124993 -262.330994825365</t>
  </si>
  <si>
    <t>-377.001553661589 232.290669124675 -240.39194771763</t>
  </si>
  <si>
    <t>-677.992886513713 37.7148134355502 -78.6262129813205</t>
  </si>
  <si>
    <t>-654.104423880757 17.6761508615091 323.720003043941</t>
  </si>
  <si>
    <t>-756.337023621102 -14.7566718375485 759.121547378647</t>
  </si>
  <si>
    <t>-615.006294086939 20.9846128393594 821.052926570951</t>
  </si>
  <si>
    <t>-506.422659508297 -192.285128184936 312.055318454396</t>
  </si>
  <si>
    <t>-588.65466723906 -266.111999384807 745.513155311957</t>
  </si>
  <si>
    <t>-465.851978468085 -315.936372182885 832.256034173471</t>
  </si>
  <si>
    <t>9763-20170724T104602.184577800.bin</t>
  </si>
  <si>
    <t>-640.714775371503 87.4305937111728 -538.182664546337</t>
  </si>
  <si>
    <t>-610.664697460733 186.391572262062 -262.692342166576</t>
  </si>
  <si>
    <t>-375.545497008811 233.739480997658 -239.713829312378</t>
  </si>
  <si>
    <t>-677.840920825679 38.008514740465 -78.4311682378551</t>
  </si>
  <si>
    <t>-654.157709204301 17.6017541524543 323.908602337194</t>
  </si>
  <si>
    <t>-756.437926375081 -14.5908078088476 759.314956108575</t>
  </si>
  <si>
    <t>-614.987470175083 20.8807446267215 821.127968074355</t>
  </si>
  <si>
    <t>-506.957580485398 -192.026722954714 312.080469608763</t>
  </si>
  <si>
    <t>-588.878110508267 -265.478102304863 745.682444646785</t>
  </si>
  <si>
    <t>-466.353166282788 -316.487866210556 832.128617504859</t>
  </si>
  <si>
    <t>9763-20170724T104602.249559200.bin</t>
  </si>
  <si>
    <t>-639.914908583845 88.4105824939859 -538.590695642543</t>
  </si>
  <si>
    <t>-608.430808196519 190.34144590294 -264.346072220855</t>
  </si>
  <si>
    <t>-373.668269965479 238.297200270144 -239.093944928929</t>
  </si>
  <si>
    <t>-677.395262884686 39.7633389939815 -78.3310497106195</t>
  </si>
  <si>
    <t>-656.21189891793 18.6532088220565 324.111898550895</t>
  </si>
  <si>
    <t>-756.516667077372 -14.4243392655744 759.885191828299</t>
  </si>
  <si>
    <t>-614.889548342334 20.7730336320594 821.449623438773</t>
  </si>
  <si>
    <t>-508.410288674249 -191.649848237414 311.937109307085</t>
  </si>
  <si>
    <t>-589.271924183034 -264.955995585161 745.840286849492</t>
  </si>
  <si>
    <t>-466.960926326058 -317.158911035289 831.876203534145</t>
  </si>
  <si>
    <t>9763-20170724T104602.282642800.bin</t>
  </si>
  <si>
    <t>-639.574528399145 89.1617191787514 -538.779395237591</t>
  </si>
  <si>
    <t>-607.398766401658 192.71423147384 -265.223484843912</t>
  </si>
  <si>
    <t>-372.91811615908 241.294160876917 -238.58400214615</t>
  </si>
  <si>
    <t>-677.793359500436 40.8182605545267 -78.0585155439443</t>
  </si>
  <si>
    <t>-656.529747076984 19.0818522436393 324.346823193968</t>
  </si>
  <si>
    <t>-756.529717626275 -14.450334469288 760.231932945788</t>
  </si>
  <si>
    <t>-614.822729353826 20.6754098333001 821.653580729828</t>
  </si>
  <si>
    <t>-509.174712568701 -191.313623694107 311.894765972973</t>
  </si>
  <si>
    <t>-589.350537920227 -264.759806329318 745.837350945924</t>
  </si>
  <si>
    <t>-467.350231584274 -317.727929159908 831.846694575524</t>
  </si>
  <si>
    <t>9763-20170724T104602.348836500.bin</t>
  </si>
  <si>
    <t>-638.603410368102 89.7555374104252 -538.533612692322</t>
  </si>
  <si>
    <t>-605.662470255578 197.002775548536 -266.496786911615</t>
  </si>
  <si>
    <t>-371.672939605372 246.088994397743 -236.658198700922</t>
  </si>
  <si>
    <t>-677.969721140003 41.4373776707178 -77.0624659233168</t>
  </si>
  <si>
    <t>-655.513543262994 19.2077002952853 325.251114287973</t>
  </si>
  <si>
    <t>-756.467637307067 -14.6607731839256 760.925835432824</t>
  </si>
  <si>
    <t>-614.699709482084 20.6303668859425 822.111468584058</t>
  </si>
  <si>
    <t>-509.628700506551 -191.501945833943 311.851936955899</t>
  </si>
  <si>
    <t>-589.46610116584 -265.434760669985 745.76585608838</t>
  </si>
  <si>
    <t>-467.325691541497 -317.953651232359 831.851726412059</t>
  </si>
  <si>
    <t>9763-20170724T104602.381924700.bin</t>
  </si>
  <si>
    <t>-638.069394497344 89.4010718752224 -538.401278194691</t>
  </si>
  <si>
    <t>-604.889436927368 198.869208213532 -267.279479249292</t>
  </si>
  <si>
    <t>-371.099875236092 247.517549751961 -235.237759685722</t>
  </si>
  <si>
    <t>-677.642441049359 41.3261459409857 -76.4962630457193</t>
  </si>
  <si>
    <t>-654.778550574834 19.1069917810798 325.794933096845</t>
  </si>
  <si>
    <t>-756.386042323912 -14.8672271696221 761.262105769422</t>
  </si>
  <si>
    <t>-614.654633802952 20.7543484808612 822.340700602033</t>
  </si>
  <si>
    <t>-509.404031250204 -191.685248415649 311.883199634171</t>
  </si>
  <si>
    <t>-589.46594040701 -265.577748011359 745.725623161719</t>
  </si>
  <si>
    <t>-467.558438989516 -318.443023706916 831.929610898907</t>
  </si>
  <si>
    <t>9763-20170724T104602.453132500.bin</t>
  </si>
  <si>
    <t>-636.505140339034 88.5765849793659 -538.543084626184</t>
  </si>
  <si>
    <t>-603.745524313136 202.127768292091 -269.05443155825</t>
  </si>
  <si>
    <t>-370.470507335571 251.34656399609 -234.253106894119</t>
  </si>
  <si>
    <t>-676.59150776949 41.6751784339006 -75.6322337288674</t>
  </si>
  <si>
    <t>-654.112185109463 19.4416121025711 326.679838506781</t>
  </si>
  <si>
    <t>-756.243022272526 -15.1000278131492 761.830567317352</t>
  </si>
  <si>
    <t>-614.636919410612 21.1828692697243 822.810607611086</t>
  </si>
  <si>
    <t>-509.526022246266 -192.332571710029 312.042001598331</t>
  </si>
  <si>
    <t>-589.45954339728 -266.688522889485 745.664446394042</t>
  </si>
  <si>
    <t>-467.412844428499 -318.771936106153 832.14688828509</t>
  </si>
  <si>
    <t>9763-20170724T104602.482209700.bin</t>
  </si>
  <si>
    <t>-635.902963654986 88.4549365071193 -538.923790144643</t>
  </si>
  <si>
    <t>-602.963803668549 204.076964495087 -270.339046651856</t>
  </si>
  <si>
    <t>-370.148952161075 254.353705600626 -234.001755605642</t>
  </si>
  <si>
    <t>-676.31165246068 42.1992582776272 -75.4086114776356</t>
  </si>
  <si>
    <t>-654.342402936911 19.7621417878636 326.9203273005</t>
  </si>
  <si>
    <t>-756.252632977899 -14.9880805101784 762.074976199556</t>
  </si>
  <si>
    <t>-614.597101735676 21.102380269477 823.054413339109</t>
  </si>
  <si>
    <t>-510.125382036664 -192.498954550033 312.149967494753</t>
  </si>
  <si>
    <t>-589.512947803066 -267.124712191676 745.731820160328</t>
  </si>
  <si>
    <t>-467.584462894903 -319.339102269949 832.30203978941</t>
  </si>
  <si>
    <t>9763-20170724T104602.547397700.bin</t>
  </si>
  <si>
    <t>-634.777522590275 87.677424088542 -540.119884344278</t>
  </si>
  <si>
    <t>-602.139057514689 208.118954086174 -273.624555629531</t>
  </si>
  <si>
    <t>-370.271287606717 260.186187554901 -233.910530623727</t>
  </si>
  <si>
    <t>-676.715362016298 43.3772704597093 -75.3260676301705</t>
  </si>
  <si>
    <t>-655.511223649792 20.063995267323 326.994119667037</t>
  </si>
  <si>
    <t>-756.128239619697 -14.8505026964945 762.442764255846</t>
  </si>
  <si>
    <t>-614.531985719176 21.3728469780278 823.480897349358</t>
  </si>
  <si>
    <t>-511.723104026651 -192.668637539464 312.092583195651</t>
  </si>
  <si>
    <t>-589.612971095594 -267.445712971842 745.792115659135</t>
  </si>
  <si>
    <t>-467.601672619113 -319.531712206362 832.322902180456</t>
  </si>
  <si>
    <t>9763-20170724T104602.585499100.bin</t>
  </si>
  <si>
    <t>-634.036995807859 86.9875732954847 -541.072280133957</t>
  </si>
  <si>
    <t>-602.179061684896 209.764285064057 -275.549923220448</t>
  </si>
  <si>
    <t>-370.600454665807 262.163339544999 -234.604019083661</t>
  </si>
  <si>
    <t>-676.981193148865 43.911784334882 -75.4867691933553</t>
  </si>
  <si>
    <t>-655.967672875304 20.4954230379008 326.837463723303</t>
  </si>
  <si>
    <t>-756.091565918681 -14.6309411977627 762.420201072755</t>
  </si>
  <si>
    <t>-614.475897653826 21.3657721849256 823.547333109228</t>
  </si>
  <si>
    <t>-512.681206493279 -192.362040319509 311.842386446778</t>
  </si>
  <si>
    <t>-589.575761157299 -267.111097114987 745.748344379669</t>
  </si>
  <si>
    <t>-467.94997800162 -319.999132289388 832.335515921885</t>
  </si>
  <si>
    <t>9763-20170724T104602.650212100.bin</t>
  </si>
  <si>
    <t>-632.082320286277 84.9623076435078 -543.087091551244</t>
  </si>
  <si>
    <t>-602.26760028272 212.122375509099 -279.396776647063</t>
  </si>
  <si>
    <t>-371.344243416639 264.525688879534 -234.90914085538</t>
  </si>
  <si>
    <t>-678.07427686158 44.953185426762 -75.4861540626111</t>
  </si>
  <si>
    <t>-655.281735218795 21.4383091917084 326.735495907282</t>
  </si>
  <si>
    <t>-755.98942701499 -14.389747706344 762.291006484989</t>
  </si>
  <si>
    <t>-614.421524030899 21.6371735755849 823.510967530564</t>
  </si>
  <si>
    <t>-514.221412176442 -192.491238895522 311.135787921761</t>
  </si>
  <si>
    <t>-589.490233935264 -267.59373122251 745.552194388759</t>
  </si>
  <si>
    <t>-468.004978272466 -320.341018347944 832.421951504554</t>
  </si>
  <si>
    <t>9763-20170724T104602.682298100.bin</t>
  </si>
  <si>
    <t>-630.949539598574 83.943321772389 -543.903428606888</t>
  </si>
  <si>
    <t>-602.414674587801 213.77881074882 -281.377809702463</t>
  </si>
  <si>
    <t>-371.546407908783 264.805437098279 -235.042083461464</t>
  </si>
  <si>
    <t>-679.065485303503 45.7702985613985 -75.2561220244097</t>
  </si>
  <si>
    <t>-654.941773812825 22.1976720487842 326.884441030864</t>
  </si>
  <si>
    <t>-756.016871336668 -14.2695349257958 762.291558421069</t>
  </si>
  <si>
    <t>-614.425043806085 21.6898681185151 823.495988113778</t>
  </si>
  <si>
    <t>-514.536344879361 -192.482075628623 310.962563930318</t>
  </si>
  <si>
    <t>-589.426725518507 -268.217898481039 745.337841047101</t>
  </si>
  <si>
    <t>-467.993630173826 -320.677618326206 832.454354398677</t>
  </si>
  <si>
    <t>9763-20170724T104602.748980500.bin</t>
  </si>
  <si>
    <t>-627.63008926254 79.9080179210603 -546.063720924377</t>
  </si>
  <si>
    <t>-601.759645926948 215.2084078469 -286.033519021802</t>
  </si>
  <si>
    <t>-371.111519503376 265.665686273453 -238.009039581253</t>
  </si>
  <si>
    <t>-681.795321007564 47.1874419305461 -75.3007727339888</t>
  </si>
  <si>
    <t>-656.54494914453 23.29091310846 326.751514945725</t>
  </si>
  <si>
    <t>-756.145465892361 -13.8858604583418 762.261821627294</t>
  </si>
  <si>
    <t>-614.505040004521 21.8961922550452 823.457838654587</t>
  </si>
  <si>
    <t>-515.644307515336 -191.63587709922 310.884770199031</t>
  </si>
  <si>
    <t>-588.942049044386 -269.078883945223 744.929684574525</t>
  </si>
  <si>
    <t>-467.932234006701 -321.262178121818 832.797854807553</t>
  </si>
  <si>
    <t>9763-20170724T104602.783070500.bin</t>
  </si>
  <si>
    <t>-625.380393275779 76.7615164680994 -547.648008205782</t>
  </si>
  <si>
    <t>-601.066863798393 214.178463391538 -288.579205225668</t>
  </si>
  <si>
    <t>-370.321875834534 265.032092800499 -241.445902159096</t>
  </si>
  <si>
    <t>-683.323064450374 47.6213498235945 -75.7217208282576</t>
  </si>
  <si>
    <t>-657.963441436544 23.8196018563585 326.329322781868</t>
  </si>
  <si>
    <t>-756.17275170444 -13.5408305004796 762.120227751211</t>
  </si>
  <si>
    <t>-614.527325530765 22.0760481497691 823.400627339619</t>
  </si>
  <si>
    <t>-516.465804712911 -190.825514492918 310.830402767887</t>
  </si>
  <si>
    <t>-588.623339069079 -269.039655448942 744.782809312628</t>
  </si>
  <si>
    <t>-467.837779428269 -321.01624575317 833.081037954889</t>
  </si>
  <si>
    <t>9763-20170724T104602.852867200.bin</t>
  </si>
  <si>
    <t>-621.60424007571 71.2569121257006 -550.251334397112</t>
  </si>
  <si>
    <t>-602.506422354586 209.040123279935 -290.940190479618</t>
  </si>
  <si>
    <t>-371.163648958084 262.904320541523 -250.566374525695</t>
  </si>
  <si>
    <t>-688.297881482514 48.3596725423877 -76.6137991831743</t>
  </si>
  <si>
    <t>-660.011726353542 24.7505822574528 325.25330680931</t>
  </si>
  <si>
    <t>-756.304397566571 -12.776128514088 761.775659685854</t>
  </si>
  <si>
    <t>-614.559482151066 22.1932311527403 823.198826264478</t>
  </si>
  <si>
    <t>-518.534801561595 -189.867347068499 310.796896474454</t>
  </si>
  <si>
    <t>-588.060041227478 -268.847949320739 744.946948938964</t>
  </si>
  <si>
    <t>-467.644768206227 -320.368446889997 834.014888758418</t>
  </si>
  <si>
    <t>9763-20170724T104602.882946900.bin</t>
  </si>
  <si>
    <t>-620.936784483783 70.3058198672945 -551.00492989647</t>
  </si>
  <si>
    <t>-605.581406067364 206.447820603089 -290.580689204133</t>
  </si>
  <si>
    <t>-374.111644547159 262.420285541148 -253.978917946521</t>
  </si>
  <si>
    <t>-690.19847321893 48.5775132397739 -77.1569526892735</t>
  </si>
  <si>
    <t>-660.493816516005 25.1280913166252 324.617163879093</t>
  </si>
  <si>
    <t>-756.367210744736 -12.4020213911533 761.418008373058</t>
  </si>
  <si>
    <t>-614.584936780645 22.2605879174203 822.929028473064</t>
  </si>
  <si>
    <t>-519.859630211779 -189.632571199656 310.646305452032</t>
  </si>
  <si>
    <t>-587.890198256485 -268.641256983973 745.024068640239</t>
  </si>
  <si>
    <t>-467.828262862459 -320.460835433391 834.395011466165</t>
  </si>
  <si>
    <t>9763-20170724T104602.915032900.bin</t>
  </si>
  <si>
    <t>-621.581135620215 70.639966509862 -551.269878056512</t>
  </si>
  <si>
    <t>-610.826706481002 203.109600509371 -288.729634095485</t>
  </si>
  <si>
    <t>-379.414677050671 260.323238969604 -253.716765263757</t>
  </si>
  <si>
    <t>-691.529302769888 48.3979818663524 -77.8692109667562</t>
  </si>
  <si>
    <t>-660.940973174121 25.2700431636338 323.857199449588</t>
  </si>
  <si>
    <t>-756.292128462198 -12.2208804147249 760.885148507074</t>
  </si>
  <si>
    <t>-614.551458050252 22.3770571853438 822.528300784556</t>
  </si>
  <si>
    <t>-521.313711137005 -189.737259036347 310.462761038822</t>
  </si>
  <si>
    <t>-587.828096587428 -268.802699542753 745.063479256397</t>
  </si>
  <si>
    <t>-467.833421576836 -320.473715766336 834.61062327384</t>
  </si>
  <si>
    <t>9763-20170724T104602.988782500.bin</t>
  </si>
  <si>
    <t>-625.899562366489 72.9427307934641 -550.832356745237</t>
  </si>
  <si>
    <t>-623.089558909197 196.532632415875 -283.795086220537</t>
  </si>
  <si>
    <t>-391.963262066937 257.102055079002 -252.765418542739</t>
  </si>
  <si>
    <t>-692.233373051967 46.8102631890677 -79.2469149674558</t>
  </si>
  <si>
    <t>-661.026920305098 24.5997043672155 322.483762983555</t>
  </si>
  <si>
    <t>-756.210298302593 -11.9126469556811 759.848755853453</t>
  </si>
  <si>
    <t>-614.510516595019 22.6100723126854 821.627711050383</t>
  </si>
  <si>
    <t>-523.463223069219 -189.949452969559 310.364849217241</t>
  </si>
  <si>
    <t>-588.026436989253 -268.915130437767 745.346763880914</t>
  </si>
  <si>
    <t>-467.785049787207 -320.293034506196 834.731486575649</t>
  </si>
  <si>
    <t>9763-20170724T104603.051726800.bin</t>
  </si>
  <si>
    <t>-634.553256725831 74.852040377883 -550.231301713744</t>
  </si>
  <si>
    <t>-636.349867463146 188.226921472781 -278.691113370836</t>
  </si>
  <si>
    <t>-407.314449981632 256.838837187835 -248.92454822153</t>
  </si>
  <si>
    <t>-692.935043894255 44.3315266417596 -79.7635665358268</t>
  </si>
  <si>
    <t>-661.154420933188 22.9417098867186 321.966599054487</t>
  </si>
  <si>
    <t>-756.048190795576 -12.0239593880424 759.314313119635</t>
  </si>
  <si>
    <t>-614.385277016987 22.7309617099515 821.047667145769</t>
  </si>
  <si>
    <t>-523.258560851216 -191.658843744553 309.610748432472</t>
  </si>
  <si>
    <t>-588.471849370941 -268.763663822703 745.374597609743</t>
  </si>
  <si>
    <t>-468.144644883664 -320.582421836068 834.388434896571</t>
  </si>
  <si>
    <t>9763-20170724T104603.084815300.bin</t>
  </si>
  <si>
    <t>-638.867113488478 74.7984067155182 -550.025251474171</t>
  </si>
  <si>
    <t>-645.659090017407 183.544048941778 -276.676469479215</t>
  </si>
  <si>
    <t>-417.594421916902 253.615658855041 -243.100421405665</t>
  </si>
  <si>
    <t>-692.383491570231 42.6852506469304 -79.8196851317998</t>
  </si>
  <si>
    <t>-660.759473785625 21.9636848871633 321.957919562816</t>
  </si>
  <si>
    <t>-756.00145739319 -11.9992861060907 759.203015852411</t>
  </si>
  <si>
    <t>-614.321115830539 22.7277078132111 820.911970168307</t>
  </si>
  <si>
    <t>-523.030770260487 -192.762617926986 309.269972005827</t>
  </si>
  <si>
    <t>-588.55528295121 -268.78866309862 745.23118515713</t>
  </si>
  <si>
    <t>-468.278923664351 -320.751207003203 834.230005205467</t>
  </si>
  <si>
    <t>9763-20170724T104603.151021300.bin</t>
  </si>
  <si>
    <t>-645.262124624127 75.1064850964124 -548.313573054447</t>
  </si>
  <si>
    <t>-665.340995539191 173.953157003834 -271.87657007519</t>
  </si>
  <si>
    <t>-437.526457595569 241.311873168511 -231.699736229384</t>
  </si>
  <si>
    <t>-691.739111955359 39.7743923622072 -79.5699695998342</t>
  </si>
  <si>
    <t>-660.502907450336 19.7165200186753 322.271572762846</t>
  </si>
  <si>
    <t>-755.97196117302 -11.9972270773928 759.355837358246</t>
  </si>
  <si>
    <t>-614.184894560777 22.5668642135759 820.911031807216</t>
  </si>
  <si>
    <t>-522.689677039932 -194.969260745529 308.975496563247</t>
  </si>
  <si>
    <t>-588.791954274428 -269.625205768735 745.088670543893</t>
  </si>
  <si>
    <t>-467.989809636019 -320.425898909936 834.046112841695</t>
  </si>
  <si>
    <t>9763-20170724T104603.184098300.bin</t>
  </si>
  <si>
    <t>-647.296683295743 75.7780315498278 -546.939317944359</t>
  </si>
  <si>
    <t>-671.752334775575 168.719497019324 -268.811621978887</t>
  </si>
  <si>
    <t>-443.517347660588 234.059432406847 -227.697278010633</t>
  </si>
  <si>
    <t>-691.375809808438 38.3809447174806 -79.3365406532562</t>
  </si>
  <si>
    <t>-660.194097598912 18.7392185482076 322.529796762255</t>
  </si>
  <si>
    <t>-755.980413460236 -12.0091294826946 759.517870395003</t>
  </si>
  <si>
    <t>-614.17143881365 22.6606133855689 820.963038801266</t>
  </si>
  <si>
    <t>-522.177278794363 -195.431124295753 309.080174242512</t>
  </si>
  <si>
    <t>-588.945225877387 -269.781688793484 745.141381003929</t>
  </si>
  <si>
    <t>-468.130275694623 -320.706290246289 834.010591482316</t>
  </si>
  <si>
    <t>9763-20170724T104603.251846300.bin</t>
  </si>
  <si>
    <t>-651.390306228112 77.317130647923 -544.458036779394</t>
  </si>
  <si>
    <t>-674.116576933869 160.946947078539 -263.245032598966</t>
  </si>
  <si>
    <t>-445.180632169119 225.709629965941 -225.232395323891</t>
  </si>
  <si>
    <t>-691.50433845007 36.2646221715356 -79.0250879079958</t>
  </si>
  <si>
    <t>-660.320562452653 17.8504947533388 322.899240523755</t>
  </si>
  <si>
    <t>-755.977041839539 -11.9871989930818 759.810635263769</t>
  </si>
  <si>
    <t>-614.081001073551 22.5949230080719 821.104023833125</t>
  </si>
  <si>
    <t>-520.821334558806 -196.036899036026 309.359938620179</t>
  </si>
  <si>
    <t>-589.259388813143 -269.930800475856 745.363638024425</t>
  </si>
  <si>
    <t>-468.099174397567 -320.637306307276 833.886768737914</t>
  </si>
  <si>
    <t>9763-20170724T104603.281926300.bin</t>
  </si>
  <si>
    <t>-653.449009633034 77.289531288799 -543.801523058118</t>
  </si>
  <si>
    <t>-671.734016072869 158.98249352307 -261.69661635364</t>
  </si>
  <si>
    <t>-442.622473918549 224.528980114992 -226.166190190313</t>
  </si>
  <si>
    <t>-691.341032183013 35.2851090395636 -79.0315627505735</t>
  </si>
  <si>
    <t>-660.836490968566 17.5285854898514 322.97448804913</t>
  </si>
  <si>
    <t>-755.887241096864 -12.0495357759751 759.904656483781</t>
  </si>
  <si>
    <t>-614.022596544904 22.6723603815901 821.191606304936</t>
  </si>
  <si>
    <t>-520.35470564543 -196.27962596354 309.439301010228</t>
  </si>
  <si>
    <t>-589.413121426305 -269.818090183211 745.489859831015</t>
  </si>
  <si>
    <t>-468.183924851481 -320.708476338229 833.812805789047</t>
  </si>
  <si>
    <t>9763-20170724T104603.351166600.bin</t>
  </si>
  <si>
    <t>-656.409147895806 76.6665493621188 -543.523189349185</t>
  </si>
  <si>
    <t>-665.270279200744 158.906983086189 -261.124132994831</t>
  </si>
  <si>
    <t>-435.329836857177 224.88646689258 -232.401344195611</t>
  </si>
  <si>
    <t>-690.87431714577 34.3279408501203 -79.0415486147961</t>
  </si>
  <si>
    <t>-661.400188750683 16.9510542703056 323.057889409548</t>
  </si>
  <si>
    <t>-755.791060671908 -12.0818644296021 760.118941199529</t>
  </si>
  <si>
    <t>-613.987245649556 22.8995489231202 821.399273817118</t>
  </si>
  <si>
    <t>-519.984393819721 -196.596074592633 309.280688161276</t>
  </si>
  <si>
    <t>-589.593108628033 -269.471550386599 745.55317069371</t>
  </si>
  <si>
    <t>-468.310295055085 -320.581443991802 833.67563563</t>
  </si>
  <si>
    <t>9763-20170724T104603.384254400.bin</t>
  </si>
  <si>
    <t>-657.401614186559 76.6594926078619 -543.315084961892</t>
  </si>
  <si>
    <t>-661.311371054613 160.212329663068 -261.189624199065</t>
  </si>
  <si>
    <t>-430.937635347237 225.542866441794 -234.530139833147</t>
  </si>
  <si>
    <t>-690.201043897125 33.9349006973164 -78.8877247426158</t>
  </si>
  <si>
    <t>-661.252787602769 16.6257628503836 323.252870892491</t>
  </si>
  <si>
    <t>-755.772826101844 -12.1117999646976 760.253777740271</t>
  </si>
  <si>
    <t>-613.989849088297 22.969797984985 821.525002711391</t>
  </si>
  <si>
    <t>-519.754503785387 -196.905523723405 309.214048472167</t>
  </si>
  <si>
    <t>-589.651387113837 -269.628312060493 745.546044602486</t>
  </si>
  <si>
    <t>-468.2386992711 -320.483976978403 833.636606786032</t>
  </si>
  <si>
    <t>9763-20170724T104603.449433900.bin</t>
  </si>
  <si>
    <t>-657.777412736644 76.6411718698289 -542.259545455644</t>
  </si>
  <si>
    <t>-653.097992015455 161.209062398947 -260.448361788926</t>
  </si>
  <si>
    <t>-421.827640152549 224.645161113313 -237.193932820317</t>
  </si>
  <si>
    <t>-688.003044548904 32.8460735766059 -78.243408818493</t>
  </si>
  <si>
    <t>-659.765630479841 15.4734675120228 323.944956508545</t>
  </si>
  <si>
    <t>-755.596823687389 -12.5167013702564 760.602345728635</t>
  </si>
  <si>
    <t>-613.981182600271 23.3641147119151 821.797833397391</t>
  </si>
  <si>
    <t>-518.361683425449 -197.611195680876 309.346024185414</t>
  </si>
  <si>
    <t>-589.710547460089 -269.360359436214 745.623844234624</t>
  </si>
  <si>
    <t>-468.381239554243 -320.611819559049 833.599884158349</t>
  </si>
  <si>
    <t>9763-20170724T104603.484529600.bin</t>
  </si>
  <si>
    <t>-657.569541974213 77.4845042396457 -541.324242503964</t>
  </si>
  <si>
    <t>-650.027696747342 161.403530781262 -259.381100374493</t>
  </si>
  <si>
    <t>-418.420302790708 224.208557496567 -237.831013052894</t>
  </si>
  <si>
    <t>-686.917038675079 32.6852357775456 -77.8738046921817</t>
  </si>
  <si>
    <t>-659.050775225865 15.1734943465219 324.334530503326</t>
  </si>
  <si>
    <t>-755.6299722815 -12.5305933255695 760.812811119402</t>
  </si>
  <si>
    <t>-613.99595946756 23.3698974045185 821.95421481865</t>
  </si>
  <si>
    <t>-517.366577978819 -198.045484327459 309.513923460034</t>
  </si>
  <si>
    <t>-589.814902784554 -269.226098753208 745.740285169806</t>
  </si>
  <si>
    <t>-468.575487422803 -320.964722054636 833.554947433048</t>
  </si>
  <si>
    <t>9763-20170724T104603.550708400.bin</t>
  </si>
  <si>
    <t>-657.522983398442 79.8469888847112 -539.423146145125</t>
  </si>
  <si>
    <t>-645.625549772796 161.951391578751 -257.096120935856</t>
  </si>
  <si>
    <t>-413.48211848201 223.134167539986 -236.677329695308</t>
  </si>
  <si>
    <t>-684.768523939202 32.776100079672 -77.3037204516595</t>
  </si>
  <si>
    <t>-658.273078886192 15.1709818610072 324.993097864283</t>
  </si>
  <si>
    <t>-755.628280154934 -12.5740421637715 761.219683211711</t>
  </si>
  <si>
    <t>-613.985890337372 23.3895985768149 822.304326408362</t>
  </si>
  <si>
    <t>-516.156300279178 -198.419871805836 309.817382073937</t>
  </si>
  <si>
    <t>-590.018293323118 -268.555593621901 745.935440344648</t>
  </si>
  <si>
    <t>-468.689962579096 -320.745146158723 833.359611193215</t>
  </si>
  <si>
    <t>9763-20170724T104603.583797300.bin</t>
  </si>
  <si>
    <t>-657.476635706363 80.7158493668364 -538.671225721537</t>
  </si>
  <si>
    <t>-643.696881425133 162.441965530558 -256.320099089066</t>
  </si>
  <si>
    <t>-411.196245833815 222.388002636921 -236.300357860588</t>
  </si>
  <si>
    <t>-683.951415976988 32.9275358969674 -77.0615502293704</t>
  </si>
  <si>
    <t>-658.012712955213 15.2467914070348 325.268297629006</t>
  </si>
  <si>
    <t>-755.617802584891 -12.608136690362 761.431324282671</t>
  </si>
  <si>
    <t>-613.950601348399 23.3052453463986 822.488042494415</t>
  </si>
  <si>
    <t>-515.770877598317 -198.332192629844 309.962381141067</t>
  </si>
  <si>
    <t>-590.132242170641 -268.373921021782 746.02139959544</t>
  </si>
  <si>
    <t>-468.824104819394 -320.901623757039 833.270839307733</t>
  </si>
  <si>
    <t>9763-20170724T104603.650979700.bin</t>
  </si>
  <si>
    <t>-656.449613683131 81.557981540946 -537.486310147603</t>
  </si>
  <si>
    <t>-639.149548759987 161.679453739913 -254.869214338562</t>
  </si>
  <si>
    <t>-406.231845597904 220.79279660726 -237.380565984094</t>
  </si>
  <si>
    <t>-682.049785200883 32.5922986818412 -76.3969903070366</t>
  </si>
  <si>
    <t>-656.365435171943 14.8556994365481 325.946652067027</t>
  </si>
  <si>
    <t>-755.663723532268 -12.7553121304186 761.849975157298</t>
  </si>
  <si>
    <t>-614.008081319471 23.4661900044432 822.751371541632</t>
  </si>
  <si>
    <t>-515.412839111221 -198.632711358199 310.342504998753</t>
  </si>
  <si>
    <t>-590.405389036789 -268.218698728846 746.276060635177</t>
  </si>
  <si>
    <t>-468.896854666081 -320.9183337858 833.142061779909</t>
  </si>
  <si>
    <t>9763-20170724T104603.681060500.bin</t>
  </si>
  <si>
    <t>-655.880767048613 81.8168625561534 -537.122993381669</t>
  </si>
  <si>
    <t>-636.721046076815 161.677545397272 -254.5519274627</t>
  </si>
  <si>
    <t>-403.787554088711 221.08896369038 -238.329939968592</t>
  </si>
  <si>
    <t>-681.096831429275 32.5809647230676 -76.1354334134451</t>
  </si>
  <si>
    <t>-655.447776096986 14.588688097931 326.199067256354</t>
  </si>
  <si>
    <t>-755.717984239535 -12.8064594104924 761.961670102339</t>
  </si>
  <si>
    <t>-614.000041264811 23.2986396108504 822.787058705092</t>
  </si>
  <si>
    <t>-515.50247343998 -198.736307588237 310.566992512734</t>
  </si>
  <si>
    <t>-590.523215809526 -267.884461471622 746.45025772756</t>
  </si>
  <si>
    <t>-469.213632683937 -321.34577267927 833.128748658467</t>
  </si>
  <si>
    <t>9763-20170724T104603.747783400.bin</t>
  </si>
  <si>
    <t>-655.118978582375 82.3404045269451 -537.044732518429</t>
  </si>
  <si>
    <t>-633.272480181633 162.998626702336 -254.895526386252</t>
  </si>
  <si>
    <t>-400.392514779533 223.292786798595 -241.389023307176</t>
  </si>
  <si>
    <t>-679.347310585128 32.859817349761 -75.8950492630435</t>
  </si>
  <si>
    <t>-654.579850282289 14.4705264663494 326.476771807101</t>
  </si>
  <si>
    <t>-755.844754400761 -12.6851571859738 762.05362129559</t>
  </si>
  <si>
    <t>-614.017387771077 23.1234062035794 822.799433901563</t>
  </si>
  <si>
    <t>-515.868957444518 -199.618660812545 310.790352815041</t>
  </si>
  <si>
    <t>-590.810262732667 -268.364911990903 746.714592134778</t>
  </si>
  <si>
    <t>-469.115706634742 -321.474583706143 833.06902839806</t>
  </si>
  <si>
    <t>9763-20170724T104603.782878000.bin</t>
  </si>
  <si>
    <t>-654.673874696729 82.3169548739177 -537.152204231338</t>
  </si>
  <si>
    <t>-631.979272589344 163.829158800666 -255.315436929627</t>
  </si>
  <si>
    <t>-399.233898765976 224.83414643747 -242.711795680267</t>
  </si>
  <si>
    <t>-678.700118404378 32.9805718251857 -75.7998355701565</t>
  </si>
  <si>
    <t>-654.112737260287 14.4569994663084 326.576913135436</t>
  </si>
  <si>
    <t>-755.841990969515 -12.6079524045681 762.036932438332</t>
  </si>
  <si>
    <t>-613.95819256812 22.9202105711036 822.815366857894</t>
  </si>
  <si>
    <t>-515.899099694333 -199.810188598757 310.844770867802</t>
  </si>
  <si>
    <t>-590.856832296236 -268.152995433099 746.778253313647</t>
  </si>
  <si>
    <t>-469.176149311839 -321.424779159265 833.052327625641</t>
  </si>
  <si>
    <t>9763-20170724T104603.851839000.bin</t>
  </si>
  <si>
    <t>-653.580747720149 81.799331603776 -537.100668160495</t>
  </si>
  <si>
    <t>-629.030090302031 165.060027963315 -255.931396844106</t>
  </si>
  <si>
    <t>-396.901228723802 228.864560257173 -246.131696224935</t>
  </si>
  <si>
    <t>-677.628649268838 32.9168213422859 -75.3876807585561</t>
  </si>
  <si>
    <t>-652.362745426544 14.3758576925541 326.946112074806</t>
  </si>
  <si>
    <t>-755.854408291723 -12.5439676624233 762.071099403873</t>
  </si>
  <si>
    <t>-613.995666071028 23.0969569694869 822.842068708671</t>
  </si>
  <si>
    <t>-515.270995994683 -200.225867853008 311.182470220383</t>
  </si>
  <si>
    <t>-590.985559159797 -268.434660882186 746.956450524594</t>
  </si>
  <si>
    <t>-469.310819736629 -321.941325077105 833.093550786561</t>
  </si>
  <si>
    <t>9763-20170724T104603.884928900.bin</t>
  </si>
  <si>
    <t>-653.027540169548 81.0113301348222 -537.245424241116</t>
  </si>
  <si>
    <t>-627.131179409823 165.852714709577 -256.670036845319</t>
  </si>
  <si>
    <t>-395.299336050679 230.900439402548 -248.088903912668</t>
  </si>
  <si>
    <t>-676.988434323927 32.8916556587592 -75.2333129656104</t>
  </si>
  <si>
    <t>-651.472819797357 14.3707026095283 327.085706611645</t>
  </si>
  <si>
    <t>-755.875405144859 -12.5300395801171 762.026454041037</t>
  </si>
  <si>
    <t>-614.025479602248 23.1976154282254 822.767226113869</t>
  </si>
  <si>
    <t>-514.8448600325 -200.19436793242 311.438175344719</t>
  </si>
  <si>
    <t>-591.05317514946 -268.798660181874 747.05268385357</t>
  </si>
  <si>
    <t>-469.292666052769 -322.189450712071 833.140413204446</t>
  </si>
  <si>
    <t>9763-20170724T104603.949631400.bin</t>
  </si>
  <si>
    <t>-651.817997296837 78.5136709907129 -538.274540914972</t>
  </si>
  <si>
    <t>-622.784396657158 168.664628416102 -259.668968786391</t>
  </si>
  <si>
    <t>-391.104889157261 234.260065808987 -251.144267475899</t>
  </si>
  <si>
    <t>-675.464600259176 33.1044168675521 -75.2882713137484</t>
  </si>
  <si>
    <t>-650.578001729379 14.6936433513833 327.07520723521</t>
  </si>
  <si>
    <t>-755.956461942224 -12.411566063744 761.771547177905</t>
  </si>
  <si>
    <t>-614.105914095722 23.3881306167043 822.468330946506</t>
  </si>
  <si>
    <t>-513.890131140915 -199.562311669804 311.893931957551</t>
  </si>
  <si>
    <t>-591.049883067662 -268.988460344934 747.154611189922</t>
  </si>
  <si>
    <t>-469.206714235573 -322.211419738831 833.229288018066</t>
  </si>
  <si>
    <t>9763-20170724T104603.988724000.bin</t>
  </si>
  <si>
    <t>-650.918173057468 77.2468483376731 -538.895248630834</t>
  </si>
  <si>
    <t>-620.699034804078 169.798669801859 -261.204416483867</t>
  </si>
  <si>
    <t>-389.277115986769 236.201467249043 -251.961735395007</t>
  </si>
  <si>
    <t>-674.962496349513 33.3240431841082 -75.3859525016832</t>
  </si>
  <si>
    <t>-650.171619733774 14.9178941853045 326.983629170849</t>
  </si>
  <si>
    <t>-755.927498997453 -12.4527292684991 761.612582337693</t>
  </si>
  <si>
    <t>-614.143780903912 23.6319718959637 822.296775212622</t>
  </si>
  <si>
    <t>-513.33885930287 -199.108675142885 312.069531227254</t>
  </si>
  <si>
    <t>-590.985443312555 -268.859301336097 747.15408605867</t>
  </si>
  <si>
    <t>-469.209082576322 -322.178140598393 833.264022392421</t>
  </si>
  <si>
    <t>9763-20170724T104604.049202800.bin</t>
  </si>
  <si>
    <t>-649.054607135014 75.6374244683193 -539.540779494173</t>
  </si>
  <si>
    <t>-618.121532296948 171.267693206562 -262.973923865921</t>
  </si>
  <si>
    <t>-387.027373411266 238.599706412527 -252.355229361241</t>
  </si>
  <si>
    <t>-674.477401514155 33.5158164004961 -75.4527304636954</t>
  </si>
  <si>
    <t>-649.010640008269 15.0802196243767 326.873304384333</t>
  </si>
  <si>
    <t>-755.872265029457 -12.6003107156453 761.296019013632</t>
  </si>
  <si>
    <t>-614.167065356295 23.8643331637506 821.9362909329</t>
  </si>
  <si>
    <t>-512.217464497781 -198.967839894383 312.41966014851</t>
  </si>
  <si>
    <t>-591.055757199434 -269.052636976051 747.272165060604</t>
  </si>
  <si>
    <t>-469.04986302062 -322.025346456547 833.270776555733</t>
  </si>
  <si>
    <t>9763-20170724T104604.084297000.bin</t>
  </si>
  <si>
    <t>-648.316586519736 75.362705834501 -539.583320058692</t>
  </si>
  <si>
    <t>-616.969495448791 171.929027701154 -263.388680863619</t>
  </si>
  <si>
    <t>-386.057782272818 239.786925649482 -252.16529910366</t>
  </si>
  <si>
    <t>-674.250989218271 33.6005862702273 -75.386164794224</t>
  </si>
  <si>
    <t>-648.365616220415 15.0526978197349 326.908007398471</t>
  </si>
  <si>
    <t>-755.853273392445 -12.700417192837 761.175304970631</t>
  </si>
  <si>
    <t>-614.144658217073 23.7953712298781 821.788938012092</t>
  </si>
  <si>
    <t>-511.795300232424 -199.08053404404 312.503510914457</t>
  </si>
  <si>
    <t>-591.109172664108 -269.001673150097 747.3045086733</t>
  </si>
  <si>
    <t>-468.819480031149 -321.480540104352 833.202793365351</t>
  </si>
  <si>
    <t>9763-20170724T104604.148201100.bin</t>
  </si>
  <si>
    <t>-646.591924334837 75.522808558416 -539.718724108148</t>
  </si>
  <si>
    <t>-614.535552369079 172.671816788464 -263.810021728551</t>
  </si>
  <si>
    <t>-383.704810180021 240.688878531106 -251.905070046025</t>
  </si>
  <si>
    <t>-673.063979714805 33.8342334791055 -75.2920431831221</t>
  </si>
  <si>
    <t>-646.735610513079 15.0103111109336 326.960521489228</t>
  </si>
  <si>
    <t>-755.79729656707 -12.9305597905259 760.873858027458</t>
  </si>
  <si>
    <t>-614.14426809819 23.902105809834 821.413748309386</t>
  </si>
  <si>
    <t>-511.866313617254 -198.880480029026 312.699408559124</t>
  </si>
  <si>
    <t>-591.213406155656 -269.04580916426 747.371273427229</t>
  </si>
  <si>
    <t>-468.930455441642 -321.739259303778 833.147555199244</t>
  </si>
  <si>
    <t>9763-20170724T104604.216382500.bin</t>
  </si>
  <si>
    <t>-644.348376222356 76.9734359754486 -539.86368845437</t>
  </si>
  <si>
    <t>-611.970713368466 174.280700907501 -264.048272112131</t>
  </si>
  <si>
    <t>-381.230241936529 242.318747747252 -250.613047407771</t>
  </si>
  <si>
    <t>-671.450610674261 34.835568998722 -75.4516699552297</t>
  </si>
  <si>
    <t>-646.300760540999 15.6178471546289 326.857675486583</t>
  </si>
  <si>
    <t>-755.891596656237 -12.8216324402506 760.603427411912</t>
  </si>
  <si>
    <t>-614.201571101958 24.0256542549594 821.047643861698</t>
  </si>
  <si>
    <t>-512.006579853842 -198.647532111376 312.701677565383</t>
  </si>
  <si>
    <t>-591.206154541613 -268.875054428847 747.362735560103</t>
  </si>
  <si>
    <t>-469.261885588214 -322.383029350243 833.11690666884</t>
  </si>
  <si>
    <t>9763-20170724T104604.252491200.bin</t>
  </si>
  <si>
    <t>-643.088781881128 77.9953235265086 -539.866059602621</t>
  </si>
  <si>
    <t>-610.642532738731 175.247251120421 -264.03910426943</t>
  </si>
  <si>
    <t>-379.959265418749 243.285675379952 -249.656818660771</t>
  </si>
  <si>
    <t>-670.766177695743 35.5115131508494 -75.4656958987911</t>
  </si>
  <si>
    <t>-646.126519264159 15.9756700140492 326.859896090282</t>
  </si>
  <si>
    <t>-755.974097789687 -12.7408516578125 760.563659479277</t>
  </si>
  <si>
    <t>-614.214023894726 23.9641996530731 820.930250243104</t>
  </si>
  <si>
    <t>-511.920032647474 -198.531553119323 312.6765785557</t>
  </si>
  <si>
    <t>-591.181543313568 -268.803427469319 747.307864019866</t>
  </si>
  <si>
    <t>-469.343811210824 -322.505720649248 833.092035957146</t>
  </si>
  <si>
    <t>9763-20170724T104604.285582200.bin</t>
  </si>
  <si>
    <t>-641.844876611015 78.9049340714976 -539.774483186369</t>
  </si>
  <si>
    <t>-609.459450872306 175.88492930001 -263.844562389884</t>
  </si>
  <si>
    <t>-378.743534288495 243.726643094101 -249.06116018079</t>
  </si>
  <si>
    <t>-670.028907440986 36.0915395641421 -75.3935164610886</t>
  </si>
  <si>
    <t>-645.770637879886 16.241924666492 326.939927587364</t>
  </si>
  <si>
    <t>-755.992636216585 -12.7298261106339 760.531728819718</t>
  </si>
  <si>
    <t>-614.202147139681 23.9595443707808 820.836184391462</t>
  </si>
  <si>
    <t>-511.842869048539 -198.780733700055 312.688701269031</t>
  </si>
  <si>
    <t>-591.24460224458 -269.342660104494 747.279276642087</t>
  </si>
  <si>
    <t>-469.033862410364 -322.213594995949 833.049369688003</t>
  </si>
  <si>
    <t>9763-20170724T104604.350763200.bin</t>
  </si>
  <si>
    <t>-639.081035883602 80.7906634851063 -539.524525387407</t>
  </si>
  <si>
    <t>-606.628149516311 177.489915921407 -263.504092745474</t>
  </si>
  <si>
    <t>-375.683239929935 244.334147154846 -247.78236234344</t>
  </si>
  <si>
    <t>-667.832466115934 37.2673918643038 -75.1245465551875</t>
  </si>
  <si>
    <t>-644.339309820892 16.7636966303614 327.221482336768</t>
  </si>
  <si>
    <t>-756.010412541726 -12.6500113548384 760.413855961259</t>
  </si>
  <si>
    <t>-614.257696603474 24.2629808128672 820.670798009786</t>
  </si>
  <si>
    <t>-511.199288842299 -198.471261914684 312.675091457475</t>
  </si>
  <si>
    <t>-591.123059274031 -268.709076633388 747.154242299431</t>
  </si>
  <si>
    <t>-469.763819453358 -323.290972757532 833.061492352835</t>
  </si>
  <si>
    <t>9763-20170724T104604.397891500.bin</t>
  </si>
  <si>
    <t>-637.710391225957 81.5040375235046 -539.410716565912</t>
  </si>
  <si>
    <t>-605.229774764562 178.201607646791 -263.392922349474</t>
  </si>
  <si>
    <t>-374.245767031868 244.761752161283 -247.053006618852</t>
  </si>
  <si>
    <t>-666.650716766249 37.7655335769011 -74.9676656810607</t>
  </si>
  <si>
    <t>-643.697816877319 16.9742024925388 327.394732804804</t>
  </si>
  <si>
    <t>-755.933787392747 -12.7579302095346 760.399517830397</t>
  </si>
  <si>
    <t>-614.257365881105 24.4896046633219 820.630100254837</t>
  </si>
  <si>
    <t>-510.895520843664 -198.400715931392 312.743333341599</t>
  </si>
  <si>
    <t>-591.114338826747 -268.907270304536 747.09586790611</t>
  </si>
  <si>
    <t>-469.663838264786 -323.217561078647 833.046184902447</t>
  </si>
  <si>
    <t>9763-20170724T104604.447984000.bin</t>
  </si>
  <si>
    <t>-634.615842446776 83.183210213761 -539.150044477337</t>
  </si>
  <si>
    <t>-602.363462709226 180.01604972786 -263.152991009308</t>
  </si>
  <si>
    <t>-371.351333717399 246.165258194003 -245.58734606852</t>
  </si>
  <si>
    <t>-664.663293428507 39.0232899096975 -74.5977237791856</t>
  </si>
  <si>
    <t>-642.228920215835 17.5831063786536 327.759962897887</t>
  </si>
  <si>
    <t>-756.007827560527 -12.647297239728 760.382756999563</t>
  </si>
  <si>
    <t>-614.274177575787 24.5336820730447 820.519681081598</t>
  </si>
  <si>
    <t>-510.526385056936 -198.415774888531 312.93117954501</t>
  </si>
  <si>
    <t>-591.123855008005 -269.370086411009 747.056915787902</t>
  </si>
  <si>
    <t>-469.457911645706 -323.119688451759 833.055047474879</t>
  </si>
  <si>
    <t>9763-20170724T104604.483076400.bin</t>
  </si>
  <si>
    <t>-632.839795023006 84.1178198826519 -539.000332037527</t>
  </si>
  <si>
    <t>-600.870013597223 180.876553245834 -262.944432861743</t>
  </si>
  <si>
    <t>-369.850478021791 246.816171579582 -244.701445068802</t>
  </si>
  <si>
    <t>-663.577407433045 39.6632382051337 -74.4385113902603</t>
  </si>
  <si>
    <t>-641.481038362535 17.9196958639909 327.921591738336</t>
  </si>
  <si>
    <t>-756.008788620492 -12.6208300379758 760.341664313348</t>
  </si>
  <si>
    <t>-614.256990947807 24.554794919085 820.439260009475</t>
  </si>
  <si>
    <t>-510.155869513364 -198.382643449887 312.986456356509</t>
  </si>
  <si>
    <t>-591.091947941026 -269.493361926103 747.022759225061</t>
  </si>
  <si>
    <t>-469.524859244474 -323.377058441208 833.076646734886</t>
  </si>
  <si>
    <t>9763-20170724T104604.548259200.bin</t>
  </si>
  <si>
    <t>-629.186214704874 85.9204385729001 -538.685477718505</t>
  </si>
  <si>
    <t>-597.972573755714 182.263445870098 -262.3976406557</t>
  </si>
  <si>
    <t>-366.771303652337 247.336530439544 -243.362532582865</t>
  </si>
  <si>
    <t>-661.548470413486 40.8530736957607 -74.2186448071977</t>
  </si>
  <si>
    <t>-640.239275787453 18.5245663264709 328.151843877791</t>
  </si>
  <si>
    <t>-755.950907862669 -12.5842104339963 760.189037749482</t>
  </si>
  <si>
    <t>-614.242507034134 24.7557579939348 820.286732292649</t>
  </si>
  <si>
    <t>-509.260340189143 -197.967488133092 313.001110635902</t>
  </si>
  <si>
    <t>-590.911302420336 -269.24206262116 746.838655360002</t>
  </si>
  <si>
    <t>-469.706897806601 -323.587255002737 833.113772200918</t>
  </si>
  <si>
    <t>9763-20170724T104604.581347000.bin</t>
  </si>
  <si>
    <t>-627.364021481321 86.7489274287125 -538.574129417272</t>
  </si>
  <si>
    <t>-596.557660615393 182.982672434946 -262.202560550914</t>
  </si>
  <si>
    <t>-365.243537272055 247.57165866587 -242.892489927758</t>
  </si>
  <si>
    <t>-660.563865702773 41.3304051164512 -74.1518677502596</t>
  </si>
  <si>
    <t>-639.780164155073 18.6672642859232 328.227374748539</t>
  </si>
  <si>
    <t>-755.852628878618 -12.6642175435256 760.134973071947</t>
  </si>
  <si>
    <t>-614.293965872985 25.2262639012044 820.241168861635</t>
  </si>
  <si>
    <t>-508.933605144442 -197.99246538279 312.963912322779</t>
  </si>
  <si>
    <t>-590.858274806602 -269.666802496825 746.715971625756</t>
  </si>
  <si>
    <t>-469.494375724137 -323.447734760835 833.120285107253</t>
  </si>
  <si>
    <t>9763-20170724T104604.650090100.bin</t>
  </si>
  <si>
    <t>-624.22714990545 88.5609297186211 -538.376459268659</t>
  </si>
  <si>
    <t>-594.670152742582 184.782774090975 -261.864420900485</t>
  </si>
  <si>
    <t>-363.025159332907 247.65559595216 -240.924176242624</t>
  </si>
  <si>
    <t>-659.071990155245 42.3699493356212 -73.9981473063464</t>
  </si>
  <si>
    <t>-639.051821340083 19.3119509045869 328.397376554704</t>
  </si>
  <si>
    <t>-755.675390750303 -12.7800115352054 760.100549795855</t>
  </si>
  <si>
    <t>-614.256104074274 25.5967009214996 820.226163625386</t>
  </si>
  <si>
    <t>-508.338194390047 -197.631661065843 312.879439824668</t>
  </si>
  <si>
    <t>-590.647982268382 -269.838976345665 746.449640774022</t>
  </si>
  <si>
    <t>-469.656240958281 -323.935260858268 833.178381994636</t>
  </si>
  <si>
    <t>9763-20170724T104604.683177900.bin</t>
  </si>
  <si>
    <t>-622.924952636086 89.7185478129131 -538.174824950341</t>
  </si>
  <si>
    <t>-594.395222672152 185.60452387742 -261.438230460744</t>
  </si>
  <si>
    <t>-362.720903105159 248.092286168231 -239.686147076338</t>
  </si>
  <si>
    <t>-658.588822728001 43.0867188184557 -73.9217710786951</t>
  </si>
  <si>
    <t>-638.768148848314 19.8821358241464 328.475260676987</t>
  </si>
  <si>
    <t>-755.660619475649 -12.7020275595294 760.10926364804</t>
  </si>
  <si>
    <t>-614.245415131513 25.6579302145983 820.255291217801</t>
  </si>
  <si>
    <t>-508.029819985213 -197.360833152233 312.838594168741</t>
  </si>
  <si>
    <t>-590.530422370539 -269.78306343669 746.314480318298</t>
  </si>
  <si>
    <t>-469.794356369671 -324.192804781732 833.203446866236</t>
  </si>
  <si>
    <t>9763-20170724T104604.747856000.bin</t>
  </si>
  <si>
    <t>-620.553959328432 91.6609449001717 -537.642136566728</t>
  </si>
  <si>
    <t>-594.002511560062 185.738856189808 -260.089124570763</t>
  </si>
  <si>
    <t>-362.138097913193 247.408353906514 -238.029740032189</t>
  </si>
  <si>
    <t>-658.442616543264 44.0327718670289 -73.8944437914834</t>
  </si>
  <si>
    <t>-638.64817201484 20.4899175996654 328.484210579789</t>
  </si>
  <si>
    <t>-755.474622936809 -12.7738583136795 760.105579463868</t>
  </si>
  <si>
    <t>-614.203223870462 25.9869999579355 820.332602890647</t>
  </si>
  <si>
    <t>-507.828794506263 -196.966928377189 312.716694686708</t>
  </si>
  <si>
    <t>-590.306536463053 -270.103210233683 746.040702883896</t>
  </si>
  <si>
    <t>-469.629984438511 -324.125058357321 833.253643562007</t>
  </si>
  <si>
    <t>9763-20170724T104604.781947100.bin</t>
  </si>
  <si>
    <t>-619.261681608387 91.9743076084642 -537.597807808357</t>
  </si>
  <si>
    <t>-593.716338786923 184.769182524601 -259.519039284859</t>
  </si>
  <si>
    <t>-361.797118010583 246.268206149093 -237.55942946216</t>
  </si>
  <si>
    <t>-658.680679070667 44.1995697159443 -74.0922848370362</t>
  </si>
  <si>
    <t>-638.61333748698 20.4702618582101 328.261897683299</t>
  </si>
  <si>
    <t>-755.368600771914 -12.7246417580127 759.940738164743</t>
  </si>
  <si>
    <t>-614.193745690206 26.1983702606935 820.28947034157</t>
  </si>
  <si>
    <t>-507.965138913609 -197.143812681686 312.506461854322</t>
  </si>
  <si>
    <t>-590.142519250844 -270.347807733582 745.856869328374</t>
  </si>
  <si>
    <t>-469.45593083514 -323.933247328186 833.324889451768</t>
  </si>
  <si>
    <t>9763-20170724T104604.850773400.bin</t>
  </si>
  <si>
    <t>-617.590381722686 92.561393069429 -538.240025603943</t>
  </si>
  <si>
    <t>-594.456329454016 183.145072411091 -259.222733854538</t>
  </si>
  <si>
    <t>-362.826699814198 245.519078552337 -236.682519719957</t>
  </si>
  <si>
    <t>-659.929357810439 44.2013458013935 -74.8772067028158</t>
  </si>
  <si>
    <t>-638.865704895873 20.6465073738152 327.436314690398</t>
  </si>
  <si>
    <t>-755.166811932372 -12.3044797346838 759.297992363729</t>
  </si>
  <si>
    <t>-614.115789136528 26.3037282145401 820.136331305624</t>
  </si>
  <si>
    <t>-507.376618081503 -197.828696691996 311.534392413462</t>
  </si>
  <si>
    <t>-589.492207111635 -271.217367779646 744.988612911844</t>
  </si>
  <si>
    <t>-468.869337770549 -323.155230556551 833.531769999823</t>
  </si>
  <si>
    <t>9763-20170724T104604.886878200.bin</t>
  </si>
  <si>
    <t>-617.650130298395 92.4403297809426 -538.972834437369</t>
  </si>
  <si>
    <t>-596.862576471076 181.74598348964 -259.359613029023</t>
  </si>
  <si>
    <t>-365.433771073802 244.806037126138 -236.664918053369</t>
  </si>
  <si>
    <t>-660.830971268345 43.9802840508962 -75.3873716270464</t>
  </si>
  <si>
    <t>-639.454087362911 20.6733374808359 326.923998122162</t>
  </si>
  <si>
    <t>-755.085697608548 -12.0754877855586 758.992812703145</t>
  </si>
  <si>
    <t>-614.078568969505 26.3161406224303 820.069647168487</t>
  </si>
  <si>
    <t>-507.014368876607 -197.505646265224 311.01027850756</t>
  </si>
  <si>
    <t>-588.945910732618 -271.371038130161 744.392403255675</t>
  </si>
  <si>
    <t>-469.042044098875 -323.581989091662 833.747794373533</t>
  </si>
  <si>
    <t>9763-20170724T104604.948582700.bin</t>
  </si>
  <si>
    <t>-619.582667135129 92.6238468767497 -539.608174370555</t>
  </si>
  <si>
    <t>-604.697870178549 178.880189039541 -258.664230696731</t>
  </si>
  <si>
    <t>-373.217614926023 240.940989934588 -233.840291999207</t>
  </si>
  <si>
    <t>-662.897483295088 42.8565512242756 -76.3697661181956</t>
  </si>
  <si>
    <t>-641.123749375422 20.5995864486604 325.979811551649</t>
  </si>
  <si>
    <t>-754.680268427402 -12.0711048767023 758.514212420233</t>
  </si>
  <si>
    <t>-614.000722775274 26.8848159521096 819.98779012526</t>
  </si>
  <si>
    <t>-507.271231334391 -197.70661480143 310.129549558433</t>
  </si>
  <si>
    <t>-588.103654764842 -273.190326374202 743.496967951938</t>
  </si>
  <si>
    <t>-467.807876127115 -322.268874391853 834.092306692106</t>
  </si>
  <si>
    <t>9763-20170724T104604.996705100.bin</t>
  </si>
  <si>
    <t>-621.188865460981 93.4196599056916 -539.38930526304</t>
  </si>
  <si>
    <t>-608.381625555201 177.962267504138 -257.82277911157</t>
  </si>
  <si>
    <t>-376.766933285257 239.196001924234 -232.211895621131</t>
  </si>
  <si>
    <t>-663.998295415383 42.3901367601159 -76.7306267726257</t>
  </si>
  <si>
    <t>-641.908209036845 20.6036709305906 325.627444854601</t>
  </si>
  <si>
    <t>-754.722893338856 -11.7514918991876 758.3460322555</t>
  </si>
  <si>
    <t>-614.048151523408 27.0374316574444 819.936030257956</t>
  </si>
  <si>
    <t>-507.694868022858 -197.645505438642 309.828366357167</t>
  </si>
  <si>
    <t>-587.948886749176 -273.173604375259 743.375377468408</t>
  </si>
  <si>
    <t>-467.951869847343 -322.514967536387 834.223898579705</t>
  </si>
  <si>
    <t>9763-20170724T104605.051389000.bin</t>
  </si>
  <si>
    <t>-625.038138725889 95.0841977515968 -538.192507831886</t>
  </si>
  <si>
    <t>-612.915661423186 175.167070986945 -255.295073973852</t>
  </si>
  <si>
    <t>-381.216898408549 236.636740035243 -231.045311057048</t>
  </si>
  <si>
    <t>-664.99329466545 41.0488404847817 -77.1079766290846</t>
  </si>
  <si>
    <t>-643.339280155213 19.9823690124415 325.31220634044</t>
  </si>
  <si>
    <t>-754.72329627701 -11.5231252472347 758.32559584506</t>
  </si>
  <si>
    <t>-614.057824686217 27.2286156498928 819.960096704007</t>
  </si>
  <si>
    <t>-508.4352343847 -198.081530685579 309.5618105674</t>
  </si>
  <si>
    <t>-588.132331499033 -272.990800811773 743.510800124189</t>
  </si>
  <si>
    <t>-468.001729052279 -322.345373173439 834.175307542297</t>
  </si>
  <si>
    <t>9763-20170724T104605.083459900.bin</t>
  </si>
  <si>
    <t>-627.556576276617 95.4551775907203 -537.636446390513</t>
  </si>
  <si>
    <t>-614.66823860315 174.456773745331 -254.468990327995</t>
  </si>
  <si>
    <t>-382.883502704458 235.919810633806 -231.038728477657</t>
  </si>
  <si>
    <t>-665.717408632982 40.5099703999242 -77.1655536744938</t>
  </si>
  <si>
    <t>-644.129714413205 19.2752084004685 325.249325642354</t>
  </si>
  <si>
    <t>-754.832450674115 -11.3529099152156 758.452582678671</t>
  </si>
  <si>
    <t>-614.055982109254 27.1297338344496 820.002179937859</t>
  </si>
  <si>
    <t>-508.93078489786 -198.21919803004 309.535630620283</t>
  </si>
  <si>
    <t>-588.329256141495 -272.515427785506 743.677908782117</t>
  </si>
  <si>
    <t>-468.284286020854 -322.553513498338 834.080824856732</t>
  </si>
  <si>
    <t>9763-20170724T104605.149651100.bin</t>
  </si>
  <si>
    <t>-632.929227699126 94.8001741001588 -536.658827087024</t>
  </si>
  <si>
    <t>-618.440855619149 172.327719002656 -253.161368510239</t>
  </si>
  <si>
    <t>-386.423966250945 233.659635854261 -231.773632935979</t>
  </si>
  <si>
    <t>-666.366283388326 39.2080821128943 -77.2188011068552</t>
  </si>
  <si>
    <t>-645.598617195221 17.9098557781551 325.235872547929</t>
  </si>
  <si>
    <t>-754.988900280812 -11.1833796284911 758.843531250604</t>
  </si>
  <si>
    <t>-614.022985606552 26.943916728919 820.180356675335</t>
  </si>
  <si>
    <t>-509.955417167295 -199.143277449937 309.524471551005</t>
  </si>
  <si>
    <t>-588.885317878352 -271.896104208218 744.13661163263</t>
  </si>
  <si>
    <t>-468.649278034621 -322.813669299048 833.791490860513</t>
  </si>
  <si>
    <t>9763-20170724T104605.186749600.bin</t>
  </si>
  <si>
    <t>-635.765026187248 94.8848644629209 -535.959451621721</t>
  </si>
  <si>
    <t>-620.855523062702 171.334158303458 -252.191239681479</t>
  </si>
  <si>
    <t>-388.730473681076 232.580409083866 -231.753317981811</t>
  </si>
  <si>
    <t>-667.032779908555 39.2044802702442 -77.0932806880913</t>
  </si>
  <si>
    <t>-646.343826214223 17.2059758953624 325.32778445205</t>
  </si>
  <si>
    <t>-755.261836226776 -10.8223185271647 759.110089667489</t>
  </si>
  <si>
    <t>-613.944963313345 26.1857004628732 820.324745330645</t>
  </si>
  <si>
    <t>-510.215854836335 -199.559518646993 309.610016533925</t>
  </si>
  <si>
    <t>-589.167418320544 -271.359268350377 744.378054253162</t>
  </si>
  <si>
    <t>-469.07197319423 -323.276119632979 833.647375819848</t>
  </si>
  <si>
    <t>9763-20170724T104605.250927700.bin</t>
  </si>
  <si>
    <t>-641.289491232473 94.8307427650768 -534.012891884915</t>
  </si>
  <si>
    <t>-626.356368703738 167.70066698492 -249.305667006883</t>
  </si>
  <si>
    <t>-393.999140786577 228.538694453783 -230.339763889265</t>
  </si>
  <si>
    <t>-666.480303054374 39.1103233687631 -76.657728008701</t>
  </si>
  <si>
    <t>-647.78070218322 16.3505845114862 325.818444552469</t>
  </si>
  <si>
    <t>-755.455649943269 -10.6429452384314 759.841599167432</t>
  </si>
  <si>
    <t>-613.909784923736 25.877352530646 820.819896108244</t>
  </si>
  <si>
    <t>-509.544761951655 -200.294288337524 310.090724156457</t>
  </si>
  <si>
    <t>-589.870087209839 -270.142036785265 745.001422364262</t>
  </si>
  <si>
    <t>-469.83462794182 -323.881093060356 833.267521559089</t>
  </si>
  <si>
    <t>9763-20170724T104605.283022200.bin</t>
  </si>
  <si>
    <t>-643.831565493469 94.3811150809186 -532.783157745249</t>
  </si>
  <si>
    <t>-629.140492733965 164.730339000789 -247.43009938833</t>
  </si>
  <si>
    <t>-396.715391846665 225.399420513878 -228.756411445341</t>
  </si>
  <si>
    <t>-666.153575391088 39.2307252881005 -76.196127255274</t>
  </si>
  <si>
    <t>-648.029200872488 15.8428493102017 326.270272325544</t>
  </si>
  <si>
    <t>-755.611039406618 -10.5125991881675 760.351058998185</t>
  </si>
  <si>
    <t>-613.909478003924 25.7049382959253 821.147922193926</t>
  </si>
  <si>
    <t>-508.229435293955 -200.700579465712 310.519947698178</t>
  </si>
  <si>
    <t>-590.263080798202 -269.570563643176 745.341203234018</t>
  </si>
  <si>
    <t>-470.081018350792 -323.925223683116 833.028968716184</t>
  </si>
  <si>
    <t>9763-20170724T104605.354209600.bin</t>
  </si>
  <si>
    <t>-649.191361496089 93.3467178215813 -529.902795657946</t>
  </si>
  <si>
    <t>-635.451255662301 158.687365100714 -243.3141563036</t>
  </si>
  <si>
    <t>-402.649008110908 217.886895252782 -224.621559423965</t>
  </si>
  <si>
    <t>-666.170389411955 39.5658017907062 -74.8461648316201</t>
  </si>
  <si>
    <t>-647.74181901043 14.753305988954 327.521041624998</t>
  </si>
  <si>
    <t>-755.812385170372 -10.4372856558423 761.520184214253</t>
  </si>
  <si>
    <t>-613.780060722416 25.024794518336 821.989625367688</t>
  </si>
  <si>
    <t>-504.209260688119 -201.747011143026 311.268106243242</t>
  </si>
  <si>
    <t>-590.792466017754 -267.415887674233 745.873227270213</t>
  </si>
  <si>
    <t>-470.778381947872 -323.804317745608 832.500358579895</t>
  </si>
  <si>
    <t>9763-20170724T104605.380279000.bin</t>
  </si>
  <si>
    <t>-651.862205738389 92.9180755715886 -528.336008437335</t>
  </si>
  <si>
    <t>-638.552575717682 155.909397707278 -241.201645169101</t>
  </si>
  <si>
    <t>-405.612228899791 214.537291054606 -222.428565107374</t>
  </si>
  <si>
    <t>-666.201344801248 39.7345701211152 -74.0073139052821</t>
  </si>
  <si>
    <t>-647.348716956393 14.1871959728387 328.294349123881</t>
  </si>
  <si>
    <t>-755.951014442638 -10.3295084293147 762.140572758462</t>
  </si>
  <si>
    <t>-613.734563748159 24.6288164466944 822.47044601129</t>
  </si>
  <si>
    <t>-501.950932060422 -202.184518768449 311.484679449844</t>
  </si>
  <si>
    <t>-590.823887433777 -265.549407213143 746.045998405487</t>
  </si>
  <si>
    <t>-471.563295389619 -324.083371168699 832.289769578087</t>
  </si>
  <si>
    <t>9763-20170724T104605.449006600.bin</t>
  </si>
  <si>
    <t>-657.427729265092 92.1241139698607 -524.859793765884</t>
  </si>
  <si>
    <t>-644.004633836606 150.754765846887 -236.808726431782</t>
  </si>
  <si>
    <t>-410.771526861433 208.768014128606 -219.848438213687</t>
  </si>
  <si>
    <t>-666.032928498085 40.3327675600356 -72.0983783367565</t>
  </si>
  <si>
    <t>-647.011296619161 13.3348722844917 330.100589680565</t>
  </si>
  <si>
    <t>-756.126182812917 -10.2147363746765 763.548868155833</t>
  </si>
  <si>
    <t>-613.651303582298 24.0272543134761 823.679461966961</t>
  </si>
  <si>
    <t>-496.725890767835 -204.479507903723 311.832008926861</t>
  </si>
  <si>
    <t>-590.805987072408 -262.249200840467 746.249886790232</t>
  </si>
  <si>
    <t>-472.4988834978 -323.616597054015 831.834752657234</t>
  </si>
  <si>
    <t>9763-20170724T104605.483095800.bin</t>
  </si>
  <si>
    <t>-660.220729104395 91.572903541557 -523.001796952697</t>
  </si>
  <si>
    <t>-645.829967157189 148.801083815356 -234.715472671348</t>
  </si>
  <si>
    <t>-412.423648815439 206.329267487836 -218.502031329287</t>
  </si>
  <si>
    <t>-665.950949386487 40.8159890232173 -71.0939263458361</t>
  </si>
  <si>
    <t>-647.034674339259 13.0171533664502 331.05539476154</t>
  </si>
  <si>
    <t>-756.176651991437 -10.2437126499747 764.367677189748</t>
  </si>
  <si>
    <t>-613.583405347159 23.6901671174076 824.392317843865</t>
  </si>
  <si>
    <t>-493.479633741829 -205.199814372242 311.881739779013</t>
  </si>
  <si>
    <t>-590.533394108385 -259.918202548165 746.168718800893</t>
  </si>
  <si>
    <t>-473.507438358873 -323.930201102204 831.577666450278</t>
  </si>
  <si>
    <t>9763-20170724T104605.551317000.bin</t>
  </si>
  <si>
    <t>-666.411430874359 90.3628632430448 -520.009428457096</t>
  </si>
  <si>
    <t>-648.355446747351 146.103253155563 -231.637815380724</t>
  </si>
  <si>
    <t>-414.391052505671 202.038257101569 -218.11789201416</t>
  </si>
  <si>
    <t>-666.030587911705 41.7579851317926 -69.8420506460105</t>
  </si>
  <si>
    <t>-647.031415315992 12.3883919415402 332.191703561195</t>
  </si>
  <si>
    <t>-756.188171275756 -10.4433022653036 765.220415916213</t>
  </si>
  <si>
    <t>-613.52040159564 23.3940311475556 825.122529029144</t>
  </si>
  <si>
    <t>-486.657529955532 -207.388753916956 311.004272594239</t>
  </si>
  <si>
    <t>-589.806032671956 -256.198957865773 744.871283481793</t>
  </si>
  <si>
    <t>-474.677733607741 -323.532789187217 830.305148527512</t>
  </si>
  <si>
    <t>9763-20170724T104605.581397800.bin</t>
  </si>
  <si>
    <t>-669.484149997652 89.8638294924674 -518.840830086335</t>
  </si>
  <si>
    <t>-649.083159849624 145.189749117532 -230.545682084203</t>
  </si>
  <si>
    <t>-414.820189133034 200.334434411494 -219.10912846317</t>
  </si>
  <si>
    <t>-666.116202830137 42.3537392363085 -69.3987833568733</t>
  </si>
  <si>
    <t>-646.794843045752 12.1044782218573 332.55437631781</t>
  </si>
  <si>
    <t>-756.191102349519 -10.5734444962718 765.458924670548</t>
  </si>
  <si>
    <t>-613.468143610652 23.0978857101038 825.322981426012</t>
  </si>
  <si>
    <t>-483.135818393558 -208.145623124273 310.292268476501</t>
  </si>
  <si>
    <t>-589.226556223946 -254.424747447296 743.80272925921</t>
  </si>
  <si>
    <t>-475.471456225954 -323.696843234804 829.525763643456</t>
  </si>
  <si>
    <t>9763-20170724T104605.647645000.bin</t>
  </si>
  <si>
    <t>-675.57354248837 88.3654640053996 -516.561555431149</t>
  </si>
  <si>
    <t>-649.372012649081 143.078682963483 -228.618591132319</t>
  </si>
  <si>
    <t>-414.601800477306 196.873182809356 -222.297920729731</t>
  </si>
  <si>
    <t>-666.212722866484 42.9884810067897 -68.5921702089333</t>
  </si>
  <si>
    <t>-645.322114023241 11.4043710047185 333.179784934879</t>
  </si>
  <si>
    <t>-756.285106075138 -10.7303084879923 765.723253038594</t>
  </si>
  <si>
    <t>-613.410572892905 22.3912658963973 825.532421136507</t>
  </si>
  <si>
    <t>-476.048139551843 -209.560257921856 308.689025625987</t>
  </si>
  <si>
    <t>-588.029974998516 -251.947903405173 741.2425035949</t>
  </si>
  <si>
    <t>-476.457641746424 -323.529414518423 827.931655507592</t>
  </si>
  <si>
    <t>9763-20170724T104605.681735400.bin</t>
  </si>
  <si>
    <t>-678.285684572065 87.3297510016421 -515.457699729999</t>
  </si>
  <si>
    <t>-648.870554032703 142.017767800454 -227.820557228802</t>
  </si>
  <si>
    <t>-413.907879913955 195.235981734936 -224.468632182429</t>
  </si>
  <si>
    <t>-666.157763924124 42.9464302750246 -68.1824742748395</t>
  </si>
  <si>
    <t>-644.091609435537 10.8803713045927 333.48841894185</t>
  </si>
  <si>
    <t>-756.319050223532 -10.881413718492 765.784491639364</t>
  </si>
  <si>
    <t>-613.364397003432 21.9641108525677 825.554354635763</t>
  </si>
  <si>
    <t>-472.788966620435 -210.067846982971 308.011265975934</t>
  </si>
  <si>
    <t>-587.471876268808 -251.313689444228 739.915392832539</t>
  </si>
  <si>
    <t>-476.335466855218 -322.847245649527 827.201977444964</t>
  </si>
  <si>
    <t>9763-20170724T104605.749466100.bin</t>
  </si>
  <si>
    <t>-683.257871797401 86.039820415604 -513.425860801281</t>
  </si>
  <si>
    <t>-647.177093935786 140.950812898788 -226.591186284045</t>
  </si>
  <si>
    <t>-411.906660011471 192.884988178688 -227.842737052274</t>
  </si>
  <si>
    <t>-665.712255831601 43.1416793746462 -67.4237197336396</t>
  </si>
  <si>
    <t>-641.490565190711 9.89214445358834 334.026728449706</t>
  </si>
  <si>
    <t>-756.332708544118 -11.3360985825555 765.847606296113</t>
  </si>
  <si>
    <t>-613.318561623803 21.4331330189143 825.517066273632</t>
  </si>
  <si>
    <t>-467.021014599959 -210.564052389848 306.713222154484</t>
  </si>
  <si>
    <t>-586.137448393569 -250.249641612662 737.282368127403</t>
  </si>
  <si>
    <t>-476.130746915807 -321.724577782446 826.035746691882</t>
  </si>
  <si>
    <t>9763-20170724T104605.815642800.bin</t>
  </si>
  <si>
    <t>-687.523003659551 86.2957449976075 -511.206849768799</t>
  </si>
  <si>
    <t>-644.746049134306 142.29470088291 -225.505089329708</t>
  </si>
  <si>
    <t>-409.371051730719 193.592057395657 -229.754924866488</t>
  </si>
  <si>
    <t>-665.855088653365 43.7983916577259 -66.8177457442691</t>
  </si>
  <si>
    <t>-639.141469771607 9.55924478654879 334.391371862245</t>
  </si>
  <si>
    <t>-756.517854672937 -11.4521777911734 765.844088125224</t>
  </si>
  <si>
    <t>-613.259988742018 20.4382650185601 825.40478124139</t>
  </si>
  <si>
    <t>-463.44631712356 -209.517113867084 306.131211427994</t>
  </si>
  <si>
    <t>-585.265334541249 -248.999659130273 735.652435941185</t>
  </si>
  <si>
    <t>-476.279914588763 -320.889753538555 825.325654645608</t>
  </si>
  <si>
    <t>9763-20170724T104605.853270600.bin</t>
  </si>
  <si>
    <t>-689.340998857181 86.5608863037082 -510.356841471891</t>
  </si>
  <si>
    <t>-642.806537689741 143.719885352366 -225.473375473194</t>
  </si>
  <si>
    <t>-407.415970758218 194.818084407461 -231.055066329014</t>
  </si>
  <si>
    <t>-666.026345337194 43.8087147553447 -66.6599591684042</t>
  </si>
  <si>
    <t>-638.518417143828 9.24066495792817 334.467303428337</t>
  </si>
  <si>
    <t>-756.456207790149 -11.7586470131491 765.824788480548</t>
  </si>
  <si>
    <t>-613.200999179454 20.2484125601359 825.329216048034</t>
  </si>
  <si>
    <t>-462.428991575533 -208.883670579731 305.875118726956</t>
  </si>
  <si>
    <t>-584.845365451302 -247.762635932531 735.181562830127</t>
  </si>
  <si>
    <t>-476.910885669199 -320.986911745628 825.046165734734</t>
  </si>
  <si>
    <t>9763-20170724T104605.886357800.bin</t>
  </si>
  <si>
    <t>-691.003973797982 86.4409840416852 -509.858030832858</t>
  </si>
  <si>
    <t>-640.674179512616 145.005856285669 -225.906724249651</t>
  </si>
  <si>
    <t>-405.240325880834 195.752624982783 -232.725641382134</t>
  </si>
  <si>
    <t>-666.048450771775 43.5178692331015 -66.6688253873709</t>
  </si>
  <si>
    <t>-638.384440278263 8.91003518411458 334.444180035478</t>
  </si>
  <si>
    <t>-756.367101233144 -12.0838356040042 765.790469658932</t>
  </si>
  <si>
    <t>-613.098842355852 19.9445020559831 825.252101452877</t>
  </si>
  <si>
    <t>-462.243292005849 -208.574416515981 305.539010814337</t>
  </si>
  <si>
    <t>-584.588638822743 -246.477089912 734.92696448732</t>
  </si>
  <si>
    <t>-477.123133457403 -320.429245668799 824.757556135466</t>
  </si>
  <si>
    <t>9763-20170724T104605.947655000.bin</t>
  </si>
  <si>
    <t>-693.491880604119 86.3224142781689 -509.797892672433</t>
  </si>
  <si>
    <t>-639.956053370338 148.294486292963 -227.159258975679</t>
  </si>
  <si>
    <t>-404.462450082961 198.756209164635 -234.030974818581</t>
  </si>
  <si>
    <t>-666.101168725495 43.4348133411559 -66.8983828178892</t>
  </si>
  <si>
    <t>-638.620050049338 8.49228883970704 334.198210907366</t>
  </si>
  <si>
    <t>-756.439937205359 -12.3513732548918 765.670018611801</t>
  </si>
  <si>
    <t>-613.068724008788 19.3031752723552 825.083553779058</t>
  </si>
  <si>
    <t>-463.776060751821 -208.033516264972 304.92942231079</t>
  </si>
  <si>
    <t>-584.116974267703 -243.021308603263 735.090023776392</t>
  </si>
  <si>
    <t>-478.346886723688 -320.016420067301 824.374546367644</t>
  </si>
  <si>
    <t>9763-20170724T104605.987761700.bin</t>
  </si>
  <si>
    <t>-694.83005549334 86.2802565242298 -510.175416974346</t>
  </si>
  <si>
    <t>-642.907052998939 148.086641718054 -227.199886438615</t>
  </si>
  <si>
    <t>-407.085928603232 197.102032305555 -233.265534738325</t>
  </si>
  <si>
    <t>-665.7929438752 43.3426945234862 -67.0163784531471</t>
  </si>
  <si>
    <t>-638.390277835849 8.1957736150348 334.067664296785</t>
  </si>
  <si>
    <t>-756.377727625499 -12.7022358219976 765.561025352499</t>
  </si>
  <si>
    <t>-612.886946448666 18.4455346660636 824.953860153487</t>
  </si>
  <si>
    <t>-465.336993054823 -208.033138655287 304.643375956853</t>
  </si>
  <si>
    <t>-583.93458052306 -241.102722339764 735.439599024675</t>
  </si>
  <si>
    <t>-479.194187609774 -319.990413294267 824.284853646245</t>
  </si>
  <si>
    <t>9763-20170724T104606.031886800.bin</t>
  </si>
  <si>
    <t>-696.322426285662 86.7130050955711 -510.280085033606</t>
  </si>
  <si>
    <t>-648.024686356838 148.30803932191 -226.617405924212</t>
  </si>
  <si>
    <t>-411.815063710892 195.541994208037 -231.60177166609</t>
  </si>
  <si>
    <t>-665.48069052315 43.5573900147342 -66.9306314637117</t>
  </si>
  <si>
    <t>-637.698446784473 7.7601153324913 334.069825663626</t>
  </si>
  <si>
    <t>-756.309812834658 -13.132412363464 765.444467927421</t>
  </si>
  <si>
    <t>-612.763058306958 17.8794607118045 824.773060790497</t>
  </si>
  <si>
    <t>-466.970578062604 -207.741110896002 304.549521201196</t>
  </si>
  <si>
    <t>-583.879348916103 -239.479498977735 735.875198237838</t>
  </si>
  <si>
    <t>-479.914685738744 -319.922836734932 824.235271702442</t>
  </si>
  <si>
    <t>9763-20170724T104606.082569500.bin</t>
  </si>
  <si>
    <t>-698.33200233069 88.8884749260833 -509.583401877894</t>
  </si>
  <si>
    <t>-657.976595866009 146.095154923091 -223.768718068399</t>
  </si>
  <si>
    <t>-421.333551876525 191.034902728056 -229.371022777362</t>
  </si>
  <si>
    <t>-664.456651333272 43.5768152647288 -66.4707104588006</t>
  </si>
  <si>
    <t>-635.368425884741 7.0091867845922 334.36754174181</t>
  </si>
  <si>
    <t>-756.237433487588 -13.9910627477889 765.212596987815</t>
  </si>
  <si>
    <t>-612.556710730929 16.797655604272 824.332925405048</t>
  </si>
  <si>
    <t>-469.411626227698 -207.37215942188 304.775238114127</t>
  </si>
  <si>
    <t>-584.150088770686 -237.564384526365 736.757838880075</t>
  </si>
  <si>
    <t>-481.21116944971 -320.229837160134 824.263802292197</t>
  </si>
  <si>
    <t>9763-20170724T104606.147300200.bin</t>
  </si>
  <si>
    <t>-700.968606683093 90.3335184032983 -507.553812092775</t>
  </si>
  <si>
    <t>-658.938292558118 143.592862394627 -221.218308404497</t>
  </si>
  <si>
    <t>-422.513971496441 189.513783180026 -227.978095014575</t>
  </si>
  <si>
    <t>-664.326506583209 42.6708087842258 -65.5668993848317</t>
  </si>
  <si>
    <t>-632.542774392207 5.94165903347766 335.051901641962</t>
  </si>
  <si>
    <t>-756.178941197565 -15.0891450331433 765.04119788362</t>
  </si>
  <si>
    <t>-612.507065809417 16.4130982216816 823.80579165015</t>
  </si>
  <si>
    <t>-469.665051176047 -207.664698260288 305.357544600587</t>
  </si>
  <si>
    <t>-584.85672720477 -237.547548327896 737.337593300446</t>
  </si>
  <si>
    <t>-481.35863442174 -320.195578106857 824.198024941225</t>
  </si>
  <si>
    <t>9763-20170724T104606.184402600.bin</t>
  </si>
  <si>
    <t>-701.907408434746 90.2995789811544 -506.643651861391</t>
  </si>
  <si>
    <t>-656.094877985218 142.972058829477 -220.780062538924</t>
  </si>
  <si>
    <t>-419.836177901477 189.465145005071 -229.213114595478</t>
  </si>
  <si>
    <t>-664.413854996217 41.7547807870792 -65.0980284331621</t>
  </si>
  <si>
    <t>-631.382753874476 4.97383660143328 335.415191551838</t>
  </si>
  <si>
    <t>-756.057671538345 -15.9745778350675 764.995316494912</t>
  </si>
  <si>
    <t>-612.197782807019 15.0439876201433 823.556938193257</t>
  </si>
  <si>
    <t>-469.042436319748 -207.96863996275 305.573764628479</t>
  </si>
  <si>
    <t>-584.930333639604 -237.218396772924 737.390502024549</t>
  </si>
  <si>
    <t>-481.426624216598 -320.06733627801 824.052647605655</t>
  </si>
  <si>
    <t>9763-20170724T104606.247104300.bin</t>
  </si>
  <si>
    <t>-703.077214069452 88.2678700226447 -505.972328222614</t>
  </si>
  <si>
    <t>-650.158008319676 142.229810490994 -221.580175178595</t>
  </si>
  <si>
    <t>-414.072255962396 188.954234748881 -233.035348995934</t>
  </si>
  <si>
    <t>-664.104788786422 39.4753529697473 -64.4391606946784</t>
  </si>
  <si>
    <t>-629.176977230612 2.5522153755212 335.899978289396</t>
  </si>
  <si>
    <t>-755.806930220931 -17.6494525695748 764.924145826858</t>
  </si>
  <si>
    <t>-611.815487135293 13.5023400030486 823.090817865075</t>
  </si>
  <si>
    <t>-467.510145894191 -208.763638799419 305.576040263373</t>
  </si>
  <si>
    <t>-585.013790574439 -237.160453652733 737.038189969992</t>
  </si>
  <si>
    <t>-481.142469376903 -319.622942228588 823.629109246393</t>
  </si>
  <si>
    <t>9763-20170724T104606.280192100.bin</t>
  </si>
  <si>
    <t>-703.717253918809 86.9627277178556 -505.919812775356</t>
  </si>
  <si>
    <t>-647.278310339165 142.117937171689 -222.434857989952</t>
  </si>
  <si>
    <t>-411.261387160215 188.941248662913 -234.863702456394</t>
  </si>
  <si>
    <t>-663.564289055402 38.4882216918063 -64.1132845906004</t>
  </si>
  <si>
    <t>-627.921905528588 1.33886078305795 336.141896435542</t>
  </si>
  <si>
    <t>-755.722884543132 -18.2710968531908 764.884205780274</t>
  </si>
  <si>
    <t>-611.690449155193 12.9751553012495 822.898328554586</t>
  </si>
  <si>
    <t>-466.998161404146 -209.362712038649 305.453953778749</t>
  </si>
  <si>
    <t>-585.021957684682 -236.948699313613 736.86568868087</t>
  </si>
  <si>
    <t>-481.412474846818 -319.73245901923 823.463709229485</t>
  </si>
  <si>
    <t>9763-20170724T104606.354898700.bin</t>
  </si>
  <si>
    <t>-704.28529272435 86.103442856549 -505.756805892156</t>
  </si>
  <si>
    <t>-642.658379309876 143.437540231353 -223.788492181145</t>
  </si>
  <si>
    <t>-406.76119832925 190.361951822005 -237.983582004786</t>
  </si>
  <si>
    <t>-661.848917779717 37.7305077011433 -63.50075179204</t>
  </si>
  <si>
    <t>-625.738311919056 -0.205765427680944 336.638640743557</t>
  </si>
  <si>
    <t>-755.592510346522 -19.1816330733252 764.827813690055</t>
  </si>
  <si>
    <t>-611.541334763782 12.3718220952087 822.628708692934</t>
  </si>
  <si>
    <t>-466.593755966985 -210.706720414456 305.563535843108</t>
  </si>
  <si>
    <t>-585.426874642647 -237.131384296507 736.674962720096</t>
  </si>
  <si>
    <t>-481.764763830426 -320.017312295997 823.112082523849</t>
  </si>
  <si>
    <t>9763-20170724T104606.383976200.bin</t>
  </si>
  <si>
    <t>-704.270084189506 86.2323203239093 -505.758895144426</t>
  </si>
  <si>
    <t>-641.643011423631 144.27869520991 -224.156923325577</t>
  </si>
  <si>
    <t>-405.7302249822 190.986145208417 -238.800798393403</t>
  </si>
  <si>
    <t>-660.925505588646 37.5627245988694 -63.2953117718039</t>
  </si>
  <si>
    <t>-624.947978298621 -0.62123579746094 336.832479390368</t>
  </si>
  <si>
    <t>-755.555124728996 -19.4892736707229 764.807076584304</t>
  </si>
  <si>
    <t>-611.521031386035 12.2924030323118 822.525482691688</t>
  </si>
  <si>
    <t>-466.503853823868 -211.31133934774 305.561592413278</t>
  </si>
  <si>
    <t>-585.681623059464 -237.380141394605 736.586205167259</t>
  </si>
  <si>
    <t>-481.626179936508 -319.891309340685 822.909225918731</t>
  </si>
  <si>
    <t>9763-20170724T104606.449155000.bin</t>
  </si>
  <si>
    <t>-704.500712052656 86.7082345326644 -505.86814125376</t>
  </si>
  <si>
    <t>-641.808994392679 145.097019634436 -224.351317783843</t>
  </si>
  <si>
    <t>-405.984513689592 192.30978921345 -238.795024690027</t>
  </si>
  <si>
    <t>-659.814869984785 37.7676014403557 -63.1535895395805</t>
  </si>
  <si>
    <t>-624.213280894835 -0.921078432257218 336.959400459916</t>
  </si>
  <si>
    <t>-755.505173087316 -19.8130643158952 764.750678840989</t>
  </si>
  <si>
    <t>-611.481644598258 12.126177550517 822.408329451671</t>
  </si>
  <si>
    <t>-466.873903922513 -212.066221981626 305.573890971621</t>
  </si>
  <si>
    <t>-586.06684688272 -237.695240384411 736.487086026235</t>
  </si>
  <si>
    <t>-481.671700013191 -319.965303577993 822.629945300014</t>
  </si>
  <si>
    <t>9763-20170724T104606.484248900.bin</t>
  </si>
  <si>
    <t>-704.814456436424 86.5471690763202 -505.949525037056</t>
  </si>
  <si>
    <t>-642.235893055684 144.833947780524 -224.386426416946</t>
  </si>
  <si>
    <t>-406.48655886242 192.469872181414 -238.66776148764</t>
  </si>
  <si>
    <t>-659.563041113299 37.7673276007313 -63.2744225024687</t>
  </si>
  <si>
    <t>-624.449578470692 -1.04042845571712 336.870168513226</t>
  </si>
  <si>
    <t>-755.461417071254 -19.9584478152724 764.732546774486</t>
  </si>
  <si>
    <t>-611.327996750091 11.4480555437447 822.408276312203</t>
  </si>
  <si>
    <t>-466.862725920626 -212.127224148667 305.587146607369</t>
  </si>
  <si>
    <t>-586.143469467166 -237.765763286487 736.437679501135</t>
  </si>
  <si>
    <t>-481.635691814816 -319.928624392532 822.546262467944</t>
  </si>
  <si>
    <t>9763-20170724T104606.549944000.bin</t>
  </si>
  <si>
    <t>-705.858216961216 85.7438923221596 -506.488343760821</t>
  </si>
  <si>
    <t>-643.092930740244 143.943550350501 -224.948825333692</t>
  </si>
  <si>
    <t>-407.468212492751 192.132766473601 -239.428327339246</t>
  </si>
  <si>
    <t>-659.925072112447 37.8410170430943 -63.9025175343546</t>
  </si>
  <si>
    <t>-626.245215091707 -0.959499511549211 336.365940630546</t>
  </si>
  <si>
    <t>-755.462039878152 -19.9217930180553 764.713224357403</t>
  </si>
  <si>
    <t>-611.333139744847 11.3859054978361 822.453738913932</t>
  </si>
  <si>
    <t>-466.99354299854 -211.710454496297 305.341274164303</t>
  </si>
  <si>
    <t>-586.170085694293 -237.786906311336 736.290606850984</t>
  </si>
  <si>
    <t>-481.583614434121 -319.789692872485 822.456224951425</t>
  </si>
  <si>
    <t>9763-20170724T104606.584034300.bin</t>
  </si>
  <si>
    <t>-706.269627447659 85.5996117575985 -506.922882682912</t>
  </si>
  <si>
    <t>-643.128764231324 143.932366407164 -225.49479397116</t>
  </si>
  <si>
    <t>-407.560378320392 192.30827542336 -240.266454517468</t>
  </si>
  <si>
    <t>-660.254656651372 38.1025901598159 -64.338888228318</t>
  </si>
  <si>
    <t>-627.56008921076 -0.675010599920142 336.013472156939</t>
  </si>
  <si>
    <t>-755.443890510401 -19.9292806872461 764.730092143304</t>
  </si>
  <si>
    <t>-611.296295285054 11.1931638549338 822.524175000814</t>
  </si>
  <si>
    <t>-467.068089812669 -211.118483390433 305.16674348047</t>
  </si>
  <si>
    <t>-586.167243239816 -237.743956117955 736.164452421316</t>
  </si>
  <si>
    <t>-481.762347862949 -319.916915072819 822.388094169709</t>
  </si>
  <si>
    <t>9763-20170724T104606.646706700.bin</t>
  </si>
  <si>
    <t>-706.573093174156 85.8013703015258 -508.098818197516</t>
  </si>
  <si>
    <t>-641.47864377668 144.46050198484 -227.184246582337</t>
  </si>
  <si>
    <t>-406.377938740123 194.773724863171 -242.904439810154</t>
  </si>
  <si>
    <t>-661.036926914416 38.8479627799748 -65.4123972058984</t>
  </si>
  <si>
    <t>-630.763573859838 0.336478705211448 335.156012446099</t>
  </si>
  <si>
    <t>-755.450348805094 -19.7080554200525 764.780807458996</t>
  </si>
  <si>
    <t>-611.340158212906 11.2942240222444 822.732657175889</t>
  </si>
  <si>
    <t>-468.180467456115 -210.581712251553 304.809898645977</t>
  </si>
  <si>
    <t>-586.447241811118 -238.100273090238 736.024259605491</t>
  </si>
  <si>
    <t>-481.323772086798 -319.450916598327 822.154454582689</t>
  </si>
  <si>
    <t>9763-20170724T104606.685810600.bin</t>
  </si>
  <si>
    <t>-706.520166478355 85.903047081626 -508.763416725048</t>
  </si>
  <si>
    <t>-639.242870998598 145.286144326686 -228.516066759204</t>
  </si>
  <si>
    <t>-404.330469348725 196.383139312072 -244.519933798479</t>
  </si>
  <si>
    <t>-661.408613183436 39.214309548039 -66.0219466794705</t>
  </si>
  <si>
    <t>-632.571419810721 0.790113008804838 334.660798350022</t>
  </si>
  <si>
    <t>-755.433223160088 -19.643884612507 764.805392532943</t>
  </si>
  <si>
    <t>-611.316596544144 11.1698655863518 822.841560615539</t>
  </si>
  <si>
    <t>-468.92439240466 -210.186909186906 304.639745674901</t>
  </si>
  <si>
    <t>-586.474623559659 -237.81886477785 736.036406496239</t>
  </si>
  <si>
    <t>-481.598212318311 -319.600095206128 822.060059655516</t>
  </si>
  <si>
    <t>9763-20170724T104606.747989000.bin</t>
  </si>
  <si>
    <t>-706.375230580421 85.8661331307203 -510.201498075052</t>
  </si>
  <si>
    <t>-632.904724706757 148.791089810163 -232.291946044255</t>
  </si>
  <si>
    <t>-398.274300358898 201.174686235528 -248.273139298686</t>
  </si>
  <si>
    <t>-662.397886629608 39.3396192193793 -67.2936834299506</t>
  </si>
  <si>
    <t>-636.220068003013 1.25813954024648 333.604354112054</t>
  </si>
  <si>
    <t>-755.421237563993 -19.5714809552351 764.823282085102</t>
  </si>
  <si>
    <t>-611.363149854883 11.3269689802949 822.959757777037</t>
  </si>
  <si>
    <t>-471.161765801388 -209.447039089564 304.225555927772</t>
  </si>
  <si>
    <t>-586.507184222326 -236.997959866948 736.202585692688</t>
  </si>
  <si>
    <t>-482.285793614812 -319.932502677904 821.917668283476</t>
  </si>
  <si>
    <t>9763-20170724T104606.780073600.bin</t>
  </si>
  <si>
    <t>-706.375571330434 85.8073670162789 -510.860440721947</t>
  </si>
  <si>
    <t>-629.04605077067 150.691983831215 -234.452517472325</t>
  </si>
  <si>
    <t>-394.456002736953 203.600677212923 -249.252874904872</t>
  </si>
  <si>
    <t>-663.012554721916 39.2326366721204 -67.8726188326492</t>
  </si>
  <si>
    <t>-638.031864835085 1.19283143845246 333.105696504882</t>
  </si>
  <si>
    <t>-755.403531569136 -19.6060010755295 764.828408625069</t>
  </si>
  <si>
    <t>-611.328384105732 11.1506742565821 822.997790530322</t>
  </si>
  <si>
    <t>-472.493229460797 -209.346822533439 303.963936802318</t>
  </si>
  <si>
    <t>-586.691770466881 -236.93530837838 736.277195211164</t>
  </si>
  <si>
    <t>-482.309936157315 -319.855974283122 821.810122686036</t>
  </si>
  <si>
    <t>9763-20170724T104606.849274400.bin</t>
  </si>
  <si>
    <t>-706.537313363165 85.8901452622194 -512.170746037273</t>
  </si>
  <si>
    <t>-622.607348013722 154.07670376512 -238.496674397828</t>
  </si>
  <si>
    <t>-388.140332732734 207.842968664237 -252.107984297932</t>
  </si>
  <si>
    <t>-664.258183683728 39.1738773632981 -69.1993868953235</t>
  </si>
  <si>
    <t>-642.716168510457 1.29871211292971 331.993909594919</t>
  </si>
  <si>
    <t>-755.374285131597 -19.7000056300242 764.875942381982</t>
  </si>
  <si>
    <t>-611.198548609371 10.4855762592092 823.095219440001</t>
  </si>
  <si>
    <t>-475.144222299687 -209.143909929309 303.455921280146</t>
  </si>
  <si>
    <t>-587.067786483569 -236.587018794728 736.408243307234</t>
  </si>
  <si>
    <t>-482.529516240005 -319.783863861625 821.480815701809</t>
  </si>
  <si>
    <t>9763-20170724T104606.884358800.bin</t>
  </si>
  <si>
    <t>-706.949008594068 85.8013538971636 -512.930287513562</t>
  </si>
  <si>
    <t>-621.720996055236 154.645417272104 -239.822354374039</t>
  </si>
  <si>
    <t>-387.173681511906 208.295988946274 -252.473912798987</t>
  </si>
  <si>
    <t>-665.11798147788 39.0238424758982 -69.8852055908665</t>
  </si>
  <si>
    <t>-645.091446966278 1.3648039377872 331.406963326787</t>
  </si>
  <si>
    <t>-755.353148404446 -19.7394311839066 764.907177382518</t>
  </si>
  <si>
    <t>-611.111726833351 10.0659360258237 823.159723434294</t>
  </si>
  <si>
    <t>-476.489280607968 -209.161618265004 303.183849521348</t>
  </si>
  <si>
    <t>-587.325645010418 -236.552712254895 736.437660274165</t>
  </si>
  <si>
    <t>-482.618025113432 -319.79183290897 821.260261352903</t>
  </si>
  <si>
    <t>9763-20170724T104606.948111300.bin</t>
  </si>
  <si>
    <t>-708.916925557419 85.6316005547133 -514.140526093022</t>
  </si>
  <si>
    <t>-624.59755227815 153.520184041279 -240.512129437539</t>
  </si>
  <si>
    <t>-389.83791723399 206.722065671094 -250.919595260206</t>
  </si>
  <si>
    <t>-667.672243589362 38.7323648784761 -71.0817587520393</t>
  </si>
  <si>
    <t>-649.897738342528 1.24208615334737 330.332265960914</t>
  </si>
  <si>
    <t>-755.298886092557 -19.8504024962531 764.988309216818</t>
  </si>
  <si>
    <t>-610.99975404237 9.54142815489558 823.307955197558</t>
  </si>
  <si>
    <t>-478.917939181973 -209.177238806927 302.30838375276</t>
  </si>
  <si>
    <t>-587.462984322865 -235.849882017447 736.239395343315</t>
  </si>
  <si>
    <t>-482.931736530296 -319.681747870699 820.694946792815</t>
  </si>
  <si>
    <t>9763-20170724T104606.982201200.bin</t>
  </si>
  <si>
    <t>-710.231562126071 85.7304121297636 -514.39695638559</t>
  </si>
  <si>
    <t>-626.584052515661 152.365948523798 -240.254603620303</t>
  </si>
  <si>
    <t>-391.701979282226 205.337451794221 -248.930516300841</t>
  </si>
  <si>
    <t>-669.042491336995 38.5168159625862 -71.676726831143</t>
  </si>
  <si>
    <t>-652.741556829477 1.25408291848316 329.821048273486</t>
  </si>
  <si>
    <t>-755.266972035475 -19.9064937006551 765.05456410543</t>
  </si>
  <si>
    <t>-610.882577974657 8.95119170730186 823.429914692669</t>
  </si>
  <si>
    <t>-480.077448517665 -209.326864454866 301.837436810073</t>
  </si>
  <si>
    <t>-587.6976060917 -235.784418460825 736.094177773437</t>
  </si>
  <si>
    <t>-483.082270906785 -319.72703805708 820.335251991137</t>
  </si>
  <si>
    <t>9763-20170724T104607.017300100.bin</t>
  </si>
  <si>
    <t>-711.371142797117 85.881437934388 -514.583926280868</t>
  </si>
  <si>
    <t>-628.176886999094 150.913581716373 -239.91912823697</t>
  </si>
  <si>
    <t>-393.30626946081 204.033273121909 -247.978066663749</t>
  </si>
  <si>
    <t>-670.629878456793 38.4546879814004 -72.310371909139</t>
  </si>
  <si>
    <t>-655.774826141766 1.42224487439921 329.264804206926</t>
  </si>
  <si>
    <t>-755.256697060987 -19.866057920706 765.125984462186</t>
  </si>
  <si>
    <t>-610.851075474957 8.75420445305508 823.565750279778</t>
  </si>
  <si>
    <t>-481.153726980732 -209.04698226759 301.505456245323</t>
  </si>
  <si>
    <t>-587.934004082984 -235.589685677696 735.957175915575</t>
  </si>
  <si>
    <t>-483.368473851611 -319.861975771064 819.930503923738</t>
  </si>
  <si>
    <t>9763-20170724T104607.081476800.bin</t>
  </si>
  <si>
    <t>-713.757099311303 85.7302407026837 -515.345289954008</t>
  </si>
  <si>
    <t>-630.415500788777 148.33821084601 -240.162294778548</t>
  </si>
  <si>
    <t>-395.839471782312 202.872760821747 -247.30077465104</t>
  </si>
  <si>
    <t>-674.328787079054 38.2134624326532 -73.7129449985049</t>
  </si>
  <si>
    <t>-661.94428252342 2.11161537038674 328.030671712884</t>
  </si>
  <si>
    <t>-755.193970824969 -19.7673413255379 765.247160628822</t>
  </si>
  <si>
    <t>-610.740838159874 8.21044374335929 823.880108250224</t>
  </si>
  <si>
    <t>-483.592409966944 -208.447756834756 300.785101727653</t>
  </si>
  <si>
    <t>-588.5200601353 -235.340594639898 735.709105266758</t>
  </si>
  <si>
    <t>-483.580737537446 -319.801348356485 819.024230634289</t>
  </si>
  <si>
    <t>9763-20170724T104607.156691100.bin</t>
  </si>
  <si>
    <t>-716.655345598356 85.1765064466197 -516.404783286004</t>
  </si>
  <si>
    <t>-632.777516444692 147.078743389605 -241.225129550709</t>
  </si>
  <si>
    <t>-398.451998743843 202.852112915135 -246.856856320341</t>
  </si>
  <si>
    <t>-678.022990129113 37.7356336828657 -74.8698816191445</t>
  </si>
  <si>
    <t>-666.934981993574 2.65029574131313 327.001680989897</t>
  </si>
  <si>
    <t>-755.165902558792 -19.5717989179059 765.307521511896</t>
  </si>
  <si>
    <t>-610.927650211915 9.12895013236312 824.119930687696</t>
  </si>
  <si>
    <t>-486.657155191343 -208.031776797875 300.033121841502</t>
  </si>
  <si>
    <t>-589.173051997637 -235.26780490413 735.513296815221</t>
  </si>
  <si>
    <t>-483.198155699974 -319.081204889975 818.168788251662</t>
  </si>
  <si>
    <t>9763-20170724T104607.182761100.bin</t>
  </si>
  <si>
    <t>-718.139943784182 84.9199578808343 -516.912832318256</t>
  </si>
  <si>
    <t>-634.164774097539 146.865435379798 -241.772579311398</t>
  </si>
  <si>
    <t>-399.915122918877 203.046670639538 -246.424754798598</t>
  </si>
  <si>
    <t>-679.629601226588 37.5157802961783 -75.3251407492565</t>
  </si>
  <si>
    <t>-669.045365022228 2.79416725813849 326.591616648417</t>
  </si>
  <si>
    <t>-755.14653285462 -19.5347539223815 765.318639540512</t>
  </si>
  <si>
    <t>-610.97398768282 9.34045964889015 824.206506478911</t>
  </si>
  <si>
    <t>-488.299274097156 -207.808631212686 299.76964340956</t>
  </si>
  <si>
    <t>-589.528081768652 -235.165192399058 735.532750477339</t>
  </si>
  <si>
    <t>-483.324406761677 -319.068803133947 817.80221847712</t>
  </si>
  <si>
    <t>9763-20170724T104607.249946000.bin</t>
  </si>
  <si>
    <t>-721.483631871495 84.4918616761972 -517.822618469935</t>
  </si>
  <si>
    <t>-637.072751933798 146.506938564803 -242.831489348259</t>
  </si>
  <si>
    <t>-402.95345703999 203.321834935534 -246.160605036545</t>
  </si>
  <si>
    <t>-682.725723186883 37.1621931504437 -76.1868105401007</t>
  </si>
  <si>
    <t>-673.136925286153 3.01277764555743 325.803971230088</t>
  </si>
  <si>
    <t>-755.06873880423 -19.6251723171872 765.321221246669</t>
  </si>
  <si>
    <t>-610.820076543437 8.5824197999159 824.346167730583</t>
  </si>
  <si>
    <t>-492.035559753691 -207.252547890025 299.505662419491</t>
  </si>
  <si>
    <t>-590.388783619518 -234.994119881607 735.831678348657</t>
  </si>
  <si>
    <t>-483.372806782585 -318.827762178239 817.113967406647</t>
  </si>
  <si>
    <t>9763-20170724T104607.285038800.bin</t>
  </si>
  <si>
    <t>-722.9168799636 84.5607636429957 -518.210650376775</t>
  </si>
  <si>
    <t>-638.344381039268 146.450045182951 -243.240669217276</t>
  </si>
  <si>
    <t>-404.22502401482 203.286246717628 -246.177739118943</t>
  </si>
  <si>
    <t>-684.20523248572 37.2127393392755 -76.5863399692653</t>
  </si>
  <si>
    <t>-674.938817949811 3.31933207477209 325.433587727737</t>
  </si>
  <si>
    <t>-755.058256756533 -19.60100247526 765.313926791126</t>
  </si>
  <si>
    <t>-610.865055183663 8.78209165953467 824.390255982036</t>
  </si>
  <si>
    <t>-493.739540186998 -207.144175648091 299.387350333214</t>
  </si>
  <si>
    <t>-590.766244191764 -234.832874516806 735.985922255764</t>
  </si>
  <si>
    <t>-483.509037305727 -318.809111844296 816.801679960373</t>
  </si>
  <si>
    <t>9763-20170724T104607.348768800.bin</t>
  </si>
  <si>
    <t>-724.814775609006 84.5777735574184 -518.817111364431</t>
  </si>
  <si>
    <t>-640.273447679557 145.780466699636 -243.684128658117</t>
  </si>
  <si>
    <t>-406.154877892405 202.652773741931 -245.902405440701</t>
  </si>
  <si>
    <t>-686.692170220763 37.1331592059821 -77.2308287878806</t>
  </si>
  <si>
    <t>-677.787010212851 3.7477572974924 324.839781324739</t>
  </si>
  <si>
    <t>-754.976121033811 -19.7002443230474 765.303918802175</t>
  </si>
  <si>
    <t>-610.734545566769 8.21933043312788 824.482992445177</t>
  </si>
  <si>
    <t>-495.957902880734 -206.539237782334 299.097788185772</t>
  </si>
  <si>
    <t>-590.989301534794 -233.846906994096 736.039794046935</t>
  </si>
  <si>
    <t>-484.395213384707 -319.210155156333 816.277708458287</t>
  </si>
  <si>
    <t>9763-20170724T104607.382859400.bin</t>
  </si>
  <si>
    <t>-725.630138545 84.1497106418481 -519.062974882768</t>
  </si>
  <si>
    <t>-641.236352911223 145.002108300591 -243.806933059685</t>
  </si>
  <si>
    <t>-407.112209697931 201.875257477479 -245.300402152779</t>
  </si>
  <si>
    <t>-687.866486059729 36.9183290134931 -77.4954407606102</t>
  </si>
  <si>
    <t>-679.202203520586 3.69286621223114 324.593732574684</t>
  </si>
  <si>
    <t>-754.91887957718 -19.8193271395132 765.302397367594</t>
  </si>
  <si>
    <t>-610.601702294864 7.60780799141912 824.52748418162</t>
  </si>
  <si>
    <t>-496.79561495532 -206.669743484148 298.917650638369</t>
  </si>
  <si>
    <t>-591.254560099275 -233.901971974647 735.99902228292</t>
  </si>
  <si>
    <t>-484.170339199764 -318.867214957671 816.006421882099</t>
  </si>
  <si>
    <t>9763-20170724T104607.450668100.bin</t>
  </si>
  <si>
    <t>-727.474402577419 82.9159980128084 -519.546330958371</t>
  </si>
  <si>
    <t>-643.974020945204 143.559640622244 -243.971981097992</t>
  </si>
  <si>
    <t>-409.886507800044 200.595721233348 -244.858830321933</t>
  </si>
  <si>
    <t>-690.084044971866 36.4703442598686 -78.0199392411881</t>
  </si>
  <si>
    <t>-682.483962621996 3.55302250157115 324.116002846646</t>
  </si>
  <si>
    <t>-754.847722165016 -19.8962412070052 765.336946221811</t>
  </si>
  <si>
    <t>-610.580376872575 7.59554391220422 824.653383275484</t>
  </si>
  <si>
    <t>-498.015382944402 -207.352759251054 298.453522193667</t>
  </si>
  <si>
    <t>-591.777412741194 -234.169269208308 735.755622085823</t>
  </si>
  <si>
    <t>-484.053013932715 -318.60140290927 815.467403493321</t>
  </si>
  <si>
    <t>9763-20170724T104607.482753800.bin</t>
  </si>
  <si>
    <t>-728.459535884375 82.5275730607361 -519.754974103222</t>
  </si>
  <si>
    <t>-645.228925369693 143.15797131264 -244.095977396682</t>
  </si>
  <si>
    <t>-411.162149357717 200.280064707711 -244.91895703679</t>
  </si>
  <si>
    <t>-691.293675625715 36.4071331480002 -78.2696077679673</t>
  </si>
  <si>
    <t>-684.296140123413 3.58933756940155 323.885508962209</t>
  </si>
  <si>
    <t>-754.783089694982 -19.9390247239787 765.373761128853</t>
  </si>
  <si>
    <t>-610.474104913815 7.14923627272196 824.774491518657</t>
  </si>
  <si>
    <t>-498.454191879613 -207.553858121784 298.177780675594</t>
  </si>
  <si>
    <t>-591.892691538867 -234.01208577045 735.565195137607</t>
  </si>
  <si>
    <t>-484.306450739738 -318.703572641776 815.188405140818</t>
  </si>
  <si>
    <t>9763-20170724T104607.552448600.bin</t>
  </si>
  <si>
    <t>-730.021226686347 81.5467318365847 -520.264395992253</t>
  </si>
  <si>
    <t>-646.997102572937 142.724086352476 -244.664074446805</t>
  </si>
  <si>
    <t>-412.972506974121 200.020744638508 -245.331617112124</t>
  </si>
  <si>
    <t>-693.667586765101 36.2726821401984 -78.7193228346507</t>
  </si>
  <si>
    <t>-687.613208533115 3.90904664394179 323.487841845339</t>
  </si>
  <si>
    <t>-754.651908409144 -19.8155144887094 765.467946713754</t>
  </si>
  <si>
    <t>-610.425800458462 7.11297005620077 825.142026992215</t>
  </si>
  <si>
    <t>-499.401282695588 -207.460571955146 297.642959380407</t>
  </si>
  <si>
    <t>-592.066664203662 -233.605285072343 735.176968981271</t>
  </si>
  <si>
    <t>-484.688745437549 -318.705156652743 814.64591031581</t>
  </si>
  <si>
    <t>9763-20170724T104607.582527900.bin</t>
  </si>
  <si>
    <t>-730.613779681359 80.923054220347 -520.533063003542</t>
  </si>
  <si>
    <t>-647.558922329708 142.246687624037 -244.974529416458</t>
  </si>
  <si>
    <t>-413.592560434722 199.780558977063 -245.674174175166</t>
  </si>
  <si>
    <t>-694.717659634291 36.1480742026608 -78.9073955010853</t>
  </si>
  <si>
    <t>-688.939737970124 4.07459612528032 323.327087558536</t>
  </si>
  <si>
    <t>-754.602203969191 -19.735057073194 765.50875026144</t>
  </si>
  <si>
    <t>-610.367808815145 6.84905198745219 825.316912886812</t>
  </si>
  <si>
    <t>-499.937244504549 -207.523654811442 297.431755001027</t>
  </si>
  <si>
    <t>-592.305456191186 -233.738436262875 735.044443166523</t>
  </si>
  <si>
    <t>-484.447412829672 -318.343478345538 814.391387652364</t>
  </si>
  <si>
    <t>9763-20170724T104607.647701500.bin</t>
  </si>
  <si>
    <t>-731.953226784364 79.9233326720562 -520.992120221051</t>
  </si>
  <si>
    <t>-649.0248164411 141.22839941951 -245.391327574282</t>
  </si>
  <si>
    <t>-415.212275166929 199.379457567044 -246.41234848741</t>
  </si>
  <si>
    <t>-696.524392885399 36.329567138074 -79.1790722585099</t>
  </si>
  <si>
    <t>-690.871680074073 4.52022897777624 323.078140445791</t>
  </si>
  <si>
    <t>-754.532347359119 -19.7559421399203 765.541190236129</t>
  </si>
  <si>
    <t>-610.337037866255 6.75585009545193 825.47557008788</t>
  </si>
  <si>
    <t>-500.885658563669 -207.734705976981 297.044978912576</t>
  </si>
  <si>
    <t>-592.749569738204 -233.932670433082 734.82180713581</t>
  </si>
  <si>
    <t>-484.293514996417 -317.955229290135 813.972230791041</t>
  </si>
  <si>
    <t>9763-20170724T104607.682795000.bin</t>
  </si>
  <si>
    <t>-732.592555405092 79.4479544536216 -521.19190801942</t>
  </si>
  <si>
    <t>-649.851524972285 140.792390087269 -245.543620797866</t>
  </si>
  <si>
    <t>-416.079949716658 199.10802279148 -246.543769102372</t>
  </si>
  <si>
    <t>-697.131983586504 36.4716145680709 -79.2700504556638</t>
  </si>
  <si>
    <t>-691.461049936884 4.47947149405218 322.972416702618</t>
  </si>
  <si>
    <t>-754.520942495738 -19.8512868480016 765.521981956184</t>
  </si>
  <si>
    <t>-610.328460569849 6.67099946007738 825.458768321917</t>
  </si>
  <si>
    <t>-501.148741848535 -207.798444165303 296.879053728866</t>
  </si>
  <si>
    <t>-592.783210050388 -233.695587065298 734.700496604021</t>
  </si>
  <si>
    <t>-484.730834362974 -318.233555660587 813.854309675822</t>
  </si>
  <si>
    <t>9763-20170724T104607.753990900.bin</t>
  </si>
  <si>
    <t>-733.688008937154 78.1676846943353 -521.509079314484</t>
  </si>
  <si>
    <t>-651.173854583156 139.881279764903 -245.875194223152</t>
  </si>
  <si>
    <t>-417.42193676287 198.281743594586 -246.41439305768</t>
  </si>
  <si>
    <t>-697.914155034936 36.5034297935233 -79.4352594547429</t>
  </si>
  <si>
    <t>-692.592957083387 4.37329400372255 322.80098770586</t>
  </si>
  <si>
    <t>-754.503572613445 -20.0693459050347 765.474145141292</t>
  </si>
  <si>
    <t>-610.365121808118 6.77951910231309 825.395240487891</t>
  </si>
  <si>
    <t>-501.297423533295 -208.160073925147 296.683047803933</t>
  </si>
  <si>
    <t>-592.944633655843 -233.637755040071 734.453864509379</t>
  </si>
  <si>
    <t>-484.398551216682 -317.532346473116 813.616673942098</t>
  </si>
  <si>
    <t>9763-20170724T104607.781062400.bin</t>
  </si>
  <si>
    <t>-734.02280632787 77.5844167420596 -521.664580826545</t>
  </si>
  <si>
    <t>-651.66086260889 139.481470564609 -246.026190316503</t>
  </si>
  <si>
    <t>-417.929035299375 197.964031574986 -246.340533986938</t>
  </si>
  <si>
    <t>-698.168684046977 36.4943833509265 -79.5080061128355</t>
  </si>
  <si>
    <t>-693.027026317901 4.32690986531611 322.727606529689</t>
  </si>
  <si>
    <t>-754.472054231849 -20.2184058259199 765.461028231556</t>
  </si>
  <si>
    <t>-610.289044346572 6.36597030999837 825.39267802728</t>
  </si>
  <si>
    <t>-501.048933463532 -208.118933912445 296.57482152158</t>
  </si>
  <si>
    <t>-592.854900799785 -233.397531439814 734.271871384206</t>
  </si>
  <si>
    <t>-484.54392119141 -317.480076969749 813.557180038856</t>
  </si>
  <si>
    <t>9763-20170724T104607.852263900.bin</t>
  </si>
  <si>
    <t>-734.414332589704 76.5824027892411 -521.782830439533</t>
  </si>
  <si>
    <t>-651.993573475807 138.764776460069 -246.226402524327</t>
  </si>
  <si>
    <t>-418.328707141387 197.51530513451 -246.239128653531</t>
  </si>
  <si>
    <t>-698.419303010795 36.4073087687138 -79.596823007812</t>
  </si>
  <si>
    <t>-693.410320871635 4.29191865931489 322.644658892379</t>
  </si>
  <si>
    <t>-754.404663070537 -20.495705384478 765.450101539762</t>
  </si>
  <si>
    <t>-610.234799798916 6.11590998953238 825.401379179285</t>
  </si>
  <si>
    <t>-500.216306235906 -208.119448221936 296.389164862037</t>
  </si>
  <si>
    <t>-592.676788085684 -232.835359311346 733.997825192949</t>
  </si>
  <si>
    <t>-484.609531443543 -317.049156470241 813.476113841738</t>
  </si>
  <si>
    <t>9763-20170724T104607.886354600.bin</t>
  </si>
  <si>
    <t>-734.611577791567 76.1731511834389 -521.817263554933</t>
  </si>
  <si>
    <t>-651.916360694353 138.530309959604 -246.382456554542</t>
  </si>
  <si>
    <t>-418.29965173795 197.471393581355 -246.278658638938</t>
  </si>
  <si>
    <t>-698.519315298781 36.2684477620983 -79.6322131078422</t>
  </si>
  <si>
    <t>-693.521226896496 4.20686346841649 322.613650808225</t>
  </si>
  <si>
    <t>-754.378299442567 -20.6315287322188 765.444752845976</t>
  </si>
  <si>
    <t>-610.225686341774 6.06948722433572 825.397877583397</t>
  </si>
  <si>
    <t>-499.811948527851 -208.024526658969 296.308512157259</t>
  </si>
  <si>
    <t>-592.595493535836 -232.496837322985 733.889311561964</t>
  </si>
  <si>
    <t>-485.024581648654 -317.265105075833 813.451502382927</t>
  </si>
  <si>
    <t>9763-20170724T104607.949171900.bin</t>
  </si>
  <si>
    <t>-735.097733301376 74.9783214804293 -521.956089920542</t>
  </si>
  <si>
    <t>-651.838865158741 137.479273596547 -246.72385053934</t>
  </si>
  <si>
    <t>-418.281379529733 196.654187104484 -246.407797409581</t>
  </si>
  <si>
    <t>-698.471488534232 35.6536349491939 -79.704279985982</t>
  </si>
  <si>
    <t>-693.71374265083 3.67077212428035 322.55074831431</t>
  </si>
  <si>
    <t>-754.318961252337 -20.9507222283128 765.427700126708</t>
  </si>
  <si>
    <t>-610.202981335446 5.95243385393928 825.378544769836</t>
  </si>
  <si>
    <t>-499.616983769154 -208.363675298921 296.246689131679</t>
  </si>
  <si>
    <t>-592.749911400585 -232.374951115525 733.786648360678</t>
  </si>
  <si>
    <t>-484.629767544509 -316.456366173436 813.333249954733</t>
  </si>
  <si>
    <t>9763-20170724T104607.987286700.bin</t>
  </si>
  <si>
    <t>-735.162490457983 74.5916372266383 -522.044087154552</t>
  </si>
  <si>
    <t>-651.653973905331 137.180068919183 -246.907378220469</t>
  </si>
  <si>
    <t>-418.123224288831 196.460440327514 -246.560098596488</t>
  </si>
  <si>
    <t>-698.478728822656 35.3565544467185 -79.746196880402</t>
  </si>
  <si>
    <t>-693.790980981483 3.52088818153698 322.521307131368</t>
  </si>
  <si>
    <t>-754.299403116687 -21.0828259458517 765.419512627243</t>
  </si>
  <si>
    <t>-610.195892487272 5.89401067922563 825.367400191216</t>
  </si>
  <si>
    <t>-499.613232939064 -208.466150790958 296.234520163393</t>
  </si>
  <si>
    <t>-592.807615039672 -232.241231637865 733.750525196765</t>
  </si>
  <si>
    <t>-484.605487064859 -316.231810089409 813.281468233821</t>
  </si>
  <si>
    <t>9763-20170724T104608.052456000.bin</t>
  </si>
  <si>
    <t>-735.148678231653 74.0469501442835 -522.150277222955</t>
  </si>
  <si>
    <t>-651.128710841923 137.028222041001 -247.258878752043</t>
  </si>
  <si>
    <t>-417.697646886461 196.698755604353 -246.758438533116</t>
  </si>
  <si>
    <t>-698.498310561089 34.7568051696462 -79.7887853117055</t>
  </si>
  <si>
    <t>-693.866296950224 3.22677898261009 322.503444680222</t>
  </si>
  <si>
    <t>-754.246432218321 -21.3769307850293 765.414417860829</t>
  </si>
  <si>
    <t>-610.117086463245 5.45090487358516 825.366804114384</t>
  </si>
  <si>
    <t>-499.58880635021 -208.812264639717 296.201612986571</t>
  </si>
  <si>
    <t>-592.977710348938 -232.043745428159 733.719101668153</t>
  </si>
  <si>
    <t>-484.832402666218 -316.167362273262 813.18673045958</t>
  </si>
  <si>
    <t>9763-20170724T104608.097575100.bin</t>
  </si>
  <si>
    <t>-735.09026276905 73.8390494059024 -522.225194667587</t>
  </si>
  <si>
    <t>-650.961799518743 137.02585492431 -247.414325180688</t>
  </si>
  <si>
    <t>-417.54614636523 196.753948063673 -246.670511489686</t>
  </si>
  <si>
    <t>-698.477175216469 34.6078931000529 -79.8037270099778</t>
  </si>
  <si>
    <t>-693.84329122182 3.1291046725803 322.492501679721</t>
  </si>
  <si>
    <t>-754.218744573798 -21.5157156188002 765.413715174105</t>
  </si>
  <si>
    <t>-610.089950988223 5.31482152486456 825.366274316888</t>
  </si>
  <si>
    <t>-499.543280201371 -208.920044525374 296.135575878677</t>
  </si>
  <si>
    <t>-593.016263145899 -231.76439333349 733.606789410111</t>
  </si>
  <si>
    <t>-485.358035196436 -316.510775030685 813.074121760547</t>
  </si>
  <si>
    <t>9763-20170724T104608.150256500.bin</t>
  </si>
  <si>
    <t>-734.940363553438 72.957619753987 -522.387299366724</t>
  </si>
  <si>
    <t>-650.805226909897 136.368046142743 -247.629894976871</t>
  </si>
  <si>
    <t>-417.468522446758 196.394707456396 -246.347027354827</t>
  </si>
  <si>
    <t>-698.068500213857 33.8739510494984 -79.8482293591618</t>
  </si>
  <si>
    <t>-693.794511693612 2.57354827517406 322.465933585385</t>
  </si>
  <si>
    <t>-754.155556655997 -21.8490571567597 765.410030704292</t>
  </si>
  <si>
    <t>-610.014952027002 4.92801933325723 825.358043261827</t>
  </si>
  <si>
    <t>-499.51824432245 -209.6703443383 296.166579646036</t>
  </si>
  <si>
    <t>-593.292058853352 -231.844038610164 733.625113585645</t>
  </si>
  <si>
    <t>-484.937897137036 -315.804221540091 812.981067621998</t>
  </si>
  <si>
    <t>9763-20170724T104608.184345800.bin</t>
  </si>
  <si>
    <t>-734.906750774186 72.4258001927278 -522.472136288043</t>
  </si>
  <si>
    <t>-650.710927452796 135.778173787324 -247.719955947232</t>
  </si>
  <si>
    <t>-417.449006609696 196.090513801953 -246.248403016553</t>
  </si>
  <si>
    <t>-697.919054279295 33.5470545274054 -79.8570783151689</t>
  </si>
  <si>
    <t>-693.691519067562 2.28852603901623 322.460862289549</t>
  </si>
  <si>
    <t>-754.125857215801 -22.0154584185157 765.405350104937</t>
  </si>
  <si>
    <t>-609.996181154191 4.84037060265405 825.344386141645</t>
  </si>
  <si>
    <t>-499.401608708263 -209.891926026914 296.200657957148</t>
  </si>
  <si>
    <t>-593.305188001317 -231.564662347769 733.610642385034</t>
  </si>
  <si>
    <t>-484.903131850771 -315.499721934244 812.927720115898</t>
  </si>
  <si>
    <t>9763-20170724T104608.248033800.bin</t>
  </si>
  <si>
    <t>-734.79430714458 71.4544277346977 -522.654561819723</t>
  </si>
  <si>
    <t>-650.698719322622 135.383275835153 -248.005320973205</t>
  </si>
  <si>
    <t>-417.504952538603 195.945399223614 -246.066842509906</t>
  </si>
  <si>
    <t>-697.592353895218 32.9611393854575 -79.8453935114067</t>
  </si>
  <si>
    <t>-693.369228635023 1.85357198477618 322.484227448908</t>
  </si>
  <si>
    <t>-754.073515263432 -22.3522815848912 765.400869621081</t>
  </si>
  <si>
    <t>-609.92125451866 4.43391093794685 825.316826966652</t>
  </si>
  <si>
    <t>-499.035718486142 -210.210345498575 296.262234899287</t>
  </si>
  <si>
    <t>-593.430084520786 -231.324169807748 733.606195641275</t>
  </si>
  <si>
    <t>-485.169511781163 -315.479698991385 812.882802485944</t>
  </si>
  <si>
    <t>9763-20170724T104608.281122000.bin</t>
  </si>
  <si>
    <t>-734.712635871888 71.0071157346156 -522.738009431367</t>
  </si>
  <si>
    <t>-650.763115497503 135.327357650203 -248.135371912765</t>
  </si>
  <si>
    <t>-417.537388002845 195.755860921703 -245.895770978036</t>
  </si>
  <si>
    <t>-697.404437176123 32.6729053887418 -79.8374703087915</t>
  </si>
  <si>
    <t>-693.232859324121 1.64463029364174 322.498858290492</t>
  </si>
  <si>
    <t>-754.071324293729 -22.4536461703794 765.39775417162</t>
  </si>
  <si>
    <t>-609.993311068448 4.77478564581406 825.292871758782</t>
  </si>
  <si>
    <t>-498.889273272265 -210.400934770997 296.312475626158</t>
  </si>
  <si>
    <t>-593.554199856303 -231.356324920897 733.605055731719</t>
  </si>
  <si>
    <t>-485.170386302555 -315.384804558345 812.848023909383</t>
  </si>
  <si>
    <t>9763-20170724T104608.348911900.bin</t>
  </si>
  <si>
    <t>-734.235603188079 70.35373062139 -522.943136642347</t>
  </si>
  <si>
    <t>-650.881143078115 134.732256955859 -248.17292334819</t>
  </si>
  <si>
    <t>-417.672868662954 195.215798861412 -245.616629523182</t>
  </si>
  <si>
    <t>-697.294793676051 32.3181957262473 -79.840522963559</t>
  </si>
  <si>
    <t>-693.074226019586 1.38443880356726 322.502599445858</t>
  </si>
  <si>
    <t>-754.015983972148 -22.762714169726 765.391895719275</t>
  </si>
  <si>
    <t>-609.895613512776 4.27499808213679 825.271680588653</t>
  </si>
  <si>
    <t>-498.626974181615 -210.494309644094 296.370895561769</t>
  </si>
  <si>
    <t>-593.588537130795 -230.917474023515 733.576168892231</t>
  </si>
  <si>
    <t>-485.41301427213 -315.248180509276 812.782916289413</t>
  </si>
  <si>
    <t>9763-20170724T104608.382000100.bin</t>
  </si>
  <si>
    <t>-734.057477053386 69.9941441635956 -523.026475866817</t>
  </si>
  <si>
    <t>-651.105336291774 134.265143909034 -248.109334460308</t>
  </si>
  <si>
    <t>-417.853943940089 194.585417079559 -245.627413481718</t>
  </si>
  <si>
    <t>-697.326346448389 32.0945259657929 -79.8513709741017</t>
  </si>
  <si>
    <t>-692.99106515221 1.27569909651038 322.499354736811</t>
  </si>
  <si>
    <t>-754.002319500624 -22.8874069734964 765.387513221891</t>
  </si>
  <si>
    <t>-609.834745060604 3.90652625222174 825.263117806068</t>
  </si>
  <si>
    <t>-498.551063408034 -210.57609221821 296.390155073166</t>
  </si>
  <si>
    <t>-593.696062275961 -230.92754224057 733.56713667241</t>
  </si>
  <si>
    <t>-485.447935432803 -315.186849366946 812.750505648002</t>
  </si>
  <si>
    <t>9763-20170724T104608.450774900.bin</t>
  </si>
  <si>
    <t>-734.155382125573 69.4385190202011 -523.082066393203</t>
  </si>
  <si>
    <t>-652.361651787275 133.75104593646 -247.827827720993</t>
  </si>
  <si>
    <t>-418.884980964681 193.214930795454 -245.943900177831</t>
  </si>
  <si>
    <t>-697.595874401267 31.7638878234654 -79.8387686387099</t>
  </si>
  <si>
    <t>-692.637805910237 0.94731801908506 322.504924163746</t>
  </si>
  <si>
    <t>-753.95244571707 -23.1545877976969 765.387199554777</t>
  </si>
  <si>
    <t>-609.804963255601 3.78789139435548 825.244423951005</t>
  </si>
  <si>
    <t>-498.482174387095 -210.718764672253 296.420920891084</t>
  </si>
  <si>
    <t>-593.806820785993 -230.797141906532 733.524792812497</t>
  </si>
  <si>
    <t>-485.317258928341 -314.758226049748 812.694564248315</t>
  </si>
  <si>
    <t>9763-20170724T104608.482856400.bin</t>
  </si>
  <si>
    <t>-734.276898441551 69.2825030667566 -523.013898487867</t>
  </si>
  <si>
    <t>-652.894828459213 133.413367349006 -247.595445017147</t>
  </si>
  <si>
    <t>-419.334485626363 192.558501831068 -246.082611207352</t>
  </si>
  <si>
    <t>-697.564594925431 31.6648772183244 -79.7896717206085</t>
  </si>
  <si>
    <t>-692.243779919952 0.699960574659372 322.538002966923</t>
  </si>
  <si>
    <t>-753.932170648067 -23.3013419848794 765.379749379271</t>
  </si>
  <si>
    <t>-609.794663059501 3.73611216311565 825.2181294105</t>
  </si>
  <si>
    <t>-498.30989998106 -210.734867897188 296.437714554121</t>
  </si>
  <si>
    <t>-593.823298985316 -230.65724357381 733.502732751003</t>
  </si>
  <si>
    <t>-485.404538949638 -314.694336116496 812.688750191976</t>
  </si>
  <si>
    <t>9763-20170724T104608.549548300.bin</t>
  </si>
  <si>
    <t>-734.3251296021 68.780176380317 -522.801528066315</t>
  </si>
  <si>
    <t>-653.885209704373 132.311393952781 -246.967627366397</t>
  </si>
  <si>
    <t>-420.245243982604 191.156579698354 -246.287194305872</t>
  </si>
  <si>
    <t>-697.051620755119 31.0997216868102 -79.712610236026</t>
  </si>
  <si>
    <t>-691.33969303316 0.22855997679585 322.616886597222</t>
  </si>
  <si>
    <t>-753.879162474625 -23.6640503419258 765.361399063298</t>
  </si>
  <si>
    <t>-609.634603747918 2.89438133756153 825.156429734835</t>
  </si>
  <si>
    <t>-497.525009100633 -210.899864785432 296.441746129052</t>
  </si>
  <si>
    <t>-593.708658358103 -230.140528392343 733.392453270582</t>
  </si>
  <si>
    <t>-485.741427930063 -314.662707156971 812.679238633482</t>
  </si>
  <si>
    <t>9763-20170724T104608.584641800.bin</t>
  </si>
  <si>
    <t>-734.306726735651 68.3645048804556 -522.688047483106</t>
  </si>
  <si>
    <t>-654.487218511238 131.629146835227 -246.612632058349</t>
  </si>
  <si>
    <t>-420.799793602832 190.289134543428 -246.332534071159</t>
  </si>
  <si>
    <t>-696.763847563543 30.7047982262759 -79.6819296866084</t>
  </si>
  <si>
    <t>-690.943257429718 -0.0647904168245077 322.653753068017</t>
  </si>
  <si>
    <t>-753.864054078495 -23.8040243656401 765.35261991265</t>
  </si>
  <si>
    <t>-609.632921408755 2.88529854815488 825.121769141289</t>
  </si>
  <si>
    <t>-497.168969238187 -211.238882183407 296.44894422418</t>
  </si>
  <si>
    <t>-593.814213223279 -230.325523622848 733.332243948476</t>
  </si>
  <si>
    <t>-485.45233573678 -314.305069348898 812.657183779166</t>
  </si>
  <si>
    <t>9763-20170724T104608.650215300.bin</t>
  </si>
  <si>
    <t>-734.464326362536 68.1469179752949 -522.442763140782</t>
  </si>
  <si>
    <t>-656.212854734112 130.534342783149 -245.719456180159</t>
  </si>
  <si>
    <t>-422.543062830476 189.25957132381 -246.50893114091</t>
  </si>
  <si>
    <t>-696.459453024383 30.1736617020763 -79.6306662175649</t>
  </si>
  <si>
    <t>-690.169663346469 -0.531572905036683 322.702872977667</t>
  </si>
  <si>
    <t>-753.834921964634 -24.092152456434 765.329487964245</t>
  </si>
  <si>
    <t>-609.606979501699 2.73812336977926 825.043264248466</t>
  </si>
  <si>
    <t>-496.664915845565 -211.418466049545 296.424657992513</t>
  </si>
  <si>
    <t>-593.681195211216 -229.908883677948 733.20924108879</t>
  </si>
  <si>
    <t>-485.724948232185 -314.26490463955 812.687645271867</t>
  </si>
  <si>
    <t>9763-20170724T104608.683301700.bin</t>
  </si>
  <si>
    <t>-734.708080596549 68.2143787075058 -522.276324035253</t>
  </si>
  <si>
    <t>-657.039976067482 130.155335788716 -245.288611867891</t>
  </si>
  <si>
    <t>-423.374483737542 188.889644777893 -246.557108407732</t>
  </si>
  <si>
    <t>-696.361108645926 29.9348642235752 -79.6124505804103</t>
  </si>
  <si>
    <t>-689.876101286862 -0.7437468849364 322.720092888075</t>
  </si>
  <si>
    <t>-753.808302977504 -24.2575307223435 765.314603903653</t>
  </si>
  <si>
    <t>-609.549393611033 2.44133039003577 825.012314621571</t>
  </si>
  <si>
    <t>-496.569730795339 -211.343105865812 296.425051525174</t>
  </si>
  <si>
    <t>-593.653242284685 -229.680579788964 733.212266890748</t>
  </si>
  <si>
    <t>-485.840423846591 -314.200861641514 812.710818915338</t>
  </si>
  <si>
    <t>9763-20170724T104608.752509900.bin</t>
  </si>
  <si>
    <t>-735.606851508179 68.4806067508525 -521.868624394296</t>
  </si>
  <si>
    <t>-658.370306871525 129.991584005062 -244.664366546259</t>
  </si>
  <si>
    <t>-424.679981007928 188.576119763841 -247.412009813074</t>
  </si>
  <si>
    <t>-696.570592833455 29.6014029303524 -79.5947298059124</t>
  </si>
  <si>
    <t>-689.957372455014 -0.930373635396109 322.746854388768</t>
  </si>
  <si>
    <t>-753.794014865852 -24.4197864344046 765.317676209203</t>
  </si>
  <si>
    <t>-609.546066051139 2.37740074323233 824.997948006554</t>
  </si>
  <si>
    <t>-496.669413056489 -211.559610932965 296.393561345195</t>
  </si>
  <si>
    <t>-593.921742193882 -229.951225025086 733.204789572014</t>
  </si>
  <si>
    <t>-485.303812260094 -313.499659857629 812.634630710408</t>
  </si>
  <si>
    <t>9763-20170724T104608.780596900.bin</t>
  </si>
  <si>
    <t>-735.935515405444 68.7023530278939 -521.715202901167</t>
  </si>
  <si>
    <t>-658.841218648608 129.981451035416 -244.420040853901</t>
  </si>
  <si>
    <t>-425.110732755778 188.359901987729 -248.007228604623</t>
  </si>
  <si>
    <t>-696.732943514257 29.4984767243338 -79.6071317400135</t>
  </si>
  <si>
    <t>-690.078514952131 -0.950391535126982 322.740029969576</t>
  </si>
  <si>
    <t>-753.775598724046 -24.5156963732313 765.324986773822</t>
  </si>
  <si>
    <t>-609.521546242785 2.23970934133081 825.009278254323</t>
  </si>
  <si>
    <t>-496.618637006875 -211.382752181983 296.341773838227</t>
  </si>
  <si>
    <t>-593.798968008682 -229.537744324467 733.147901790419</t>
  </si>
  <si>
    <t>-485.749863022809 -313.772387292209 812.628837950805</t>
  </si>
  <si>
    <t>9763-20170724T104608.851777300.bin</t>
  </si>
  <si>
    <t>-736.574328412874 68.8996960293066 -521.44075179174</t>
  </si>
  <si>
    <t>-660.175726759885 129.310783355762 -243.76299255859</t>
  </si>
  <si>
    <t>-426.467124196309 187.534038077668 -250.181696030458</t>
  </si>
  <si>
    <t>-697.15688450224 29.2856067217613 -79.6397816436789</t>
  </si>
  <si>
    <t>-690.241960421913 -1.02764446064339 322.713233077716</t>
  </si>
  <si>
    <t>-753.742668560191 -24.6781440153161 765.339141756541</t>
  </si>
  <si>
    <t>-609.529506191518 2.30436619452075 825.019976549804</t>
  </si>
  <si>
    <t>-496.723721608313 -211.247151978089 296.204131835467</t>
  </si>
  <si>
    <t>-593.795775238719 -229.304594886661 733.035907834997</t>
  </si>
  <si>
    <t>-485.966544671982 -313.759326733968 812.581868800382</t>
  </si>
  <si>
    <t>9763-20170724T104608.882860100.bin</t>
  </si>
  <si>
    <t>-737.205204561461 68.9459685080133 -521.252815383941</t>
  </si>
  <si>
    <t>-661.069402356227 128.925223735738 -243.409202645776</t>
  </si>
  <si>
    <t>-427.348998448176 186.923162314192 -251.275552001391</t>
  </si>
  <si>
    <t>-697.381189329419 29.1264762167987 -79.6651411317674</t>
  </si>
  <si>
    <t>-690.31282164977 -1.07187579252172 322.693818871264</t>
  </si>
  <si>
    <t>-753.732271941956 -24.7572134170077 765.339952735608</t>
  </si>
  <si>
    <t>-609.525251708164 2.27239372455279 825.01441534867</t>
  </si>
  <si>
    <t>-496.843146454642 -211.063601520044 296.131920351876</t>
  </si>
  <si>
    <t>-593.680125099058 -228.887370643397 732.998825854701</t>
  </si>
  <si>
    <t>-486.095124549394 -313.629168185336 812.570221585331</t>
  </si>
  <si>
    <t>9763-20170724T104608.950755200.bin</t>
  </si>
  <si>
    <t>-739.113705374574 68.8243158274699 -520.801830426015</t>
  </si>
  <si>
    <t>-663.370505108043 128.013352108729 -242.681701164346</t>
  </si>
  <si>
    <t>-429.52065987293 185.221534873215 -252.291358534467</t>
  </si>
  <si>
    <t>-698.035618742445 28.7054910190654 -79.6940645963783</t>
  </si>
  <si>
    <t>-690.358631387733 -1.33491997136662 322.665553261848</t>
  </si>
  <si>
    <t>-753.692411730148 -24.9662406234052 765.328107547625</t>
  </si>
  <si>
    <t>-609.495876891006 2.14304165582666 824.991751550269</t>
  </si>
  <si>
    <t>-497.025856491012 -211.044371849906 295.966537270035</t>
  </si>
  <si>
    <t>-593.702192527426 -228.926535961952 732.864557791001</t>
  </si>
  <si>
    <t>-485.568722167581 -312.877333255474 812.530705664051</t>
  </si>
  <si>
    <t>9763-20170724T104608.984843800.bin</t>
  </si>
  <si>
    <t>-740.082532734641 68.8906539006118 -520.590967800302</t>
  </si>
  <si>
    <t>-664.656288740465 127.53665967436 -242.269710590412</t>
  </si>
  <si>
    <t>-430.77298588138 184.49183061694 -252.544768495016</t>
  </si>
  <si>
    <t>-698.324282014684 28.5341933990596 -79.7118687871747</t>
  </si>
  <si>
    <t>-690.333070830663 -1.41043656329543 322.64884846182</t>
  </si>
  <si>
    <t>-753.668529665449 -25.0901568685033 765.31845418201</t>
  </si>
  <si>
    <t>-609.4425485995 1.86647243208063 824.9800117006</t>
  </si>
  <si>
    <t>-497.000270429372 -210.726343386685 295.878461699588</t>
  </si>
  <si>
    <t>-593.58130359281 -228.574873114687 732.812772975937</t>
  </si>
  <si>
    <t>-485.752164220554 -312.850255672822 812.548768130586</t>
  </si>
  <si>
    <t>9763-20170724T104609.050774700.bin</t>
  </si>
  <si>
    <t>-742.00929034464 69.0163270296532 -520.143305593803</t>
  </si>
  <si>
    <t>-667.162612268426 126.825923494336 -241.490709339356</t>
  </si>
  <si>
    <t>-433.185809498382 183.080317244803 -253.372293374685</t>
  </si>
  <si>
    <t>-698.896009704924 28.1856562995397 -79.7464892128608</t>
  </si>
  <si>
    <t>-690.452823848769 -1.56074379807683 322.619620278794</t>
  </si>
  <si>
    <t>-753.661626039924 -25.2063914393348 765.315162890032</t>
  </si>
  <si>
    <t>-609.459557761441 1.890137729961 824.971118641539</t>
  </si>
  <si>
    <t>-496.777963127506 -210.365276630346 295.751060983676</t>
  </si>
  <si>
    <t>-593.34552761488 -228.104223972608 732.664991303463</t>
  </si>
  <si>
    <t>-485.786196572522 -312.563596313868 812.570564623314</t>
  </si>
  <si>
    <t>9763-20170724T104609.083863600.bin</t>
  </si>
  <si>
    <t>-742.891141996859 69.0910452460182 -520.00117579396</t>
  </si>
  <si>
    <t>-668.407346544728 126.704947421959 -241.210895930979</t>
  </si>
  <si>
    <t>-434.370293325701 182.494741617366 -254.057027202633</t>
  </si>
  <si>
    <t>-699.154386242862 28.0096452195671 -79.788512142066</t>
  </si>
  <si>
    <t>-690.581531883983 -1.60844486045994 322.584412547214</t>
  </si>
  <si>
    <t>-753.625159951734 -25.3424600921931 765.312414800136</t>
  </si>
  <si>
    <t>-609.347619720879 1.33127374801575 824.976512920968</t>
  </si>
  <si>
    <t>-496.754222806653 -210.005294925206 295.688477957671</t>
  </si>
  <si>
    <t>-593.190528070787 -227.662327467217 732.623152431674</t>
  </si>
  <si>
    <t>-486.139276099023 -312.690234735473 812.607997683876</t>
  </si>
  <si>
    <t>9763-20170724T104609.151815800.bin</t>
  </si>
  <si>
    <t>-744.835134202889 68.9122400569602 -519.751842357651</t>
  </si>
  <si>
    <t>-671.196561546229 125.971242629232 -240.623170129314</t>
  </si>
  <si>
    <t>-437.123923442628 181.117214226449 -255.448579846151</t>
  </si>
  <si>
    <t>-699.903001000608 27.6072975531094 -79.8455724442707</t>
  </si>
  <si>
    <t>-690.9552577905 -1.82504811050603 322.532749416337</t>
  </si>
  <si>
    <t>-753.571830408213 -25.5296424932822 765.3245517274</t>
  </si>
  <si>
    <t>-609.304414927659 1.18087462936001 824.996622079598</t>
  </si>
  <si>
    <t>-497.034787675935 -210.119379142413 295.598556645027</t>
  </si>
  <si>
    <t>-593.330014915382 -227.555841822566 732.631001413643</t>
  </si>
  <si>
    <t>-485.721013649676 -311.955225198456 812.533031035182</t>
  </si>
  <si>
    <t>9763-20170724T104609.184894100.bin</t>
  </si>
  <si>
    <t>-745.870040831253 68.7811710714625 -519.650412442105</t>
  </si>
  <si>
    <t>-672.625359724252 125.365850517185 -240.321433972396</t>
  </si>
  <si>
    <t>-438.58247799275 180.434238342023 -255.886527020767</t>
  </si>
  <si>
    <t>-700.260508917694 27.3302294791513 -79.870973601627</t>
  </si>
  <si>
    <t>-691.179376383016 -2.00386337395139 322.511529403916</t>
  </si>
  <si>
    <t>-753.564489318094 -25.5799087053522 765.332059012691</t>
  </si>
  <si>
    <t>-609.297314096332 1.12724395261966 825.006151883711</t>
  </si>
  <si>
    <t>-497.46894930781 -210.223487697829 295.585295924744</t>
  </si>
  <si>
    <t>-593.595177871405 -227.866396659249 732.668496809625</t>
  </si>
  <si>
    <t>-485.569561966816 -311.822964728374 812.474900799191</t>
  </si>
  <si>
    <t>9763-20170724T104609.249640300.bin</t>
  </si>
  <si>
    <t>-747.617272909249 68.7120300595575 -519.445086523949</t>
  </si>
  <si>
    <t>-675.263897122404 124.362313895234 -239.696586949728</t>
  </si>
  <si>
    <t>-441.276317209694 179.280227922111 -256.570132582375</t>
  </si>
  <si>
    <t>-701.040048014919 26.8931878361557 -79.9319099792457</t>
  </si>
  <si>
    <t>-691.659641715715 -2.15693630643136 322.4643595515</t>
  </si>
  <si>
    <t>-753.543235491347 -25.6902138150581 765.35187050064</t>
  </si>
  <si>
    <t>-609.335400723912 1.33123718200704 825.027998571482</t>
  </si>
  <si>
    <t>-498.115115055271 -210.29119076702 295.534141564367</t>
  </si>
  <si>
    <t>-593.792276591499 -227.681127046319 732.709424515737</t>
  </si>
  <si>
    <t>-486.218596822881 -312.345649739373 812.378269384531</t>
  </si>
  <si>
    <t>9763-20170724T104609.283730300.bin</t>
  </si>
  <si>
    <t>-748.40023962732 68.6418848049473 -519.366531955645</t>
  </si>
  <si>
    <t>-676.727313434048 123.846627217471 -239.354778187619</t>
  </si>
  <si>
    <t>-442.774897464156 178.624621576525 -257.144558751985</t>
  </si>
  <si>
    <t>-701.440644939395 26.6495388241397 -79.9716496154576</t>
  </si>
  <si>
    <t>-691.908879683097 -2.25080772469437 322.431863659968</t>
  </si>
  <si>
    <t>-753.54033128093 -25.7255597398294 765.35689296028</t>
  </si>
  <si>
    <t>-609.345828438258 1.3685423030829 825.032202033889</t>
  </si>
  <si>
    <t>-498.48687204573 -210.459618378054 295.4910691443</t>
  </si>
  <si>
    <t>-593.973122057948 -227.851588660224 732.712597088378</t>
  </si>
  <si>
    <t>-486.038047050424 -312.128928604016 812.303116593128</t>
  </si>
  <si>
    <t>9763-20170724T104609.350912700.bin</t>
  </si>
  <si>
    <t>-750.089609369423 68.5961158653815 -519.145593462158</t>
  </si>
  <si>
    <t>-679.464926761864 123.06286508006 -238.723159524256</t>
  </si>
  <si>
    <t>-445.625002587556 177.7838094729 -258.09804877677</t>
  </si>
  <si>
    <t>-702.194994715855 26.205438475859 -80.0226030004166</t>
  </si>
  <si>
    <t>-692.336683082885 -2.46311335153928 322.389621538754</t>
  </si>
  <si>
    <t>-753.507745877731 -25.8924520257372 765.368877596625</t>
  </si>
  <si>
    <t>-609.307103535381 1.18281747238939 825.038028828516</t>
  </si>
  <si>
    <t>-498.923333022008 -210.496671327586 295.34478486645</t>
  </si>
  <si>
    <t>-593.989778955716 -227.530755817717 732.61484119041</t>
  </si>
  <si>
    <t>-486.228032344852 -312.054487530304 812.178960393555</t>
  </si>
  <si>
    <t>9763-20170724T104609.382998700.bin</t>
  </si>
  <si>
    <t>-750.841444286715 68.4758792672299 -519.064093709255</t>
  </si>
  <si>
    <t>-680.659170288415 122.731310229152 -238.489697426808</t>
  </si>
  <si>
    <t>-446.834855052514 177.311676574258 -258.441703035846</t>
  </si>
  <si>
    <t>-702.557648351175 25.9738424528209 -80.0599918216268</t>
  </si>
  <si>
    <t>-692.565017101347 -2.54497777752158 322.359584257265</t>
  </si>
  <si>
    <t>-753.488250359321 -25.9812475655472 765.373349872051</t>
  </si>
  <si>
    <t>-609.237432009564 0.813783943765657 825.047713147886</t>
  </si>
  <si>
    <t>-499.105384486157 -210.538314273106 295.263092727332</t>
  </si>
  <si>
    <t>-594.083678120062 -227.582699083446 732.580017431319</t>
  </si>
  <si>
    <t>-486.468218568079 -312.294085248767 812.142439751459</t>
  </si>
  <si>
    <t>9763-20170724T104609.451195300.bin</t>
  </si>
  <si>
    <t>-752.569585978707 68.0976706148517 -518.925687253284</t>
  </si>
  <si>
    <t>-683.363645141939 122.070852692621 -238.054559985532</t>
  </si>
  <si>
    <t>-449.51640445343 176.182442554735 -258.990110888491</t>
  </si>
  <si>
    <t>-703.432282767417 25.5645240960657 -80.1380754673693</t>
  </si>
  <si>
    <t>-693.019497551865 -2.67465379035707 322.290537993142</t>
  </si>
  <si>
    <t>-753.480598714055 -26.0457912814179 765.376681784595</t>
  </si>
  <si>
    <t>-609.288344383408 1.06479248073242 825.050086352904</t>
  </si>
  <si>
    <t>-499.576088361609 -210.784642456525 295.154453318897</t>
  </si>
  <si>
    <t>-594.301505685074 -227.782923309957 732.523049156627</t>
  </si>
  <si>
    <t>-485.892157687691 -311.543186962336 812.014783607338</t>
  </si>
  <si>
    <t>9763-20170724T104609.483281300.bin</t>
  </si>
  <si>
    <t>-753.381989919244 68.0088352520665 -518.859454279608</t>
  </si>
  <si>
    <t>-684.855093107867 121.600339679755 -237.748795777512</t>
  </si>
  <si>
    <t>-450.957336879383 175.32459799941 -259.11198767019</t>
  </si>
  <si>
    <t>-703.764706264462 25.4565338818024 -80.1817984466046</t>
  </si>
  <si>
    <t>-693.1852023393 -2.6799181407589 322.249600169228</t>
  </si>
  <si>
    <t>-753.47215344839 -26.0811859670487 765.374135128915</t>
  </si>
  <si>
    <t>-609.261016906687 0.918268032871083 825.052175814783</t>
  </si>
  <si>
    <t>-499.584798567697 -210.561870751938 295.075155362632</t>
  </si>
  <si>
    <t>-594.118438401999 -227.325132711709 732.439430100239</t>
  </si>
  <si>
    <t>-486.221473901209 -311.674497672014 812.005296810801</t>
  </si>
  <si>
    <t>9763-20170724T104609.550468300.bin</t>
  </si>
  <si>
    <t>-754.571226767786 67.8735727287512 -518.669812665397</t>
  </si>
  <si>
    <t>-687.568878684446 120.540662476666 -237.017561070227</t>
  </si>
  <si>
    <t>-453.538257984372 173.304885989306 -259.299210678736</t>
  </si>
  <si>
    <t>-704.330512225283 25.189980177207 -80.2593746043209</t>
  </si>
  <si>
    <t>-693.492501956468 -2.821297767955 322.173925126114</t>
  </si>
  <si>
    <t>-753.445805352239 -26.2192863212867 765.360763335468</t>
  </si>
  <si>
    <t>-609.23873374075 0.82552982436323 825.02810808612</t>
  </si>
  <si>
    <t>-499.659482902179 -210.436925490382 294.978436075607</t>
  </si>
  <si>
    <t>-594.12904712803 -227.13176173768 732.381946651673</t>
  </si>
  <si>
    <t>-486.137695129763 -311.334426180255 811.97507212507</t>
  </si>
  <si>
    <t>9763-20170724T104609.582552200.bin</t>
  </si>
  <si>
    <t>-754.979337245776 67.6628604106338 -518.648453422123</t>
  </si>
  <si>
    <t>-688.71414423035 120.112519033214 -236.781131002119</t>
  </si>
  <si>
    <t>-454.579719514443 172.337572196759 -259.242504057314</t>
  </si>
  <si>
    <t>-704.499562928489 24.9875361508621 -80.3052785964375</t>
  </si>
  <si>
    <t>-693.631790169623 -2.93818745974158 322.133200907477</t>
  </si>
  <si>
    <t>-753.417998996577 -26.314921026544 765.356803849949</t>
  </si>
  <si>
    <t>-609.170408424487 0.506811817612061 825.026966457217</t>
  </si>
  <si>
    <t>-499.69898116321 -210.4855783076 294.937507472845</t>
  </si>
  <si>
    <t>-594.136075391054 -227.11409763851 732.331078744968</t>
  </si>
  <si>
    <t>-486.042223440891 -311.15344750144 811.957673343327</t>
  </si>
  <si>
    <t>9763-20170724T104609.647684200.bin</t>
  </si>
  <si>
    <t>-755.789587280808 67.150790311726 -518.694877863127</t>
  </si>
  <si>
    <t>-690.793066968763 119.106073743738 -236.440778229953</t>
  </si>
  <si>
    <t>-456.519884514194 170.573622865744 -259.200680340163</t>
  </si>
  <si>
    <t>-704.798905313426 24.676478973782 -80.3960886517073</t>
  </si>
  <si>
    <t>-693.664346005149 -3.10478859490831 322.044998094488</t>
  </si>
  <si>
    <t>-753.376706153082 -26.4716150443155 765.333864177232</t>
  </si>
  <si>
    <t>-609.096273553945 0.177854348520441 825.001685653728</t>
  </si>
  <si>
    <t>-499.781318612803 -210.363400446248 294.887918546861</t>
  </si>
  <si>
    <t>-594.027315100105 -226.589841353013 732.322391367778</t>
  </si>
  <si>
    <t>-486.400401475871 -311.183582199339 811.994593407821</t>
  </si>
  <si>
    <t>9763-20170724T104609.681771300.bin</t>
  </si>
  <si>
    <t>-756.231814571375 66.9074673151156 -518.684359416885</t>
  </si>
  <si>
    <t>-691.985986915617 118.679401459039 -236.22495588408</t>
  </si>
  <si>
    <t>-457.655104891597 169.750657854748 -259.2822861341</t>
  </si>
  <si>
    <t>-704.815174793173 24.5238597806922 -80.4113433698319</t>
  </si>
  <si>
    <t>-693.680418047998 -3.20382446442113 322.033498908334</t>
  </si>
  <si>
    <t>-753.363372316144 -26.5231800185709 765.328120382734</t>
  </si>
  <si>
    <t>-609.119684181851 0.340645720498514 824.9888352711</t>
  </si>
  <si>
    <t>-499.903121601602 -210.466094762361 294.924677114724</t>
  </si>
  <si>
    <t>-594.174609851499 -226.702262539955 732.371159894885</t>
  </si>
  <si>
    <t>-486.393086902464 -311.141180461547 811.998503034064</t>
  </si>
  <si>
    <t>9763-20170724T104609.747757700.bin</t>
  </si>
  <si>
    <t>-757.142347634051 66.3786305723786 -518.641099235896</t>
  </si>
  <si>
    <t>-694.789695699518 117.773200027426 -235.688960305486</t>
  </si>
  <si>
    <t>-460.336935106746 168.204583415158 -258.915267973121</t>
  </si>
  <si>
    <t>-705.022657199817 24.229937528228 -80.4128627704547</t>
  </si>
  <si>
    <t>-693.808250746859 -3.41059326305185 322.035743603557</t>
  </si>
  <si>
    <t>-753.354511405325 -26.5931081689864 765.327051328882</t>
  </si>
  <si>
    <t>-609.129277731623 0.390389516966479 824.978300007938</t>
  </si>
  <si>
    <t>-500.164914222028 -210.749220256217 294.969998903733</t>
  </si>
  <si>
    <t>-594.394217102868 -226.8231069226 732.432068778073</t>
  </si>
  <si>
    <t>-486.141057386688 -310.741934739302 811.969274449883</t>
  </si>
  <si>
    <t>9763-20170724T104609.785899900.bin</t>
  </si>
  <si>
    <t>-757.436222850166 66.2630605804161 -518.607727116238</t>
  </si>
  <si>
    <t>-695.978806756021 117.479988483909 -235.427534478198</t>
  </si>
  <si>
    <t>-461.486983633617 167.718044367326 -258.678222659484</t>
  </si>
  <si>
    <t>-705.125519239475 24.1507201691288 -80.4193694893305</t>
  </si>
  <si>
    <t>-693.87096423485 -3.44275092601652 322.031450228892</t>
  </si>
  <si>
    <t>-753.342866974112 -26.6389453311831 765.329305967011</t>
  </si>
  <si>
    <t>-609.126752589223 0.396466636987952 824.97900650311</t>
  </si>
  <si>
    <t>-500.12446940034 -210.656362970709 294.979697647005</t>
  </si>
  <si>
    <t>-594.347753406196 -226.563853714856 732.426514083559</t>
  </si>
  <si>
    <t>-486.642753612558 -311.161937730749 811.988390933978</t>
  </si>
  <si>
    <t>9763-20170724T104609.846836100.bin</t>
  </si>
  <si>
    <t>-757.908983081197 65.9598097314058 -518.545317613994</t>
  </si>
  <si>
    <t>-697.655752179572 116.910831283985 -235.058509791027</t>
  </si>
  <si>
    <t>-463.154301048996 167.100535787974 -258.316173629076</t>
  </si>
  <si>
    <t>-705.400584665338 23.9212655925141 -80.427981854698</t>
  </si>
  <si>
    <t>-694.081650248929 -3.56310600696975 322.028371416862</t>
  </si>
  <si>
    <t>-753.30429738957 -26.7712675444777 765.341161564466</t>
  </si>
  <si>
    <t>-609.071573588563 0.163819604972787 824.996102312988</t>
  </si>
  <si>
    <t>-500.137032956547 -210.591467874501 294.984294930753</t>
  </si>
  <si>
    <t>-594.439856772335 -226.4810658245 732.42070122442</t>
  </si>
  <si>
    <t>-486.550138532907 -310.866610566227 811.958079252754</t>
  </si>
  <si>
    <t>9763-20170724T104609.881929200.bin</t>
  </si>
  <si>
    <t>-758.047076804646 65.8077156107126 -518.547409084561</t>
  </si>
  <si>
    <t>-697.963788364469 116.7056505775 -235.014880024835</t>
  </si>
  <si>
    <t>-463.467716668644 166.927067282555 -258.258712680159</t>
  </si>
  <si>
    <t>-705.557067354445 23.8609074975643 -80.4430941864279</t>
  </si>
  <si>
    <t>-694.21968792543 -3.55298566396436 322.017614000179</t>
  </si>
  <si>
    <t>-753.295692233622 -26.7969386572597 765.346611539855</t>
  </si>
  <si>
    <t>-609.059293347916 0.0933022565625379 825.013051065113</t>
  </si>
  <si>
    <t>-500.120591724592 -210.438219708784 294.988226535618</t>
  </si>
  <si>
    <t>-594.478612766718 -226.424011514476 732.419456094382</t>
  </si>
  <si>
    <t>-486.717609584108 -310.975746195326 811.95481632074</t>
  </si>
  <si>
    <t>9763-20170724T104609.946638000.bin</t>
  </si>
  <si>
    <t>-758.184220814788 65.3723301748212 -518.556546626336</t>
  </si>
  <si>
    <t>-698.434897971634 116.361383082782 -234.969976247634</t>
  </si>
  <si>
    <t>-463.872586589875 166.163691872495 -258.4454893853</t>
  </si>
  <si>
    <t>-705.863106893848 23.8165924418995 -80.4751205232802</t>
  </si>
  <si>
    <t>-694.523435141261 -3.52027164274409 321.99077471188</t>
  </si>
  <si>
    <t>-753.293074233275 -26.7875343099968 765.35344571368</t>
  </si>
  <si>
    <t>-609.126050173269 0.428387659875625 825.039803000329</t>
  </si>
  <si>
    <t>-500.091324416354 -210.343207673252 295.026853637913</t>
  </si>
  <si>
    <t>-594.594737595921 -226.448100094434 732.429370901721</t>
  </si>
  <si>
    <t>-486.46536815011 -310.551217058225 811.940464842193</t>
  </si>
  <si>
    <t>9763-20170724T104609.986744000.bin</t>
  </si>
  <si>
    <t>-758.197888011414 65.3342435686579 -518.561126159271</t>
  </si>
  <si>
    <t>-698.732694629685 116.230604989544 -234.898219680481</t>
  </si>
  <si>
    <t>-464.147127776911 165.851840510371 -258.525172914531</t>
  </si>
  <si>
    <t>-705.95724118262 23.8619008316114 -80.4867437865826</t>
  </si>
  <si>
    <t>-694.601306853963 -3.46512544706616 321.979320480562</t>
  </si>
  <si>
    <t>-753.275643679998 -26.8534579791631 765.357721971518</t>
  </si>
  <si>
    <t>-609.093415406683 0.277228454752958 825.046086952155</t>
  </si>
  <si>
    <t>-500.036243520147 -210.17553714855 295.030732441135</t>
  </si>
  <si>
    <t>-594.584585627432 -226.287071490916 732.427192728149</t>
  </si>
  <si>
    <t>-486.623012072493 -310.598088829081 811.946056106267</t>
  </si>
  <si>
    <t>9763-20170724T104610.052938700.bin</t>
  </si>
  <si>
    <t>-758.1634003026 65.2665720200982 -518.555425443636</t>
  </si>
  <si>
    <t>-699.400008869379 115.879661262712 -234.695525495243</t>
  </si>
  <si>
    <t>-464.725812579381 165.043261037476 -258.398464400338</t>
  </si>
  <si>
    <t>-705.987136427496 23.9605976770047 -80.4937289137417</t>
  </si>
  <si>
    <t>-694.490065143046 -3.44525789252634 321.963035745513</t>
  </si>
  <si>
    <t>-753.240985881813 -26.9906474262286 765.352765895766</t>
  </si>
  <si>
    <t>-609.00119757639 -0.18980026426857 825.051175032809</t>
  </si>
  <si>
    <t>-500.074349907639 -209.988247074975 295.05614329051</t>
  </si>
  <si>
    <t>-594.586634479752 -226.053127182752 732.43559642019</t>
  </si>
  <si>
    <t>-486.605860901282 -310.334695176689 811.959637215686</t>
  </si>
  <si>
    <t>9763-20170724T104610.085027600.bin</t>
  </si>
  <si>
    <t>-758.043198905505 65.354704355831 -518.550658597849</t>
  </si>
  <si>
    <t>-699.693955901028 115.911711419663 -234.595378252263</t>
  </si>
  <si>
    <t>-464.964407489143 164.772611559846 -258.376555825456</t>
  </si>
  <si>
    <t>-705.926959009429 24.0684151169141 -80.4888725026275</t>
  </si>
  <si>
    <t>-694.381422528843 -3.38988592747296 321.962897178839</t>
  </si>
  <si>
    <t>-753.234875267842 -27.0283844747091 765.347608924775</t>
  </si>
  <si>
    <t>-609.040841418838 0.0310917264478121 825.03954295799</t>
  </si>
  <si>
    <t>-500.038524451251 -209.881034881936 295.060154858732</t>
  </si>
  <si>
    <t>-594.54546667044 -225.903856385557 732.430796429179</t>
  </si>
  <si>
    <t>-486.898464433002 -310.568008771569 812.000848708271</t>
  </si>
  <si>
    <t>9763-20170724T104610.151095700.bin</t>
  </si>
  <si>
    <t>-757.932922998625 65.2153022225552 -518.46582634877</t>
  </si>
  <si>
    <t>-700.374092952747 115.685588863602 -234.333826043497</t>
  </si>
  <si>
    <t>-465.567253264185 163.941745920967 -258.582013576398</t>
  </si>
  <si>
    <t>-705.793116977551 24.0344545345631 -80.467611994143</t>
  </si>
  <si>
    <t>-694.122594956938 -3.47924331682748 321.976805309842</t>
  </si>
  <si>
    <t>-753.196008454128 -27.1879006390495 765.332085061015</t>
  </si>
  <si>
    <t>-608.942124906801 -0.432722397605403 825.016920631097</t>
  </si>
  <si>
    <t>-499.961576595038 -209.781728605607 295.061945059947</t>
  </si>
  <si>
    <t>-594.466647749944 -225.655003945541 732.421722901055</t>
  </si>
  <si>
    <t>-486.589561816056 -309.957123335912 812.064639522102</t>
  </si>
  <si>
    <t>9763-20170724T104610.184185000.bin</t>
  </si>
  <si>
    <t>-757.89051999223 65.2748954189033 -518.385801809475</t>
  </si>
  <si>
    <t>-700.748805532331 115.689731316329 -234.159799015812</t>
  </si>
  <si>
    <t>-465.892753504051 163.605258028088 -258.605677509105</t>
  </si>
  <si>
    <t>-705.717889036651 24.0275242723815 -80.4591362482004</t>
  </si>
  <si>
    <t>-694.057623960919 -3.52267725751153 321.983048431199</t>
  </si>
  <si>
    <t>-753.17114925222 -27.286245323249 765.327447081132</t>
  </si>
  <si>
    <t>-608.84519669226 -0.910834943502778 825.007218143934</t>
  </si>
  <si>
    <t>-499.87413537585 -209.643164417335 295.07126835879</t>
  </si>
  <si>
    <t>-594.428286576195 -225.463838054411 732.439380648434</t>
  </si>
  <si>
    <t>-486.916742093337 -310.196345006912 812.119719373555</t>
  </si>
  <si>
    <t>9763-20170724T104610.253380800.bin</t>
  </si>
  <si>
    <t>-757.992098926848 65.2805200724424 -518.222332381628</t>
  </si>
  <si>
    <t>-701.543544013388 115.509225020175 -233.825101776146</t>
  </si>
  <si>
    <t>-466.603446387372 162.918317580831 -258.450568108534</t>
  </si>
  <si>
    <t>-705.717404528557 23.9828797136433 -80.4517098856367</t>
  </si>
  <si>
    <t>-694.054677211747 -3.56908321380047 321.990248484818</t>
  </si>
  <si>
    <t>-753.142144988417 -27.4017722167443 765.332285486693</t>
  </si>
  <si>
    <t>-608.843061328993 -0.858842868273769 825.002527669434</t>
  </si>
  <si>
    <t>-499.726893336069 -209.609814738434 295.095854507311</t>
  </si>
  <si>
    <t>-594.42419597633 -225.328812339673 732.435559620902</t>
  </si>
  <si>
    <t>-486.647988489896 -309.699129460821 812.142778814113</t>
  </si>
  <si>
    <t>9763-20170724T104610.281456600.bin</t>
  </si>
  <si>
    <t>-758.043232642504 65.3171768485593 -518.128094110195</t>
  </si>
  <si>
    <t>-701.919914033713 115.359712004509 -233.633459293299</t>
  </si>
  <si>
    <t>-466.955527227874 162.544411583915 -258.456872783461</t>
  </si>
  <si>
    <t>-705.755838963479 23.9320801030576 -80.4410628040812</t>
  </si>
  <si>
    <t>-694.08833915614 -3.58021465257593 322.003486941444</t>
  </si>
  <si>
    <t>-753.130283014246 -27.4649240448618 765.33824646751</t>
  </si>
  <si>
    <t>-608.818269268655 -0.977295613127353 825.002006352779</t>
  </si>
  <si>
    <t>-499.701348336742 -209.526253870768 295.110943717437</t>
  </si>
  <si>
    <t>-594.461996243577 -225.287708579745 732.451577301389</t>
  </si>
  <si>
    <t>-486.547207802947 -309.490434576095 812.14853032495</t>
  </si>
  <si>
    <t>9763-20170724T104610.351653900.bin</t>
  </si>
  <si>
    <t>-758.064542128214 65.4678726044706 -518.012879139227</t>
  </si>
  <si>
    <t>-702.636090935301 115.276458741092 -233.341146604661</t>
  </si>
  <si>
    <t>-467.62956262116 162.02152747721 -258.594663711996</t>
  </si>
  <si>
    <t>-705.815577081666 23.9235453544231 -80.4362012497257</t>
  </si>
  <si>
    <t>-694.013303216208 -3.5897750802776 322.004336191509</t>
  </si>
  <si>
    <t>-753.129020797372 -27.5220637963387 765.339864541253</t>
  </si>
  <si>
    <t>-608.863407443429 -0.721126314105049 824.975814596092</t>
  </si>
  <si>
    <t>-499.653369726073 -209.344473883535 295.116986600445</t>
  </si>
  <si>
    <t>-594.464348153877 -225.03822807652 732.458344680693</t>
  </si>
  <si>
    <t>-486.843365554981 -309.611890431771 812.15977055507</t>
  </si>
  <si>
    <t>9763-20170724T104610.383740600.bin</t>
  </si>
  <si>
    <t>-758.176315885044 65.34141060202 -517.957013806858</t>
  </si>
  <si>
    <t>-703.134846928877 114.997449584507 -233.183607959893</t>
  </si>
  <si>
    <t>-468.099508991038 161.506493052196 -258.603667834026</t>
  </si>
  <si>
    <t>-705.8309431981 23.8233386253785 -80.4354173129594</t>
  </si>
  <si>
    <t>-694.00602554669 -3.68418190739658 322.004859306217</t>
  </si>
  <si>
    <t>-753.113022015008 -27.5948389900389 765.340150475891</t>
  </si>
  <si>
    <t>-608.819290767682 -0.932522678374198 824.970065843329</t>
  </si>
  <si>
    <t>-499.692983066154 -209.362137985454 295.133158294656</t>
  </si>
  <si>
    <t>-594.538996813365 -225.088974719514 732.470966061976</t>
  </si>
  <si>
    <t>-486.788407557236 -309.514867513063 812.153992559907</t>
  </si>
  <si>
    <t>9763-20170724T104610.447477300.bin</t>
  </si>
  <si>
    <t>-758.290794286155 65.0495703305785 -517.903736682705</t>
  </si>
  <si>
    <t>-704.20818444293 114.464729790873 -232.90474143389</t>
  </si>
  <si>
    <t>-469.106397162512 160.525647960334 -258.525113267031</t>
  </si>
  <si>
    <t>-705.861862324952 23.585595231657 -80.4323206969746</t>
  </si>
  <si>
    <t>-693.961044061755 -3.79934825154169 322.014040781577</t>
  </si>
  <si>
    <t>-753.108645125672 -27.6615716465885 765.336548473537</t>
  </si>
  <si>
    <t>-608.86839582844 -0.673935157893766 824.949696179821</t>
  </si>
  <si>
    <t>-499.698094882795 -209.370667615689 295.173987104914</t>
  </si>
  <si>
    <t>-594.601789820277 -225.013519774146 732.486751191218</t>
  </si>
  <si>
    <t>-486.669314658385 -309.23144091519 812.143660449538</t>
  </si>
  <si>
    <t>9763-20170724T104610.485593800.bin</t>
  </si>
  <si>
    <t>-758.417101566371 64.9017243426779 -517.883495830397</t>
  </si>
  <si>
    <t>-704.777961202282 114.166327039045 -232.774670815588</t>
  </si>
  <si>
    <t>-469.654236014963 160.081969755251 -258.454330747887</t>
  </si>
  <si>
    <t>-705.880753796875 23.4525796956686 -80.4372715133203</t>
  </si>
  <si>
    <t>-693.955355663052 -3.89956166224488 322.010729202624</t>
  </si>
  <si>
    <t>-753.077428939576 -27.7624713314965 765.337027436873</t>
  </si>
  <si>
    <t>-608.807952178939 -0.936841931017398 824.952352817782</t>
  </si>
  <si>
    <t>-499.658395337017 -209.319712300719 295.16805708136</t>
  </si>
  <si>
    <t>-594.595473847034 -224.949991929205 732.472769160975</t>
  </si>
  <si>
    <t>-486.895065951342 -309.430138439022 812.166074625072</t>
  </si>
  <si>
    <t>9763-20170724T104610.552860100.bin</t>
  </si>
  <si>
    <t>-758.836330772456 64.5308680434187 -517.881419566843</t>
  </si>
  <si>
    <t>-705.94633667252 113.573068178774 -232.594248614833</t>
  </si>
  <si>
    <t>-470.773367258134 159.141009022206 -258.441860149698</t>
  </si>
  <si>
    <t>-706.032811403131 23.2685849126649 -80.4702299304273</t>
  </si>
  <si>
    <t>-694.056710227689 -3.97737582155901 321.983364756609</t>
  </si>
  <si>
    <t>-753.05854623789 -27.8367188534578 765.336752182043</t>
  </si>
  <si>
    <t>-608.736107381353 -1.30474060912957 824.955331892698</t>
  </si>
  <si>
    <t>-499.582555784633 -209.107102441244 295.160400055183</t>
  </si>
  <si>
    <t>-594.51752013312 -224.632462959835 732.467066383498</t>
  </si>
  <si>
    <t>-487.183564300121 -309.524228671864 812.217462576096</t>
  </si>
  <si>
    <t>9763-20170724T104610.581935900.bin</t>
  </si>
  <si>
    <t>-759.037923068099 64.3086933957661 -517.871395281871</t>
  </si>
  <si>
    <t>-706.627733846263 113.234805930085 -232.475921281822</t>
  </si>
  <si>
    <t>-471.429964523533 158.555753715158 -258.531087139011</t>
  </si>
  <si>
    <t>-706.129978223276 23.2181525587735 -80.4837474178489</t>
  </si>
  <si>
    <t>-694.195283062929 -3.98467444510015 321.974028724389</t>
  </si>
  <si>
    <t>-753.057559162224 -27.8372445219852 765.340877046982</t>
  </si>
  <si>
    <t>-608.812910622581 -0.879361020129636 824.956724084703</t>
  </si>
  <si>
    <t>-499.606996298243 -209.153863696618 295.167160677975</t>
  </si>
  <si>
    <t>-594.558550752355 -224.590862313206 732.48832405539</t>
  </si>
  <si>
    <t>-486.878581130837 -309.078815043525 812.2009377876</t>
  </si>
  <si>
    <t>9763-20170724T104610.651132100.bin</t>
  </si>
  <si>
    <t>-759.335181186276 63.7972324626928 -517.921220245551</t>
  </si>
  <si>
    <t>-708.019474452535 112.403988876059 -232.272242518018</t>
  </si>
  <si>
    <t>-472.761429016202 157.179828345234 -258.722826171953</t>
  </si>
  <si>
    <t>-706.369865634077 23.05733337686 -80.5101095425642</t>
  </si>
  <si>
    <t>-694.396633184551 -4.07968980029659 321.95100592428</t>
  </si>
  <si>
    <t>-753.053136945713 -27.9049417088002 765.342680614413</t>
  </si>
  <si>
    <t>-608.785743020721 -1.03385747780771 824.942736926092</t>
  </si>
  <si>
    <t>-499.669921379998 -209.282205428842 295.191674983249</t>
  </si>
  <si>
    <t>-594.737290196329 -224.781676527902 732.502091471771</t>
  </si>
  <si>
    <t>-486.565310933682 -308.677916411649 812.173576201886</t>
  </si>
  <si>
    <t>9763-20170724T104610.687220700.bin</t>
  </si>
  <si>
    <t>-759.429133922329 63.665888557633 -517.905567322474</t>
  </si>
  <si>
    <t>-708.438633703021 112.112550834818 -232.171308017716</t>
  </si>
  <si>
    <t>-473.162438013233 156.74305263308 -258.705970858361</t>
  </si>
  <si>
    <t>-706.436037086134 23.0159509530004 -80.5244422891283</t>
  </si>
  <si>
    <t>-694.450965423657 -4.09854889830171 321.937786721868</t>
  </si>
  <si>
    <t>-753.063133498028 -27.9077917288394 765.336043532087</t>
  </si>
  <si>
    <t>-608.794614648895 -1.00666477882601 824.919833028831</t>
  </si>
  <si>
    <t>-499.654971958033 -209.136633381653 295.209835849347</t>
  </si>
  <si>
    <t>-594.683874960086 -224.531011023225 732.509912900209</t>
  </si>
  <si>
    <t>-486.843848061478 -308.842863222277 812.192543667345</t>
  </si>
  <si>
    <t>9763-20170724T104610.751132200.bin</t>
  </si>
  <si>
    <t>-759.558947873662 63.4159826894991 -517.822965844728</t>
  </si>
  <si>
    <t>-708.904118792382 111.594667207467 -231.983686806729</t>
  </si>
  <si>
    <t>-473.603726489555 156.219607293346 -258.312939748212</t>
  </si>
  <si>
    <t>-706.474406722277 22.8087137597145 -80.5474270103566</t>
  </si>
  <si>
    <t>-694.554808756809 -4.25252211728957 321.920310225662</t>
  </si>
  <si>
    <t>-753.079051756995 -27.9712559342156 765.328366927809</t>
  </si>
  <si>
    <t>-608.830734121072 -0.855104507514625 824.863612593114</t>
  </si>
  <si>
    <t>-499.621497530576 -209.013645750459 295.271397233846</t>
  </si>
  <si>
    <t>-594.757985977265 -224.481902638276 732.545415131154</t>
  </si>
  <si>
    <t>-486.883861413777 -308.768432247805 812.208783446114</t>
  </si>
  <si>
    <t>9763-20170724T104610.785222900.bin</t>
  </si>
  <si>
    <t>-759.650645212535 63.176356890948 -517.755020599123</t>
  </si>
  <si>
    <t>-709.014245158824 111.3121726995 -231.905131860793</t>
  </si>
  <si>
    <t>-473.725944367937 156.011199623452 -258.215977570352</t>
  </si>
  <si>
    <t>-706.503697312964 22.6516409066119 -80.5746415837014</t>
  </si>
  <si>
    <t>-694.616125241952 -4.39233549686105 321.895198457962</t>
  </si>
  <si>
    <t>-753.080849500147 -28.0319015641742 765.319395023097</t>
  </si>
  <si>
    <t>-608.751773692072 -1.2962087041692 824.830918339283</t>
  </si>
  <si>
    <t>-499.533186327876 -208.968791546274 295.277479648692</t>
  </si>
  <si>
    <t>-594.705643513022 -224.279684503019 732.544216443736</t>
  </si>
  <si>
    <t>-486.774647191777 -308.489305879967 812.212005428611</t>
  </si>
  <si>
    <t>9763-20170724T104610.850417200.bin</t>
  </si>
  <si>
    <t>-759.901731855795 62.8356763193894 -517.710317302672</t>
  </si>
  <si>
    <t>-709.340231612861 111.026721851434 -231.856593854352</t>
  </si>
  <si>
    <t>-474.101078570552 155.984635002849 -258.166177508281</t>
  </si>
  <si>
    <t>-706.666468433568 22.4301228831891 -80.6118688616705</t>
  </si>
  <si>
    <t>-694.79749115079 -4.48981295237263 321.866772400013</t>
  </si>
  <si>
    <t>-753.104801171129 -28.0951202774795 765.310664413046</t>
  </si>
  <si>
    <t>-608.735793602037 -1.44378470075799 824.763120447882</t>
  </si>
  <si>
    <t>-499.363441171643 -208.949752431675 295.2399884403</t>
  </si>
  <si>
    <t>-594.712926486372 -224.134304727388 732.523549254158</t>
  </si>
  <si>
    <t>-487.021355181551 -308.618237065299 812.224907506148</t>
  </si>
  <si>
    <t>9763-20170724T104610.880498700.bin</t>
  </si>
  <si>
    <t>-760.016857629524 62.6180889899792 -517.696584214026</t>
  </si>
  <si>
    <t>-709.572893231115 110.979176454053 -231.850846646062</t>
  </si>
  <si>
    <t>-474.329646150508 155.904019725445 -258.180659025261</t>
  </si>
  <si>
    <t>-706.763832873006 22.3094013147429 -80.6232358948669</t>
  </si>
  <si>
    <t>-694.857038490299 -4.5526670631964 321.858291604533</t>
  </si>
  <si>
    <t>-753.125736298164 -28.1123983598422 765.304967953194</t>
  </si>
  <si>
    <t>-608.786391576558 -1.21979399110228 824.720790112866</t>
  </si>
  <si>
    <t>-499.426580099449 -209.087422984772 295.260033980372</t>
  </si>
  <si>
    <t>-594.811522161393 -224.251277368823 732.529277267667</t>
  </si>
  <si>
    <t>-486.652226592077 -308.165397579546 812.199102618511</t>
  </si>
  <si>
    <t>9763-20170724T104610.918601400.bin</t>
  </si>
  <si>
    <t>-760.130748634151 62.4556744180118 -517.678254283265</t>
  </si>
  <si>
    <t>-709.948450569351 110.951801702447 -231.809320340306</t>
  </si>
  <si>
    <t>-474.689047231725 155.721035943371 -258.259301469844</t>
  </si>
  <si>
    <t>-706.813141678226 22.1890871187563 -80.6264564726397</t>
  </si>
  <si>
    <t>-694.868576244225 -4.63089933683978 321.85669478764</t>
  </si>
  <si>
    <t>-753.131168605472 -28.1682041547624 765.301228142655</t>
  </si>
  <si>
    <t>-608.739562516488 -1.48730635568882 824.685492482585</t>
  </si>
  <si>
    <t>-499.413906989498 -209.070163131645 295.256420723303</t>
  </si>
  <si>
    <t>-594.794495401263 -224.083114870421 732.52934979424</t>
  </si>
  <si>
    <t>-486.862426621747 -308.287843507254 812.200674024076</t>
  </si>
  <si>
    <t>9763-20170724T104610.983781300.bin</t>
  </si>
  <si>
    <t>-760.368697339215 62.3950431972469 -517.643045942553</t>
  </si>
  <si>
    <t>-710.987991044499 110.927901182841 -231.640701464847</t>
  </si>
  <si>
    <t>-475.653026634319 155.11569586582 -258.39423387164</t>
  </si>
  <si>
    <t>-706.922484266801 22.0106147213919 -80.6655629748768</t>
  </si>
  <si>
    <t>-694.94191600105 -4.73936093715201 321.821218921703</t>
  </si>
  <si>
    <t>-753.13554405445 -28.2937349453059 765.291410312949</t>
  </si>
  <si>
    <t>-608.702849633643 -1.70296597086417 824.616213402262</t>
  </si>
  <si>
    <t>-499.510737866014 -209.172651283071 295.239580500627</t>
  </si>
  <si>
    <t>-594.833811196075 -223.925111156754 732.525614009336</t>
  </si>
  <si>
    <t>-487.036248005275 -308.311826566048 812.186497547833</t>
  </si>
  <si>
    <t>9763-20170724T104611.050970100.bin</t>
  </si>
  <si>
    <t>-760.679139847056 62.3982194842999 -517.542594881116</t>
  </si>
  <si>
    <t>-712.407169438965 110.756452415935 -231.321426751784</t>
  </si>
  <si>
    <t>-477.00986748437 154.299642808795 -258.5793271063</t>
  </si>
  <si>
    <t>-707.07272904127 21.8509744666571 -80.6756594115116</t>
  </si>
  <si>
    <t>-695.045673813346 -4.80693191460546 321.815803182212</t>
  </si>
  <si>
    <t>-753.128439209707 -28.4258779135723 765.28701126609</t>
  </si>
  <si>
    <t>-608.672226136925 -1.8445719722547 824.558735306665</t>
  </si>
  <si>
    <t>-499.581865406921 -209.177805729414 295.202727190335</t>
  </si>
  <si>
    <t>-594.890762797103 -223.776869995675 732.506635420993</t>
  </si>
  <si>
    <t>-487.273727515013 -308.418700833838 812.140979921011</t>
  </si>
  <si>
    <t>9763-20170724T104611.085060800.bin</t>
  </si>
  <si>
    <t>-760.924757307408 62.3337424642625 -517.481366647253</t>
  </si>
  <si>
    <t>-713.34177723577 110.568759408319 -231.12412991927</t>
  </si>
  <si>
    <t>-477.921752603673 153.779866782391 -258.71157083627</t>
  </si>
  <si>
    <t>-707.193962620708 21.7548739552099 -80.6775076840362</t>
  </si>
  <si>
    <t>-695.154183657148 -4.86804612350625 321.815955109245</t>
  </si>
  <si>
    <t>-753.144988281098 -28.4364960393839 765.289605097723</t>
  </si>
  <si>
    <t>-608.722923615773 -1.60951714006842 824.533839344329</t>
  </si>
  <si>
    <t>-499.743576976345 -209.414139918497 295.17449944661</t>
  </si>
  <si>
    <t>-595.066473385453 -224.081348790827 732.490075255686</t>
  </si>
  <si>
    <t>-486.986680901489 -308.167669544117 812.086242871855</t>
  </si>
  <si>
    <t>9763-20170724T104611.148774800.bin</t>
  </si>
  <si>
    <t>-761.035967878062 62.4829584919542 -517.350756070146</t>
  </si>
  <si>
    <t>-715.080754741228 110.374158480475 -230.670323372259</t>
  </si>
  <si>
    <t>-479.61891924292 153.056904812069 -258.719900977486</t>
  </si>
  <si>
    <t>-707.36954528295 21.646460109642 -80.6896798379818</t>
  </si>
  <si>
    <t>-695.313744143464 -4.94667963346433 321.805184082524</t>
  </si>
  <si>
    <t>-753.119313026553 -28.5768233687741 765.291644915856</t>
  </si>
  <si>
    <t>-608.652016176641 -1.95273828870313 824.516921207833</t>
  </si>
  <si>
    <t>-499.968936581189 -209.378683103728 295.125366248329</t>
  </si>
  <si>
    <t>-595.094116384153 -223.934081590095 732.439421221413</t>
  </si>
  <si>
    <t>-487.142439632806 -308.191242337793 812.028780183648</t>
  </si>
  <si>
    <t>9763-20170724T104611.181858100.bin</t>
  </si>
  <si>
    <t>-760.958075738015 62.5234633699899 -517.343225961495</t>
  </si>
  <si>
    <t>-715.952506207514 110.30920337072 -230.494591474059</t>
  </si>
  <si>
    <t>-480.439379984159 152.639864536673 -258.646718265677</t>
  </si>
  <si>
    <t>-707.401707120001 21.6320411654985 -80.7090359130018</t>
  </si>
  <si>
    <t>-695.359807131471 -4.91006125389549 321.789588517352</t>
  </si>
  <si>
    <t>-753.133911789099 -28.5539977555115 765.287588739941</t>
  </si>
  <si>
    <t>-608.713707763569 -1.64898258046969 824.501014575039</t>
  </si>
  <si>
    <t>-500.035873798769 -209.335226932558 295.086874372393</t>
  </si>
  <si>
    <t>-595.07398584521 -223.792619552639 732.424145924454</t>
  </si>
  <si>
    <t>-487.428109948699 -308.424464418815 812.03007266522</t>
  </si>
  <si>
    <t>9763-20170724T104611.250280300.bin</t>
  </si>
  <si>
    <t>-761.159318474753 62.4567783852626 -517.361445968616</t>
  </si>
  <si>
    <t>-718.068095472627 109.923931873865 -230.16604462609</t>
  </si>
  <si>
    <t>-482.455587715844 151.697128405429 -258.319886685223</t>
  </si>
  <si>
    <t>-707.446913559623 21.6698926225581 -80.7625065789352</t>
  </si>
  <si>
    <t>-695.381434503677 -4.87119747394968 321.735574680201</t>
  </si>
  <si>
    <t>-753.121335324368 -28.6319332452433 765.269479969996</t>
  </si>
  <si>
    <t>-608.620717300775 -2.13849423420152 824.472127429459</t>
  </si>
  <si>
    <t>-500.166941489446 -209.133162729914 295.072226173726</t>
  </si>
  <si>
    <t>-595.00452549723 -223.451738827268 732.422866196636</t>
  </si>
  <si>
    <t>-487.679740383029 -308.472763082055 812.047692110385</t>
  </si>
  <si>
    <t>9763-20170724T104611.285373100.bin</t>
  </si>
  <si>
    <t>-761.465933059901 62.402734536533 -517.37274936651</t>
  </si>
  <si>
    <t>-719.080379426589 109.733335695975 -230.049778998294</t>
  </si>
  <si>
    <t>-483.426525078332 151.265788541452 -258.212873014935</t>
  </si>
  <si>
    <t>-707.493224611879 21.7067427570364 -80.7836583765085</t>
  </si>
  <si>
    <t>-695.407510118793 -4.85786102634074 321.712273838152</t>
  </si>
  <si>
    <t>-753.104536940084 -28.6982876004747 765.260975082338</t>
  </si>
  <si>
    <t>-608.562585478038 -2.41754316268475 824.457607554711</t>
  </si>
  <si>
    <t>-500.158254750755 -208.971915130223 295.05576811185</t>
  </si>
  <si>
    <t>-594.903034652312 -223.164476305391 732.413612953841</t>
  </si>
  <si>
    <t>-487.817472290492 -308.459812577647 812.067243664013</t>
  </si>
  <si>
    <t>9763-20170724T104611.348055400.bin</t>
  </si>
  <si>
    <t>-762.383922420631 62.2386470722058 -517.371244072969</t>
  </si>
  <si>
    <t>-721.012811385863 109.291469935988 -229.854907290217</t>
  </si>
  <si>
    <t>-485.267943267555 150.353447840261 -257.946650743944</t>
  </si>
  <si>
    <t>-707.675125568156 21.8106529270153 -80.7980439753527</t>
  </si>
  <si>
    <t>-695.529682133291 -4.79352556087406 321.693407285998</t>
  </si>
  <si>
    <t>-753.103194026682 -28.7244664454038 765.2456378724</t>
  </si>
  <si>
    <t>-608.597929417154 -2.20929164339191 824.427245368874</t>
  </si>
  <si>
    <t>-500.316686102907 -208.96969598579 295.014271266288</t>
  </si>
  <si>
    <t>-595.054412542924 -223.394320225241 732.415693517627</t>
  </si>
  <si>
    <t>-487.450835083051 -308.032474607105 812.072201126651</t>
  </si>
  <si>
    <t>9763-20170724T104611.382146100.bin</t>
  </si>
  <si>
    <t>-762.927500746518 62.2432755945026 -517.327804677987</t>
  </si>
  <si>
    <t>-721.94655212114 109.141997633569 -229.730294147054</t>
  </si>
  <si>
    <t>-486.162395113052 150.070963074511 -257.686130592843</t>
  </si>
  <si>
    <t>-707.791525487636 21.9285684676938 -80.7896465637775</t>
  </si>
  <si>
    <t>-695.548150728515 -4.7122560957514 321.696406088638</t>
  </si>
  <si>
    <t>-753.105035147697 -28.7373622457224 765.243825396143</t>
  </si>
  <si>
    <t>-608.632704371879 -2.01747976636557 824.413835448944</t>
  </si>
  <si>
    <t>-500.354711177926 -208.902300352452 295.007112535632</t>
  </si>
  <si>
    <t>-595.050470812764 -223.332330333619 732.411675213776</t>
  </si>
  <si>
    <t>-487.400074298587 -307.896224797878 812.083717898044</t>
  </si>
  <si>
    <t>9763-20170724T104611.451858900.bin</t>
  </si>
  <si>
    <t>-763.761039215292 62.3182851382455 -517.255058534564</t>
  </si>
  <si>
    <t>-723.554367621724 108.8858693481 -229.49460754685</t>
  </si>
  <si>
    <t>-487.659591807021 149.454371233982 -257.039135042414</t>
  </si>
  <si>
    <t>-707.93458369883 22.1501241423684 -80.759144584969</t>
  </si>
  <si>
    <t>-695.524573721042 -4.5836089320735 321.715717199119</t>
  </si>
  <si>
    <t>-753.096855547508 -28.8035515427266 765.24036743329</t>
  </si>
  <si>
    <t>-608.620638279315 -2.0856617649838 824.401982009847</t>
  </si>
  <si>
    <t>-500.314880290432 -208.510733081147 295.03018917712</t>
  </si>
  <si>
    <t>-595.00889108846 -223.146760194407 732.410686293321</t>
  </si>
  <si>
    <t>-487.581338512525 -307.941302072218 812.138462990509</t>
  </si>
  <si>
    <t>9763-20170724T104611.478930000.bin</t>
  </si>
  <si>
    <t>-764.048074183394 62.3573305528778 -517.250747071038</t>
  </si>
  <si>
    <t>-724.225129768518 108.709197434057 -229.401978307575</t>
  </si>
  <si>
    <t>-488.271720132351 149.082717187384 -256.72997764189</t>
  </si>
  <si>
    <t>-707.997437212695 22.2777998396643 -80.7551779265557</t>
  </si>
  <si>
    <t>-695.524641098625 -4.50902731449787 321.714082123305</t>
  </si>
  <si>
    <t>-753.088097400026 -28.8226841913911 765.241238650069</t>
  </si>
  <si>
    <t>-608.597146348857 -2.20299733703314 824.410957435522</t>
  </si>
  <si>
    <t>-500.293561066085 -208.348937737439 295.04498234398</t>
  </si>
  <si>
    <t>-595.037752484312 -223.142036435967 732.426630656201</t>
  </si>
  <si>
    <t>-487.707217029549 -308.044161067027 812.17049219573</t>
  </si>
  <si>
    <t>9763-20170724T104611.548126200.bin</t>
  </si>
  <si>
    <t>-764.867355422307 62.5703180586847 -517.207525500536</t>
  </si>
  <si>
    <t>-725.582136007552 108.438442970632 -229.207565279308</t>
  </si>
  <si>
    <t>-489.511603470863 148.471949432875 -256.019784190794</t>
  </si>
  <si>
    <t>-708.039278866367 22.4488784839182 -80.7580755544602</t>
  </si>
  <si>
    <t>-695.52329929293 -4.38086990493093 321.70705792556</t>
  </si>
  <si>
    <t>-753.057735060249 -28.8755846153319 765.241171314164</t>
  </si>
  <si>
    <t>-608.543323114868 -2.44597328366672 824.438869895923</t>
  </si>
  <si>
    <t>-500.364304121017 -208.11564532842 295.081040341726</t>
  </si>
  <si>
    <t>-595.030241291261 -222.937223273578 732.473692336479</t>
  </si>
  <si>
    <t>-487.764203524794 -307.923963954554 812.21422547277</t>
  </si>
  <si>
    <t>9763-20170724T104611.582216500.bin</t>
  </si>
  <si>
    <t>-765.287890358286 62.6352868684476 -517.194050455741</t>
  </si>
  <si>
    <t>-726.247807571157 108.338006810284 -229.134446906367</t>
  </si>
  <si>
    <t>-490.114345139687 148.169230611333 -255.691744666131</t>
  </si>
  <si>
    <t>-708.058363992826 22.5885926336216 -80.7528776282435</t>
  </si>
  <si>
    <t>-695.511129171845 -4.29106237715496 321.708044615579</t>
  </si>
  <si>
    <t>-753.051040136137 -28.8710176387535 765.243200783215</t>
  </si>
  <si>
    <t>-608.588472616727 -2.18611147419665 824.452793630318</t>
  </si>
  <si>
    <t>-500.382921991424 -207.952779327991 295.099096680567</t>
  </si>
  <si>
    <t>-594.976029552324 -222.71883819662 732.492766276648</t>
  </si>
  <si>
    <t>-487.740485718401 -307.747230362068 812.229898871706</t>
  </si>
  <si>
    <t>9763-20170724T104611.649184900.bin</t>
  </si>
  <si>
    <t>-766.154790340341 62.6291246910523 -517.197941294252</t>
  </si>
  <si>
    <t>-727.581256156567 108.412753963729 -229.088333656823</t>
  </si>
  <si>
    <t>-491.295968459275 147.609983623582 -255.236171344125</t>
  </si>
  <si>
    <t>-708.121920641963 22.6861316407208 -80.723897737368</t>
  </si>
  <si>
    <t>-695.488499600188 -4.2311700502903 321.731694184047</t>
  </si>
  <si>
    <t>-753.02588238457 -28.9388402592263 765.252988269325</t>
  </si>
  <si>
    <t>-608.585239446369 -2.16265874229293 824.474841454268</t>
  </si>
  <si>
    <t>-500.404355222346 -207.781255407019 295.112091699199</t>
  </si>
  <si>
    <t>-594.974906089142 -222.568774066806 732.516630747435</t>
  </si>
  <si>
    <t>-487.864773405222 -307.741698700252 812.268000568698</t>
  </si>
  <si>
    <t>9763-20170724T104611.683276000.bin</t>
  </si>
  <si>
    <t>-766.606344030636 62.5306683506096 -517.183791330387</t>
  </si>
  <si>
    <t>-728.348251542157 108.475697119178 -229.05769354668</t>
  </si>
  <si>
    <t>-491.975353643353 147.25376111343 -255.038669017879</t>
  </si>
  <si>
    <t>-708.114959262579 22.6583818481852 -80.7100236240585</t>
  </si>
  <si>
    <t>-695.474292243782 -4.2568580863358 321.745509135245</t>
  </si>
  <si>
    <t>-753.022356388891 -28.9625581120472 765.257063684262</t>
  </si>
  <si>
    <t>-608.544977009801 -2.38786985900174 824.480282205312</t>
  </si>
  <si>
    <t>-500.389086081923 -207.829996040962 295.125454864553</t>
  </si>
  <si>
    <t>-595.067359952587 -222.718787375391 732.524310011821</t>
  </si>
  <si>
    <t>-487.848002297517 -307.751829554447 812.278276349306</t>
  </si>
  <si>
    <t>9763-20170724T104611.719374400.bin</t>
  </si>
  <si>
    <t>-767.05548695686 62.3900077020032 -517.160875710112</t>
  </si>
  <si>
    <t>-729.150285572554 108.476802055838 -229.010879564526</t>
  </si>
  <si>
    <t>-492.693142299102 146.81745412684 -254.873302276386</t>
  </si>
  <si>
    <t>-708.158809933315 22.6214024558601 -80.6977530410197</t>
  </si>
  <si>
    <t>-695.483915380977 -4.26037223823118 321.75894347315</t>
  </si>
  <si>
    <t>-753.016950206118 -28.997634308892 765.260090689844</t>
  </si>
  <si>
    <t>-608.537350680842 -2.42989049576795 824.480764722267</t>
  </si>
  <si>
    <t>-500.361482325229 -207.883465801326 295.139602106675</t>
  </si>
  <si>
    <t>-595.126911284414 -222.793511234055 732.529520868457</t>
  </si>
  <si>
    <t>-487.659160538781 -307.522025097738 812.27325349546</t>
  </si>
  <si>
    <t>9763-20170724T104611.780548200.bin</t>
  </si>
  <si>
    <t>-767.875384855781 62.2727072068267 -517.115189866218</t>
  </si>
  <si>
    <t>-730.712037037367 108.483949650288 -228.888549860254</t>
  </si>
  <si>
    <t>-494.107752416124 145.945921270717 -254.6933662948</t>
  </si>
  <si>
    <t>-708.225655432006 22.5680326326496 -80.6840955633467</t>
  </si>
  <si>
    <t>-695.493268441303 -4.31033383452314 321.771058635351</t>
  </si>
  <si>
    <t>-752.981349962828 -29.1254402991217 765.264761649384</t>
  </si>
  <si>
    <t>-608.436231736559 -2.91361473437837 824.484175814524</t>
  </si>
  <si>
    <t>-500.30689803154 -207.772559789316 295.141707299326</t>
  </si>
  <si>
    <t>-595.06493873179 -222.486871476086 732.530636855174</t>
  </si>
  <si>
    <t>-487.697719510952 -307.338521588232 812.278815068971</t>
  </si>
  <si>
    <t>9763-20170724T104611.849741600.bin</t>
  </si>
  <si>
    <t>-768.707770904687 62.2158714173443 -517.083250572846</t>
  </si>
  <si>
    <t>-732.189431089616 108.339458357926 -228.760090002237</t>
  </si>
  <si>
    <t>-495.509915759086 145.259280911433 -254.655710490935</t>
  </si>
  <si>
    <t>-708.347510591898 22.5830304842782 -80.6782488740437</t>
  </si>
  <si>
    <t>-695.510815341632 -4.29382056046734 321.773651174689</t>
  </si>
  <si>
    <t>-752.975874696116 -29.1644695259863 765.268486012663</t>
  </si>
  <si>
    <t>-608.507367381966 -2.51934096318269 824.481526534997</t>
  </si>
  <si>
    <t>-500.364995333285 -207.733482001748 295.149503351798</t>
  </si>
  <si>
    <t>-595.180117684416 -222.608454093564 732.539882308511</t>
  </si>
  <si>
    <t>-487.912751291685 -307.579142763629 812.295700342183</t>
  </si>
  <si>
    <t>9763-20170724T104611.881828000.bin</t>
  </si>
  <si>
    <t>-768.945710710842 62.1833373584154 -517.086726797249</t>
  </si>
  <si>
    <t>-732.802776122074 108.326751690994 -228.719532109788</t>
  </si>
  <si>
    <t>-496.084323987987 144.899740991264 -254.751242500029</t>
  </si>
  <si>
    <t>-708.366253510733 22.5282834452159 -80.6788843488507</t>
  </si>
  <si>
    <t>-695.539173803947 -4.31388088446511 321.775681621674</t>
  </si>
  <si>
    <t>-752.963906462491 -29.2130089405534 765.272803657077</t>
  </si>
  <si>
    <t>-608.418119383736 -3.00497473093105 824.492502732307</t>
  </si>
  <si>
    <t>-500.328157282946 -207.671820915278 295.151964645605</t>
  </si>
  <si>
    <t>-595.128436711167 -222.42166319442 732.531767751219</t>
  </si>
  <si>
    <t>-487.948361308982 -307.495823026556 812.294658627166</t>
  </si>
  <si>
    <t>9763-20170724T104611.953777500.bin</t>
  </si>
  <si>
    <t>-769.252343638784 61.8954758967284 -517.173572020914</t>
  </si>
  <si>
    <t>-734.21889152698 108.288919725266 -228.709567928193</t>
  </si>
  <si>
    <t>-497.351073552883 143.906639469284 -254.70692719887</t>
  </si>
  <si>
    <t>-708.535255763966 22.3925432580004 -80.7044258132528</t>
  </si>
  <si>
    <t>-695.662009380525 -4.36085174742061 321.754484971067</t>
  </si>
  <si>
    <t>-752.983137355296 -29.203545256295 765.273061330995</t>
  </si>
  <si>
    <t>-608.508836433085 -2.56189077516069 824.473621014279</t>
  </si>
  <si>
    <t>-500.434654944212 -207.725661779659 295.151441069543</t>
  </si>
  <si>
    <t>-595.19468082217 -222.396497482296 732.548549870938</t>
  </si>
  <si>
    <t>-487.813845905966 -307.238029409224 812.289060076092</t>
  </si>
  <si>
    <t>9763-20170724T104611.981850700.bin</t>
  </si>
  <si>
    <t>-769.435921985038 61.6922769875384 -517.250655963552</t>
  </si>
  <si>
    <t>-735.04587069106 108.182075688416 -228.724613948558</t>
  </si>
  <si>
    <t>-498.095715773561 143.29191710417 -254.663212838215</t>
  </si>
  <si>
    <t>-708.661895779018 22.3099850791843 -80.725476030536</t>
  </si>
  <si>
    <t>-695.751410162035 -4.42003644724696 321.733762185282</t>
  </si>
  <si>
    <t>-752.980236984756 -29.2378046297747 765.270268350812</t>
  </si>
  <si>
    <t>-608.530154424276 -2.4530098086766 824.465159746561</t>
  </si>
  <si>
    <t>-500.603861269791 -207.87210318336 295.154391823963</t>
  </si>
  <si>
    <t>-595.288502863802 -222.522030057561 732.564705447248</t>
  </si>
  <si>
    <t>-487.596514370408 -306.993754642409 812.278347217295</t>
  </si>
  <si>
    <t>9763-20170724T104612.051019800.bin</t>
  </si>
  <si>
    <t>-769.841965800763 61.4350470227391 -517.334408763283</t>
  </si>
  <si>
    <t>-736.604277528596 107.952532794635 -228.677873447344</t>
  </si>
  <si>
    <t>-499.52895811536 142.177155040556 -254.655805617733</t>
  </si>
  <si>
    <t>-708.783737513448 22.1283103444039 -80.7798289750058</t>
  </si>
  <si>
    <t>-695.993051986959 -4.47129309104776 321.691957679089</t>
  </si>
  <si>
    <t>-752.984499074609 -29.2876477480481 765.261661022225</t>
  </si>
  <si>
    <t>-608.526926129432 -2.50501045348483 824.43938881046</t>
  </si>
  <si>
    <t>-500.798202013846 -207.720563025172 295.172144880769</t>
  </si>
  <si>
    <t>-595.295125037958 -222.276358645101 732.623412931351</t>
  </si>
  <si>
    <t>-488.040886707321 -307.326210100619 812.312524966829</t>
  </si>
  <si>
    <t>9763-20170724T104612.085111500.bin</t>
  </si>
  <si>
    <t>-770.095033078845 61.2734621681032 -517.347523727885</t>
  </si>
  <si>
    <t>-737.314585027762 107.759995555424 -228.63369154413</t>
  </si>
  <si>
    <t>-500.195206459107 141.625850340256 -254.679179814374</t>
  </si>
  <si>
    <t>-708.950391006954 22.0721784865709 -80.7946890853877</t>
  </si>
  <si>
    <t>-696.086721411791 -4.49899689964263 321.676663499619</t>
  </si>
  <si>
    <t>-752.975702621808 -29.3276632704233 765.257741089789</t>
  </si>
  <si>
    <t>-608.50887098152 -2.58603231302686 824.431343164644</t>
  </si>
  <si>
    <t>-500.92755216444 -207.80775646463 295.17610529455</t>
  </si>
  <si>
    <t>-595.367499591225 -222.323715899264 732.648701128951</t>
  </si>
  <si>
    <t>-487.892196411259 -307.127861816579 812.301689244139</t>
  </si>
  <si>
    <t>9763-20170724T104612.149339000.bin</t>
  </si>
  <si>
    <t>-770.499424173708 60.8912288294935 -517.33029338006</t>
  </si>
  <si>
    <t>-738.543464846178 107.294783106538 -228.510728762375</t>
  </si>
  <si>
    <t>-501.337192389442 140.48737332622 -254.631398786773</t>
  </si>
  <si>
    <t>-709.22682171049 21.8356177864844 -80.805218438692</t>
  </si>
  <si>
    <t>-696.190198299407 -4.63567990272486 321.667121515955</t>
  </si>
  <si>
    <t>-752.960066859607 -29.4131119122364 765.256440015482</t>
  </si>
  <si>
    <t>-608.442057268484 -2.94012642331336 824.425862264755</t>
  </si>
  <si>
    <t>-501.030562174556 -207.921189313193 295.188216380369</t>
  </si>
  <si>
    <t>-595.414681890086 -222.276833287554 732.656849246191</t>
  </si>
  <si>
    <t>-487.8361721118 -306.963385863913 812.295758394965</t>
  </si>
  <si>
    <t>9763-20170724T104612.182427200.bin</t>
  </si>
  <si>
    <t>-770.531953634688 60.7829855395273 -517.307209639316</t>
  </si>
  <si>
    <t>-738.956699297591 107.085057027675 -228.429467964318</t>
  </si>
  <si>
    <t>-501.721945390063 140.017538731375 -254.620413515658</t>
  </si>
  <si>
    <t>-709.281797692684 21.7242301078793 -80.8219599253042</t>
  </si>
  <si>
    <t>-696.226283869625 -4.67244642621131 321.654679338741</t>
  </si>
  <si>
    <t>-752.956886542897 -29.436699033274 765.255728707359</t>
  </si>
  <si>
    <t>-608.467818065569 -2.79301124437984 824.419270752983</t>
  </si>
  <si>
    <t>-501.001506072349 -207.827939735509 295.188040279669</t>
  </si>
  <si>
    <t>-595.407668208449 -222.165180226834 732.660682436414</t>
  </si>
  <si>
    <t>-488.280560285096 -307.400132243063 812.322933448215</t>
  </si>
  <si>
    <t>9763-20170724T104612.251616700.bin</t>
  </si>
  <si>
    <t>-770.724178873832 60.252056844653 -517.256497657236</t>
  </si>
  <si>
    <t>-739.76092809489 106.355124920822 -228.280670426527</t>
  </si>
  <si>
    <t>-502.501921928126 138.902993690494 -254.732361435664</t>
  </si>
  <si>
    <t>-709.527491395354 21.4321897678099 -80.8450379468591</t>
  </si>
  <si>
    <t>-696.333747729366 -4.86760402628283 321.633447507992</t>
  </si>
  <si>
    <t>-752.94504518222 -29.5169980335315 765.254846866145</t>
  </si>
  <si>
    <t>-608.438812990262 -2.9564819255263 824.414052240802</t>
  </si>
  <si>
    <t>-501.129568323825 -207.959774762325 295.224507139164</t>
  </si>
  <si>
    <t>-595.551002594235 -222.31283914212 732.70252121417</t>
  </si>
  <si>
    <t>-487.935849906512 -306.97671405577 812.315988666231</t>
  </si>
  <si>
    <t>9763-20170724T104612.285708100.bin</t>
  </si>
  <si>
    <t>-770.839059209704 60.0214602735821 -517.235369053278</t>
  </si>
  <si>
    <t>-740.218469700588 106.075115829188 -228.215205923976</t>
  </si>
  <si>
    <t>-502.947908691497 138.427509358935 -254.802303951753</t>
  </si>
  <si>
    <t>-709.678758456242 21.3046011076635 -80.8586301885121</t>
  </si>
  <si>
    <t>-696.383455392886 -4.90934246529764 321.622030329982</t>
  </si>
  <si>
    <t>-752.93835503256 -29.5370332965963 765.254712748275</t>
  </si>
  <si>
    <t>-608.408320703523 -3.11633014260929 824.418032551759</t>
  </si>
  <si>
    <t>-501.157580541959 -207.904280324602 295.227491195686</t>
  </si>
  <si>
    <t>-595.5256417849 -222.152118021216 732.716443386257</t>
  </si>
  <si>
    <t>-488.14409635524 -307.107620642005 812.334723533049</t>
  </si>
  <si>
    <t>9763-20170724T104612.349887300.bin</t>
  </si>
  <si>
    <t>-771.15458205418 59.4558931544179 -517.220922559654</t>
  </si>
  <si>
    <t>-741.206728051049 105.40836033164 -228.114180297281</t>
  </si>
  <si>
    <t>-503.917792879279 137.415518305414 -254.954593538644</t>
  </si>
  <si>
    <t>-710.059376394107 21.0461486718104 -80.8845335413672</t>
  </si>
  <si>
    <t>-696.622467852746 -5.08675985741343 321.596775918209</t>
  </si>
  <si>
    <t>-752.951654719011 -29.5665212361041 765.252384629661</t>
  </si>
  <si>
    <t>-608.483294226388 -2.76040400956458 824.39308256286</t>
  </si>
  <si>
    <t>-501.38594112277 -208.151836187767 295.235527188792</t>
  </si>
  <si>
    <t>-595.655884920658 -222.230536651949 732.760418391999</t>
  </si>
  <si>
    <t>-487.759099565611 -306.58974264644 812.316024024053</t>
  </si>
  <si>
    <t>9763-20170724T104612.383978300.bin</t>
  </si>
  <si>
    <t>-771.329525225226 59.1886079748263 -517.222091061305</t>
  </si>
  <si>
    <t>-741.684629750688 105.04383600465 -228.068789035863</t>
  </si>
  <si>
    <t>-504.378250889137 136.871499514489 -254.967864519196</t>
  </si>
  <si>
    <t>-710.27749676804 20.8849557090357 -80.9047439000248</t>
  </si>
  <si>
    <t>-696.752145372469 -5.16771760623851 321.578847297816</t>
  </si>
  <si>
    <t>-752.93592995102 -29.6133727219662 765.251314197163</t>
  </si>
  <si>
    <t>-608.411950094475 -3.12744816612349 824.40054652003</t>
  </si>
  <si>
    <t>-501.529726293753 -208.236380732183 295.232107738429</t>
  </si>
  <si>
    <t>-595.76597447566 -222.394576332597 732.78008315547</t>
  </si>
  <si>
    <t>-487.686719076626 -306.541149553669 812.313247873321</t>
  </si>
  <si>
    <t>9763-20170724T104612.451161400.bin</t>
  </si>
  <si>
    <t>-771.627849865617 58.8553711422614 -517.198155841136</t>
  </si>
  <si>
    <t>-742.705032725506 104.599324521589 -227.95398285167</t>
  </si>
  <si>
    <t>-505.33765671591 135.987852947674 -254.83029645556</t>
  </si>
  <si>
    <t>-710.72068944318 20.7582818104097 -80.9528150818451</t>
  </si>
  <si>
    <t>-697.03940879368 -5.17706641699829 321.533032067154</t>
  </si>
  <si>
    <t>-752.937139244815 -29.6448045534542 765.253513583948</t>
  </si>
  <si>
    <t>-608.434942253519 -3.03192108220082 824.398920533009</t>
  </si>
  <si>
    <t>-501.69175769677 -208.027569126496 295.210251722575</t>
  </si>
  <si>
    <t>-595.743633885896 -222.155117989406 732.800046487927</t>
  </si>
  <si>
    <t>-488.049356908069 -306.788761293537 812.338550415458</t>
  </si>
  <si>
    <t>9763-20170724T104612.483246800.bin</t>
  </si>
  <si>
    <t>-771.866752324667 58.6903248413494 -517.163419700311</t>
  </si>
  <si>
    <t>-743.312716976913 104.325742679009 -227.865590446937</t>
  </si>
  <si>
    <t>-505.928360587518 135.55010793292 -254.783696830856</t>
  </si>
  <si>
    <t>-711.003552605987 20.6678866020841 -80.9739576702827</t>
  </si>
  <si>
    <t>-697.196612026762 -5.20385941624181 321.511688453377</t>
  </si>
  <si>
    <t>-752.949221256439 -29.6181354806265 765.251184719793</t>
  </si>
  <si>
    <t>-608.471376799792 -2.87036668511109 824.395247479679</t>
  </si>
  <si>
    <t>-501.847317997865 -208.070609957987 295.199693835216</t>
  </si>
  <si>
    <t>-595.849123004175 -222.294191676302 732.820315563761</t>
  </si>
  <si>
    <t>-488.013973941341 -306.769131189615 812.336762287646</t>
  </si>
  <si>
    <t>9763-20170724T104612.551178100.bin</t>
  </si>
  <si>
    <t>-772.31924084268 58.5332054193111 -517.068753766113</t>
  </si>
  <si>
    <t>-744.349103912562 103.889662605636 -227.669914189096</t>
  </si>
  <si>
    <t>-506.964403307585 134.898416497569 -254.833484789701</t>
  </si>
  <si>
    <t>-711.530679767545 20.558033860668 -80.9980638212151</t>
  </si>
  <si>
    <t>-697.54855100711 -5.19994692711953 321.488824568851</t>
  </si>
  <si>
    <t>-752.938768729777 -29.6602783930543 765.261072961601</t>
  </si>
  <si>
    <t>-608.456437405102 -2.96352694431516 824.417096599292</t>
  </si>
  <si>
    <t>-502.048751727418 -207.869971575742 295.161086986927</t>
  </si>
  <si>
    <t>-595.769651815453 -221.904646887231 732.821423104877</t>
  </si>
  <si>
    <t>-488.269076231375 -306.810856276296 812.331452696049</t>
  </si>
  <si>
    <t>9763-20170724T104612.585265600.bin</t>
  </si>
  <si>
    <t>-772.672412614455 58.3792162912778 -516.984843311043</t>
  </si>
  <si>
    <t>-744.942272166439 103.597034585163 -227.541244267618</t>
  </si>
  <si>
    <t>-507.559756853035 134.456634946837 -254.892921761394</t>
  </si>
  <si>
    <t>-711.844231109335 20.4831942234555 -81.0109996931373</t>
  </si>
  <si>
    <t>-697.79734744757 -5.22871195228868 321.476594285975</t>
  </si>
  <si>
    <t>-752.919470323108 -29.7048909058697 765.26671859819</t>
  </si>
  <si>
    <t>-608.355129044442 -3.50539197647277 824.444733931234</t>
  </si>
  <si>
    <t>-502.192974624582 -207.935685794735 295.148487189134</t>
  </si>
  <si>
    <t>-595.891738862047 -222.078938911755 732.83729776049</t>
  </si>
  <si>
    <t>-488.124701087027 -306.676986568876 812.315209494669</t>
  </si>
  <si>
    <t>9763-20170724T104612.651172300.bin</t>
  </si>
  <si>
    <t>-773.395225989695 58.2989790950833 -516.815897508112</t>
  </si>
  <si>
    <t>-746.102779853152 103.201388386566 -227.281616148271</t>
  </si>
  <si>
    <t>-508.722699158603 133.860963208657 -254.877819432103</t>
  </si>
  <si>
    <t>-712.451159511685 20.4116712755842 -81.0221346202469</t>
  </si>
  <si>
    <t>-698.15675794661 -5.19596083325087 321.463428496425</t>
  </si>
  <si>
    <t>-752.923897466513 -29.6696999950768 765.28848790268</t>
  </si>
  <si>
    <t>-608.456050757656 -2.98997923574029 824.487593561636</t>
  </si>
  <si>
    <t>-502.280627601199 -207.631371826733 295.064886544289</t>
  </si>
  <si>
    <t>-595.763258672543 -221.628931218314 732.792369367485</t>
  </si>
  <si>
    <t>-488.490315051538 -306.820279165122 812.304996457277</t>
  </si>
  <si>
    <t>9763-20170724T104612.683257300.bin</t>
  </si>
  <si>
    <t>-773.625948103374 58.3970212156801 -516.754758683787</t>
  </si>
  <si>
    <t>-746.608328833751 103.128284696732 -227.168331260925</t>
  </si>
  <si>
    <t>-509.211619723521 133.655055929462 -254.768715699007</t>
  </si>
  <si>
    <t>-712.728684720341 20.4243417775867 -81.030035150258</t>
  </si>
  <si>
    <t>-698.427592029084 -5.19259642580505 321.454666076069</t>
  </si>
  <si>
    <t>-752.914989371858 -29.6962268435627 765.301439415345</t>
  </si>
  <si>
    <t>-608.401465493204 -3.29335635333837 824.513319031219</t>
  </si>
  <si>
    <t>-502.343264365723 -207.519626685458 295.032763453031</t>
  </si>
  <si>
    <t>-595.721654200688 -221.458566320411 732.767032000069</t>
  </si>
  <si>
    <t>-488.506067958376 -306.718737617555 812.283156338868</t>
  </si>
  <si>
    <t>9763-20170724T104612.747450200.bin</t>
  </si>
  <si>
    <t>-773.829250809649 58.305995663967 -516.693139112506</t>
  </si>
  <si>
    <t>-747.503157217953 102.701314969631 -226.991141559843</t>
  </si>
  <si>
    <t>-510.076264352572 132.913936853907 -254.677524932703</t>
  </si>
  <si>
    <t>-713.160323304272 20.2527637992753 -81.0825454616568</t>
  </si>
  <si>
    <t>-698.730964588527 -5.23909921369045 321.405555684023</t>
  </si>
  <si>
    <t>-752.913578560004 -29.7133757860011 765.307772729436</t>
  </si>
  <si>
    <t>-608.389592636783 -3.38700557687162 824.527996461137</t>
  </si>
  <si>
    <t>-502.537379992895 -207.537056637777 294.97014530561</t>
  </si>
  <si>
    <t>-595.89659301657 -221.710461981348 732.734239822722</t>
  </si>
  <si>
    <t>-488.414926592603 -306.6449486934 812.239778672034</t>
  </si>
  <si>
    <t>9763-20170724T104612.786267300.bin</t>
  </si>
  <si>
    <t>-774.029334873357 58.2345808766031 -516.655569533135</t>
  </si>
  <si>
    <t>-748.040076878616 102.452103928204 -226.896164478855</t>
  </si>
  <si>
    <t>-510.594381386006 132.41478113611 -254.693053080773</t>
  </si>
  <si>
    <t>-713.440022757682 20.1617868790436 -81.1001800528845</t>
  </si>
  <si>
    <t>-698.856722303629 -5.32624114353052 321.382570547349</t>
  </si>
  <si>
    <t>-752.892525011089 -29.7796370064477 765.311021908825</t>
  </si>
  <si>
    <t>-608.367377459706 -3.47304749789123 824.537155547779</t>
  </si>
  <si>
    <t>-502.636543328197 -207.46349167584 294.94194114197</t>
  </si>
  <si>
    <t>-595.900501402539 -221.680114430244 732.711772749587</t>
  </si>
  <si>
    <t>-488.231328933603 -306.373758626611 812.220454455018</t>
  </si>
  <si>
    <t>9763-20170724T104612.846433700.bin</t>
  </si>
  <si>
    <t>-774.596629886827 58.2175419518169 -516.548948801654</t>
  </si>
  <si>
    <t>-749.380530326008 102.314625298534 -226.702773236766</t>
  </si>
  <si>
    <t>-511.908099177488 131.613325850791 -254.975066447506</t>
  </si>
  <si>
    <t>-713.937795886684 20.0536304003433 -81.1224820587776</t>
  </si>
  <si>
    <t>-699.047967635103 -5.32860024271599 321.35571090552</t>
  </si>
  <si>
    <t>-752.875790612932 -29.8081742911277 765.312928361336</t>
  </si>
  <si>
    <t>-608.418751987702 -3.18683722191304 824.564679591031</t>
  </si>
  <si>
    <t>-502.730054386453 -207.180785462061 294.868969359867</t>
  </si>
  <si>
    <t>-595.795717023761 -221.324970890249 732.667498749205</t>
  </si>
  <si>
    <t>-488.292024337846 -306.199286004349 812.207380827424</t>
  </si>
  <si>
    <t>9763-20170724T104612.884085500.bin</t>
  </si>
  <si>
    <t>-774.971565782189 58.2946130852638 -516.466986197278</t>
  </si>
  <si>
    <t>-750.141076494433 102.269260396865 -226.569037164572</t>
  </si>
  <si>
    <t>-512.662403354521 131.260197357857 -255.104544383354</t>
  </si>
  <si>
    <t>-714.19498800741 20.0637103032234 -81.1309076538945</t>
  </si>
  <si>
    <t>-699.163248030468 -5.27567501008321 321.344762776825</t>
  </si>
  <si>
    <t>-752.8748857803 -29.8073725706095 765.313915712324</t>
  </si>
  <si>
    <t>-608.463569064777 -2.94446716463062 824.568020508571</t>
  </si>
  <si>
    <t>-502.754766435439 -207.006313735503 294.824154207331</t>
  </si>
  <si>
    <t>-595.770075436629 -221.238715397062 732.634241972129</t>
  </si>
  <si>
    <t>-488.509330525101 -306.384481662766 812.21197330157</t>
  </si>
  <si>
    <t>9763-20170724T104612.949957200.bin</t>
  </si>
  <si>
    <t>-775.820470927372 58.3059479373624 -516.217429607031</t>
  </si>
  <si>
    <t>-751.871959117242 101.990402072207 -226.201304817094</t>
  </si>
  <si>
    <t>-514.379336961807 130.412957091567 -255.18893420699</t>
  </si>
  <si>
    <t>-714.617945796691 20.0180048580414 -81.14458052971</t>
  </si>
  <si>
    <t>-699.33133272962 -5.23965483348502 321.32660341134</t>
  </si>
  <si>
    <t>-752.853137195592 -29.8874566086747 765.316798418228</t>
  </si>
  <si>
    <t>-608.367830924626 -3.48109286164367 824.59589830043</t>
  </si>
  <si>
    <t>-502.818569655697 -206.858972251327 294.778801502001</t>
  </si>
  <si>
    <t>-595.774354132247 -221.180228937162 732.593964998122</t>
  </si>
  <si>
    <t>-488.479647653441 -306.248258022696 812.209202761955</t>
  </si>
  <si>
    <t>9763-20170724T104612.983045400.bin</t>
  </si>
  <si>
    <t>-776.162990551791 58.3991595818704 -516.061852320282</t>
  </si>
  <si>
    <t>-752.696771917372 101.862137510536 -225.973007469317</t>
  </si>
  <si>
    <t>-515.19276243356 130.032490995564 -255.113102565454</t>
  </si>
  <si>
    <t>-714.817477070978 20.00758102233 -81.1485335194676</t>
  </si>
  <si>
    <t>-699.385674166616 -5.21048296655272 321.319603948579</t>
  </si>
  <si>
    <t>-752.831397111773 -29.9314802536812 765.318518563462</t>
  </si>
  <si>
    <t>-608.333324837732 -3.63223668181467 824.613933697071</t>
  </si>
  <si>
    <t>-502.855528059383 -206.699502568541 294.764653793823</t>
  </si>
  <si>
    <t>-595.773314658611 -221.144777619685 732.586335631368</t>
  </si>
  <si>
    <t>-488.606276529361 -306.353765037229 812.222732203616</t>
  </si>
  <si>
    <t>9763-20170724T104613.047741200.bin</t>
  </si>
  <si>
    <t>-776.747554527009 58.4937319599255 -515.837126586295</t>
  </si>
  <si>
    <t>-754.279648030286 101.361545633891 -225.580719780252</t>
  </si>
  <si>
    <t>-516.820604444614 128.966119623491 -255.614826096249</t>
  </si>
  <si>
    <t>-715.272390219213 20.0095415211174 -81.1699508397178</t>
  </si>
  <si>
    <t>-699.566796053103 -5.12595300893736 321.292713038014</t>
  </si>
  <si>
    <t>-752.816662882299 -29.9537843086475 765.319120928343</t>
  </si>
  <si>
    <t>-608.37148650447 -3.39969023849949 824.629847442735</t>
  </si>
  <si>
    <t>-502.915440980678 -206.25197429911 294.743787302903</t>
  </si>
  <si>
    <t>-595.619114843335 -220.718974027827 732.569391981026</t>
  </si>
  <si>
    <t>-488.546670547051 -306.006329530241 812.249062647103</t>
  </si>
  <si>
    <t>9763-20170724T104613.084088600.bin</t>
  </si>
  <si>
    <t>-777.039225304593 58.4527762595053 -515.734177016738</t>
  </si>
  <si>
    <t>-755.182037560751 101.001153482371 -225.384120382513</t>
  </si>
  <si>
    <t>-517.813381706569 128.21738160284 -256.468686211271</t>
  </si>
  <si>
    <t>-715.522877738419 20.0033621498178 -81.1837730281994</t>
  </si>
  <si>
    <t>-699.75031506621 -5.07057546127044 321.280118581729</t>
  </si>
  <si>
    <t>-752.809091447002 -29.9566788306686 765.318904116324</t>
  </si>
  <si>
    <t>-608.368065362738 -3.41101762925496 824.643362263187</t>
  </si>
  <si>
    <t>-502.950424620593 -206.14602112697 294.737474830306</t>
  </si>
  <si>
    <t>-595.639350045288 -220.690095887772 732.580917280572</t>
  </si>
  <si>
    <t>-488.447922952186 -305.827676822215 812.260681476831</t>
  </si>
  <si>
    <t>9763-20170724T104613.147756500.bin</t>
  </si>
  <si>
    <t>-777.421653343027 58.4405163560316 -515.547872763974</t>
  </si>
  <si>
    <t>-756.753564299148 100.50840139659 -225.040926575433</t>
  </si>
  <si>
    <t>-519.500795156864 126.658732744967 -257.876090352894</t>
  </si>
  <si>
    <t>-715.856168705076 19.9207334082307 -81.2103074667917</t>
  </si>
  <si>
    <t>-700.07467902585 -5.02249622583554 321.261383098378</t>
  </si>
  <si>
    <t>-752.789765268807 -29.9764814325551 765.332579798498</t>
  </si>
  <si>
    <t>-608.381864679607 -3.30900341489723 824.683252645523</t>
  </si>
  <si>
    <t>-502.913501540982 -205.964940796893 294.724433206305</t>
  </si>
  <si>
    <t>-595.598640209194 -220.413339109049 732.577511235691</t>
  </si>
  <si>
    <t>-488.660495335814 -305.854927815167 812.272459065433</t>
  </si>
  <si>
    <t>9763-20170724T104613.186009800.bin</t>
  </si>
  <si>
    <t>-777.566141883543 58.3494433790113 -515.468758162284</t>
  </si>
  <si>
    <t>-757.637958469377 100.251661597154 -224.885973427949</t>
  </si>
  <si>
    <t>-520.436381130912 125.843677345043 -258.521766681402</t>
  </si>
  <si>
    <t>-715.976472155028 19.7516391658301 -81.2147437334143</t>
  </si>
  <si>
    <t>-700.190050621201 -5.11572821342429 321.261398136878</t>
  </si>
  <si>
    <t>-752.756713277055 -30.0622830860686 765.342331803778</t>
  </si>
  <si>
    <t>-608.31518213285 -3.60802486725288 824.706595357394</t>
  </si>
  <si>
    <t>-502.955512422386 -206.134692090792 294.705731123772</t>
  </si>
  <si>
    <t>-595.71084670434 -220.595399220965 732.563677708677</t>
  </si>
  <si>
    <t>-488.471163382896 -305.66617877616 812.2499567087</t>
  </si>
  <si>
    <t>9763-20170724T104613.248180400.bin</t>
  </si>
  <si>
    <t>-777.701590717021 58.3126785794004 -515.321153227609</t>
  </si>
  <si>
    <t>-759.553955859862 99.8904309867733 -224.575373104565</t>
  </si>
  <si>
    <t>-522.369099703381 124.429179622028 -259.101472558012</t>
  </si>
  <si>
    <t>-716.17431262143 19.4730784263475 -81.2199074035864</t>
  </si>
  <si>
    <t>-700.326707875414 -5.23060480370123 321.263968243767</t>
  </si>
  <si>
    <t>-752.749886452975 -30.0863062217434 765.353737110265</t>
  </si>
  <si>
    <t>-608.332892254871 -3.54702559726684 824.739529156494</t>
  </si>
  <si>
    <t>-503.009471991294 -206.327333458183 294.649273927835</t>
  </si>
  <si>
    <t>-595.809874282727 -220.65316897119 732.521592518257</t>
  </si>
  <si>
    <t>-488.374039675208 -305.475009152378 812.20914772434</t>
  </si>
  <si>
    <t>9763-20170724T104613.285281800.bin</t>
  </si>
  <si>
    <t>-777.773723908566 58.3877293900507 -515.216366523555</t>
  </si>
  <si>
    <t>-760.520704328799 99.7113563652472 -224.37972939544</t>
  </si>
  <si>
    <t>-523.317613619043 123.835715889794 -259.072657268968</t>
  </si>
  <si>
    <t>-716.227244079869 19.3290723987759 -81.2208957624882</t>
  </si>
  <si>
    <t>-700.388038829917 -5.30020033579058 321.267810279925</t>
  </si>
  <si>
    <t>-752.743057589191 -30.0922537343449 765.360287285259</t>
  </si>
  <si>
    <t>-608.368136939864 -3.36536150262168 824.764312993399</t>
  </si>
  <si>
    <t>-503.101178385163 -206.422394126143 294.628041343519</t>
  </si>
  <si>
    <t>-595.825103749971 -220.576117887714 732.514623353287</t>
  </si>
  <si>
    <t>-488.349060254641 -305.357840758282 812.190577167862</t>
  </si>
  <si>
    <t>9763-20170724T104613.352248700.bin</t>
  </si>
  <si>
    <t>-778.041119084677 58.5928388402313 -515.003833552638</t>
  </si>
  <si>
    <t>-762.501247989766 99.2965669137946 -223.983338255837</t>
  </si>
  <si>
    <t>-525.211785272699 122.860112009694 -258.470470152657</t>
  </si>
  <si>
    <t>-716.331760408621 19.1091087273855 -81.225863646824</t>
  </si>
  <si>
    <t>-700.51080916916 -5.41925819410812 321.269813945816</t>
  </si>
  <si>
    <t>-752.714197142411 -30.1576267962332 765.380416079524</t>
  </si>
  <si>
    <t>-608.364960045882 -3.36446681752773 824.816991040482</t>
  </si>
  <si>
    <t>-503.18786007342 -206.519216227604 294.601178031858</t>
  </si>
  <si>
    <t>-595.874440137535 -220.46322173562 732.492026270198</t>
  </si>
  <si>
    <t>-488.356142048383 -305.214537439 812.1432494199</t>
  </si>
  <si>
    <t>9763-20170724T104613.383329800.bin</t>
  </si>
  <si>
    <t>-778.224804450013 58.6603729205335 -514.877493533338</t>
  </si>
  <si>
    <t>-763.369104924216 99.0117380533466 -223.772196092445</t>
  </si>
  <si>
    <t>-526.030132031852 122.450987311483 -258.001931952668</t>
  </si>
  <si>
    <t>-716.406763398288 18.9922492296696 -81.232180539981</t>
  </si>
  <si>
    <t>-700.604714983323 -5.46211409911098 321.268643302872</t>
  </si>
  <si>
    <t>-752.713388144945 -30.1834997420638 765.386632123847</t>
  </si>
  <si>
    <t>-608.409183326846 -3.13924168856124 824.818908491953</t>
  </si>
  <si>
    <t>-503.199070577071 -206.516718003845 294.582876140756</t>
  </si>
  <si>
    <t>-595.941554510057 -220.528750555098 732.471091977401</t>
  </si>
  <si>
    <t>-488.507757894147 -305.381977568293 812.127916060864</t>
  </si>
  <si>
    <t>9763-20170724T104613.447503400.bin</t>
  </si>
  <si>
    <t>-778.548922886337 58.7918692372548 -514.627948176777</t>
  </si>
  <si>
    <t>-764.856888215716 98.486891424456 -223.375430381925</t>
  </si>
  <si>
    <t>-527.424506237989 121.495524891057 -257.247624522625</t>
  </si>
  <si>
    <t>-716.642864935096 18.7609785163768 -81.2452867744687</t>
  </si>
  <si>
    <t>-700.717923907129 -5.53899076202947 321.260119546203</t>
  </si>
  <si>
    <t>-752.69329027238 -30.2781528757996 765.39417396878</t>
  </si>
  <si>
    <t>-608.310788487437 -3.67993427406623 824.837556601893</t>
  </si>
  <si>
    <t>-503.106241930706 -206.301924315658 294.545859589081</t>
  </si>
  <si>
    <t>-595.896743853343 -220.27291838222 732.410651219754</t>
  </si>
  <si>
    <t>-488.574004830091 -305.253864415669 812.081029616844</t>
  </si>
  <si>
    <t>9763-20170724T104613.483600100.bin</t>
  </si>
  <si>
    <t>-778.855293796964 58.699406434826 -514.520050835951</t>
  </si>
  <si>
    <t>-765.536242575078 98.1846501646421 -223.221765977546</t>
  </si>
  <si>
    <t>-528.064422782433 120.983403743803 -256.959847245415</t>
  </si>
  <si>
    <t>-716.830138263102 18.630681582262 -81.2475358978946</t>
  </si>
  <si>
    <t>-700.823015436713 -5.60350846250776 321.258585669957</t>
  </si>
  <si>
    <t>-752.704002827754 -30.2694279650634 765.395656381479</t>
  </si>
  <si>
    <t>-608.385776573469 -3.32420429665171 824.838878950551</t>
  </si>
  <si>
    <t>-503.105124556808 -206.348075600894 294.522877511686</t>
  </si>
  <si>
    <t>-596.020398190563 -220.463451102792 732.393789654324</t>
  </si>
  <si>
    <t>-488.604677738486 -305.332583139518 812.057971788118</t>
  </si>
  <si>
    <t>9763-20170724T104613.552796600.bin</t>
  </si>
  <si>
    <t>-779.686834143109 58.5019399790765 -514.368024981792</t>
  </si>
  <si>
    <t>-766.768259871626 97.7465309422703 -223.019081948554</t>
  </si>
  <si>
    <t>-529.215404194444 120.064337631655 -256.506823866013</t>
  </si>
  <si>
    <t>-717.270012260879 18.3770257330191 -81.2674538141148</t>
  </si>
  <si>
    <t>-701.086289848781 -5.66995209764559 321.242832764398</t>
  </si>
  <si>
    <t>-752.70028193697 -30.3069895233029 765.407905444841</t>
  </si>
  <si>
    <t>-608.417885272128 -3.19816312056605 824.863847728625</t>
  </si>
  <si>
    <t>-503.118091429474 -206.374348053936 294.485851453341</t>
  </si>
  <si>
    <t>-596.032526186085 -220.33780029417 732.337645948026</t>
  </si>
  <si>
    <t>-488.348595637211 -304.869502204119 811.998540664624</t>
  </si>
  <si>
    <t>9763-20170724T104613.585892900.bin</t>
  </si>
  <si>
    <t>-780.044117504558 58.4700764929867 -514.33606903994</t>
  </si>
  <si>
    <t>-767.50945342534 97.712844380723 -222.970245654955</t>
  </si>
  <si>
    <t>-529.901788538717 119.713670172599 -256.278056387282</t>
  </si>
  <si>
    <t>-717.498627639435 18.2863929576065 -81.2918301478499</t>
  </si>
  <si>
    <t>-701.253893004163 -5.68901151520686 321.220197581987</t>
  </si>
  <si>
    <t>-752.689597966862 -30.3452432053989 765.409901605861</t>
  </si>
  <si>
    <t>-608.385819835296 -3.37503045133303 824.877025678083</t>
  </si>
  <si>
    <t>-503.142608888549 -206.240869763397 294.476974053058</t>
  </si>
  <si>
    <t>-596.034498121524 -220.237109311837 732.326230630111</t>
  </si>
  <si>
    <t>-488.665916712187 -305.154647852201 812.002355579353</t>
  </si>
  <si>
    <t>9763-20170724T104613.649065400.bin</t>
  </si>
  <si>
    <t>-780.811276246829 58.4576085231447 -514.41989873302</t>
  </si>
  <si>
    <t>-769.490285849857 97.6250920882899 -222.994189535525</t>
  </si>
  <si>
    <t>-531.764171658972 118.93100592797 -255.906625637099</t>
  </si>
  <si>
    <t>-717.931232634188 18.1068708094683 -81.3501607231074</t>
  </si>
  <si>
    <t>-701.52648866365 -5.74044362338918 321.162984506537</t>
  </si>
  <si>
    <t>-752.658945768377 -30.4211989771788 765.413571319955</t>
  </si>
  <si>
    <t>-608.346743026394 -3.55200320611743 824.905831393547</t>
  </si>
  <si>
    <t>-503.460655523606 -206.252185167391 294.419942176041</t>
  </si>
  <si>
    <t>-596.090773133198 -220.139361323076 732.312928298461</t>
  </si>
  <si>
    <t>-488.590158366494 -304.917890095995 811.959179530309</t>
  </si>
  <si>
    <t>9763-20170724T104613.686167100.bin</t>
  </si>
  <si>
    <t>-781.334295671765 58.3873099136317 -514.446458014861</t>
  </si>
  <si>
    <t>-770.63478032662 97.5564635753622 -222.997363172663</t>
  </si>
  <si>
    <t>-532.883462126156 118.531897657465 -255.939633115708</t>
  </si>
  <si>
    <t>-718.093485829194 18.0262030933593 -81.3758773735786</t>
  </si>
  <si>
    <t>-701.651049266343 -5.76179821388837 321.139267884328</t>
  </si>
  <si>
    <t>-752.653090695197 -30.4576037559045 765.412651822466</t>
  </si>
  <si>
    <t>-608.354442072545 -3.51742288221362 824.905678142095</t>
  </si>
  <si>
    <t>-503.683185914027 -206.292216061271 294.401693145978</t>
  </si>
  <si>
    <t>-596.192461845692 -220.22936874343 732.332393669082</t>
  </si>
  <si>
    <t>-488.630561842532 -304.956687414759 811.950209971789</t>
  </si>
  <si>
    <t>9763-20170724T104613.748836700.bin</t>
  </si>
  <si>
    <t>-782.412954414449 58.1386798024907 -514.502275038702</t>
  </si>
  <si>
    <t>-773.236761736378 97.4937190476696 -223.02648201149</t>
  </si>
  <si>
    <t>-535.412481128971 117.622602958829 -255.970795175094</t>
  </si>
  <si>
    <t>-718.45128057844 17.8588797352081 -81.4132333871155</t>
  </si>
  <si>
    <t>-701.839114514083 -5.80550686028892 321.102249161314</t>
  </si>
  <si>
    <t>-752.648154324238 -30.4992974853815 765.402248866438</t>
  </si>
  <si>
    <t>-608.377106578182 -3.42611160136858 824.901766817753</t>
  </si>
  <si>
    <t>-503.96070632907 -206.20202911878 294.341194920107</t>
  </si>
  <si>
    <t>-596.177050405352 -219.988986737141 732.328018161598</t>
  </si>
  <si>
    <t>-488.793166305123 -304.945433925472 811.942024398437</t>
  </si>
  <si>
    <t>9763-20170724T104613.784286300.bin</t>
  </si>
  <si>
    <t>-782.997822865234 57.9899835123681 -514.481873715027</t>
  </si>
  <si>
    <t>-774.53044828335 97.4468513725324 -222.998460426369</t>
  </si>
  <si>
    <t>-536.671067495412 117.178371575298 -255.929412305819</t>
  </si>
  <si>
    <t>-718.637716001195 17.7995819496789 -81.4278137051945</t>
  </si>
  <si>
    <t>-701.92904775467 -5.82475499580937 321.086007102866</t>
  </si>
  <si>
    <t>-752.641500758375 -30.50573970496 765.398676207473</t>
  </si>
  <si>
    <t>-608.413932964505 -3.22616450103442 824.90930050385</t>
  </si>
  <si>
    <t>-504.095350033022 -206.227087816517 294.322991569985</t>
  </si>
  <si>
    <t>-596.22736053561 -220.024062976389 732.323706266259</t>
  </si>
  <si>
    <t>-488.769014988165 -304.88526699289 811.938780052586</t>
  </si>
  <si>
    <t>9763-20170724T104613.850469400.bin</t>
  </si>
  <si>
    <t>-784.281585068484 57.7367597601724 -514.313173673891</t>
  </si>
  <si>
    <t>-776.915889351004 97.1494872507942 -222.793730683929</t>
  </si>
  <si>
    <t>-539.013171063067 116.239467168042 -255.789586678624</t>
  </si>
  <si>
    <t>-719.0978030445 17.689461266704 -81.4419766565619</t>
  </si>
  <si>
    <t>-702.100672420667 -5.84895525845423 321.064798662392</t>
  </si>
  <si>
    <t>-752.585722732562 -30.6599131544317 765.399368359729</t>
  </si>
  <si>
    <t>-608.278491695984 -3.87141862485555 824.940155274917</t>
  </si>
  <si>
    <t>-504.287385808221 -206.227705427697 294.323607795417</t>
  </si>
  <si>
    <t>-596.294680682225 -220.012353402842 732.336379594425</t>
  </si>
  <si>
    <t>-488.757350550757 -304.772346792299 811.952774653412</t>
  </si>
  <si>
    <t>9763-20170724T104613.884560100.bin</t>
  </si>
  <si>
    <t>-784.955843089136 57.7209050474848 -514.234000494493</t>
  </si>
  <si>
    <t>-777.964720908407 97.0746061290376 -222.697462207164</t>
  </si>
  <si>
    <t>-540.038731779941 115.843265562263 -255.709990345368</t>
  </si>
  <si>
    <t>-719.364448093708 17.7637134602126 -81.4455294722196</t>
  </si>
  <si>
    <t>-702.178467914068 -5.72021091624265 321.056432320948</t>
  </si>
  <si>
    <t>-752.57211882723 -30.6989352715718 765.399677622457</t>
  </si>
  <si>
    <t>-608.260593561305 -3.95214502614931 824.948653904379</t>
  </si>
  <si>
    <t>-504.281453180086 -206.027421686037 294.32034384389</t>
  </si>
  <si>
    <t>-596.225987115531 -219.747321151677 732.341605899899</t>
  </si>
  <si>
    <t>-489.140551172272 -305.054700391005 811.98243491172</t>
  </si>
  <si>
    <t>9763-20170724T104613.952386700.bin</t>
  </si>
  <si>
    <t>-786.378035342243 57.5700002538611 -514.144944753443</t>
  </si>
  <si>
    <t>-780.282947085238 96.7247998613457 -222.561611434353</t>
  </si>
  <si>
    <t>-542.268191505618 114.624471816105 -255.416863050145</t>
  </si>
  <si>
    <t>-719.954953803899 17.8411836790763 -81.4349120046752</t>
  </si>
  <si>
    <t>-702.427824273198 -5.52827250854034 321.058993636339</t>
  </si>
  <si>
    <t>-752.583668314503 -30.7013756629112 765.400919670405</t>
  </si>
  <si>
    <t>-608.307078578024 -3.75173023089974 824.943299013533</t>
  </si>
  <si>
    <t>-504.502364048606 -205.847213823837 294.302404224067</t>
  </si>
  <si>
    <t>-596.255204194822 -219.607322090817 732.34332510882</t>
  </si>
  <si>
    <t>-489.016459422985 -304.732449206831 811.972877961407</t>
  </si>
  <si>
    <t>9763-20170724T104613.986472100.bin</t>
  </si>
  <si>
    <t>-787.025033466934 57.4314282175058 -514.093296142146</t>
  </si>
  <si>
    <t>-781.35096563199 96.3791859915077 -222.473580339886</t>
  </si>
  <si>
    <t>-543.292443082426 113.931404025504 -255.198598375687</t>
  </si>
  <si>
    <t>-720.185699377952 17.7396701528353 -81.4369556723453</t>
  </si>
  <si>
    <t>-702.542101344001 -5.53729859587088 321.057281321041</t>
  </si>
  <si>
    <t>-752.578863148529 -30.7341895638415 765.401178645937</t>
  </si>
  <si>
    <t>-608.281296571878 -3.89173669592174 824.941165472766</t>
  </si>
  <si>
    <t>-504.639938164988 -205.854318424839 294.291806746026</t>
  </si>
  <si>
    <t>-596.264069181099 -219.510652149813 732.353951242044</t>
  </si>
  <si>
    <t>-488.993489725202 -304.601730307876 811.976940526553</t>
  </si>
  <si>
    <t>9763-20170724T104614.050648500.bin</t>
  </si>
  <si>
    <t>-788.274561464997 57.1907754294159 -513.982302547116</t>
  </si>
  <si>
    <t>-783.251537916239 95.7211172050909 -222.295314691819</t>
  </si>
  <si>
    <t>-545.10032708653 112.852868275911 -254.565390830677</t>
  </si>
  <si>
    <t>-720.608377516421 17.5305614794811 -81.4599059421565</t>
  </si>
  <si>
    <t>-702.792245966774 -5.60464267551333 321.03486037082</t>
  </si>
  <si>
    <t>-752.546687530713 -30.8300126857571 765.412443004291</t>
  </si>
  <si>
    <t>-608.250366789682 -4.00364693278175 824.962606214952</t>
  </si>
  <si>
    <t>-504.912267903767 -205.831231673313 294.235575375469</t>
  </si>
  <si>
    <t>-596.344289111339 -219.458717066478 732.361251898736</t>
  </si>
  <si>
    <t>-488.863543921552 -304.309392825319 811.957443700648</t>
  </si>
  <si>
    <t>9763-20170724T104614.085742000.bin</t>
  </si>
  <si>
    <t>-788.982621540207 57.0718532154174 -513.918125852255</t>
  </si>
  <si>
    <t>-784.103178591034 95.4101637454482 -222.203228035592</t>
  </si>
  <si>
    <t>-545.937935936282 112.387209064668 -254.451812779682</t>
  </si>
  <si>
    <t>-720.811196696626 17.4436502370229 -81.4627931766094</t>
  </si>
  <si>
    <t>-702.934167210792 -5.6218229301744 321.033213442267</t>
  </si>
  <si>
    <t>-752.552043366365 -30.8366164848878 765.42029023241</t>
  </si>
  <si>
    <t>-608.281367950974 -3.86881869945637 824.968656700354</t>
  </si>
  <si>
    <t>-505.017167640156 -205.82884718702 294.189332708928</t>
  </si>
  <si>
    <t>-596.3770502826 -219.433487010955 732.344599008473</t>
  </si>
  <si>
    <t>-488.974586051468 -304.378822474878 811.945542995082</t>
  </si>
  <si>
    <t>9763-20170724T104614.149420100.bin</t>
  </si>
  <si>
    <t>-790.553640751968 56.7102107854726 -513.801008889399</t>
  </si>
  <si>
    <t>-785.906333814098 94.916226794561 -222.064995570977</t>
  </si>
  <si>
    <t>-547.719596584223 111.40170396985 -254.409484001891</t>
  </si>
  <si>
    <t>-721.211183429164 17.2569054894925 -81.4585529925803</t>
  </si>
  <si>
    <t>-703.22069600066 -5.6628219208576 321.040805272016</t>
  </si>
  <si>
    <t>-752.525046160498 -30.8777506752763 765.436440790841</t>
  </si>
  <si>
    <t>-608.266903771038 -3.9159702621248 825.018022096885</t>
  </si>
  <si>
    <t>-505.22473077097 -205.905432012163 294.097899990158</t>
  </si>
  <si>
    <t>-596.508635886844 -219.496230999362 732.308851062753</t>
  </si>
  <si>
    <t>-488.90789165377 -304.213281485074 811.88527796096</t>
  </si>
  <si>
    <t>9763-20170724T104614.181891200.bin</t>
  </si>
  <si>
    <t>-791.130290536444 56.5247026959819 -513.757026031151</t>
  </si>
  <si>
    <t>-786.776321114847 94.6944114295234 -222.011586968094</t>
  </si>
  <si>
    <t>-548.570048575065 110.953084720575 -254.327273720632</t>
  </si>
  <si>
    <t>-721.331755451852 17.0791612805665 -81.4623410757753</t>
  </si>
  <si>
    <t>-703.329013983764 -5.71838312052842 321.043380738088</t>
  </si>
  <si>
    <t>-752.500964879677 -30.9405285330895 765.449357629463</t>
  </si>
  <si>
    <t>-608.171542506831 -4.41139028117027 825.052404095731</t>
  </si>
  <si>
    <t>-505.225645145458 -205.905189614009 294.060599679138</t>
  </si>
  <si>
    <t>-596.538948932651 -219.481179946688 732.267970706987</t>
  </si>
  <si>
    <t>-489.20466103685 -304.512190251676 811.86933356854</t>
  </si>
  <si>
    <t>9763-20170724T104614.248069700.bin</t>
  </si>
  <si>
    <t>-792.15363877801 56.1046814910442 -513.636972279306</t>
  </si>
  <si>
    <t>-788.509647708138 94.1827663825982 -221.870108405397</t>
  </si>
  <si>
    <t>-550.289511279425 110.446022665039 -254.08033823156</t>
  </si>
  <si>
    <t>-721.579157003544 16.7921133383059 -81.4775395209684</t>
  </si>
  <si>
    <t>-703.569984864344 -5.87885333634972 321.035008583825</t>
  </si>
  <si>
    <t>-752.474598766303 -31.0056076764608 765.469612224656</t>
  </si>
  <si>
    <t>-608.169384399996 -4.39400884792985 825.094547500532</t>
  </si>
  <si>
    <t>-505.101195979611 -205.785479270034 294.020095447779</t>
  </si>
  <si>
    <t>-596.49526340987 -219.198858183408 732.19888154742</t>
  </si>
  <si>
    <t>-489.302410258749 -304.393486622525 811.815847278888</t>
  </si>
  <si>
    <t>9763-20170724T104614.281160400.bin</t>
  </si>
  <si>
    <t>-792.675898869103 55.8419432701455 -513.559160392813</t>
  </si>
  <si>
    <t>-789.419003277724 93.7050559211807 -221.759593844134</t>
  </si>
  <si>
    <t>-551.215343827481 110.135727703093 -254.007423449002</t>
  </si>
  <si>
    <t>-721.670224344953 16.5831749660633 -81.4955257046278</t>
  </si>
  <si>
    <t>-703.649461910414 -6.03066223340875 321.019682362233</t>
  </si>
  <si>
    <t>-752.450621882328 -31.0814093137324 765.47446596833</t>
  </si>
  <si>
    <t>-608.069459184149 -4.91314980634047 825.111726380977</t>
  </si>
  <si>
    <t>-505.041471648305 -205.837602976804 294.011950116747</t>
  </si>
  <si>
    <t>-596.509942849522 -219.181212471724 732.163515903932</t>
  </si>
  <si>
    <t>-489.132296894262 -304.137572338374 811.786111212857</t>
  </si>
  <si>
    <t>9763-20170724T104614.348846300.bin</t>
  </si>
  <si>
    <t>-793.57668292078 55.4022417198883 -513.363246781357</t>
  </si>
  <si>
    <t>-791.075386348526 92.9198503295881 -221.511737851031</t>
  </si>
  <si>
    <t>-552.896594851353 109.684104639976 -253.771362696601</t>
  </si>
  <si>
    <t>-721.853789132107 16.3469901290032 -81.5340508836385</t>
  </si>
  <si>
    <t>-703.712294755609 -6.18264651502204 320.980503321738</t>
  </si>
  <si>
    <t>-752.434860193241 -31.1315137708284 765.472763479939</t>
  </si>
  <si>
    <t>-608.106959179964 -4.71574224375377 825.129509545541</t>
  </si>
  <si>
    <t>-504.768333105567 -205.691408514283 294.027732893431</t>
  </si>
  <si>
    <t>-596.503971144001 -219.03957989331 732.120148433567</t>
  </si>
  <si>
    <t>-489.181781621321 -304.032919154601 811.778053919376</t>
  </si>
  <si>
    <t>9763-20170724T104614.382438800.bin</t>
  </si>
  <si>
    <t>-793.83597305241 55.2378979455168 -513.291283228399</t>
  </si>
  <si>
    <t>-791.59559578319 92.4972122394122 -221.40443606746</t>
  </si>
  <si>
    <t>-553.442945315273 109.565455540516 -253.697814921287</t>
  </si>
  <si>
    <t>-721.912676515266 16.3119765694653 -81.5373696933035</t>
  </si>
  <si>
    <t>-703.714188384669 -6.18209723147129 320.976646283522</t>
  </si>
  <si>
    <t>-752.385545054099 -31.1046151265905 765.474102520455</t>
  </si>
  <si>
    <t>-608.108528718645 -4.62632469765231 825.226535338109</t>
  </si>
  <si>
    <t>-504.582783928412 -205.459256545514 294.067631176899</t>
  </si>
  <si>
    <t>-596.504856166814 -218.94798779261 732.124151723269</t>
  </si>
  <si>
    <t>-489.453471868369 -304.267591645282 811.797659572763</t>
  </si>
  <si>
    <t>9763-20170724T104614.449620500.bin</t>
  </si>
  <si>
    <t>-793.988556842665 54.5680837300681 -513.041487705366</t>
  </si>
  <si>
    <t>-791.644837774935 91.5376606901316 -221.118556065867</t>
  </si>
  <si>
    <t>-553.477700822928 109.625938175959 -252.743109053979</t>
  </si>
  <si>
    <t>-722.122886359985 16.1672131635692 -81.4809168735978</t>
  </si>
  <si>
    <t>-703.69203011983 -6.21528068160455 321.028670183196</t>
  </si>
  <si>
    <t>-752.190834342294 -30.9866660540722 765.552030975514</t>
  </si>
  <si>
    <t>-607.976774357973 -5.0592319716759 825.696595322937</t>
  </si>
  <si>
    <t>-503.992826960375 -204.982227410411 294.223469177841</t>
  </si>
  <si>
    <t>-596.581977647338 -218.956923683587 732.151241280664</t>
  </si>
  <si>
    <t>-489.224574804372 -303.902216815075 811.812936471177</t>
  </si>
  <si>
    <t>9763-20170724T104614.478712400.bin</t>
  </si>
  <si>
    <t>-793.94054767911 53.7037978522096 -512.873127306001</t>
  </si>
  <si>
    <t>-791.202623601429 90.6111758863494 -220.945835116283</t>
  </si>
  <si>
    <t>-552.996704395392 109.195939062198 -251.984931522832</t>
  </si>
  <si>
    <t>-722.107705255335 15.7573264108348 -81.4216522764802</t>
  </si>
  <si>
    <t>-703.642685588795 -6.39078479484601 321.099346401802</t>
  </si>
  <si>
    <t>-752.127074429954 -30.9137533969533 765.604379146768</t>
  </si>
  <si>
    <t>-607.94488843471 -5.19178808484071 825.91342188764</t>
  </si>
  <si>
    <t>-503.357276384371 -204.507797251429 294.32658356622</t>
  </si>
  <si>
    <t>-596.444128003994 -218.682826847114 732.109096238</t>
  </si>
  <si>
    <t>-488.786125124274 -303.211559904551 811.80824625349</t>
  </si>
  <si>
    <t>9763-20170724T104614.547532400.bin</t>
  </si>
  <si>
    <t>-793.236495627888 52.1425996674593 -512.515554193369</t>
  </si>
  <si>
    <t>-790.200356742176 89.2183350739729 -220.612444655043</t>
  </si>
  <si>
    <t>-551.877993048638 108.543904579523 -250.274964730618</t>
  </si>
  <si>
    <t>-721.865126469332 14.992405693559 -81.3054019318139</t>
  </si>
  <si>
    <t>-702.095833097743 -6.59458720532621 321.184181357283</t>
  </si>
  <si>
    <t>-752.063323592023 -31.0844387535267 765.610029593396</t>
  </si>
  <si>
    <t>-607.907556472161 -5.42580030068484 826.008956315664</t>
  </si>
  <si>
    <t>-502.376334092328 -203.94102132347 294.489905254583</t>
  </si>
  <si>
    <t>-596.223020811938 -218.362977456498 732.097807770204</t>
  </si>
  <si>
    <t>-488.90857541682 -303.125402475383 812.011753318293</t>
  </si>
  <si>
    <t>9763-20170724T104614.585244500.bin</t>
  </si>
  <si>
    <t>-792.669357172287 51.8749848118919 -512.323818363214</t>
  </si>
  <si>
    <t>-789.529427734835 89.0022103214342 -220.428280496663</t>
  </si>
  <si>
    <t>-551.142254081338 108.926261229106 -249.15881656448</t>
  </si>
  <si>
    <t>-721.307391570794 14.5844226979671 -81.1369128580862</t>
  </si>
  <si>
    <t>-700.159235658932 -6.7132093657915 321.298036524211</t>
  </si>
  <si>
    <t>-752.057523611268 -31.2959591173055 765.568393767116</t>
  </si>
  <si>
    <t>-607.933088804492 -5.38625959621822 825.935190782226</t>
  </si>
  <si>
    <t>-502.089275576261 -203.943266134043 294.647989703197</t>
  </si>
  <si>
    <t>-596.26349031213 -218.589842760551 732.172104885209</t>
  </si>
  <si>
    <t>-488.795157702356 -303.055549731158 812.193358133854</t>
  </si>
  <si>
    <t>9763-20170724T104614.652158500.bin</t>
  </si>
  <si>
    <t>-790.608577619691 52.3381711844545 -511.874669021323</t>
  </si>
  <si>
    <t>-785.498671285653 90.3269937427974 -220.11799516229</t>
  </si>
  <si>
    <t>-547.121241041719 114.544463492311 -245.427587440828</t>
  </si>
  <si>
    <t>-719.415671629666 14.1473369566088 -80.581743673784</t>
  </si>
  <si>
    <t>-695.335004362204 -6.985022227836 321.696974083311</t>
  </si>
  <si>
    <t>-752.090054273446 -31.4926045180048 765.441214644681</t>
  </si>
  <si>
    <t>-608.092308300519 -4.68682942731289 825.718993776473</t>
  </si>
  <si>
    <t>-501.681847232787 -203.656030338772 294.870125955587</t>
  </si>
  <si>
    <t>-595.897627333343 -218.066460654705 732.424559404105</t>
  </si>
  <si>
    <t>-489.098124594743 -303.119473944187 812.718822491569</t>
  </si>
  <si>
    <t>9763-20170724T104614.684247100.bin</t>
  </si>
  <si>
    <t>-789.463271392174 53.1641097279985 -511.588956982414</t>
  </si>
  <si>
    <t>-781.110109068742 93.6469012962157 -220.242792178423</t>
  </si>
  <si>
    <t>-542.82607852674 120.875338953271 -243.269171728239</t>
  </si>
  <si>
    <t>-719.009584396906 14.1278247471648 -80.3613579319299</t>
  </si>
  <si>
    <t>-693.98003649251 -7.0391100885488 321.85767907137</t>
  </si>
  <si>
    <t>-752.075749009225 -31.6829012911685 765.395082800606</t>
  </si>
  <si>
    <t>-608.100716530262 -4.69027264469696 825.643579228164</t>
  </si>
  <si>
    <t>-502.012119146575 -203.660097875385 295.044449985827</t>
  </si>
  <si>
    <t>-595.802427077832 -217.843128621164 732.664190412066</t>
  </si>
  <si>
    <t>-489.420572270367 -303.364332790842 813.015422923159</t>
  </si>
  <si>
    <t>9763-20170724T104614.747916000.bin</t>
  </si>
  <si>
    <t>-785.845246498026 53.9707014420826 -511.32722971829</t>
  </si>
  <si>
    <t>-764.534991822875 103.201015191021 -221.994411447664</t>
  </si>
  <si>
    <t>-527.090539070939 139.178853428011 -241.400447138136</t>
  </si>
  <si>
    <t>-718.32723752278 13.6133981764092 -80.3416696117898</t>
  </si>
  <si>
    <t>-694.350549205327 -7.48396657172884 321.945142016617</t>
  </si>
  <si>
    <t>-752.025710977933 -31.9889840243434 765.402058859669</t>
  </si>
  <si>
    <t>-607.887040888653 -5.86357909530898 825.64153190588</t>
  </si>
  <si>
    <t>-502.956607685195 -204.906291073215 295.575462378854</t>
  </si>
  <si>
    <t>-596.261673174061 -218.373571563252 733.273875759141</t>
  </si>
  <si>
    <t>-489.028435080092 -303.038738139102 813.399570185698</t>
  </si>
  <si>
    <t>9763-20170724T104614.781146600.bin</t>
  </si>
  <si>
    <t>-783.726224244977 54.1907664797336 -511.471524078474</t>
  </si>
  <si>
    <t>-751.985435797875 109.054449980196 -224.115057553642</t>
  </si>
  <si>
    <t>-515.116408110635 149.671043618055 -241.268350471277</t>
  </si>
  <si>
    <t>-718.232707682665 13.2652637437959 -80.4590827819281</t>
  </si>
  <si>
    <t>-695.129120194023 -7.48091268739608 321.897131252576</t>
  </si>
  <si>
    <t>-752.046359162445 -31.9253240929077 765.4439438667</t>
  </si>
  <si>
    <t>-607.938635865465 -5.61551037792492 825.677159551312</t>
  </si>
  <si>
    <t>-503.474404327626 -205.207582415205 295.772697373495</t>
  </si>
  <si>
    <t>-596.31839137938 -218.216233108869 733.501091055313</t>
  </si>
  <si>
    <t>-489.281556803409 -303.22774540244 813.522682742754</t>
  </si>
  <si>
    <t>9763-20170724T104614.851356600.bin</t>
  </si>
  <si>
    <t>-779.813630960438 53.8288048606585 -511.717308325272</t>
  </si>
  <si>
    <t>-723.250270874775 119.692103016126 -230.552340865166</t>
  </si>
  <si>
    <t>-487.388137453868 167.298294260025 -242.944183235344</t>
  </si>
  <si>
    <t>-718.872848384364 12.5791929796835 -80.6943239694699</t>
  </si>
  <si>
    <t>-696.357426336757 -7.74697509686825 321.716662634796</t>
  </si>
  <si>
    <t>-752.051558358666 -31.9570083137312 765.498887820876</t>
  </si>
  <si>
    <t>-607.885607823659 -5.85257194181577 825.68219726463</t>
  </si>
  <si>
    <t>-504.621820935228 -206.041451756253 295.977871128515</t>
  </si>
  <si>
    <t>-596.560143237665 -218.232839514066 733.847644950656</t>
  </si>
  <si>
    <t>-489.217353493905 -303.03612051438 813.680205718941</t>
  </si>
  <si>
    <t>9763-20170724T104614.882428200.bin</t>
  </si>
  <si>
    <t>-778.119530436553 53.8819953715172 -511.755565924839</t>
  </si>
  <si>
    <t>-709.851099526584 123.553174128961 -234.128885412106</t>
  </si>
  <si>
    <t>-474.38122264012 173.520725441259 -244.523142392539</t>
  </si>
  <si>
    <t>-719.075435794613 12.3622783464427 -80.7480497050975</t>
  </si>
  <si>
    <t>-696.372627947158 -7.91874009281082 321.654614976041</t>
  </si>
  <si>
    <t>-752.06821270926 -31.9917843841902 765.492606040154</t>
  </si>
  <si>
    <t>-607.896559808826 -5.81904888024064 825.632568393105</t>
  </si>
  <si>
    <t>-505.194461279041 -206.344181213849 296.076930145885</t>
  </si>
  <si>
    <t>-596.796141347362 -218.447566693322 734.019579328302</t>
  </si>
  <si>
    <t>-489.221472805988 -303.069732566809 813.732127381905</t>
  </si>
  <si>
    <t>9763-20170724T104614.948606000.bin</t>
  </si>
  <si>
    <t>-775.008935787919 54.1380952213915 -511.985482247538</t>
  </si>
  <si>
    <t>-689.3230296842 126.275374166887 -239.872708310142</t>
  </si>
  <si>
    <t>-454.464477393717 179.405258211205 -248.211268826042</t>
  </si>
  <si>
    <t>-718.671672740614 11.7018763566259 -80.8685840196066</t>
  </si>
  <si>
    <t>-696.359177002765 -8.12791050283977 321.578428441414</t>
  </si>
  <si>
    <t>-752.032634356022 -32.1258895306382 765.489573765108</t>
  </si>
  <si>
    <t>-607.849666134682 -5.9047449161335 825.581302938468</t>
  </si>
  <si>
    <t>-506.193741363531 -206.734379776378 296.169512454427</t>
  </si>
  <si>
    <t>-597.060469464988 -218.495778547033 734.294346775898</t>
  </si>
  <si>
    <t>-489.43602906381 -303.23669534162 813.813274973063</t>
  </si>
  <si>
    <t>9763-20170724T104614.981210000.bin</t>
  </si>
  <si>
    <t>-773.623201792894 54.5032927971522 -512.239896717394</t>
  </si>
  <si>
    <t>-683.496609595981 125.856561647899 -241.357772948732</t>
  </si>
  <si>
    <t>-448.697062125421 179.163815589315 -250.211396004675</t>
  </si>
  <si>
    <t>-718.184002469524 11.736404344035 -80.8921487562985</t>
  </si>
  <si>
    <t>-696.239376642772 -8.07866994410438 321.575850415737</t>
  </si>
  <si>
    <t>-752.025418811423 -32.1465868465903 765.492652342553</t>
  </si>
  <si>
    <t>-607.912696352205 -5.47700307286573 825.555625705818</t>
  </si>
  <si>
    <t>-506.62690636362 -207.021884340498 296.148964619441</t>
  </si>
  <si>
    <t>-597.164844577561 -218.487093418002 734.392678456843</t>
  </si>
  <si>
    <t>-489.537849422732 -303.291204557392 813.840728851917</t>
  </si>
  <si>
    <t>9763-20170724T104615.048892500.bin</t>
  </si>
  <si>
    <t>-772.234265630233 55.4658949574718 -512.620802803786</t>
  </si>
  <si>
    <t>-679.638055040424 124.006163667668 -241.845127785674</t>
  </si>
  <si>
    <t>-444.681219710134 176.65250877847 -250.477105764694</t>
  </si>
  <si>
    <t>-717.105403473942 11.9451329210056 -80.873964806458</t>
  </si>
  <si>
    <t>-695.813534268974 -8.34527238291298 321.60541603114</t>
  </si>
  <si>
    <t>-751.96011736975 -32.3397479810503 765.499301287866</t>
  </si>
  <si>
    <t>-607.752912449019 -6.08340296802794 825.517554275042</t>
  </si>
  <si>
    <t>-507.912813977705 -208.247946158628 296.183997236984</t>
  </si>
  <si>
    <t>-597.496775879334 -218.669799622254 734.630602933224</t>
  </si>
  <si>
    <t>-489.498330672595 -303.186459179065 813.880631030031</t>
  </si>
  <si>
    <t>9763-20170724T104615.081983100.bin</t>
  </si>
  <si>
    <t>-772.188040644239 55.6241005397558 -512.677107528965</t>
  </si>
  <si>
    <t>-680.10287329174 123.377892667402 -241.529599388337</t>
  </si>
  <si>
    <t>-444.949779422271 175.182603750212 -249.904992839172</t>
  </si>
  <si>
    <t>-716.738162578312 11.950321613743 -80.8323088032971</t>
  </si>
  <si>
    <t>-695.611109285341 -8.6363886528793 321.640698855331</t>
  </si>
  <si>
    <t>-751.923686809358 -32.47177450904 765.489689980534</t>
  </si>
  <si>
    <t>-607.703760173971 -6.20646136528148 825.473215782294</t>
  </si>
  <si>
    <t>-508.459040782757 -208.855241096787 296.206301955576</t>
  </si>
  <si>
    <t>-597.678227819094 -218.862092127848 734.729554578548</t>
  </si>
  <si>
    <t>-489.609690124892 -303.371704377727 813.891404073185</t>
  </si>
  <si>
    <t>9763-20170724T104615.148672600.bin</t>
  </si>
  <si>
    <t>-771.98955609027 55.3624935940879 -512.719686987159</t>
  </si>
  <si>
    <t>-682.407345979864 121.473374984826 -240.330930973653</t>
  </si>
  <si>
    <t>-446.912637681782 171.614925150458 -249.217089667676</t>
  </si>
  <si>
    <t>-716.211599040087 11.646481728488 -80.868643427192</t>
  </si>
  <si>
    <t>-695.853135802253 -8.90018461934164 321.646004482704</t>
  </si>
  <si>
    <t>-751.845467237347 -32.646223770781 765.497240544649</t>
  </si>
  <si>
    <t>-607.533899794149 -6.88111907089888 825.477259449008</t>
  </si>
  <si>
    <t>-508.866682910141 -209.443548251864 296.231670057612</t>
  </si>
  <si>
    <t>-597.80633821125 -218.899785181726 734.821218778466</t>
  </si>
  <si>
    <t>-489.900378081747 -303.671444614655 813.92477375702</t>
  </si>
  <si>
    <t>9763-20170724T104615.182896200.bin</t>
  </si>
  <si>
    <t>-772.126561861432 55.3669305827775 -512.707921475284</t>
  </si>
  <si>
    <t>-683.747997140167 120.499386985834 -239.6910660818</t>
  </si>
  <si>
    <t>-448.142222558871 170.04464614079 -248.969380208554</t>
  </si>
  <si>
    <t>-716.125851258477 11.770583622751 -80.8967229676186</t>
  </si>
  <si>
    <t>-696.071115799305 -8.76159335883972 321.633865650421</t>
  </si>
  <si>
    <t>-751.850520631065 -32.5742490746163 765.504831284811</t>
  </si>
  <si>
    <t>-607.596604180593 -6.4942461477508 825.487712796476</t>
  </si>
  <si>
    <t>-508.739435333093 -209.237587773175 296.223539754661</t>
  </si>
  <si>
    <t>-597.669595983737 -218.584834181035 734.792937193185</t>
  </si>
  <si>
    <t>-489.960672642887 -303.568638447508 813.937310621407</t>
  </si>
  <si>
    <t>9763-20170724T104615.248079600.bin</t>
  </si>
  <si>
    <t>-772.348492050717 54.7190902914722 -512.705000088728</t>
  </si>
  <si>
    <t>-685.326689560889 118.92415135848 -239.033459446326</t>
  </si>
  <si>
    <t>-449.579322493234 167.757173304387 -248.488103773962</t>
  </si>
  <si>
    <t>-716.355199653783 11.7551512164378 -80.9423973897652</t>
  </si>
  <si>
    <t>-696.513211607087 -8.75958020430539 321.599719968598</t>
  </si>
  <si>
    <t>-751.836567441744 -32.4951013235068 765.522823444357</t>
  </si>
  <si>
    <t>-607.612041596563 -6.30631116939185 825.528917157202</t>
  </si>
  <si>
    <t>-508.49669203017 -208.801952626218 296.248102650696</t>
  </si>
  <si>
    <t>-597.750708593421 -218.720225787074 734.78821018998</t>
  </si>
  <si>
    <t>-489.833732303223 -303.40533013364 813.969219531759</t>
  </si>
  <si>
    <t>9763-20170724T104615.282792300.bin</t>
  </si>
  <si>
    <t>-772.330217671519 54.3430016473594 -512.786016276496</t>
  </si>
  <si>
    <t>-685.559134658371 118.877895337603 -239.112545004643</t>
  </si>
  <si>
    <t>-449.761885484548 167.484248154715 -248.490945415784</t>
  </si>
  <si>
    <t>-716.568627212336 11.7547040969894 -80.9776921921463</t>
  </si>
  <si>
    <t>-696.602862947199 -8.73754580660921 321.559429113638</t>
  </si>
  <si>
    <t>-751.845605376103 -32.422658548038 765.512016269175</t>
  </si>
  <si>
    <t>-607.651645998114 -6.07939240170117 825.523879450002</t>
  </si>
  <si>
    <t>-508.467715856672 -208.573475569989 296.319708463866</t>
  </si>
  <si>
    <t>-597.74381753232 -218.621439303281 734.836530255368</t>
  </si>
  <si>
    <t>-489.728110543595 -303.183773066943 814.014219674888</t>
  </si>
  <si>
    <t>9763-20170724T104615.350979700.bin</t>
  </si>
  <si>
    <t>-772.259969529473 54.2188696863686 -513.052406417915</t>
  </si>
  <si>
    <t>-685.299460157449 119.437992807406 -239.601168650026</t>
  </si>
  <si>
    <t>-449.41760508916 167.604097132933 -249.120105890515</t>
  </si>
  <si>
    <t>-716.490227503139 11.8812595304896 -81.0838929918958</t>
  </si>
  <si>
    <t>-696.842183270658 -8.53692263422454 321.472540937653</t>
  </si>
  <si>
    <t>-751.79905291578 -32.4363889391907 765.493413256981</t>
  </si>
  <si>
    <t>-607.582531175608 -6.28798595666422 825.536480036799</t>
  </si>
  <si>
    <t>-508.454638988234 -208.23937123798 296.495833213847</t>
  </si>
  <si>
    <t>-597.779370620234 -218.460160632889 735.000368319756</t>
  </si>
  <si>
    <t>-489.881822585371 -303.200556564546 814.148760327689</t>
  </si>
  <si>
    <t>9763-20170724T104615.380065700.bin</t>
  </si>
  <si>
    <t>-772.197007400483 54.2155226455766 -513.192711652927</t>
  </si>
  <si>
    <t>-685.128396444588 119.712222667837 -239.842319363663</t>
  </si>
  <si>
    <t>-449.159520606698 167.43302193394 -249.448361206784</t>
  </si>
  <si>
    <t>-716.465380302184 12.0277951128624 -81.1051994716194</t>
  </si>
  <si>
    <t>-696.856899530596 -8.40989934378126 321.452176882767</t>
  </si>
  <si>
    <t>-751.796131158448 -32.4164380705215 765.492457575322</t>
  </si>
  <si>
    <t>-607.606548155016 -6.08206923630155 825.518844804184</t>
  </si>
  <si>
    <t>-508.384515079193 -208.130276572854 296.568793429608</t>
  </si>
  <si>
    <t>-597.70251309967 -218.213789134784 735.049215581259</t>
  </si>
  <si>
    <t>-490.06470375881 -303.274126394918 814.208163465831</t>
  </si>
  <si>
    <t>9763-20170724T104615.450254100.bin</t>
  </si>
  <si>
    <t>-772.565978902146 53.6524151688748 -513.202726525173</t>
  </si>
  <si>
    <t>-685.574511001087 119.291977661761 -239.862167660279</t>
  </si>
  <si>
    <t>-449.405004481406 165.887851753794 -250.044490910872</t>
  </si>
  <si>
    <t>-716.261705218268 12.005807984498 -81.0902757457471</t>
  </si>
  <si>
    <t>-696.909360457868 -8.46139914375431 321.478054007564</t>
  </si>
  <si>
    <t>-751.770805338781 -32.4436870868085 765.4912451151</t>
  </si>
  <si>
    <t>-607.63504797006 -5.75458158009633 825.490193169646</t>
  </si>
  <si>
    <t>-508.23729645846 -208.184500844622 296.597961893045</t>
  </si>
  <si>
    <t>-597.738147702033 -218.165217022598 735.111434654772</t>
  </si>
  <si>
    <t>-489.925917769064 -303.001318180544 814.273666400365</t>
  </si>
  <si>
    <t>9763-20170724T104615.483169900.bin</t>
  </si>
  <si>
    <t>-772.966014465934 53.5606278431014 -513.069335828077</t>
  </si>
  <si>
    <t>-686.173120117526 118.93678393304 -239.602512588382</t>
  </si>
  <si>
    <t>-449.902043815808 164.913421713451 -250.232180446929</t>
  </si>
  <si>
    <t>-716.316554483758 11.9556505913711 -81.036979358001</t>
  </si>
  <si>
    <t>-696.939842357117 -8.55300608188259 321.528089741542</t>
  </si>
  <si>
    <t>-751.718583934968 -32.554020680401 765.511029026974</t>
  </si>
  <si>
    <t>-607.486430031109 -6.41608452239416 825.520883003427</t>
  </si>
  <si>
    <t>-508.187190298371 -208.321026025289 296.567654658073</t>
  </si>
  <si>
    <t>-597.824353194 -218.267793252276 735.089238786449</t>
  </si>
  <si>
    <t>-489.821704526217 -302.878735896306 814.232802611852</t>
  </si>
  <si>
    <t>9763-20170724T104615.548849400.bin</t>
  </si>
  <si>
    <t>-773.2752405857 53.6942502542838 -512.821340197911</t>
  </si>
  <si>
    <t>-687.469106477363 117.534849343151 -238.681052927841</t>
  </si>
  <si>
    <t>-451.034803989416 162.517015767201 -249.918936418754</t>
  </si>
  <si>
    <t>-716.38991937661 11.9030038505639 -80.9700851055865</t>
  </si>
  <si>
    <t>-696.774912389625 -8.55193931167719 321.586140292877</t>
  </si>
  <si>
    <t>-751.692154971479 -32.5475581830631 765.53514763367</t>
  </si>
  <si>
    <t>-607.555002833199 -5.89171648260208 825.54554030044</t>
  </si>
  <si>
    <t>-508.334451520906 -208.328640574317 296.575796384917</t>
  </si>
  <si>
    <t>-597.985142409694 -218.398918641827 735.076073248188</t>
  </si>
  <si>
    <t>-489.881055522238 -302.918994406088 814.178239410961</t>
  </si>
  <si>
    <t>9763-20170724T104615.580434800.bin</t>
  </si>
  <si>
    <t>-773.163376603105 53.9870239003164 -512.702884225214</t>
  </si>
  <si>
    <t>-688.001616208045 116.962771615721 -238.161954662659</t>
  </si>
  <si>
    <t>-451.522164862246 161.646309839044 -249.639954084933</t>
  </si>
  <si>
    <t>-716.314182500944 11.9311543417614 -80.9649271648811</t>
  </si>
  <si>
    <t>-696.710775056642 -8.51585316280898 321.592304000979</t>
  </si>
  <si>
    <t>-751.66815382979 -32.5698263035197 765.544077265738</t>
  </si>
  <si>
    <t>-607.499531131622 -6.10227513385621 825.562170656044</t>
  </si>
  <si>
    <t>-508.33357941463 -208.222284609326 296.578117864458</t>
  </si>
  <si>
    <t>-597.928596412328 -218.123032895724 735.078931439362</t>
  </si>
  <si>
    <t>-490.158236677542 -303.079857755223 814.1686641441</t>
  </si>
  <si>
    <t>9763-20170724T104615.649623200.bin</t>
  </si>
  <si>
    <t>-772.989260386243 54.2878659417802 -512.6206446483</t>
  </si>
  <si>
    <t>-688.749193183909 116.417444710372 -237.602883367217</t>
  </si>
  <si>
    <t>-452.152874792832 160.500754412661 -248.992361931464</t>
  </si>
  <si>
    <t>-716.284775049033 11.9274688661792 -80.9780217888871</t>
  </si>
  <si>
    <t>-696.783165051861 -8.53487844526489 321.583385273037</t>
  </si>
  <si>
    <t>-751.60907302879 -32.6663588958158 765.549485745727</t>
  </si>
  <si>
    <t>-607.360917716091 -6.65519426050128 825.576086561993</t>
  </si>
  <si>
    <t>-508.554423546747 -208.458798983885 296.588859467816</t>
  </si>
  <si>
    <t>-598.142936881556 -218.332321243481 735.108773033342</t>
  </si>
  <si>
    <t>-490.163405258228 -303.102708421117 814.113161067585</t>
  </si>
  <si>
    <t>9763-20170724T104615.683254800.bin</t>
  </si>
  <si>
    <t>-772.864973492669 54.3704552479221 -512.634212416145</t>
  </si>
  <si>
    <t>-688.913809311336 116.346435810929 -237.493498701051</t>
  </si>
  <si>
    <t>-452.288819672694 160.214916048371 -249.115155190955</t>
  </si>
  <si>
    <t>-716.238561030881 11.9411389441225 -80.9829637764338</t>
  </si>
  <si>
    <t>-696.767174185039 -8.53442629850133 321.579211130412</t>
  </si>
  <si>
    <t>-751.586697045475 -32.6812943708132 765.554963722218</t>
  </si>
  <si>
    <t>-607.344381449922 -6.64865746737109 825.586064835761</t>
  </si>
  <si>
    <t>-508.635665493985 -208.490761979816 296.578549898043</t>
  </si>
  <si>
    <t>-598.171991299213 -218.234777634098 735.119747308996</t>
  </si>
  <si>
    <t>-490.410612414907 -303.308095009683 814.096370839122</t>
  </si>
  <si>
    <t>9763-20170724T104615.749434000.bin</t>
  </si>
  <si>
    <t>-772.591706432346 54.7315882409382 -512.660152330044</t>
  </si>
  <si>
    <t>-689.164215952221 116.039675766505 -237.210783074763</t>
  </si>
  <si>
    <t>-452.462876907609 159.314610238719 -249.481984253459</t>
  </si>
  <si>
    <t>-716.025773920629 11.9423209827009 -80.9578055723916</t>
  </si>
  <si>
    <t>-696.60283023887 -8.54585498601455 321.606064461479</t>
  </si>
  <si>
    <t>-751.54896640287 -32.7319873658346 765.558303920356</t>
  </si>
  <si>
    <t>-607.327537707176 -6.55624227962971 825.577622790582</t>
  </si>
  <si>
    <t>-508.813160122324 -208.725668084802 296.534649787284</t>
  </si>
  <si>
    <t>-598.297000614622 -218.304630819296 735.092740166067</t>
  </si>
  <si>
    <t>-490.416501671113 -303.263673531354 814.029732007368</t>
  </si>
  <si>
    <t>9763-20170724T104615.782524300.bin</t>
  </si>
  <si>
    <t>-772.463648085731 54.9054424787712 -512.654942519723</t>
  </si>
  <si>
    <t>-689.448435904912 115.962061891475 -237.02509320974</t>
  </si>
  <si>
    <t>-452.728494833741 159.040804780191 -249.625587302566</t>
  </si>
  <si>
    <t>-715.840003939989 11.9456176055221 -80.941468346658</t>
  </si>
  <si>
    <t>-696.46951835062 -8.51730379471405 321.62618398761</t>
  </si>
  <si>
    <t>-751.541042728222 -32.7520970090739 765.558556149905</t>
  </si>
  <si>
    <t>-607.30945261721 -6.58687411444544 825.55787465966</t>
  </si>
  <si>
    <t>-508.824876424069 -208.846441036802 296.509417127037</t>
  </si>
  <si>
    <t>-598.323494955312 -218.311724686474 735.065309820363</t>
  </si>
  <si>
    <t>-490.302198999471 -303.10383426633 813.989358680065</t>
  </si>
  <si>
    <t>9763-20170724T104615.854728000.bin</t>
  </si>
  <si>
    <t>-772.33115378357 55.4912825450806 -512.552181413854</t>
  </si>
  <si>
    <t>-690.276208678089 115.602273193233 -236.427307107821</t>
  </si>
  <si>
    <t>-453.495173438017 158.111276450985 -249.791389015206</t>
  </si>
  <si>
    <t>-715.530107564682 12.1561814568272 -80.9005008026531</t>
  </si>
  <si>
    <t>-696.182628862107 -8.45975192156561 321.660450142756</t>
  </si>
  <si>
    <t>-751.542360467904 -32.7415117573835 765.54623257826</t>
  </si>
  <si>
    <t>-607.360060246569 -6.22321181110624 825.508870442301</t>
  </si>
  <si>
    <t>-508.743827767113 -208.74656949059 296.468592283888</t>
  </si>
  <si>
    <t>-598.315162167794 -218.239546660577 734.986206133832</t>
  </si>
  <si>
    <t>-490.495766297749 -303.249803601768 813.951603730843</t>
  </si>
  <si>
    <t>9763-20170724T104615.881797000.bin</t>
  </si>
  <si>
    <t>-772.175464669094 55.7281395693935 -512.468591200918</t>
  </si>
  <si>
    <t>-690.719490806714 115.358685787946 -236.062664349498</t>
  </si>
  <si>
    <t>-453.914009896185 157.580423484488 -249.896483276948</t>
  </si>
  <si>
    <t>-715.383458255466 12.2296061327536 -80.8927558124452</t>
  </si>
  <si>
    <t>-696.131736976296 -8.47320435652341 321.66834711637</t>
  </si>
  <si>
    <t>-751.512718039043 -32.810953053104 765.543501486428</t>
  </si>
  <si>
    <t>-607.316540132144 -6.33655271722773 825.492341193722</t>
  </si>
  <si>
    <t>-508.683717088012 -208.79501874316 296.446537280408</t>
  </si>
  <si>
    <t>-598.383204388921 -218.361719803163 734.950918069484</t>
  </si>
  <si>
    <t>-490.158804127054 -302.868198009127 813.90302284161</t>
  </si>
  <si>
    <t>9763-20170724T104615.951989300.bin</t>
  </si>
  <si>
    <t>-771.451337129516 56.3720051094645 -512.402703677399</t>
  </si>
  <si>
    <t>-691.356575650652 115.122241218684 -235.411018256391</t>
  </si>
  <si>
    <t>-454.503183821767 156.823851417704 -249.9830287166</t>
  </si>
  <si>
    <t>-715.043877513023 12.4885687600972 -80.8721509368752</t>
  </si>
  <si>
    <t>-695.818976034627 -8.27962255376565 321.686842348465</t>
  </si>
  <si>
    <t>-751.469928781623 -32.8433828491779 765.536177315027</t>
  </si>
  <si>
    <t>-607.267875997914 -6.42349689287221 825.4949224176</t>
  </si>
  <si>
    <t>-508.384962576244 -208.572226029043 296.401885532219</t>
  </si>
  <si>
    <t>-598.248191851726 -218.031123754247 734.851190286563</t>
  </si>
  <si>
    <t>-490.326275735207 -302.868160869537 813.862761875157</t>
  </si>
  <si>
    <t>9763-20170724T104615.987095600.bin</t>
  </si>
  <si>
    <t>-771.049957034048 56.7208146463774 -512.41571397338</t>
  </si>
  <si>
    <t>-691.615031445362 115.064156753779 -235.148142925732</t>
  </si>
  <si>
    <t>-454.703016527267 156.352822718403 -249.940599709098</t>
  </si>
  <si>
    <t>-714.787958415719 12.6814738115579 -80.8595947641396</t>
  </si>
  <si>
    <t>-695.649219865874 -8.20692759915732 321.697279904847</t>
  </si>
  <si>
    <t>-751.456388499137 -32.818456175456 765.532117503115</t>
  </si>
  <si>
    <t>-607.281211816036 -6.27676721405487 825.501683991916</t>
  </si>
  <si>
    <t>-508.282802927664 -208.38988194105 296.37572049706</t>
  </si>
  <si>
    <t>-598.272626064683 -218.072385199427 734.814258843525</t>
  </si>
  <si>
    <t>-490.76759595371 -303.38798465293 813.878876081118</t>
  </si>
  <si>
    <t>9763-20170724T104616.048757800.bin</t>
  </si>
  <si>
    <t>-770.543248244124 57.4310925470431 -512.439518419423</t>
  </si>
  <si>
    <t>-692.294998969939 115.269920330124 -234.729140840811</t>
  </si>
  <si>
    <t>-455.297494517635 155.820448799143 -250.178561649277</t>
  </si>
  <si>
    <t>-714.170037348135 13.0380504642908 -80.845050796092</t>
  </si>
  <si>
    <t>-695.307769183753 -8.00383728489146 321.716923055124</t>
  </si>
  <si>
    <t>-751.439630953947 -32.7791415325912 765.524646409525</t>
  </si>
  <si>
    <t>-607.264762546905 -6.24419255960584 825.497944825422</t>
  </si>
  <si>
    <t>-508.176923640044 -208.314594557829 296.376291938987</t>
  </si>
  <si>
    <t>-598.233288522287 -217.896909428388 734.784057401097</t>
  </si>
  <si>
    <t>-490.599991553516 -303.048312441595 813.851222583225</t>
  </si>
  <si>
    <t>9763-20170724T104616.081346300.bin</t>
  </si>
  <si>
    <t>-770.400660397029 57.6233939542224 -512.418405642057</t>
  </si>
  <si>
    <t>-692.819973420851 115.069581415623 -234.439306927968</t>
  </si>
  <si>
    <t>-455.789737535893 155.264780781073 -250.309930772931</t>
  </si>
  <si>
    <t>-713.870772457084 13.0916897946731 -80.835863239077</t>
  </si>
  <si>
    <t>-695.135908892706 -7.99634247969175 321.729611854758</t>
  </si>
  <si>
    <t>-751.419696168802 -32.8417615043907 765.516414215695</t>
  </si>
  <si>
    <t>-607.148353563655 -6.7892161809109 825.469266186455</t>
  </si>
  <si>
    <t>-508.1015585148 -208.312364539121 296.380018565814</t>
  </si>
  <si>
    <t>-598.286412505582 -217.982836953396 734.778282690544</t>
  </si>
  <si>
    <t>-490.644125082267 -303.118977691914 813.849541475932</t>
  </si>
  <si>
    <t>9763-20170724T104616.152037200.bin</t>
  </si>
  <si>
    <t>-770.299455635846 58.1001814189967 -512.387274762424</t>
  </si>
  <si>
    <t>-694.203126690862 114.692514836532 -233.823281018315</t>
  </si>
  <si>
    <t>-457.109692826261 154.205371837591 -250.446142446671</t>
  </si>
  <si>
    <t>-713.562450633026 13.3762203630529 -80.8026943345291</t>
  </si>
  <si>
    <t>-694.918094026275 -7.88391476770767 321.757926591486</t>
  </si>
  <si>
    <t>-751.476188599318 -32.8771823032323 765.488883246842</t>
  </si>
  <si>
    <t>-607.250800984413 -6.21657511140256 825.284825187306</t>
  </si>
  <si>
    <t>-508.061864221944 -208.238456184619 296.359172105279</t>
  </si>
  <si>
    <t>-598.396262354379 -218.231229198069 734.733905939678</t>
  </si>
  <si>
    <t>-490.634508143331 -303.188591291797 813.834784581198</t>
  </si>
  <si>
    <t>9763-20170724T104616.184626800.bin</t>
  </si>
  <si>
    <t>-770.230873417532 58.325829228841 -512.357670140441</t>
  </si>
  <si>
    <t>-694.932702510597 114.479415046261 -233.488232327092</t>
  </si>
  <si>
    <t>-457.802450486245 153.644199010814 -250.405426142471</t>
  </si>
  <si>
    <t>-713.409378508494 13.4331670445022 -80.799536574399</t>
  </si>
  <si>
    <t>-694.809717254973 -7.84674795883006 321.762151539151</t>
  </si>
  <si>
    <t>-751.514733381748 -32.9450879519588 765.452843307262</t>
  </si>
  <si>
    <t>-607.223070936016 -6.39638390415053 825.13843638663</t>
  </si>
  <si>
    <t>-507.987558399655 -208.154942505232 296.342868621698</t>
  </si>
  <si>
    <t>-598.39618254581 -218.233067542056 734.694727876981</t>
  </si>
  <si>
    <t>-490.646120831169 -303.182203003737 813.820334484408</t>
  </si>
  <si>
    <t>9763-20170724T104616.249300000.bin</t>
  </si>
  <si>
    <t>-770.164743603709 58.6993830680842 -512.241909567315</t>
  </si>
  <si>
    <t>-696.525432152454 113.707736790716 -232.702034784098</t>
  </si>
  <si>
    <t>-459.407745165965 152.535360281267 -250.547932566021</t>
  </si>
  <si>
    <t>-713.246892089477 13.6610544850316 -80.8007586331092</t>
  </si>
  <si>
    <t>-694.662501986138 -7.72311717601451 321.756127542657</t>
  </si>
  <si>
    <t>-751.48046472589 -32.9348793131446 765.42760187935</t>
  </si>
  <si>
    <t>-607.309728331893 -5.73844524113247 825.113957737773</t>
  </si>
  <si>
    <t>-507.849114289225 -208.060926321914 296.301158630698</t>
  </si>
  <si>
    <t>-598.426689059848 -218.261492606258 734.639169532584</t>
  </si>
  <si>
    <t>-490.345452990483 -302.786664339412 813.767091884002</t>
  </si>
  <si>
    <t>9763-20170724T104616.281888500.bin</t>
  </si>
  <si>
    <t>-770.186291080149 58.9518985048014 -512.216042727503</t>
  </si>
  <si>
    <t>-697.316996137265 113.248536773022 -232.33547562162</t>
  </si>
  <si>
    <t>-460.208779531573 151.910695569438 -250.660229610208</t>
  </si>
  <si>
    <t>-713.199971301315 13.7791095479811 -80.7822489979667</t>
  </si>
  <si>
    <t>-694.611006575373 -7.61640491641288 321.773776782736</t>
  </si>
  <si>
    <t>-751.416970025733 -32.8946331074246 765.448210771737</t>
  </si>
  <si>
    <t>-607.228044591157 -6.03159666009583 825.241353677961</t>
  </si>
  <si>
    <t>-507.820272216475 -207.985375079286 296.281750897547</t>
  </si>
  <si>
    <t>-598.4126921941 -218.180907823468 734.609764613116</t>
  </si>
  <si>
    <t>-490.60636867697 -303.036767649189 813.758909170541</t>
  </si>
  <si>
    <t>9763-20170724T104616.347577300.bin</t>
  </si>
  <si>
    <t>-770.317008003384 59.3603427301525 -512.184914012583</t>
  </si>
  <si>
    <t>-698.928743898589 112.560929060713 -231.712678102649</t>
  </si>
  <si>
    <t>-461.835419622239 150.914517184729 -250.860210706003</t>
  </si>
  <si>
    <t>-713.198561661837 13.9778268547693 -80.775847625105</t>
  </si>
  <si>
    <t>-694.750834009538 -7.40877292073333 321.787156053349</t>
  </si>
  <si>
    <t>-751.339707312557 -32.8411680850163 765.485083055762</t>
  </si>
  <si>
    <t>-607.218368827229 -5.84664596792663 825.381955288827</t>
  </si>
  <si>
    <t>-507.94144026157 -207.649077240396 296.260364221841</t>
  </si>
  <si>
    <t>-598.387401732722 -217.970003578735 734.610963860939</t>
  </si>
  <si>
    <t>-490.890237107776 -303.229320386898 813.746927745455</t>
  </si>
  <si>
    <t>9763-20170724T104616.386174400.bin</t>
  </si>
  <si>
    <t>-770.441318044916 59.4986894085721 -512.171240818743</t>
  </si>
  <si>
    <t>-699.726902026755 112.276737141365 -231.448638872498</t>
  </si>
  <si>
    <t>-462.622395716288 150.383004267144 -250.948759710455</t>
  </si>
  <si>
    <t>-713.336155058507 14.0762092686489 -80.7829105423488</t>
  </si>
  <si>
    <t>-694.845878978502 -7.33129116592727 321.77697844948</t>
  </si>
  <si>
    <t>-751.341356320933 -32.7770567669263 765.486019200609</t>
  </si>
  <si>
    <t>-607.242156143131 -5.68099759546271 825.390231481356</t>
  </si>
  <si>
    <t>-508.056460751022 -207.573177845695 296.259903556272</t>
  </si>
  <si>
    <t>-598.424615123001 -217.975224502309 734.625923206685</t>
  </si>
  <si>
    <t>-490.963466370647 -303.298365042802 813.741970321372</t>
  </si>
  <si>
    <t>9763-20170724T104616.447847200.bin</t>
  </si>
  <si>
    <t>-770.897601125347 59.5305760425529 -512.125285927643</t>
  </si>
  <si>
    <t>-701.688637166976 111.735922322887 -230.920805088042</t>
  </si>
  <si>
    <t>-464.573268234866 149.344986828031 -251.236822850296</t>
  </si>
  <si>
    <t>-713.734528031388 14.0329849466586 -80.8059946328458</t>
  </si>
  <si>
    <t>-695.091763777823 -7.30770803289397 321.750478380297</t>
  </si>
  <si>
    <t>-751.310980481679 -32.7942700771462 765.482094389717</t>
  </si>
  <si>
    <t>-607.170381096788 -5.91549575827639 825.384798056746</t>
  </si>
  <si>
    <t>-508.358025347485 -207.628850391625 296.270211705637</t>
  </si>
  <si>
    <t>-598.556187405198 -218.157827910399 734.644226007129</t>
  </si>
  <si>
    <t>-490.857990611219 -303.220370987538 813.718668279903</t>
  </si>
  <si>
    <t>9763-20170724T104616.483437200.bin</t>
  </si>
  <si>
    <t>-771.379533807297 59.4327838254055 -512.092618753472</t>
  </si>
  <si>
    <t>-702.872023476812 111.361483709342 -230.665293778557</t>
  </si>
  <si>
    <t>-465.757864224131 148.768202885987 -251.366209653748</t>
  </si>
  <si>
    <t>-713.955096704866 13.934770162979 -80.8442735158126</t>
  </si>
  <si>
    <t>-695.289184548334 -7.30695838099496 321.716366672028</t>
  </si>
  <si>
    <t>-751.281270502599 -32.7968136487648 765.48067543688</t>
  </si>
  <si>
    <t>-607.137959134326 -5.99108008921803 825.409476931287</t>
  </si>
  <si>
    <t>-508.511038322431 -207.679581426485 296.261707441767</t>
  </si>
  <si>
    <t>-598.660733142886 -218.337010908254 734.663173287947</t>
  </si>
  <si>
    <t>-490.882040137148 -303.311355012274 813.722814108606</t>
  </si>
  <si>
    <t>9763-20170724T104616.550619600.bin</t>
  </si>
  <si>
    <t>-772.856647702593 59.3182868693748 -512.02440313719</t>
  </si>
  <si>
    <t>-705.560460119627 110.624156991961 -230.190964046495</t>
  </si>
  <si>
    <t>-468.468153917496 147.785624713677 -251.57142076241</t>
  </si>
  <si>
    <t>-714.534263369381 13.9710065423888 -80.8818570266102</t>
  </si>
  <si>
    <t>-695.560512712444 -7.18817011177475 321.668699232427</t>
  </si>
  <si>
    <t>-751.258441853994 -32.7286100807783 765.487674151166</t>
  </si>
  <si>
    <t>-607.092035839123 -6.10844573773488 825.443684325146</t>
  </si>
  <si>
    <t>-508.789135300626 -207.464585765429 296.227261621989</t>
  </si>
  <si>
    <t>-598.549914576365 -217.962648743671 734.671444436406</t>
  </si>
  <si>
    <t>-491.108356637201 -303.365191326617 813.728359542258</t>
  </si>
  <si>
    <t>9763-20170724T104616.583716600.bin</t>
  </si>
  <si>
    <t>-773.836548312509 59.2244573236439 -511.975043372283</t>
  </si>
  <si>
    <t>-707.092226287681 110.19516163701 -229.949560572429</t>
  </si>
  <si>
    <t>-469.999176766112 147.188578588487 -251.612089045816</t>
  </si>
  <si>
    <t>-714.929142657417 13.9753698651598 -80.8943122515589</t>
  </si>
  <si>
    <t>-695.744830480628 -7.10996679810751 321.650138397725</t>
  </si>
  <si>
    <t>-751.252891681301 -32.6994939634289 765.481584362752</t>
  </si>
  <si>
    <t>-607.106085562116 -5.96915547059393 825.435715810845</t>
  </si>
  <si>
    <t>-508.966797762802 -207.445913109309 296.194465592527</t>
  </si>
  <si>
    <t>-598.675805043716 -218.190503094302 734.681718878284</t>
  </si>
  <si>
    <t>-491.316573432601 -303.695222087804 813.740148679025</t>
  </si>
  <si>
    <t>9763-20170724T104616.648894700.bin</t>
  </si>
  <si>
    <t>-776.033571656943 59.001382982618 -511.823673656265</t>
  </si>
  <si>
    <t>-710.100095742253 109.444286926043 -229.512732974221</t>
  </si>
  <si>
    <t>-473.01813253595 146.176600833425 -251.733710003966</t>
  </si>
  <si>
    <t>-715.856715790624 13.974481240796 -80.9229694326108</t>
  </si>
  <si>
    <t>-696.179051615362 -7.00143023676105 321.6034036817</t>
  </si>
  <si>
    <t>-751.220267319914 -32.6096963669042 765.487644905748</t>
  </si>
  <si>
    <t>-607.142179017219 -5.62581021077222 825.49322902316</t>
  </si>
  <si>
    <t>-509.34433370158 -207.26319324915 296.135875220665</t>
  </si>
  <si>
    <t>-598.632310153294 -218.026114131078 734.670305993284</t>
  </si>
  <si>
    <t>-491.112230218674 -303.328787320641 813.728285825364</t>
  </si>
  <si>
    <t>9763-20170724T104616.688001000.bin</t>
  </si>
  <si>
    <t>-777.001265607925 58.9074641786542 -511.783413105582</t>
  </si>
  <si>
    <t>-711.415896379953 109.214291072242 -229.366939257532</t>
  </si>
  <si>
    <t>-474.324168472259 145.77300009635 -251.768146418326</t>
  </si>
  <si>
    <t>-716.294220161753 13.9712501568476 -80.9485337554729</t>
  </si>
  <si>
    <t>-696.434036847233 -6.94983982072063 321.571711728823</t>
  </si>
  <si>
    <t>-751.176113879317 -32.5632329001683 765.498285545611</t>
  </si>
  <si>
    <t>-607.089588651689 -5.78265872374436 825.574857701356</t>
  </si>
  <si>
    <t>-509.444056304656 -206.978377579191 296.108337108247</t>
  </si>
  <si>
    <t>-598.597369378544 -217.895857003232 734.674595346933</t>
  </si>
  <si>
    <t>-491.609452329661 -303.837525003947 813.762619202114</t>
  </si>
  <si>
    <t>9763-20170724T104616.750172000.bin</t>
  </si>
  <si>
    <t>-779.126398325974 58.0856082210714 -511.76288980145</t>
  </si>
  <si>
    <t>-713.96702657044 108.36656754386 -229.243295170018</t>
  </si>
  <si>
    <t>-476.868976659689 144.6268953704 -252.059574997848</t>
  </si>
  <si>
    <t>-717.333631590006 13.8146682730842 -80.9864043036249</t>
  </si>
  <si>
    <t>-697.069631685532 -6.90755416729189 321.523978528621</t>
  </si>
  <si>
    <t>-751.106881912615 -32.4532014338213 765.532430995408</t>
  </si>
  <si>
    <t>-607.039036113586 -5.85966745839369 825.736485170232</t>
  </si>
  <si>
    <t>-509.858451976027 -206.819532299058 296.078436302414</t>
  </si>
  <si>
    <t>-598.764094046027 -218.147280385538 734.720357282964</t>
  </si>
  <si>
    <t>-491.180054587356 -303.394800924914 813.750827396426</t>
  </si>
  <si>
    <t>9763-20170724T104616.818870300.bin</t>
  </si>
  <si>
    <t>-781.490132602673 56.9110029512519 -511.794694495127</t>
  </si>
  <si>
    <t>-716.713675214658 107.290752310556 -229.20475152586</t>
  </si>
  <si>
    <t>-479.601973589851 143.216054443767 -252.406508631315</t>
  </si>
  <si>
    <t>-718.478126834884 13.5188359380377 -81.0205024431143</t>
  </si>
  <si>
    <t>-697.75223712234 -6.95653214340814 321.478955220904</t>
  </si>
  <si>
    <t>-751.072263636032 -32.3332083073965 765.550895564346</t>
  </si>
  <si>
    <t>-607.000135538624 -5.98087623785341 825.850900070994</t>
  </si>
  <si>
    <t>-510.4992211358 -206.782913323842 296.085820491743</t>
  </si>
  <si>
    <t>-598.994739368605 -218.496037000011 734.81863153482</t>
  </si>
  <si>
    <t>-490.837464176474 -303.092168625479 813.766691052902</t>
  </si>
  <si>
    <t>9763-20170724T104616.850957400.bin</t>
  </si>
  <si>
    <t>-782.708275877079 56.5665189642691 -511.763513282129</t>
  </si>
  <si>
    <t>-718.170961624431 106.927881065225 -229.115403996998</t>
  </si>
  <si>
    <t>-481.048649137985 142.657026419835 -252.509699280589</t>
  </si>
  <si>
    <t>-719.026574490144 13.5573280256331 -81.0329454699034</t>
  </si>
  <si>
    <t>-698.057326666545 -6.85160493668604 321.457364279709</t>
  </si>
  <si>
    <t>-751.09346916227 -32.1930703881214 765.561678298557</t>
  </si>
  <si>
    <t>-607.146985395757 -5.21314109761693 825.88404264399</t>
  </si>
  <si>
    <t>-510.617469623463 -206.453750110885 296.064567062006</t>
  </si>
  <si>
    <t>-598.85457485598 -218.082625987682 734.849864223673</t>
  </si>
  <si>
    <t>-491.410698806696 -303.569399613315 813.812586568093</t>
  </si>
  <si>
    <t>9763-20170724T104616.883055500.bin</t>
  </si>
  <si>
    <t>-784.047190495984 56.2525472832031 -511.671920471569</t>
  </si>
  <si>
    <t>-719.698393188325 106.552577750387 -228.970030942974</t>
  </si>
  <si>
    <t>-482.55712474342 142.060742823613 -252.508044086484</t>
  </si>
  <si>
    <t>-719.581618649415 13.5032498875212 -81.0160182999998</t>
  </si>
  <si>
    <t>-698.460951250314 -6.82702154192907 321.470379063871</t>
  </si>
  <si>
    <t>-751.076346536454 -32.1590509554937 765.581974839448</t>
  </si>
  <si>
    <t>-607.095843717196 -5.44675791123041 825.942279708603</t>
  </si>
  <si>
    <t>-510.790397624098 -206.585116774471 296.005944911513</t>
  </si>
  <si>
    <t>-598.99229442213 -218.303257835335 734.869065821284</t>
  </si>
  <si>
    <t>-491.168387380227 -303.362714627454 813.775210461774</t>
  </si>
  <si>
    <t>9763-20170724T104616.950237900.bin</t>
  </si>
  <si>
    <t>-786.653201322954 55.522611230748 -511.445624548011</t>
  </si>
  <si>
    <t>-722.693908090143 105.701613277929 -228.633823805002</t>
  </si>
  <si>
    <t>-485.507217554012 140.711495291452 -252.459381947593</t>
  </si>
  <si>
    <t>-720.703396169146 13.5191956925714 -80.9608986996529</t>
  </si>
  <si>
    <t>-699.300205657289 -6.642348418236 321.519021741192</t>
  </si>
  <si>
    <t>-751.053412288995 -32.1070357725598 765.647278927397</t>
  </si>
  <si>
    <t>-607.021421856868 -5.83700591989827 826.078758158651</t>
  </si>
  <si>
    <t>-510.897306861911 -206.826764416298 295.874704861365</t>
  </si>
  <si>
    <t>-599.123014965908 -218.466705500879 734.763002439719</t>
  </si>
  <si>
    <t>-491.037236194791 -303.229127525643 813.630653477644</t>
  </si>
  <si>
    <t>9763-20170724T104616.982826800.bin</t>
  </si>
  <si>
    <t>-787.867386223653 55.1195429476486 -511.370998978599</t>
  </si>
  <si>
    <t>-724.291385434608 105.218200885445 -228.458683402434</t>
  </si>
  <si>
    <t>-487.087734114731 139.971136673441 -252.49030152085</t>
  </si>
  <si>
    <t>-721.336053152417 13.5616725726352 -80.9695801626158</t>
  </si>
  <si>
    <t>-699.684661494098 -6.57732458602527 321.498184746092</t>
  </si>
  <si>
    <t>-751.050911430418 -32.0798031951288 765.66366264142</t>
  </si>
  <si>
    <t>-607.067802212013 -5.60519716591261 826.122471673214</t>
  </si>
  <si>
    <t>-510.930746942512 -206.602059280374 295.817605531721</t>
  </si>
  <si>
    <t>-599.040315367151 -218.226785216276 734.704986174676</t>
  </si>
  <si>
    <t>-491.155040415837 -303.230206526397 813.587680080588</t>
  </si>
  <si>
    <t>9763-20170724T104617.050519100.bin</t>
  </si>
  <si>
    <t>-790.196258505841 54.3326350498619 -511.277132211948</t>
  </si>
  <si>
    <t>-727.784697236907 104.119527719771 -228.050528970486</t>
  </si>
  <si>
    <t>-490.563143926717 138.41667829037 -252.555972019783</t>
  </si>
  <si>
    <t>-722.406007627994 13.4033629771636 -81.0260124502987</t>
  </si>
  <si>
    <t>-700.275742337543 -6.56742998188088 321.424028810164</t>
  </si>
  <si>
    <t>-751.013813915684 -32.1052775826834 765.678665618255</t>
  </si>
  <si>
    <t>-607.028342907323 -5.78295347890798 826.198263716408</t>
  </si>
  <si>
    <t>-511.273265888686 -206.378535504473 295.722218197693</t>
  </si>
  <si>
    <t>-599.159962647262 -218.384829654765 734.661938163777</t>
  </si>
  <si>
    <t>-491.175222247191 -303.271535651621 813.534156880651</t>
  </si>
  <si>
    <t>9763-20170724T104617.082100500.bin</t>
  </si>
  <si>
    <t>-791.241434183938 53.9734405470363 -511.255912140031</t>
  </si>
  <si>
    <t>-729.410423006777 103.578516480574 -227.870185216265</t>
  </si>
  <si>
    <t>-492.190843806822 137.685421586847 -252.658407240584</t>
  </si>
  <si>
    <t>-722.997694022237 13.3083523598589 -81.0760823748168</t>
  </si>
  <si>
    <t>-700.56736895861 -6.55681506914289 321.362606037103</t>
  </si>
  <si>
    <t>-751.012410498391 -32.0879363706154 765.672351455453</t>
  </si>
  <si>
    <t>-606.974894440206 -6.11042083760822 826.217047499849</t>
  </si>
  <si>
    <t>-511.504375425304 -206.155191717295 295.71714401013</t>
  </si>
  <si>
    <t>-599.183106309389 -218.373906138629 734.673675042265</t>
  </si>
  <si>
    <t>-491.225327170494 -303.298679393357 813.54194246238</t>
  </si>
  <si>
    <t>9763-20170724T104617.149281200.bin</t>
  </si>
  <si>
    <t>-793.117061666144 53.5160444206806 -511.204742878561</t>
  </si>
  <si>
    <t>-732.77837415665 102.639924481679 -227.413871435497</t>
  </si>
  <si>
    <t>-495.6065736926 136.413940697988 -253.098637236861</t>
  </si>
  <si>
    <t>-724.126914107461 13.3074399170623 -81.1387457993384</t>
  </si>
  <si>
    <t>-701.362503843928 -6.41097239676742 321.288412756439</t>
  </si>
  <si>
    <t>-751.029603668222 -31.9881233027072 765.668186491812</t>
  </si>
  <si>
    <t>-607.051712890162 -5.77576218410377 826.253397563064</t>
  </si>
  <si>
    <t>-511.888012568661 -205.884019717589 295.660089680567</t>
  </si>
  <si>
    <t>-599.177182210257 -218.192572706461 734.711018154678</t>
  </si>
  <si>
    <t>-491.373310386035 -303.33340597605 813.5568879763</t>
  </si>
  <si>
    <t>9763-20170724T104617.181376000.bin</t>
  </si>
  <si>
    <t>-793.888753612952 53.2487726843181 -511.176629326594</t>
  </si>
  <si>
    <t>-734.353590713527 102.164037174389 -227.180190359573</t>
  </si>
  <si>
    <t>-497.214775104864 135.832500377742 -253.304988775586</t>
  </si>
  <si>
    <t>-724.749953442162 13.2217840992498 -81.1751195239922</t>
  </si>
  <si>
    <t>-701.7587720342 -6.41094024615836 321.243428336632</t>
  </si>
  <si>
    <t>-750.999149408962 -32.026470661443 765.65191530252</t>
  </si>
  <si>
    <t>-607.047196847917 -5.69998241494341 826.249375729892</t>
  </si>
  <si>
    <t>-512.141634914229 -205.892585882521 295.636416442558</t>
  </si>
  <si>
    <t>-599.29217555066 -218.353179141137 734.730014459536</t>
  </si>
  <si>
    <t>-491.331724137081 -303.326674174515 813.542116946125</t>
  </si>
  <si>
    <t>9763-20170724T104617.247054500.bin</t>
  </si>
  <si>
    <t>-795.105361068096 52.6669919305134 -511.149116790357</t>
  </si>
  <si>
    <t>-737.151637600694 101.148911066314 -226.751452210665</t>
  </si>
  <si>
    <t>-500.079073014928 134.777290789365 -253.521005992498</t>
  </si>
  <si>
    <t>-725.831144284701 13.0195649024774 -81.2473758888649</t>
  </si>
  <si>
    <t>-702.266116619176 -6.42759521157768 321.146834690578</t>
  </si>
  <si>
    <t>-751.003582196938 -32.0181325236956 765.623146434103</t>
  </si>
  <si>
    <t>-607.018149277391 -5.86356586493389 826.215325641328</t>
  </si>
  <si>
    <t>-512.436678167613 -205.687883742138 295.592856290757</t>
  </si>
  <si>
    <t>-599.309245639853 -218.249180312597 734.719962315414</t>
  </si>
  <si>
    <t>-491.264249507815 -303.141238487668 813.503862308334</t>
  </si>
  <si>
    <t>9763-20170724T104617.280645900.bin</t>
  </si>
  <si>
    <t>-795.650174353241 52.4498601833027 -511.154224657471</t>
  </si>
  <si>
    <t>-738.411266828801 100.779379672734 -226.585887717967</t>
  </si>
  <si>
    <t>-501.369793164041 134.430772299473 -253.600623212341</t>
  </si>
  <si>
    <t>-726.382877674855 12.9895735982311 -81.2756263600754</t>
  </si>
  <si>
    <t>-702.508560917887 -6.31427026582605 321.107332754649</t>
  </si>
  <si>
    <t>-751.123278562821 -31.7982453206932 765.609330512669</t>
  </si>
  <si>
    <t>-607.045236751874 -6.14082437017464 826.194228792348</t>
  </si>
  <si>
    <t>-512.540655604249 -205.44137295015 295.566340868807</t>
  </si>
  <si>
    <t>-599.315702641015 -218.212358554628 734.71027054187</t>
  </si>
  <si>
    <t>-491.58496967177 -303.481021441731 813.517961219782</t>
  </si>
  <si>
    <t>9763-20170724T104617.346823000.bin</t>
  </si>
  <si>
    <t>-796.678422624604 51.5811178367858 -511.12616631116</t>
  </si>
  <si>
    <t>-740.636253437805 99.5160673572018 -226.252976319453</t>
  </si>
  <si>
    <t>-503.681728560361 133.326547721275 -253.826436462145</t>
  </si>
  <si>
    <t>-727.25774967603 12.6530430167147 -81.3539513497659</t>
  </si>
  <si>
    <t>-703.042182583179 -6.46558547266613 321.01751045297</t>
  </si>
  <si>
    <t>-751.023631959168 -32.0004557877667 765.563096183463</t>
  </si>
  <si>
    <t>-607.017164757357 -5.91867763498567 826.136848524748</t>
  </si>
  <si>
    <t>-512.68755611871 -205.315374118202 295.516409944306</t>
  </si>
  <si>
    <t>-599.321108214409 -218.144111247957 734.695574884491</t>
  </si>
  <si>
    <t>-491.168192220843 -302.891303373933 813.487462943714</t>
  </si>
  <si>
    <t>9763-20170724T104617.384926100.bin</t>
  </si>
  <si>
    <t>-797.195170148825 51.1074739272294 -511.121716496961</t>
  </si>
  <si>
    <t>-741.653854241942 98.9495772687926 -226.134923739602</t>
  </si>
  <si>
    <t>-504.737203049566 132.811372032569 -253.969658678568</t>
  </si>
  <si>
    <t>-727.711890711551 12.5957588331335 -81.3850067509793</t>
  </si>
  <si>
    <t>-703.42086600062 -6.44515814790407 320.985586700822</t>
  </si>
  <si>
    <t>-751.068294407498 -31.9218390917736 765.543096971783</t>
  </si>
  <si>
    <t>-607.023804570374 -6.07826566617246 826.128460499872</t>
  </si>
  <si>
    <t>-512.697908958045 -205.195232342458 295.48298802964</t>
  </si>
  <si>
    <t>-599.379060054281 -218.220909173649 734.670387920177</t>
  </si>
  <si>
    <t>-491.094811368912 -302.805074994409 813.456963949114</t>
  </si>
  <si>
    <t>9763-20170724T104617.417012500.bin</t>
  </si>
  <si>
    <t>-797.584597875829 50.7401918827234 -511.125411710464</t>
  </si>
  <si>
    <t>-742.561446363367 98.650611184142 -226.04960513935</t>
  </si>
  <si>
    <t>-505.661269950105 132.508243278302 -254.028569643243</t>
  </si>
  <si>
    <t>-728.237160900075 12.539236326412 -81.419093469592</t>
  </si>
  <si>
    <t>-703.718978053334 -6.44488635893617 320.940343322228</t>
  </si>
  <si>
    <t>-751.018480370873 -32.0202959933297 765.530617785192</t>
  </si>
  <si>
    <t>-606.982866552955 -6.12938953667253 826.116995404156</t>
  </si>
  <si>
    <t>-512.605291153693 -204.917063521716 295.42347764969</t>
  </si>
  <si>
    <t>-599.308900441748 -218.016240907048 734.619397654734</t>
  </si>
  <si>
    <t>-491.254784698481 -302.872272249193 813.429513888858</t>
  </si>
  <si>
    <t>9763-20170724T104617.483208700.bin</t>
  </si>
  <si>
    <t>-798.55393766105 50.2278187389338 -510.936813546649</t>
  </si>
  <si>
    <t>-743.88593913402 98.786472113228 -225.902298033334</t>
  </si>
  <si>
    <t>-507.006175622629 132.594079309788 -254.11379368568</t>
  </si>
  <si>
    <t>-729.419640866754 12.3115011077023 -81.4542598165797</t>
  </si>
  <si>
    <t>-704.200703765451 -6.54360734875922 320.867889050478</t>
  </si>
  <si>
    <t>-750.97527520257 -32.1048901210409 765.481590577285</t>
  </si>
  <si>
    <t>-606.970178268045 -6.07810553857007 826.082158449077</t>
  </si>
  <si>
    <t>-512.529876419673 -204.625108502113 295.262882564784</t>
  </si>
  <si>
    <t>-599.367511212502 -218.083871365533 734.479518534738</t>
  </si>
  <si>
    <t>-490.944047069459 -302.460208722311 813.297541528339</t>
  </si>
  <si>
    <t>9763-20170724T104617.547874400.bin</t>
  </si>
  <si>
    <t>-799.42768004004 50.2545157296875 -510.658051533227</t>
  </si>
  <si>
    <t>-744.905144833295 98.5887869580124 -225.557505261262</t>
  </si>
  <si>
    <t>-508.208396094358 133.058334982069 -254.494869132814</t>
  </si>
  <si>
    <t>-730.487711275995 12.3070270720484 -81.5501903021654</t>
  </si>
  <si>
    <t>-705.043863156523 -6.34562458051846 320.767343336493</t>
  </si>
  <si>
    <t>-751.047495532467 -31.9452718049556 765.415469121374</t>
  </si>
  <si>
    <t>-607.032925569007 -6.08953052786865 826.06692127283</t>
  </si>
  <si>
    <t>-512.419029039385 -204.004376542696 295.155579958008</t>
  </si>
  <si>
    <t>-599.362721012269 -217.95428021238 734.332479595312</t>
  </si>
  <si>
    <t>-491.101222850682 -302.531052013185 813.158374779869</t>
  </si>
  <si>
    <t>9763-20170724T104617.584000800.bin</t>
  </si>
  <si>
    <t>-799.759781450337 50.3003218797819 -510.549087301636</t>
  </si>
  <si>
    <t>-745.543435947745 98.3328323859371 -225.33920603126</t>
  </si>
  <si>
    <t>-508.941526372112 133.031176814118 -254.774041649698</t>
  </si>
  <si>
    <t>-730.995224009692 12.2873537257226 -81.6162812787693</t>
  </si>
  <si>
    <t>-705.416807975969 -6.3021185618361 320.695679871944</t>
  </si>
  <si>
    <t>-751.035609217193 -31.9709610713803 765.388526153163</t>
  </si>
  <si>
    <t>-607.057090780034 -5.95414218647238 826.056549306953</t>
  </si>
  <si>
    <t>-512.361655033879 -203.704403195964 295.074898359719</t>
  </si>
  <si>
    <t>-599.305794570677 -217.783706238585 734.246480969756</t>
  </si>
  <si>
    <t>-491.167073247367 -302.497806149384 813.093393782462</t>
  </si>
  <si>
    <t>9763-20170724T104617.649188800.bin</t>
  </si>
  <si>
    <t>-800.302055435816 50.2730853466574 -510.401916870221</t>
  </si>
  <si>
    <t>-747.237565684501 97.7481252910954 -224.882208289154</t>
  </si>
  <si>
    <t>-510.787216667657 132.525052041742 -255.421727304286</t>
  </si>
  <si>
    <t>-731.970559396406 12.1134241882908 -81.7187684238698</t>
  </si>
  <si>
    <t>-706.292256489799 -6.26776955973696 320.596286193685</t>
  </si>
  <si>
    <t>-751.09412574796 -31.8943693533536 765.350519480785</t>
  </si>
  <si>
    <t>-607.091098987332 -6.10517202399569 826.057402176863</t>
  </si>
  <si>
    <t>-512.311586132528 -203.397627437815 294.936147726348</t>
  </si>
  <si>
    <t>-599.38429189434 -217.83479376666 734.089146072446</t>
  </si>
  <si>
    <t>-490.871099142252 -302.082567969946 812.92117346987</t>
  </si>
  <si>
    <t>9763-20170724T104617.685792600.bin</t>
  </si>
  <si>
    <t>-800.440728521695 50.0934149982129 -510.403437081004</t>
  </si>
  <si>
    <t>-748.247445866975 97.27071074378 -224.673864517882</t>
  </si>
  <si>
    <t>-511.864832399238 132.020179905691 -255.764804483935</t>
  </si>
  <si>
    <t>-732.364923343772 12.0159858572927 -81.7578966594556</t>
  </si>
  <si>
    <t>-706.698453969488 -6.29038259974004 320.561365133872</t>
  </si>
  <si>
    <t>-751.1556897655 -31.801831983985 765.337353527417</t>
  </si>
  <si>
    <t>-607.113215703823 -6.30318008224299 826.073640473403</t>
  </si>
  <si>
    <t>-512.365738821872 -203.356894816628 294.883774597099</t>
  </si>
  <si>
    <t>-599.465565371535 -217.936443088493 734.019891128654</t>
  </si>
  <si>
    <t>-490.606167361117 -301.763887685088 812.822748482947</t>
  </si>
  <si>
    <t>9763-20170724T104617.751971100.bin</t>
  </si>
  <si>
    <t>-800.352388310211 50.2354853043319 -510.609269627</t>
  </si>
  <si>
    <t>-750.762715292444 96.609107066053 -224.285019280207</t>
  </si>
  <si>
    <t>-514.60475133485 131.383574166086 -257.011323191073</t>
  </si>
  <si>
    <t>-733.179938059925 11.8901299574507 -81.8793775057817</t>
  </si>
  <si>
    <t>-707.611464189641 -6.3664455758742 320.448385267952</t>
  </si>
  <si>
    <t>-751.121279091429 -31.9400151790869 765.316928611836</t>
  </si>
  <si>
    <t>-607.158145345616 -6.0944424689967 826.09452418531</t>
  </si>
  <si>
    <t>-512.456224290704 -202.966569612149 294.738426615715</t>
  </si>
  <si>
    <t>-599.387327921341 -217.70863902575 733.835723976228</t>
  </si>
  <si>
    <t>-490.763843187955 -301.808587505235 812.67377067344</t>
  </si>
  <si>
    <t>9763-20170724T104617.785077300.bin</t>
  </si>
  <si>
    <t>-800.287872329858 50.260997415575 -510.722598549946</t>
  </si>
  <si>
    <t>-752.344478951145 96.1988853533305 -224.048069590364</t>
  </si>
  <si>
    <t>-516.279045126094 130.771040572477 -257.644928284582</t>
  </si>
  <si>
    <t>-733.546954297006 11.5366628476713 -81.9779060342692</t>
  </si>
  <si>
    <t>-707.844829102886 -6.34322580092726 320.358227843525</t>
  </si>
  <si>
    <t>-751.063900586678 -32.071104700974 765.306684638161</t>
  </si>
  <si>
    <t>-607.16169296048 -5.88992637358911 826.084961029282</t>
  </si>
  <si>
    <t>-512.52934846331 -202.523020568828 294.634241534748</t>
  </si>
  <si>
    <t>-599.229385607596 -217.287304614306 733.745579778382</t>
  </si>
  <si>
    <t>-491.182802022806 -302.078845230751 812.63561240558</t>
  </si>
  <si>
    <t>9763-20170724T104617.851262100.bin</t>
  </si>
  <si>
    <t>-800.411116384405 50.5508899332078 -510.650349781681</t>
  </si>
  <si>
    <t>-755.694533661311 95.5814803595474 -223.311019236027</t>
  </si>
  <si>
    <t>-519.804799604888 129.581244915297 -258.679429740065</t>
  </si>
  <si>
    <t>-734.197671555544 11.5266976949763 -81.9970775883047</t>
  </si>
  <si>
    <t>-707.58528202051 -6.36347344547698 320.279459838812</t>
  </si>
  <si>
    <t>-751.035335202605 -32.2020129375912 765.27736714911</t>
  </si>
  <si>
    <t>-607.106169523374 -6.15963097534086 826.051501647444</t>
  </si>
  <si>
    <t>-512.431835833052 -201.977605106927 294.528266069863</t>
  </si>
  <si>
    <t>-599.181508438369 -217.16158134869 733.610271808008</t>
  </si>
  <si>
    <t>-491.126308765333 -301.861472309605 812.586763517159</t>
  </si>
  <si>
    <t>9763-20170724T104617.883353500.bin</t>
  </si>
  <si>
    <t>-800.692885148617 50.6925679957785 -510.586781974244</t>
  </si>
  <si>
    <t>-757.2191138151 95.2917532902284 -222.989572611467</t>
  </si>
  <si>
    <t>-521.386942168144 129.00488028385 -259.00985217541</t>
  </si>
  <si>
    <t>-734.373215968628 11.463676836401 -81.9912989609734</t>
  </si>
  <si>
    <t>-707.500043303435 -6.36234930424257 320.270772520033</t>
  </si>
  <si>
    <t>-751.04513374229 -32.2068320859316 765.258094923259</t>
  </si>
  <si>
    <t>-607.146693364073 -5.99497764069883 826.031991281744</t>
  </si>
  <si>
    <t>-512.309793230267 -201.45232541269 294.521563760568</t>
  </si>
  <si>
    <t>-599.071732002015 -216.839268946373 733.568144481452</t>
  </si>
  <si>
    <t>-491.55544019998 -302.169915183738 812.601166975897</t>
  </si>
  <si>
    <t>9763-20170724T104617.951036900.bin</t>
  </si>
  <si>
    <t>-801.21990602483 50.4822924149421 -510.524379658545</t>
  </si>
  <si>
    <t>-759.781270164087 94.055774927579 -222.469850441799</t>
  </si>
  <si>
    <t>-524.006050080438 127.426202096575 -259.175839980341</t>
  </si>
  <si>
    <t>-734.521114671052 11.3522016823533 -82.0562907203711</t>
  </si>
  <si>
    <t>-707.455126260521 -6.36074092975832 320.197809946389</t>
  </si>
  <si>
    <t>-751.014480441826 -32.2817144495932 765.216882636607</t>
  </si>
  <si>
    <t>-607.109976098786 -6.13098044333742 826.00282067733</t>
  </si>
  <si>
    <t>-512.139225240875 -200.900950184761 294.585898590322</t>
  </si>
  <si>
    <t>-599.02574931921 -216.635417521713 733.525052011755</t>
  </si>
  <si>
    <t>-491.271904585763 -301.626926628651 812.60008823396</t>
  </si>
  <si>
    <t>9763-20170724T104617.984629700.bin</t>
  </si>
  <si>
    <t>-801.468051985075 50.4417648647673 -510.440188949527</t>
  </si>
  <si>
    <t>-761.015951581567 93.5214283314406 -222.171255612648</t>
  </si>
  <si>
    <t>-525.258309583988 126.648529863273 -259.20876608024</t>
  </si>
  <si>
    <t>-734.551781864082 11.3222632842619 -82.0748925237793</t>
  </si>
  <si>
    <t>-707.42775633854 -6.40420950305202 320.174700317066</t>
  </si>
  <si>
    <t>-750.973730618628 -32.3727418136734 765.206592975435</t>
  </si>
  <si>
    <t>-607.082669734552 -6.14436600824979 825.990967902463</t>
  </si>
  <si>
    <t>-511.95032752526 -200.682486283586 294.627907831459</t>
  </si>
  <si>
    <t>-599.058012562929 -216.642851590736 733.523611775442</t>
  </si>
  <si>
    <t>-491.418049301005 -301.748616237423 812.630757664518</t>
  </si>
  <si>
    <t>9763-20170724T104618.049805400.bin</t>
  </si>
  <si>
    <t>-802.114717619541 50.264255853567 -510.236341143996</t>
  </si>
  <si>
    <t>-763.546225832993 93.1676737852442 -221.683103737614</t>
  </si>
  <si>
    <t>-527.7654002043 125.453070411795 -259.311904400203</t>
  </si>
  <si>
    <t>-734.630470518623 11.1537300519553 -82.0844620447979</t>
  </si>
  <si>
    <t>-707.223441826014 -6.51774150718506 320.148340019596</t>
  </si>
  <si>
    <t>-750.874331622785 -32.570122153584 765.182341264997</t>
  </si>
  <si>
    <t>-607.032172369187 -6.07217867629402 825.965528719992</t>
  </si>
  <si>
    <t>-511.701391530525 -200.268645901578 294.693839267208</t>
  </si>
  <si>
    <t>-599.020977542709 -216.414181147517 733.51878186421</t>
  </si>
  <si>
    <t>-491.492447595428 -301.614696139523 812.675493613423</t>
  </si>
  <si>
    <t>9763-20170724T104618.078886800.bin</t>
  </si>
  <si>
    <t>-802.638682775239 50.0892747409762 -510.122980226064</t>
  </si>
  <si>
    <t>-765.071808831741 92.9196891369895 -221.426786204238</t>
  </si>
  <si>
    <t>-529.285223801202 124.794111768063 -259.368313591944</t>
  </si>
  <si>
    <t>-734.711167620822 11.1122949963153 -82.082463484189</t>
  </si>
  <si>
    <t>-707.245182865086 -6.52003166192799 320.147994892129</t>
  </si>
  <si>
    <t>-750.905266410673 -32.511879698495 765.173409513574</t>
  </si>
  <si>
    <t>-607.011951199976 -6.30929780381234 825.963356237132</t>
  </si>
  <si>
    <t>-511.602339088562 -200.16445261195 294.731636486611</t>
  </si>
  <si>
    <t>-599.096564093208 -216.483706383479 733.534315158842</t>
  </si>
  <si>
    <t>-491.365799123274 -301.434743697623 812.684196707338</t>
  </si>
  <si>
    <t>9763-20170724T104618.149076300.bin</t>
  </si>
  <si>
    <t>-803.861928762834 49.8754975111656 -509.943429096103</t>
  </si>
  <si>
    <t>-768.622429899077 92.4585992150217 -220.917343769238</t>
  </si>
  <si>
    <t>-532.834457888162 123.726339816922 -259.352504976526</t>
  </si>
  <si>
    <t>-734.9863231741 11.110911193548 -82.07922959609</t>
  </si>
  <si>
    <t>-707.35368030454 -6.46098909418697 320.142525108114</t>
  </si>
  <si>
    <t>-750.994136579162 -32.3472728934519 765.167242652365</t>
  </si>
  <si>
    <t>-607.033335905581 -6.54483694765554 825.96890850722</t>
  </si>
  <si>
    <t>-511.2958654916 -199.684755661355 294.790345367498</t>
  </si>
  <si>
    <t>-598.978527183154 -216.05273441386 733.509078100358</t>
  </si>
  <si>
    <t>-491.719321543504 -301.548844707456 812.712316862857</t>
  </si>
  <si>
    <t>9763-20170724T104618.181713200.bin</t>
  </si>
  <si>
    <t>-804.523251089913 49.6155958801676 -509.797415256215</t>
  </si>
  <si>
    <t>-770.342759994434 91.8819299178724 -220.59769145163</t>
  </si>
  <si>
    <t>-534.55803957039 122.899296425915 -259.254861261095</t>
  </si>
  <si>
    <t>-735.101436015053 10.9594553693751 -82.0777411361754</t>
  </si>
  <si>
    <t>-707.357817388487 -6.59453657530662 320.137071722825</t>
  </si>
  <si>
    <t>-750.89276938625 -32.5527588287653 765.162149759221</t>
  </si>
  <si>
    <t>-606.981140137982 -6.46474147622234 825.958142115422</t>
  </si>
  <si>
    <t>-511.199861758838 -199.578110497813 294.80919009049</t>
  </si>
  <si>
    <t>-598.982070610994 -215.987215001096 733.503875917693</t>
  </si>
  <si>
    <t>-491.590332036089 -301.30879226758 812.715935364313</t>
  </si>
  <si>
    <t>9763-20170724T104618.246889200.bin</t>
  </si>
  <si>
    <t>-805.795098547746 49.0572920075956 -509.493149287543</t>
  </si>
  <si>
    <t>-773.011239885833 90.6390547237022 -220.032666294005</t>
  </si>
  <si>
    <t>-537.220418646808 121.460223575661 -258.809395720753</t>
  </si>
  <si>
    <t>-735.45215650551 10.6699191357518 -82.0692919973031</t>
  </si>
  <si>
    <t>-707.177662271 -6.846613884931 320.110233836587</t>
  </si>
  <si>
    <t>-750.817055987677 -32.7265174729148 765.151535497777</t>
  </si>
  <si>
    <t>-606.94172138733 -6.39839872341099 825.930038834436</t>
  </si>
  <si>
    <t>-511.218073428549 -199.355614394951 294.892120902571</t>
  </si>
  <si>
    <t>-599.156967406677 -216.144867158653 733.576690452452</t>
  </si>
  <si>
    <t>-491.497246572527 -301.14846839212 812.766824009075</t>
  </si>
  <si>
    <t>9763-20170724T104618.284991900.bin</t>
  </si>
  <si>
    <t>-806.537150617473 48.8494345579115 -509.352915933151</t>
  </si>
  <si>
    <t>-774.222683279639 90.0492559474992 -219.785212379151</t>
  </si>
  <si>
    <t>-538.38622112574 120.781731119082 -258.35366343393</t>
  </si>
  <si>
    <t>-735.821622143443 10.5832384895393 -82.0602527627486</t>
  </si>
  <si>
    <t>-707.227056032285 -6.86158551801395 320.09986278947</t>
  </si>
  <si>
    <t>-750.859017130374 -32.6757580148292 765.147700050207</t>
  </si>
  <si>
    <t>-606.941005049545 -6.56189104626765 825.917531555687</t>
  </si>
  <si>
    <t>-511.267782062568 -199.174611079674 294.960182046109</t>
  </si>
  <si>
    <t>-599.205317927871 -216.12069520827 733.632916460538</t>
  </si>
  <si>
    <t>-491.451280164183 -301.024297952175 812.802032884765</t>
  </si>
  <si>
    <t>9763-20170724T104618.348667900.bin</t>
  </si>
  <si>
    <t>-808.191866816743 48.3930609721269 -509.12585254022</t>
  </si>
  <si>
    <t>-777.339270464367 89.2018601423254 -219.343084889066</t>
  </si>
  <si>
    <t>-541.370288543423 119.324482149444 -257.581408377226</t>
  </si>
  <si>
    <t>-736.728978048062 10.5661145815097 -82.0638063637275</t>
  </si>
  <si>
    <t>-707.842123270251 -6.70435411754579 320.082878039721</t>
  </si>
  <si>
    <t>-750.929044245342 -32.5460540399536 765.124926911749</t>
  </si>
  <si>
    <t>-606.910836205721 -7.04317400758055 825.916838894965</t>
  </si>
  <si>
    <t>-511.378123386197 -198.923151920009 295.077636508232</t>
  </si>
  <si>
    <t>-599.466020248077 -216.425522934572 733.748739755222</t>
  </si>
  <si>
    <t>-491.343549215445 -300.922691105062 812.850292302285</t>
  </si>
  <si>
    <t>9763-20170724T104618.386273100.bin</t>
  </si>
  <si>
    <t>-808.888019273051 48.068981014173 -509.110476740219</t>
  </si>
  <si>
    <t>-778.981222548754 88.6959207350869 -219.2032279293</t>
  </si>
  <si>
    <t>-542.948632724972 118.468723665147 -257.322705332162</t>
  </si>
  <si>
    <t>-737.098748439795 10.4216703323448 -82.0645870099061</t>
  </si>
  <si>
    <t>-708.051557451174 -6.73703256641261 320.075354753998</t>
  </si>
  <si>
    <t>-750.864520428146 -32.664144446838 765.11969044143</t>
  </si>
  <si>
    <t>-606.918613612986 -6.76812224680157 825.916537548636</t>
  </si>
  <si>
    <t>-511.296807586928 -198.548619479568 295.061009085056</t>
  </si>
  <si>
    <t>-599.339830673179 -216.059850386859 733.731165345688</t>
  </si>
  <si>
    <t>-491.845192123616 -301.308675946141 812.88182930278</t>
  </si>
  <si>
    <t>9763-20170724T104618.450451200.bin</t>
  </si>
  <si>
    <t>-810.36395524073 47.4574716116956 -509.141476148687</t>
  </si>
  <si>
    <t>-782.180714107635 87.5195233043519 -218.982927006806</t>
  </si>
  <si>
    <t>-545.990057964251 116.600313179129 -256.654480791875</t>
  </si>
  <si>
    <t>-737.860732761232 10.1552893100779 -82.1204063234547</t>
  </si>
  <si>
    <t>-708.598007953245 -6.81893595053771 320.011776988657</t>
  </si>
  <si>
    <t>-750.769547924871 -32.8490001407604 765.107017040625</t>
  </si>
  <si>
    <t>-606.822317437412 -7.0118645752907 825.925976609081</t>
  </si>
  <si>
    <t>-511.409321507185 -198.236880463172 294.994468156703</t>
  </si>
  <si>
    <t>-599.35937358252 -215.919339534837 733.699590926192</t>
  </si>
  <si>
    <t>-491.606445283713 -300.843526732587 812.848168561743</t>
  </si>
  <si>
    <t>9763-20170724T104618.483133900.bin</t>
  </si>
  <si>
    <t>-811.114115401464 47.2374472230083 -509.132129382682</t>
  </si>
  <si>
    <t>-783.625307849366 86.9510030604836 -218.859068261357</t>
  </si>
  <si>
    <t>-547.34594139996 115.749604546813 -256.189612964409</t>
  </si>
  <si>
    <t>-738.259805245198 10.0546935336511 -82.1330850922917</t>
  </si>
  <si>
    <t>-708.822324051475 -6.86357505779597 319.988632334215</t>
  </si>
  <si>
    <t>-750.776622111148 -32.8590375033643 765.113030325528</t>
  </si>
  <si>
    <t>-606.830855438032 -6.99454322485167 825.923656652898</t>
  </si>
  <si>
    <t>-511.577647507931 -198.063616594407 294.974921700004</t>
  </si>
  <si>
    <t>-599.409966839139 -215.87737932057 733.70371732942</t>
  </si>
  <si>
    <t>-491.642774942982 -300.799956295675 812.834567888626</t>
  </si>
  <si>
    <t>9763-20170724T104618.548820500.bin</t>
  </si>
  <si>
    <t>-812.379133186566 47.0691534655909 -509.00110145807</t>
  </si>
  <si>
    <t>-786.236915855777 85.7942476096041 -218.470285974364</t>
  </si>
  <si>
    <t>-549.868080711948 114.202569618811 -255.532595128401</t>
  </si>
  <si>
    <t>-738.956893629126 9.89953558004572 -82.1323690178572</t>
  </si>
  <si>
    <t>-709.006193646663 -6.84269700983373 319.958809525543</t>
  </si>
  <si>
    <t>-750.757153730164 -32.9328321399762 765.111769009376</t>
  </si>
  <si>
    <t>-606.811706991473 -7.00160693232783 825.89483687948</t>
  </si>
  <si>
    <t>-511.778933772294 -197.649920088165 294.951146189942</t>
  </si>
  <si>
    <t>-599.381286866208 -215.538660828847 733.695469581302</t>
  </si>
  <si>
    <t>-491.906392108993 -300.840765090183 812.815627716041</t>
  </si>
  <si>
    <t>9763-20170724T104618.585977900.bin</t>
  </si>
  <si>
    <t>-813.001760573883 46.8815588399582 -508.904022823512</t>
  </si>
  <si>
    <t>-787.483289823308 85.2232918104617 -218.266911982647</t>
  </si>
  <si>
    <t>-551.049360895175 113.260510879284 -255.195978733568</t>
  </si>
  <si>
    <t>-739.240750296217 9.7896169918281 -82.1145743075108</t>
  </si>
  <si>
    <t>-708.988792245786 -6.9303170083399 319.955025594584</t>
  </si>
  <si>
    <t>-750.712896363863 -33.0263850914059 765.098341003171</t>
  </si>
  <si>
    <t>-606.782215051066 -6.9978986414576 825.87469184213</t>
  </si>
  <si>
    <t>-511.888070290674 -197.538721479158 294.945464032701</t>
  </si>
  <si>
    <t>-599.440816658164 -215.569005195319 733.690363970105</t>
  </si>
  <si>
    <t>-491.719736896084 -300.569721828575 812.800029860049</t>
  </si>
  <si>
    <t>9763-20170724T104618.650171500.bin</t>
  </si>
  <si>
    <t>-814.070300065757 46.5486966291026 -508.707177047132</t>
  </si>
  <si>
    <t>-789.506622731767 84.4481432268724 -217.929749598328</t>
  </si>
  <si>
    <t>-552.960847221891 111.714284642862 -254.720009143632</t>
  </si>
  <si>
    <t>-739.734046260898 9.60104809938116 -82.1014698934202</t>
  </si>
  <si>
    <t>-709.078642214941 -7.02509902939801 319.941418752814</t>
  </si>
  <si>
    <t>-750.657703684462 -33.1711367217533 765.074944821231</t>
  </si>
  <si>
    <t>-606.747078654309 -7.02860751312642 825.849935982544</t>
  </si>
  <si>
    <t>-511.946047497639 -197.433070613757 294.93678568219</t>
  </si>
  <si>
    <t>-599.604113236093 -215.777189383344 733.685283914912</t>
  </si>
  <si>
    <t>-491.552746312556 -300.353379663323 812.799562256915</t>
  </si>
  <si>
    <t>9763-20170724T104618.685850800.bin</t>
  </si>
  <si>
    <t>-814.490892244222 46.359207084404 -508.671848923757</t>
  </si>
  <si>
    <t>-790.253592823276 84.1871269252918 -217.857812112918</t>
  </si>
  <si>
    <t>-553.65126933135 111.232044164514 -254.447080080494</t>
  </si>
  <si>
    <t>-739.929123611195 9.5073490207169 -82.1257825527784</t>
  </si>
  <si>
    <t>-709.206278109442 -6.99915215185774 319.916899218011</t>
  </si>
  <si>
    <t>-750.672712382599 -33.1430143186453 765.057769006046</t>
  </si>
  <si>
    <t>-606.72760397876 -7.23725923085703 825.852525966052</t>
  </si>
  <si>
    <t>-511.932057653545 -197.248818336049 294.940656971616</t>
  </si>
  <si>
    <t>-599.602833011348 -215.697867742253 733.673986450988</t>
  </si>
  <si>
    <t>-491.655363859558 -300.386693240558 812.809612104988</t>
  </si>
  <si>
    <t>9763-20170724T104618.748520700.bin</t>
  </si>
  <si>
    <t>-815.02391869693 45.9866882587855 -508.640464216413</t>
  </si>
  <si>
    <t>-791.157879702126 83.6184914167977 -217.770302120784</t>
  </si>
  <si>
    <t>-554.478288284029 110.585301968899 -253.914890759147</t>
  </si>
  <si>
    <t>-740.191493282287 9.32679699261644 -82.196023307479</t>
  </si>
  <si>
    <t>-709.524262445126 -7.08295631729402 319.854853720433</t>
  </si>
  <si>
    <t>-750.657264776069 -33.2105859581145 765.033801118354</t>
  </si>
  <si>
    <t>-606.704731529772 -7.41246874651506 825.856790538162</t>
  </si>
  <si>
    <t>-511.807185644548 -196.936701370734 294.929346166395</t>
  </si>
  <si>
    <t>-599.570003195958 -215.493537058849 733.635358580927</t>
  </si>
  <si>
    <t>-491.685971542785 -300.21625727706 812.821102452985</t>
  </si>
  <si>
    <t>9763-20170724T104618.779102200.bin</t>
  </si>
  <si>
    <t>-815.235956328387 45.7576225183502 -508.635404870877</t>
  </si>
  <si>
    <t>-791.454933714624 83.3497905011056 -217.753118372346</t>
  </si>
  <si>
    <t>-554.758781606494 110.327271643074 -253.781252262342</t>
  </si>
  <si>
    <t>-740.348164867598 9.16218575778862 -82.2338143987905</t>
  </si>
  <si>
    <t>-709.622399180026 -7.21600786866634 319.813880291309</t>
  </si>
  <si>
    <t>-750.620750516981 -33.3052998764979 765.026765802582</t>
  </si>
  <si>
    <t>-606.704855271165 -7.30092418794084 825.848548842931</t>
  </si>
  <si>
    <t>-511.901924047134 -196.935177661536 294.939156055979</t>
  </si>
  <si>
    <t>-599.67042144817 -215.607874492371 733.652288433572</t>
  </si>
  <si>
    <t>-491.483184182759 -299.956097675676 812.824251582091</t>
  </si>
  <si>
    <t>9763-20170724T104618.849792400.bin</t>
  </si>
  <si>
    <t>-815.875507047618 45.5695153324127 -508.585983938196</t>
  </si>
  <si>
    <t>-791.985446766092 83.3004002653324 -217.730687220791</t>
  </si>
  <si>
    <t>-555.271179783076 110.101242528327 -253.771269857521</t>
  </si>
  <si>
    <t>-740.550400231872 8.91667068707625 -82.2540485947985</t>
  </si>
  <si>
    <t>-709.602384121285 -7.30337877104535 319.782996915551</t>
  </si>
  <si>
    <t>-750.645700534791 -33.2950853917416 765.011306164903</t>
  </si>
  <si>
    <t>-606.716887363217 -7.37001038024846 825.836293807074</t>
  </si>
  <si>
    <t>-512.00122426579 -196.924004607175 294.933433868308</t>
  </si>
  <si>
    <t>-599.674944137526 -215.357315621635 733.685847741112</t>
  </si>
  <si>
    <t>-491.540239177605 -299.786444208983 812.843321131399</t>
  </si>
  <si>
    <t>9763-20170724T104618.881968700.bin</t>
  </si>
  <si>
    <t>-816.299024343989 45.4489219713582 -508.552235511851</t>
  </si>
  <si>
    <t>-792.48701017512 83.3289573503146 -217.709948696068</t>
  </si>
  <si>
    <t>-555.765680381016 109.958369410763 -253.831386859633</t>
  </si>
  <si>
    <t>-740.62738575246 8.79041291826888 -82.2469933968624</t>
  </si>
  <si>
    <t>-709.635317093154 -7.3854330919969 319.788411153758</t>
  </si>
  <si>
    <t>-750.60860633648 -33.3977415828319 765.016731315819</t>
  </si>
  <si>
    <t>-606.675240935062 -7.49005706674893 825.838315179238</t>
  </si>
  <si>
    <t>-512.049219881039 -196.960003932489 294.932996338697</t>
  </si>
  <si>
    <t>-599.695975046421 -215.263374372021 733.690627447595</t>
  </si>
  <si>
    <t>-491.566603763062 -299.711352508988 812.835166169426</t>
  </si>
  <si>
    <t>9763-20170724T104618.948655700.bin</t>
  </si>
  <si>
    <t>-816.9843573602 44.996421343433 -508.531292571269</t>
  </si>
  <si>
    <t>-793.829889107589 82.9950617839199 -217.6512086141</t>
  </si>
  <si>
    <t>-557.052856598888 108.943806746644 -253.903249980473</t>
  </si>
  <si>
    <t>-740.749151450389 8.37973835698767 -82.2333240348305</t>
  </si>
  <si>
    <t>-709.820997415243 -7.64466179880878 319.813201383042</t>
  </si>
  <si>
    <t>-750.557996768569 -33.5584207474751 765.034196251553</t>
  </si>
  <si>
    <t>-606.662699687652 -7.43398203673291 825.853212497039</t>
  </si>
  <si>
    <t>-512.081263998577 -197.2031475727 294.917142745207</t>
  </si>
  <si>
    <t>-599.872528949131 -215.394974522376 733.688211210672</t>
  </si>
  <si>
    <t>-491.541043975132 -299.628197618668 812.78534076027</t>
  </si>
  <si>
    <t>9763-20170724T104618.981245300.bin</t>
  </si>
  <si>
    <t>-817.240488029815 44.6911791603281 -508.543114942947</t>
  </si>
  <si>
    <t>-794.649005798741 82.8500186244501 -217.639816619335</t>
  </si>
  <si>
    <t>-557.79148980601 108.253136016958 -253.752082638802</t>
  </si>
  <si>
    <t>-740.826580350794 8.18241756801763 -82.2308108686263</t>
  </si>
  <si>
    <t>-709.903737434763 -7.71363345665259 319.821136256738</t>
  </si>
  <si>
    <t>-750.573012313921 -33.5539768346496 765.044402211578</t>
  </si>
  <si>
    <t>-606.645839160131 -7.61735383405221 825.868437888424</t>
  </si>
  <si>
    <t>-512.086331883004 -197.132633681768 294.89323927786</t>
  </si>
  <si>
    <t>-599.882766284965 -215.282398816834 733.662423015196</t>
  </si>
  <si>
    <t>-491.871683916468 -299.917764107543 812.768538196939</t>
  </si>
  <si>
    <t>9763-20170724T104619.049433400.bin</t>
  </si>
  <si>
    <t>-817.525429221726 44.256053331593 -508.622602378548</t>
  </si>
  <si>
    <t>-796.616692751738 82.2787594554206 -217.575808778622</t>
  </si>
  <si>
    <t>-559.529777498241 106.250391261528 -253.156903211516</t>
  </si>
  <si>
    <t>-740.949336651801 7.90445656328484 -82.2146652993998</t>
  </si>
  <si>
    <t>-709.876264051995 -7.8570344587672 319.83100787312</t>
  </si>
  <si>
    <t>-750.582962014689 -33.5997189482991 765.056313033833</t>
  </si>
  <si>
    <t>-606.66934615069 -7.58743303420033 825.88014751278</t>
  </si>
  <si>
    <t>-512.132772781547 -197.14823594731 294.850158076089</t>
  </si>
  <si>
    <t>-599.881707300261 -215.015466866036 733.620039988726</t>
  </si>
  <si>
    <t>-491.949637965857 -299.778884013032 812.696666846545</t>
  </si>
  <si>
    <t>9763-20170724T104619.085031800.bin</t>
  </si>
  <si>
    <t>-817.475472899566 44.2843575889781 -508.654851148483</t>
  </si>
  <si>
    <t>-797.576495454676 81.9740862778574 -217.493902459458</t>
  </si>
  <si>
    <t>-560.404431363874 105.36091719881 -252.896429916948</t>
  </si>
  <si>
    <t>-740.907824947043 7.89881502576554 -82.2139621097853</t>
  </si>
  <si>
    <t>-709.911436288267 -7.89129091703944 319.836555317046</t>
  </si>
  <si>
    <t>-750.585634435696 -33.6242194445229 765.063533581717</t>
  </si>
  <si>
    <t>-606.666713055154 -7.63814148020515 825.885999294677</t>
  </si>
  <si>
    <t>-512.229010516807 -197.214506162248 294.838888569245</t>
  </si>
  <si>
    <t>-599.973541785384 -215.067555180424 733.615074373201</t>
  </si>
  <si>
    <t>-491.997909403555 -299.798884878429 812.666765463148</t>
  </si>
  <si>
    <t>9763-20170724T104619.150710000.bin</t>
  </si>
  <si>
    <t>-817.057935679237 44.146924499066 -508.71605798318</t>
  </si>
  <si>
    <t>-798.936968963556 80.8275779433961 -217.310245017303</t>
  </si>
  <si>
    <t>-561.676849926041 103.752377731498 -252.423675648853</t>
  </si>
  <si>
    <t>-740.874715399739 7.77492902132121 -82.2252902738335</t>
  </si>
  <si>
    <t>-709.933071261843 -8.00818143413017 319.829718363084</t>
  </si>
  <si>
    <t>-750.507592873315 -33.8560755325295 765.068284179599</t>
  </si>
  <si>
    <t>-606.639018413544 -7.58984062876448 825.889486141721</t>
  </si>
  <si>
    <t>-512.32060329275 -197.30479627101 294.864330938835</t>
  </si>
  <si>
    <t>-600.125738494208 -215.136879462792 733.623054675256</t>
  </si>
  <si>
    <t>-491.996383482265 -299.72396234364 812.619007912218</t>
  </si>
  <si>
    <t>9763-20170724T104619.182309800.bin</t>
  </si>
  <si>
    <t>-816.766693457279 44.0374260580506 -508.760460319919</t>
  </si>
  <si>
    <t>-799.515061099509 80.2607375006653 -217.244684479453</t>
  </si>
  <si>
    <t>-562.225178933859 103.075998350703 -252.228312985524</t>
  </si>
  <si>
    <t>-740.856943684442 7.7237599332741 -82.2265559192203</t>
  </si>
  <si>
    <t>-709.900173367921 -8.00575041755269 319.829364750734</t>
  </si>
  <si>
    <t>-750.532897055773 -33.839008961485 765.065254302133</t>
  </si>
  <si>
    <t>-606.634198523623 -7.75120000551578 825.892040776987</t>
  </si>
  <si>
    <t>-512.333981066945 -197.330162187623 294.887532419212</t>
  </si>
  <si>
    <t>-600.140148363241 -215.058489539876 733.621384885815</t>
  </si>
  <si>
    <t>-491.882089979256 -299.497716749947 812.599266023817</t>
  </si>
  <si>
    <t>9763-20170724T104619.246992100.bin</t>
  </si>
  <si>
    <t>-815.991394440613 43.8800695922318 -508.916765053334</t>
  </si>
  <si>
    <t>-800.501986233604 79.6570723333991 -217.247022518252</t>
  </si>
  <si>
    <t>-563.106248422801 102.03819443108 -251.79000848365</t>
  </si>
  <si>
    <t>-740.840265947944 7.77300283113846 -82.2472788881412</t>
  </si>
  <si>
    <t>-709.911021305384 -8.01449923579207 319.808453498554</t>
  </si>
  <si>
    <t>-750.594650918945 -33.7972579728109 765.057603494325</t>
  </si>
  <si>
    <t>-606.669050659377 -7.87102798487376 825.889736897255</t>
  </si>
  <si>
    <t>-512.4358535092 -197.350524404888 294.91541450759</t>
  </si>
  <si>
    <t>-600.228131650882 -215.078718231023 733.635689736374</t>
  </si>
  <si>
    <t>-491.856715830109 -299.379741566862 812.605869479399</t>
  </si>
  <si>
    <t>9763-20170724T104619.284091000.bin</t>
  </si>
  <si>
    <t>-815.62130188569 43.9141035569667 -509.023141167502</t>
  </si>
  <si>
    <t>-800.925548086543 79.3669374309536 -217.272790035584</t>
  </si>
  <si>
    <t>-563.478737087455 101.743427606943 -251.46556581162</t>
  </si>
  <si>
    <t>-740.845323290858 7.89407391653845 -82.264047527147</t>
  </si>
  <si>
    <t>-709.892232456092 -7.97998392921386 319.78642794006</t>
  </si>
  <si>
    <t>-750.610885840102 -33.7877050085053 765.049033621823</t>
  </si>
  <si>
    <t>-606.672341597519 -7.94712341994273 825.886948301274</t>
  </si>
  <si>
    <t>-512.50577977741 -197.332736624811 294.932329767201</t>
  </si>
  <si>
    <t>-600.30040037098 -215.14255406237 733.666286669665</t>
  </si>
  <si>
    <t>-491.866567366832 -299.370562920883 812.628532069337</t>
  </si>
  <si>
    <t>9763-20170724T104619.349767400.bin</t>
  </si>
  <si>
    <t>-815.293575317172 44.0210567035799 -509.077890034676</t>
  </si>
  <si>
    <t>-801.770175361985 78.9494159237868 -217.207548180665</t>
  </si>
  <si>
    <t>-564.260272721765 101.498654761321 -250.844345836545</t>
  </si>
  <si>
    <t>-740.808953682956 7.99548632975871 -82.2693213367415</t>
  </si>
  <si>
    <t>-709.838518126056 -7.92037228101663 319.77814743935</t>
  </si>
  <si>
    <t>-750.542081500181 -33.9698421156813 765.037651141526</t>
  </si>
  <si>
    <t>-606.657141603293 -7.8380777611867 825.878113797388</t>
  </si>
  <si>
    <t>-512.564092033448 -197.069123698103 294.952123838126</t>
  </si>
  <si>
    <t>-600.203736101091 -214.728612604169 733.705815106145</t>
  </si>
  <si>
    <t>-492.119510313831 -299.386782608068 812.687387304602</t>
  </si>
  <si>
    <t>9763-20170724T104619.384364800.bin</t>
  </si>
  <si>
    <t>-815.292696323672 44.0717225343608 -509.043847258706</t>
  </si>
  <si>
    <t>-802.19016477571 78.7542608595804 -217.124940884196</t>
  </si>
  <si>
    <t>-564.677754507593 101.48503078315 -250.621595245084</t>
  </si>
  <si>
    <t>-740.812081527147 8.04900211997165 -82.2609883502649</t>
  </si>
  <si>
    <t>-709.806093999652 -7.8564629253774 319.78419024442</t>
  </si>
  <si>
    <t>-750.520615059423 -34.023203532535 765.029628130726</t>
  </si>
  <si>
    <t>-606.641671882582 -7.88034525188095 825.879454630596</t>
  </si>
  <si>
    <t>-512.566454198794 -197.037285484289 294.948863332633</t>
  </si>
  <si>
    <t>-600.243120607969 -214.756380138631 733.711305510363</t>
  </si>
  <si>
    <t>-492.26574661049 -299.534306492734 812.710527378252</t>
  </si>
  <si>
    <t>9763-20170724T104619.453565900.bin</t>
  </si>
  <si>
    <t>-815.537329517812 43.9068226214997 -508.953932923917</t>
  </si>
  <si>
    <t>-803.087402093097 78.1937903147536 -216.959802785436</t>
  </si>
  <si>
    <t>-565.604686173332 101.237485568907 -250.453039895102</t>
  </si>
  <si>
    <t>-740.88908068936 8.0170251331499 -82.2492088609901</t>
  </si>
  <si>
    <t>-709.831269367858 -7.9332736736601 319.790182854811</t>
  </si>
  <si>
    <t>-750.428687443308 -34.2473471464705 765.023510746497</t>
  </si>
  <si>
    <t>-606.590240136326 -7.90732385366414 825.884087235752</t>
  </si>
  <si>
    <t>-512.488995151541 -196.843764296084 294.94583096387</t>
  </si>
  <si>
    <t>-600.200009011904 -214.563313909557 733.693807063306</t>
  </si>
  <si>
    <t>-492.044810087637 -299.088614987175 812.720532658857</t>
  </si>
  <si>
    <t>9763-20170724T104619.479639500.bin</t>
  </si>
  <si>
    <t>-815.763820449316 43.9099939313796 -508.893558289526</t>
  </si>
  <si>
    <t>-803.627610884851 78.1003518163507 -216.874744764735</t>
  </si>
  <si>
    <t>-566.163546717082 101.186762593818 -250.470760727337</t>
  </si>
  <si>
    <t>-741.059130547619 8.14071918247214 -82.2499519768278</t>
  </si>
  <si>
    <t>-709.954422478349 -7.85418756064519 319.784124963308</t>
  </si>
  <si>
    <t>-750.482103277647 -34.1678328012956 765.02550555091</t>
  </si>
  <si>
    <t>-606.591038943457 -8.1330268052418 825.892960219068</t>
  </si>
  <si>
    <t>-512.495907484161 -196.784944223448 294.938832965067</t>
  </si>
  <si>
    <t>-600.261316568264 -214.633971447873 733.691840057451</t>
  </si>
  <si>
    <t>-492.075308948733 -299.111440270774 812.727600278129</t>
  </si>
  <si>
    <t>9763-20170724T104619.551332600.bin</t>
  </si>
  <si>
    <t>-816.31368350179 43.7260529914477 -508.81585023455</t>
  </si>
  <si>
    <t>-804.92771821463 77.7298161456242 -216.745250965976</t>
  </si>
  <si>
    <t>-567.453160629527 100.845276796179 -250.246430556343</t>
  </si>
  <si>
    <t>-741.338498187982 8.18062089760997 -82.239881365561</t>
  </si>
  <si>
    <t>-710.129392453219 -7.82377585808445 319.785586634191</t>
  </si>
  <si>
    <t>-750.500570068758 -34.1815037342335 765.029126731587</t>
  </si>
  <si>
    <t>-606.560114255914 -8.41822769547412 825.895369399373</t>
  </si>
  <si>
    <t>-512.561838316802 -196.598490348206 294.885818729677</t>
  </si>
  <si>
    <t>-600.334509080533 -214.664805839012 733.671638084073</t>
  </si>
  <si>
    <t>-492.003219812324 -298.945075645565 812.718828352743</t>
  </si>
  <si>
    <t>9763-20170724T104619.584928200.bin</t>
  </si>
  <si>
    <t>-816.634638673385 43.6303323672855 -508.785437513431</t>
  </si>
  <si>
    <t>-805.639372962831 77.6154331058272 -216.697553932047</t>
  </si>
  <si>
    <t>-568.096597003465 100.35671903067 -249.971323637613</t>
  </si>
  <si>
    <t>-741.427779691079 8.11329813399379 -82.2294978179168</t>
  </si>
  <si>
    <t>-710.188726566417 -7.86310816478476 319.794790252164</t>
  </si>
  <si>
    <t>-750.461780802035 -34.2899330195983 765.032060145922</t>
  </si>
  <si>
    <t>-606.596703595802 -8.07526198052688 825.883769941341</t>
  </si>
  <si>
    <t>-512.507001823963 -196.41011403812 294.833669262298</t>
  </si>
  <si>
    <t>-600.280522845647 -214.47330671618 733.633813650884</t>
  </si>
  <si>
    <t>-492.315026576651 -299.191288493165 812.713501100449</t>
  </si>
  <si>
    <t>9763-20170724T104619.648597500.bin</t>
  </si>
  <si>
    <t>-817.145753574431 43.6503350087048 -508.703798910528</t>
  </si>
  <si>
    <t>-807.203018195777 77.4488029799859 -216.556620561532</t>
  </si>
  <si>
    <t>-569.492913961776 99.4328517523686 -249.13708006524</t>
  </si>
  <si>
    <t>-741.704082651823 8.15148710225435 -82.2075187286465</t>
  </si>
  <si>
    <t>-710.341559295941 -7.84311317126981 319.806423539073</t>
  </si>
  <si>
    <t>-750.409208466313 -34.4587162237765 765.041941649515</t>
  </si>
  <si>
    <t>-606.521199042852 -8.34839403532442 825.884353490833</t>
  </si>
  <si>
    <t>-512.527364044632 -196.196756554856 294.786714288979</t>
  </si>
  <si>
    <t>-600.300467286812 -214.379657842286 733.569262904939</t>
  </si>
  <si>
    <t>-492.254755751599 -298.9904897237 812.654260701794</t>
  </si>
  <si>
    <t>9763-20170724T104619.681821800.bin</t>
  </si>
  <si>
    <t>-817.183840806161 43.7850744784787 -508.648087829031</t>
  </si>
  <si>
    <t>-807.702800641128 77.3074303142416 -216.453599966107</t>
  </si>
  <si>
    <t>-569.924377220529 99.0762555612453 -248.677478175173</t>
  </si>
  <si>
    <t>-741.821150370523 8.27690585583741 -82.2121101741872</t>
  </si>
  <si>
    <t>-710.375710288039 -7.73493082614459 319.794651581671</t>
  </si>
  <si>
    <t>-750.479548388172 -34.3469764559081 765.037983342701</t>
  </si>
  <si>
    <t>-606.562510887966 -8.3895774376665 825.876963005422</t>
  </si>
  <si>
    <t>-512.458553727658 -195.919299624547 294.768800596992</t>
  </si>
  <si>
    <t>-600.189215453639 -214.061312344416 733.533198287331</t>
  </si>
  <si>
    <t>-492.506836725168 -299.103419390379 812.65108397798</t>
  </si>
  <si>
    <t>9763-20170724T104619.747498100.bin</t>
  </si>
  <si>
    <t>-817.228510240301 43.7074122808981 -508.524893526831</t>
  </si>
  <si>
    <t>-808.306715554205 76.9577039982801 -216.281863402574</t>
  </si>
  <si>
    <t>-570.405737396382 98.1853413805618 -247.95774911454</t>
  </si>
  <si>
    <t>-742.02451543303 8.19975058937871 -82.2257240787345</t>
  </si>
  <si>
    <t>-710.361075025198 -7.77244993052273 319.76554936356</t>
  </si>
  <si>
    <t>-750.476821154481 -34.4171604255521 765.02214475891</t>
  </si>
  <si>
    <t>-606.523883775201 -8.62868476381504 825.848138868348</t>
  </si>
  <si>
    <t>-512.51068601761 -195.857844233222 294.765089988478</t>
  </si>
  <si>
    <t>-600.303955586427 -214.215430904489 733.511562488571</t>
  </si>
  <si>
    <t>-492.432942241929 -299.003328454783 812.645363575531</t>
  </si>
  <si>
    <t>9763-20170724T104619.780087400.bin</t>
  </si>
  <si>
    <t>-817.26496635997 43.7088891156575 -508.527198966024</t>
  </si>
  <si>
    <t>-808.578961940218 76.9622824013634 -216.277349454109</t>
  </si>
  <si>
    <t>-570.603962391296 97.6570099747833 -247.749399377796</t>
  </si>
  <si>
    <t>-742.169168461659 8.20294023698625 -82.2206863190138</t>
  </si>
  <si>
    <t>-710.322958846415 -7.75970696351851 319.75657553628</t>
  </si>
  <si>
    <t>-750.508277220228 -34.375933149164 765.011264067695</t>
  </si>
  <si>
    <t>-606.535471164676 -8.68881186558065 825.83308186889</t>
  </si>
  <si>
    <t>-512.594333118877 -195.894919303952 294.746375486073</t>
  </si>
  <si>
    <t>-600.396901198237 -214.344823362414 733.518114084304</t>
  </si>
  <si>
    <t>-492.368920915823 -298.938192229693 812.645896732754</t>
  </si>
  <si>
    <t>9763-20170724T104619.850279000.bin</t>
  </si>
  <si>
    <t>-817.35784217876 43.4730377630651 -508.523938517048</t>
  </si>
  <si>
    <t>-808.968432954949 76.7950017547616 -216.273218790042</t>
  </si>
  <si>
    <t>-570.887559838383 96.6774230642384 -247.467548148665</t>
  </si>
  <si>
    <t>-742.223789562541 7.93355529722271 -82.2209984848312</t>
  </si>
  <si>
    <t>-710.251288031758 -7.90541757423625 319.751030515331</t>
  </si>
  <si>
    <t>-750.43168688977 -34.607505691213 765.009193399367</t>
  </si>
  <si>
    <t>-606.479705147535 -8.74270435317931 825.805021139446</t>
  </si>
  <si>
    <t>-512.702275554451 -195.912383742519 294.768412057105</t>
  </si>
  <si>
    <t>-600.446887107856 -214.234542773021 733.549042533179</t>
  </si>
  <si>
    <t>-492.309134283726 -298.723067332386 812.638933964012</t>
  </si>
  <si>
    <t>9763-20170724T104619.883374300.bin</t>
  </si>
  <si>
    <t>-817.452630497127 43.1676809011026 -508.503153088203</t>
  </si>
  <si>
    <t>-809.110357507594 76.5863923367458 -216.262311709856</t>
  </si>
  <si>
    <t>-571.013171854709 96.2583581605245 -247.465024588896</t>
  </si>
  <si>
    <t>-742.415263531601 7.67195457852836 -82.2123201804101</t>
  </si>
  <si>
    <t>-710.229238578702 -7.99355679103996 319.749479377768</t>
  </si>
  <si>
    <t>-750.461699129238 -34.5834918879796 765.002095912281</t>
  </si>
  <si>
    <t>-606.513150461809 -8.67836623481344 825.788916978179</t>
  </si>
  <si>
    <t>-512.815270955215 -196.088152659825 294.775979307406</t>
  </si>
  <si>
    <t>-600.511499711608 -214.327487889043 733.566589182926</t>
  </si>
  <si>
    <t>-492.279251612004 -298.694656725468 812.656905571953</t>
  </si>
  <si>
    <t>9763-20170724T104619.949557000.bin</t>
  </si>
  <si>
    <t>-817.238360981844 40.3476376781371 -508.502276390899</t>
  </si>
  <si>
    <t>-808.32817807943 73.8475648630654 -216.287293826943</t>
  </si>
  <si>
    <t>-570.337256335232 94.292372300722 -247.802793654241</t>
  </si>
  <si>
    <t>-742.569265287336 5.91928995708145 -82.2237158805431</t>
  </si>
  <si>
    <t>-709.922616134767 -9.0512418929452 319.727442584731</t>
  </si>
  <si>
    <t>-750.473093266849 -34.6571356787076 764.940039842209</t>
  </si>
  <si>
    <t>-606.527066348614 -8.69647267103278 825.709100687501</t>
  </si>
  <si>
    <t>-512.117108784603 -198.720749889276 294.553589441142</t>
  </si>
  <si>
    <t>-601.889917613377 -213.339253286697 733.180368111601</t>
  </si>
  <si>
    <t>-491.55105636644 -294.908002065778 812.295436613884</t>
  </si>
  <si>
    <t>9763-20170724T104619.984190700.bin</t>
  </si>
  <si>
    <t>-817.16307076252 41.9914933941839 -508.471117762817</t>
  </si>
  <si>
    <t>-807.708000955419 75.3898909202555 -216.261700030965</t>
  </si>
  <si>
    <t>-569.851699220167 96.8013939626571 -248.148709899365</t>
  </si>
  <si>
    <t>-742.938525173931 6.40319109660231 -82.2392427569844</t>
  </si>
  <si>
    <t>-710.334909403175 -8.22783610085639 319.727979220191</t>
  </si>
  <si>
    <t>-750.555439327125 -34.5414391177405 764.916908934413</t>
  </si>
  <si>
    <t>-606.516587218976 -9.11635491491529 825.692540188424</t>
  </si>
  <si>
    <t>-511.889307855076 -194.666756497925 294.331384662235</t>
  </si>
  <si>
    <t>-606.765639389223 -208.08773351173 731.680228689312</t>
  </si>
  <si>
    <t>-494.536155353135 -286.116515257459 811.70113366154</t>
  </si>
  <si>
    <t>9763-20170724T104620.047361000.bin</t>
  </si>
  <si>
    <t>-818.454892213252 45.4523075392726 -508.008422047777</t>
  </si>
  <si>
    <t>-807.40201015716 78.7593158912903 -215.844663050816</t>
  </si>
  <si>
    <t>-570.093474366888 103.104609441683 -249.650225760909</t>
  </si>
  <si>
    <t>-744.101862133389 7.05961814301031 -82.5597183956203</t>
  </si>
  <si>
    <t>-712.251807177487 -6.82215759545011 319.494411921169</t>
  </si>
  <si>
    <t>-750.487770099716 -34.6525648514314 764.906833648125</t>
  </si>
  <si>
    <t>-606.506028411752 -8.86395409027705 825.664625964427</t>
  </si>
  <si>
    <t>-512.687961060337 -186.736616218595 294.436697169363</t>
  </si>
  <si>
    <t>-627.654739519276 -205.876838691805 726.994329021928</t>
  </si>
  <si>
    <t>-511.184424884544 -271.885340470481 811.639684869245</t>
  </si>
  <si>
    <t>9763-20170724T104620.081503200.bin</t>
  </si>
  <si>
    <t>-819.408417358388 44.9965666489047 -507.712040324262</t>
  </si>
  <si>
    <t>-807.140861660461 78.0134428206011 -215.563726740288</t>
  </si>
  <si>
    <t>-570.158027417043 104.688649769173 -249.892515290591</t>
  </si>
  <si>
    <t>-744.83077647487 5.6581517776649 -82.7521562555942</t>
  </si>
  <si>
    <t>-713.028306268146 -7.23635272097386 319.338609910721</t>
  </si>
  <si>
    <t>-750.481190431925 -34.6537765657381 764.899928627742</t>
  </si>
  <si>
    <t>-606.48964903333 -8.90852015490191 825.652898650389</t>
  </si>
  <si>
    <t>-512.591151143765 -183.210889871575 294.397460085502</t>
  </si>
  <si>
    <t>-641.958703978674 -201.653209286396 722.954471009953</t>
  </si>
  <si>
    <t>-524.455664583786 -260.430818014982 811.416448004225</t>
  </si>
  <si>
    <t>9763-20170724T104620.147181000.bin</t>
  </si>
  <si>
    <t>-820.175112078432 40.7704078138154 -506.848871110329</t>
  </si>
  <si>
    <t>-805.673397455753 73.2583513616439 -214.743597376144</t>
  </si>
  <si>
    <t>-569.695196391075 106.252555550705 -250.472733854085</t>
  </si>
  <si>
    <t>-744.869661836883 0.0674676898859161 -83.0322983117504</t>
  </si>
  <si>
    <t>-713.503937676779 -10.436955938952 319.162365629416</t>
  </si>
  <si>
    <t>-750.209013131844 -35.2431824060729 764.92669247555</t>
  </si>
  <si>
    <t>-606.470371459404 -8.02978013143775 825.638628927446</t>
  </si>
  <si>
    <t>-512.836435309408 -181.647728287624 295.175793611667</t>
  </si>
  <si>
    <t>-682.781755319184 -191.725985482606 709.778701315094</t>
  </si>
  <si>
    <t>-565.779052618276 -232.467714259069 808.458951172288</t>
  </si>
  <si>
    <t>9763-20170724T104620.182778800.bin</t>
  </si>
  <si>
    <t>-820.464933133812 37.44134751924 -506.29147539457</t>
  </si>
  <si>
    <t>-804.470054156837 69.8081127391454 -214.250813120733</t>
  </si>
  <si>
    <t>-569.157247196156 106.803278120306 -250.446206348726</t>
  </si>
  <si>
    <t>-713.712562746116 -12.59344188353 319.088450628418</t>
  </si>
  <si>
    <t>-750.074212161118 -35.5103870997191 764.944747709531</t>
  </si>
  <si>
    <t>-606.449893982475 -7.67170501026567 825.643732547424</t>
  </si>
  <si>
    <t>-513.046837047253 -184.396547135272 295.977533653605</t>
  </si>
  <si>
    <t>-700.723467208464 -187.787094130694 702.964857265525</t>
  </si>
  <si>
    <t>-585.214470826654 -220.233302574626 806.367992125788</t>
  </si>
  <si>
    <t>9763-20170724T104620.247452300.bin</t>
  </si>
  <si>
    <t>-820.340530296013 28.6183809531285 -505.046537284363</t>
  </si>
  <si>
    <t>-801.714999848207 60.8249158170133 -213.144101375162</t>
  </si>
  <si>
    <t>-568.14565671884 105.95642294708 -251.345838358575</t>
  </si>
  <si>
    <t>-713.181563522849 -17.722727100949 318.895708441845</t>
  </si>
  <si>
    <t>-749.845327018617 -35.8871530502843 764.934905461308</t>
  </si>
  <si>
    <t>-606.457509094109 -6.87443464495777 825.643206317406</t>
  </si>
  <si>
    <t>-517.095350580341 -191.055208140587 298.975707011128</t>
  </si>
  <si>
    <t>-714.257073533636 -185.206692209578 701.153554068604</t>
  </si>
  <si>
    <t>-598.287368475406 -213.030946284791 805.384685173301</t>
  </si>
  <si>
    <t>9763-20170724T104620.284607900.bin</t>
  </si>
  <si>
    <t>-819.72114939747 24.0852207501957 -504.885673021646</t>
  </si>
  <si>
    <t>-800.138672797584 56.0301479783222 -213.017130908817</t>
  </si>
  <si>
    <t>-567.543878811717 105.537261951047 -251.741626157529</t>
  </si>
  <si>
    <t>-712.254299223808 -20.6568002842139 318.809699042338</t>
  </si>
  <si>
    <t>-749.783824214382 -36.0404039537596 764.932809249889</t>
  </si>
  <si>
    <t>-606.546398881142 -6.2790981668129 825.633697495591</t>
  </si>
  <si>
    <t>-519.398101032451 -197.169493237366 300.209274417247</t>
  </si>
  <si>
    <t>-703.535267767857 -192.495361126378 708.071174063715</t>
  </si>
  <si>
    <t>-585.060895128746 -224.497557128518 808.206020290826</t>
  </si>
  <si>
    <t>9763-20170724T104620.349787100.bin</t>
  </si>
  <si>
    <t>-817.879987864613 14.6350958359412 -505.000692573433</t>
  </si>
  <si>
    <t>-797.602879055493 44.693651750533 -212.979027399306</t>
  </si>
  <si>
    <t>-567.266732914344 102.96434967963 -252.987652118265</t>
  </si>
  <si>
    <t>-710.075248711542 -26.8168573159992 318.659002688834</t>
  </si>
  <si>
    <t>-749.679567135168 -36.3292178354254 764.860235425108</t>
  </si>
  <si>
    <t>-606.708689791974 -5.29967536799836 825.554486253754</t>
  </si>
  <si>
    <t>-522.221237240959 -208.566969660439 303.3054843148</t>
  </si>
  <si>
    <t>-693.354743336652 -198.011997245689 717.336412468325</t>
  </si>
  <si>
    <t>-571.405212428279 -238.960845188005 809.741978705</t>
  </si>
  <si>
    <t>9763-20170724T104620.383875700.bin</t>
  </si>
  <si>
    <t>-817.303718749184 9.75825333292073 -505.052545906243</t>
  </si>
  <si>
    <t>-797.14119537503 39.5635604733086 -212.997235688876</t>
  </si>
  <si>
    <t>-567.723903911838 101.601428464952 -252.619268328001</t>
  </si>
  <si>
    <t>-709.28154487838 -29.8245178991901 318.558746947563</t>
  </si>
  <si>
    <t>-749.527174769172 -36.5472423545134 764.79727143923</t>
  </si>
  <si>
    <t>-606.732658938817 -4.72894581579953 825.498341259442</t>
  </si>
  <si>
    <t>-524.449488570665 -212.599807688526 304.586679638461</t>
  </si>
  <si>
    <t>-687.78944357268 -200.815829445859 721.460313715466</t>
  </si>
  <si>
    <t>-564.254208100739 -244.019848407475 810.677730950343</t>
  </si>
  <si>
    <t>9763-20170724T104620.452058100.bin</t>
  </si>
  <si>
    <t>-816.640607608357 0.788460603191879 -504.762542542579</t>
  </si>
  <si>
    <t>-796.211942833605 31.0126411325082 -212.768787908216</t>
  </si>
  <si>
    <t>-568.971086122989 100.958216420131 -251.756889705848</t>
  </si>
  <si>
    <t>-707.808609945757 -35.1178107941196 318.497091208854</t>
  </si>
  <si>
    <t>-749.282684053208 -36.953071718327 764.709030910438</t>
  </si>
  <si>
    <t>-606.774160712313 -3.84393388549006 825.391857714686</t>
  </si>
  <si>
    <t>-531.149205175969 -218.995111427261 307.697576784198</t>
  </si>
  <si>
    <t>-688.078489507011 -208.62106642157 727.010635893851</t>
  </si>
  <si>
    <t>-562.04563444427 -253.174775920337 811.969326444799</t>
  </si>
  <si>
    <t>9763-20170724T104620.483949200.bin</t>
  </si>
  <si>
    <t>-795.721981837891 28.0078222154164 -212.864669641501</t>
  </si>
  <si>
    <t>-569.69468043379 101.941930016945 -251.546446002429</t>
  </si>
  <si>
    <t>-707.21921420994 -37.3174184464951 318.421941031136</t>
  </si>
  <si>
    <t>-749.171928479581 -37.1776390118557 764.641541937649</t>
  </si>
  <si>
    <t>-606.808713645809 -3.40567181856454 825.300334850857</t>
  </si>
  <si>
    <t>-535.255333218225 -220.648312562049 308.812128345607</t>
  </si>
  <si>
    <t>-688.643141242035 -209.612854050443 729.147525930553</t>
  </si>
  <si>
    <t>-561.467583961284 -253.729121245996 812.61868954455</t>
  </si>
  <si>
    <t>9763-20170724T104620.550631200.bin</t>
  </si>
  <si>
    <t>-796.592711970937 23.8334598213623 -213.413498733684</t>
  </si>
  <si>
    <t>-572.260988018952 103.528008179502 -250.493729198737</t>
  </si>
  <si>
    <t>-707.220190279487 -40.7923157346618 317.980326435688</t>
  </si>
  <si>
    <t>-748.899216874918 -37.6849778278579 764.359112608426</t>
  </si>
  <si>
    <t>-606.941136424267 -2.15723063184669 824.964249682014</t>
  </si>
  <si>
    <t>-543.903344146585 -221.438439357433 310.150758176856</t>
  </si>
  <si>
    <t>-689.52598780957 -208.940120154313 732.936463857423</t>
  </si>
  <si>
    <t>-561.10633085612 -253.8748864027 814.03239778333</t>
  </si>
  <si>
    <t>9763-20170724T104620.584233500.bin</t>
  </si>
  <si>
    <t>-797.286121354139 22.0591925153162 -213.888928580041</t>
  </si>
  <si>
    <t>-573.342889844931 103.410314234525 -249.698705222138</t>
  </si>
  <si>
    <t>-707.365911858424 -42.5788057589932 317.687778496439</t>
  </si>
  <si>
    <t>-748.770116662069 -37.94973925166 764.192661118957</t>
  </si>
  <si>
    <t>-607.015089527975 -1.55439563345158 824.758261572696</t>
  </si>
  <si>
    <t>-547.680832643622 -222.422355739807 310.621022502286</t>
  </si>
  <si>
    <t>-689.740681484376 -208.151525755566 734.606561018833</t>
  </si>
  <si>
    <t>-561.079597229145 -253.821264496807 814.905296256801</t>
  </si>
  <si>
    <t>9763-20170724T104620.647895400.bin</t>
  </si>
  <si>
    <t>-796.769269858147 17.765315346179 -215.191854136059</t>
  </si>
  <si>
    <t>-571.995799343818 99.1895903018824 -245.155635655367</t>
  </si>
  <si>
    <t>-707.30664440978 -47.0106306942643 317.33810135942</t>
  </si>
  <si>
    <t>-748.446973927165 -38.5628874429024 763.921590766341</t>
  </si>
  <si>
    <t>-607.139393794921 -0.405116172322778 824.448014715265</t>
  </si>
  <si>
    <t>-553.193918215002 -226.418576753897 311.694401185277</t>
  </si>
  <si>
    <t>-690.201462772152 -207.928274860917 737.655147057426</t>
  </si>
  <si>
    <t>-560.980209588382 -253.952646922814 816.844236641721</t>
  </si>
  <si>
    <t>9763-20170724T104620.685497100.bin</t>
  </si>
  <si>
    <t>-796.215496387249 15.0411267278905 -215.86007158315</t>
  </si>
  <si>
    <t>-570.848959079835 96.0220559704833 -242.371872321772</t>
  </si>
  <si>
    <t>-707.945322506333 -49.3991495666731 317.307847971249</t>
  </si>
  <si>
    <t>-748.401321436574 -38.587006536955 763.811866032951</t>
  </si>
  <si>
    <t>-607.209620942549 -0.0460719924167279 824.365834792596</t>
  </si>
  <si>
    <t>-555.971886579256 -229.097716096408 312.467229971658</t>
  </si>
  <si>
    <t>-690.608042028305 -208.169504595028 739.23753519277</t>
  </si>
  <si>
    <t>-561.061310583719 -254.373009686759 817.788026472802</t>
  </si>
  <si>
    <t>9763-20170724T104620.751176600.bin</t>
  </si>
  <si>
    <t>-794.28177906172 10.4060651957179 -217.973429457689</t>
  </si>
  <si>
    <t>-567.736650887668 90.472326832102 -235.794033569533</t>
  </si>
  <si>
    <t>-710.883213301044 -54.4069815980112 317.275382781167</t>
  </si>
  <si>
    <t>-748.476342201813 -38.3035312633695 763.668822845114</t>
  </si>
  <si>
    <t>-607.325295710528 0.28905419749799 824.284732910202</t>
  </si>
  <si>
    <t>-563.434655095376 -234.732599667018 314.02047495661</t>
  </si>
  <si>
    <t>-691.658521815889 -208.573069183963 742.571698270433</t>
  </si>
  <si>
    <t>-561.049908847105 -254.606653176382 819.445581906282</t>
  </si>
  <si>
    <t>9763-20170724T104620.799823700.bin</t>
  </si>
  <si>
    <t>-792.778976208974 10.185114876396 -219.711656651493</t>
  </si>
  <si>
    <t>-566.040076168611 90.3410802139492 -234.388947597329</t>
  </si>
  <si>
    <t>-713.13744112752 -56.6410031914974 317.039945750703</t>
  </si>
  <si>
    <t>-748.629229336163 -37.9100867081374 763.525983907498</t>
  </si>
  <si>
    <t>-607.388166920896 0.260365797041004 824.199464972688</t>
  </si>
  <si>
    <t>-569.042166787324 -237.412813172284 314.740879859881</t>
  </si>
  <si>
    <t>-692.397168235661 -209.128205867881 744.536765401915</t>
  </si>
  <si>
    <t>-561.097514592641 -254.917660115258 820.372412511298</t>
  </si>
  <si>
    <t>9763-20170724T104620.847447800.bin</t>
  </si>
  <si>
    <t>-788.171144253612 13.2225725910562 -224.807794180219</t>
  </si>
  <si>
    <t>-561.598270139555 94.8432483197314 -232.133465864222</t>
  </si>
  <si>
    <t>-720.595885546921 -58.9460807641424 315.375361377329</t>
  </si>
  <si>
    <t>-749.016250927308 -35.6554357533305 762.205519841597</t>
  </si>
  <si>
    <t>-607.726274589779 0.891789110257832 823.758389489438</t>
  </si>
  <si>
    <t>-583.544045293839 -241.884233309478 315.925460890089</t>
  </si>
  <si>
    <t>-693.909892629906 -211.233437600135 748.902359921777</t>
  </si>
  <si>
    <t>-561.024539877291 -255.673480033965 822.752679614538</t>
  </si>
  <si>
    <t>9763-20170724T104620.881056900.bin</t>
  </si>
  <si>
    <t>-785.975297829906 12.8650930667045 -227.12637258234</t>
  </si>
  <si>
    <t>-559.593986560444 95.2086872087643 -231.806047137162</t>
  </si>
  <si>
    <t>-728.324856160631 -59.2663750606209 314.140158392423</t>
  </si>
  <si>
    <t>-749.988268710195 -31.8197020685589 760.434851423421</t>
  </si>
  <si>
    <t>-608.911132918803 3.105465266897 823.401268515189</t>
  </si>
  <si>
    <t>-591.292570407259 -243.260680314252 316.5868901159</t>
  </si>
  <si>
    <t>-694.246393314188 -211.941270612867 751.576971218101</t>
  </si>
  <si>
    <t>-560.838947721676 -255.806057149928 824.827463397759</t>
  </si>
  <si>
    <t>9763-20170724T104620.948746700.bin</t>
  </si>
  <si>
    <t>-787.506670497861 24.3689590018118 -231.809399886146</t>
  </si>
  <si>
    <t>-561.163864494732 106.939138377052 -233.222348610994</t>
  </si>
  <si>
    <t>-756.359353825943 -39.34579488748 310.865808614751</t>
  </si>
  <si>
    <t>-774.725273046723 10.5101300202678 756.05433560432</t>
  </si>
  <si>
    <t>-632.978256173633 39.2661004584349 820.615827818623</t>
  </si>
  <si>
    <t>-607.375390858147 -237.953089885266 316.337645056517</t>
  </si>
  <si>
    <t>-694.637951633346 -212.938523972452 754.735543373215</t>
  </si>
  <si>
    <t>-560.895249246127 -256.821500548812 827.361056583162</t>
  </si>
  <si>
    <t>9763-20170724T104620.979345400.bin</t>
  </si>
  <si>
    <t>-790.526409586058 30.8611669002398 -234.069207931586</t>
  </si>
  <si>
    <t>-563.995387577854 112.920981397325 -234.93220155645</t>
  </si>
  <si>
    <t>-768.381299679402 -30.2289535212958 309.520724769045</t>
  </si>
  <si>
    <t>-789.829702581109 22.1813402904006 754.319967034661</t>
  </si>
  <si>
    <t>-649.114604351736 55.144193966901 819.127294145134</t>
  </si>
  <si>
    <t>-615.902069778842 -234.65975336093 315.675730764135</t>
  </si>
  <si>
    <t>-694.732849650021 -213.198253945442 755.487618466783</t>
  </si>
  <si>
    <t>-560.942382352431 -257.118165962753 828.002832737131</t>
  </si>
  <si>
    <t>9763-20170724T104621.050550800.bin</t>
  </si>
  <si>
    <t>-795.018210128818 37.9276195692257 -238.286937588899</t>
  </si>
  <si>
    <t>-567.421111237801 116.980001406837 -239.360081730917</t>
  </si>
  <si>
    <t>-778.156540746446 -15.9463331166701 307.385840759174</t>
  </si>
  <si>
    <t>-849.635735626672 34.6135140938825 747.004050425109</t>
  </si>
  <si>
    <t>-718.64506362405 90.0889906248442 816.654640296879</t>
  </si>
  <si>
    <t>-630.066843963926 -230.951160307133 314.255616906796</t>
  </si>
  <si>
    <t>-694.838974923881 -213.723901069277 756.25409163438</t>
  </si>
  <si>
    <t>-561.100678960689 -257.63684251262 828.869736473178</t>
  </si>
  <si>
    <t>9763-20170724T104621.083214100.bin</t>
  </si>
  <si>
    <t>-796.040765573018 42.1276749583526 -240.645491586529</t>
  </si>
  <si>
    <t>-567.794226167877 119.280158071231 -242.021904850612</t>
  </si>
  <si>
    <t>-782.715668306422 -9.37658456414806 305.749248924488</t>
  </si>
  <si>
    <t>-869.109767094177 42.4761607356693 742.279679483347</t>
  </si>
  <si>
    <t>-740.638072246981 101.93957337977 813.317516532321</t>
  </si>
  <si>
    <t>-637.411260456201 -229.311734024253 313.409800747588</t>
  </si>
  <si>
    <t>-694.844091981421 -214.373209348791 756.398709518699</t>
  </si>
  <si>
    <t>-561.141642508628 -258.032696848678 829.232703711492</t>
  </si>
  <si>
    <t>9763-20170724T104621.148388700.bin</t>
  </si>
  <si>
    <t>-798.242960289217 53.2361583165477 -246.233900025223</t>
  </si>
  <si>
    <t>-568.711023788686 126.468342914402 -247.962112030474</t>
  </si>
  <si>
    <t>-795.945835312238 7.25204003263752 301.1909421439</t>
  </si>
  <si>
    <t>-871.796592291378 60.133490490331 739.32748899129</t>
  </si>
  <si>
    <t>-741.236981134596 115.27622459692 810.043738640941</t>
  </si>
  <si>
    <t>-654.347841775734 -222.760736125715 311.531542312179</t>
  </si>
  <si>
    <t>-695.041722171208 -215.611618524132 756.818877805745</t>
  </si>
  <si>
    <t>-561.526883919595 -259.329302318932 829.961549495508</t>
  </si>
  <si>
    <t>9763-20170724T104621.183985400.bin</t>
  </si>
  <si>
    <t>-800.768823806594 57.9049376905821 -248.575803530179</t>
  </si>
  <si>
    <t>-570.648912663686 129.261638195879 -250.556005170901</t>
  </si>
  <si>
    <t>-794.374407705011 10.6600986883195 300.056080438741</t>
  </si>
  <si>
    <t>-871.142470163243 59.6249303984614 738.804963270439</t>
  </si>
  <si>
    <t>-739.753677090753 114.248852040511 808.378764681524</t>
  </si>
  <si>
    <t>-663.248006610687 -218.225525822286 311.052127858699</t>
  </si>
  <si>
    <t>-695.117287512584 -216.211175442052 757.071231303576</t>
  </si>
  <si>
    <t>-561.625322468828 -259.864815621483 830.293805085967</t>
  </si>
  <si>
    <t>9763-20170724T104621.250163600.bin</t>
  </si>
  <si>
    <t>-830.775440189163 5.98814583675471 -538.31550558476</t>
  </si>
  <si>
    <t>-806.008500938834 66.0228270744158 -251.30734552317</t>
  </si>
  <si>
    <t>-574.608563881924 133.094747388236 -253.815731419783</t>
  </si>
  <si>
    <t>-797.158959130674 15.3720547800881 299.307768081942</t>
  </si>
  <si>
    <t>-873.272047760299 59.9183080437417 739.41928777152</t>
  </si>
  <si>
    <t>-740.763699317074 115.567428560342 805.992665072278</t>
  </si>
  <si>
    <t>-673.783986104515 -211.70035516463 310.202776270661</t>
  </si>
  <si>
    <t>-695.102083343282 -216.222662803278 757.240621366917</t>
  </si>
  <si>
    <t>-561.793075428291 -260.124799665007 830.647761912503</t>
  </si>
  <si>
    <t>9763-20170724T104621.283262000.bin</t>
  </si>
  <si>
    <t>-832.023405024312 7.99924340056168 -538.956946861646</t>
  </si>
  <si>
    <t>-807.722687965277 67.8502654568267 -251.870709351208</t>
  </si>
  <si>
    <t>-575.802900386183 133.115512721362 -254.002373130081</t>
  </si>
  <si>
    <t>-798.225003609239 15.7197314084024 299.532081710267</t>
  </si>
  <si>
    <t>-873.974082879551 59.8267062495311 739.890924057253</t>
  </si>
  <si>
    <t>-740.930358398613 115.616965090549 805.267414832171</t>
  </si>
  <si>
    <t>-674.461753770145 -210.414101405938 309.751480162727</t>
  </si>
  <si>
    <t>-695.128585209016 -215.871638613477 757.160914157796</t>
  </si>
  <si>
    <t>-562.096396353194 -260.482167959125 830.643185066346</t>
  </si>
  <si>
    <t>9763-20170724T104621.316342100.bin</t>
  </si>
  <si>
    <t>-833.470112767226 9.64890295346299 -539.348887511934</t>
  </si>
  <si>
    <t>-809.582493430545 68.6829858563367 -252.058806787589</t>
  </si>
  <si>
    <t>-577.215255000943 132.357078672608 -253.445293548522</t>
  </si>
  <si>
    <t>-800.127384109589 16.0526739006812 299.389378643683</t>
  </si>
  <si>
    <t>-874.380503856206 59.9174848528414 740.052947770998</t>
  </si>
  <si>
    <t>-741.016748142656 115.714163626626 804.768801730656</t>
  </si>
  <si>
    <t>-674.380301127176 -209.418273497396 309.399566127834</t>
  </si>
  <si>
    <t>-695.180274372455 -215.837746506024 757.022614039306</t>
  </si>
  <si>
    <t>-562.250436454238 -260.680619057075 830.548483441221</t>
  </si>
  <si>
    <t>9763-20170724T104621.382525500.bin</t>
  </si>
  <si>
    <t>-835.226170750906 13.0305794747449 -539.075501905215</t>
  </si>
  <si>
    <t>-811.242540941273 70.1821205261131 -251.413174256508</t>
  </si>
  <si>
    <t>-578.128351868732 131.080873949005 -251.461911430864</t>
  </si>
  <si>
    <t>-803.098581666911 17.3115491754036 299.570109330395</t>
  </si>
  <si>
    <t>-874.549973796636 60.133938207071 740.401106764456</t>
  </si>
  <si>
    <t>-740.868896409012 115.705960571917 804.653826818178</t>
  </si>
  <si>
    <t>-672.275834514075 -207.10351746243 309.180330296788</t>
  </si>
  <si>
    <t>-695.231087989805 -215.077483694565 756.60491533579</t>
  </si>
  <si>
    <t>-562.66017017364 -260.789440404827 830.243542223112</t>
  </si>
  <si>
    <t>9763-20170724T104621.452714000.bin</t>
  </si>
  <si>
    <t>-836.934649075155 16.1756535695945 -537.452543940032</t>
  </si>
  <si>
    <t>-811.476458699722 72.4228806319011 -249.738658684842</t>
  </si>
  <si>
    <t>-577.699681746169 130.725334432072 -250.110778047616</t>
  </si>
  <si>
    <t>-803.815413298257 18.2423629716711 300.579145644926</t>
  </si>
  <si>
    <t>-874.59624126714 59.6193363955319 741.611378486072</t>
  </si>
  <si>
    <t>-740.689940465669 115.652389238023 804.988476343269</t>
  </si>
  <si>
    <t>-671.655197510672 -205.161386722703 309.306660767006</t>
  </si>
  <si>
    <t>-695.401915921386 -214.730152468963 756.394758485847</t>
  </si>
  <si>
    <t>-563.032240125047 -260.955634983646 830.07492899347</t>
  </si>
  <si>
    <t>9763-20170724T104621.485380100.bin</t>
  </si>
  <si>
    <t>-838.428511891595 16.8730580559786 -536.754292702417</t>
  </si>
  <si>
    <t>-811.84145811985 72.945361831639 -249.108327020348</t>
  </si>
  <si>
    <t>-577.809899724959 130.214490487615 -249.714228163365</t>
  </si>
  <si>
    <t>-804.081711766976 18.2635227350911 300.874449034896</t>
  </si>
  <si>
    <t>-874.707412105437 59.4793612850697 742.059242522376</t>
  </si>
  <si>
    <t>-740.596598503371 115.496976462388 805.016392564779</t>
  </si>
  <si>
    <t>-672.902123997696 -203.980148287875 309.351145945075</t>
  </si>
  <si>
    <t>-695.523326811737 -214.774869004051 756.420710583274</t>
  </si>
  <si>
    <t>-562.997007431981 -260.584609460938 830.079011882748</t>
  </si>
  <si>
    <t>9763-20170724T104621.552567400.bin</t>
  </si>
  <si>
    <t>-841.826706993925 18.5216131911682 -535.942464893253</t>
  </si>
  <si>
    <t>-812.837455948797 74.1255861798938 -248.437670763205</t>
  </si>
  <si>
    <t>-578.311603138479 129.315229344014 -250.044342458711</t>
  </si>
  <si>
    <t>-805.152379382128 17.9554599098255 301.303885416712</t>
  </si>
  <si>
    <t>-874.865992680016 59.4769412613909 742.609747858891</t>
  </si>
  <si>
    <t>-740.50876923904 115.50113634839 805.033297932197</t>
  </si>
  <si>
    <t>-674.142868478273 -202.356798477112 309.324753426168</t>
  </si>
  <si>
    <t>-695.749391865781 -214.482240192553 756.450117623408</t>
  </si>
  <si>
    <t>-563.370599888599 -260.715942567417 830.108786642102</t>
  </si>
  <si>
    <t>9763-20170724T104621.584203500.bin</t>
  </si>
  <si>
    <t>-843.430847476377 19.717897711683 -535.736376432683</t>
  </si>
  <si>
    <t>-813.319313813637 75.0944665907182 -248.303000181828</t>
  </si>
  <si>
    <t>-578.594244304482 129.411028020201 -250.481666532419</t>
  </si>
  <si>
    <t>-805.770222730246 18.0572420524049 301.489400406945</t>
  </si>
  <si>
    <t>-874.857344917924 59.4380767748248 742.907462667867</t>
  </si>
  <si>
    <t>-740.404199605725 115.424516966854 805.158059775359</t>
  </si>
  <si>
    <t>-674.226332787071 -201.951803353893 309.282655968054</t>
  </si>
  <si>
    <t>-695.875232698244 -214.293356747478 756.422672626536</t>
  </si>
  <si>
    <t>-563.695008703306 -261.071827759857 830.094095511668</t>
  </si>
  <si>
    <t>9763-20170724T104621.651385200.bin</t>
  </si>
  <si>
    <t>-845.429401646537 20.7935901427195 -535.148362776789</t>
  </si>
  <si>
    <t>-812.858139491657 76.3510631462138 -248.018313567195</t>
  </si>
  <si>
    <t>-577.786852563105 129.080683723577 -251.478652734138</t>
  </si>
  <si>
    <t>-806.557834108003 18.8309663934831 301.806235155929</t>
  </si>
  <si>
    <t>-874.859929933497 59.473866795538 743.368692061231</t>
  </si>
  <si>
    <t>-740.20110091417 115.223126661955 805.387179773697</t>
  </si>
  <si>
    <t>-674.405862719364 -201.466092197971 309.370845947197</t>
  </si>
  <si>
    <t>-696.158761814527 -214.154468484582 756.449150614662</t>
  </si>
  <si>
    <t>-563.798593233231 -260.503603822814 830.068794129123</t>
  </si>
  <si>
    <t>9763-20170724T104621.684044300.bin</t>
  </si>
  <si>
    <t>-846.087936691688 21.0422399450456 -534.824747311022</t>
  </si>
  <si>
    <t>-812.346206171912 76.8438310287986 -247.87729989692</t>
  </si>
  <si>
    <t>-577.125217363736 128.841926720935 -252.136172595976</t>
  </si>
  <si>
    <t>-806.578666796788 18.9321189025422 301.972187386384</t>
  </si>
  <si>
    <t>-874.770242770787 59.3853305329126 743.557543238035</t>
  </si>
  <si>
    <t>-740.119881224515 115.272787407296 805.470122413132</t>
  </si>
  <si>
    <t>-674.596064932016 -201.150076708054 309.463429306856</t>
  </si>
  <si>
    <t>-696.289357473883 -214.076141660404 756.48279001659</t>
  </si>
  <si>
    <t>-563.949585846306 -260.500151348257 830.091784261391</t>
  </si>
  <si>
    <t>9763-20170724T104621.751703800.bin</t>
  </si>
  <si>
    <t>-847.778041765854 21.3141453606754 -534.457589995079</t>
  </si>
  <si>
    <t>-811.662703351997 77.5309377978654 -247.880325175927</t>
  </si>
  <si>
    <t>-576.234040573389 128.454850652808 -253.443697658266</t>
  </si>
  <si>
    <t>-806.550027364767 19.1799737220379 302.18078571598</t>
  </si>
  <si>
    <t>-874.704497684039 59.3995732470039 743.833616378129</t>
  </si>
  <si>
    <t>-739.913811779174 115.098431934498 805.610630372766</t>
  </si>
  <si>
    <t>-675.19230558893 -200.026303643653 309.587380221334</t>
  </si>
  <si>
    <t>-696.525843786933 -213.700825889431 756.558246736422</t>
  </si>
  <si>
    <t>-564.340156401269 -260.579558337322 830.156055638518</t>
  </si>
  <si>
    <t>9763-20170724T104621.784294100.bin</t>
  </si>
  <si>
    <t>-848.586616928852 21.1527977515304 -534.318977733382</t>
  </si>
  <si>
    <t>-811.449370548067 77.6648113963051 -247.93039003623</t>
  </si>
  <si>
    <t>-575.949688611653 128.202259859273 -253.993372740255</t>
  </si>
  <si>
    <t>-806.455834694194 19.361241646943 302.232449283654</t>
  </si>
  <si>
    <t>-874.667564423421 59.4087535516121 743.925257224305</t>
  </si>
  <si>
    <t>-739.747047528449 114.829086434025 805.669376403382</t>
  </si>
  <si>
    <t>-675.25621684468 -199.682147471037 309.641935863319</t>
  </si>
  <si>
    <t>-696.654950732555 -213.667334417836 756.594883547456</t>
  </si>
  <si>
    <t>-564.46821262769 -260.561776041722 830.180674115374</t>
  </si>
  <si>
    <t>9763-20170724T104621.852479000.bin</t>
  </si>
  <si>
    <t>-849.721900250806 20.5413058928625 -534.04714215276</t>
  </si>
  <si>
    <t>-810.944493135344 77.5068495100925 -247.966045934021</t>
  </si>
  <si>
    <t>-575.397822363757 127.707048461654 -254.936474789615</t>
  </si>
  <si>
    <t>-805.668406915998 19.5090446700654 302.27836162741</t>
  </si>
  <si>
    <t>-874.3440597206 59.1411802608777 743.981270349033</t>
  </si>
  <si>
    <t>-739.592285367601 115.018506290734 805.682031986944</t>
  </si>
  <si>
    <t>-675.080492239913 -199.246573537496 309.811549646839</t>
  </si>
  <si>
    <t>-696.910535602468 -213.551660072457 756.663707566598</t>
  </si>
  <si>
    <t>-564.742149035307 -260.537501179367 830.224251797567</t>
  </si>
  <si>
    <t>9763-20170724T104621.883562900.bin</t>
  </si>
  <si>
    <t>-850.281123383756 20.2695751272659 -533.941428027742</t>
  </si>
  <si>
    <t>-810.825618540636 77.4259679557088 -247.990950905412</t>
  </si>
  <si>
    <t>-575.275814021748 127.547517868383 -255.40724103166</t>
  </si>
  <si>
    <t>-805.222095833334 19.621048442219 302.274571710215</t>
  </si>
  <si>
    <t>-874.3109356955 59.1572673510987 743.965570086619</t>
  </si>
  <si>
    <t>-739.442705450571 114.771137860716 805.649778826965</t>
  </si>
  <si>
    <t>-675.21991403409 -198.953169392251 309.880307091193</t>
  </si>
  <si>
    <t>-697.029402065915 -213.41960448718 756.693556040318</t>
  </si>
  <si>
    <t>-564.894069375058 -260.504837575931 830.249869675473</t>
  </si>
  <si>
    <t>9763-20170724T104621.949243500.bin</t>
  </si>
  <si>
    <t>-851.861591990907 19.6754973117647 -533.871211060641</t>
  </si>
  <si>
    <t>-811.169102661931 77.2772008182833 -248.183635860402</t>
  </si>
  <si>
    <t>-575.619889029916 127.291783259405 -256.306189111733</t>
  </si>
  <si>
    <t>-804.544036595349 19.6382556874312 302.218080565277</t>
  </si>
  <si>
    <t>-874.082308209379 58.9804074363722 743.886497768533</t>
  </si>
  <si>
    <t>-739.233379036764 114.709121627369 805.50928130477</t>
  </si>
  <si>
    <t>-675.688836146938 -198.566935299931 309.945605069237</t>
  </si>
  <si>
    <t>-697.277460028055 -213.238554743195 756.752357864189</t>
  </si>
  <si>
    <t>-565.108041376313 -260.247983800303 830.295941323551</t>
  </si>
  <si>
    <t>9763-20170724T104621.985846200.bin</t>
  </si>
  <si>
    <t>-852.784323733278 19.4455983273135 -533.872576336109</t>
  </si>
  <si>
    <t>-811.532488928688 77.2780760100859 -248.311834484874</t>
  </si>
  <si>
    <t>-575.955513580892 127.103893933782 -256.782142654027</t>
  </si>
  <si>
    <t>-804.424129768757 19.6597748392085 302.166936553065</t>
  </si>
  <si>
    <t>-873.970762884226 58.904499738961 743.830441464153</t>
  </si>
  <si>
    <t>-739.102023133436 114.607662748326 805.432813367442</t>
  </si>
  <si>
    <t>-675.859069620656 -198.422624115805 309.943815244399</t>
  </si>
  <si>
    <t>-697.405523811222 -213.15312804363 756.77391444533</t>
  </si>
  <si>
    <t>-565.381636675865 -260.554378954927 830.327453943735</t>
  </si>
  <si>
    <t>9763-20170724T104622.050024700.bin</t>
  </si>
  <si>
    <t>-854.602406329944 18.9880126626583 -533.791035201449</t>
  </si>
  <si>
    <t>-812.324673830351 77.1714838490545 -248.451749784736</t>
  </si>
  <si>
    <t>-576.730575826324 126.758638202447 -257.801910272854</t>
  </si>
  <si>
    <t>-804.345845861675 19.5330463765158 302.124531435093</t>
  </si>
  <si>
    <t>-873.765109843109 58.7814039026593 743.759717564346</t>
  </si>
  <si>
    <t>-738.89084053404 114.519640281209 805.318356808562</t>
  </si>
  <si>
    <t>-676.323878796002 -198.476396134072 309.925570443527</t>
  </si>
  <si>
    <t>-697.674997189424 -213.127564038885 756.799155078054</t>
  </si>
  <si>
    <t>-565.521219733235 -260.205923636033 830.326699833844</t>
  </si>
  <si>
    <t>9763-20170724T104622.085122800.bin</t>
  </si>
  <si>
    <t>-855.466482240961 18.7761286749292 -533.717060444681</t>
  </si>
  <si>
    <t>-812.734169847286 77.0195875578454 -248.45780254318</t>
  </si>
  <si>
    <t>-577.126963650337 126.476272771889 -258.16017229115</t>
  </si>
  <si>
    <t>-804.32864582783 19.5665285713558 302.113705099752</t>
  </si>
  <si>
    <t>-873.752091101624 58.8233069037465 743.730916950831</t>
  </si>
  <si>
    <t>-738.787547843368 114.360033312855 805.274043923027</t>
  </si>
  <si>
    <t>-676.546797127397 -198.498968529668 309.92871810548</t>
  </si>
  <si>
    <t>-697.802563607958 -213.061522757505 756.805352697123</t>
  </si>
  <si>
    <t>-565.645437485309 -260.14251893955 830.325212302788</t>
  </si>
  <si>
    <t>9763-20170724T104622.147287800.bin</t>
  </si>
  <si>
    <t>-857.279277284261 18.3957381127996 -533.504533290982</t>
  </si>
  <si>
    <t>-814.033796749139 76.5696683141637 -248.308426973178</t>
  </si>
  <si>
    <t>-578.398617639327 125.827150441419 -258.341198827951</t>
  </si>
  <si>
    <t>-804.508092967711 19.4884766316775 302.101598775477</t>
  </si>
  <si>
    <t>-873.609348922194 58.7531197151945 743.711904148805</t>
  </si>
  <si>
    <t>-738.598191253633 114.236797320224 805.200223630234</t>
  </si>
  <si>
    <t>-677.041702571763 -198.429503086523 309.910349161826</t>
  </si>
  <si>
    <t>-698.047257574405 -212.94451966252 756.820782918336</t>
  </si>
  <si>
    <t>-565.995126488455 -260.322216056116 830.338635669437</t>
  </si>
  <si>
    <t>9763-20170724T104622.183402500.bin</t>
  </si>
  <si>
    <t>-858.107607180193 18.1228527009887 -533.425797706334</t>
  </si>
  <si>
    <t>-814.747921971578 76.1570484582544 -248.218541365542</t>
  </si>
  <si>
    <t>-579.093812053 125.335412491403 -258.192495936551</t>
  </si>
  <si>
    <t>-804.67779072212 19.320295134444 302.091962950718</t>
  </si>
  <si>
    <t>-873.486171547843 58.6494954478121 743.718376951236</t>
  </si>
  <si>
    <t>-738.49150161552 114.210209954758 805.173861538917</t>
  </si>
  <si>
    <t>-677.337193726825 -198.480353236479 309.888560263436</t>
  </si>
  <si>
    <t>-698.164818462426 -212.882190592493 756.825186641824</t>
  </si>
  <si>
    <t>-566.083342936322 -260.189414709664 830.33576530242</t>
  </si>
  <si>
    <t>9763-20170724T104622.250080000.bin</t>
  </si>
  <si>
    <t>-859.633925077219 17.6155023355766 -533.21236181125</t>
  </si>
  <si>
    <t>-816.089676609252 75.3441019220325 -247.971227559595</t>
  </si>
  <si>
    <t>-580.351725223012 124.141808024634 -257.83325453781</t>
  </si>
  <si>
    <t>-805.138882609547 19.0799971822032 302.072704706741</t>
  </si>
  <si>
    <t>-873.35979503667 58.6065104715622 743.744356787847</t>
  </si>
  <si>
    <t>-738.302704626525 114.065027827871 805.154711352464</t>
  </si>
  <si>
    <t>-677.815965135399 -198.635097561345 309.853780399617</t>
  </si>
  <si>
    <t>-698.401143306637 -212.86291542554 756.821519384816</t>
  </si>
  <si>
    <t>-566.256743475463 -260.007445215736 830.323562235702</t>
  </si>
  <si>
    <t>9763-20170724T104622.281676600.bin</t>
  </si>
  <si>
    <t>-860.420259513598 17.5485008563949 -533.020626559831</t>
  </si>
  <si>
    <t>-816.666749504629 75.1206507377549 -247.779808432541</t>
  </si>
  <si>
    <t>-580.883430026867 123.660409447658 -257.827726227152</t>
  </si>
  <si>
    <t>-805.318679464555 19.0086964287191 302.07144209533</t>
  </si>
  <si>
    <t>-873.269470625046 58.5564827609369 743.75976400403</t>
  </si>
  <si>
    <t>-738.190487534497 113.980700298386 805.153039738206</t>
  </si>
  <si>
    <t>-678.060171085911 -198.637682914129 309.839406617309</t>
  </si>
  <si>
    <t>-698.505136135348 -212.745578606114 756.823365422826</t>
  </si>
  <si>
    <t>-566.465757675946 -260.172721186274 830.332386202161</t>
  </si>
  <si>
    <t>9763-20170724T104622.348858300.bin</t>
  </si>
  <si>
    <t>-861.912231449512 17.42260863253 -532.682326308817</t>
  </si>
  <si>
    <t>-817.729586027373 74.4793877609245 -247.404213022681</t>
  </si>
  <si>
    <t>-581.90195725256 122.64480817547 -258.189479196102</t>
  </si>
  <si>
    <t>-805.483768113103 18.7071543735183 302.10442644746</t>
  </si>
  <si>
    <t>-873.032499527563 58.3680560094008 743.80526147568</t>
  </si>
  <si>
    <t>-738.037504186474 114.03358919414 805.164779795975</t>
  </si>
  <si>
    <t>-678.635164622277 -198.759338442697 309.815550632053</t>
  </si>
  <si>
    <t>-698.735946648555 -212.73942009962 756.836472870958</t>
  </si>
  <si>
    <t>-566.625011841052 -259.992195455202 830.329139657059</t>
  </si>
  <si>
    <t>9763-20170724T104622.381954300.bin</t>
  </si>
  <si>
    <t>-862.641234361525 17.4060861529726 -532.553573253526</t>
  </si>
  <si>
    <t>-818.198819802093 74.2331953742278 -247.270010971195</t>
  </si>
  <si>
    <t>-582.345950701402 122.193880264874 -258.408663129254</t>
  </si>
  <si>
    <t>-805.619600469407 18.6385595826875 302.117139646701</t>
  </si>
  <si>
    <t>-872.958520285791 58.3339250276906 743.83366550743</t>
  </si>
  <si>
    <t>-737.918129927125 113.902917581477 805.180781726932</t>
  </si>
  <si>
    <t>-678.851063030051 -198.805979882151 309.796742517443</t>
  </si>
  <si>
    <t>-698.845450080559 -212.715203350614 756.839249828742</t>
  </si>
  <si>
    <t>-566.736682628322 -259.97640045615 830.330512222937</t>
  </si>
  <si>
    <t>9763-20170724T104622.458160200.bin</t>
  </si>
  <si>
    <t>-864.000189978515 17.3502588689273 -532.29811676782</t>
  </si>
  <si>
    <t>-819.19114995387 73.9719029654052 -247.031024293384</t>
  </si>
  <si>
    <t>-583.24682947288 121.335293768268 -258.772373227323</t>
  </si>
  <si>
    <t>-805.904255494973 18.5070534470517 302.164751640917</t>
  </si>
  <si>
    <t>-872.771657337245 58.2075575965544 743.910799434913</t>
  </si>
  <si>
    <t>-737.736137429642 113.828498193869 805.221892953002</t>
  </si>
  <si>
    <t>-679.319995963777 -198.894637199875 309.779615619227</t>
  </si>
  <si>
    <t>-699.054505757161 -212.617288101766 756.843225157435</t>
  </si>
  <si>
    <t>-566.958660074537 -259.91594711125 830.333459610971</t>
  </si>
  <si>
    <t>9763-20170724T104622.485244000.bin</t>
  </si>
  <si>
    <t>-864.5626707122 17.2628627542699 -532.178583837142</t>
  </si>
  <si>
    <t>-819.624059678104 73.7436607312709 -246.904027849279</t>
  </si>
  <si>
    <t>-583.640485998002 120.83304188204 -258.955286597034</t>
  </si>
  <si>
    <t>-805.952703553197 18.4021306864886 302.206149004673</t>
  </si>
  <si>
    <t>-872.681277048905 58.1507816128888 743.949370042035</t>
  </si>
  <si>
    <t>-737.679604531057 113.869683699584 805.245562889557</t>
  </si>
  <si>
    <t>-679.530452371535 -199.017568737723 309.781112384063</t>
  </si>
  <si>
    <t>-699.168526027428 -212.71274540797 756.855350873283</t>
  </si>
  <si>
    <t>-566.941965261388 -259.670021472296 830.329509105503</t>
  </si>
  <si>
    <t>9763-20170724T104622.552435200.bin</t>
  </si>
  <si>
    <t>-865.313756600895 17.2318350039016 -532.001787477182</t>
  </si>
  <si>
    <t>-820.247175171899 73.4014434772816 -246.685741385702</t>
  </si>
  <si>
    <t>-584.201560314249 120.049690486887 -259.226898076524</t>
  </si>
  <si>
    <t>-806.00190583759 18.2528258040456 302.279140387667</t>
  </si>
  <si>
    <t>-872.539648144267 58.0874585202118 744.018229552591</t>
  </si>
  <si>
    <t>-737.486253389951 113.703762837272 805.294077848459</t>
  </si>
  <si>
    <t>-679.96799838255 -198.970213340536 309.773558121083</t>
  </si>
  <si>
    <t>-699.351681563477 -212.509126406526 756.86155269413</t>
  </si>
  <si>
    <t>-567.247771261953 -259.787017406387 830.350713903924</t>
  </si>
  <si>
    <t>9763-20170724T104622.583524100.bin</t>
  </si>
  <si>
    <t>-865.543027414085 17.3076385550842 -531.930259798458</t>
  </si>
  <si>
    <t>-820.471005358088 73.2979844290426 -246.579971055177</t>
  </si>
  <si>
    <t>-584.400838849878 119.777010934001 -259.285975870252</t>
  </si>
  <si>
    <t>-806.08688362586 18.2507016877294 302.306597808443</t>
  </si>
  <si>
    <t>-872.538790239129 58.1420397295226 744.047672052173</t>
  </si>
  <si>
    <t>-737.442330140498 113.661369421745 805.316433491101</t>
  </si>
  <si>
    <t>-680.183341573463 -198.897243787441 309.77404760843</t>
  </si>
  <si>
    <t>-699.44001646574 -212.368470878605 756.864977966045</t>
  </si>
  <si>
    <t>-567.423997893075 -259.873241636946 830.3657824955</t>
  </si>
  <si>
    <t>9763-20170724T104622.648693700.bin</t>
  </si>
  <si>
    <t>-865.820467712421 17.3967164360465 -531.803491123082</t>
  </si>
  <si>
    <t>-820.753047964129 73.1391178145504 -246.403858742285</t>
  </si>
  <si>
    <t>-584.6350192299 119.31985709564 -259.305119958039</t>
  </si>
  <si>
    <t>-806.286585456878 18.1404387160906 302.348890017503</t>
  </si>
  <si>
    <t>-872.39383751765 58.0626028676513 744.119298234111</t>
  </si>
  <si>
    <t>-737.215926337257 113.404671735071 805.368674647199</t>
  </si>
  <si>
    <t>-680.534333685444 -198.996221665931 309.764231089184</t>
  </si>
  <si>
    <t>-699.644119885351 -212.500709253656 756.88238640179</t>
  </si>
  <si>
    <t>-567.456582924641 -259.548300849611 830.368913885592</t>
  </si>
  <si>
    <t>9763-20170724T104622.685796500.bin</t>
  </si>
  <si>
    <t>-865.849456432848 17.458891232357 -531.736918553055</t>
  </si>
  <si>
    <t>-820.720994770974 73.0811752188345 -246.323657775733</t>
  </si>
  <si>
    <t>-584.597712258741 119.207157343238 -259.325054009234</t>
  </si>
  <si>
    <t>-806.381641268302 18.0808292427266 302.375231676601</t>
  </si>
  <si>
    <t>-872.297163337387 57.9875838897869 744.155856826323</t>
  </si>
  <si>
    <t>-737.161703872179 113.449158782847 805.390786908324</t>
  </si>
  <si>
    <t>-680.651478114249 -198.982679118932 309.756936407633</t>
  </si>
  <si>
    <t>-699.729542373695 -212.409773408137 756.885029865961</t>
  </si>
  <si>
    <t>-567.600859393507 -259.611873845009 830.378359386697</t>
  </si>
  <si>
    <t>9763-20170724T104622.750482700.bin</t>
  </si>
  <si>
    <t>-865.966298881748 17.590182681228 -531.575250497051</t>
  </si>
  <si>
    <t>-820.569988345194 73.0542783179396 -246.173474173563</t>
  </si>
  <si>
    <t>-584.449327858461 119.064606311876 -259.62500315178</t>
  </si>
  <si>
    <t>-806.668973069252 18.0062740186904 302.437002823145</t>
  </si>
  <si>
    <t>-872.175979404168 57.9351590288206 744.235015540923</t>
  </si>
  <si>
    <t>-737.0143793149 113.358066505797 805.447441374171</t>
  </si>
  <si>
    <t>-680.788696551697 -198.884713474689 309.76276067492</t>
  </si>
  <si>
    <t>-699.90773009548 -212.353868458779 756.897443746453</t>
  </si>
  <si>
    <t>-567.816653552016 -259.665684063377 830.387900664857</t>
  </si>
  <si>
    <t>9763-20170724T104622.782646000.bin</t>
  </si>
  <si>
    <t>-865.840528156912 17.6998198789108 -531.522086412631</t>
  </si>
  <si>
    <t>-820.310514723844 73.0969715016893 -246.128723719719</t>
  </si>
  <si>
    <t>-584.19194288162 119.040800602851 -259.8424676341</t>
  </si>
  <si>
    <t>-806.806068784829 17.9806194160205 302.461418743057</t>
  </si>
  <si>
    <t>-872.137535212682 57.934359492024 744.280441289952</t>
  </si>
  <si>
    <t>-736.946483643945 113.300440535127 805.479227895133</t>
  </si>
  <si>
    <t>-680.844739004011 -198.795232516027 309.76088506382</t>
  </si>
  <si>
    <t>-699.996584410804 -212.354447395126 756.898393954083</t>
  </si>
  <si>
    <t>-567.950387154728 -259.786625038564 830.391889286091</t>
  </si>
  <si>
    <t>9763-20170724T104622.834786800.bin</t>
  </si>
  <si>
    <t>-865.673945647639 17.8475104496763 -531.479585678781</t>
  </si>
  <si>
    <t>-819.944100686768 73.1234774702093 -246.094767914198</t>
  </si>
  <si>
    <t>-583.826346411262 118.924405579253 -260.291886650558</t>
  </si>
  <si>
    <t>-807.01347190827 17.9659561676854 302.491993942571</t>
  </si>
  <si>
    <t>-872.06780351023 57.9261191967109 744.344634224022</t>
  </si>
  <si>
    <t>-736.877249374709 113.301672597714 805.536032644664</t>
  </si>
  <si>
    <t>-680.783050498698 -198.779577044752 309.75895823568</t>
  </si>
  <si>
    <t>-700.126700835336 -212.362670331407 756.897452224382</t>
  </si>
  <si>
    <t>-568.017205105136 -259.627206772152 830.385151074447</t>
  </si>
  <si>
    <t>9763-20170724T104622.880581900.bin</t>
  </si>
  <si>
    <t>-865.682021838605 17.9049923779501 -531.423892498471</t>
  </si>
  <si>
    <t>-819.717472343068 72.9839976057415 -246.038557823109</t>
  </si>
  <si>
    <t>-583.620481533782 118.656751596499 -260.974683465748</t>
  </si>
  <si>
    <t>-807.059031363895 17.9892203196821 302.528694872029</t>
  </si>
  <si>
    <t>-871.922198197543 57.8334100265533 744.403717314809</t>
  </si>
  <si>
    <t>-736.734992657589 113.208726358668 805.602657218302</t>
  </si>
  <si>
    <t>-680.686149447029 -198.7402559901 309.748014576362</t>
  </si>
  <si>
    <t>-700.241195662683 -212.275631495486 756.893532178719</t>
  </si>
  <si>
    <t>-568.090813222061 -259.430356468342 830.378204054158</t>
  </si>
  <si>
    <t>9763-20170724T104622.951266100.bin</t>
  </si>
  <si>
    <t>-865.929757366303 17.7848574358732 -531.27032873911</t>
  </si>
  <si>
    <t>-819.66425312455 72.5716813988602 -245.877381074937</t>
  </si>
  <si>
    <t>-583.64278162862 118.244807267645 -261.960968213038</t>
  </si>
  <si>
    <t>-806.972718821484 18.0543927744845 302.552128470306</t>
  </si>
  <si>
    <t>-871.767175802136 57.743425236431 744.461557209458</t>
  </si>
  <si>
    <t>-736.622027825525 113.201192297913 805.678460531633</t>
  </si>
  <si>
    <t>-680.552061234946 -198.453076650034 309.771873237504</t>
  </si>
  <si>
    <t>-700.36980756899 -212.017618292032 756.881250491482</t>
  </si>
  <si>
    <t>-568.382873557785 -259.591951795731 830.389265372605</t>
  </si>
  <si>
    <t>9763-20170724T104622.984402600.bin</t>
  </si>
  <si>
    <t>-866.028943293363 17.5898555036335 -531.191481799473</t>
  </si>
  <si>
    <t>-819.729119289909 72.2206871803321 -245.774299171739</t>
  </si>
  <si>
    <t>-583.738725626612 117.881375214997 -262.343144294409</t>
  </si>
  <si>
    <t>-806.79070909491 17.9823827900645 302.567564231895</t>
  </si>
  <si>
    <t>-871.615637673961 57.6045017359679 744.474361077798</t>
  </si>
  <si>
    <t>-736.538230812367 113.215245642249 805.702149419425</t>
  </si>
  <si>
    <t>-680.484578836069 -198.397236550662 309.784157786922</t>
  </si>
  <si>
    <t>-700.441921429303 -211.973617832428 756.880115103249</t>
  </si>
  <si>
    <t>-568.380905237708 -259.346241050137 830.385277241802</t>
  </si>
  <si>
    <t>9763-20170724T104623.051085400.bin</t>
  </si>
  <si>
    <t>-866.22201764483 17.3337062042406 -531.00547361211</t>
  </si>
  <si>
    <t>-820.046193646105 71.6272491411166 -245.503759451581</t>
  </si>
  <si>
    <t>-584.137293248429 117.357090912529 -263.014072834099</t>
  </si>
  <si>
    <t>-806.692390964937 17.8630364442004 302.600703169658</t>
  </si>
  <si>
    <t>-871.536839857499 57.582450708303 744.50104184506</t>
  </si>
  <si>
    <t>-736.411087392598 113.070284566915 805.733665539776</t>
  </si>
  <si>
    <t>-680.369898998881 -198.370659469666 309.801799845371</t>
  </si>
  <si>
    <t>-700.587942349502 -211.834524259434 756.885510198881</t>
  </si>
  <si>
    <t>-568.557949854421 -259.28675699806 830.395158364006</t>
  </si>
  <si>
    <t>9763-20170724T104623.082684500.bin</t>
  </si>
  <si>
    <t>-866.321843324824 17.267798577396 -530.897744331191</t>
  </si>
  <si>
    <t>-820.206521432994 71.3162027912217 -245.339670141983</t>
  </si>
  <si>
    <t>-584.352674325835 117.128435868367 -263.370318554435</t>
  </si>
  <si>
    <t>-806.766720544626 17.8002460509031 302.608132172843</t>
  </si>
  <si>
    <t>-871.456705063478 57.5217147054479 744.510430560598</t>
  </si>
  <si>
    <t>-736.358750958174 113.086435835083 805.734817741405</t>
  </si>
  <si>
    <t>-680.39062796699 -198.412764570613 309.814365077923</t>
  </si>
  <si>
    <t>-700.672435036816 -211.866409583585 756.897808927777</t>
  </si>
  <si>
    <t>-568.658675085477 -259.37147165975 830.402364925541</t>
  </si>
  <si>
    <t>9763-20170724T104623.150366900.bin</t>
  </si>
  <si>
    <t>-866.631760875909 16.9927076542385 -530.730894090722</t>
  </si>
  <si>
    <t>-820.68763576256 70.5988656886668 -245.061962163905</t>
  </si>
  <si>
    <t>-584.908120938846 116.404735980442 -264.054722504627</t>
  </si>
  <si>
    <t>-806.914552582436 17.637550918977 302.609511034442</t>
  </si>
  <si>
    <t>-871.359959654058 57.4745956842783 744.52971947204</t>
  </si>
  <si>
    <t>-736.206516805375 112.916842078068 805.742641684715</t>
  </si>
  <si>
    <t>-680.553060262202 -198.514412095323 309.823683026491</t>
  </si>
  <si>
    <t>-700.835782393292 -211.989217209228 756.917365908789</t>
  </si>
  <si>
    <t>-568.686147915636 -259.142526930878 830.404346994362</t>
  </si>
  <si>
    <t>9763-20170724T104623.185966400.bin</t>
  </si>
  <si>
    <t>-866.736574115409 16.8436405560901 -530.660547121371</t>
  </si>
  <si>
    <t>-820.843794697428 70.2945079060551 -244.954385140137</t>
  </si>
  <si>
    <t>-585.07885989259 116.001101773113 -264.361827663488</t>
  </si>
  <si>
    <t>-806.873622571053 17.5349247576305 302.609242176714</t>
  </si>
  <si>
    <t>-871.280924301614 57.4073552249795 744.532157795132</t>
  </si>
  <si>
    <t>-736.14134674594 112.886541761155 805.74190981088</t>
  </si>
  <si>
    <t>-680.598624598126 -198.465934111507 309.821159354968</t>
  </si>
  <si>
    <t>-700.893463616719 -211.794198131683 756.919859104838</t>
  </si>
  <si>
    <t>-568.81991774211 -259.152486164953 830.41181299327</t>
  </si>
  <si>
    <t>9763-20170724T104623.247127200.bin</t>
  </si>
  <si>
    <t>-866.818168785934 16.6086741453998 -530.569732032631</t>
  </si>
  <si>
    <t>-821.024829907384 69.8208565090608 -244.802830257164</t>
  </si>
  <si>
    <t>-585.23281409724 115.141801349562 -264.778255221997</t>
  </si>
  <si>
    <t>-806.745920559981 17.3666197446919 302.625871829739</t>
  </si>
  <si>
    <t>-871.161181805269 57.3154647864692 744.531576209222</t>
  </si>
  <si>
    <t>-736.008732047194 112.765304689687 805.739743046192</t>
  </si>
  <si>
    <t>-680.645190080768 -198.389675608363 309.83234876838</t>
  </si>
  <si>
    <t>-701.017881776447 -211.54743791118 756.922199327827</t>
  </si>
  <si>
    <t>-569.027708137584 -259.125644595714 830.421837606316</t>
  </si>
  <si>
    <t>9763-20170724T104623.282137100.bin</t>
  </si>
  <si>
    <t>-866.803915635884 16.4145042537555 -530.53897664594</t>
  </si>
  <si>
    <t>-820.99711943591 69.5549004780073 -244.761018151835</t>
  </si>
  <si>
    <t>-585.198266152603 114.722900342615 -265.000891592078</t>
  </si>
  <si>
    <t>-806.719575748942 17.23613656721 302.624043590244</t>
  </si>
  <si>
    <t>-871.108239897566 57.2730870209768 744.53202845201</t>
  </si>
  <si>
    <t>-735.987978934818 112.811471751543 805.730895969766</t>
  </si>
  <si>
    <t>-680.736600793545 -198.51444347329 309.841826544998</t>
  </si>
  <si>
    <t>-701.119121455424 -211.820605302389 756.936078583239</t>
  </si>
  <si>
    <t>-568.982001745482 -259.011399165938 830.421447234274</t>
  </si>
  <si>
    <t>9763-20170724T104623.345306100.bin</t>
  </si>
  <si>
    <t>-866.608557389921 16.116240226321 -530.55049541781</t>
  </si>
  <si>
    <t>-820.600716487624 69.236052224142 -244.801052026295</t>
  </si>
  <si>
    <t>-584.818567451214 114.35792016517 -265.334649638993</t>
  </si>
  <si>
    <t>-806.743246988998 17.043972133878 302.584782485248</t>
  </si>
  <si>
    <t>-871.099481863438 57.3108972520176 744.502438091873</t>
  </si>
  <si>
    <t>-735.883048526566 112.628201853496 805.689008785105</t>
  </si>
  <si>
    <t>-681.031256478155 -198.474984662583 309.856962873593</t>
  </si>
  <si>
    <t>-701.25489886192 -211.665412466687 756.953093568912</t>
  </si>
  <si>
    <t>-569.171877871394 -259.006561618613 830.439101457963</t>
  </si>
  <si>
    <t>9763-20170724T104623.394075800.bin</t>
  </si>
  <si>
    <t>-866.55191519686 16.040856900602 -530.572871334047</t>
  </si>
  <si>
    <t>-820.441231283652 69.3285360162997 -244.871194959303</t>
  </si>
  <si>
    <t>-584.67780046604 114.476202786853 -265.563726005182</t>
  </si>
  <si>
    <t>-806.80569308806 16.9315922655262 302.571625135874</t>
  </si>
  <si>
    <t>-871.069217487111 57.2900426626154 744.492023557495</t>
  </si>
  <si>
    <t>-735.815066125444 112.526518041414 805.668497567156</t>
  </si>
  <si>
    <t>-681.148894641908 -198.499314769969 309.858551774778</t>
  </si>
  <si>
    <t>-701.327419681089 -211.576516132829 756.96436213887</t>
  </si>
  <si>
    <t>-569.277291830265 -259.015467085953 830.446358448877</t>
  </si>
  <si>
    <t>9763-20170724T104623.448219900.bin</t>
  </si>
  <si>
    <t>-866.418125349442 15.7798535282066 -530.605385339171</t>
  </si>
  <si>
    <t>-820.115426558122 69.3156733051369 -244.981232115805</t>
  </si>
  <si>
    <t>-584.458389980993 114.832961771363 -266.072247733983</t>
  </si>
  <si>
    <t>-806.962080463304 16.6134448532548 302.572271719656</t>
  </si>
  <si>
    <t>-870.923254053823 57.1449261177813 744.477736098873</t>
  </si>
  <si>
    <t>-735.74894345376 112.604769953146 805.62864569471</t>
  </si>
  <si>
    <t>-681.469121678591 -198.91448772566 309.856967622287</t>
  </si>
  <si>
    <t>-701.50894400222 -211.843920619219 756.99739287365</t>
  </si>
  <si>
    <t>-569.248511847802 -258.754181117141 830.440533956612</t>
  </si>
  <si>
    <t>9763-20170724T104623.483960100.bin</t>
  </si>
  <si>
    <t>-866.498780040183 15.7832230493896 -530.618655053569</t>
  </si>
  <si>
    <t>-820.083978521786 69.4386735896594 -245.035183609434</t>
  </si>
  <si>
    <t>-584.482782995309 115.147848232561 -266.332608359889</t>
  </si>
  <si>
    <t>-807.053634833416 16.5717935067 302.562436824369</t>
  </si>
  <si>
    <t>-870.88124686842 57.1173635538091 744.471549883041</t>
  </si>
  <si>
    <t>-735.682086882905 112.525366024234 805.614254424651</t>
  </si>
  <si>
    <t>-681.632286337178 -198.841142989052 309.857640692406</t>
  </si>
  <si>
    <t>-701.554744028211 -211.459367597414 757.003389014111</t>
  </si>
  <si>
    <t>-569.6285430559 -259.268201950448 830.468201926018</t>
  </si>
  <si>
    <t>9763-20170724T104623.549146000.bin</t>
  </si>
  <si>
    <t>-867.008347215782 15.4323893360863 -530.562228322653</t>
  </si>
  <si>
    <t>-820.38718702671 69.0797692101341 -245.010817676934</t>
  </si>
  <si>
    <t>-584.922942297867 115.302133814034 -266.712218625014</t>
  </si>
  <si>
    <t>-807.217374542909 16.2739741750797 302.559789534651</t>
  </si>
  <si>
    <t>-870.807875666374 57.0657516241608 744.474484231387</t>
  </si>
  <si>
    <t>-735.569823023967 112.399164301404 805.598651498394</t>
  </si>
  <si>
    <t>-682.046501497636 -199.202470309629 309.875742495251</t>
  </si>
  <si>
    <t>-701.722754638605 -211.678638945089 757.039720847119</t>
  </si>
  <si>
    <t>-569.382115042037 -258.414318971041 830.449778528937</t>
  </si>
  <si>
    <t>9763-20170724T104623.583245500.bin</t>
  </si>
  <si>
    <t>-867.243357461078 15.3366441359228 -530.517590586989</t>
  </si>
  <si>
    <t>-820.452392127322 68.9399438642256 -244.985698999476</t>
  </si>
  <si>
    <t>-585.041073407457 115.363784846671 -266.830310853959</t>
  </si>
  <si>
    <t>-807.202313494318 16.1799791510989 302.548423415673</t>
  </si>
  <si>
    <t>-870.725963652035 56.9825666814411 744.466619697595</t>
  </si>
  <si>
    <t>-735.541052834166 112.452978480547 805.584144903139</t>
  </si>
  <si>
    <t>-682.167960789337 -199.129119806412 309.87599667552</t>
  </si>
  <si>
    <t>-701.770428395754 -211.47264474337 757.039252079492</t>
  </si>
  <si>
    <t>-569.673154750646 -258.856490293043 830.472036912499</t>
  </si>
  <si>
    <t>9763-20170724T104623.648416200.bin</t>
  </si>
  <si>
    <t>-867.577178598664 15.0757170566892 -530.393014272262</t>
  </si>
  <si>
    <t>-820.474388335743 68.6921327606683 -244.914735672994</t>
  </si>
  <si>
    <t>-585.138139700768 115.357310008071 -267.053651464061</t>
  </si>
  <si>
    <t>-807.137741476079 15.9330273370263 302.557266266172</t>
  </si>
  <si>
    <t>-870.670398474728 56.9448566164124 744.455472934898</t>
  </si>
  <si>
    <t>-735.457500537697 112.358437246545 805.562953449959</t>
  </si>
  <si>
    <t>-682.442817638351 -199.321190849893 309.894810436284</t>
  </si>
  <si>
    <t>-701.922684786076 -211.629584632119 757.072053234922</t>
  </si>
  <si>
    <t>-569.651020912464 -258.565893155079 830.478323307438</t>
  </si>
  <si>
    <t>9763-20170724T104623.680515700.bin</t>
  </si>
  <si>
    <t>-867.83441591501 14.9218387992112 -530.325898639007</t>
  </si>
  <si>
    <t>-820.513621075077 68.4140542807586 -244.860636158608</t>
  </si>
  <si>
    <t>-585.235030808297 115.305712449937 -267.13294469445</t>
  </si>
  <si>
    <t>-807.150168026738 15.8100560459509 302.553432702327</t>
  </si>
  <si>
    <t>-870.648011712922 56.9255715528159 744.45309203352</t>
  </si>
  <si>
    <t>-735.366806006005 112.179433439951 805.553994109144</t>
  </si>
  <si>
    <t>-682.564095893153 -199.347133065964 309.8927171799</t>
  </si>
  <si>
    <t>-701.97832347145 -211.515819348863 757.077008459294</t>
  </si>
  <si>
    <t>-569.69988263845 -258.439342304974 830.479491803429</t>
  </si>
  <si>
    <t>9763-20170724T104623.746690600.bin</t>
  </si>
  <si>
    <t>-868.118389069325 14.6489850646669 -530.240526958545</t>
  </si>
  <si>
    <t>-820.545781507023 67.9956981534003 -244.78955281024</t>
  </si>
  <si>
    <t>-585.389482131729 115.298575001578 -267.479010916834</t>
  </si>
  <si>
    <t>-807.179327625963 15.5426698592225 302.544606822684</t>
  </si>
  <si>
    <t>-870.52719510744 56.7903131866212 744.44796474335</t>
  </si>
  <si>
    <t>-735.299692267356 112.205928470371 805.520796713154</t>
  </si>
  <si>
    <t>-682.776242316414 -199.431971218174 309.880330761022</t>
  </si>
  <si>
    <t>-702.097584221226 -211.384230832325 757.09036474711</t>
  </si>
  <si>
    <t>-569.804150812113 -258.281489760528 830.482317101109</t>
  </si>
  <si>
    <t>9763-20170724T104623.781597600.bin</t>
  </si>
  <si>
    <t>-867.969856138568 14.5802591717843 -530.255402164479</t>
  </si>
  <si>
    <t>-820.346473890044 67.890076081884 -244.806156760563</t>
  </si>
  <si>
    <t>-585.251761687488 115.375515667408 -267.751812066275</t>
  </si>
  <si>
    <t>-807.262971963935 15.4064512802488 302.534238321785</t>
  </si>
  <si>
    <t>-870.490819154122 56.7538798698738 744.439374048405</t>
  </si>
  <si>
    <t>-735.277916145988 112.217964359806 805.500693172544</t>
  </si>
  <si>
    <t>-682.859991241606 -199.513208202127 309.86593570708</t>
  </si>
  <si>
    <t>-702.154749251845 -211.434736153438 757.089074478494</t>
  </si>
  <si>
    <t>-569.923107851416 -258.489962880623 830.491383590409</t>
  </si>
  <si>
    <t>9763-20170724T104623.852290300.bin</t>
  </si>
  <si>
    <t>-867.847389069656 14.5111049654774 -530.228791963724</t>
  </si>
  <si>
    <t>-820.188676475923 67.6095736978727 -244.746053773726</t>
  </si>
  <si>
    <t>-585.216860698034 115.306837474636 -268.497393163639</t>
  </si>
  <si>
    <t>-807.546737538416 15.1784186730365 302.541778798433</t>
  </si>
  <si>
    <t>-870.460255379314 56.7275418158524 744.444294470064</t>
  </si>
  <si>
    <t>-735.1592923268 111.996211213851 805.487990994006</t>
  </si>
  <si>
    <t>-683.114688875874 -199.616558388881 309.862941103334</t>
  </si>
  <si>
    <t>-702.279766496273 -211.494867938492 757.091779948378</t>
  </si>
  <si>
    <t>-569.958888987316 -258.306588140319 830.489001103511</t>
  </si>
  <si>
    <t>9763-20170724T104623.883879200.bin</t>
  </si>
  <si>
    <t>-867.935608584696 14.5650773219306 -530.192449671494</t>
  </si>
  <si>
    <t>-820.236825266341 67.4712952435111 -244.680638160826</t>
  </si>
  <si>
    <t>-585.341676383919 115.225518183445 -269.067008593994</t>
  </si>
  <si>
    <t>-807.681728632308 15.1033832849146 302.561278704237</t>
  </si>
  <si>
    <t>-870.375237809657 56.6320975359527 744.466127447833</t>
  </si>
  <si>
    <t>-735.086019416255 111.942822859543 805.497940287568</t>
  </si>
  <si>
    <t>-683.279047954802 -199.477744836776 309.855704250915</t>
  </si>
  <si>
    <t>-702.313465102969 -211.191921177126 757.083912416533</t>
  </si>
  <si>
    <t>-570.157818487642 -258.441200790846 830.498365935548</t>
  </si>
  <si>
    <t>9763-20170724T104623.951564800.bin</t>
  </si>
  <si>
    <t>-868.062838450218 14.7660619642925 -530.176660329101</t>
  </si>
  <si>
    <t>-820.162221520665 67.1629404173675 -244.60473012546</t>
  </si>
  <si>
    <t>-585.560090528699 115.612799488519 -270.398650787607</t>
  </si>
  <si>
    <t>-807.947905936599 15.0157760756906 302.595566161276</t>
  </si>
  <si>
    <t>-870.29067074969 56.5371051134598 744.534890338048</t>
  </si>
  <si>
    <t>-735.02485138771 111.936449989502 805.537687184752</t>
  </si>
  <si>
    <t>-683.499734626304 -199.37827104157 309.827937212015</t>
  </si>
  <si>
    <t>-702.430473741918 -211.191207220439 757.078957426118</t>
  </si>
  <si>
    <t>-570.210627101157 -258.271487893841 830.48641963966</t>
  </si>
  <si>
    <t>9763-20170724T104623.985008100.bin</t>
  </si>
  <si>
    <t>-867.953482258855 14.8273074495585 -530.200181635721</t>
  </si>
  <si>
    <t>-819.994595631941 66.9302355640336 -244.584257934703</t>
  </si>
  <si>
    <t>-585.622816786104 116.069968933489 -271.155246003392</t>
  </si>
  <si>
    <t>-807.993161674754 14.9764358234252 302.600307152222</t>
  </si>
  <si>
    <t>-870.27406065594 56.5139931717829 744.565564533557</t>
  </si>
  <si>
    <t>-735.013776494164 111.953272270528 805.544663307742</t>
  </si>
  <si>
    <t>-683.571969191445 -199.321135839332 309.831815546511</t>
  </si>
  <si>
    <t>-702.489977974611 -211.219568628605 757.082332285587</t>
  </si>
  <si>
    <t>-570.21894982974 -258.161915365019 830.48598090231</t>
  </si>
  <si>
    <t>9763-20170724T104624.047172000.bin</t>
  </si>
  <si>
    <t>-867.524586580585 15.1104502545511 -530.23014441142</t>
  </si>
  <si>
    <t>-819.47884365636 66.633667029171 -244.523685898198</t>
  </si>
  <si>
    <t>-585.758592198053 117.48455086797 -273.504521862378</t>
  </si>
  <si>
    <t>-807.993957707794 14.9206609827347 302.615869568988</t>
  </si>
  <si>
    <t>-870.266216780145 56.4863016168003 744.606782604473</t>
  </si>
  <si>
    <t>-734.941465104312 111.821551078497 805.537379852883</t>
  </si>
  <si>
    <t>-683.75259781324 -199.212499781962 309.833947848</t>
  </si>
  <si>
    <t>-702.601099740156 -211.196520594916 757.088439759913</t>
  </si>
  <si>
    <t>-570.316532904112 -258.102945054926 830.490619996149</t>
  </si>
  <si>
    <t>9763-20170724T104624.084291700.bin</t>
  </si>
  <si>
    <t>-867.493762332731 15.4464792716331 -530.210101218867</t>
  </si>
  <si>
    <t>-819.399616645489 66.735643875294 -244.469685904192</t>
  </si>
  <si>
    <t>-585.994519514369 118.177840821217 -274.909611180465</t>
  </si>
  <si>
    <t>-808.045274227555 14.974771309877 302.63644054356</t>
  </si>
  <si>
    <t>-870.217988635903 56.4228418032319 744.634816981103</t>
  </si>
  <si>
    <t>-734.892024585197 111.781281724877 805.541385134914</t>
  </si>
  <si>
    <t>-683.781700977449 -199.127963017243 309.827830537615</t>
  </si>
  <si>
    <t>-702.636038367869 -210.929077665503 757.085957169321</t>
  </si>
  <si>
    <t>-570.52950243608 -258.311412720072 830.503061108663</t>
  </si>
  <si>
    <t>9763-20170724T104624.148464200.bin</t>
  </si>
  <si>
    <t>-867.435969252772 16.1334042686067 -530.105975761747</t>
  </si>
  <si>
    <t>-819.316072257642 67.2257458079812 -244.334653340089</t>
  </si>
  <si>
    <t>-586.402321175953 119.260597055998 -277.417344220162</t>
  </si>
  <si>
    <t>-808.072778350676 15.1155676710289 302.717536368612</t>
  </si>
  <si>
    <t>-870.185962256752 56.3922709260521 744.705836181028</t>
  </si>
  <si>
    <t>-734.791426415973 111.612819513475 805.585181195852</t>
  </si>
  <si>
    <t>-683.723031705915 -199.188492358076 309.822187624506</t>
  </si>
  <si>
    <t>-702.748497922969 -210.970809607027 757.079283071067</t>
  </si>
  <si>
    <t>-570.586792468972 -258.206453248436 830.491672366892</t>
  </si>
  <si>
    <t>9763-20170724T104624.183146500.bin</t>
  </si>
  <si>
    <t>-867.295790439694 16.2954831895047 -530.040177973105</t>
  </si>
  <si>
    <t>-819.190208257336 67.2609729114361 -244.243754739587</t>
  </si>
  <si>
    <t>-586.480436331819 119.561284244822 -278.328050595591</t>
  </si>
  <si>
    <t>-807.832770865943 15.0842447369753 302.762208109992</t>
  </si>
  <si>
    <t>-870.126606918039 56.3189472398683 744.743290856806</t>
  </si>
  <si>
    <t>-734.768648164355 111.647242465663 805.606293531557</t>
  </si>
  <si>
    <t>-683.611617989108 -199.209595751616 309.830539124669</t>
  </si>
  <si>
    <t>-702.810302923811 -211.016252312327 757.084056403289</t>
  </si>
  <si>
    <t>-570.623261492041 -258.188060675185 830.49182377622</t>
  </si>
  <si>
    <t>9763-20170724T104624.249322200.bin</t>
  </si>
  <si>
    <t>-867.298624490293 16.381478205097 -529.827261613893</t>
  </si>
  <si>
    <t>-819.116219374607 67.1278191223146 -244.004836256784</t>
  </si>
  <si>
    <t>-586.693672258408 119.474741617257 -279.92712404574</t>
  </si>
  <si>
    <t>-807.277051780689 15.0534378690686 302.901522209434</t>
  </si>
  <si>
    <t>-870.011610772084 56.1884471621054 744.796989379763</t>
  </si>
  <si>
    <t>-734.70118628139 111.639606098854 805.653911488937</t>
  </si>
  <si>
    <t>-683.179311815917 -199.207718659106 309.837196788</t>
  </si>
  <si>
    <t>-702.897372328718 -210.870158768068 757.07149751417</t>
  </si>
  <si>
    <t>-570.742548557322 -258.11851333347 830.488137372976</t>
  </si>
  <si>
    <t>9763-20170724T104624.282420300.bin</t>
  </si>
  <si>
    <t>-867.33508241127 16.355410631279 -529.700604353445</t>
  </si>
  <si>
    <t>-819.319526568614 66.9726499371743 -243.827289076257</t>
  </si>
  <si>
    <t>-586.942752618526 119.23143728203 -280.171749383846</t>
  </si>
  <si>
    <t>-807.125878858512 15.0266240976832 302.982054703833</t>
  </si>
  <si>
    <t>-869.957174043888 56.1201502015526 744.841304810131</t>
  </si>
  <si>
    <t>-734.665256762195 111.623518979848 805.691741990305</t>
  </si>
  <si>
    <t>-682.952790658625 -199.174802154025 309.854746961753</t>
  </si>
  <si>
    <t>-702.94046259021 -210.835224341126 757.061581698033</t>
  </si>
  <si>
    <t>-570.817210399261 -258.160982047144 830.485057306902</t>
  </si>
  <si>
    <t>9763-20170724T104624.348596000.bin</t>
  </si>
  <si>
    <t>-866.765087628548 16.8591552613743 -529.458522200813</t>
  </si>
  <si>
    <t>-819.548274015123 66.8205450389585 -243.336877076289</t>
  </si>
  <si>
    <t>-587.154005634907 118.93266075249 -279.780145009809</t>
  </si>
  <si>
    <t>-807.026729737514 15.0273606116973 303.051086725612</t>
  </si>
  <si>
    <t>-869.910613191047 56.0825113986214 744.909140334907</t>
  </si>
  <si>
    <t>-734.60998197036 111.571987803491 805.752655482206</t>
  </si>
  <si>
    <t>-682.615470334516 -198.935968822637 309.886735255052</t>
  </si>
  <si>
    <t>-703.006570074411 -210.630463676616 757.044475620942</t>
  </si>
  <si>
    <t>-570.866815034618 -257.893361461408 830.478753051177</t>
  </si>
  <si>
    <t>9763-20170724T104624.381477900.bin</t>
  </si>
  <si>
    <t>-866.613029875806 17.253560438648 -529.314261726465</t>
  </si>
  <si>
    <t>-819.608653315255 66.7422444440822 -243.075420081601</t>
  </si>
  <si>
    <t>-587.248769646531 118.924434921889 -279.637957294198</t>
  </si>
  <si>
    <t>-806.952763751946 15.1081246117769 303.06369699602</t>
  </si>
  <si>
    <t>-869.902437846654 56.0877293550336 744.92362575134</t>
  </si>
  <si>
    <t>-734.520578387339 111.378463760811 805.76762704893</t>
  </si>
  <si>
    <t>-682.459149827255 -198.853292808919 309.880965261199</t>
  </si>
  <si>
    <t>-703.049657662708 -210.599895381837 757.040653175108</t>
  </si>
  <si>
    <t>-570.921343966368 -257.892088714953 830.4767881956</t>
  </si>
  <si>
    <t>9763-20170724T104624.450665300.bin</t>
  </si>
  <si>
    <t>-866.791487465444 17.803543851345 -529.075379430649</t>
  </si>
  <si>
    <t>-820.083529967435 66.1480341178087 -242.592494802635</t>
  </si>
  <si>
    <t>-587.90700013122 118.6293713026 -279.883883354061</t>
  </si>
  <si>
    <t>-806.838598221292 15.1699709132838 303.087215989842</t>
  </si>
  <si>
    <t>-869.834559348814 56.0285806772936 744.962864914097</t>
  </si>
  <si>
    <t>-734.468443617745 111.358314952385 805.806513899798</t>
  </si>
  <si>
    <t>-682.301067229988 -198.625224683643 309.861748769923</t>
  </si>
  <si>
    <t>-703.123277274962 -210.335540260016 757.032381249522</t>
  </si>
  <si>
    <t>-571.065666861289 -257.828419312958 830.466033234343</t>
  </si>
  <si>
    <t>9763-20170724T104624.479748800.bin</t>
  </si>
  <si>
    <t>-866.829198405273 17.9415788789031 -528.96099281211</t>
  </si>
  <si>
    <t>-820.174651975861 65.8708560067107 -242.399761230501</t>
  </si>
  <si>
    <t>-588.144441001164 118.579109701319 -280.277557409246</t>
  </si>
  <si>
    <t>-806.809256778652 15.0889614491339 303.092933412099</t>
  </si>
  <si>
    <t>-869.732874632668 55.9172018264496 744.970430756242</t>
  </si>
  <si>
    <t>-734.411039855762 111.351403545319 805.817101089326</t>
  </si>
  <si>
    <t>-682.295131550635 -198.707207548984 309.862382024244</t>
  </si>
  <si>
    <t>-703.185855565533 -210.521573700636 757.035810485737</t>
  </si>
  <si>
    <t>-571.05282573557 -257.816619824056 830.461524138723</t>
  </si>
  <si>
    <t>9763-20170724T104624.551941900.bin</t>
  </si>
  <si>
    <t>-866.818592819514 18.2957593220017 -528.680073833714</t>
  </si>
  <si>
    <t>-819.905894146263 65.6710361130408 -242.068886969511</t>
  </si>
  <si>
    <t>-588.36496537169 119.037124634334 -281.965666715889</t>
  </si>
  <si>
    <t>-806.728709426681 14.851241882581 303.131171411548</t>
  </si>
  <si>
    <t>-869.643751191696 55.8261910023957 744.991912762052</t>
  </si>
  <si>
    <t>-734.379368692259 111.40260251737 805.836847875724</t>
  </si>
  <si>
    <t>-682.29599396978 -198.70008649728 309.870546637527</t>
  </si>
  <si>
    <t>-703.261850139739 -210.293662949391 757.035971921749</t>
  </si>
  <si>
    <t>-571.203975135079 -257.795930749632 830.463120079245</t>
  </si>
  <si>
    <t>9763-20170724T104624.584034600.bin</t>
  </si>
  <si>
    <t>-866.646352941799 18.4402312867383 -528.581488875952</t>
  </si>
  <si>
    <t>-819.674554613382 65.6472994134974 -241.95213284251</t>
  </si>
  <si>
    <t>-588.420242719565 119.56984528121 -282.752712615503</t>
  </si>
  <si>
    <t>-806.69351157806 14.7538625215313 303.165429850647</t>
  </si>
  <si>
    <t>-869.603756152564 55.7869872109509 745.01191472245</t>
  </si>
  <si>
    <t>-734.353068610531 111.396155522975 805.857445064869</t>
  </si>
  <si>
    <t>-682.265015586909 -198.715981217176 309.870951831644</t>
  </si>
  <si>
    <t>-703.315057422072 -210.35860764123 757.038943107392</t>
  </si>
  <si>
    <t>-571.287105252808 -257.944532900128 830.465819124283</t>
  </si>
  <si>
    <t>9763-20170724T104624.650213500.bin</t>
  </si>
  <si>
    <t>-866.610774046173 18.7902016759986 -528.303783373395</t>
  </si>
  <si>
    <t>-819.73508234693 65.9166188414288 -241.645397123235</t>
  </si>
  <si>
    <t>-588.922064318687 120.778887905535 -283.673476583734</t>
  </si>
  <si>
    <t>-806.651905214917 14.6085541898294 303.207171104319</t>
  </si>
  <si>
    <t>-869.509436481587 55.6963436867059 745.042171235039</t>
  </si>
  <si>
    <t>-734.27648485922 111.343207914152 805.89231504746</t>
  </si>
  <si>
    <t>-682.204060178119 -198.824741038144 309.845513469521</t>
  </si>
  <si>
    <t>-703.402230853019 -210.266311269051 757.03609347926</t>
  </si>
  <si>
    <t>-571.355095670399 -257.810527046589 830.45539718717</t>
  </si>
  <si>
    <t>9763-20170724T104624.683208200.bin</t>
  </si>
  <si>
    <t>-866.963857872568 18.8183631007782 -528.139651145219</t>
  </si>
  <si>
    <t>-820.113572967616 65.9924225129512 -241.485083424674</t>
  </si>
  <si>
    <t>-589.408138202738 121.235438775139 -283.605080618021</t>
  </si>
  <si>
    <t>-806.743758525207 14.4802532046679 303.228846532391</t>
  </si>
  <si>
    <t>-869.522846590257 55.7203116755252 745.057777893871</t>
  </si>
  <si>
    <t>-734.245691999762 111.255800921637 805.911864220976</t>
  </si>
  <si>
    <t>-682.311268999459 -199.11644096266 309.856197378779</t>
  </si>
  <si>
    <t>-703.471856015453 -210.507532117414 757.047072528575</t>
  </si>
  <si>
    <t>-571.164136493712 -257.367487318978 830.437193117263</t>
  </si>
  <si>
    <t>9763-20170724T104624.751390000.bin</t>
  </si>
  <si>
    <t>-867.937396481001 18.8063658064941 -527.895310999748</t>
  </si>
  <si>
    <t>-821.019607462946 65.8317276011633 -241.227253887363</t>
  </si>
  <si>
    <t>-590.523973168087 121.727698124076 -283.632967055209</t>
  </si>
  <si>
    <t>-807.053959489981 14.2544352966931 303.290466556145</t>
  </si>
  <si>
    <t>-869.464626785286 55.6544821652778 745.125390226057</t>
  </si>
  <si>
    <t>-734.150972887941 111.105762075196 805.974922941415</t>
  </si>
  <si>
    <t>-682.602750602749 -199.209500778057 309.841713318646</t>
  </si>
  <si>
    <t>-703.54520176199 -210.279013636707 757.056397067398</t>
  </si>
  <si>
    <t>-571.391187773914 -257.562511425078 830.451710992798</t>
  </si>
  <si>
    <t>9763-20170724T104624.782477100.bin</t>
  </si>
  <si>
    <t>-868.58606680144 18.7337778240249 -527.736351361553</t>
  </si>
  <si>
    <t>-821.593043098569 65.7446602474083 -241.078389256358</t>
  </si>
  <si>
    <t>-591.141167707184 121.737240811246 -283.594406162359</t>
  </si>
  <si>
    <t>-807.113529838859 14.1692763428425 303.327615922767</t>
  </si>
  <si>
    <t>-869.42541193847 55.6090736726583 745.165257357994</t>
  </si>
  <si>
    <t>-734.168879900939 111.207545339127 806.007415899202</t>
  </si>
  <si>
    <t>-682.653122367632 -199.291929407712 309.841148266638</t>
  </si>
  <si>
    <t>-703.590050599658 -210.294680455037 757.063088814831</t>
  </si>
  <si>
    <t>-571.449168353564 -257.621205810121 830.454432932377</t>
  </si>
  <si>
    <t>9763-20170724T104624.850659100.bin</t>
  </si>
  <si>
    <t>-869.944075916026 18.6195506795982 -527.388477316089</t>
  </si>
  <si>
    <t>-822.555197580112 65.8039020178005 -240.824090068569</t>
  </si>
  <si>
    <t>-592.278175173945 122.116161082756 -283.862292972602</t>
  </si>
  <si>
    <t>-807.212884858349 14.0972274195551 303.409942818023</t>
  </si>
  <si>
    <t>-869.410206406696 55.5839189651515 745.244948782316</t>
  </si>
  <si>
    <t>-734.106510097028 111.073532938188 806.081614414916</t>
  </si>
  <si>
    <t>-682.707047180046 -199.30348105643 309.844475255538</t>
  </si>
  <si>
    <t>-703.662764507002 -210.226921691944 757.066541282426</t>
  </si>
  <si>
    <t>-571.593669784379 -257.746734240969 830.462290779899</t>
  </si>
  <si>
    <t>9763-20170724T104624.885491700.bin</t>
  </si>
  <si>
    <t>-870.577313693069 18.6099071129674 -527.19664972988</t>
  </si>
  <si>
    <t>-822.865487065743 65.737910021491 -240.676504412523</t>
  </si>
  <si>
    <t>-592.696976688583 122.237525798158 -284.048433086183</t>
  </si>
  <si>
    <t>-807.257340270607 14.0901062816606 303.433845923393</t>
  </si>
  <si>
    <t>-869.400620037775 55.5734715432766 745.273795244824</t>
  </si>
  <si>
    <t>-734.073580461144 111.004433812487 806.112035381802</t>
  </si>
  <si>
    <t>-682.708328328549 -199.319833685369 309.85377735983</t>
  </si>
  <si>
    <t>-703.701672749831 -210.314408737117 757.070028948442</t>
  </si>
  <si>
    <t>-571.565213005237 -257.650952955895 830.462787812614</t>
  </si>
  <si>
    <t>9763-20170724T104624.963205400.bin</t>
  </si>
  <si>
    <t>-871.862721743166 18.5798806908044 -526.792644035091</t>
  </si>
  <si>
    <t>-823.261798381554 65.5754973564203 -240.400400490896</t>
  </si>
  <si>
    <t>-593.285736818393 122.172045587096 -284.657694060408</t>
  </si>
  <si>
    <t>-807.311896540312 14.0363546862629 303.465777022155</t>
  </si>
  <si>
    <t>-869.32596258163 55.4881424997968 745.326044222818</t>
  </si>
  <si>
    <t>-734.01869145319 110.957077826945 806.173570606313</t>
  </si>
  <si>
    <t>-682.644201433184 -199.210510985702 309.860719371143</t>
  </si>
  <si>
    <t>-703.75289795309 -210.180619493783 757.065872444167</t>
  </si>
  <si>
    <t>-571.580308817937 -257.411447024792 830.461674133934</t>
  </si>
  <si>
    <t>9763-20170724T104624.984461200.bin</t>
  </si>
  <si>
    <t>-872.365177666182 18.4918158613179 -526.650267238896</t>
  </si>
  <si>
    <t>-823.395426524528 65.3360971244686 -240.29617395531</t>
  </si>
  <si>
    <t>-593.543503975921 122.008259630996 -285.098347303294</t>
  </si>
  <si>
    <t>-807.31367445645 13.9533026551419 303.478924025219</t>
  </si>
  <si>
    <t>-869.289081760718 55.440162119402 745.349271060154</t>
  </si>
  <si>
    <t>-734.059971196174 111.096746794788 806.199437790391</t>
  </si>
  <si>
    <t>-682.6560880981 -199.236373614326 309.853030131668</t>
  </si>
  <si>
    <t>-703.787128316681 -210.218088006207 757.063347979309</t>
  </si>
  <si>
    <t>-571.558868511978 -257.296433181625 830.45683622164</t>
  </si>
  <si>
    <t>9763-20170724T104625.048628300.bin</t>
  </si>
  <si>
    <t>-873.248988212545 18.2909542289601 -526.531275862044</t>
  </si>
  <si>
    <t>-823.729978077309 65.1494413195394 -240.273818156446</t>
  </si>
  <si>
    <t>-593.857828239952 121.326105112697 -285.592791228976</t>
  </si>
  <si>
    <t>-807.316017591293 13.936416280636 303.500250021432</t>
  </si>
  <si>
    <t>-869.260372586929 55.3949800191056 745.385483054018</t>
  </si>
  <si>
    <t>-733.988134458476 110.943116872248 806.238634422801</t>
  </si>
  <si>
    <t>-682.683207813571 -199.172734918069 309.845398784098</t>
  </si>
  <si>
    <t>-703.839234261651 -210.108631588592 757.059816268314</t>
  </si>
  <si>
    <t>-571.754672807509 -257.556887643726 830.473917538351</t>
  </si>
  <si>
    <t>9763-20170724T104625.084727900.bin</t>
  </si>
  <si>
    <t>-873.649728027313 18.1551476775007 -526.458976160123</t>
  </si>
  <si>
    <t>-823.964212896577 65.1288991957479 -240.249248381846</t>
  </si>
  <si>
    <t>-594.005937081644 120.897018503334 -285.636521030907</t>
  </si>
  <si>
    <t>-807.32402998165 13.8630222049071 303.523764498987</t>
  </si>
  <si>
    <t>-869.227466928654 55.3405883908563 745.403339154857</t>
  </si>
  <si>
    <t>-733.967057457323 110.922183530764 806.252352893953</t>
  </si>
  <si>
    <t>-682.765118035946 -199.245839881027 309.842531442579</t>
  </si>
  <si>
    <t>-703.876009941505 -210.162487353948 757.061835679342</t>
  </si>
  <si>
    <t>-571.607152350141 -257.116175576002 830.462095213289</t>
  </si>
  <si>
    <t>9763-20170724T104625.151905700.bin</t>
  </si>
  <si>
    <t>-874.33274097176 18.6034144485495 -526.258505096611</t>
  </si>
  <si>
    <t>-824.455155930281 65.3055392045255 -240.037861404169</t>
  </si>
  <si>
    <t>-594.381847763166 120.659141585259 -285.349635397497</t>
  </si>
  <si>
    <t>-807.390504627446 13.9074093695308 303.549562112225</t>
  </si>
  <si>
    <t>-869.215499579294 55.3147589674422 745.439083347517</t>
  </si>
  <si>
    <t>-733.952693411729 110.900239553877 806.279228352849</t>
  </si>
  <si>
    <t>-683.069570008548 -199.043396261872 309.848044382083</t>
  </si>
  <si>
    <t>-703.917358602358 -209.852239869239 757.06181573618</t>
  </si>
  <si>
    <t>-571.898494762189 -257.468800285331 830.485142945794</t>
  </si>
  <si>
    <t>9763-20170724T104625.187008100.bin</t>
  </si>
  <si>
    <t>-874.573826688984 18.9071562929337 -526.169647719412</t>
  </si>
  <si>
    <t>-824.714916319614 65.3953951585117 -239.910752053858</t>
  </si>
  <si>
    <t>-594.633928168838 120.733616750912 -285.201892491164</t>
  </si>
  <si>
    <t>-807.468326422487 13.9489937820069 303.552549133579</t>
  </si>
  <si>
    <t>-869.211235414768 55.3054217145948 745.454664024527</t>
  </si>
  <si>
    <t>-733.889869972079 110.752082162105 806.291298846662</t>
  </si>
  <si>
    <t>-683.299849351745 -199.003455223242 309.84503591878</t>
  </si>
  <si>
    <t>-703.944332460041 -209.800645430096 757.063461270381</t>
  </si>
  <si>
    <t>-571.902092061996 -257.350874761442 830.487704702474</t>
  </si>
  <si>
    <t>9763-20170724T104625.249171700.bin</t>
  </si>
  <si>
    <t>-874.74537048266 19.1954854884709 -526.142101914762</t>
  </si>
  <si>
    <t>-825.189898305332 65.4892436090256 -239.799067669714</t>
  </si>
  <si>
    <t>-595.029100132943 120.756311733313 -284.77065649279</t>
  </si>
  <si>
    <t>-807.618370597939 13.8256533166252 303.602161384379</t>
  </si>
  <si>
    <t>-869.189525938343 55.2571676482505 745.50928604649</t>
  </si>
  <si>
    <t>-733.890146941576 110.777899979621 806.327134058056</t>
  </si>
  <si>
    <t>-683.719999041563 -199.159207962289 309.820939124904</t>
  </si>
  <si>
    <t>-704.040818564609 -210.086065156945 757.0768702612</t>
  </si>
  <si>
    <t>-571.763919627544 -257.017934248215 830.476558610688</t>
  </si>
  <si>
    <t>9763-20170724T104625.283845200.bin</t>
  </si>
  <si>
    <t>-874.530935971911 19.3667806270412 -526.199105690608</t>
  </si>
  <si>
    <t>-825.249426825313 65.5567210249219 -239.792159266854</t>
  </si>
  <si>
    <t>-595.015347684495 120.729409440279 -284.503514460793</t>
  </si>
  <si>
    <t>-807.789674955079 13.7808659503846 303.632027327959</t>
  </si>
  <si>
    <t>-869.216789461156 55.2784435502356 745.553360892562</t>
  </si>
  <si>
    <t>-733.860628032127 110.671222445614 806.361390288238</t>
  </si>
  <si>
    <t>-683.96239718707 -199.02928719179 309.805283395609</t>
  </si>
  <si>
    <t>-704.065391626997 -209.930106800249 757.073150348663</t>
  </si>
  <si>
    <t>-571.94536260809 -257.277936286527 830.488264634472</t>
  </si>
  <si>
    <t>9763-20170724T104625.351024100.bin</t>
  </si>
  <si>
    <t>-873.697556040975 19.5943239104449 -526.328960008284</t>
  </si>
  <si>
    <t>-824.970019081011 65.5797951322793 -239.794177437294</t>
  </si>
  <si>
    <t>-594.566399024942 120.280887044552 -284.210985658784</t>
  </si>
  <si>
    <t>-808.262013269811 13.596010539359 303.643209145089</t>
  </si>
  <si>
    <t>-869.234387999593 55.2811163472013 745.622545846294</t>
  </si>
  <si>
    <t>-733.819236845214 110.552234752492 806.410346655283</t>
  </si>
  <si>
    <t>-684.623335111802 -198.994927573205 309.797666117971</t>
  </si>
  <si>
    <t>-704.145680850586 -210.006737533049 757.089181789984</t>
  </si>
  <si>
    <t>-571.941159246752 -257.130214827827 830.496479578101</t>
  </si>
  <si>
    <t>9763-20170724T104625.384127500.bin</t>
  </si>
  <si>
    <t>-873.226446856035 19.6891644336977 -526.424100222127</t>
  </si>
  <si>
    <t>-824.779847160415 65.2855827054793 -239.779467126596</t>
  </si>
  <si>
    <t>-594.291093620085 119.68081416438 -284.12995972796</t>
  </si>
  <si>
    <t>-808.590366039806 13.4861236945144 303.638915830415</t>
  </si>
  <si>
    <t>-869.180887580341 55.2065273779453 745.653890211883</t>
  </si>
  <si>
    <t>-733.80352415582 110.57555898644 806.436550980597</t>
  </si>
  <si>
    <t>-685.001285602023 -199.129595090938 309.786180691136</t>
  </si>
  <si>
    <t>-704.195175771699 -210.132611605598 757.097886289936</t>
  </si>
  <si>
    <t>-571.859565286963 -256.905818255034 830.49315034935</t>
  </si>
  <si>
    <t>9763-20170724T104625.449298900.bin</t>
  </si>
  <si>
    <t>-872.72341847214 20.4007461231677 -526.622771313631</t>
  </si>
  <si>
    <t>-824.85657708513 65.2709812682594 -239.766166322118</t>
  </si>
  <si>
    <t>-594.099539573892 118.774544897425 -283.804922011505</t>
  </si>
  <si>
    <t>-809.625519093634 13.5136199427441 303.634584342797</t>
  </si>
  <si>
    <t>-869.155225632726 55.1898261028493 745.752161792832</t>
  </si>
  <si>
    <t>-733.764240573126 110.517751576936 806.542142588113</t>
  </si>
  <si>
    <t>-685.769472909178 -199.082553943172 309.754021903324</t>
  </si>
  <si>
    <t>-704.257530478178 -209.881686029328 757.110365200413</t>
  </si>
  <si>
    <t>-572.166493437004 -257.323284134864 830.517176335739</t>
  </si>
  <si>
    <t>9763-20170724T104625.485015800.bin</t>
  </si>
  <si>
    <t>-872.532421766112 20.7551868259106 -526.69430122505</t>
  </si>
  <si>
    <t>-824.943934546072 65.3014494614235 -239.741131936112</t>
  </si>
  <si>
    <t>-594.056348500911 118.426973913414 -283.553095197323</t>
  </si>
  <si>
    <t>-810.124214671622 13.5051854370017 303.653132266372</t>
  </si>
  <si>
    <t>-869.123381877615 55.1600253580893 745.824535475178</t>
  </si>
  <si>
    <t>-733.755289482483 110.542034741987 806.616195150172</t>
  </si>
  <si>
    <t>-686.19393727576 -199.038344011444 309.737901185357</t>
  </si>
  <si>
    <t>-704.293500473291 -209.809899051009 757.11426812437</t>
  </si>
  <si>
    <t>-572.29145965531 -257.494272338449 830.523851992932</t>
  </si>
  <si>
    <t>9763-20170724T104625.548183700.bin</t>
  </si>
  <si>
    <t>-872.185121281358 20.9067492422516 -526.894019382404</t>
  </si>
  <si>
    <t>-825.21077808031 65.0464938049033 -239.776777636719</t>
  </si>
  <si>
    <t>-594.069780205287 117.469217334267 -283.095868337554</t>
  </si>
  <si>
    <t>-810.931487251864 13.3584643943375 303.698972989666</t>
  </si>
  <si>
    <t>-869.138772607884 55.1921457641595 745.983643912004</t>
  </si>
  <si>
    <t>-733.699807029833 110.402062399226 806.773954646301</t>
  </si>
  <si>
    <t>-686.834042472045 -199.293251494317 309.71157047133</t>
  </si>
  <si>
    <t>-704.403767344237 -210.123943952872 757.137486497385</t>
  </si>
  <si>
    <t>-572.07824290642 -256.975742896498 830.500814693303</t>
  </si>
  <si>
    <t>9763-20170724T104625.585135500.bin</t>
  </si>
  <si>
    <t>-872.140494168481 20.916726931616 -526.969497580641</t>
  </si>
  <si>
    <t>-825.497613345436 64.9581300559421 -239.783169283386</t>
  </si>
  <si>
    <t>-594.250779580449 117.072661101765 -282.908931516379</t>
  </si>
  <si>
    <t>-811.231737138212 13.3447851541473 303.748468742398</t>
  </si>
  <si>
    <t>-869.126800753259 55.1814818999585 746.064102570118</t>
  </si>
  <si>
    <t>-733.648530857891 110.298255819167 806.851232119041</t>
  </si>
  <si>
    <t>-687.033322691885 -199.329368795134 309.7010883455</t>
  </si>
  <si>
    <t>-704.437370118947 -210.067181884446 757.14059677454</t>
  </si>
  <si>
    <t>-572.18167236331 -257.110192258431 830.507334891759</t>
  </si>
  <si>
    <t>9763-20170724T104625.649322100.bin</t>
  </si>
  <si>
    <t>-872.030808986727 20.7484810064659 -527.027259048985</t>
  </si>
  <si>
    <t>-826.020309125763 64.6855522016197 -239.723062596028</t>
  </si>
  <si>
    <t>-594.623352340599 116.429291435382 -282.488860574744</t>
  </si>
  <si>
    <t>-811.527143990395 13.2132352357771 303.854554642006</t>
  </si>
  <si>
    <t>-869.088768808524 55.1281865543699 746.212349169386</t>
  </si>
  <si>
    <t>-733.634308056729 110.31009604439 806.993123141432</t>
  </si>
  <si>
    <t>-687.329511848883 -199.414813085048 309.714073627943</t>
  </si>
  <si>
    <t>-704.504572587587 -210.012810030655 757.157348482679</t>
  </si>
  <si>
    <t>-572.261947584574 -257.103196703518 830.517200727437</t>
  </si>
  <si>
    <t>9763-20170724T104625.685981600.bin</t>
  </si>
  <si>
    <t>-872.013355762731 20.762248505566 -527.049708886919</t>
  </si>
  <si>
    <t>-826.313338464456 64.5878262740557 -239.678792798637</t>
  </si>
  <si>
    <t>-594.868433471334 116.253985663365 -282.278450297549</t>
  </si>
  <si>
    <t>-811.65278622891 13.2233875111813 303.893274321875</t>
  </si>
  <si>
    <t>-869.085311472708 55.1224459671241 746.273375081831</t>
  </si>
  <si>
    <t>-733.58670960518 110.195225271854 807.055026400212</t>
  </si>
  <si>
    <t>-687.421830607073 -199.327966272454 309.726297837345</t>
  </si>
  <si>
    <t>-704.522123668693 -209.825229500366 757.165783893855</t>
  </si>
  <si>
    <t>-572.427366342774 -257.312507341179 830.536253832306</t>
  </si>
  <si>
    <t>9763-20170724T104625.748147300.bin</t>
  </si>
  <si>
    <t>-871.78815873014 20.7539261055208 -527.043690371646</t>
  </si>
  <si>
    <t>-826.659073119782 64.4096164241284 -239.556796955463</t>
  </si>
  <si>
    <t>-595.084667139375 115.91446617511 -281.644980378527</t>
  </si>
  <si>
    <t>-811.876050349519 13.1762103064514 303.949939166079</t>
  </si>
  <si>
    <t>-869.036716575584 55.0584543844486 746.358430044479</t>
  </si>
  <si>
    <t>-733.563720842498 110.196394923662 807.138285744706</t>
  </si>
  <si>
    <t>-687.627171717846 -199.385706881768 309.771964522338</t>
  </si>
  <si>
    <t>-704.594012488765 -209.954150712371 757.194619357383</t>
  </si>
  <si>
    <t>-572.32231376916 -256.977779296297 830.544989564447</t>
  </si>
  <si>
    <t>9763-20170724T104625.785252500.bin</t>
  </si>
  <si>
    <t>-871.593850420586 20.8114210086658 -527.070821642876</t>
  </si>
  <si>
    <t>-826.740243998812 64.3634387543696 -239.525098221774</t>
  </si>
  <si>
    <t>-595.106241289619 115.793120038658 -281.376375444621</t>
  </si>
  <si>
    <t>-811.971328264897 13.2177422755003 303.962212290104</t>
  </si>
  <si>
    <t>-869.070338405248 55.0956511500933 746.389784288055</t>
  </si>
  <si>
    <t>-733.576566334928 110.18526576611 807.167100315595</t>
  </si>
  <si>
    <t>-687.71097261764 -199.270769016413 309.802754317482</t>
  </si>
  <si>
    <t>-704.616667418944 -209.818687104967 757.210301367541</t>
  </si>
  <si>
    <t>-572.462622463979 -257.161460243223 830.567402012435</t>
  </si>
  <si>
    <t>9763-20170724T104625.850426800.bin</t>
  </si>
  <si>
    <t>-871.266920614955 20.8523736747227 -527.157409089332</t>
  </si>
  <si>
    <t>-826.628542399209 64.2441242753766 -239.553823745935</t>
  </si>
  <si>
    <t>-594.981815438743 115.741416301142 -281.251415135436</t>
  </si>
  <si>
    <t>-812.023963542421 13.2657531412751 303.947973344618</t>
  </si>
  <si>
    <t>-869.02348623644 55.0334634465428 746.409076827833</t>
  </si>
  <si>
    <t>-733.550480594801 110.17497975545 807.18542381695</t>
  </si>
  <si>
    <t>-687.789176517604 -199.164905173776 309.855745936845</t>
  </si>
  <si>
    <t>-704.673543003264 -209.761436933544 757.252119643259</t>
  </si>
  <si>
    <t>-572.483561898395 -257.042921833068 830.583952712101</t>
  </si>
  <si>
    <t>9763-20170724T104625.884524100.bin</t>
  </si>
  <si>
    <t>-871.175783719168 20.7483840521295 -527.194220645287</t>
  </si>
  <si>
    <t>-826.525847487221 64.183677652929 -239.59894429327</t>
  </si>
  <si>
    <t>-594.898242859009 115.682872865631 -281.400501034121</t>
  </si>
  <si>
    <t>-811.993692872881 13.2261171938369 303.948371937962</t>
  </si>
  <si>
    <t>-868.98405596862 54.980925212069 746.413151042819</t>
  </si>
  <si>
    <t>-733.530288809082 110.170659306226 807.188867170323</t>
  </si>
  <si>
    <t>-687.821273577359 -199.258981485201 309.881584340757</t>
  </si>
  <si>
    <t>-704.726456664787 -209.996929109252 757.275074105961</t>
  </si>
  <si>
    <t>-572.387963699411 -256.90226171598 830.580639613237</t>
  </si>
  <si>
    <t>9763-20170724T104625.947691600.bin</t>
  </si>
  <si>
    <t>-871.163586581965 20.5670968432876 -527.25522159918</t>
  </si>
  <si>
    <t>-826.300222502171 64.2370358304254 -239.728845765589</t>
  </si>
  <si>
    <t>-594.734743745033 115.749596715405 -281.85710309643</t>
  </si>
  <si>
    <t>-811.850556979716 13.2529367291056 303.960309777797</t>
  </si>
  <si>
    <t>-868.956053726212 54.9246630098432 746.420945656009</t>
  </si>
  <si>
    <t>-733.534143641172 110.200185000346 807.189686163683</t>
  </si>
  <si>
    <t>-687.696916690721 -199.080990934773 309.902889335149</t>
  </si>
  <si>
    <t>-704.758256238153 -209.653830644717 757.294261692049</t>
  </si>
  <si>
    <t>-572.508538866698 -256.830384583262 830.586112567374</t>
  </si>
  <si>
    <t>9763-20170724T104626.000839500.bin</t>
  </si>
  <si>
    <t>-871.16192934825 20.4616480637114 -527.299867196945</t>
  </si>
  <si>
    <t>-826.231087248486 64.2715658970956 -239.805413173274</t>
  </si>
  <si>
    <t>-594.708055538077 115.762675702563 -282.192520405211</t>
  </si>
  <si>
    <t>-811.788802555054 13.2919891452821 303.961230547658</t>
  </si>
  <si>
    <t>-868.970542802907 54.9331201138896 746.421115666217</t>
  </si>
  <si>
    <t>-733.498177382202 110.086625471019 807.188051669159</t>
  </si>
  <si>
    <t>-687.604784845508 -199.019991698857 309.907894296199</t>
  </si>
  <si>
    <t>-704.784675626358 -209.660833698116 757.297310709511</t>
  </si>
  <si>
    <t>-572.495137027256 -256.741353373634 830.578969213474</t>
  </si>
  <si>
    <t>9763-20170724T104626.051973600.bin</t>
  </si>
  <si>
    <t>-870.90910119376 20.3246713346905 -527.333825945297</t>
  </si>
  <si>
    <t>-825.952601265683 64.028652039794 -239.827174730983</t>
  </si>
  <si>
    <t>-594.513963436921 115.517605402915 -282.674957886126</t>
  </si>
  <si>
    <t>-811.61767001874 13.3347844968901 303.93459594753</t>
  </si>
  <si>
    <t>-868.939274382701 54.8775189947598 746.399242717384</t>
  </si>
  <si>
    <t>-733.466646488649 110.032674637512 807.163998727783</t>
  </si>
  <si>
    <t>-687.473894103336 -198.832434227264 309.93081451152</t>
  </si>
  <si>
    <t>-704.836202866823 -209.610067290635 757.301254769838</t>
  </si>
  <si>
    <t>-572.639092170037 -256.951600158092 830.581510901341</t>
  </si>
  <si>
    <t>9763-20170724T104626.085801300.bin</t>
  </si>
  <si>
    <t>-870.656002675149 20.3938158784456 -527.334827675603</t>
  </si>
  <si>
    <t>-825.719196181985 63.9943373872393 -239.809323468175</t>
  </si>
  <si>
    <t>-594.314840591268 115.542391153833 -282.77073560371</t>
  </si>
  <si>
    <t>-811.555245037252 13.312298922317 303.917141126316</t>
  </si>
  <si>
    <t>-868.894681611236 54.8092754288514 746.384765135597</t>
  </si>
  <si>
    <t>-733.503084717475 110.169397595675 807.144145447568</t>
  </si>
  <si>
    <t>-687.44670434283 -198.789297434129 309.934981518073</t>
  </si>
  <si>
    <t>-704.86347279492 -209.578850300097 757.305844094825</t>
  </si>
  <si>
    <t>-572.655195180673 -256.898143369916 830.580274130399</t>
  </si>
  <si>
    <t>9763-20170724T104626.151979100.bin</t>
  </si>
  <si>
    <t>-870.132549231697 20.4402560542831 -527.436357882791</t>
  </si>
  <si>
    <t>-825.212180484127 64.0726585006075 -239.913134663526</t>
  </si>
  <si>
    <t>-593.86580897581 115.683530882261 -283.110841318528</t>
  </si>
  <si>
    <t>-811.536771075498 13.3519146353703 303.874231261574</t>
  </si>
  <si>
    <t>-868.833224939233 54.7261214092218 746.343426791746</t>
  </si>
  <si>
    <t>-733.442505969062 110.087732251045 807.10307634631</t>
  </si>
  <si>
    <t>-687.397288176879 -198.816912158695 309.934662018038</t>
  </si>
  <si>
    <t>-704.899359396607 -209.450335678041 757.30486945847</t>
  </si>
  <si>
    <t>-572.701124431953 -256.792621364569 830.582725968804</t>
  </si>
  <si>
    <t>9763-20170724T104626.184668100.bin</t>
  </si>
  <si>
    <t>-870.044129337568 20.2767302148809 -527.497034770579</t>
  </si>
  <si>
    <t>-825.135592222012 64.0299712669657 -239.990276713942</t>
  </si>
  <si>
    <t>-593.782063799315 115.530532984712 -283.281208369962</t>
  </si>
  <si>
    <t>-811.537827208854 13.3298949978407 303.852507651935</t>
  </si>
  <si>
    <t>-868.839206085872 54.7281177962332 746.321174445282</t>
  </si>
  <si>
    <t>-733.420197547855 110.014114999635 807.086641179423</t>
  </si>
  <si>
    <t>-687.383566348504 -198.911306175947 309.930744395157</t>
  </si>
  <si>
    <t>-704.926341956324 -209.498686469414 757.309665358392</t>
  </si>
  <si>
    <t>-572.723953885369 -256.831809261173 830.585864432998</t>
  </si>
  <si>
    <t>9763-20170724T104626.249839200.bin</t>
  </si>
  <si>
    <t>-869.919736681345 19.8540596074206 -527.515743630126</t>
  </si>
  <si>
    <t>-824.87894423456 63.8511830688531 -240.066966900231</t>
  </si>
  <si>
    <t>-593.567609150762 115.324832999996 -283.615157840707</t>
  </si>
  <si>
    <t>-811.410058788497 13.1830933536141 303.869526398457</t>
  </si>
  <si>
    <t>-868.825171367617 54.6817935116069 746.30089902831</t>
  </si>
  <si>
    <t>-733.380953155857 109.903622455014 807.068502264057</t>
  </si>
  <si>
    <t>-687.396811321849 -199.066771829303 309.935735554042</t>
  </si>
  <si>
    <t>-704.970577523058 -209.452126655658 757.309562797355</t>
  </si>
  <si>
    <t>-572.764619288279 -256.782252106977 830.581314336456</t>
  </si>
  <si>
    <t>9763-20170724T104626.285938700.bin</t>
  </si>
  <si>
    <t>-869.742287475679 19.9587632233793 -527.523522742429</t>
  </si>
  <si>
    <t>-824.776782810097 63.8520967135705 -240.047100195271</t>
  </si>
  <si>
    <t>-593.508334262725 115.427060395666 -283.702441293222</t>
  </si>
  <si>
    <t>-811.378204518331 13.1412792919607 303.862164325851</t>
  </si>
  <si>
    <t>-868.808291220723 54.6519840863743 746.293576220967</t>
  </si>
  <si>
    <t>-733.381927038972 109.918936359859 807.059934310309</t>
  </si>
  <si>
    <t>-687.404649828488 -199.050855794478 309.931466745957</t>
  </si>
  <si>
    <t>-704.982023849579 -209.349629514528 757.302252607051</t>
  </si>
  <si>
    <t>-572.859899670645 -256.898458077135 830.583551625572</t>
  </si>
  <si>
    <t>9763-20170724T104626.348104800.bin</t>
  </si>
  <si>
    <t>-869.451387912302 20.020057664397 -527.483134653318</t>
  </si>
  <si>
    <t>-824.831347364261 63.716266817413 -239.922873218094</t>
  </si>
  <si>
    <t>-593.651502145421 115.463209473146 -283.843105804539</t>
  </si>
  <si>
    <t>-811.299120267958 13.0850202877912 303.83499410798</t>
  </si>
  <si>
    <t>-868.77300660368 54.5989583312416 746.255624151599</t>
  </si>
  <si>
    <t>-733.385208914472 109.947044866382 807.033872752209</t>
  </si>
  <si>
    <t>-687.453970136526 -199.276952180255 309.927530055552</t>
  </si>
  <si>
    <t>-705.041763391742 -209.461487183424 757.307070747351</t>
  </si>
  <si>
    <t>-572.658090670357 -256.32469745919 830.558037361572</t>
  </si>
  <si>
    <t>9763-20170724T104626.380208500.bin</t>
  </si>
  <si>
    <t>-869.47484692593 20.0495633968492 -527.414858150576</t>
  </si>
  <si>
    <t>-824.897513231337 63.4726130847071 -239.806604948759</t>
  </si>
  <si>
    <t>-593.764154054379 115.28472439968 -283.894925383154</t>
  </si>
  <si>
    <t>-811.244952786871 13.0848688924607 303.820520398408</t>
  </si>
  <si>
    <t>-868.743822635221 54.5568663892234 746.240061487143</t>
  </si>
  <si>
    <t>-733.356407914913 109.899014675446 807.024737856116</t>
  </si>
  <si>
    <t>-687.490955499925 -199.227243863797 309.926875839183</t>
  </si>
  <si>
    <t>-705.062806324583 -209.375978399101 757.309185471834</t>
  </si>
  <si>
    <t>-572.813823214565 -256.603381693809 830.569524435039</t>
  </si>
  <si>
    <t>9763-20170724T104626.450396900.bin</t>
  </si>
  <si>
    <t>-869.583178342753 19.9957119958888 -527.319710636576</t>
  </si>
  <si>
    <t>-825.230949787483 62.8231130105353 -239.587395880061</t>
  </si>
  <si>
    <t>-594.077875459899 114.337320741981 -283.920459370683</t>
  </si>
  <si>
    <t>-811.214211888616 13.0531807544344 303.807024247424</t>
  </si>
  <si>
    <t>-868.713709210076 54.5045528586775 746.221806437854</t>
  </si>
  <si>
    <t>-733.35188340092 109.903488704888 807.011698788175</t>
  </si>
  <si>
    <t>-687.61719168045 -199.230347934443 309.938143675863</t>
  </si>
  <si>
    <t>-705.120830541176 -209.340100931964 757.320913440244</t>
  </si>
  <si>
    <t>-572.967990011795 -256.840581684287 830.578147630613</t>
  </si>
  <si>
    <t>9763-20170724T104626.483501700.bin</t>
  </si>
  <si>
    <t>-869.605795709728 19.9929302995226 -527.286718777545</t>
  </si>
  <si>
    <t>-825.512084067083 62.5120762487268 -239.46893543899</t>
  </si>
  <si>
    <t>-594.322796829972 113.880656633094 -283.781870764301</t>
  </si>
  <si>
    <t>-811.2101025482 13.0122614331574 303.814721732726</t>
  </si>
  <si>
    <t>-868.711413473012 54.4876114743558 746.220024534377</t>
  </si>
  <si>
    <t>-733.299814328342 109.766506534261 807.008473610237</t>
  </si>
  <si>
    <t>-687.676248737506 -199.263514933332 309.937718064219</t>
  </si>
  <si>
    <t>-705.134737375978 -209.211849826624 757.323339005088</t>
  </si>
  <si>
    <t>-572.989920298393 -256.737941458091 830.57849297077</t>
  </si>
  <si>
    <t>9763-20170724T104626.547672000.bin</t>
  </si>
  <si>
    <t>-869.869610185904 19.799535654786 -527.193117139888</t>
  </si>
  <si>
    <t>-826.314672102258 61.6614786512148 -239.197145443308</t>
  </si>
  <si>
    <t>-595.020606053802 112.870758566944 -283.14636417619</t>
  </si>
  <si>
    <t>-811.218938954075 12.8085755792129 303.838452274902</t>
  </si>
  <si>
    <t>-868.688779128424 54.4261547187873 746.230974237683</t>
  </si>
  <si>
    <t>-733.302060857388 109.781380361373 807.005764474212</t>
  </si>
  <si>
    <t>-687.798858066642 -199.375744084475 309.936983595866</t>
  </si>
  <si>
    <t>-705.178028598176 -209.124803563743 757.331264124817</t>
  </si>
  <si>
    <t>-573.010245993982 -256.602290538203 830.576580840724</t>
  </si>
  <si>
    <t>9763-20170724T104626.581768700.bin</t>
  </si>
  <si>
    <t>-870.025327404745 19.542056403373 -527.173692944354</t>
  </si>
  <si>
    <t>-826.890278560502 61.0304274323316 -239.060338792679</t>
  </si>
  <si>
    <t>-595.581570703906 112.316408362396 -282.842598501387</t>
  </si>
  <si>
    <t>-811.240302994037 12.6600830699031 303.85736337523</t>
  </si>
  <si>
    <t>-868.686118238641 54.4020351369988 746.240305296878</t>
  </si>
  <si>
    <t>-733.279574057254 109.717116481962 807.006933187075</t>
  </si>
  <si>
    <t>-687.89674991795 -199.532079267197 309.939333420363</t>
  </si>
  <si>
    <t>-705.230611346493 -209.360803583614 757.346384555371</t>
  </si>
  <si>
    <t>-572.844485798119 -256.271586078137 830.562524634667</t>
  </si>
  <si>
    <t>9763-20170724T104626.650952200.bin</t>
  </si>
  <si>
    <t>-870.085928429634 19.2478148922153 -527.1420331575</t>
  </si>
  <si>
    <t>-827.789145567874 60.0307791087546 -238.803782884729</t>
  </si>
  <si>
    <t>-596.405183126046 111.35318038381 -282.144088770723</t>
  </si>
  <si>
    <t>-811.401458052367 12.4787984382806 303.886785804202</t>
  </si>
  <si>
    <t>-868.704246864595 54.3675212559463 746.27262442234</t>
  </si>
  <si>
    <t>-733.259984479299 109.62600007904 807.006586859505</t>
  </si>
  <si>
    <t>-688.018124538743 -199.701637048271 309.944842572983</t>
  </si>
  <si>
    <t>-705.285785599298 -209.416968440991 757.354662470921</t>
  </si>
  <si>
    <t>-572.955316463722 -256.481591765276 830.572526302562</t>
  </si>
  <si>
    <t>9763-20170724T104626.683048500.bin</t>
  </si>
  <si>
    <t>-870.177691515219 19.1212192276876 -527.08148781362</t>
  </si>
  <si>
    <t>-828.042705735093 59.7117219662478 -238.692443576584</t>
  </si>
  <si>
    <t>-596.620382261553 111.005842877171 -281.860757528446</t>
  </si>
  <si>
    <t>-811.463083164529 12.373910940134 303.900296717185</t>
  </si>
  <si>
    <t>-868.668807584322 54.2969674276644 746.280981509113</t>
  </si>
  <si>
    <t>-733.268209647902 109.678878257552 807.000306695444</t>
  </si>
  <si>
    <t>-688.103985939431 -199.793025314567 309.959970446367</t>
  </si>
  <si>
    <t>-705.315271173005 -209.417191032554 757.367702502792</t>
  </si>
  <si>
    <t>-572.917634415817 -256.317245354331 830.569709889843</t>
  </si>
  <si>
    <t>9763-20170724T104626.750228400.bin</t>
  </si>
  <si>
    <t>-870.621228062589 18.9065950732274 -526.955063395142</t>
  </si>
  <si>
    <t>-828.395491304232 59.1067276832373 -238.524594433267</t>
  </si>
  <si>
    <t>-596.987780939364 110.382375472496 -281.792746253337</t>
  </si>
  <si>
    <t>-811.410463046291 12.2194694245377 303.912308243658</t>
  </si>
  <si>
    <t>-868.65386142519 54.2423030693792 746.298960183721</t>
  </si>
  <si>
    <t>-733.249465955845 109.633960354495 807.000664289974</t>
  </si>
  <si>
    <t>-688.348936249341 -199.761607726232 309.97387170281</t>
  </si>
  <si>
    <t>-705.359304444494 -209.32236490043 757.383367221503</t>
  </si>
  <si>
    <t>-573.052793790969 -256.480267925748 830.584506219604</t>
  </si>
  <si>
    <t>9763-20170724T104626.782325400.bin</t>
  </si>
  <si>
    <t>-871.013690074222 18.8049353316217 -526.902946799975</t>
  </si>
  <si>
    <t>-828.604950808155 58.8889105900453 -238.483001068204</t>
  </si>
  <si>
    <t>-597.208842151826 110.193007886089 -281.77954367762</t>
  </si>
  <si>
    <t>-811.34387839778 12.158661457529 303.918491484268</t>
  </si>
  <si>
    <t>-868.606426165505 54.1699254609648 746.301948468856</t>
  </si>
  <si>
    <t>-733.241841921192 109.662505299511 807.000128676247</t>
  </si>
  <si>
    <t>-688.398830218352 -199.618798427088 309.97487790769</t>
  </si>
  <si>
    <t>-705.356116482146 -209.012038877486 757.378192433143</t>
  </si>
  <si>
    <t>-573.328146064574 -256.903325648424 830.606263382831</t>
  </si>
  <si>
    <t>9763-20170724T104626.848500400.bin</t>
  </si>
  <si>
    <t>-872.002556264082 18.0666626875777 -526.780849419361</t>
  </si>
  <si>
    <t>-829.122591603793 58.1833454462587 -238.435226534737</t>
  </si>
  <si>
    <t>-597.82941776951 109.633591521162 -282.107202861943</t>
  </si>
  <si>
    <t>-811.164519362947 11.9567695901883 303.919901937028</t>
  </si>
  <si>
    <t>-868.591605031423 54.1350978908288 746.273171138419</t>
  </si>
  <si>
    <t>-733.173884707473 109.486021953169 806.9822347195</t>
  </si>
  <si>
    <t>-688.522502498386 -199.864305127739 309.993928637072</t>
  </si>
  <si>
    <t>-705.429883023568 -209.271960551913 757.400112301522</t>
  </si>
  <si>
    <t>-573.191689461875 -256.612871863905 830.60659983979</t>
  </si>
  <si>
    <t>9763-20170724T104626.883133800.bin</t>
  </si>
  <si>
    <t>-872.359942719343 17.7102669298099 -526.764914833291</t>
  </si>
  <si>
    <t>-829.305166498091 57.9291757906981 -238.459662964144</t>
  </si>
  <si>
    <t>-598.100696805896 109.57139718315 -282.373556629538</t>
  </si>
  <si>
    <t>-811.05173783095 11.8124501823656 303.902989769476</t>
  </si>
  <si>
    <t>-868.567779468189 54.1030239625563 746.248883922138</t>
  </si>
  <si>
    <t>-733.167772435194 109.491539328131 806.963276732479</t>
  </si>
  <si>
    <t>-688.606098733391 -199.954948735116 309.989288014593</t>
  </si>
  <si>
    <t>-705.463463292286 -209.349650148548 757.403770250719</t>
  </si>
  <si>
    <t>-573.205836778953 -256.636580441569 830.610080311481</t>
  </si>
  <si>
    <t>9763-20170724T104626.948308000.bin</t>
  </si>
  <si>
    <t>-872.961023430616 17.0150698210703 -526.74074675808</t>
  </si>
  <si>
    <t>-829.543884395718 57.3502696883852 -238.506099366913</t>
  </si>
  <si>
    <t>-598.483980905102 109.239582408741 -282.887216877979</t>
  </si>
  <si>
    <t>-810.988382398275 11.6186848431805 303.849974876415</t>
  </si>
  <si>
    <t>-868.550634947561 54.0936735756454 746.18093929644</t>
  </si>
  <si>
    <t>-733.172363529908 109.508366031715 806.919793340279</t>
  </si>
  <si>
    <t>-688.81431442406 -200.227055980759 309.968323604631</t>
  </si>
  <si>
    <t>-705.513039831555 -209.399244798248 757.400604234834</t>
  </si>
  <si>
    <t>-573.087671887621 -256.223959962143 830.60071597087</t>
  </si>
  <si>
    <t>9763-20170724T104626.985443200.bin</t>
  </si>
  <si>
    <t>-873.225356745838 16.8513522367398 -526.71089695146</t>
  </si>
  <si>
    <t>-829.810032866276 57.2080110774923 -238.479031437188</t>
  </si>
  <si>
    <t>-598.811366960677 109.243643421088 -283.007709806238</t>
  </si>
  <si>
    <t>-811.106831407135 11.5760151028326 303.83310174182</t>
  </si>
  <si>
    <t>-868.560110297382 54.1020857431097 746.163554941741</t>
  </si>
  <si>
    <t>-733.162665202778 109.466073882784 806.906111524398</t>
  </si>
  <si>
    <t>-688.975984642942 -200.256131643673 309.962220085823</t>
  </si>
  <si>
    <t>-705.528155562167 -209.32136433965 757.400010086946</t>
  </si>
  <si>
    <t>-573.266749713556 -256.579490312403 830.618145933928</t>
  </si>
  <si>
    <t>9763-20170724T104627.048608600.bin</t>
  </si>
  <si>
    <t>-873.634783113814 16.4441007427811 -526.740530562307</t>
  </si>
  <si>
    <t>-830.490078529661 56.8077774287174 -238.468957151381</t>
  </si>
  <si>
    <t>-599.508275700343 109.035253824054 -282.859999475076</t>
  </si>
  <si>
    <t>-811.470299601557 11.3308665100706 303.809878702423</t>
  </si>
  <si>
    <t>-868.558241032386 54.0872548385182 746.148204855434</t>
  </si>
  <si>
    <t>-733.157538278772 109.44420219726 806.890017674554</t>
  </si>
  <si>
    <t>-689.468183511256 -200.46024610027 309.930886271423</t>
  </si>
  <si>
    <t>-705.581231023061 -209.227823933755 757.403941487499</t>
  </si>
  <si>
    <t>-573.241564053674 -256.283734557282 830.610811375112</t>
  </si>
  <si>
    <t>9763-20170724T104627.083056800.bin</t>
  </si>
  <si>
    <t>-873.761235289932 16.3468836209372 -526.795684572818</t>
  </si>
  <si>
    <t>-830.864043345596 56.6443981574594 -238.477926031741</t>
  </si>
  <si>
    <t>-599.874521389019 108.956953469899 -282.728607451376</t>
  </si>
  <si>
    <t>-811.730031217887 11.2123027246457 303.807675758331</t>
  </si>
  <si>
    <t>-868.563144040187 54.0866326541088 746.158715675509</t>
  </si>
  <si>
    <t>-733.149176107758 109.412997128134 806.898639038373</t>
  </si>
  <si>
    <t>-689.755197465614 -200.570952547725 309.912461643812</t>
  </si>
  <si>
    <t>-705.612439104325 -209.242720550434 757.412527959681</t>
  </si>
  <si>
    <t>-573.293443645938 -256.363882896122 830.614830864102</t>
  </si>
  <si>
    <t>9763-20170724T104627.150235000.bin</t>
  </si>
  <si>
    <t>-874.022033815303 16.2908179594701 -526.795099613044</t>
  </si>
  <si>
    <t>-831.424610438525 56.357321665319 -238.400747257045</t>
  </si>
  <si>
    <t>-600.419917165445 108.731413370662 -282.499512778989</t>
  </si>
  <si>
    <t>-812.200782353972 10.9730308023259 303.870896814188</t>
  </si>
  <si>
    <t>-868.551955368312 54.0667841045249 746.218105306175</t>
  </si>
  <si>
    <t>-733.154745211817 109.442135745933 806.950958013627</t>
  </si>
  <si>
    <t>-690.316553880469 -200.875609619513 309.884532658795</t>
  </si>
  <si>
    <t>-705.676286205407 -209.310340530135 757.420227849862</t>
  </si>
  <si>
    <t>-573.334348681179 -256.387501598976 830.609301630958</t>
  </si>
  <si>
    <t>9763-20170724T104627.181330200.bin</t>
  </si>
  <si>
    <t>-874.132821569383 16.2256823943451 -526.771922043274</t>
  </si>
  <si>
    <t>-831.67757288268 56.1906869718766 -238.342388810271</t>
  </si>
  <si>
    <t>-600.706076985153 108.65106418012 -282.512110557242</t>
  </si>
  <si>
    <t>-812.412617070582 10.7970816818713 303.92444119772</t>
  </si>
  <si>
    <t>-868.54311428585 54.0474194990859 746.265820489388</t>
  </si>
  <si>
    <t>-733.123954550356 109.371137550992 806.996600909668</t>
  </si>
  <si>
    <t>-690.607912840866 -201.051340893504 309.877866111032</t>
  </si>
  <si>
    <t>-705.715555661587 -209.471909379516 757.430355157369</t>
  </si>
  <si>
    <t>-573.327413596361 -256.435451427804 830.609034778589</t>
  </si>
  <si>
    <t>9763-20170724T104627.249510900.bin</t>
  </si>
  <si>
    <t>-874.644576124364 16.0999000898821 -526.679493468611</t>
  </si>
  <si>
    <t>-832.604255051572 55.9235778201826 -238.169699144667</t>
  </si>
  <si>
    <t>-601.741401523895 108.690898715976 -282.540806945897</t>
  </si>
  <si>
    <t>-812.706168162971 10.3937333285774 304.053897361511</t>
  </si>
  <si>
    <t>-868.493351206372 53.9516426529419 746.399215415336</t>
  </si>
  <si>
    <t>-733.118279919759 109.394150433311 807.119862341409</t>
  </si>
  <si>
    <t>-691.098321100754 -201.295147945785 309.86246699475</t>
  </si>
  <si>
    <t>-705.769347200173 -209.482316949886 757.440445886839</t>
  </si>
  <si>
    <t>-573.28192894596 -256.193527682079 830.600833179726</t>
  </si>
  <si>
    <t>9763-20170724T104627.286617800.bin</t>
  </si>
  <si>
    <t>-874.983544687945 16.0415175829025 -526.595603110826</t>
  </si>
  <si>
    <t>-833.185598998317 55.7543433814922 -238.035413297705</t>
  </si>
  <si>
    <t>-602.397768731446 108.871677135364 -282.379943998277</t>
  </si>
  <si>
    <t>-812.901462961436 10.3000579811639 304.127825372791</t>
  </si>
  <si>
    <t>-868.5448487782 53.9996713402925 746.469371097682</t>
  </si>
  <si>
    <t>-733.121378862083 109.324035383484 807.190149556196</t>
  </si>
  <si>
    <t>-691.246882766768 -201.392383510758 309.853476295421</t>
  </si>
  <si>
    <t>-705.79829344758 -209.543534190472 757.446945585081</t>
  </si>
  <si>
    <t>-573.36356822973 -256.401003781533 830.609220442053</t>
  </si>
  <si>
    <t>9763-20170724T104627.350788900.bin</t>
  </si>
  <si>
    <t>-875.794774906219 15.8506295301215 -526.414513152286</t>
  </si>
  <si>
    <t>-834.590808842294 55.4668435748595 -237.755579574777</t>
  </si>
  <si>
    <t>-603.944036421141 109.386174098439 -281.865143767964</t>
  </si>
  <si>
    <t>-813.259379770672 10.1632919113445 304.232679609448</t>
  </si>
  <si>
    <t>-868.528643258075 53.9439276179605 746.606023476346</t>
  </si>
  <si>
    <t>-733.116364122649 109.30516224197 807.317973102938</t>
  </si>
  <si>
    <t>-691.446528426242 -201.241483629393 309.861228222923</t>
  </si>
  <si>
    <t>-705.793544257022 -209.07987708137 757.442814521733</t>
  </si>
  <si>
    <t>-573.533884241131 -256.397041588862 830.625991102832</t>
  </si>
  <si>
    <t>9763-20170724T104627.381878100.bin</t>
  </si>
  <si>
    <t>-876.259415181207 15.5369577327722 -526.362274019284</t>
  </si>
  <si>
    <t>-835.382638623587 55.0757030224652 -237.646153409826</t>
  </si>
  <si>
    <t>-604.822788702021 109.461765848041 -281.637128056817</t>
  </si>
  <si>
    <t>-813.473415967482 10.0863461905935 304.258470345602</t>
  </si>
  <si>
    <t>-868.541517434806 53.9361722587355 746.662224539468</t>
  </si>
  <si>
    <t>-733.12809245653 109.301863674314 807.367679543408</t>
  </si>
  <si>
    <t>-691.482991555817 -201.351626196995 309.881135799489</t>
  </si>
  <si>
    <t>-705.827211532626 -209.368748764222 757.455372729978</t>
  </si>
  <si>
    <t>-573.33376157799 -256.05807166618 830.618871272882</t>
  </si>
  <si>
    <t>9763-20170724T104627.450059500.bin</t>
  </si>
  <si>
    <t>-877.090825628234 14.8374330407919 -526.404360331955</t>
  </si>
  <si>
    <t>-836.870144230407 54.3884792599231 -237.597803880485</t>
  </si>
  <si>
    <t>-606.426577674065 109.495240641259 -281.299666410051</t>
  </si>
  <si>
    <t>-813.840275794584 10.0379734175599 304.243452198471</t>
  </si>
  <si>
    <t>-868.570874986029 53.935918870224 746.717986073755</t>
  </si>
  <si>
    <t>-733.122281458307 109.223817124248 807.415634986247</t>
  </si>
  <si>
    <t>-691.491102520683 -201.140997666728 309.895215389052</t>
  </si>
  <si>
    <t>-705.83877635523 -209.270571015074 757.455930629705</t>
  </si>
  <si>
    <t>-573.370654238613 -256.004729645211 830.636572556422</t>
  </si>
  <si>
    <t>9763-20170724T104627.481711800.bin</t>
  </si>
  <si>
    <t>-877.417018953432 14.5535338059126 -526.513344489106</t>
  </si>
  <si>
    <t>-837.438461905713 54.1756417446759 -237.682957023672</t>
  </si>
  <si>
    <t>-607.033891728081 109.536885868018 -281.269076604592</t>
  </si>
  <si>
    <t>-814.014772273164 10.0789734216594 304.204807782594</t>
  </si>
  <si>
    <t>-868.564954195386 53.9118321169265 746.726179155309</t>
  </si>
  <si>
    <t>-733.107983185296 109.181815190053 807.421826880298</t>
  </si>
  <si>
    <t>-691.486912290142 -200.897522717423 309.891385562568</t>
  </si>
  <si>
    <t>-705.834144464892 -209.085186676919 757.451716591112</t>
  </si>
  <si>
    <t>-573.557774099572 -256.322437954494 830.656241011265</t>
  </si>
  <si>
    <t>9763-20170724T104627.551897500.bin</t>
  </si>
  <si>
    <t>-877.43397569343 13.859170157805 -526.771808267463</t>
  </si>
  <si>
    <t>-837.782195007572 53.7620789287334 -237.935024676399</t>
  </si>
  <si>
    <t>-607.490890311499 109.685091997617 -281.401877196538</t>
  </si>
  <si>
    <t>-814.314730794386 10.1653486554326 304.119284246313</t>
  </si>
  <si>
    <t>-868.583301360055 53.8969144998389 746.702076194528</t>
  </si>
  <si>
    <t>-733.081804535643 109.053317770027 807.401647887136</t>
  </si>
  <si>
    <t>-691.406108424085 -200.747781158875 309.905616259646</t>
  </si>
  <si>
    <t>-705.850721641066 -209.149992353179 757.455809877914</t>
  </si>
  <si>
    <t>-573.521698385172 -256.22215579002 830.671436043577</t>
  </si>
  <si>
    <t>9763-20170724T104627.584016700.bin</t>
  </si>
  <si>
    <t>-877.337813479196 13.3370168244949 -526.911726874592</t>
  </si>
  <si>
    <t>-837.80474887822 53.4109822956766 -238.082301790297</t>
  </si>
  <si>
    <t>-607.566568804995 109.604620335864 -281.482062035772</t>
  </si>
  <si>
    <t>-814.365218307979 10.0781479779284 304.071983260617</t>
  </si>
  <si>
    <t>-868.565075972005 53.8460293570874 746.678367522292</t>
  </si>
  <si>
    <t>-733.070926225395 109.024931967374 807.373568885286</t>
  </si>
  <si>
    <t>-691.372475432987 -200.743490084358 309.916676582</t>
  </si>
  <si>
    <t>-705.865284666064 -209.236320553433 757.457861120156</t>
  </si>
  <si>
    <t>-573.306403240535 -255.676469930217 830.66142955182</t>
  </si>
  <si>
    <t>9763-20170724T104627.650192300.bin</t>
  </si>
  <si>
    <t>-877.273306989648 12.4774867869287 -527.194296603973</t>
  </si>
  <si>
    <t>-837.981862812598 53.0243520689378 -238.397907615031</t>
  </si>
  <si>
    <t>-607.845318509662 109.674214910442 -281.743796786065</t>
  </si>
  <si>
    <t>-814.317856734726 9.93182333448408 303.999492111515</t>
  </si>
  <si>
    <t>-868.546816717993 53.7521880952158 746.626787567313</t>
  </si>
  <si>
    <t>-733.107750505265 109.08174243648 807.307994919443</t>
  </si>
  <si>
    <t>-691.307465344419 -200.407283418066 309.905891968662</t>
  </si>
  <si>
    <t>-705.852389380159 -208.892929174892 757.439146184224</t>
  </si>
  <si>
    <t>-573.48118366183 -255.798401642011 830.685501627152</t>
  </si>
  <si>
    <t>9763-20170724T104627.683444500.bin</t>
  </si>
  <si>
    <t>-877.263515319992 12.1197431641267 -527.324458872034</t>
  </si>
  <si>
    <t>-838.165434254525 52.9402986494367 -238.54045715667</t>
  </si>
  <si>
    <t>-608.040614663296 109.700664233153 -281.803473985246</t>
  </si>
  <si>
    <t>-814.369196418976 9.89608257814552 303.972773989395</t>
  </si>
  <si>
    <t>-868.611531771392 53.7916078567023 746.601886326085</t>
  </si>
  <si>
    <t>-733.071077607236 108.876028200919 807.279777406587</t>
  </si>
  <si>
    <t>-691.316191789069 -200.298168041699 309.906404402348</t>
  </si>
  <si>
    <t>-705.864173677342 -208.908249054879 757.435548699791</t>
  </si>
  <si>
    <t>-573.477072300453 -255.748472224037 830.695003656444</t>
  </si>
  <si>
    <t>9763-20170724T104627.748614900.bin</t>
  </si>
  <si>
    <t>-877.134716152928 11.4191944909458 -527.550721660744</t>
  </si>
  <si>
    <t>-838.479675155182 52.474492287811 -238.740230786065</t>
  </si>
  <si>
    <t>-608.386047759964 109.540716951544 -281.766361689709</t>
  </si>
  <si>
    <t>-814.289305246394 9.57201076276101 303.946920778211</t>
  </si>
  <si>
    <t>-868.572400563074 53.6580903174299 746.561595397333</t>
  </si>
  <si>
    <t>-733.085459211079 108.889825835959 807.2251028552</t>
  </si>
  <si>
    <t>-691.324997584879 -200.220171502447 309.895644444098</t>
  </si>
  <si>
    <t>-705.899141453225 -208.850453492831 757.437459632022</t>
  </si>
  <si>
    <t>-573.492107029802 -255.627867513098 830.700933189489</t>
  </si>
  <si>
    <t>9763-20170724T104627.782292600.bin</t>
  </si>
  <si>
    <t>-877.245343334347 11.0071807024067 -527.606563348567</t>
  </si>
  <si>
    <t>-838.834049907773 52.0676961175791 -238.764346101612</t>
  </si>
  <si>
    <t>-608.746198435913 109.225096567174 -281.699521120381</t>
  </si>
  <si>
    <t>-814.211515985636 9.40128954841407 303.946965226875</t>
  </si>
  <si>
    <t>-868.55793863898 53.5988290111782 746.54685939117</t>
  </si>
  <si>
    <t>-733.089498402619 108.882417363809 807.204260784097</t>
  </si>
  <si>
    <t>-691.322674727853 -200.09502358345 309.888659434294</t>
  </si>
  <si>
    <t>-705.900147044767 -208.552537177979 757.431061970583</t>
  </si>
  <si>
    <t>-573.644007802138 -255.733856059069 830.708123942691</t>
  </si>
  <si>
    <t>9763-20170724T104627.848470100.bin</t>
  </si>
  <si>
    <t>-877.700760789764 10.0852520298834 -527.637175974637</t>
  </si>
  <si>
    <t>-839.536847115527 51.3783878144623 -238.795292333691</t>
  </si>
  <si>
    <t>-609.481706401318 108.659722825224 -281.741269098256</t>
  </si>
  <si>
    <t>-814.418455079861 9.10794373773638 303.920121269451</t>
  </si>
  <si>
    <t>-868.622017713133 53.5946623459074 746.508368774342</t>
  </si>
  <si>
    <t>-733.067232251492 108.680061388228 807.153131912964</t>
  </si>
  <si>
    <t>-691.564286143722 -200.405592498879 309.923621688537</t>
  </si>
  <si>
    <t>-705.987052483549 -208.964790620846 757.453960080188</t>
  </si>
  <si>
    <t>-573.395222722518 -255.262943025327 830.687749567848</t>
  </si>
  <si>
    <t>9763-20170724T104627.879557500.bin</t>
  </si>
  <si>
    <t>-878.029754618892 9.7899821612109 -527.675652707736</t>
  </si>
  <si>
    <t>-839.999697931371 51.0692498618694 -238.814213663332</t>
  </si>
  <si>
    <t>-609.997901203314 108.503053479566 -281.841710667595</t>
  </si>
  <si>
    <t>-814.561361100138 9.00283535655194 303.893592144347</t>
  </si>
  <si>
    <t>-868.597789969548 53.5323369220162 746.480972576796</t>
  </si>
  <si>
    <t>-733.082896654766 108.717605784924 807.12400433418</t>
  </si>
  <si>
    <t>-691.587764611142 -200.427838264044 309.924924062049</t>
  </si>
  <si>
    <t>-706.006121789601 -208.920351928578 757.458604444238</t>
  </si>
  <si>
    <t>-573.447369133248 -255.312033742677 830.693032366012</t>
  </si>
  <si>
    <t>9763-20170724T104627.949743900.bin</t>
  </si>
  <si>
    <t>-878.809051513399 8.94417933084469 -527.682511387389</t>
  </si>
  <si>
    <t>-840.941682405121 50.2925982959491 -238.809500538724</t>
  </si>
  <si>
    <t>-611.015460826704 107.916031629304 -281.98731396672</t>
  </si>
  <si>
    <t>-814.630209357862 8.72091781098788 303.82608924428</t>
  </si>
  <si>
    <t>-868.536031374446 53.3971635475084 746.435303802245</t>
  </si>
  <si>
    <t>-733.045277611589 108.632317373792 807.086975932003</t>
  </si>
  <si>
    <t>-691.595615511452 -200.399965452494 309.895805382772</t>
  </si>
  <si>
    <t>-706.052468618321 -208.948330062736 757.455385864233</t>
  </si>
  <si>
    <t>-573.527663213632 -255.438019015246 830.68900739955</t>
  </si>
  <si>
    <t>9763-20170724T104627.986416100.bin</t>
  </si>
  <si>
    <t>-878.918003109315 8.55232994517542 -527.697606650178</t>
  </si>
  <si>
    <t>-841.16617941295 49.934057423076 -238.814407166585</t>
  </si>
  <si>
    <t>-611.287109244896 107.645896020369 -282.125419913618</t>
  </si>
  <si>
    <t>-814.656843427279 8.64528846013013 303.805040858083</t>
  </si>
  <si>
    <t>-868.582989683494 53.4168448381961 746.415723926518</t>
  </si>
  <si>
    <t>-733.049634484299 108.547868826371 807.066849686084</t>
  </si>
  <si>
    <t>-691.544644054114 -200.363458462821 309.891911285891</t>
  </si>
  <si>
    <t>-706.063810638265 -208.792829174193 757.453001693524</t>
  </si>
  <si>
    <t>-573.575891827135 -255.385233154006 830.688268104548</t>
  </si>
  <si>
    <t>9763-20170724T104628.051592800.bin</t>
  </si>
  <si>
    <t>-878.884678140436 8.08270977520738 -527.776376707254</t>
  </si>
  <si>
    <t>-841.415982370428 49.4560179110501 -238.854976830635</t>
  </si>
  <si>
    <t>-611.596596684326 107.384580728786 -282.193142277585</t>
  </si>
  <si>
    <t>-814.774418156995 8.4967327520269 303.793715522572</t>
  </si>
  <si>
    <t>-868.574585987346 53.3245490602274 746.389238123115</t>
  </si>
  <si>
    <t>-733.056812175622 108.506629917643 807.029035981461</t>
  </si>
  <si>
    <t>-691.42242722798 -200.255017606773 309.89226322528</t>
  </si>
  <si>
    <t>-706.08968950515 -208.565540808163 757.443683925312</t>
  </si>
  <si>
    <t>-573.74349378974 -255.537034776832 830.692950735296</t>
  </si>
  <si>
    <t>9763-20170724T104628.083307200.bin</t>
  </si>
  <si>
    <t>-878.706325454582 7.73641860291286 -527.835856545775</t>
  </si>
  <si>
    <t>-841.470396173104 49.0946002107933 -238.882250814147</t>
  </si>
  <si>
    <t>-611.655535343622 107.135991100884 -282.093011780536</t>
  </si>
  <si>
    <t>-814.882556655376 8.35949755437127 303.773292512549</t>
  </si>
  <si>
    <t>-868.586265083709 53.3029694848933 746.36742442023</t>
  </si>
  <si>
    <t>-733.011763431052 108.343823373487 807.008649547555</t>
  </si>
  <si>
    <t>-691.44466147142 -200.374817200253 309.89804179706</t>
  </si>
  <si>
    <t>-706.123680099638 -208.753451210529 757.444655701804</t>
  </si>
  <si>
    <t>-573.542828723986 -255.091468519601 830.67313357321</t>
  </si>
  <si>
    <t>9763-20170724T104628.147481100.bin</t>
  </si>
  <si>
    <t>-878.638215054915 7.09443623304628 -527.963316980569</t>
  </si>
  <si>
    <t>-841.764093838233 48.547386660498 -238.976900960877</t>
  </si>
  <si>
    <t>-611.932505612726 106.688348814227 -281.964275490738</t>
  </si>
  <si>
    <t>-814.877003844153 8.16013683146389 303.731780840726</t>
  </si>
  <si>
    <t>-868.533291362277 53.1439688483076 746.33910819817</t>
  </si>
  <si>
    <t>-733.019153150683 108.35198443354 806.963306778162</t>
  </si>
  <si>
    <t>-691.419190254879 -200.263402916696 309.898769332181</t>
  </si>
  <si>
    <t>-706.13406233012 -208.426417798137 757.433285440981</t>
  </si>
  <si>
    <t>-573.669605476143 -255.073334503548 830.676191053655</t>
  </si>
  <si>
    <t>9763-20170724T104628.184679700.bin</t>
  </si>
  <si>
    <t>-878.775217452831 6.87253691375736 -528.030697760895</t>
  </si>
  <si>
    <t>-842.090440003761 48.3446985353703 -239.022861943277</t>
  </si>
  <si>
    <t>-612.248001294486 106.465214511852 -281.979815552213</t>
  </si>
  <si>
    <t>-814.891377147694 8.09793235127677 303.709731939928</t>
  </si>
  <si>
    <t>-868.532764288625 53.1007004258768 746.318634538301</t>
  </si>
  <si>
    <t>-733.007750178648 108.284160249818 806.940872377711</t>
  </si>
  <si>
    <t>-691.48097826617 -200.231818576803 309.892337720877</t>
  </si>
  <si>
    <t>-706.151822123082 -208.356175425424 757.432962509399</t>
  </si>
  <si>
    <t>-573.742548862381 -255.154396776937 830.679241157042</t>
  </si>
  <si>
    <t>9763-20170724T104628.248850400.bin</t>
  </si>
  <si>
    <t>-879.437889323759 6.5495647244768 -528.136256434405</t>
  </si>
  <si>
    <t>-843.118237636543 48.0739568737824 -239.089813062531</t>
  </si>
  <si>
    <t>-613.30183747883 106.264170602884 -282.09203223774</t>
  </si>
  <si>
    <t>-815.023645437742 7.97167075370839 303.690128557175</t>
  </si>
  <si>
    <t>-868.51265138224 53.002822644587 746.287675877742</t>
  </si>
  <si>
    <t>-733.01516209576 108.254559100561 806.90917053784</t>
  </si>
  <si>
    <t>-691.740217324029 -200.43804478236 309.886698355991</t>
  </si>
  <si>
    <t>-706.211076555659 -208.471673619024 757.441510370456</t>
  </si>
  <si>
    <t>-573.565954896241 -254.645541918163 830.657147001991</t>
  </si>
  <si>
    <t>9763-20170724T104628.281951300.bin</t>
  </si>
  <si>
    <t>-879.922071769727 6.42504342756547 -528.187407494061</t>
  </si>
  <si>
    <t>-843.83890829456 47.9984996821677 -239.118381393612</t>
  </si>
  <si>
    <t>-614.021707096342 106.18665651107 -282.11923435294</t>
  </si>
  <si>
    <t>-815.133172465658 7.94468072288691 303.676898321271</t>
  </si>
  <si>
    <t>-868.505309835869 52.962135701333 746.282685362168</t>
  </si>
  <si>
    <t>-733.007271147105 108.210730850905 806.905948047235</t>
  </si>
  <si>
    <t>-691.878752457544 -200.453248472484 309.881158330691</t>
  </si>
  <si>
    <t>-706.229711365922 -208.36517146014 757.444899353555</t>
  </si>
  <si>
    <t>-573.679757763027 -254.808650359627 830.662476589375</t>
  </si>
  <si>
    <t>9763-20170724T104628.351135200.bin</t>
  </si>
  <si>
    <t>-881.137606818911 6.02653798322763 -528.248467222508</t>
  </si>
  <si>
    <t>-845.40645002029 47.6111507390685 -239.137479106877</t>
  </si>
  <si>
    <t>-615.532710045754 105.696834599487 -281.974694232716</t>
  </si>
  <si>
    <t>-815.252157075777 7.92654227987805 303.658956314165</t>
  </si>
  <si>
    <t>-868.50730259509 52.8931980801424 746.288698981518</t>
  </si>
  <si>
    <t>-732.967555049535 108.031642868486 806.919054146609</t>
  </si>
  <si>
    <t>-692.111838727036 -200.427337725491 309.859591288521</t>
  </si>
  <si>
    <t>-706.282118186764 -208.369099790468 757.44896464731</t>
  </si>
  <si>
    <t>-573.75049548615 -254.880142060094 830.65675875552</t>
  </si>
  <si>
    <t>9763-20170724T104628.383254700.bin</t>
  </si>
  <si>
    <t>-881.704120818921 5.79767484393369 -528.226139293335</t>
  </si>
  <si>
    <t>-846.144348896805 47.316030804913 -239.084330670383</t>
  </si>
  <si>
    <t>-616.241934324329 105.306051615572 -281.896753629074</t>
  </si>
  <si>
    <t>-815.256394826871 7.93044619289549 303.650761860334</t>
  </si>
  <si>
    <t>-868.477544877614 52.8271051230608 746.285645394885</t>
  </si>
  <si>
    <t>-732.979026010519 108.062406169589 806.919731055718</t>
  </si>
  <si>
    <t>-692.165016073723 -200.385036851136 309.855896076279</t>
  </si>
  <si>
    <t>-706.291687627709 -208.247047707359 757.446052195292</t>
  </si>
  <si>
    <t>-573.850657455535 -255.005072819933 830.660536513612</t>
  </si>
  <si>
    <t>9763-20170724T104628.450433200.bin</t>
  </si>
  <si>
    <t>-882.455069229165 5.29930855444491 -528.227441949547</t>
  </si>
  <si>
    <t>-847.4287115401 46.6531063205578 -238.997121637322</t>
  </si>
  <si>
    <t>-617.439745254523 104.481494454541 -281.562183719503</t>
  </si>
  <si>
    <t>-815.320645906318 7.87652384472449 303.644304460852</t>
  </si>
  <si>
    <t>-868.476267199805 52.7599592436077 746.282742134854</t>
  </si>
  <si>
    <t>-732.991191391189 108.026091137911 806.918732686819</t>
  </si>
  <si>
    <t>-692.283243501271 -200.428673845538 309.856632898778</t>
  </si>
  <si>
    <t>-706.33303372646 -208.210424208188 757.441478897699</t>
  </si>
  <si>
    <t>-573.817888497527 -254.781330957526 830.641056521751</t>
  </si>
  <si>
    <t>9763-20170724T104628.485076800.bin</t>
  </si>
  <si>
    <t>-882.919338970606 5.00566614920285 -528.282124515015</t>
  </si>
  <si>
    <t>-848.249853643052 46.2475443903513 -238.992738958954</t>
  </si>
  <si>
    <t>-618.203206248211 104.121753314261 -281.182662280626</t>
  </si>
  <si>
    <t>-815.362186975194 7.82733104649651 303.643658022283</t>
  </si>
  <si>
    <t>-868.439402167714 52.6807784798573 746.284181133962</t>
  </si>
  <si>
    <t>-732.986418885792 108.023524106098 806.922190934975</t>
  </si>
  <si>
    <t>-692.416327516162 -200.389815682582 309.851048802632</t>
  </si>
  <si>
    <t>-706.349671853889 -208.140996683393 757.438715950367</t>
  </si>
  <si>
    <t>-573.833411420428 -254.715640295832 830.633775492507</t>
  </si>
  <si>
    <t>9763-20170724T104628.548246800.bin</t>
  </si>
  <si>
    <t>-883.956079009532 4.6375514451031 -528.401001051597</t>
  </si>
  <si>
    <t>-850.4377931228 45.4489365781474 -238.914873960903</t>
  </si>
  <si>
    <t>-620.333383076166 103.798910112664 -280.123508939748</t>
  </si>
  <si>
    <t>-815.663747165174 7.85152288993254 303.600028268533</t>
  </si>
  <si>
    <t>-868.484068311841 52.6806148935887 746.278537184909</t>
  </si>
  <si>
    <t>-732.978025229309 107.892325168018 806.917433627727</t>
  </si>
  <si>
    <t>-692.759805943286 -200.283924070448 309.856433764303</t>
  </si>
  <si>
    <t>-706.392475106601 -208.106578737803 757.449825509542</t>
  </si>
  <si>
    <t>-573.928513362335 -254.838415966247 830.639591817966</t>
  </si>
  <si>
    <t>9763-20170724T104628.582095600.bin</t>
  </si>
  <si>
    <t>-884.41550298225 4.43094317717964 -528.463597968933</t>
  </si>
  <si>
    <t>-851.562240205307 44.966934485301 -238.862716626507</t>
  </si>
  <si>
    <t>-621.500959896089 103.899753425628 -279.478054539758</t>
  </si>
  <si>
    <t>-815.781784584936 7.86726058237969 303.579759999107</t>
  </si>
  <si>
    <t>-868.494596340188 52.6547050819695 746.274848874035</t>
  </si>
  <si>
    <t>-732.978490955285 107.843469835462 806.91207914871</t>
  </si>
  <si>
    <t>-692.960417325939 -200.262687000441 309.852845234053</t>
  </si>
  <si>
    <t>-706.409122261152 -208.08297799371 757.453244492274</t>
  </si>
  <si>
    <t>-573.898444965406 -254.688780626074 830.638643386272</t>
  </si>
  <si>
    <t>9763-20170724T104628.649273400.bin</t>
  </si>
  <si>
    <t>-885.287759291794 4.14035772470811 -528.568244207542</t>
  </si>
  <si>
    <t>-853.800197114059 43.8983480771408 -238.707969491913</t>
  </si>
  <si>
    <t>-624.045341053469 104.815828187357 -278.111747791389</t>
  </si>
  <si>
    <t>-815.950714735268 7.84858810342189 303.591067010772</t>
  </si>
  <si>
    <t>-868.479163722539 52.4917054325115 746.322182382656</t>
  </si>
  <si>
    <t>-732.922179688872 107.604892006877 806.937027227358</t>
  </si>
  <si>
    <t>-693.33785047789 -200.223366762697 309.844730627456</t>
  </si>
  <si>
    <t>-706.442282483556 -208.065032940233 757.457493095267</t>
  </si>
  <si>
    <t>-573.890784716849 -254.554408841963 830.643060090674</t>
  </si>
  <si>
    <t>9763-20170724T104628.686113100.bin</t>
  </si>
  <si>
    <t>-885.741896151664 4.11536057695912 -528.573147006921</t>
  </si>
  <si>
    <t>-854.848930036795 43.5745363791402 -238.607948958933</t>
  </si>
  <si>
    <t>-625.36032336708 105.747282989781 -277.60005764298</t>
  </si>
  <si>
    <t>-816.077256221238 7.85754284683094 303.600829321726</t>
  </si>
  <si>
    <t>-868.497507866986 52.4287199833527 746.353730282456</t>
  </si>
  <si>
    <t>-732.879653688303 107.410644970266 806.951627019315</t>
  </si>
  <si>
    <t>-693.577836257466 -200.107344504253 309.853766129257</t>
  </si>
  <si>
    <t>-706.464360127947 -207.981062429012 757.472991637782</t>
  </si>
  <si>
    <t>-574.00977082202 -254.740777445896 830.661811102241</t>
  </si>
  <si>
    <t>9763-20170724T104628.748268200.bin</t>
  </si>
  <si>
    <t>-886.779288113493 4.05740264415044 -528.592297317473</t>
  </si>
  <si>
    <t>-856.635220674205 43.3074087874622 -238.519950100179</t>
  </si>
  <si>
    <t>-627.733177695941 107.931377878393 -276.970797677958</t>
  </si>
  <si>
    <t>-816.177015343851 7.81863400899579 303.645584785876</t>
  </si>
  <si>
    <t>-868.336819689803 51.9954292764899 746.454811412065</t>
  </si>
  <si>
    <t>-732.898132791287 107.49012280787 806.98546339692</t>
  </si>
  <si>
    <t>-694.026604734708 -199.915581857278 309.883703942737</t>
  </si>
  <si>
    <t>-706.525484965484 -208.030211780742 757.515547487334</t>
  </si>
  <si>
    <t>-574.040919540099 -254.737886738478 830.683319109305</t>
  </si>
  <si>
    <t>9763-20170724T104628.784934100.bin</t>
  </si>
  <si>
    <t>-887.303849998306 4.25812524719663 -528.6096575584</t>
  </si>
  <si>
    <t>-857.334411206851 43.6603199559393 -238.539933069459</t>
  </si>
  <si>
    <t>-628.696746991288 109.226646984144 -276.968015468336</t>
  </si>
  <si>
    <t>-816.345343371673 7.91296578866036 303.702556904048</t>
  </si>
  <si>
    <t>-868.327936290927 51.8230711452186 746.547816892957</t>
  </si>
  <si>
    <t>-732.838462904262 107.244454404117 807.032120005887</t>
  </si>
  <si>
    <t>-694.179088763427 -199.860404506878 309.903263209638</t>
  </si>
  <si>
    <t>-706.575447157253 -208.10195403601 757.561578992942</t>
  </si>
  <si>
    <t>-574.080699674362 -254.827290962515 830.699812337818</t>
  </si>
  <si>
    <t>9763-20170724T104628.853116200.bin</t>
  </si>
  <si>
    <t>-887.979666910253 4.82263159165404 -528.819138865929</t>
  </si>
  <si>
    <t>-858.257751308674 44.7340756251665 -238.793516985435</t>
  </si>
  <si>
    <t>-629.904915869777 111.327802486604 -277.14912396715</t>
  </si>
  <si>
    <t>-816.866467190571 8.2550682075132 303.807716091265</t>
  </si>
  <si>
    <t>-868.32908724136 51.5437870584428 746.718581075703</t>
  </si>
  <si>
    <t>-732.850720014039 107.096116204583 807.107817357776</t>
  </si>
  <si>
    <t>-694.566854365161 -199.775490738625 309.971859460518</t>
  </si>
  <si>
    <t>-706.656576110127 -208.359973536939 757.622242568981</t>
  </si>
  <si>
    <t>-573.956952570311 -254.56350979916 830.720439839242</t>
  </si>
  <si>
    <t>9763-20170724T104628.883218800.bin</t>
  </si>
  <si>
    <t>-888.235575451191 5.49317960342682 -528.978070981007</t>
  </si>
  <si>
    <t>-858.775453420813 45.5991723279731 -238.952449268686</t>
  </si>
  <si>
    <t>-630.422030070844 112.170133953856 -277.343686666875</t>
  </si>
  <si>
    <t>-817.366889018414 8.72228732457188 303.813551858545</t>
  </si>
  <si>
    <t>-868.37619613939 51.5541128134823 746.749550579721</t>
  </si>
  <si>
    <t>-732.849041042756 107.007717088632 807.119725564046</t>
  </si>
  <si>
    <t>-694.889539677149 -199.522151210516 309.979577203296</t>
  </si>
  <si>
    <t>-706.683710580923 -208.390640810871 757.635661125447</t>
  </si>
  <si>
    <t>-573.996294633072 -254.610942036922 830.745381262254</t>
  </si>
  <si>
    <t>9763-20170724T104628.948391200.bin</t>
  </si>
  <si>
    <t>-888.593332534107 7.99992454920198 -529.282001679225</t>
  </si>
  <si>
    <t>-859.730929829151 48.4575960088296 -239.245179056198</t>
  </si>
  <si>
    <t>-631.059311528244 113.928893471431 -277.63388531082</t>
  </si>
  <si>
    <t>-818.514758340637 10.0901237577934 303.904268899264</t>
  </si>
  <si>
    <t>-868.538730484899 51.7224791291521 746.943348884018</t>
  </si>
  <si>
    <t>-732.922164241791 107.00061671614 807.274187732454</t>
  </si>
  <si>
    <t>-695.733152731909 -198.615786043757 309.97000667047</t>
  </si>
  <si>
    <t>-706.70412692443 -208.379799202113 757.648595242692</t>
  </si>
  <si>
    <t>-574.157387158872 -254.957412623469 830.786819744108</t>
  </si>
  <si>
    <t>9763-20170724T104628.985015800.bin</t>
  </si>
  <si>
    <t>-888.884961678556 9.86213235591936 -529.422103470807</t>
  </si>
  <si>
    <t>-860.340225579892 50.1774015298363 -239.33405008715</t>
  </si>
  <si>
    <t>-631.419483457659 114.911964210213 -277.485730343441</t>
  </si>
  <si>
    <t>-819.155006587565 11.0444419811595 303.963823420066</t>
  </si>
  <si>
    <t>-868.707293426573 51.9451155041529 747.105197520498</t>
  </si>
  <si>
    <t>-732.901222846419 106.776995957763 807.416418504346</t>
  </si>
  <si>
    <t>-696.139248648682 -197.850988373287 309.931865360304</t>
  </si>
  <si>
    <t>-706.692527798587 -208.1976110825 757.626804963215</t>
  </si>
  <si>
    <t>-574.270125887655 -255.086305969389 830.791252063826</t>
  </si>
  <si>
    <t>9763-20170724T104629.050188700.bin</t>
  </si>
  <si>
    <t>-889.883758172452 13.4262285057366 -529.464191643057</t>
  </si>
  <si>
    <t>-861.872105827635 53.0774528543084 -239.232803322364</t>
  </si>
  <si>
    <t>-632.532508712207 116.277471233588 -277.442541724624</t>
  </si>
  <si>
    <t>-819.965350465703 12.5602877592967 304.18819426403</t>
  </si>
  <si>
    <t>-868.796334344225 52.0684919665496 747.532121545316</t>
  </si>
  <si>
    <t>-732.909301256128 106.749711849683 807.798270430481</t>
  </si>
  <si>
    <t>-696.967422380512 -196.300721352065 309.849832940733</t>
  </si>
  <si>
    <t>-706.69991404286 -208.179644214152 757.570696020486</t>
  </si>
  <si>
    <t>-574.438679171751 -255.450796684306 830.780610802594</t>
  </si>
  <si>
    <t>9763-20170724T104629.081299000.bin</t>
  </si>
  <si>
    <t>-890.357345783686 14.9975208131111 -529.398642502222</t>
  </si>
  <si>
    <t>-862.599086139603 54.1540547234792 -239.075702817007</t>
  </si>
  <si>
    <t>-633.212758947726 116.99159788352 -277.601272248143</t>
  </si>
  <si>
    <t>-820.266746421032 13.2606104064241 304.316028639363</t>
  </si>
  <si>
    <t>-868.89742211357 52.2113905396982 747.754428133826</t>
  </si>
  <si>
    <t>-732.915410642406 106.6692402766 808.008606909522</t>
  </si>
  <si>
    <t>-697.366326341006 -195.676676138609 309.814693132171</t>
  </si>
  <si>
    <t>-706.732860265347 -208.412585514336 757.549478005821</t>
  </si>
  <si>
    <t>-574.265193898891 -255.112829742332 830.752640715368</t>
  </si>
  <si>
    <t>9763-20170724T104629.150483600.bin</t>
  </si>
  <si>
    <t>-891.075299615814 18.1240631631176 -529.147482846084</t>
  </si>
  <si>
    <t>-863.843745308022 56.0575870574226 -238.612193100255</t>
  </si>
  <si>
    <t>-634.929626973771 119.445936737972 -278.999559814911</t>
  </si>
  <si>
    <t>-820.830763448416 14.7892097693855 304.550296767733</t>
  </si>
  <si>
    <t>-868.919034124375 52.2800443673502 748.187319160771</t>
  </si>
  <si>
    <t>-732.932092328493 106.752088233061 808.417008732564</t>
  </si>
  <si>
    <t>-697.876455476169 -194.283992104107 309.814342278034</t>
  </si>
  <si>
    <t>-706.717984579938 -208.047114829771 757.499517939623</t>
  </si>
  <si>
    <t>-574.545580577263 -255.490452627132 830.758571890682</t>
  </si>
  <si>
    <t>9763-20170724T104629.184083400.bin</t>
  </si>
  <si>
    <t>-891.642774744015 19.7060018987977 -529.00474898195</t>
  </si>
  <si>
    <t>-864.67446205211 57.2520718542678 -238.394721163627</t>
  </si>
  <si>
    <t>-636.223432015642 121.367789642341 -280.229310558459</t>
  </si>
  <si>
    <t>-821.190260232595 15.7016044781162 304.651708672223</t>
  </si>
  <si>
    <t>-869.020427841289 52.4414273521654 748.386742042929</t>
  </si>
  <si>
    <t>-732.886741122612 106.557516473777 808.605919881949</t>
  </si>
  <si>
    <t>-698.138539283898 -193.486661237927 309.812099486378</t>
  </si>
  <si>
    <t>-706.70515431981 -207.856797685458 757.47162913452</t>
  </si>
  <si>
    <t>-574.77535018341 -255.910402205422 830.770136360906</t>
  </si>
  <si>
    <t>9763-20170724T104629.248249900.bin</t>
  </si>
  <si>
    <t>-893.333020192954 22.5305107933523 -528.702345068847</t>
  </si>
  <si>
    <t>-866.834601416461 59.6021218600304 -237.988074360221</t>
  </si>
  <si>
    <t>-639.428851004904 125.406222162552 -282.790615884713</t>
  </si>
  <si>
    <t>-822.147440000645 17.2344415011917 304.864911981799</t>
  </si>
  <si>
    <t>-869.145734862457 52.6789092151787 748.802747417739</t>
  </si>
  <si>
    <t>-732.865248595532 106.448299441752 809.000670443542</t>
  </si>
  <si>
    <t>-698.559623544605 -191.97651639465 309.769665173491</t>
  </si>
  <si>
    <t>-706.695712048572 -207.624915163186 757.408755468189</t>
  </si>
  <si>
    <t>-574.821978288278 -255.765404828789 830.751235139103</t>
  </si>
  <si>
    <t>9763-20170724T104629.284973200.bin</t>
  </si>
  <si>
    <t>-894.324238035856 23.7552231233703 -528.518978536376</t>
  </si>
  <si>
    <t>-868.077710068291 60.8488825373881 -237.784837177058</t>
  </si>
  <si>
    <t>-641.088861121659 127.063958507768 -284.07149919438</t>
  </si>
  <si>
    <t>-822.724576391011 17.9155434312954 304.985561997749</t>
  </si>
  <si>
    <t>-869.183279396146 52.7635608929336 749.033701714166</t>
  </si>
  <si>
    <t>-732.850794527009 106.414793066111 809.219244714942</t>
  </si>
  <si>
    <t>-698.673488137102 -191.329404413215 309.736403659588</t>
  </si>
  <si>
    <t>-706.715025473431 -207.698063886888 757.382488203934</t>
  </si>
  <si>
    <t>-574.807011496296 -255.726848436071 830.736542896102</t>
  </si>
  <si>
    <t>9763-20170724T104629.349143900.bin</t>
  </si>
  <si>
    <t>-896.359471679457 25.6868801083169 -528.125664793443</t>
  </si>
  <si>
    <t>-870.400007954437 62.7961370615801 -237.367700453651</t>
  </si>
  <si>
    <t>-644.119517132683 129.233649997055 -286.70386502824</t>
  </si>
  <si>
    <t>-823.846646545918 19.3416002833346 305.196381783937</t>
  </si>
  <si>
    <t>-869.150496119387 52.7901078703746 749.498426325025</t>
  </si>
  <si>
    <t>-732.834609595371 106.50110133925 809.668337033065</t>
  </si>
  <si>
    <t>-698.818574377215 -189.825826231916 309.705500757591</t>
  </si>
  <si>
    <t>-706.712876871822 -207.403396452257 757.317030867086</t>
  </si>
  <si>
    <t>-575.109134188725 -256.161867399064 830.736248155473</t>
  </si>
  <si>
    <t>9763-20170724T104629.380827000.bin</t>
  </si>
  <si>
    <t>-897.406182266563 26.4869334324512 -527.901279770958</t>
  </si>
  <si>
    <t>-871.467726441363 63.4630760017167 -237.124547826921</t>
  </si>
  <si>
    <t>-645.385678859609 129.705502916567 -287.618778238086</t>
  </si>
  <si>
    <t>-824.313806669363 20.0394635039856 305.297690403215</t>
  </si>
  <si>
    <t>-869.140741083843 52.8068631581405 749.725895558607</t>
  </si>
  <si>
    <t>-732.788966359622 106.417007333698 809.904207613514</t>
  </si>
  <si>
    <t>-698.860887561937 -189.177467637128 309.689929609315</t>
  </si>
  <si>
    <t>-706.732459764931 -207.390462127053 757.287388639335</t>
  </si>
  <si>
    <t>-575.122957634594 -256.103977504389 830.725978738513</t>
  </si>
  <si>
    <t>9763-20170724T104629.454021500.bin</t>
  </si>
  <si>
    <t>-899.194986493582 27.939613227572 -527.431208753662</t>
  </si>
  <si>
    <t>-873.474695742036 64.4861555947236 -236.580773664611</t>
  </si>
  <si>
    <t>-647.705475524578 130.08543133469 -289.267182218818</t>
  </si>
  <si>
    <t>-825.334753490076 21.0006944797292 305.51552993739</t>
  </si>
  <si>
    <t>-869.088944697006 52.7806338881537 750.15539165511</t>
  </si>
  <si>
    <t>-732.727585272834 106.357941865368 810.341501270446</t>
  </si>
  <si>
    <t>-699.142373648525 -188.271997677173 309.680287805866</t>
  </si>
  <si>
    <t>-706.786833106141 -207.456839994361 757.259111362319</t>
  </si>
  <si>
    <t>-575.009618155909 -255.684212581571 830.717891500321</t>
  </si>
  <si>
    <t>9763-20170724T104629.483107500.bin</t>
  </si>
  <si>
    <t>-900.039477143018 28.5934934542347 -527.172689592314</t>
  </si>
  <si>
    <t>-874.530776850857 64.8080483466042 -236.261915975672</t>
  </si>
  <si>
    <t>-648.821728810165 129.912415791014 -289.813233599648</t>
  </si>
  <si>
    <t>-826.06035566159 21.4385014124907 305.627574826531</t>
  </si>
  <si>
    <t>-869.108694615328 52.8246528541447 750.36205841259</t>
  </si>
  <si>
    <t>-732.734183822922 106.367412120295 810.548765713829</t>
  </si>
  <si>
    <t>-699.45251143965 -187.841801133015 309.700293908728</t>
  </si>
  <si>
    <t>-706.811571765572 -207.349976148623 757.255335748319</t>
  </si>
  <si>
    <t>-575.072021365648 -255.659418347357 830.727582242882</t>
  </si>
  <si>
    <t>9763-20170724T104629.548280000.bin</t>
  </si>
  <si>
    <t>-901.387784102234 29.7722036230405 -526.72219656164</t>
  </si>
  <si>
    <t>-876.662023417504 65.1399994457315 -235.639868684416</t>
  </si>
  <si>
    <t>-651.260692909656 129.507692356763 -291.334586687303</t>
  </si>
  <si>
    <t>-827.322363964934 22.0401962570097 305.81771314118</t>
  </si>
  <si>
    <t>-868.97822589394 52.743737709128 750.719641976854</t>
  </si>
  <si>
    <t>-732.6688835742 106.3815090041 810.969745721408</t>
  </si>
  <si>
    <t>-700.329174109583 -187.066692597451 309.764909007799</t>
  </si>
  <si>
    <t>-706.881020350397 -207.198180963414 757.281150470569</t>
  </si>
  <si>
    <t>-575.221856719937 -255.712106039515 830.762757475374</t>
  </si>
  <si>
    <t>9763-20170724T104629.581394900.bin</t>
  </si>
  <si>
    <t>-902.063768631945 30.151495410194 -526.544601307405</t>
  </si>
  <si>
    <t>-877.646767308926 65.0198858067154 -235.375881002361</t>
  </si>
  <si>
    <t>-652.437905163443 129.31625742571 -291.925098098935</t>
  </si>
  <si>
    <t>-827.95997477122 22.2280764042443 305.866562470143</t>
  </si>
  <si>
    <t>-868.914107418813 52.7227532920383 750.865668997068</t>
  </si>
  <si>
    <t>-732.609705857718 106.316195939245 811.165877098719</t>
  </si>
  <si>
    <t>-700.876536449314 -186.821926005889 309.782397343528</t>
  </si>
  <si>
    <t>-706.933644647003 -207.257485463206 757.304932937113</t>
  </si>
  <si>
    <t>-575.245680431908 -255.702730362978 830.78045114359</t>
  </si>
  <si>
    <t>9763-20170724T104629.649575300.bin</t>
  </si>
  <si>
    <t>-903.324698695601 30.7270351559355 -526.23748461154</t>
  </si>
  <si>
    <t>-879.178792834458 64.9264351749534 -234.966841165245</t>
  </si>
  <si>
    <t>-654.315066529879 129.319318751857 -292.765675634945</t>
  </si>
  <si>
    <t>-828.832277632567 22.4895390016113 306.025853468248</t>
  </si>
  <si>
    <t>-868.882537320073 52.7950661493476 751.138143421101</t>
  </si>
  <si>
    <t>-732.498456303186 106.034370495734 811.572243204468</t>
  </si>
  <si>
    <t>-701.843227171173 -186.430763635214 309.832407001949</t>
  </si>
  <si>
    <t>-707.02967467396 -207.133661230789 757.369319114131</t>
  </si>
  <si>
    <t>-575.413203011894 -255.792174444187 830.831893182044</t>
  </si>
  <si>
    <t>9763-20170724T104629.682668000.bin</t>
  </si>
  <si>
    <t>-903.796100234017 30.6487948061986 -526.128322052259</t>
  </si>
  <si>
    <t>-879.744359849476 64.7143596037165 -234.834382198817</t>
  </si>
  <si>
    <t>-654.955417848692 129.06011677839 -292.97571446448</t>
  </si>
  <si>
    <t>-829.010054216006 22.5347840784466 306.120030955546</t>
  </si>
  <si>
    <t>-868.831520376172 52.7638354531632 751.274928247455</t>
  </si>
  <si>
    <t>-732.502277849145 106.1007255421 811.74635791816</t>
  </si>
  <si>
    <t>-702.256182180553 -186.418576184072 309.884781854044</t>
  </si>
  <si>
    <t>-707.081045533944 -207.156686107494 757.408933844564</t>
  </si>
  <si>
    <t>-575.504382970177 -255.930607623158 830.86643436253</t>
  </si>
  <si>
    <t>9763-20170724T104629.748845500.bin</t>
  </si>
  <si>
    <t>-904.884693189906 30.5524795508591 -525.849679387375</t>
  </si>
  <si>
    <t>-880.90500837657 64.4954491878912 -234.535322813782</t>
  </si>
  <si>
    <t>-656.256765935189 128.615856328088 -293.464324726509</t>
  </si>
  <si>
    <t>-829.402969365101 22.5297920553558 306.35948976136</t>
  </si>
  <si>
    <t>-868.848088941919 52.7938747229327 751.549910566649</t>
  </si>
  <si>
    <t>-732.47169025056 105.97327311084 812.053773222747</t>
  </si>
  <si>
    <t>-702.951847570602 -186.508505528282 310.001516287289</t>
  </si>
  <si>
    <t>-707.179095805954 -207.261968693692 757.496531886004</t>
  </si>
  <si>
    <t>-575.484577649288 -255.760728433293 830.924885029886</t>
  </si>
  <si>
    <t>9763-20170724T104629.781962600.bin</t>
  </si>
  <si>
    <t>-905.450024169203 30.4404095577117 -525.703175569044</t>
  </si>
  <si>
    <t>-881.346803037123 64.3128807709711 -234.390681551656</t>
  </si>
  <si>
    <t>-656.77094417106 128.384269631804 -293.648168129576</t>
  </si>
  <si>
    <t>-829.599024931594 22.4601077600123 306.473972641216</t>
  </si>
  <si>
    <t>-868.84913461469 52.7998009144712 751.66863124703</t>
  </si>
  <si>
    <t>-732.464009754295 105.933984028899 812.192517235493</t>
  </si>
  <si>
    <t>-703.299986454884 -186.53903367908 310.057006516528</t>
  </si>
  <si>
    <t>-707.225551330438 -207.292529490969 757.541244621622</t>
  </si>
  <si>
    <t>-575.467431387473 -255.647131956128 830.950448691045</t>
  </si>
  <si>
    <t>9763-20170724T104629.849125200.bin</t>
  </si>
  <si>
    <t>-906.323643889234 30.2565964271262 -525.408038158335</t>
  </si>
  <si>
    <t>-881.984105648099 63.8296038537333 -234.080607524037</t>
  </si>
  <si>
    <t>-657.534992130637 127.881076592275 -293.837176389369</t>
  </si>
  <si>
    <t>-829.794623344793 22.2582461864961 306.64108856488</t>
  </si>
  <si>
    <t>-868.766933477886 52.6757332011746 751.876610217249</t>
  </si>
  <si>
    <t>-732.436598361456 105.916480130915 812.430614161987</t>
  </si>
  <si>
    <t>-703.859955070769 -186.446784689246 310.170783231922</t>
  </si>
  <si>
    <t>-707.305909891273 -207.174688754725 757.629505138122</t>
  </si>
  <si>
    <t>-575.703644222274 -255.964302418978 831.03058476539</t>
  </si>
  <si>
    <t>9763-20170724T104629.884815100.bin</t>
  </si>
  <si>
    <t>-906.755072679654 30.0055560723142 -525.278337648425</t>
  </si>
  <si>
    <t>-882.370295002713 63.4167551659773 -233.9361973966</t>
  </si>
  <si>
    <t>-657.932920076723 127.367051123632 -293.844934028616</t>
  </si>
  <si>
    <t>-829.818889642989 22.0868170490569 306.707517485477</t>
  </si>
  <si>
    <t>-868.713103070806 52.5903290046717 751.959095528514</t>
  </si>
  <si>
    <t>-732.381956526704 105.823125637375 812.518102814516</t>
  </si>
  <si>
    <t>-704.089751439706 -186.595409574758 310.219400948882</t>
  </si>
  <si>
    <t>-707.35609009213 -207.299229553542 757.66896777838</t>
  </si>
  <si>
    <t>-575.478194750961 -255.389825807464 831.036604972854</t>
  </si>
  <si>
    <t>9763-20170724T104629.946980100.bin</t>
  </si>
  <si>
    <t>-907.561848996949 29.5184981467396 -525.069768906422</t>
  </si>
  <si>
    <t>-883.121902531278 62.6227647673222 -233.697138533348</t>
  </si>
  <si>
    <t>-658.734441578317 126.40459128283 -293.971571240833</t>
  </si>
  <si>
    <t>-829.740528092932 21.8834457621135 306.813536975119</t>
  </si>
  <si>
    <t>-868.653872704541 52.4917611600761 752.071014074698</t>
  </si>
  <si>
    <t>-732.342563398968 105.746806142204 812.655073439144</t>
  </si>
  <si>
    <t>-704.413173619028 -186.679442614895 310.290361970154</t>
  </si>
  <si>
    <t>-707.429214180206 -207.294332560548 757.736861924822</t>
  </si>
  <si>
    <t>-575.547349142694 -255.39077164494 831.093607921618</t>
  </si>
  <si>
    <t>9763-20170724T104629.983737200.bin</t>
  </si>
  <si>
    <t>-907.973311005973 29.2700191803558 -524.978949136097</t>
  </si>
  <si>
    <t>-883.461410823618 62.2935159913359 -233.603195800203</t>
  </si>
  <si>
    <t>-659.153442070667 126.107274626043 -294.139175146474</t>
  </si>
  <si>
    <t>-829.731611224357 21.8221396413919 306.844656399278</t>
  </si>
  <si>
    <t>-868.63194813578 52.4471057000042 752.108572822432</t>
  </si>
  <si>
    <t>-732.390396776403 105.868464956694 812.703025357319</t>
  </si>
  <si>
    <t>-704.570737643897 -186.621513344459 310.325792933778</t>
  </si>
  <si>
    <t>-707.447421002213 -207.096705917943 757.763119631348</t>
  </si>
  <si>
    <t>-575.732749542646 -255.635332261731 831.128850958167</t>
  </si>
  <si>
    <t>9763-20170724T104630.050919600.bin</t>
  </si>
  <si>
    <t>-908.781817379173 28.5490425368066 -524.890211700864</t>
  </si>
  <si>
    <t>-884.079107631163 61.6231457232368 -233.536411970891</t>
  </si>
  <si>
    <t>-659.947349408134 125.480382775504 -294.676124203501</t>
  </si>
  <si>
    <t>-829.766898517657 21.6280469865578 306.880623129401</t>
  </si>
  <si>
    <t>-868.582189455547 52.3554525712227 752.15798223112</t>
  </si>
  <si>
    <t>-732.348612847584 105.768668888764 812.777325533533</t>
  </si>
  <si>
    <t>-704.870104705278 -186.68239430064 310.383313371962</t>
  </si>
  <si>
    <t>-707.522159749374 -207.120393001642 757.819840062739</t>
  </si>
  <si>
    <t>-575.770177109954 -255.583069881143 831.168860987135</t>
  </si>
  <si>
    <t>9763-20170724T104630.083545200.bin</t>
  </si>
  <si>
    <t>-909.164404864782 28.1304987363251 -524.843655509705</t>
  </si>
  <si>
    <t>-884.379143891077 61.2959386498478 -233.50706599007</t>
  </si>
  <si>
    <t>-660.371183370149 125.184779427293 -295.066459475289</t>
  </si>
  <si>
    <t>-829.769205305891 21.5440453015294 306.889596545732</t>
  </si>
  <si>
    <t>-868.579522459248 52.3369642408113 752.167847602037</t>
  </si>
  <si>
    <t>-732.295502574915 105.611099444169 812.796467527019</t>
  </si>
  <si>
    <t>-704.998369692893 -186.781785977627 310.400851399683</t>
  </si>
  <si>
    <t>-707.570312349576 -207.27287859773 757.847107935058</t>
  </si>
  <si>
    <t>-575.686590424394 -255.403649196437 831.177915299758</t>
  </si>
  <si>
    <t>9763-20170724T104630.148717700.bin</t>
  </si>
  <si>
    <t>-909.852837472626 27.4191707688931 -524.728926186452</t>
  </si>
  <si>
    <t>-885.017630030873 60.7501670832903 -233.415717604279</t>
  </si>
  <si>
    <t>-661.318438114003 124.69250194218 -296.033124643198</t>
  </si>
  <si>
    <t>-829.480272944971 21.3056259904224 306.918493058897</t>
  </si>
  <si>
    <t>-868.542730216119 52.2332542327542 752.184603150894</t>
  </si>
  <si>
    <t>-732.257572479379 105.511840645239 812.806499779036</t>
  </si>
  <si>
    <t>-705.142293122825 -186.879919581258 310.447190798151</t>
  </si>
  <si>
    <t>-707.632960614805 -207.206638692396 757.890031002712</t>
  </si>
  <si>
    <t>-575.722770494435 -255.286352547338 831.206676159942</t>
  </si>
  <si>
    <t>9763-20170724T104630.181814000.bin</t>
  </si>
  <si>
    <t>-910.198272825835 27.237327050168 -524.688346923895</t>
  </si>
  <si>
    <t>-885.416769228367 60.5844205535518 -233.37218859025</t>
  </si>
  <si>
    <t>-661.771736386915 124.384725696442 -296.326831887635</t>
  </si>
  <si>
    <t>-829.329440663785 21.2781032455928 306.936375829204</t>
  </si>
  <si>
    <t>-868.576548534861 52.2481559835007 752.183886161367</t>
  </si>
  <si>
    <t>-732.259579971725 105.447939461738 812.803918462898</t>
  </si>
  <si>
    <t>-705.20223254397 -186.757515702963 310.469572592098</t>
  </si>
  <si>
    <t>-707.637542659435 -206.916639448891 757.901316581811</t>
  </si>
  <si>
    <t>-575.939551009668 -255.553472818936 831.232129124563</t>
  </si>
  <si>
    <t>9763-20170724T104630.247989700.bin</t>
  </si>
  <si>
    <t>-910.784623997566 26.6317112408362 -524.592349905591</t>
  </si>
  <si>
    <t>-886.19517274893 59.9897196971658 -233.261316744819</t>
  </si>
  <si>
    <t>-662.665561473838 123.280411604124 -297.133683283948</t>
  </si>
  <si>
    <t>-828.985996743053 21.0700644665844 306.955905953728</t>
  </si>
  <si>
    <t>-868.508044970519 52.0978683394007 752.168789054768</t>
  </si>
  <si>
    <t>-732.300795944828 105.576355030609 812.790154536125</t>
  </si>
  <si>
    <t>-705.377865965663 -187.097333353473 310.51956007543</t>
  </si>
  <si>
    <t>-707.740987222259 -207.36662075974 757.951302946421</t>
  </si>
  <si>
    <t>-575.667943724244 -255.048768443136 831.23449986891</t>
  </si>
  <si>
    <t>9763-20170724T104630.283644600.bin</t>
  </si>
  <si>
    <t>-911.086486097454 26.4875509119072 -524.545904816449</t>
  </si>
  <si>
    <t>-886.55700191938 59.7647211192407 -233.200539600121</t>
  </si>
  <si>
    <t>-663.075310794567 122.86932064819 -297.423946473474</t>
  </si>
  <si>
    <t>-828.855382371858 21.020493371768 306.956156447768</t>
  </si>
  <si>
    <t>-868.50376222689 52.0575079610994 752.159934197831</t>
  </si>
  <si>
    <t>-732.277405761231 105.490619229874 812.778291932489</t>
  </si>
  <si>
    <t>-705.459493874366 -187.023605588334 310.530386992197</t>
  </si>
  <si>
    <t>-707.748174218673 -207.16494778606 757.954725297281</t>
  </si>
  <si>
    <t>-575.804855127035 -255.179384259506 831.254555084316</t>
  </si>
  <si>
    <t>9763-20170724T104630.316733500.bin</t>
  </si>
  <si>
    <t>-911.36258975988 26.3713670806567 -524.494567157609</t>
  </si>
  <si>
    <t>-886.935782597245 59.5081765015491 -233.124593548308</t>
  </si>
  <si>
    <t>-663.493284318472 122.47631806867 -297.617474207096</t>
  </si>
  <si>
    <t>-828.790422212682 21.0146124886032 306.955007593351</t>
  </si>
  <si>
    <t>-868.566996957898 52.1081538731999 752.150361636344</t>
  </si>
  <si>
    <t>-732.254493597018 105.323319537491 812.766825922614</t>
  </si>
  <si>
    <t>-705.505088777921 -187.042546828324 310.535008392988</t>
  </si>
  <si>
    <t>-707.779807796964 -207.259324434599 757.964052745113</t>
  </si>
  <si>
    <t>-575.729088689013 -254.986771652452 831.257867733463</t>
  </si>
  <si>
    <t>9763-20170724T104630.381744500.bin</t>
  </si>
  <si>
    <t>-911.732860533807 26.3893841250926 -524.387378416339</t>
  </si>
  <si>
    <t>-887.489985740388 59.2134815654956 -232.966567235544</t>
  </si>
  <si>
    <t>-664.118413745831 122.065639046156 -297.817627074431</t>
  </si>
  <si>
    <t>-828.622641448448 21.0045880610321 306.94786237136</t>
  </si>
  <si>
    <t>-868.536776121793 52.0129794944262 752.127582282697</t>
  </si>
  <si>
    <t>-732.255561540421 105.31205296086 812.740445516138</t>
  </si>
  <si>
    <t>-705.503941753511 -186.841675747893 310.527254440045</t>
  </si>
  <si>
    <t>-707.799237105348 -206.931231852917 757.958974904397</t>
  </si>
  <si>
    <t>-576.034270003035 -255.376989756778 831.295886514224</t>
  </si>
  <si>
    <t>9763-20170724T104630.446917300.bin</t>
  </si>
  <si>
    <t>-912.060343289457 26.3490195820129 -524.292355505851</t>
  </si>
  <si>
    <t>-888.144825498915 58.7653128053303 -232.798834171962</t>
  </si>
  <si>
    <t>-664.825829109098 121.514709673206 -297.92974165121</t>
  </si>
  <si>
    <t>-828.545392298778 20.892124078413 306.952429291449</t>
  </si>
  <si>
    <t>-868.455831241742 51.8670470279894 752.120084445896</t>
  </si>
  <si>
    <t>-732.206994863476 105.240673640043 812.740250458631</t>
  </si>
  <si>
    <t>-705.523399754002 -186.88185861955 310.522439701987</t>
  </si>
  <si>
    <t>-707.85943250616 -207.066271675897 757.96191600525</t>
  </si>
  <si>
    <t>-575.92012054646 -255.039596816698 831.295894731405</t>
  </si>
  <si>
    <t>9763-20170724T104630.484024300.bin</t>
  </si>
  <si>
    <t>-912.280174816162 26.4404809522596 -524.232291843109</t>
  </si>
  <si>
    <t>-888.627609090227 58.6897410011011 -232.698869171015</t>
  </si>
  <si>
    <t>-665.343279393301 121.344519031189 -298.039461577757</t>
  </si>
  <si>
    <t>-828.604881957533 20.9330263726629 306.961329086523</t>
  </si>
  <si>
    <t>-868.543558812286 51.9585294319563 752.128201628939</t>
  </si>
  <si>
    <t>-732.221926930419 105.139686361709 812.754069667797</t>
  </si>
  <si>
    <t>-705.554675725993 -186.819639685118 310.520852939474</t>
  </si>
  <si>
    <t>-707.886948168709 -207.096915184158 757.95894448074</t>
  </si>
  <si>
    <t>-575.935782076961 -255.030902244213 831.297357997048</t>
  </si>
  <si>
    <t>9763-20170724T104630.551206000.bin</t>
  </si>
  <si>
    <t>-912.553049609087 26.6654197836606 -524.124394189494</t>
  </si>
  <si>
    <t>-889.54956722351 58.4502460544079 -232.488042908915</t>
  </si>
  <si>
    <t>-666.337818498515 120.909379752752 -298.262397030392</t>
  </si>
  <si>
    <t>-828.677250632296 20.9179900781323 306.989760758808</t>
  </si>
  <si>
    <t>-868.466926476318 51.8206855055078 752.157593915621</t>
  </si>
  <si>
    <t>-732.15580268152 105.014799086409 812.795570585767</t>
  </si>
  <si>
    <t>-705.630501363199 -186.648997469593 310.50693533451</t>
  </si>
  <si>
    <t>-707.928538611629 -206.99219963026 757.949502552053</t>
  </si>
  <si>
    <t>-576.031469096679 -255.054672914846 831.301050834548</t>
  </si>
  <si>
    <t>9763-20170724T104630.648992400.bin</t>
  </si>
  <si>
    <t>-912.608931420268 26.7714507824244 -524.072492092808</t>
  </si>
  <si>
    <t>-890.123770651047 58.2452529024376 -232.362052844889</t>
  </si>
  <si>
    <t>-666.94871185109 120.566666467155 -298.391031296276</t>
  </si>
  <si>
    <t>-828.77629068291 20.9365866907956 307.005107776435</t>
  </si>
  <si>
    <t>-868.477470759475 51.8088866622222 752.180892090841</t>
  </si>
  <si>
    <t>-732.155787434231 104.978683287377 812.81645506597</t>
  </si>
  <si>
    <t>-705.650000970896 -186.656887116584 310.496812998542</t>
  </si>
  <si>
    <t>-707.959782552273 -207.119130077754 757.944254450647</t>
  </si>
  <si>
    <t>-576.000332289721 -255.005166461658 831.299162818775</t>
  </si>
  <si>
    <t>9763-20170724T104630.682103100.bin</t>
  </si>
  <si>
    <t>-912.858907946953 27.0918734008364 -523.992283944319</t>
  </si>
  <si>
    <t>-892.226916463263 57.6103574189017 -232.043363936749</t>
  </si>
  <si>
    <t>-668.984467211641 119.20458386713 -298.525143136218</t>
  </si>
  <si>
    <t>-828.879431311175 21.1052438214658 307.025670722838</t>
  </si>
  <si>
    <t>-868.444555064286 51.7121356212392 752.233649017715</t>
  </si>
  <si>
    <t>-732.123140948824 104.869045228901 812.881101210568</t>
  </si>
  <si>
    <t>-705.66096798859 -186.3589062566 310.463652893701</t>
  </si>
  <si>
    <t>-707.991841037997 -206.789738248685 757.915837224433</t>
  </si>
  <si>
    <t>-576.055273582007 -254.708874628411 831.290157304267</t>
  </si>
  <si>
    <t>9763-20170724T104630.716193500.bin</t>
  </si>
  <si>
    <t>-913.013002792751 27.1473435005837 -523.925696882519</t>
  </si>
  <si>
    <t>-893.053764807539 57.2897035430742 -231.891060560299</t>
  </si>
  <si>
    <t>-669.772369717373 118.625613222087 -298.480789932335</t>
  </si>
  <si>
    <t>-828.962277818898 21.1682238996771 307.035580783646</t>
  </si>
  <si>
    <t>-868.506562559229 51.7656313245743 752.250981312636</t>
  </si>
  <si>
    <t>-732.131159776942 104.783538762363 812.898878908544</t>
  </si>
  <si>
    <t>-705.674342835419 -186.36494800846 310.463595740135</t>
  </si>
  <si>
    <t>-708.012307413101 -206.855684164836 757.910525933251</t>
  </si>
  <si>
    <t>-575.96934968797 -254.485597201077 831.281942850651</t>
  </si>
  <si>
    <t>9763-20170724T104630.785886200.bin</t>
  </si>
  <si>
    <t>-913.302830691355 27.4843873327225 -523.830817698995</t>
  </si>
  <si>
    <t>-894.584521888509 56.8180284263069 -231.631667257961</t>
  </si>
  <si>
    <t>-671.285573545004 117.83498329937 -298.454920476544</t>
  </si>
  <si>
    <t>-828.942489852944 21.3133386306206 307.056149547457</t>
  </si>
  <si>
    <t>-868.498978026254 51.7211184700177 752.283562412274</t>
  </si>
  <si>
    <t>-732.199285592657 104.9184574658 812.944268571212</t>
  </si>
  <si>
    <t>-705.591978048937 -186.051508539979 310.439320580685</t>
  </si>
  <si>
    <t>-708.022010521237 -206.587582724271 757.884870322785</t>
  </si>
  <si>
    <t>-576.31859285568 -255.075243590512 831.304629136451</t>
  </si>
  <si>
    <t>9763-20170724T104630.848050100.bin</t>
  </si>
  <si>
    <t>-913.676281222756 27.7101336055898 -523.653447565304</t>
  </si>
  <si>
    <t>-896.168224425138 56.2785976898485 -231.303402925873</t>
  </si>
  <si>
    <t>-672.92799639622 117.039821976515 -298.554914643953</t>
  </si>
  <si>
    <t>-828.897513560839 21.417040915504 307.090166884233</t>
  </si>
  <si>
    <t>-868.520321775054 51.6956894273369 752.320246986091</t>
  </si>
  <si>
    <t>-732.118230102631 104.628096287366 812.982739191298</t>
  </si>
  <si>
    <t>-705.472651094771 -186.053613732892 310.434347125335</t>
  </si>
  <si>
    <t>-708.069120998012 -206.683152830126 757.876486350844</t>
  </si>
  <si>
    <t>-576.294261909268 -254.974139152448 831.297603335836</t>
  </si>
  <si>
    <t>9763-20170724T104630.878656600.bin</t>
  </si>
  <si>
    <t>-913.795583289639 27.9182107905303 -523.553436841322</t>
  </si>
  <si>
    <t>-896.970695759985 56.1506011429788 -231.130629946328</t>
  </si>
  <si>
    <t>-673.730592118124 116.712647582976 -298.561890678344</t>
  </si>
  <si>
    <t>-828.834051940063 21.4376571586336 307.112065593385</t>
  </si>
  <si>
    <t>-868.517081570638 51.6648477643221 752.33955748673</t>
  </si>
  <si>
    <t>-732.102656588635 104.565035564892 813.002405273872</t>
  </si>
  <si>
    <t>-705.433482263395 -185.988917843895 310.435369987477</t>
  </si>
  <si>
    <t>-708.089268082897 -206.636960027219 757.877223392684</t>
  </si>
  <si>
    <t>-576.327410409735 -254.962683230369 831.298775960704</t>
  </si>
  <si>
    <t>9763-20170724T104630.948844400.bin</t>
  </si>
  <si>
    <t>-914.247910168266 28.1964639394023 -523.362007721847</t>
  </si>
  <si>
    <t>-898.861019120317 55.8100080908562 -230.801026292016</t>
  </si>
  <si>
    <t>-675.670846287408 116.02624621419 -298.705449038321</t>
  </si>
  <si>
    <t>-828.680977120131 21.4634167364447 307.17194357616</t>
  </si>
  <si>
    <t>-868.482706144353 51.569871721262 752.391128081256</t>
  </si>
  <si>
    <t>-732.086625810487 104.518967334784 813.052304206994</t>
  </si>
  <si>
    <t>-705.321398163616 -185.990318357534 310.436069474214</t>
  </si>
  <si>
    <t>-708.138057996203 -206.637152243858 757.879551467776</t>
  </si>
  <si>
    <t>-576.176270109504 -254.456609921962 831.273460146183</t>
  </si>
  <si>
    <t>9763-20170724T104630.981961800.bin</t>
  </si>
  <si>
    <t>-914.510275378636 28.3676461276227 -523.251943169211</t>
  </si>
  <si>
    <t>-899.773532213047 55.6189624581086 -230.623602100221</t>
  </si>
  <si>
    <t>-676.64481442699 115.81296351157 -298.749537025525</t>
  </si>
  <si>
    <t>-828.600602610978 21.5399321357468 307.209847315647</t>
  </si>
  <si>
    <t>-868.524540749052 51.5912492322641 752.423544934919</t>
  </si>
  <si>
    <t>-732.100685956283 104.477595844026 813.077172619397</t>
  </si>
  <si>
    <t>-705.253794402629 -185.828455188314 310.43439867802</t>
  </si>
  <si>
    <t>-708.137835608614 -206.404506198658 757.869519226107</t>
  </si>
  <si>
    <t>-576.358971306752 -254.700286955228 831.280182085299</t>
  </si>
  <si>
    <t>9763-20170724T104631.052146400.bin</t>
  </si>
  <si>
    <t>-914.999931534959 28.4861344990284 -523.050055671553</t>
  </si>
  <si>
    <t>-901.556926824187 55.1121613049525 -230.30174125144</t>
  </si>
  <si>
    <t>-678.568794867557 115.255001160751 -298.931376777817</t>
  </si>
  <si>
    <t>-828.537013755648 21.526897486935 307.282840618356</t>
  </si>
  <si>
    <t>-868.524977767551 51.517465034146 752.480984413162</t>
  </si>
  <si>
    <t>-732.061485706444 104.321662763279 813.117145879055</t>
  </si>
  <si>
    <t>-705.117923942815 -185.843439218153 310.454147599402</t>
  </si>
  <si>
    <t>-708.206171926206 -206.615203010043 757.881120800526</t>
  </si>
  <si>
    <t>-576.268182215233 -254.510033303791 831.268770379014</t>
  </si>
  <si>
    <t>9763-20170724T104631.083737700.bin</t>
  </si>
  <si>
    <t>-915.193142311276 28.6094042490006 -522.972882818109</t>
  </si>
  <si>
    <t>-902.3790088435 54.8733735903643 -230.163821071777</t>
  </si>
  <si>
    <t>-679.495057507589 115.07100090608 -299.082433634699</t>
  </si>
  <si>
    <t>-828.537236904291 21.5737281008901 307.299482535704</t>
  </si>
  <si>
    <t>-868.551396382959 51.5319086123147 752.496728318143</t>
  </si>
  <si>
    <t>-732.100770378379 104.364176429561 813.1371480789</t>
  </si>
  <si>
    <t>-704.997069172839 -185.693419029948 310.441069610932</t>
  </si>
  <si>
    <t>-708.193882569828 -206.232966392165 757.867144890493</t>
  </si>
  <si>
    <t>-576.449085702463 -254.627500569932 831.27393679778</t>
  </si>
  <si>
    <t>9763-20170724T104631.149913400.bin</t>
  </si>
  <si>
    <t>-915.658182116377 28.618786710558 -522.764182533217</t>
  </si>
  <si>
    <t>-903.767846016285 54.0379072204312 -229.84137017458</t>
  </si>
  <si>
    <t>-681.138878170285 114.322745788191 -299.504738309965</t>
  </si>
  <si>
    <t>-828.480291680643 21.5265820523405 307.312450138458</t>
  </si>
  <si>
    <t>-868.478075692105 51.4035090056457 752.520393068237</t>
  </si>
  <si>
    <t>-732.078257996048 104.35364966075 813.172444228803</t>
  </si>
  <si>
    <t>-704.909067735234 -185.531134595959 310.437270702012</t>
  </si>
  <si>
    <t>-708.214440478469 -206.009996739919 757.855150274514</t>
  </si>
  <si>
    <t>-576.633793382588 -254.821000284601 831.28088226549</t>
  </si>
  <si>
    <t>9763-20170724T104631.183603500.bin</t>
  </si>
  <si>
    <t>-915.925614560844 28.6540640978626 -522.617878632117</t>
  </si>
  <si>
    <t>-904.465198234631 53.6527572786806 -229.641922947364</t>
  </si>
  <si>
    <t>-681.990766524074 113.781293730998 -299.930928829285</t>
  </si>
  <si>
    <t>-828.528426890056 21.5046512320578 307.317722010724</t>
  </si>
  <si>
    <t>-868.477069918139 51.3844843143745 752.531986662102</t>
  </si>
  <si>
    <t>-732.049350822129 104.257514073231 813.188301489451</t>
  </si>
  <si>
    <t>-704.878232420562 -185.617099786588 310.441285278092</t>
  </si>
  <si>
    <t>-708.256515958896 -206.215383160332 757.861832976333</t>
  </si>
  <si>
    <t>-576.455264501468 -254.463187671665 831.263956038669</t>
  </si>
  <si>
    <t>9763-20170724T104631.250781400.bin</t>
  </si>
  <si>
    <t>-916.495137732098 29.0434698103584 -522.313272102562</t>
  </si>
  <si>
    <t>-905.869471433274 53.2493658694541 -229.239188704103</t>
  </si>
  <si>
    <t>-683.859935414868 112.937140611042 -301.350279671184</t>
  </si>
  <si>
    <t>-828.62123108204 21.4859268275379 307.35434974567</t>
  </si>
  <si>
    <t>-868.449824562243 51.3248253326583 752.569366850264</t>
  </si>
  <si>
    <t>-732.062034539166 104.286839325418 813.237901617661</t>
  </si>
  <si>
    <t>-704.67068501801 -185.404559281681 310.42163578605</t>
  </si>
  <si>
    <t>-708.291236620068 -205.962643685319 757.852729750841</t>
  </si>
  <si>
    <t>-576.760542467862 -254.920646921968 831.26988433805</t>
  </si>
  <si>
    <t>9763-20170724T104631.282869900.bin</t>
  </si>
  <si>
    <t>-916.852757635882 29.1289364227657 -522.146592702774</t>
  </si>
  <si>
    <t>-906.591274157342 52.9634974892447 -229.029092681737</t>
  </si>
  <si>
    <t>-684.835724227187 112.508659258271 -302.03428926595</t>
  </si>
  <si>
    <t>-828.710809657828 21.4447690095847 307.38029393326</t>
  </si>
  <si>
    <t>-868.456527058641 51.3214793170157 752.596554954379</t>
  </si>
  <si>
    <t>-732.074567471631 104.295042728343 813.268386759386</t>
  </si>
  <si>
    <t>-704.582279131335 -185.438252591225 310.407578711384</t>
  </si>
  <si>
    <t>-708.318392869523 -206.021614438876 757.847863757464</t>
  </si>
  <si>
    <t>-576.722750398254 -254.812849320774 831.259733427336</t>
  </si>
  <si>
    <t>9763-20170724T104631.351051600.bin</t>
  </si>
  <si>
    <t>-917.401946530411 29.4102081753445 -521.828816248022</t>
  </si>
  <si>
    <t>-908.073327958091 52.6330070094878 -228.631040597283</t>
  </si>
  <si>
    <t>-686.658636468286 111.957094891799 -302.840741430404</t>
  </si>
  <si>
    <t>-828.760464901432 21.4098550528049 307.465781253676</t>
  </si>
  <si>
    <t>-868.473384923491 51.3185389621774 752.676228818751</t>
  </si>
  <si>
    <t>-732.063762894766 104.205333177367 813.361491463516</t>
  </si>
  <si>
    <t>-704.38869145363 -185.478419542664 310.386461106423</t>
  </si>
  <si>
    <t>-708.369134036108 -206.023010916759 757.842110911532</t>
  </si>
  <si>
    <t>-576.734461787506 -254.724183350558 831.243700106418</t>
  </si>
  <si>
    <t>9763-20170724T104631.384781200.bin</t>
  </si>
  <si>
    <t>-917.615884612791 29.4747832945311 -521.706600678841</t>
  </si>
  <si>
    <t>-908.780105797533 52.359505390104 -228.466978510376</t>
  </si>
  <si>
    <t>-687.44449088106 111.66312573328 -302.928408632874</t>
  </si>
  <si>
    <t>-828.67715160349 21.3365165874563 307.5107227312</t>
  </si>
  <si>
    <t>-868.400567831695 51.2076100868001 752.714383131804</t>
  </si>
  <si>
    <t>-732.024628552569 104.17659614928 813.403764587895</t>
  </si>
  <si>
    <t>-704.394922680477 -185.415554775237 310.395163028253</t>
  </si>
  <si>
    <t>-708.379181712179 -205.873108692266 757.841459998308</t>
  </si>
  <si>
    <t>-576.816761416402 -254.767148315096 831.244375473924</t>
  </si>
  <si>
    <t>9763-20170724T104631.446939200.bin</t>
  </si>
  <si>
    <t>-918.176062231797 29.5884040900914 -521.463887455404</t>
  </si>
  <si>
    <t>-910.291639270429 51.647496788039 -228.134090589907</t>
  </si>
  <si>
    <t>-689.031662776952 111.002151711194 -302.779105859743</t>
  </si>
  <si>
    <t>-828.770736846936 21.294760696474 307.57317041676</t>
  </si>
  <si>
    <t>-868.407111986197 51.195080477489 752.779719508381</t>
  </si>
  <si>
    <t>-731.998938997791 104.067878940595 813.480484826421</t>
  </si>
  <si>
    <t>-704.432704732605 -185.406875563682 310.408794916915</t>
  </si>
  <si>
    <t>-708.422807621482 -205.803423493935 757.845956655585</t>
  </si>
  <si>
    <t>-576.795436860667 -254.543551070068 831.234976037888</t>
  </si>
  <si>
    <t>9763-20170724T104631.484590600.bin</t>
  </si>
  <si>
    <t>-918.468656554301 29.6895251410074 -521.340548695977</t>
  </si>
  <si>
    <t>-911.13515850589 51.3250181354656 -227.964665687899</t>
  </si>
  <si>
    <t>-689.921065422831 110.610149263119 -302.801015034517</t>
  </si>
  <si>
    <t>-828.913532243678 21.3025869532453 307.594035808176</t>
  </si>
  <si>
    <t>-868.419797962673 51.2042717236745 752.810521880596</t>
  </si>
  <si>
    <t>-732.007096206913 104.060002710815 813.515881129096</t>
  </si>
  <si>
    <t>-704.48167680259 -185.425285653082 310.412604999024</t>
  </si>
  <si>
    <t>-708.455146430388 -205.909590521375 757.85212968471</t>
  </si>
  <si>
    <t>-576.743716609968 -254.437262074099 831.231032234458</t>
  </si>
  <si>
    <t>9763-20170724T104631.551768800.bin</t>
  </si>
  <si>
    <t>-918.919807541936 29.9672093434381 -521.146580971473</t>
  </si>
  <si>
    <t>-912.787073639602 50.7147098585172 -227.679082945221</t>
  </si>
  <si>
    <t>-691.637846013796 109.634623808168 -302.994440784246</t>
  </si>
  <si>
    <t>-829.201905057855 21.4673488415033 307.608887111417</t>
  </si>
  <si>
    <t>-868.380638258997 51.1555624443552 752.864835441359</t>
  </si>
  <si>
    <t>-731.997279921534 104.067352410673 813.587403585355</t>
  </si>
  <si>
    <t>-704.514574463381 -185.141550481978 310.408721731073</t>
  </si>
  <si>
    <t>-708.486697947452 -205.730984738939 757.859967588098</t>
  </si>
  <si>
    <t>-576.970311226236 -254.769105743055 831.249401126771</t>
  </si>
  <si>
    <t>9763-20170724T104631.583377400.bin</t>
  </si>
  <si>
    <t>-919.088709721931 30.0860676149059 -521.042170341332</t>
  </si>
  <si>
    <t>-913.624725926063 50.4631632933301 -227.535542164917</t>
  </si>
  <si>
    <t>-692.507393519415 109.176650200723 -303.104747672436</t>
  </si>
  <si>
    <t>-829.384516266945 21.5345379638866 307.624807341112</t>
  </si>
  <si>
    <t>-868.424791740756 51.2015393238582 752.897572792925</t>
  </si>
  <si>
    <t>-732.009843691265 104.030814001802 813.621051494365</t>
  </si>
  <si>
    <t>-704.475430254338 -185.11405474638 310.414135754457</t>
  </si>
  <si>
    <t>-708.519068619916 -205.8667211856 757.860685800551</t>
  </si>
  <si>
    <t>-576.896118542121 -254.629663951529 831.242465300883</t>
  </si>
  <si>
    <t>9763-20170724T104631.648556500.bin</t>
  </si>
  <si>
    <t>-919.250676851272 30.3435808592947 -520.882373413195</t>
  </si>
  <si>
    <t>-914.754649983413 50.094627142887 -227.316620319223</t>
  </si>
  <si>
    <t>-693.789303092999 108.891460659842 -303.264732415839</t>
  </si>
  <si>
    <t>-829.707241921358 21.5791310885556 307.667984471979</t>
  </si>
  <si>
    <t>-868.382155061818 51.1383887574746 752.958150097964</t>
  </si>
  <si>
    <t>-732.031766022914 104.110678542452 813.701864766501</t>
  </si>
  <si>
    <t>-704.360483439658 -184.920616535063 310.408879137108</t>
  </si>
  <si>
    <t>-708.555767560129 -205.857876678539 757.852481743142</t>
  </si>
  <si>
    <t>-576.942460335304 -254.64180858024 831.237519839522</t>
  </si>
  <si>
    <t>9763-20170724T104631.681809400.bin</t>
  </si>
  <si>
    <t>-919.415487392561 30.4385851683589 -520.830061325532</t>
  </si>
  <si>
    <t>-915.123882588998 49.932473716548 -227.243923103833</t>
  </si>
  <si>
    <t>-694.275585530448 109.024872124895 -303.303046543786</t>
  </si>
  <si>
    <t>-829.8149953342 21.6560889298853 307.681050508677</t>
  </si>
  <si>
    <t>-868.391030575594 51.1440672733938 752.988072717518</t>
  </si>
  <si>
    <t>-731.960343269963 103.8942605413 813.745094283094</t>
  </si>
  <si>
    <t>-704.347580825131 -184.703060783239 310.403117271701</t>
  </si>
  <si>
    <t>-708.551423919182 -205.656628332894 757.845103243573</t>
  </si>
  <si>
    <t>-577.030356717849 -254.676980097191 831.237992426435</t>
  </si>
  <si>
    <t>9763-20170724T104631.751998900.bin</t>
  </si>
  <si>
    <t>-919.713221015211 30.5977940035662 -520.761109841375</t>
  </si>
  <si>
    <t>-915.698238357349 49.8551415326046 -227.15562147061</t>
  </si>
  <si>
    <t>-695.130977513519 109.563237388584 -303.548867021874</t>
  </si>
  <si>
    <t>-830.00611880671 21.7875819535041 307.707794312544</t>
  </si>
  <si>
    <t>-868.455161350707 51.2112641080053 753.038836184838</t>
  </si>
  <si>
    <t>-731.986536774139 103.8481033016 813.808759562131</t>
  </si>
  <si>
    <t>-704.495939700339 -184.27667548572 310.408460962721</t>
  </si>
  <si>
    <t>-708.553595688942 -205.3384692231 757.83417436381</t>
  </si>
  <si>
    <t>-577.132972161095 -254.612498787575 831.237056312909</t>
  </si>
  <si>
    <t>9763-20170724T104631.783643900.bin</t>
  </si>
  <si>
    <t>-919.811278372147 30.6722300313286 -520.787846650795</t>
  </si>
  <si>
    <t>-915.969076895423 49.9296830002718 -227.179988885949</t>
  </si>
  <si>
    <t>-695.482644986748 109.754824690815 -303.714386659541</t>
  </si>
  <si>
    <t>-830.18835775563 21.8541990820097 307.720660969204</t>
  </si>
  <si>
    <t>-868.427322419551 51.161335983928 753.070207929503</t>
  </si>
  <si>
    <t>-731.98714436681 103.872693934973 813.839241222792</t>
  </si>
  <si>
    <t>-704.566213916832 -184.185596871827 310.411014530124</t>
  </si>
  <si>
    <t>-708.580640817908 -205.493283786781 757.83538604454</t>
  </si>
  <si>
    <t>-577.185680190094 -254.826209786892 831.244787215672</t>
  </si>
  <si>
    <t>9763-20170724T104631.848821300.bin</t>
  </si>
  <si>
    <t>-919.862963819726 30.5751388718927 -520.874939749348</t>
  </si>
  <si>
    <t>-916.453788501127 49.9096793248054 -227.266661874185</t>
  </si>
  <si>
    <t>-696.088387362511 109.828492415548 -304.076346307848</t>
  </si>
  <si>
    <t>-830.604401409562 21.9764840190217 307.748707777282</t>
  </si>
  <si>
    <t>-868.466219620111 51.1766533691959 753.131023749224</t>
  </si>
  <si>
    <t>-731.97659901442 103.746446774461 813.911832791371</t>
  </si>
  <si>
    <t>-704.664840264081 -184.126879096641 310.412110990056</t>
  </si>
  <si>
    <t>-708.617603674293 -205.611624825943 757.834801519144</t>
  </si>
  <si>
    <t>-576.966108747333 -254.282025396596 831.226783450727</t>
  </si>
  <si>
    <t>9763-20170724T104631.884057300.bin</t>
  </si>
  <si>
    <t>-919.815054361428 30.431715064942 -520.899503663267</t>
  </si>
  <si>
    <t>-916.576269301494 49.7783763539881 -227.290088529236</t>
  </si>
  <si>
    <t>-696.264298071234 109.692556676765 -304.256139675327</t>
  </si>
  <si>
    <t>-830.66794961396 21.9200968685584 307.751632847527</t>
  </si>
  <si>
    <t>-868.435274931678 51.1084447908511 753.156517270803</t>
  </si>
  <si>
    <t>-732.014836586492 103.856755883597 813.938020233153</t>
  </si>
  <si>
    <t>-704.71455270033 -184.087615189055 310.423824760921</t>
  </si>
  <si>
    <t>-708.63621602322 -205.637937700646 757.843127289071</t>
  </si>
  <si>
    <t>-576.941471281961 -254.200237040653 831.228950622479</t>
  </si>
  <si>
    <t>9763-20170724T104631.917144400.bin</t>
  </si>
  <si>
    <t>-919.78001722536 30.3850302348333 -520.923413593929</t>
  </si>
  <si>
    <t>-916.629666522361 49.6671499591403 -227.308966198678</t>
  </si>
  <si>
    <t>-696.400267320084 109.604269178503 -304.493229054369</t>
  </si>
  <si>
    <t>-830.69061542841 21.9194378481081 307.757206000625</t>
  </si>
  <si>
    <t>-868.429689605491 51.0691805212734 753.177745977261</t>
  </si>
  <si>
    <t>-731.997786496425 103.786647359822 813.960210305369</t>
  </si>
  <si>
    <t>-704.746413270069 -183.888392311339 310.43052106717</t>
  </si>
  <si>
    <t>-708.648623644284 -205.476497707004 757.8454538859</t>
  </si>
  <si>
    <t>-577.160122691502 -254.565855520097 831.250556371699</t>
  </si>
  <si>
    <t>9763-20170724T104631.984338100.bin</t>
  </si>
  <si>
    <t>-919.800302935499 30.4064068630944 -520.928602582589</t>
  </si>
  <si>
    <t>-916.877023168182 49.5160131024866 -227.300543157012</t>
  </si>
  <si>
    <t>-696.776862770204 109.371964552998 -304.915228428447</t>
  </si>
  <si>
    <t>-830.841714084416 21.8625122652286 307.775849195</t>
  </si>
  <si>
    <t>-868.404618073691 50.9658226502393 753.219323439534</t>
  </si>
  <si>
    <t>-732.00586069221 103.768308657606 814.002164812645</t>
  </si>
  <si>
    <t>-704.782368187878 -183.743564322859 310.459092592935</t>
  </si>
  <si>
    <t>-708.687871355838 -205.335398383187 757.876300938357</t>
  </si>
  <si>
    <t>-577.211072783441 -254.475488602441 831.268326085613</t>
  </si>
  <si>
    <t>9763-20170724T104632.051512800.bin</t>
  </si>
  <si>
    <t>-920.035133242487 30.2544631193687 -520.811489769427</t>
  </si>
  <si>
    <t>-917.683069078204 49.2847264157176 -227.173018746969</t>
  </si>
  <si>
    <t>-697.595491760487 108.870024640221 -305.031495011098</t>
  </si>
  <si>
    <t>-831.00818507946 21.7989434809604 307.820116668649</t>
  </si>
  <si>
    <t>-868.479130293415 50.9951808128797 753.263225429727</t>
  </si>
  <si>
    <t>-732.004400092144 103.592484213557 814.053676783342</t>
  </si>
  <si>
    <t>-704.919500552842 -183.940878365875 310.505172285</t>
  </si>
  <si>
    <t>-708.754411387576 -205.537587653812 757.919254069447</t>
  </si>
  <si>
    <t>-577.025799432674 -254.05991356163 831.270836059109</t>
  </si>
  <si>
    <t>9763-20170724T104632.087144700.bin</t>
  </si>
  <si>
    <t>-920.173822460916 30.1595150817325 -520.726740697177</t>
  </si>
  <si>
    <t>-918.21993656292 49.1039842496725 -227.079837146661</t>
  </si>
  <si>
    <t>-698.139687424649 108.571481196503 -305.048810034665</t>
  </si>
  <si>
    <t>-830.975628345696 21.6898884409384 307.84461138775</t>
  </si>
  <si>
    <t>-868.435377762797 50.8971427489034 753.287311989866</t>
  </si>
  <si>
    <t>-731.999978116514 103.598572689633 814.075738514739</t>
  </si>
  <si>
    <t>-705.016983115615 -184.071748445029 310.529795115863</t>
  </si>
  <si>
    <t>-708.79303733783 -205.740137545329 757.939347280453</t>
  </si>
  <si>
    <t>-576.868840760433 -253.763951674049 831.267421764528</t>
  </si>
  <si>
    <t>9763-20170724T104632.149309700.bin</t>
  </si>
  <si>
    <t>-920.281744381673 30.3763847425798 -520.535462035932</t>
  </si>
  <si>
    <t>-919.167993116211 48.8534957380766 -226.854390636389</t>
  </si>
  <si>
    <t>-699.131052072077 108.397128648306 -304.887731806396</t>
  </si>
  <si>
    <t>-831.001933840841 21.6299029636452 307.90222082871</t>
  </si>
  <si>
    <t>-868.480323318441 50.8665255143148 753.333332606582</t>
  </si>
  <si>
    <t>-732.015404163734 103.493233744716 814.120222690161</t>
  </si>
  <si>
    <t>-705.107773101836 -183.84648722204 310.539930897681</t>
  </si>
  <si>
    <t>-708.787089701677 -205.20146885653 757.954113939249</t>
  </si>
  <si>
    <t>-577.222012131769 -254.167159181389 831.304546097916</t>
  </si>
  <si>
    <t>9763-20170724T104632.181854500.bin</t>
  </si>
  <si>
    <t>-920.438084260755 30.2568355165843 -520.456215600272</t>
  </si>
  <si>
    <t>-919.664991855914 48.3553527901354 -226.750455173549</t>
  </si>
  <si>
    <t>-699.633680120844 108.054339312591 -304.680605833173</t>
  </si>
  <si>
    <t>-830.991408189839 21.5228545264408 307.917295346671</t>
  </si>
  <si>
    <t>-868.429337672011 50.7669056316199 753.348415632285</t>
  </si>
  <si>
    <t>-731.956577493332 103.368054893176 814.139788841403</t>
  </si>
  <si>
    <t>-705.151755410692 -183.966808382173 310.547703944972</t>
  </si>
  <si>
    <t>-708.819641803222 -205.396535730577 757.965427555916</t>
  </si>
  <si>
    <t>-577.145740692955 -254.084965498062 831.305258062831</t>
  </si>
  <si>
    <t>9763-20170724T104632.250061000.bin</t>
  </si>
  <si>
    <t>-920.836124753281 29.8912782485584 -520.246445845634</t>
  </si>
  <si>
    <t>-920.60069883343 47.4470543391944 -226.506815791283</t>
  </si>
  <si>
    <t>-700.592214349166 107.469598730993 -304.252731876963</t>
  </si>
  <si>
    <t>-831.032638572772 21.3202862311373 307.927407702998</t>
  </si>
  <si>
    <t>-868.471644418279 50.7334569314814 753.366265680289</t>
  </si>
  <si>
    <t>-732.007310087393 103.356625713037 814.157685944591</t>
  </si>
  <si>
    <t>-705.203056607448 -184.114306323002 310.569408470979</t>
  </si>
  <si>
    <t>-708.849511341517 -205.431822949488 757.980085369004</t>
  </si>
  <si>
    <t>-577.015319860033 -253.709079166566 831.303649191542</t>
  </si>
  <si>
    <t>9763-20170724T104632.285682400.bin</t>
  </si>
  <si>
    <t>-921.030662691876 29.8585177091938 -520.158453248057</t>
  </si>
  <si>
    <t>-921.045473186363 47.1251782626275 -226.401677371831</t>
  </si>
  <si>
    <t>-701.074465542064 107.313486419771 -304.125405626742</t>
  </si>
  <si>
    <t>-831.042470000348 21.2711837626075 307.939335335594</t>
  </si>
  <si>
    <t>-868.445618958512 50.6594912988446 753.372805192815</t>
  </si>
  <si>
    <t>-732.026053698089 103.397942000154 814.16468604957</t>
  </si>
  <si>
    <t>-705.199738739116 -184.001233552385 310.566226727645</t>
  </si>
  <si>
    <t>-708.839281352943 -205.15915806719 757.980784241928</t>
  </si>
  <si>
    <t>-577.131130779866 -253.766223221214 831.313025539857</t>
  </si>
  <si>
    <t>9763-20170724T104632.350855900.bin</t>
  </si>
  <si>
    <t>-921.310821259032 29.7201140125994 -520.017239218808</t>
  </si>
  <si>
    <t>-921.805044216512 46.4903182543594 -226.232080612802</t>
  </si>
  <si>
    <t>-701.910306605004 106.974848414191 -303.942048062686</t>
  </si>
  <si>
    <t>-831.093335976247 21.1709543626823 307.9664074165</t>
  </si>
  <si>
    <t>-868.447564273336 50.5878062487104 753.395928496817</t>
  </si>
  <si>
    <t>-732.051948954568 103.381923221038 814.193361981878</t>
  </si>
  <si>
    <t>-705.145904720915 -184.065523471091 310.567747809763</t>
  </si>
  <si>
    <t>-708.878116894028 -205.252615395263 757.989760541051</t>
  </si>
  <si>
    <t>-577.084062751723 -253.640960513254 831.312232724172</t>
  </si>
  <si>
    <t>9763-20170724T104632.383949000.bin</t>
  </si>
  <si>
    <t>-921.287057645921 29.8431004332997 -519.975131832576</t>
  </si>
  <si>
    <t>-922.160634750995 46.3699668556603 -226.177130659096</t>
  </si>
  <si>
    <t>-702.277433808897 106.904963628311 -303.879985215218</t>
  </si>
  <si>
    <t>-831.134968413594 21.2089489172656 307.984650894199</t>
  </si>
  <si>
    <t>-868.49590137154 50.6137170929951 753.414342334874</t>
  </si>
  <si>
    <t>-732.051354153836 103.277538963437 814.214762619073</t>
  </si>
  <si>
    <t>-705.129592134278 -183.900563874658 310.561318062329</t>
  </si>
  <si>
    <t>-708.870202134412 -205.007956563442 757.97989933715</t>
  </si>
  <si>
    <t>-577.251900408601 -253.84977681551 831.317536539935</t>
  </si>
  <si>
    <t>9763-20170724T104632.451127600.bin</t>
  </si>
  <si>
    <t>-921.312240253287 29.7957225193252 -519.920435210884</t>
  </si>
  <si>
    <t>-923.113705826727 45.8077717474441 -226.097969924424</t>
  </si>
  <si>
    <t>-703.127847746191 106.326207205351 -303.522746249358</t>
  </si>
  <si>
    <t>-831.090164925659 21.1537597949359 308.018521180871</t>
  </si>
  <si>
    <t>-868.454057696593 50.4863749947388 753.442166228098</t>
  </si>
  <si>
    <t>-732.06077866162 103.275400714074 814.249131496202</t>
  </si>
  <si>
    <t>-705.089277275531 -183.93856997447 310.575743275376</t>
  </si>
  <si>
    <t>-708.908784190346 -205.175110132311 757.991864769386</t>
  </si>
  <si>
    <t>-577.127980245727 -253.602958370186 831.312024416698</t>
  </si>
  <si>
    <t>9763-20170724T104632.482786200.bin</t>
  </si>
  <si>
    <t>-921.494375691868 29.8366306984449 -519.914825243687</t>
  </si>
  <si>
    <t>-923.846934138965 45.5932029678243 -226.082505837745</t>
  </si>
  <si>
    <t>-703.784097379106 106.098203109898 -303.299003684864</t>
  </si>
  <si>
    <t>-831.094618869453 21.2414248770556 308.023989765269</t>
  </si>
  <si>
    <t>-868.503632059129 50.5130855762129 753.452585637333</t>
  </si>
  <si>
    <t>-732.047837501179 103.133770664398 814.26525027677</t>
  </si>
  <si>
    <t>-705.068516876126 -183.76511736573 310.580130353203</t>
  </si>
  <si>
    <t>-708.900620393646 -205.015032382254 757.989252373649</t>
  </si>
  <si>
    <t>-577.290331464952 -253.878816039387 831.326598471872</t>
  </si>
  <si>
    <t>9763-20170724T104632.549965100.bin</t>
  </si>
  <si>
    <t>-921.807513878842 29.7052621532989 -519.990113031247</t>
  </si>
  <si>
    <t>-925.463850311116 45.0585192777132 -226.149919047855</t>
  </si>
  <si>
    <t>-705.192219778559 105.518770756761 -302.803744777407</t>
  </si>
  <si>
    <t>-831.052493424393 21.3120229920351 308.011752936207</t>
  </si>
  <si>
    <t>-868.527885953099 50.4699031264279 753.460962908855</t>
  </si>
  <si>
    <t>-732.059212347872 103.047802953191 814.281619692466</t>
  </si>
  <si>
    <t>-705.00958651653 -183.662467895688 310.580085983087</t>
  </si>
  <si>
    <t>-708.91274098088 -205.045530446791 757.979172119141</t>
  </si>
  <si>
    <t>-577.208634056269 -253.64438503379 831.324135568785</t>
  </si>
  <si>
    <t>9763-20170724T104632.581384000.bin</t>
  </si>
  <si>
    <t>-921.942475366895 29.6158511813687 -520.05200241555</t>
  </si>
  <si>
    <t>-926.314529728873 44.846073782255 -226.215074305536</t>
  </si>
  <si>
    <t>-705.925507734363 105.25578460326 -302.571202523819</t>
  </si>
  <si>
    <t>-831.043887500819 21.3137976377245 308.015868513183</t>
  </si>
  <si>
    <t>-868.551878563941 50.4548081829191 753.464567576297</t>
  </si>
  <si>
    <t>-732.069900384582 102.999700420055 814.284078079419</t>
  </si>
  <si>
    <t>-704.974001081279 -183.741562668939 310.581567595263</t>
  </si>
  <si>
    <t>-708.939749340971 -205.29226685594 757.982084351308</t>
  </si>
  <si>
    <t>-577.044993258055 -253.39283304831 831.312883702032</t>
  </si>
  <si>
    <t>9763-20170724T104632.648562500.bin</t>
  </si>
  <si>
    <t>-922.104747239421 29.5209927726407 -520.229731892461</t>
  </si>
  <si>
    <t>-927.73954439103 44.7702880257252 -226.415246031003</t>
  </si>
  <si>
    <t>-707.215338461112 105.272917007647 -302.30625825039</t>
  </si>
  <si>
    <t>-831.08066963942 21.3747431263419 308.012977972919</t>
  </si>
  <si>
    <t>-868.536590665224 50.3527063595998 753.466144093942</t>
  </si>
  <si>
    <t>-732.069996902195 102.941523989623 814.282305866112</t>
  </si>
  <si>
    <t>-705.008093838825 -183.625057848696 310.582724907602</t>
  </si>
  <si>
    <t>-708.949503551746 -205.18045382634 757.972517441698</t>
  </si>
  <si>
    <t>-577.069992042918 -253.314428136906 831.308807746457</t>
  </si>
  <si>
    <t>9763-20170724T104632.680171900.bin</t>
  </si>
  <si>
    <t>-922.084619006741 29.4014821048142 -520.36851476107</t>
  </si>
  <si>
    <t>-928.218369887283 44.731044631895 -226.568365923293</t>
  </si>
  <si>
    <t>-707.708709644964 105.480767961586 -302.303500687707</t>
  </si>
  <si>
    <t>-831.148250324359 21.3655361424542 307.999802802907</t>
  </si>
  <si>
    <t>-868.52232561445 50.2969968699763 753.461408204951</t>
  </si>
  <si>
    <t>-732.132910459083 103.087023919114 814.276213909302</t>
  </si>
  <si>
    <t>-705.024661667863 -183.625310885232 310.589541244914</t>
  </si>
  <si>
    <t>-708.968241033916 -205.299069885942 757.974517682139</t>
  </si>
  <si>
    <t>-577.001182506999 -253.205031300271 831.302699939825</t>
  </si>
  <si>
    <t>9763-20170724T104632.750472800.bin</t>
  </si>
  <si>
    <t>-922.007024295723 29.1665924576866 -520.575276987869</t>
  </si>
  <si>
    <t>-928.722822892252 44.6491368270392 -226.795789837632</t>
  </si>
  <si>
    <t>-708.268580566661 105.939632492151 -302.256163515771</t>
  </si>
  <si>
    <t>-831.290984989466 21.4518429347668 307.960286504568</t>
  </si>
  <si>
    <t>-868.598859402022 50.3222058158367 753.445460630944</t>
  </si>
  <si>
    <t>-732.095990858797 102.816311969366 814.261815538577</t>
  </si>
  <si>
    <t>-705.043102826306 -183.44247926368 310.597879326624</t>
  </si>
  <si>
    <t>-708.972359574152 -205.106392613192 757.97458552806</t>
  </si>
  <si>
    <t>-577.025375674865 -253.068978227645 831.301774126768</t>
  </si>
  <si>
    <t>9763-20170724T104632.783185500.bin</t>
  </si>
  <si>
    <t>-922.12270442154 28.9956038929406 -520.651854353509</t>
  </si>
  <si>
    <t>-929.037943401427 44.6353055778311 -226.885240550528</t>
  </si>
  <si>
    <t>-708.607356903397 106.045036832886 -302.317886236529</t>
  </si>
  <si>
    <t>-831.262564112116 21.4263835547297 307.945069917491</t>
  </si>
  <si>
    <t>-868.550059381262 50.2222961916416 753.432739251527</t>
  </si>
  <si>
    <t>-732.115077092611 102.890767587836 814.250750977334</t>
  </si>
  <si>
    <t>-705.027642911327 -183.310952090865 310.594494793761</t>
  </si>
  <si>
    <t>-708.974199977472 -204.982067241649 757.973103862476</t>
  </si>
  <si>
    <t>-577.18362137412 -253.355159852701 831.311934143481</t>
  </si>
  <si>
    <t>9763-20170724T104632.848366400.bin</t>
  </si>
  <si>
    <t>-922.466299910849 28.6589343192081 -520.725464557908</t>
  </si>
  <si>
    <t>-930.101669912858 44.5572336639077 -226.990705712073</t>
  </si>
  <si>
    <t>-709.657859430405 105.993389706833 -302.363001441321</t>
  </si>
  <si>
    <t>-831.341206505154 21.4382745138937 307.932193857688</t>
  </si>
  <si>
    <t>-868.602080354017 50.2150903447252 753.423270783952</t>
  </si>
  <si>
    <t>-732.09991936352 102.705418059007 814.244274812638</t>
  </si>
  <si>
    <t>-705.063356854276 -183.223178181606 310.593233429153</t>
  </si>
  <si>
    <t>-708.995321838337 -204.917364455899 757.975843810082</t>
  </si>
  <si>
    <t>-577.106234659295 -253.041962563605 831.301093588997</t>
  </si>
  <si>
    <t>9763-20170724T104632.884049200.bin</t>
  </si>
  <si>
    <t>-922.619593711932 28.6085872508386 -520.752967552702</t>
  </si>
  <si>
    <t>-930.838747371384 44.4778480082668 -227.032289136189</t>
  </si>
  <si>
    <t>-710.350924676517 105.890896888901 -302.294862534429</t>
  </si>
  <si>
    <t>-831.395265556516 21.4523500441039 307.922437443019</t>
  </si>
  <si>
    <t>-868.599184106285 50.1655728258345 753.418360991722</t>
  </si>
  <si>
    <t>-732.104142867752 102.672690870963 814.241277174702</t>
  </si>
  <si>
    <t>-705.077733929391 -183.115185363888 310.593481989376</t>
  </si>
  <si>
    <t>-708.997317647166 -204.793842800703 757.973852652671</t>
  </si>
  <si>
    <t>-577.253943556627 -253.296508226001 831.311955382842</t>
  </si>
  <si>
    <t>9763-20170724T104632.951228000.bin</t>
  </si>
  <si>
    <t>-922.782503978801 28.4910821199326 -520.801709468008</t>
  </si>
  <si>
    <t>-932.405779799124 43.969513161954 -227.102821728396</t>
  </si>
  <si>
    <t>-711.849784115726 105.829327526612 -301.797590199452</t>
  </si>
  <si>
    <t>-831.443805717957 21.3779936137498 307.906644138074</t>
  </si>
  <si>
    <t>-868.596713594762 50.0836709801331 753.412339931732</t>
  </si>
  <si>
    <t>-732.188135679197 102.814917845187 814.235102502406</t>
  </si>
  <si>
    <t>-705.130308895418 -183.122269089906 310.590910224971</t>
  </si>
  <si>
    <t>-709.028220616869 -204.808230732456 757.97859788416</t>
  </si>
  <si>
    <t>-577.181847087331 -253.056905607168 831.299159766768</t>
  </si>
  <si>
    <t>9763-20170724T104632.981874700.bin</t>
  </si>
  <si>
    <t>-922.871401388126 28.4339457864228 -520.842659739233</t>
  </si>
  <si>
    <t>-933.037464151374 43.6167332537 -227.146667481689</t>
  </si>
  <si>
    <t>-712.494075322481 105.915646704913 -301.512906462061</t>
  </si>
  <si>
    <t>-831.502101110659 21.4068886923328 307.900278317979</t>
  </si>
  <si>
    <t>-868.62429314214 50.0789665907121 753.40878322631</t>
  </si>
  <si>
    <t>-732.162657018468 102.668973989069 814.234617407138</t>
  </si>
  <si>
    <t>-705.142873084516 -182.952470618086 310.592824426747</t>
  </si>
  <si>
    <t>-709.019070247006 -204.597127534173 757.975728638509</t>
  </si>
  <si>
    <t>-577.434872939249 -253.523561014553 831.318140848955</t>
  </si>
  <si>
    <t>9763-20170724T104633.048060300.bin</t>
  </si>
  <si>
    <t>-923.208447145763 27.8932151380493 -520.876573414828</t>
  </si>
  <si>
    <t>-933.831722308642 42.6423240954068 -227.174544407524</t>
  </si>
  <si>
    <t>-713.387894865121 105.845930029182 -301.070909732993</t>
  </si>
  <si>
    <t>-831.600268048302 21.3117271437984 307.884833186531</t>
  </si>
  <si>
    <t>-868.597973815569 49.9730972469074 753.385194749837</t>
  </si>
  <si>
    <t>-732.177783596614 102.658670668162 814.221592932207</t>
  </si>
  <si>
    <t>-705.138443011144 -183.026062969513 310.598192706069</t>
  </si>
  <si>
    <t>-709.042819266877 -204.665804267312 757.975967051015</t>
  </si>
  <si>
    <t>-577.324121906644 -253.247784014156 831.305818526407</t>
  </si>
  <si>
    <t>9763-20170724T104633.085694100.bin</t>
  </si>
  <si>
    <t>-923.329014007759 27.4202110627884 -520.902721573818</t>
  </si>
  <si>
    <t>-933.792206755608 42.0236438278698 -227.187823864247</t>
  </si>
  <si>
    <t>-713.405366465746 105.615401955428 -300.920986489955</t>
  </si>
  <si>
    <t>-831.623121243109 21.1955073934218 307.879488599251</t>
  </si>
  <si>
    <t>-868.614772740591 49.9621731695415 753.375395756972</t>
  </si>
  <si>
    <t>-732.189872160234 102.623613518979 814.222111344896</t>
  </si>
  <si>
    <t>-705.099115660351 -183.234055570332 310.600429895456</t>
  </si>
  <si>
    <t>-709.090226648957 -205.066632059352 757.98465196115</t>
  </si>
  <si>
    <t>-577.008900954301 -252.702018248074 831.283187295929</t>
  </si>
  <si>
    <t>9763-20170724T104633.151862700.bin</t>
  </si>
  <si>
    <t>-923.61284710964 26.8084347155557 -520.851844343763</t>
  </si>
  <si>
    <t>-933.474768299658 41.3012914943245 -227.110661026352</t>
  </si>
  <si>
    <t>-713.283513948707 105.428724349391 -300.964427961555</t>
  </si>
  <si>
    <t>-831.667515247422 21.0762397472797 307.892443012855</t>
  </si>
  <si>
    <t>-868.674500004542 49.9543357075402 753.383722072778</t>
  </si>
  <si>
    <t>-732.198198129571 102.475973781778 814.236017705456</t>
  </si>
  <si>
    <t>-704.746833709751 -183.017170654675 310.579160216399</t>
  </si>
  <si>
    <t>-709.084957516138 -204.730784342693 757.988196996223</t>
  </si>
  <si>
    <t>-577.191345733296 -252.871757782793 831.294488808588</t>
  </si>
  <si>
    <t>9763-20170724T104633.183474800.bin</t>
  </si>
  <si>
    <t>-923.764896713167 26.4396862928027 -520.737463021587</t>
  </si>
  <si>
    <t>-933.384947401574 40.9160413834813 -226.987467416645</t>
  </si>
  <si>
    <t>-713.308449070948 105.123563856495 -301.112865452342</t>
  </si>
  <si>
    <t>-831.631127605218 20.9455134948792 307.91275111918</t>
  </si>
  <si>
    <t>-868.619116199421 49.8401297500207 753.39997730714</t>
  </si>
  <si>
    <t>-732.192155191565 102.493167583914 814.249200918844</t>
  </si>
  <si>
    <t>-704.46949038284 -183.07051753945 310.581767772403</t>
  </si>
  <si>
    <t>-709.103238766238 -204.766685783123 757.999150716355</t>
  </si>
  <si>
    <t>-577.148935770199 -252.762338323316 831.291572813056</t>
  </si>
  <si>
    <t>9763-20170724T104633.253670000.bin</t>
  </si>
  <si>
    <t>-923.651951974946 25.9158794990965 -520.53129973917</t>
  </si>
  <si>
    <t>-933.074837392979 39.9476395974018 -226.753270344304</t>
  </si>
  <si>
    <t>-713.231835094006 104.776118640872 -301.030941768083</t>
  </si>
  <si>
    <t>-831.286179657657 20.6601091446432 308.009075494636</t>
  </si>
  <si>
    <t>-868.686076943346 49.8029365894574 753.459619289871</t>
  </si>
  <si>
    <t>-732.184557195144 102.271676983316 814.300820976912</t>
  </si>
  <si>
    <t>-704.096395077588 -183.28350564166 310.562323196924</t>
  </si>
  <si>
    <t>-709.132894038143 -204.882708566518 757.996604806453</t>
  </si>
  <si>
    <t>-576.977992723696 -252.361475144579 831.264122474593</t>
  </si>
  <si>
    <t>9763-20170724T104633.285504600.bin</t>
  </si>
  <si>
    <t>-923.643001576422 25.8506016811718 -520.351634420617</t>
  </si>
  <si>
    <t>-933.076056164434 39.533052650773 -226.557513594578</t>
  </si>
  <si>
    <t>-713.2923651332 104.763376011124 -300.65855107343</t>
  </si>
  <si>
    <t>-831.042626795179 20.543737931639 308.059426093272</t>
  </si>
  <si>
    <t>-868.633264254618 49.6705354442358 753.478920900185</t>
  </si>
  <si>
    <t>-732.236315208918 102.420929594827 814.311442695556</t>
  </si>
  <si>
    <t>-703.878857540074 -183.354433340123 310.569404600502</t>
  </si>
  <si>
    <t>-709.141381266293 -204.812453695323 758.001241898475</t>
  </si>
  <si>
    <t>-577.04736381448 -252.464427573712 831.266240056467</t>
  </si>
  <si>
    <t>9763-20170724T104633.348672500.bin</t>
  </si>
  <si>
    <t>-923.790900421855 25.8463805682757 -519.972244712878</t>
  </si>
  <si>
    <t>-932.829837893482 38.6415067863559 -226.125759818645</t>
  </si>
  <si>
    <t>-713.156866539909 104.628064261173 -299.884987380591</t>
  </si>
  <si>
    <t>-830.611160763109 20.4691410328549 308.171833997231</t>
  </si>
  <si>
    <t>-868.620302128645 49.469694606343 753.539795725954</t>
  </si>
  <si>
    <t>-732.251319857488 102.377989543631 814.297389431821</t>
  </si>
  <si>
    <t>-703.706301984007 -183.282306124736 310.634800811222</t>
  </si>
  <si>
    <t>-709.136755461908 -204.479622368199 758.037451964945</t>
  </si>
  <si>
    <t>-577.258258926339 -252.733299187733 831.296850732291</t>
  </si>
  <si>
    <t>9763-20170724T104633.381300900.bin</t>
  </si>
  <si>
    <t>-923.949733148223 25.9145468730076 -519.802192417383</t>
  </si>
  <si>
    <t>-932.676518274056 38.1643703829213 -225.923001930028</t>
  </si>
  <si>
    <t>-713.110579658984 104.673184169111 -299.531670338345</t>
  </si>
  <si>
    <t>-830.483133185412 20.463665970924 308.238664579661</t>
  </si>
  <si>
    <t>-868.631474363536 49.3702499368997 753.583849916548</t>
  </si>
  <si>
    <t>-732.220119457021 102.218548355603 814.298645168475</t>
  </si>
  <si>
    <t>-703.68469353379 -183.357517776095 310.666304949379</t>
  </si>
  <si>
    <t>-709.165412659357 -204.757977087009 758.068905898414</t>
  </si>
  <si>
    <t>-577.067187026097 -252.463609984271 831.291423455401</t>
  </si>
  <si>
    <t>9763-20170724T104633.448479700.bin</t>
  </si>
  <si>
    <t>-924.167746134305 26.6018448866653 -519.732423935851</t>
  </si>
  <si>
    <t>-932.875603519051 37.8592908514051 -225.812807704637</t>
  </si>
  <si>
    <t>-713.619237276074 105.651590246242 -299.173315234639</t>
  </si>
  <si>
    <t>-830.561892415265 20.7955458794238 308.289395853337</t>
  </si>
  <si>
    <t>-868.700225682686 49.3001897237978 753.617232606424</t>
  </si>
  <si>
    <t>-732.313435056064 102.248532984458 814.299953953398</t>
  </si>
  <si>
    <t>-703.730026017912 -183.416074986709 310.700963409692</t>
  </si>
  <si>
    <t>-709.184713964222 -204.989712647773 758.093763228584</t>
  </si>
  <si>
    <t>-576.919962072881 -252.28840455494 831.27952773081</t>
  </si>
  <si>
    <t>9763-20170724T104633.483909300.bin</t>
  </si>
  <si>
    <t>-924.155829155222 27.1915322126144 -519.833862355449</t>
  </si>
  <si>
    <t>-933.003596456094 38.186951197014 -225.908581001276</t>
  </si>
  <si>
    <t>-713.895046650408 106.592444766322 -299.14107253433</t>
  </si>
  <si>
    <t>-830.669787335715 21.2431288151661 308.276435877017</t>
  </si>
  <si>
    <t>-868.767227722883 49.3250613189839 753.619279742524</t>
  </si>
  <si>
    <t>-732.356492862213 102.208308618106 814.305164723494</t>
  </si>
  <si>
    <t>-703.831613927598 -183.115626402619 310.70615884527</t>
  </si>
  <si>
    <t>-709.158757659287 -204.709626245551 758.092845595939</t>
  </si>
  <si>
    <t>-576.970267003226 -252.216082757987 831.281923507608</t>
  </si>
  <si>
    <t>9763-20170724T104633.548086000.bin</t>
  </si>
  <si>
    <t>-923.982367898962 28.5359061984457 -520.198233265387</t>
  </si>
  <si>
    <t>-933.171082307433 39.6463688874794 -226.287916532968</t>
  </si>
  <si>
    <t>-714.231134853147 109.143152260106 -298.99537423747</t>
  </si>
  <si>
    <t>-830.85310205535 22.3337949971449 308.249129271938</t>
  </si>
  <si>
    <t>-868.841993177505 49.2937688386444 753.640540418536</t>
  </si>
  <si>
    <t>-732.369248461116 102.026527819258 814.317982245259</t>
  </si>
  <si>
    <t>-704.156164992919 -182.701792276921 310.749671540823</t>
  </si>
  <si>
    <t>-709.203105224758 -204.965923156149 758.154579692117</t>
  </si>
  <si>
    <t>-576.876106701685 -252.162955504821 831.293525363262</t>
  </si>
  <si>
    <t>9763-20170724T104633.583728200.bin</t>
  </si>
  <si>
    <t>-923.866509178561 29.6144842676213 -520.392701423976</t>
  </si>
  <si>
    <t>-933.291642749928 40.8717978577358 -226.49542484247</t>
  </si>
  <si>
    <t>-714.403383784403 110.905204424522 -298.842379312882</t>
  </si>
  <si>
    <t>-830.866716806245 23.1311660666136 308.267649033225</t>
  </si>
  <si>
    <t>-868.955655915344 49.3918000251299 753.661629722611</t>
  </si>
  <si>
    <t>-732.411116859198 101.927678840075 814.348350664251</t>
  </si>
  <si>
    <t>-704.287614900569 -182.350239169598 310.820090865063</t>
  </si>
  <si>
    <t>-709.274024383858 -205.051778371814 758.226162428038</t>
  </si>
  <si>
    <t>-577.027927505075 -252.555524919769 831.31283145694</t>
  </si>
  <si>
    <t>9763-20170724T104633.648905300.bin</t>
  </si>
  <si>
    <t>-923.79022816153 32.3048498046351 -520.790445036955</t>
  </si>
  <si>
    <t>-934.083659165586 43.9768297056121 -226.938317830141</t>
  </si>
  <si>
    <t>-715.139132110903 114.789569181788 -298.350807020511</t>
  </si>
  <si>
    <t>-830.81832467172 25.0227495670599 308.480514957139</t>
  </si>
  <si>
    <t>-869.094265292295 49.4598389784774 753.85139036293</t>
  </si>
  <si>
    <t>-732.505503602619 101.893607062265 814.526747143576</t>
  </si>
  <si>
    <t>-704.848531412294 -181.376830105439 311.047399820724</t>
  </si>
  <si>
    <t>-709.452038420119 -205.590251834376 758.434717893817</t>
  </si>
  <si>
    <t>-576.855089296151 -252.381832618611 831.34489143869</t>
  </si>
  <si>
    <t>9763-20170724T104633.683103900.bin</t>
  </si>
  <si>
    <t>-923.679952871887 34.0275177446667 -520.965620121632</t>
  </si>
  <si>
    <t>-934.630060668477 46.1070430661152 -227.15376706799</t>
  </si>
  <si>
    <t>-715.531187209779 117.073357601015 -297.937490779691</t>
  </si>
  <si>
    <t>-830.880544227816 26.2307679957842 308.649910332571</t>
  </si>
  <si>
    <t>-869.176916966679 49.5148657212962 754.016780027268</t>
  </si>
  <si>
    <t>-732.585277428523 101.97448738513 814.663526801677</t>
  </si>
  <si>
    <t>-705.028973342647 -180.691992420968 311.173646136081</t>
  </si>
  <si>
    <t>-709.499957255772 -205.849530354087 758.518581084719</t>
  </si>
  <si>
    <t>-576.791407326879 -252.431618735046 831.359864444626</t>
  </si>
  <si>
    <t>9763-20170724T104633.749290100.bin</t>
  </si>
  <si>
    <t>-923.241536375013 39.3575753757718 -521.406736356313</t>
  </si>
  <si>
    <t>-936.069557552296 52.1520338016153 -227.701154432866</t>
  </si>
  <si>
    <t>-716.537462348455 123.06682353615 -297.182622708235</t>
  </si>
  <si>
    <t>-845.614820082357 3.02544476050639 -93.3723672265568</t>
  </si>
  <si>
    <t>-831.328194946861 29.4767672789592 309.058845984179</t>
  </si>
  <si>
    <t>-869.393710459573 49.7216693885484 754.461243683717</t>
  </si>
  <si>
    <t>-732.626704672529 101.748410731581 815.085307982403</t>
  </si>
  <si>
    <t>-705.160462408668 -178.090537426243 311.396116641095</t>
  </si>
  <si>
    <t>-709.463001198189 -205.697886180543 758.583414311808</t>
  </si>
  <si>
    <t>-577.129090120861 -253.340578587742 831.420189401853</t>
  </si>
  <si>
    <t>9763-20170724T104633.780365900.bin</t>
  </si>
  <si>
    <t>-922.934316296139 42.4837607563127 -521.674127863066</t>
  </si>
  <si>
    <t>-936.840546979695 55.5436223449487 -228.029352115766</t>
  </si>
  <si>
    <t>-717.003626589401 126.231338161126 -296.773800003996</t>
  </si>
  <si>
    <t>-846.631749789858 5.98846204064466 -93.1679202742249</t>
  </si>
  <si>
    <t>-831.728796486915 31.3397429712124 309.31174129433</t>
  </si>
  <si>
    <t>-869.526448355589 49.8778207130138 754.75021886718</t>
  </si>
  <si>
    <t>-732.65379778062 101.617965878878 815.381478826539</t>
  </si>
  <si>
    <t>-704.94497195315 -176.544359775782 311.454634155832</t>
  </si>
  <si>
    <t>-709.418811815915 -205.668694685188 758.567656578334</t>
  </si>
  <si>
    <t>-577.081047344277 -253.29537242605 831.407922773477</t>
  </si>
  <si>
    <t>9763-20170724T104633.849558300.bin</t>
  </si>
  <si>
    <t>-922.570065626559 49.22925428399 -522.172375792801</t>
  </si>
  <si>
    <t>-938.828016791174 62.9147128179663 -228.676835773285</t>
  </si>
  <si>
    <t>-718.032878351466 132.290413404758 -295.664672292479</t>
  </si>
  <si>
    <t>-848.789586332188 12.6942564655585 -92.7212531528542</t>
  </si>
  <si>
    <t>-832.949250615391 35.6367953758056 309.867112212988</t>
  </si>
  <si>
    <t>-869.843426409314 50.3379896298611 755.444470107963</t>
  </si>
  <si>
    <t>-732.764618969949 101.508057062966 816.09362477611</t>
  </si>
  <si>
    <t>-704.144472793444 -172.884328017331 311.513437417837</t>
  </si>
  <si>
    <t>-709.302236205558 -205.644910240749 758.455796176031</t>
  </si>
  <si>
    <t>-577.141686213188 -253.662539733669 831.361020504929</t>
  </si>
  <si>
    <t>9763-20170724T104633.885338300.bin</t>
  </si>
  <si>
    <t>-922.527753593571 52.914453881318 -522.367794302084</t>
  </si>
  <si>
    <t>-939.874727374655 67.0327682102427 -228.955219865165</t>
  </si>
  <si>
    <t>-718.479468467997 135.546066687931 -294.840532345406</t>
  </si>
  <si>
    <t>-849.915384463821 16.5250294136133 -92.4555623231231</t>
  </si>
  <si>
    <t>-833.438881976652 38.0353355997138 310.18634626735</t>
  </si>
  <si>
    <t>-869.969471556126 50.5653877397383 755.837678111309</t>
  </si>
  <si>
    <t>-732.861045776052 101.66773218764 816.477113437238</t>
  </si>
  <si>
    <t>-703.461246298616 -170.669649847757 311.530983183726</t>
  </si>
  <si>
    <t>-709.194046637996 -205.401318422312 758.353700194214</t>
  </si>
  <si>
    <t>-577.232024815115 -253.866573777533 831.322412333218</t>
  </si>
  <si>
    <t>9763-20170724T104633.949502700.bin</t>
  </si>
  <si>
    <t>-923.005016247389 60.934372080919 -522.571093334886</t>
  </si>
  <si>
    <t>-942.168290127761 76.0443733341046 -229.320983229051</t>
  </si>
  <si>
    <t>-719.775393538876 142.635939358941 -293.802231969051</t>
  </si>
  <si>
    <t>-852.354331835351 25.1702142996444 -91.7563592225786</t>
  </si>
  <si>
    <t>-834.091853506336 43.428506230566 310.969059430205</t>
  </si>
  <si>
    <t>-870.354924289589 51.3135293028586 756.714504060103</t>
  </si>
  <si>
    <t>-732.876036452907 101.451836386575 817.319886862046</t>
  </si>
  <si>
    <t>-701.237302123775 -165.657714240753 311.520118174865</t>
  </si>
  <si>
    <t>-708.893498909756 -204.787370557305 758.012074376537</t>
  </si>
  <si>
    <t>-577.302994674729 -253.925069345571 831.201584693199</t>
  </si>
  <si>
    <t>9763-20170724T104633.982093700.bin</t>
  </si>
  <si>
    <t>-923.457856081374 64.8736477828068 -522.577516801288</t>
  </si>
  <si>
    <t>-943.397164044167 80.5170062026955 -229.40702351499</t>
  </si>
  <si>
    <t>-720.4524401398 146.166577531917 -292.942052839941</t>
  </si>
  <si>
    <t>-853.549540605044 29.5891635360824 -91.3279437276893</t>
  </si>
  <si>
    <t>-834.213838337521 46.2273163742714 311.417607802229</t>
  </si>
  <si>
    <t>-870.567814357699 51.7488725069288 757.19248759138</t>
  </si>
  <si>
    <t>-732.918522583862 101.439360173129 817.779675897178</t>
  </si>
  <si>
    <t>-699.548419700796 -162.983126156163 311.468326355196</t>
  </si>
  <si>
    <t>-708.653158952905 -204.353037903981 757.731933965585</t>
  </si>
  <si>
    <t>-577.265723161174 -253.747035689713 831.113536402405</t>
  </si>
  <si>
    <t>9763-20170724T104634.050277500.bin</t>
  </si>
  <si>
    <t>-923.92092250724 72.3366917378614 -522.291210836234</t>
  </si>
  <si>
    <t>-944.91232782595 89.4299667850892 -229.275131302307</t>
  </si>
  <si>
    <t>-721.03693721137 153.068702497454 -291.570802455453</t>
  </si>
  <si>
    <t>-855.399473185615 38.1948332229872 -90.2858461125547</t>
  </si>
  <si>
    <t>-833.571265521521 51.4125383826247 312.45904412361</t>
  </si>
  <si>
    <t>-870.731416067248 52.2379360637501 758.261963315932</t>
  </si>
  <si>
    <t>-732.880978873921 101.424854043302 818.802741355599</t>
  </si>
  <si>
    <t>-694.400543374033 -157.266514904102 311.18829511859</t>
  </si>
  <si>
    <t>-708.070686460234 -203.14950289498 757.052050659363</t>
  </si>
  <si>
    <t>-577.419026259207 -253.75662177387 830.919139562001</t>
  </si>
  <si>
    <t>9763-20170724T104634.083041000.bin</t>
  </si>
  <si>
    <t>-924.278112819685 75.6682107528809 -521.911288056342</t>
  </si>
  <si>
    <t>-945.325519027725 93.368387980235 -228.93531393263</t>
  </si>
  <si>
    <t>-721.170665323674 156.238485920236 -291.00658069135</t>
  </si>
  <si>
    <t>-856.322833923724 42.4455911236314 -89.6267086505412</t>
  </si>
  <si>
    <t>-833.224560395996 53.7189549374807 313.106545169195</t>
  </si>
  <si>
    <t>-870.853645696017 52.4967263645694 758.857985816525</t>
  </si>
  <si>
    <t>-732.862359925804 101.270278953618 819.412719008161</t>
  </si>
  <si>
    <t>-691.044402906468 -154.529991688009 311.044660641494</t>
  </si>
  <si>
    <t>-707.788740969478 -202.52103260138 756.669346730505</t>
  </si>
  <si>
    <t>-577.390017510282 -253.436246614829 830.7713104278</t>
  </si>
  <si>
    <t>9763-20170724T104634.149192300.bin</t>
  </si>
  <si>
    <t>-925.298980768236 82.2358933525754 -520.579182068546</t>
  </si>
  <si>
    <t>-946.203407901307 101.079648866227 -227.664345105868</t>
  </si>
  <si>
    <t>-721.543156068174 162.186116089302 -289.669653465292</t>
  </si>
  <si>
    <t>-857.951693972101 50.9657379674336 -88.002373410197</t>
  </si>
  <si>
    <t>-833.103838803998 58.1904513252446 314.719770809339</t>
  </si>
  <si>
    <t>-871.024780376385 52.9338171694733 760.30898457198</t>
  </si>
  <si>
    <t>-732.797988911339 100.917824845915 820.957052155165</t>
  </si>
  <si>
    <t>-682.549865467288 -149.162291732053 310.772034201256</t>
  </si>
  <si>
    <t>-707.196034652735 -200.909411065413 755.809059726721</t>
  </si>
  <si>
    <t>-577.777324949463 -253.548720042783 830.422613512989</t>
  </si>
  <si>
    <t>9763-20170724T104634.184329200.bin</t>
  </si>
  <si>
    <t>-925.965100025629 85.3492290344652 -519.617683805038</t>
  </si>
  <si>
    <t>-946.750558915179 104.833188568682 -226.736194789526</t>
  </si>
  <si>
    <t>-721.811157306741 164.885387357752 -288.759731039417</t>
  </si>
  <si>
    <t>-858.920241918517 55.1150234798024 -87.0301836791583</t>
  </si>
  <si>
    <t>-833.270051450255 60.3555497546242 315.672226830874</t>
  </si>
  <si>
    <t>-871.072850110762 53.1220941367826 761.182549807712</t>
  </si>
  <si>
    <t>-732.724769368772 100.708807492241 821.867007089002</t>
  </si>
  <si>
    <t>-677.617240660128 -146.862607427948 310.659241248419</t>
  </si>
  <si>
    <t>-706.969601468313 -200.449345418854 755.346574400442</t>
  </si>
  <si>
    <t>-577.660149485953 -253.044701923368 830.180395499123</t>
  </si>
  <si>
    <t>9763-20170724T104634.246488600.bin</t>
  </si>
  <si>
    <t>-927.508299249335 91.4214307504378 -516.968662881768</t>
  </si>
  <si>
    <t>-947.908238091325 111.802820137221 -224.121209143239</t>
  </si>
  <si>
    <t>-722.547957107788 169.856872839627 -286.517902608777</t>
  </si>
  <si>
    <t>-860.918915096106 63.4018285305162 -84.6362433695193</t>
  </si>
  <si>
    <t>-833.497492521535 64.6874514780991 317.98151391632</t>
  </si>
  <si>
    <t>-871.076695325265 53.416345298851 763.247357306267</t>
  </si>
  <si>
    <t>-732.561293406372 100.424245917532 824.001112283409</t>
  </si>
  <si>
    <t>-666.733188452598 -142.609335258126 310.512558077962</t>
  </si>
  <si>
    <t>-706.373666840087 -198.676398095013 754.281286448058</t>
  </si>
  <si>
    <t>-577.889730095883 -252.466416518029 829.685594846828</t>
  </si>
  <si>
    <t>9763-20170724T104634.279077500.bin</t>
  </si>
  <si>
    <t>-928.277868704947 94.3052267396915 -515.433469287</t>
  </si>
  <si>
    <t>-948.372478271203 115.082438817395 -222.592785307263</t>
  </si>
  <si>
    <t>-722.84445657203 172.205320483709 -285.24201756463</t>
  </si>
  <si>
    <t>-861.863767970459 67.4832947656444 -83.3457993338694</t>
  </si>
  <si>
    <t>-833.653467290405 66.9298536460053 319.219156222582</t>
  </si>
  <si>
    <t>-871.139972551585 53.6810220414502 764.355986475931</t>
  </si>
  <si>
    <t>-732.434010141778 100.085464788197 825.138854512953</t>
  </si>
  <si>
    <t>-661.032512706008 -140.620878271555 310.350651973323</t>
  </si>
  <si>
    <t>-705.99287406167 -197.696588304127 753.471532725674</t>
  </si>
  <si>
    <t>-578.033583509243 -252.147564604925 829.292363760575</t>
  </si>
  <si>
    <t>9763-20170724T104634.347765600.bin</t>
  </si>
  <si>
    <t>-929.69228220529 98.5215413519284 -513.448871805373</t>
  </si>
  <si>
    <t>-949.30892858762 119.802572318176 -220.611896875498</t>
  </si>
  <si>
    <t>-723.41119079201 175.146426946403 -283.525441090056</t>
  </si>
  <si>
    <t>-863.708134058623 74.8122443286361 -82.0646541560575</t>
  </si>
  <si>
    <t>-833.667619067402 70.6806598430062 320.347025595404</t>
  </si>
  <si>
    <t>-871.212163495425 53.9610160575705 765.250491794061</t>
  </si>
  <si>
    <t>-732.21226998238 99.549878610072 825.979255060619</t>
  </si>
  <si>
    <t>-649.824044568196 -136.742283356523 308.828219015756</t>
  </si>
  <si>
    <t>-705.11156087387 -195.867432501504 750.556059051042</t>
  </si>
  <si>
    <t>-578.273950572583 -251.29981097762 827.541656533446</t>
  </si>
  <si>
    <t>9763-20170724T104634.380853000.bin</t>
  </si>
  <si>
    <t>-930.187469347719 99.8202983765605 -512.739228716341</t>
  </si>
  <si>
    <t>-949.661946389335 121.38930351457 -219.913762896209</t>
  </si>
  <si>
    <t>-723.530993634432 175.795875437444 -282.807199109205</t>
  </si>
  <si>
    <t>-864.773973783372 78.0603037569051 -81.7215272691606</t>
  </si>
  <si>
    <t>-833.493979354109 72.1304537177484 320.573264444257</t>
  </si>
  <si>
    <t>-871.253316672768 53.9818850559034 765.448292358479</t>
  </si>
  <si>
    <t>-732.076502591888 99.1779801877003 826.06511334189</t>
  </si>
  <si>
    <t>-644.52215452248 -134.739079995319 307.944479085028</t>
  </si>
  <si>
    <t>-704.663525378331 -195.240370432998 748.839797431294</t>
  </si>
  <si>
    <t>-578.208352566694 -250.60964549662 826.496900538521</t>
  </si>
  <si>
    <t>9763-20170724T104634.452045800.bin</t>
  </si>
  <si>
    <t>-931.113608009543 102.317987316625 -511.693013579556</t>
  </si>
  <si>
    <t>-949.935109952859 124.210897983619 -218.848910389005</t>
  </si>
  <si>
    <t>-723.331553077424 176.765959629909 -281.615794001181</t>
  </si>
  <si>
    <t>-866.956231222544 83.7885223904093 -81.3485589619846</t>
  </si>
  <si>
    <t>-832.869240752275 74.840379647957 320.662258664276</t>
  </si>
  <si>
    <t>-871.35306063302 53.879579814364 765.614439383233</t>
  </si>
  <si>
    <t>-731.805203442238 98.3076839442272 825.945370402243</t>
  </si>
  <si>
    <t>-636.173361311165 -129.666619165073 306.460141897835</t>
  </si>
  <si>
    <t>-703.618014835692 -192.718750369467 745.61231091072</t>
  </si>
  <si>
    <t>-578.76707511089 -249.680347828639 824.700303249932</t>
  </si>
  <si>
    <t>9763-20170724T104634.485147400.bin</t>
  </si>
  <si>
    <t>-931.390249329733 103.14346828211 -511.14818549077</t>
  </si>
  <si>
    <t>-949.586762085541 125.085343450331 -218.268347166146</t>
  </si>
  <si>
    <t>-722.860489674491 176.805025813254 -281.285480237853</t>
  </si>
  <si>
    <t>-868.140141865122 86.1324475282584 -81.2397247018204</t>
  </si>
  <si>
    <t>-832.489017705724 75.9981287939283 320.607208498334</t>
  </si>
  <si>
    <t>-871.37192421157 53.8033679456785 765.571057089207</t>
  </si>
  <si>
    <t>-731.567595043154 97.5453331878873 825.809620410053</t>
  </si>
  <si>
    <t>-632.815965056673 -127.080776156853 306.094412285715</t>
  </si>
  <si>
    <t>-703.269770670187 -191.96397012922 744.39318404832</t>
  </si>
  <si>
    <t>-578.723231614883 -248.809953451277 824.042417701178</t>
  </si>
  <si>
    <t>9763-20170724T104634.548314900.bin</t>
  </si>
  <si>
    <t>-933.12984455705 105.464828108559 -510.043339176137</t>
  </si>
  <si>
    <t>-949.993604615559 127.074019835095 -217.058997042206</t>
  </si>
  <si>
    <t>-723.268957934733 178.089355190487 -280.653289980138</t>
  </si>
  <si>
    <t>-870.398063755966 90.5415659013386 -81.2485480943931</t>
  </si>
  <si>
    <t>-833.535512274469 78.2354342221995 320.428428735295</t>
  </si>
  <si>
    <t>-871.414289004124 53.6425701192536 765.414733177104</t>
  </si>
  <si>
    <t>-731.174217597843 96.3867920839114 825.356024079752</t>
  </si>
  <si>
    <t>-627.984895004245 -122.473280669852 304.965003070983</t>
  </si>
  <si>
    <t>-702.400319027507 -189.403979769122 742.244037513953</t>
  </si>
  <si>
    <t>-579.412559373734 -247.952684030688 823.073188384738</t>
  </si>
  <si>
    <t>9763-20170724T104634.581906900.bin</t>
  </si>
  <si>
    <t>-934.457486700334 106.902362616379 -509.756522944496</t>
  </si>
  <si>
    <t>-950.676135202213 128.36270870592 -216.724744588051</t>
  </si>
  <si>
    <t>-723.930662075158 179.091284369315 -280.474043946479</t>
  </si>
  <si>
    <t>-871.466912068411 92.5122768642204 -81.2728103063793</t>
  </si>
  <si>
    <t>-834.471486556907 79.2224856403932 320.360674669464</t>
  </si>
  <si>
    <t>-871.385481761883 53.4441920518536 765.380998720719</t>
  </si>
  <si>
    <t>-730.996605868772 95.9951965075818 825.111057755866</t>
  </si>
  <si>
    <t>-626.762891344728 -120.337351089729 304.473132802034</t>
  </si>
  <si>
    <t>-702.12540015945 -188.242500767117 741.440841030029</t>
  </si>
  <si>
    <t>-579.557414428286 -247.056386430657 822.713949042625</t>
  </si>
  <si>
    <t>9763-20170724T104634.649220200.bin</t>
  </si>
  <si>
    <t>-936.639978984824 109.423803174267 -509.340450074598</t>
  </si>
  <si>
    <t>-951.927509349474 130.694598495366 -216.244821891544</t>
  </si>
  <si>
    <t>-725.066191029375 180.877406450495 -280.013924889769</t>
  </si>
  <si>
    <t>-873.395475788995 95.5019592361953 -81.311211894544</t>
  </si>
  <si>
    <t>-836.017613665662 80.6874249314981 320.233481113129</t>
  </si>
  <si>
    <t>-871.121549063935 52.8429725778797 765.23727015707</t>
  </si>
  <si>
    <t>-730.530225838497 95.0451821321051 824.738168368966</t>
  </si>
  <si>
    <t>-625.642441635121 -116.302645314034 303.933448334703</t>
  </si>
  <si>
    <t>-701.934464321604 -186.283530112252 740.399099787917</t>
  </si>
  <si>
    <t>-580.220864596154 -246.147271915881 822.187940260868</t>
  </si>
  <si>
    <t>9763-20170724T104634.680793500.bin</t>
  </si>
  <si>
    <t>-937.810871055501 110.908274037009 -509.21811495652</t>
  </si>
  <si>
    <t>-952.825950327722 131.943457050367 -216.091311262258</t>
  </si>
  <si>
    <t>-725.964220990451 182.173385425832 -279.821992240403</t>
  </si>
  <si>
    <t>-874.167068907159 96.7955215644804 -81.3555381059522</t>
  </si>
  <si>
    <t>-836.568631393758 81.2845646101525 320.142184240927</t>
  </si>
  <si>
    <t>-870.892119365439 52.4670900662115 765.116897364718</t>
  </si>
  <si>
    <t>-730.343773441809 94.8148985387197 824.615865100315</t>
  </si>
  <si>
    <t>-625.684740901672 -114.76612894345 303.658369182668</t>
  </si>
  <si>
    <t>-701.945947698546 -185.30808981142 740.049029430205</t>
  </si>
  <si>
    <t>-580.65311553061 -245.855238421544 821.959815181106</t>
  </si>
  <si>
    <t>9763-20170724T104634.748097600.bin</t>
  </si>
  <si>
    <t>-826.775539629957 0.614036728864676 -74.6003954875357</t>
  </si>
  <si>
    <t>-939.851028184264 114.323416337097 -508.931831578859</t>
  </si>
  <si>
    <t>-954.600656294569 134.715286679568 -215.746183007043</t>
  </si>
  <si>
    <t>-727.791576066111 185.534185317952 -279.196900664289</t>
  </si>
  <si>
    <t>-875.089223880449 99.3543815452924 -81.4228651262184</t>
  </si>
  <si>
    <t>-837.423421476015 82.7682681257963 320.025624842976</t>
  </si>
  <si>
    <t>-870.547907410738 51.9651335132075 764.924543197415</t>
  </si>
  <si>
    <t>-729.868686906403 93.731463818656 824.5250247021</t>
  </si>
  <si>
    <t>-625.713863656092 -112.091886863768 303.311253269543</t>
  </si>
  <si>
    <t>-702.340310523172 -184.094316706953 739.501705795963</t>
  </si>
  <si>
    <t>-581.282565436198 -245.122285854316 821.403475573724</t>
  </si>
  <si>
    <t>9763-20170724T104634.784001800.bin</t>
  </si>
  <si>
    <t>-827.057261665911 1.90583013868695 -74.6335108876639</t>
  </si>
  <si>
    <t>-940.67604751678 115.644491877099 -508.766032822295</t>
  </si>
  <si>
    <t>-955.469635465346 135.642836136708 -215.555557054709</t>
  </si>
  <si>
    <t>-728.692363847622 186.933597335359 -278.739453397112</t>
  </si>
  <si>
    <t>-875.345595863162 100.282593811244 -81.4468908714582</t>
  </si>
  <si>
    <t>-837.767581687164 83.189730387229 319.988569312114</t>
  </si>
  <si>
    <t>-870.266822668523 51.5225471244512 764.866122957944</t>
  </si>
  <si>
    <t>-729.693043535981 93.5925296855887 824.501735359638</t>
  </si>
  <si>
    <t>-625.88428381104 -111.148039922478 303.214810122592</t>
  </si>
  <si>
    <t>-702.678504070371 -183.663618593161 739.345433312066</t>
  </si>
  <si>
    <t>-581.603702725622 -244.832757970592 821.116618189647</t>
  </si>
  <si>
    <t>9763-20170724T104634.849174600.bin</t>
  </si>
  <si>
    <t>-827.607550225425 3.36060888345219 -74.7176684347428</t>
  </si>
  <si>
    <t>-942.2572146209 117.48831596982 -508.45486254434</t>
  </si>
  <si>
    <t>-957.389093730058 136.477484003335 -215.194612079499</t>
  </si>
  <si>
    <t>-730.644836964227 189.011620953513 -277.468623959781</t>
  </si>
  <si>
    <t>-875.670730820597 101.551288370748 -81.478841781245</t>
  </si>
  <si>
    <t>-838.385202675385 83.6045664718858 319.946630289939</t>
  </si>
  <si>
    <t>-869.991776424421 51.0002602106983 764.80521650025</t>
  </si>
  <si>
    <t>-729.247518136895 92.4807504914486 824.451838094933</t>
  </si>
  <si>
    <t>-626.528199640586 -109.769526069792 303.046593692779</t>
  </si>
  <si>
    <t>-703.42324037591 -183.087124244569 739.087889290677</t>
  </si>
  <si>
    <t>-582.195400948287 -244.326835917803 820.578970682724</t>
  </si>
  <si>
    <t>9763-20170724T104634.881274800.bin</t>
  </si>
  <si>
    <t>-827.701574156892 3.72857158180955 -74.7297192073032</t>
  </si>
  <si>
    <t>-942.849196245664 118.039984398209 -508.266327842621</t>
  </si>
  <si>
    <t>-958.220274135346 136.439959544449 -214.980892057359</t>
  </si>
  <si>
    <t>-731.517953329122 189.766937193827 -276.731653229591</t>
  </si>
  <si>
    <t>-875.596060697442 101.674330571488 -81.4697318425186</t>
  </si>
  <si>
    <t>-838.318216586337 83.4952133045701 319.945859551633</t>
  </si>
  <si>
    <t>-869.710500075351 50.5104600900761 764.768445682695</t>
  </si>
  <si>
    <t>-729.141201232318 92.5465838460261 824.438557024139</t>
  </si>
  <si>
    <t>-626.676393072191 -109.6416881203 302.974059534686</t>
  </si>
  <si>
    <t>-703.837005481289 -182.924570998414 738.994433364887</t>
  </si>
  <si>
    <t>-582.424476434412 -244.001678982331 820.3324853164</t>
  </si>
  <si>
    <t>9763-20170724T104634.947350300.bin</t>
  </si>
  <si>
    <t>-827.583004636471 4.50716829896874 -74.7625829867552</t>
  </si>
  <si>
    <t>-943.485836082205 119.089362818399 -507.992837205342</t>
  </si>
  <si>
    <t>-959.403580134556 136.684819071123 -214.687231003266</t>
  </si>
  <si>
    <t>-732.686897064018 191.267302483024 -275.27689994629</t>
  </si>
  <si>
    <t>-875.232266630866 102.060173350668 -81.4511155665263</t>
  </si>
  <si>
    <t>-837.815737842792 83.5672129149314 319.937295971057</t>
  </si>
  <si>
    <t>-869.451386970577 50.0956372666865 764.680662121178</t>
  </si>
  <si>
    <t>-728.769202393917 91.5576967811544 824.486197181249</t>
  </si>
  <si>
    <t>-626.850599399945 -109.344742863531 302.822003915317</t>
  </si>
  <si>
    <t>-704.281108445834 -182.27206283376 738.735899288247</t>
  </si>
  <si>
    <t>-582.959334441332 -243.700000267984 819.945073634929</t>
  </si>
  <si>
    <t>9763-20170724T104634.982456200.bin</t>
  </si>
  <si>
    <t>-827.174947347991 5.05146634382049 -74.8502421669511</t>
  </si>
  <si>
    <t>-943.973923633498 119.88845445142 -507.776218988541</t>
  </si>
  <si>
    <t>-960.719684430688 136.842085045597 -214.478793708164</t>
  </si>
  <si>
    <t>-734.008510100383 192.661607025571 -273.952409732919</t>
  </si>
  <si>
    <t>-874.532462933897 102.17804699423 -81.4706874950235</t>
  </si>
  <si>
    <t>-837.069801102551 83.388953186208 319.899699254593</t>
  </si>
  <si>
    <t>-869.058676059268 49.5734992373136 764.528059551675</t>
  </si>
  <si>
    <t>-728.520828615943 91.0932478330317 824.632411834953</t>
  </si>
  <si>
    <t>-626.808693557438 -109.154917119956 302.640209049353</t>
  </si>
  <si>
    <t>-704.848005028325 -182.22289943759 738.531275259703</t>
  </si>
  <si>
    <t>-583.249524135913 -243.306476180426 819.586323547571</t>
  </si>
  <si>
    <t>9763-20170724T104635.052645000.bin</t>
  </si>
  <si>
    <t>-826.415542337961 5.49556017101577 -75.1417557819789</t>
  </si>
  <si>
    <t>-944.088290152965 120.4979509344 -507.770851798999</t>
  </si>
  <si>
    <t>-962.839354641853 136.607663160508 -214.547210165584</t>
  </si>
  <si>
    <t>-736.03562302787 194.486537024409 -271.652092219857</t>
  </si>
  <si>
    <t>-873.616209930289 102.33546838786 -81.7686863269429</t>
  </si>
  <si>
    <t>-836.405239932339 83.0560793776024 319.601876822109</t>
  </si>
  <si>
    <t>-868.434490940664 49.0512209973817 764.122994531756</t>
  </si>
  <si>
    <t>-728.090490109338 90.1553923137146 824.961468857898</t>
  </si>
  <si>
    <t>-626.714094314275 -108.902788087934 302.473928973598</t>
  </si>
  <si>
    <t>-705.524642402616 -181.810008333543 738.250886468336</t>
  </si>
  <si>
    <t>-583.767445486946 -242.922991813287 819.044984453735</t>
  </si>
  <si>
    <t>9763-20170724T104635.083731700.bin</t>
  </si>
  <si>
    <t>-826.188023924664 5.60024791664546 -75.463762363114</t>
  </si>
  <si>
    <t>-944.14847122166 120.686017461819 -507.957467048785</t>
  </si>
  <si>
    <t>-964.352207003266 136.257375404664 -214.801145627053</t>
  </si>
  <si>
    <t>-737.48877723218 195.200248762278 -270.565292735254</t>
  </si>
  <si>
    <t>-873.441839347887 102.383523886052 -82.0605734179702</t>
  </si>
  <si>
    <t>-836.162349473727 82.9925249946393 319.29828527609</t>
  </si>
  <si>
    <t>-868.306671404907 49.0835101376551 763.878852876371</t>
  </si>
  <si>
    <t>-727.986534511563 89.8258957560511 825.014827047477</t>
  </si>
  <si>
    <t>-626.894181347599 -108.48121429102 302.288063459141</t>
  </si>
  <si>
    <t>-705.727429504554 -181.319201924072 738.015862471902</t>
  </si>
  <si>
    <t>-584.06171340987 -242.699072971266 818.745432011866</t>
  </si>
  <si>
    <t>9763-20170724T104635.149938800.bin</t>
  </si>
  <si>
    <t>-825.687222117352 5.86777647867643 -76.1704187176533</t>
  </si>
  <si>
    <t>-944.081048081379 120.95072388006 -508.426663655281</t>
  </si>
  <si>
    <t>-967.432525459293 135.330826063697 -215.443566197521</t>
  </si>
  <si>
    <t>-740.40803332688 196.615280453698 -267.930926767559</t>
  </si>
  <si>
    <t>-872.741414289975 101.903223559338 -82.5175124184705</t>
  </si>
  <si>
    <t>-834.971605052093 83.0524042006286 318.821106272307</t>
  </si>
  <si>
    <t>-868.015374307802 48.9269962223621 763.469213259587</t>
  </si>
  <si>
    <t>-727.892167324889 89.9193001851961 824.889120518439</t>
  </si>
  <si>
    <t>-627.175771137004 -107.426145745058 301.77602975685</t>
  </si>
  <si>
    <t>-705.927971419552 -180.124916731862 737.580719540024</t>
  </si>
  <si>
    <t>-584.737703894314 -242.440270261386 818.308734481534</t>
  </si>
  <si>
    <t>9763-20170724T104635.181521700.bin</t>
  </si>
  <si>
    <t>-825.596538926092 6.15148982125629 -76.4487011259534</t>
  </si>
  <si>
    <t>-944.37599143524 121.188129584607 -508.58331014907</t>
  </si>
  <si>
    <t>-969.04250893355 134.904962897509 -215.676256962687</t>
  </si>
  <si>
    <t>-741.937491625842 197.367642996577 -266.39668771232</t>
  </si>
  <si>
    <t>-872.722780462209 101.61035636553 -82.6546990389536</t>
  </si>
  <si>
    <t>-834.599882865806 83.0756435320063 318.665331185072</t>
  </si>
  <si>
    <t>-867.898367894932 48.79348742723 763.292290414434</t>
  </si>
  <si>
    <t>-727.840238886006 89.8585121344308 824.81210412155</t>
  </si>
  <si>
    <t>-627.443715461662 -107.244378948245 301.500243854546</t>
  </si>
  <si>
    <t>-706.062291174884 -179.792222916386 737.415500451587</t>
  </si>
  <si>
    <t>-584.947179584599 -242.238703204969 818.155014499892</t>
  </si>
  <si>
    <t>9763-20170724T104635.249205200.bin</t>
  </si>
  <si>
    <t>-825.577518802796 6.75014395190169 -76.8790296017609</t>
  </si>
  <si>
    <t>-945.134046316049 121.860892726789 -508.783763601983</t>
  </si>
  <si>
    <t>-971.712623836398 134.35262258477 -215.989042781313</t>
  </si>
  <si>
    <t>-744.593361661416 199.464116532796 -263.192893999623</t>
  </si>
  <si>
    <t>-872.948026917761 101.450413565214 -82.9568072098804</t>
  </si>
  <si>
    <t>-835.647301870954 83.1893867352526 318.453019934801</t>
  </si>
  <si>
    <t>-867.786264038054 48.5996819184891 763.049788306214</t>
  </si>
  <si>
    <t>-727.68336852327 89.3493918226234 824.676971926474</t>
  </si>
  <si>
    <t>-627.781124714972 -106.44141927878 301.113486888252</t>
  </si>
  <si>
    <t>-706.297658342014 -179.117371856989 737.056147327306</t>
  </si>
  <si>
    <t>-585.164237348684 -241.506556036348 817.812404410215</t>
  </si>
  <si>
    <t>9763-20170724T104635.281804300.bin</t>
  </si>
  <si>
    <t>-825.67392361093 6.77862684824686 -77.0373910765882</t>
  </si>
  <si>
    <t>-945.269808843573 122.037492536371 -508.806789696294</t>
  </si>
  <si>
    <t>-972.699922941045 133.845865328683 -216.062399299976</t>
  </si>
  <si>
    <t>-745.648669982415 200.361109446482 -261.606911145343</t>
  </si>
  <si>
    <t>-873.212451393012 101.284277718318 -83.1160927074035</t>
  </si>
  <si>
    <t>-836.490772235167 83.128201571998 318.351908712718</t>
  </si>
  <si>
    <t>-867.700274159587 48.4145124760262 762.991114508</t>
  </si>
  <si>
    <t>-727.655471367142 89.4142219983778 824.584821330037</t>
  </si>
  <si>
    <t>-627.914820243809 -105.99814674322 301.057976092378</t>
  </si>
  <si>
    <t>-706.522767456372 -178.970640229199 736.956615351534</t>
  </si>
  <si>
    <t>-585.070168772992 -240.861089606419 817.617218838451</t>
  </si>
  <si>
    <t>9763-20170724T104635.347490500.bin</t>
  </si>
  <si>
    <t>-825.981407831407 6.42860215080782 -77.1686902185407</t>
  </si>
  <si>
    <t>-944.665077957241 122.374280868205 -508.72422429776</t>
  </si>
  <si>
    <t>-974.081429659124 132.825820317654 -216.121057950348</t>
  </si>
  <si>
    <t>-747.195285557316 201.869818418743 -258.623751844856</t>
  </si>
  <si>
    <t>-873.858399304142 100.83253107904 -83.3476266682064</t>
  </si>
  <si>
    <t>-837.794099328013 82.787546220369 318.184984987637</t>
  </si>
  <si>
    <t>-867.573987131763 47.982491178635 762.936959553882</t>
  </si>
  <si>
    <t>-727.444139010815 88.8284692212251 824.439198921908</t>
  </si>
  <si>
    <t>-628.149567568561 -105.293220796279 301.068213480293</t>
  </si>
  <si>
    <t>-707.002043701626 -178.457396164224 736.899498089697</t>
  </si>
  <si>
    <t>-585.375568186483 -240.340421339372 817.303470635109</t>
  </si>
  <si>
    <t>9763-20170724T104635.383087600.bin</t>
  </si>
  <si>
    <t>-826.096179845135 6.17635025084587 -77.2172298210672</t>
  </si>
  <si>
    <t>-944.15137117447 122.464687636915 -508.725809979056</t>
  </si>
  <si>
    <t>-974.613189490687 132.16561121728 -216.203775875842</t>
  </si>
  <si>
    <t>-747.765573881459 202.138239442623 -257.372559985155</t>
  </si>
  <si>
    <t>-874.13869210028 100.429422205978 -83.3936641385902</t>
  </si>
  <si>
    <t>-838.183588040005 82.5375998937093 318.155640695116</t>
  </si>
  <si>
    <t>-867.546056927719 47.7565700327791 762.953625317121</t>
  </si>
  <si>
    <t>-727.330476880681 88.4033389717151 824.392336576728</t>
  </si>
  <si>
    <t>-627.998366081673 -105.09720753394 301.007500918713</t>
  </si>
  <si>
    <t>-707.128626422866 -178.052885129267 736.781647166775</t>
  </si>
  <si>
    <t>-585.667606682395 -240.305161761321 817.150575022775</t>
  </si>
  <si>
    <t>9763-20170724T104635.452359200.bin</t>
  </si>
  <si>
    <t>-826.140845386563 5.51362613755214 -77.2377332407677</t>
  </si>
  <si>
    <t>-942.843694941281 122.518382896635 -508.631817191328</t>
  </si>
  <si>
    <t>-975.182616343104 130.352392209086 -216.255319569381</t>
  </si>
  <si>
    <t>-748.396520086984 201.658227862149 -255.426659880743</t>
  </si>
  <si>
    <t>-874.49571520854 99.3871604403612 -83.386595698556</t>
  </si>
  <si>
    <t>-838.602899158812 81.7890983839363 318.18123416958</t>
  </si>
  <si>
    <t>-867.334433306499 46.9785439313491 763.040479954972</t>
  </si>
  <si>
    <t>-727.152907941431 87.9565283577956 824.336884380973</t>
  </si>
  <si>
    <t>-627.315760084631 -105.101790265595 300.891452981705</t>
  </si>
  <si>
    <t>-707.407174580795 -177.476441976095 736.547248594465</t>
  </si>
  <si>
    <t>-585.805268235493 -239.530659758255 816.856314648944</t>
  </si>
  <si>
    <t>9763-20170724T104635.485981700.bin</t>
  </si>
  <si>
    <t>-826.203245830921 5.03013844773614 -77.1759769797745</t>
  </si>
  <si>
    <t>-942.357901933485 122.436652318361 -508.480996947026</t>
  </si>
  <si>
    <t>-975.242998366174 129.41481360629 -216.143817048248</t>
  </si>
  <si>
    <t>-748.528108388517 201.333048557778 -254.601496626561</t>
  </si>
  <si>
    <t>-874.772200929142 98.7937409551514 -83.2995246257365</t>
  </si>
  <si>
    <t>-839.031715841548 81.2669628348558 318.28496124971</t>
  </si>
  <si>
    <t>-867.23313792033 46.4912871593021 763.185701263226</t>
  </si>
  <si>
    <t>-727.004067719237 87.4700331935489 824.372440526705</t>
  </si>
  <si>
    <t>-626.981849812704 -105.205459723209 300.848227585813</t>
  </si>
  <si>
    <t>-707.56443837275 -177.226312898023 736.452474086498</t>
  </si>
  <si>
    <t>-585.76262773849 -238.957570877927 816.707523220942</t>
  </si>
  <si>
    <t>9763-20170724T104635.548151300.bin</t>
  </si>
  <si>
    <t>-826.399752509888 3.96421812279982 -76.9750288973588</t>
  </si>
  <si>
    <t>-941.669342765102 121.999762246244 -507.906700086176</t>
  </si>
  <si>
    <t>-975.140813361245 128.097236600797 -215.616234829856</t>
  </si>
  <si>
    <t>-748.523347359862 200.89812300301 -252.971289871863</t>
  </si>
  <si>
    <t>-875.28279272131 97.5901308969455 -83.1587708273856</t>
  </si>
  <si>
    <t>-839.817661211237 80.0819412004921 318.450888532152</t>
  </si>
  <si>
    <t>-866.938603397273 45.4382638812181 763.423508737275</t>
  </si>
  <si>
    <t>-726.708301773423 86.6387558271149 824.458435817985</t>
  </si>
  <si>
    <t>-626.186048209541 -105.090036263534 300.836418461733</t>
  </si>
  <si>
    <t>-707.880906786825 -176.637006501317 736.257229952352</t>
  </si>
  <si>
    <t>-586.148353996141 -238.593722082968 816.443469459253</t>
  </si>
  <si>
    <t>9763-20170724T104635.581738000.bin</t>
  </si>
  <si>
    <t>-826.24607164 3.36339742408381 -76.9168590651063</t>
  </si>
  <si>
    <t>-941.122659131669 121.652175091612 -507.685417358526</t>
  </si>
  <si>
    <t>-974.907066747332 127.545599259892 -215.426808824581</t>
  </si>
  <si>
    <t>-748.359216850315 200.980270896093 -251.95441921128</t>
  </si>
  <si>
    <t>-875.04068281704 97.0837781372913 -83.1493103165856</t>
  </si>
  <si>
    <t>-839.939360389872 79.6452911863523 318.495368434229</t>
  </si>
  <si>
    <t>-866.812635706856 45.0615782339319 763.467003723961</t>
  </si>
  <si>
    <t>-726.575589129569 86.2753751913406 824.477426625586</t>
  </si>
  <si>
    <t>-625.745240916807 -105.110158837303 300.868241091703</t>
  </si>
  <si>
    <t>-708.079408575608 -176.468722581688 736.194400814844</t>
  </si>
  <si>
    <t>-586.126613672153 -238.073416649044 816.31718133047</t>
  </si>
  <si>
    <t>9763-20170724T104635.648918700.bin</t>
  </si>
  <si>
    <t>-826.006728570209 2.26359993222809 -76.924703861045</t>
  </si>
  <si>
    <t>-940.16451442942 121.38809966601 -507.475785741237</t>
  </si>
  <si>
    <t>-974.929946697005 126.628337266728 -215.319800677656</t>
  </si>
  <si>
    <t>-748.433779975212 201.229680028704 -249.743246731168</t>
  </si>
  <si>
    <t>-874.804890603396 96.2756468201217 -83.2125960813809</t>
  </si>
  <si>
    <t>-840.068732937761 78.7786297702787 318.461360653631</t>
  </si>
  <si>
    <t>-866.614155232081 44.5149192156605 763.463364076881</t>
  </si>
  <si>
    <t>-726.368826256765 85.6258921720016 824.524175744623</t>
  </si>
  <si>
    <t>-625.239787161562 -105.35517210555 300.758571309417</t>
  </si>
  <si>
    <t>-708.345204363087 -175.931781389281 735.962460599035</t>
  </si>
  <si>
    <t>-586.20737303392 -237.207742405195 816.055596101966</t>
  </si>
  <si>
    <t>9763-20170724T104635.682015000.bin</t>
  </si>
  <si>
    <t>-825.874673887162 2.03892308026184 -77.0050837919565</t>
  </si>
  <si>
    <t>-939.630503509506 121.517692935372 -507.477571354489</t>
  </si>
  <si>
    <t>-975.097551760668 126.310006125964 -215.398175388124</t>
  </si>
  <si>
    <t>-748.651688507841 201.453868216818 -248.961711782305</t>
  </si>
  <si>
    <t>-874.588868411778 95.9268324314648 -83.2765072986846</t>
  </si>
  <si>
    <t>-840.054558662023 78.4813342979471 318.417051283485</t>
  </si>
  <si>
    <t>-866.427503609108 44.1209468845311 763.451897273629</t>
  </si>
  <si>
    <t>-726.210459159392 85.2930098893753 824.536525707783</t>
  </si>
  <si>
    <t>-625.095874985894 -105.494414477816 300.653087889698</t>
  </si>
  <si>
    <t>-708.451381003736 -175.624406856113 735.828826593019</t>
  </si>
  <si>
    <t>-586.207302455828 -236.675308801196 815.931731627301</t>
  </si>
  <si>
    <t>9763-20170724T104635.747933600.bin</t>
  </si>
  <si>
    <t>-825.585047412224 2.16023906175201 -77.1242188959292</t>
  </si>
  <si>
    <t>-938.760916055034 122.203817129288 -507.37650095634</t>
  </si>
  <si>
    <t>-975.55253530222 126.229636366003 -215.449469667817</t>
  </si>
  <si>
    <t>-749.098589712052 201.924201268999 -247.695446442121</t>
  </si>
  <si>
    <t>-874.139837492202 95.5439516899003 -83.3909198235008</t>
  </si>
  <si>
    <t>-839.965628498372 78.2186744796866 318.338677844189</t>
  </si>
  <si>
    <t>-866.200742287605 43.5935493996997 763.414299018821</t>
  </si>
  <si>
    <t>-726.010290013696 84.7619592796723 824.562412856964</t>
  </si>
  <si>
    <t>-624.95749451478 -105.455782517615 300.511505083351</t>
  </si>
  <si>
    <t>-708.785808194907 -175.089140703866 735.703148859864</t>
  </si>
  <si>
    <t>-586.662494689758 -236.462384357336 815.743818470452</t>
  </si>
  <si>
    <t>9763-20170724T104635.783532800.bin</t>
  </si>
  <si>
    <t>-825.519102728846 1.99983274449096 -77.1989705187806</t>
  </si>
  <si>
    <t>-938.599344922615 122.35735627244 -507.348018722396</t>
  </si>
  <si>
    <t>-975.779972570148 126.009245499198 -215.465465696427</t>
  </si>
  <si>
    <t>-749.393576627083 202.092741798603 -247.266750866582</t>
  </si>
  <si>
    <t>-873.985384236799 95.3720870748914 -83.4379391432369</t>
  </si>
  <si>
    <t>-839.992351558409 78.0214772923448 318.305877477089</t>
  </si>
  <si>
    <t>-866.143859716645 43.4470004084155 763.378921548173</t>
  </si>
  <si>
    <t>-725.885140774542 84.2929623134983 824.586560082104</t>
  </si>
  <si>
    <t>-625.116298901305 -105.588909990284 300.44186373375</t>
  </si>
  <si>
    <t>-708.996064744928 -175.114046434138 735.637237601981</t>
  </si>
  <si>
    <t>-586.582915610464 -235.967773326791 815.631875029784</t>
  </si>
  <si>
    <t>9763-20170724T104635.851216300.bin</t>
  </si>
  <si>
    <t>-825.363222551154 1.67603950646071 -77.3667112055202</t>
  </si>
  <si>
    <t>-938.452214355878 122.447713671382 -507.288043834154</t>
  </si>
  <si>
    <t>-976.275570256962 125.404051314314 -215.4800473614</t>
  </si>
  <si>
    <t>-750.073487914937 202.457975057093 -246.239882690775</t>
  </si>
  <si>
    <t>-873.594713850929 94.8556178070185 -83.5607965959182</t>
  </si>
  <si>
    <t>-839.800126430912 77.5741753932507 318.202744132974</t>
  </si>
  <si>
    <t>-865.89401265398 42.9007731862414 763.323519662692</t>
  </si>
  <si>
    <t>-725.683850980474 83.8129541072738 824.598348266284</t>
  </si>
  <si>
    <t>-625.271613042157 -105.178774539803 300.288278560045</t>
  </si>
  <si>
    <t>-709.157246828798 -174.196217063528 735.474418796427</t>
  </si>
  <si>
    <t>-587.213165049957 -235.949659317645 815.495937063916</t>
  </si>
  <si>
    <t>9763-20170724T104635.883316800.bin</t>
  </si>
  <si>
    <t>-825.282421571705 1.44748467462659 -77.3865585786061</t>
  </si>
  <si>
    <t>-938.441236529416 122.294093470166 -507.215767044822</t>
  </si>
  <si>
    <t>-976.625561769161 124.878078010394 -215.451312186201</t>
  </si>
  <si>
    <t>-750.505166457283 202.440020054759 -245.528050026118</t>
  </si>
  <si>
    <t>-873.444760310976 94.4776338081053 -83.5756248192311</t>
  </si>
  <si>
    <t>-839.484369522823 77.2494741377543 318.176178695473</t>
  </si>
  <si>
    <t>-865.702062338027 42.5019740190262 763.323195665025</t>
  </si>
  <si>
    <t>-725.60258856108 83.7684635674639 824.613536049456</t>
  </si>
  <si>
    <t>-625.209100295569 -105.254578716244 300.229114528902</t>
  </si>
  <si>
    <t>-709.306331270962 -174.007662899757 735.421418169705</t>
  </si>
  <si>
    <t>-587.252873324257 -235.571985093544 815.422050519055</t>
  </si>
  <si>
    <t>9763-20170724T104635.947490000.bin</t>
  </si>
  <si>
    <t>-825.061008037881 1.20140160730239 -77.3238373243197</t>
  </si>
  <si>
    <t>-938.79284196827 122.170374755048 -506.834161717592</t>
  </si>
  <si>
    <t>-977.792834962923 124.288939467666 -215.173895066402</t>
  </si>
  <si>
    <t>-751.789676877162 202.858674246811 -243.462735458333</t>
  </si>
  <si>
    <t>-873.058153754877 93.9444127263748 -83.4879019106482</t>
  </si>
  <si>
    <t>-838.676718849979 76.6265592072223 318.224254686187</t>
  </si>
  <si>
    <t>-865.476608982159 41.8999869041591 763.339490276016</t>
  </si>
  <si>
    <t>-725.357441510215 83.0033441981302 824.694534328225</t>
  </si>
  <si>
    <t>-624.801032320965 -105.479051727179 300.116114975133</t>
  </si>
  <si>
    <t>-709.527545845874 -173.476260581142 735.252597589139</t>
  </si>
  <si>
    <t>-587.404929245491 -234.914652302007 815.244348595712</t>
  </si>
  <si>
    <t>9763-20170724T104636.002646300.bin</t>
  </si>
  <si>
    <t>-824.671866723222 0.933871731988575 -77.2757390987291</t>
  </si>
  <si>
    <t>-938.959230997675 121.86631657107 -506.488347826354</t>
  </si>
  <si>
    <t>-978.528185253668 123.657642381673 -214.902599445344</t>
  </si>
  <si>
    <t>-752.513254377887 202.608191175642 -242.012691585272</t>
  </si>
  <si>
    <t>-872.450690218159 93.4022897969569 -83.4205080005107</t>
  </si>
  <si>
    <t>-837.780270831723 76.1455422111521 318.269490361072</t>
  </si>
  <si>
    <t>-865.234162752552 41.3226889416924 763.37405338305</t>
  </si>
  <si>
    <t>-725.145407692765 82.4938933649698 824.75292478132</t>
  </si>
  <si>
    <t>-624.159094571756 -105.569033624364 300.041693391243</t>
  </si>
  <si>
    <t>-709.658230476547 -173.129149649252 735.085440989217</t>
  </si>
  <si>
    <t>-587.622109699552 -234.681075942406 815.121893066611</t>
  </si>
  <si>
    <t>9763-20170724T104636.050775400.bin</t>
  </si>
  <si>
    <t>-824.272504437968 0.538017949606001 -77.1650576720978</t>
  </si>
  <si>
    <t>-939.094511776203 121.526065080784 -506.077248274849</t>
  </si>
  <si>
    <t>-979.232385318101 122.899875884524 -214.566870320753</t>
  </si>
  <si>
    <t>-753.213037481959 202.099349263163 -240.90282253655</t>
  </si>
  <si>
    <t>-871.898775334582 92.9286398501235 -83.3376331050438</t>
  </si>
  <si>
    <t>-836.997786777098 75.6601187937215 318.331889173891</t>
  </si>
  <si>
    <t>-865.094388962258 40.890706756278 763.424074375838</t>
  </si>
  <si>
    <t>-725.052619837741 82.2068995875866 824.812657211326</t>
  </si>
  <si>
    <t>-623.5052940732 -105.653269020212 299.990969968747</t>
  </si>
  <si>
    <t>-709.750320785199 -172.647149542162 734.924936986395</t>
  </si>
  <si>
    <t>-587.698740008036 -234.116226184542 815.001509534465</t>
  </si>
  <si>
    <t>9763-20170724T104636.082882300.bin</t>
  </si>
  <si>
    <t>-824.002417904742 0.177945585179486 -77.1409022288451</t>
  </si>
  <si>
    <t>-939.230228139737 121.140426826545 -505.8693124096</t>
  </si>
  <si>
    <t>-979.584642016507 122.229938655234 -214.387679764122</t>
  </si>
  <si>
    <t>-753.553204242659 201.52759496867 -240.32032112212</t>
  </si>
  <si>
    <t>-871.514654967236 92.5721142111133 -83.301543138269</t>
  </si>
  <si>
    <t>-836.465886470521 75.2877976421078 318.354464993637</t>
  </si>
  <si>
    <t>-864.927016181624 40.5006088994178 763.435904697912</t>
  </si>
  <si>
    <t>-724.901586807054 81.8578922853887 824.834015047182</t>
  </si>
  <si>
    <t>-623.250580053426 -105.764920714248 299.960175790094</t>
  </si>
  <si>
    <t>-709.848192160103 -172.486142884327 734.843962397541</t>
  </si>
  <si>
    <t>-587.766058885996 -233.869512883913 814.939688411456</t>
  </si>
  <si>
    <t>9763-20170724T104636.151052700.bin</t>
  </si>
  <si>
    <t>-939.685562272951 120.547495707945 -505.544959280341</t>
  </si>
  <si>
    <t>-980.159361102684 120.960429458397 -214.078192981703</t>
  </si>
  <si>
    <t>-754.186346370945 200.50168157384 -239.773798359474</t>
  </si>
  <si>
    <t>-870.866289812216 91.8880219476762 -83.2643684732697</t>
  </si>
  <si>
    <t>-835.400738248073 74.8187458247874 318.364251381116</t>
  </si>
  <si>
    <t>-864.77953134571 40.0251871970643 763.454224150173</t>
  </si>
  <si>
    <t>-724.698905246603 81.2066092326274 824.844892005646</t>
  </si>
  <si>
    <t>-623.169401604633 -105.733215630189 299.952838697391</t>
  </si>
  <si>
    <t>-710.02062264861 -171.879890355288 734.786345665775</t>
  </si>
  <si>
    <t>-587.980549429585 -233.34674177624 814.882230800658</t>
  </si>
  <si>
    <t>9763-20170724T104636.183153600.bin</t>
  </si>
  <si>
    <t>-940.162920426635 120.325887668008 -505.293535226168</t>
  </si>
  <si>
    <t>-980.4766778878 120.499099997006 -213.804394251012</t>
  </si>
  <si>
    <t>-754.534111755087 200.097127458481 -239.591468835315</t>
  </si>
  <si>
    <t>-870.644211651888 91.6512813976785 -83.2230969452257</t>
  </si>
  <si>
    <t>-834.851561000523 74.6151505160656 318.377889281508</t>
  </si>
  <si>
    <t>-864.65819344199 39.7127255326702 763.454641652393</t>
  </si>
  <si>
    <t>-724.596369378995 80.9593212652608 824.844199828423</t>
  </si>
  <si>
    <t>-623.243389321547 -105.724499232602 299.997058272104</t>
  </si>
  <si>
    <t>-710.180600950897 -171.81851310251 734.82598443104</t>
  </si>
  <si>
    <t>-587.989907841574 -233.029305626415 814.888275144367</t>
  </si>
  <si>
    <t>9763-20170724T104636.250335300.bin</t>
  </si>
  <si>
    <t>-941.39411357652 120.015270505672 -504.710221581349</t>
  </si>
  <si>
    <t>-981.13734256895 119.794121298861 -213.142807709773</t>
  </si>
  <si>
    <t>-755.288304164162 199.549105309277 -239.2618011622</t>
  </si>
  <si>
    <t>-870.296496603957 91.3222466698189 -83.1210390801056</t>
  </si>
  <si>
    <t>-834.022281301902 74.3623581309803 318.439938227626</t>
  </si>
  <si>
    <t>-864.434008518421 39.1245110214297 763.468872739098</t>
  </si>
  <si>
    <t>-724.402530332882 80.4694560354353 824.861607237024</t>
  </si>
  <si>
    <t>-623.197710717747 -105.284520793745 300.089736009787</t>
  </si>
  <si>
    <t>-710.334655810327 -171.162673953418 734.894186765172</t>
  </si>
  <si>
    <t>-588.473733947992 -233.02986046382 814.954521597713</t>
  </si>
  <si>
    <t>9763-20170724T104636.282925200.bin</t>
  </si>
  <si>
    <t>-941.931535005729 119.713534303463 -504.440569647678</t>
  </si>
  <si>
    <t>-981.486577250758 119.487199717805 -212.847471256311</t>
  </si>
  <si>
    <t>-755.603112532789 199.11450970894 -239.0597299677</t>
  </si>
  <si>
    <t>-870.146989992267 91.0744661271624 -83.0772065739462</t>
  </si>
  <si>
    <t>-833.898880301556 74.1066880136739 318.485791889195</t>
  </si>
  <si>
    <t>-864.29577705983 38.7637154512677 763.497653180634</t>
  </si>
  <si>
    <t>-724.321718369856 80.3207158750547 824.878426001326</t>
  </si>
  <si>
    <t>-623.064357270657 -105.147889286614 300.124320966951</t>
  </si>
  <si>
    <t>-710.407651935531 -170.926050989931 734.905523408875</t>
  </si>
  <si>
    <t>-588.511700118513 -232.721098250332 814.968413281561</t>
  </si>
  <si>
    <t>9763-20170724T104636.347607900.bin</t>
  </si>
  <si>
    <t>-942.561351768657 119.07752582849 -504.103325534903</t>
  </si>
  <si>
    <t>-982.00928956633 118.692615914248 -212.495925450289</t>
  </si>
  <si>
    <t>-756.093045105069 198.168199313282 -238.885231889849</t>
  </si>
  <si>
    <t>-869.923551826496 90.5262577268088 -82.9974060264123</t>
  </si>
  <si>
    <t>-833.735782560493 73.6840791454006 318.576303019673</t>
  </si>
  <si>
    <t>-864.15050789646 38.2432522328402 763.583516895079</t>
  </si>
  <si>
    <t>-724.148885039585 79.755803079953 824.93142084571</t>
  </si>
  <si>
    <t>-622.667785345814 -105.055050420252 300.113145695926</t>
  </si>
  <si>
    <t>-710.479062199792 -170.284923995709 734.833162927791</t>
  </si>
  <si>
    <t>-588.779094775941 -232.340135140859 814.992812613969</t>
  </si>
  <si>
    <t>9763-20170724T104636.380199300.bin</t>
  </si>
  <si>
    <t>-942.643854627281 118.767668559552 -504.014193714288</t>
  </si>
  <si>
    <t>-982.037783962147 118.232932370279 -212.399647258231</t>
  </si>
  <si>
    <t>-756.138938575564 197.75043171711 -238.810628513436</t>
  </si>
  <si>
    <t>-869.679472897003 90.2527204064636 -82.9314465564671</t>
  </si>
  <si>
    <t>-833.548709512914 73.5150430295171 318.651783257045</t>
  </si>
  <si>
    <t>-864.025334269407 37.882017183467 763.648395418759</t>
  </si>
  <si>
    <t>-724.012720103464 79.3918234494588 824.972935885976</t>
  </si>
  <si>
    <t>-622.431734145321 -105.179338519383 300.102738929263</t>
  </si>
  <si>
    <t>-710.584602432336 -170.170436127777 734.820081393603</t>
  </si>
  <si>
    <t>-588.86039088802 -232.144100714846 815.006067768498</t>
  </si>
  <si>
    <t>9763-20170724T104636.449888800.bin</t>
  </si>
  <si>
    <t>-942.440278873101 118.396749930278 -504.019094358409</t>
  </si>
  <si>
    <t>-981.992985552727 117.652284258236 -212.426502238122</t>
  </si>
  <si>
    <t>-756.066466173303 197.150317161625 -238.658002425278</t>
  </si>
  <si>
    <t>-869.444585462991 89.6610348871975 -82.7748658403005</t>
  </si>
  <si>
    <t>-833.314485990417 72.8739805996374 318.80641586116</t>
  </si>
  <si>
    <t>-863.823472023678 37.1875002354407 763.780485338207</t>
  </si>
  <si>
    <t>-723.853248923032 78.9580546456166 825.024799750446</t>
  </si>
  <si>
    <t>-622.522653310326 -105.903491551722 300.013814272783</t>
  </si>
  <si>
    <t>-710.806996230158 -169.994597560683 734.80944021662</t>
  </si>
  <si>
    <t>-588.904733197281 -231.568284784097 815.032940775783</t>
  </si>
  <si>
    <t>9763-20170724T104636.484483400.bin</t>
  </si>
  <si>
    <t>-942.281987350238 118.450116520224 -504.135402571352</t>
  </si>
  <si>
    <t>-982.07378567895 117.581415500209 -212.57565271653</t>
  </si>
  <si>
    <t>-756.110126209663 197.036357301659 -238.617895744085</t>
  </si>
  <si>
    <t>-869.229994347204 89.3525038722344 -82.7967637809572</t>
  </si>
  <si>
    <t>-833.70568665453 72.5130687761036 318.836287996612</t>
  </si>
  <si>
    <t>-863.783373029429 36.9234213345924 763.85280692938</t>
  </si>
  <si>
    <t>-723.792891959074 78.7553747778729 825.008574512418</t>
  </si>
  <si>
    <t>-623.046848663761 -106.201716154483 299.989989000108</t>
  </si>
  <si>
    <t>-710.990443061437 -170.074764198152 734.875660127065</t>
  </si>
  <si>
    <t>-588.887516882615 -231.295348642348 815.064277831356</t>
  </si>
  <si>
    <t>9763-20170724T104636.547151900.bin</t>
  </si>
  <si>
    <t>-942.076752383999 118.921030853277 -504.504852155486</t>
  </si>
  <si>
    <t>-982.543499839172 117.824169579206 -213.03874007406</t>
  </si>
  <si>
    <t>-756.623023690394 197.570169773307 -238.561567107088</t>
  </si>
  <si>
    <t>-869.817161818916 88.7810862036331 -82.8572318876967</t>
  </si>
  <si>
    <t>-835.058783832688 72.3121736974244 318.858233022365</t>
  </si>
  <si>
    <t>-863.816604759215 36.5777090458448 764.034232619485</t>
  </si>
  <si>
    <t>-723.676279197638 78.2602494587791 824.948703786938</t>
  </si>
  <si>
    <t>-624.627547272846 -106.364444860635 300.071676428879</t>
  </si>
  <si>
    <t>-711.376770813591 -169.790575860369 735.192187675975</t>
  </si>
  <si>
    <t>-589.290496412271 -231.306369580967 815.179961979423</t>
  </si>
  <si>
    <t>9763-20170724T104636.583753600.bin</t>
  </si>
  <si>
    <t>-942.122823199502 119.047916094779 -504.573539513172</t>
  </si>
  <si>
    <t>-983.065270343579 117.919293786523 -213.174090585557</t>
  </si>
  <si>
    <t>-757.231386997653 197.986853278412 -238.454691520128</t>
  </si>
  <si>
    <t>-870.328064299336 88.5490956497783 -82.8111127724327</t>
  </si>
  <si>
    <t>-835.36277239128 72.2425031942535 318.892976189741</t>
  </si>
  <si>
    <t>-863.821556609782 36.4584921432158 764.07855213828</t>
  </si>
  <si>
    <t>-723.61653142564 78.0139345183529 824.930640352525</t>
  </si>
  <si>
    <t>-625.323428758966 -106.370979947615 300.150888948506</t>
  </si>
  <si>
    <t>-711.621157442529 -169.864247893795 735.352816109494</t>
  </si>
  <si>
    <t>-589.215614134936 -230.928826358008 815.198273126457</t>
  </si>
  <si>
    <t>9763-20170724T104636.650433900.bin</t>
  </si>
  <si>
    <t>-941.643278901025 118.748465106986 -504.640288683986</t>
  </si>
  <si>
    <t>-983.585118423567 117.709910935356 -213.382591965707</t>
  </si>
  <si>
    <t>-757.822154497658 198.177842732494 -238.017919201597</t>
  </si>
  <si>
    <t>-870.539104206972 87.688118597267 -82.7083118389095</t>
  </si>
  <si>
    <t>-835.199399251903 71.6799594393697 318.974981153551</t>
  </si>
  <si>
    <t>-863.652276508388 35.9691088430839 764.131028111322</t>
  </si>
  <si>
    <t>-723.526279718049 77.8455470514918 824.945358096824</t>
  </si>
  <si>
    <t>-625.556658960444 -106.196990089531 300.255773841451</t>
  </si>
  <si>
    <t>-711.777017369928 -169.393350989142 735.464465246733</t>
  </si>
  <si>
    <t>-589.399797706667 -230.592569007366 815.250214065053</t>
  </si>
  <si>
    <t>9763-20170724T104636.682521300.bin</t>
  </si>
  <si>
    <t>-941.276360298816 118.395621961713 -504.733199571169</t>
  </si>
  <si>
    <t>-983.70575757806 117.170426657782 -213.546889915987</t>
  </si>
  <si>
    <t>-757.960649156735 197.782501795262 -237.872694869924</t>
  </si>
  <si>
    <t>-870.620874622286 87.3333188159611 -82.6965487698046</t>
  </si>
  <si>
    <t>-835.265849007174 71.3824206843797 318.987682270011</t>
  </si>
  <si>
    <t>-863.569628904111 35.7423476761192 764.154882007072</t>
  </si>
  <si>
    <t>-723.44296546913 77.6207732191422 824.966162017384</t>
  </si>
  <si>
    <t>-625.318583642074 -106.173201364608 300.273448566325</t>
  </si>
  <si>
    <t>-711.840755421963 -169.355285031784 735.435004031508</t>
  </si>
  <si>
    <t>-589.28835333211 -230.175342992706 815.241747211409</t>
  </si>
  <si>
    <t>9763-20170724T104636.746213200.bin</t>
  </si>
  <si>
    <t>-940.873001047142 117.806601090756 -504.588618695342</t>
  </si>
  <si>
    <t>-983.824907807849 116.348970304589 -213.480031724463</t>
  </si>
  <si>
    <t>-758.076796516052 197.109249947501 -237.279782100029</t>
  </si>
  <si>
    <t>-870.477907934042 86.7369793880816 -82.7160655345991</t>
  </si>
  <si>
    <t>-835.156127217278 71.0145302336427 318.980183586536</t>
  </si>
  <si>
    <t>-863.344817200803 35.2635418219322 764.17853912945</t>
  </si>
  <si>
    <t>-723.23931345109 77.182209131985 825.010623734988</t>
  </si>
  <si>
    <t>-624.397573858388 -106.063591030351 300.356739551415</t>
  </si>
  <si>
    <t>-711.883295676548 -168.859758332027 735.354024881844</t>
  </si>
  <si>
    <t>-589.418796626338 -229.770758406871 815.226287384655</t>
  </si>
  <si>
    <t>9763-20170724T104636.782311300.bin</t>
  </si>
  <si>
    <t>-940.674749642923 117.455073987331 -504.471869886791</t>
  </si>
  <si>
    <t>-983.646371144033 115.659026032615 -213.368016813807</t>
  </si>
  <si>
    <t>-758.040199716671 196.802011198883 -237.211981202879</t>
  </si>
  <si>
    <t>-870.221778582736 86.3778532880228 -82.737629971287</t>
  </si>
  <si>
    <t>-834.928001133006 70.8141775119216 318.967206673782</t>
  </si>
  <si>
    <t>-863.197059478872 34.9891085530774 764.176081833443</t>
  </si>
  <si>
    <t>-723.14784394615 77.0462229010459 825.04233493547</t>
  </si>
  <si>
    <t>-623.879727622984 -105.850412575903 300.425259704353</t>
  </si>
  <si>
    <t>-711.844475898347 -168.32418345598 735.308788933066</t>
  </si>
  <si>
    <t>-589.576657112582 -229.584031816126 815.215660712119</t>
  </si>
  <si>
    <t>9763-20170724T104636.849522600.bin</t>
  </si>
  <si>
    <t>-940.899954584847 116.689769558336 -504.192647260843</t>
  </si>
  <si>
    <t>-983.822224652327 114.404742093779 -213.08505718169</t>
  </si>
  <si>
    <t>-758.544048391047 196.434832304763 -236.994564863463</t>
  </si>
  <si>
    <t>-869.946067481047 86.0206697436224 -82.7061052644409</t>
  </si>
  <si>
    <t>-834.125000465243 70.4884010033561 318.95320982099</t>
  </si>
  <si>
    <t>-863.163692432114 34.8767001247229 764.155094711135</t>
  </si>
  <si>
    <t>-722.969408809263 76.2924606499769 825.12726939508</t>
  </si>
  <si>
    <t>-622.926139511552 -105.288348081057 300.531310728695</t>
  </si>
  <si>
    <t>-711.880763575787 -167.731969509682 735.235753806084</t>
  </si>
  <si>
    <t>-589.795011874047 -229.307507457591 815.178377477617</t>
  </si>
  <si>
    <t>9763-20170724T104636.881106600.bin</t>
  </si>
  <si>
    <t>-941.099232729085 116.09292646926 -504.082410209909</t>
  </si>
  <si>
    <t>-983.911514881121 113.547161967496 -212.960813185746</t>
  </si>
  <si>
    <t>-758.770611102907 195.951810845527 -236.875523298455</t>
  </si>
  <si>
    <t>-869.636086129841 85.7085964260154 -82.6911744808781</t>
  </si>
  <si>
    <t>-833.56270756667 70.1216652037131 318.943492192494</t>
  </si>
  <si>
    <t>-863.022419587189 34.6115965313281 764.139975232244</t>
  </si>
  <si>
    <t>-722.950871319476 76.3838148547129 825.150847530534</t>
  </si>
  <si>
    <t>-622.412927498371 -105.174793446411 300.585563850232</t>
  </si>
  <si>
    <t>-711.899476917658 -167.502412989365 735.195569723628</t>
  </si>
  <si>
    <t>-589.636796087255 -228.707051312073 815.152512960247</t>
  </si>
  <si>
    <t>9763-20170724T104636.949874000.bin</t>
  </si>
  <si>
    <t>-941.319480500587 114.872222601357 -503.837572704353</t>
  </si>
  <si>
    <t>-983.758956687166 112.032213391051 -212.664149775196</t>
  </si>
  <si>
    <t>-758.890838254212 195.126110254364 -236.759529220671</t>
  </si>
  <si>
    <t>-868.601270472293 85.0693514397849 -82.7065965160689</t>
  </si>
  <si>
    <t>-832.816215195753 69.5212117414128 318.955402893787</t>
  </si>
  <si>
    <t>-862.732190141025 34.0444119446433 764.14093104729</t>
  </si>
  <si>
    <t>-722.802361905769 76.2204431739444 825.199494510468</t>
  </si>
  <si>
    <t>-621.14245591993 -105.05727829361 300.73012603852</t>
  </si>
  <si>
    <t>-711.962351746074 -166.96902945758 735.135873193222</t>
  </si>
  <si>
    <t>-589.797623731934 -228.337391175862 815.117074084512</t>
  </si>
  <si>
    <t>9763-20170724T104636.987982400.bin</t>
  </si>
  <si>
    <t>-941.368343948836 114.422231343765 -503.735199043889</t>
  </si>
  <si>
    <t>-983.629572195708 111.574298260374 -212.535799636827</t>
  </si>
  <si>
    <t>-758.821409050756 194.818366743874 -236.672825536706</t>
  </si>
  <si>
    <t>-868.013649095935 84.8553333450823 -82.7342451069404</t>
  </si>
  <si>
    <t>-832.470515601644 69.3698250167665 318.951600770358</t>
  </si>
  <si>
    <t>-862.653397729109 33.88022639121 764.13448092745</t>
  </si>
  <si>
    <t>-722.688714555464 75.9032227603936 825.218727175458</t>
  </si>
  <si>
    <t>-620.488892724087 -104.872974023091 300.79521969271</t>
  </si>
  <si>
    <t>-711.893815875564 -166.330832808625 735.084810406121</t>
  </si>
  <si>
    <t>-590.011627544497 -228.214633197839 815.099887050247</t>
  </si>
  <si>
    <t>9763-20170724T104637.052155900.bin</t>
  </si>
  <si>
    <t>-941.762898506262 113.042124644157 -503.562485190924</t>
  </si>
  <si>
    <t>-983.596981779716 110.34828963282 -212.299911785865</t>
  </si>
  <si>
    <t>-758.908722386956 193.822050245783 -236.75651498107</t>
  </si>
  <si>
    <t>-866.811962074953 84.0636375234462 -82.7486607604019</t>
  </si>
  <si>
    <t>-831.487836855198 68.6473728662349 318.95927533117</t>
  </si>
  <si>
    <t>-862.41427918973 33.3762944768546 764.140848337259</t>
  </si>
  <si>
    <t>-722.543710664287 75.6469109361688 825.269666248877</t>
  </si>
  <si>
    <t>-619.737616809286 -104.961774178554 300.915065462523</t>
  </si>
  <si>
    <t>-712.032728642019 -166.123054631001 735.080338607114</t>
  </si>
  <si>
    <t>-589.907397255618 -227.521879799524 815.098332516326</t>
  </si>
  <si>
    <t>9763-20170724T104637.085257200.bin</t>
  </si>
  <si>
    <t>-942.068489069008 112.50960549384 -503.425667378015</t>
  </si>
  <si>
    <t>-983.603955587514 109.780731834251 -212.12074601949</t>
  </si>
  <si>
    <t>-758.980548948093 193.34447953619 -236.865260873779</t>
  </si>
  <si>
    <t>-866.240286385738 83.7612363775979 -82.7281431529543</t>
  </si>
  <si>
    <t>-830.98413571613 68.3328185317203 318.985213900173</t>
  </si>
  <si>
    <t>-862.37641742455 33.2506155386243 764.144357444055</t>
  </si>
  <si>
    <t>-722.535407484731 75.5773377891865 825.301837474193</t>
  </si>
  <si>
    <t>-619.36285010575 -104.966474387503 300.969773289218</t>
  </si>
  <si>
    <t>-712.038036843086 -165.689324674495 735.083131348474</t>
  </si>
  <si>
    <t>-590.140398616196 -227.514673450317 815.119944346878</t>
  </si>
  <si>
    <t>9763-20170724T104637.148023000.bin</t>
  </si>
  <si>
    <t>-942.405814082919 111.46230713592 -503.219947904243</t>
  </si>
  <si>
    <t>-983.55761518804 108.691482256906 -211.861064275375</t>
  </si>
  <si>
    <t>-759.085361628429 192.587096236529 -236.852883553621</t>
  </si>
  <si>
    <t>-864.942332094433 83.0069632527043 -82.6786591074608</t>
  </si>
  <si>
    <t>-830.088867381844 67.5660377708521 319.069356202827</t>
  </si>
  <si>
    <t>-862.038175086466 32.5518591364789 764.184387689102</t>
  </si>
  <si>
    <t>-722.336199423208 75.2682760961536 825.388633699847</t>
  </si>
  <si>
    <t>-618.878836508872 -105.462412653314 301.11909913371</t>
  </si>
  <si>
    <t>-712.267605725844 -165.637682273646 735.165003216919</t>
  </si>
  <si>
    <t>-590.080973587537 -226.968274243117 815.141832513536</t>
  </si>
  <si>
    <t>9763-20170724T104637.184623300.bin</t>
  </si>
  <si>
    <t>-942.510698365622 111.232026127078 -503.144683493848</t>
  </si>
  <si>
    <t>-983.694108141444 108.439450819297 -211.790273461629</t>
  </si>
  <si>
    <t>-759.303782401592 192.570003261129 -236.727662381561</t>
  </si>
  <si>
    <t>-864.394156978484 82.7570608902897 -82.6714309645764</t>
  </si>
  <si>
    <t>-829.796472264743 67.3574058203003 319.100336891305</t>
  </si>
  <si>
    <t>-861.985285757842 32.3910153448155 764.204289333334</t>
  </si>
  <si>
    <t>-722.256574007338 74.9858929279521 825.432492045035</t>
  </si>
  <si>
    <t>-618.617114601671 -105.61460063994 301.201150875796</t>
  </si>
  <si>
    <t>-712.354834983063 -165.523590071117 735.196047996704</t>
  </si>
  <si>
    <t>-590.183192074221 -226.90903858026 815.153610519194</t>
  </si>
  <si>
    <t>9763-20170724T104637.251840600.bin</t>
  </si>
  <si>
    <t>-942.677651063233 110.79427750253 -502.948679220084</t>
  </si>
  <si>
    <t>-984.261722528173 107.721279193706 -211.654062895565</t>
  </si>
  <si>
    <t>-759.936880513833 192.120623256078 -236.270479203351</t>
  </si>
  <si>
    <t>-863.415468107269 82.1847576627131 -82.6305670159667</t>
  </si>
  <si>
    <t>-829.159745020846 66.8296260493516 319.172161711852</t>
  </si>
  <si>
    <t>-861.805031801869 31.9318272379089 764.270963184181</t>
  </si>
  <si>
    <t>-722.121932609083 74.6521699142045 825.515468463293</t>
  </si>
  <si>
    <t>-618.038974553587 -105.788216066479 301.323924270777</t>
  </si>
  <si>
    <t>-712.513202327956 -165.257968720728 735.248345417322</t>
  </si>
  <si>
    <t>-590.317291376815 -226.665685321539 815.151691131123</t>
  </si>
  <si>
    <t>9763-20170724T104637.282425900.bin</t>
  </si>
  <si>
    <t>-942.756278204413 110.575637587041 -502.837717774096</t>
  </si>
  <si>
    <t>-984.543896475593 107.355807904549 -211.573946135627</t>
  </si>
  <si>
    <t>-760.220294697402 191.818077341107 -235.985491276293</t>
  </si>
  <si>
    <t>-863.01513595145 82.0083327571008 -82.584045359648</t>
  </si>
  <si>
    <t>-828.843530338423 66.5852706923622 319.223280973501</t>
  </si>
  <si>
    <t>-861.79151140008 31.8125077022607 764.305437973643</t>
  </si>
  <si>
    <t>-722.074947474877 74.4128471104239 825.557356244343</t>
  </si>
  <si>
    <t>-617.831090757063 -105.699983764315 301.380850719567</t>
  </si>
  <si>
    <t>-712.522073502613 -164.831719502548 735.261876495592</t>
  </si>
  <si>
    <t>-590.574131871813 -226.743305997787 815.155256524453</t>
  </si>
  <si>
    <t>9763-20170724T104637.349152800.bin</t>
  </si>
  <si>
    <t>-943.02867479604 109.945707978969 -502.625517873096</t>
  </si>
  <si>
    <t>-985.129995498104 106.387559476102 -211.410702671476</t>
  </si>
  <si>
    <t>-760.793180312515 190.915143920616 -235.472300085936</t>
  </si>
  <si>
    <t>-862.205784019488 81.3919597104261 -82.4832229845672</t>
  </si>
  <si>
    <t>-828.123012641044 65.9671997066093 319.33158631858</t>
  </si>
  <si>
    <t>-861.624778398617 31.3694483962481 764.381850488417</t>
  </si>
  <si>
    <t>-721.990495499164 74.2377047743046 825.634473303134</t>
  </si>
  <si>
    <t>-617.5646634712 -105.913584291504 301.481770256022</t>
  </si>
  <si>
    <t>-712.735656615855 -164.649096771089 735.331118855992</t>
  </si>
  <si>
    <t>-590.574692015316 -226.285235157629 815.111895023508</t>
  </si>
  <si>
    <t>9763-20170724T104637.383747000.bin</t>
  </si>
  <si>
    <t>-943.044287755495 109.699355804263 -502.598798426053</t>
  </si>
  <si>
    <t>-985.375570566999 105.896413419885 -211.42043263787</t>
  </si>
  <si>
    <t>-761.020238010434 190.451592245656 -235.210275844691</t>
  </si>
  <si>
    <t>-861.844344146452 81.0374797193253 -82.4506056938501</t>
  </si>
  <si>
    <t>-827.750383733078 65.7292324522614 319.36768826736</t>
  </si>
  <si>
    <t>-861.509657262126 31.114628797809 764.406751365872</t>
  </si>
  <si>
    <t>-721.931948005366 74.1642437026892 825.660972801994</t>
  </si>
  <si>
    <t>-617.467546945737 -105.912094619164 301.52330306413</t>
  </si>
  <si>
    <t>-712.770139074303 -164.339192966007 735.344421852993</t>
  </si>
  <si>
    <t>-590.706637542187 -226.199887172526 815.100623160044</t>
  </si>
  <si>
    <t>9763-20170724T104637.446918000.bin</t>
  </si>
  <si>
    <t>-943.061048543456 109.438386246385 -502.561663173418</t>
  </si>
  <si>
    <t>-986.075266747676 105.238227000296 -211.488901329072</t>
  </si>
  <si>
    <t>-761.721843043725 189.985068033111 -234.606106569302</t>
  </si>
  <si>
    <t>-861.436455931112 80.6590540789614 -82.3788903465174</t>
  </si>
  <si>
    <t>-827.014831327288 65.4741814822016 319.416084233431</t>
  </si>
  <si>
    <t>-861.398715332914 30.8001603951393 764.436316599447</t>
  </si>
  <si>
    <t>-721.779112897977 73.6974747010838 825.702024491634</t>
  </si>
  <si>
    <t>-617.245522349502 -106.0003814462 301.58178426841</t>
  </si>
  <si>
    <t>-712.903052977638 -164.331843105591 735.343884976819</t>
  </si>
  <si>
    <t>-590.664442689338 -225.832575834601 815.110315050922</t>
  </si>
  <si>
    <t>9763-20170724T104637.480007300.bin</t>
  </si>
  <si>
    <t>-943.085978819865 109.479924571858 -502.496805713391</t>
  </si>
  <si>
    <t>-986.507696406575 105.142170459719 -211.486596676155</t>
  </si>
  <si>
    <t>-762.157372044898 189.973573517705 -234.321564587644</t>
  </si>
  <si>
    <t>-861.209665149652 80.5810808141105 -82.3439197004225</t>
  </si>
  <si>
    <t>-826.687764275215 65.3916777532688 319.442346696215</t>
  </si>
  <si>
    <t>-861.352458396083 30.6650629100857 764.440617553758</t>
  </si>
  <si>
    <t>-721.779391424446 73.7029071880031 825.713907812991</t>
  </si>
  <si>
    <t>-617.102125573965 -105.942967594805 301.61587508489</t>
  </si>
  <si>
    <t>-712.924959807185 -164.229586113393 735.336266532295</t>
  </si>
  <si>
    <t>-590.654734745294 -225.630974068979 815.130773421196</t>
  </si>
  <si>
    <t>9763-20170724T104637.553715200.bin</t>
  </si>
  <si>
    <t>-942.932573509817 109.533338320683 -502.439447095493</t>
  </si>
  <si>
    <t>-986.899708881843 104.924650123915 -211.515361469964</t>
  </si>
  <si>
    <t>-762.506734009514 189.794714901089 -233.779856059644</t>
  </si>
  <si>
    <t>-860.719822272724 80.5892217069595 -82.2930576755502</t>
  </si>
  <si>
    <t>-826.213755115299 65.3645758158816 319.49327835294</t>
  </si>
  <si>
    <t>-861.318900358542 30.4911977563079 764.452868244424</t>
  </si>
  <si>
    <t>-721.6927378658 73.3500928154908 825.730389932433</t>
  </si>
  <si>
    <t>-616.738711705888 -105.618104637536 301.686331935486</t>
  </si>
  <si>
    <t>-712.893937690333 -163.664480706638 735.328091763504</t>
  </si>
  <si>
    <t>-590.768216126758 -225.273350811864 815.183872602272</t>
  </si>
  <si>
    <t>9763-20170724T104637.581290600.bin</t>
  </si>
  <si>
    <t>-942.718168597951 109.667895468163 -502.41271415587</t>
  </si>
  <si>
    <t>-987.029602806064 104.94593256527 -211.542498401084</t>
  </si>
  <si>
    <t>-762.599477237762 189.779033476805 -233.573045295795</t>
  </si>
  <si>
    <t>-860.517876000711 80.6504318130392 -82.2637322935201</t>
  </si>
  <si>
    <t>-825.955606175691 65.3637361648298 319.515373591611</t>
  </si>
  <si>
    <t>-861.292446050631 30.3901521630708 764.465910912845</t>
  </si>
  <si>
    <t>-721.66847988782 73.2609784084443 825.74030100431</t>
  </si>
  <si>
    <t>-616.501640280402 -105.391903819508 301.707408731744</t>
  </si>
  <si>
    <t>-712.822799855047 -163.190363897299 735.310702356849</t>
  </si>
  <si>
    <t>-590.939533770976 -225.208300829604 815.220301406346</t>
  </si>
  <si>
    <t>9763-20170724T104637.649993100.bin</t>
  </si>
  <si>
    <t>-942.357307791746 109.844837452545 -502.403496303521</t>
  </si>
  <si>
    <t>-987.269260084962 104.936884928492 -211.628593706943</t>
  </si>
  <si>
    <t>-762.781992815967 189.742826948614 -233.175048521384</t>
  </si>
  <si>
    <t>-860.081791030637 80.7270704323983 -82.1950699278881</t>
  </si>
  <si>
    <t>-825.459485163503 65.3339943499898 319.574882818707</t>
  </si>
  <si>
    <t>-861.2049082616 30.1373143542714 764.476271324386</t>
  </si>
  <si>
    <t>-721.598222538699 73.0612730706298 825.752663778203</t>
  </si>
  <si>
    <t>-616.213076566259 -105.468301183201 301.756188139005</t>
  </si>
  <si>
    <t>-712.941589699012 -163.303494000103 735.306099349795</t>
  </si>
  <si>
    <t>-590.864624003768 -224.872918753348 815.266818511003</t>
  </si>
  <si>
    <t>9763-20170724T104637.682582700.bin</t>
  </si>
  <si>
    <t>-942.095484374567 110.063268692894 -502.444979487691</t>
  </si>
  <si>
    <t>-987.26275638954 105.028842702784 -211.711705419318</t>
  </si>
  <si>
    <t>-762.761133073053 189.83985410503 -233.089075994685</t>
  </si>
  <si>
    <t>-859.852672200049 80.8189744220481 -82.1780730886973</t>
  </si>
  <si>
    <t>-825.234342047912 65.3753685457543 319.590197594056</t>
  </si>
  <si>
    <t>-861.170887364812 30.0219252782526 764.483031060593</t>
  </si>
  <si>
    <t>-721.584131095552 73.0101388219643 825.75979601734</t>
  </si>
  <si>
    <t>-616.143121029961 -105.353478358036 301.794437133116</t>
  </si>
  <si>
    <t>-712.956419773357 -163.164825358077 735.316603542341</t>
  </si>
  <si>
    <t>-591.001303737016 -224.934037040204 815.309198640837</t>
  </si>
  <si>
    <t>9763-20170724T104637.751782800.bin</t>
  </si>
  <si>
    <t>-941.674887346969 110.614651014856 -502.498916874639</t>
  </si>
  <si>
    <t>-987.151839956978 105.481541412155 -211.815824735148</t>
  </si>
  <si>
    <t>-762.624849626513 190.269066468027 -233.019888916467</t>
  </si>
  <si>
    <t>-859.44301718587 81.0307438699153 -82.1658511994757</t>
  </si>
  <si>
    <t>-825.013867822988 65.4514691447303 319.61344153558</t>
  </si>
  <si>
    <t>-861.08751343651 29.8051298957689 764.476238999343</t>
  </si>
  <si>
    <t>-721.523815970543 72.8484717866629 825.766993895735</t>
  </si>
  <si>
    <t>-616.118456178829 -105.014706967906 301.829168160797</t>
  </si>
  <si>
    <t>-712.970881604223 -162.791919822636 735.341673973031</t>
  </si>
  <si>
    <t>-591.135854683228 -224.753317263396 815.368616460503</t>
  </si>
  <si>
    <t>9763-20170724T104637.778854600.bin</t>
  </si>
  <si>
    <t>-941.503099426749 110.846966463428 -502.516333417817</t>
  </si>
  <si>
    <t>-987.060075301717 105.680457093207 -211.84636852377</t>
  </si>
  <si>
    <t>-762.537093757591 190.485204978544 -233.024077582784</t>
  </si>
  <si>
    <t>-859.307104635144 81.1213662633941 -82.1621217622128</t>
  </si>
  <si>
    <t>-824.950201375915 65.4769686328232 319.62079650005</t>
  </si>
  <si>
    <t>-861.018819377773 29.6569568530217 764.47256100693</t>
  </si>
  <si>
    <t>-721.449797832701 72.6753025372857 825.76888886977</t>
  </si>
  <si>
    <t>-616.153852419295 -104.841950498144 301.84927986553</t>
  </si>
  <si>
    <t>-712.981749928952 -162.640510761835 735.351805073706</t>
  </si>
  <si>
    <t>-591.093299151842 -224.478155775618 815.393080352877</t>
  </si>
  <si>
    <t>9763-20170724T104637.847574100.bin</t>
  </si>
  <si>
    <t>-940.916965132348 111.321193441224 -502.494631620596</t>
  </si>
  <si>
    <t>-986.708908082887 106.0458536019 -211.863527334084</t>
  </si>
  <si>
    <t>-762.278317201298 191.114062675633 -232.962700508024</t>
  </si>
  <si>
    <t>-858.944065987455 81.261557314861 -82.1362603775771</t>
  </si>
  <si>
    <t>-824.835337825772 65.5033731007163 319.663361309405</t>
  </si>
  <si>
    <t>-860.925817235324 29.4273785597888 764.479428860872</t>
  </si>
  <si>
    <t>-721.37650578959 72.4963932971664 825.784866538835</t>
  </si>
  <si>
    <t>-616.018216409843 -104.654422759767 301.896471227088</t>
  </si>
  <si>
    <t>-713.082808231471 -162.629328568297 735.369503605063</t>
  </si>
  <si>
    <t>-591.079384935508 -224.21105120306 815.432930017979</t>
  </si>
  <si>
    <t>9763-20170724T104637.881167200.bin</t>
  </si>
  <si>
    <t>-940.563903564277 111.575176578733 -502.482379104072</t>
  </si>
  <si>
    <t>-986.461520810872 106.170650426595 -211.870330978319</t>
  </si>
  <si>
    <t>-762.073782197221 191.375656891525 -232.874212292647</t>
  </si>
  <si>
    <t>-858.797601128762 81.3681990936923 -82.1189955370743</t>
  </si>
  <si>
    <t>-824.74401573163 65.5122607678688 319.681457205411</t>
  </si>
  <si>
    <t>-860.940332676057 29.411021295793 764.478701210276</t>
  </si>
  <si>
    <t>-721.378606018994 72.4251035567975 825.794410133346</t>
  </si>
  <si>
    <t>-615.920579302466 -104.569396394506 301.916458634876</t>
  </si>
  <si>
    <t>-713.102514555737 -162.528161909807 735.359001811257</t>
  </si>
  <si>
    <t>-591.049605790772 -223.988040132215 815.440541919598</t>
  </si>
  <si>
    <t>9763-20170724T104637.953370600.bin</t>
  </si>
  <si>
    <t>-939.931855118186 112.373366734309 -502.38942857127</t>
  </si>
  <si>
    <t>-986.067210192118 106.487974633519 -211.824289572361</t>
  </si>
  <si>
    <t>-761.768996244217 191.966797468061 -232.670570186163</t>
  </si>
  <si>
    <t>-858.452561404525 81.6672109347055 -82.0849584530664</t>
  </si>
  <si>
    <t>-824.530173380019 65.6704765466461 319.721011079783</t>
  </si>
  <si>
    <t>-860.908789878616 29.2782901977037 764.483634179788</t>
  </si>
  <si>
    <t>-721.318893094659 72.1838221565536 825.811476210208</t>
  </si>
  <si>
    <t>-615.582737657904 -104.188210830083 301.907810507436</t>
  </si>
  <si>
    <t>-713.052365981767 -161.998385571377 735.293061489888</t>
  </si>
  <si>
    <t>-591.409287259296 -224.158044072766 815.458069703496</t>
  </si>
  <si>
    <t>9763-20170724T104637.989468700.bin</t>
  </si>
  <si>
    <t>-939.62440157105 112.691797257293 -502.329749410661</t>
  </si>
  <si>
    <t>-985.87249845178 106.517726187434 -211.788567454174</t>
  </si>
  <si>
    <t>-761.57815697235 192.028460309735 -232.543733728922</t>
  </si>
  <si>
    <t>-858.309496037711 81.8187710677748 -82.0712371863914</t>
  </si>
  <si>
    <t>-824.486432681482 65.7320438461811 319.739483561633</t>
  </si>
  <si>
    <t>-860.969036818328 29.3295452501802 764.485969554838</t>
  </si>
  <si>
    <t>-721.354477113597 72.1482599596454 825.81822109441</t>
  </si>
  <si>
    <t>-615.487596964656 -104.057673633509 301.921764698768</t>
  </si>
  <si>
    <t>-713.110154844998 -162.033064291741 735.277119098001</t>
  </si>
  <si>
    <t>-591.405329600267 -224.054245726656 815.455660919481</t>
  </si>
  <si>
    <t>9763-20170724T104638.049195700.bin</t>
  </si>
  <si>
    <t>-938.765823358804 113.327470721985 -502.232438679636</t>
  </si>
  <si>
    <t>-985.419699734865 106.50729331756 -211.770534855941</t>
  </si>
  <si>
    <t>-761.085828052773 191.937085144342 -232.43176002847</t>
  </si>
  <si>
    <t>-857.92106878323 81.9679818967236 -82.0759287946081</t>
  </si>
  <si>
    <t>-824.344957226728 65.715840538893 319.748864269076</t>
  </si>
  <si>
    <t>-860.817946582397 29.0176129669642 764.480913082749</t>
  </si>
  <si>
    <t>-721.222333922434 71.8838294973161 825.823166998102</t>
  </si>
  <si>
    <t>-615.368687143343 -103.914551104219 301.97312925773</t>
  </si>
  <si>
    <t>-713.216552457031 -162.028458121669 735.262366728463</t>
  </si>
  <si>
    <t>-591.38165270943 -223.794132323163 815.440675508253</t>
  </si>
  <si>
    <t>9763-20170724T104638.080781400.bin</t>
  </si>
  <si>
    <t>-938.396211135565 113.740476732331 -502.187992235658</t>
  </si>
  <si>
    <t>-985.196275206 106.620103318148 -211.756903934571</t>
  </si>
  <si>
    <t>-760.885481480757 192.111983585588 -232.413951175579</t>
  </si>
  <si>
    <t>-857.783489637887 82.1329738505365 -82.0907508455963</t>
  </si>
  <si>
    <t>-824.329855503955 65.8080679797954 319.741381127434</t>
  </si>
  <si>
    <t>-860.872716932497 29.0642748266946 764.474608904703</t>
  </si>
  <si>
    <t>-721.228390719903 71.7669824747995 825.819908256358</t>
  </si>
  <si>
    <t>-615.300320068574 -103.690980437769 301.978172601489</t>
  </si>
  <si>
    <t>-713.188898401995 -161.699039037976 735.252656038665</t>
  </si>
  <si>
    <t>-591.514984205322 -223.760592267913 815.446871460004</t>
  </si>
  <si>
    <t>9763-20170724T104638.151530500.bin</t>
  </si>
  <si>
    <t>-937.826480010337 114.276221796336 -502.131175621405</t>
  </si>
  <si>
    <t>-984.716598458715 106.777592873973 -211.723994349483</t>
  </si>
  <si>
    <t>-760.50900075826 192.532392580363 -232.410123058477</t>
  </si>
  <si>
    <t>-857.397958021584 82.2212211512096 -82.0740596710101</t>
  </si>
  <si>
    <t>-824.129289829366 65.7890214251879 319.768987467833</t>
  </si>
  <si>
    <t>-860.773292969234 28.8203964036272 764.480944738305</t>
  </si>
  <si>
    <t>-721.168044484502 71.6560018937932 825.822358789302</t>
  </si>
  <si>
    <t>-615.14424824836 -103.508243402473 301.968807865989</t>
  </si>
  <si>
    <t>-713.22901503027 -161.474120326852 735.216166134885</t>
  </si>
  <si>
    <t>-591.524293506763 -223.454009164269 815.426810813114</t>
  </si>
  <si>
    <t>9763-20170724T104638.179606300.bin</t>
  </si>
  <si>
    <t>-937.550209382822 114.490764827978 -502.127006410247</t>
  </si>
  <si>
    <t>-984.504903887247 106.934658511679 -211.731926910275</t>
  </si>
  <si>
    <t>-760.3419451574 192.803473477137 -232.429053679786</t>
  </si>
  <si>
    <t>-857.149940647511 82.2781681333161 -82.0489891313277</t>
  </si>
  <si>
    <t>-824.025598729826 65.7597158408832 319.802489643077</t>
  </si>
  <si>
    <t>-860.712807156866 28.6752040887027 764.492631259936</t>
  </si>
  <si>
    <t>-721.163471293107 71.6982458430671 825.830115583431</t>
  </si>
  <si>
    <t>-615.02905048956 -103.467445218382 301.959754618707</t>
  </si>
  <si>
    <t>-713.262002159095 -161.398191810327 735.192617327565</t>
  </si>
  <si>
    <t>-591.680078928259 -223.599527469699 815.418101951444</t>
  </si>
  <si>
    <t>9763-20170724T104638.248334500.bin</t>
  </si>
  <si>
    <t>-937.095485069036 114.86120286471 -502.095002395225</t>
  </si>
  <si>
    <t>-984.269863442949 107.201982296568 -211.738113088634</t>
  </si>
  <si>
    <t>-760.183069952816 193.296766593043 -232.320190047541</t>
  </si>
  <si>
    <t>-856.745497048388 82.4656725080931 -82.0147332566971</t>
  </si>
  <si>
    <t>-823.965769669323 65.7906581208963 319.858473926046</t>
  </si>
  <si>
    <t>-860.722715344711 28.5711466671557 764.519259074356</t>
  </si>
  <si>
    <t>-721.153745948696 71.5339197511307 825.854390116295</t>
  </si>
  <si>
    <t>-614.815357552469 -103.345361984094 301.965801792908</t>
  </si>
  <si>
    <t>-713.327749213281 -161.291952811409 735.140714897204</t>
  </si>
  <si>
    <t>-591.668115740161 -223.327146459053 815.377091053136</t>
  </si>
  <si>
    <t>9763-20170724T104638.280922700.bin</t>
  </si>
  <si>
    <t>-936.809681939149 115.139298304757 -502.077078539544</t>
  </si>
  <si>
    <t>-984.173772971543 107.359407365877 -211.754355227109</t>
  </si>
  <si>
    <t>-760.107894282222 193.540310557198 -232.205114984697</t>
  </si>
  <si>
    <t>-856.561141856337 82.6376004733581 -82.0055177869667</t>
  </si>
  <si>
    <t>-823.947824451528 65.8692060982214 319.877433230129</t>
  </si>
  <si>
    <t>-860.72376142678 28.5304578377529 764.522572191594</t>
  </si>
  <si>
    <t>-721.089083178245 71.2628046730163 825.868909283194</t>
  </si>
  <si>
    <t>-614.614731480849 -103.093751196499 301.981972524023</t>
  </si>
  <si>
    <t>-713.329005556151 -161.131131389582 735.107165678431</t>
  </si>
  <si>
    <t>-591.760956031396 -223.329798142788 815.35572308061</t>
  </si>
  <si>
    <t>9763-20170724T104638.349142900.bin</t>
  </si>
  <si>
    <t>-935.787224434295 115.912158370376 -501.963673866299</t>
  </si>
  <si>
    <t>-983.659173763555 107.436304412894 -211.743668536254</t>
  </si>
  <si>
    <t>-759.59730689147 193.741879593767 -231.706163370465</t>
  </si>
  <si>
    <t>-856.094084940583 82.8781456862571 -82.0206847365524</t>
  </si>
  <si>
    <t>-823.771956952691 65.8872725769309 319.876345093199</t>
  </si>
  <si>
    <t>-860.632789403265 28.3015633414636 764.516229997864</t>
  </si>
  <si>
    <t>-721.088277692651 71.3005996069671 825.881520588419</t>
  </si>
  <si>
    <t>-614.210842834436 -102.726012608829 302.0292586903</t>
  </si>
  <si>
    <t>-713.25986281603 -160.725308385319 734.999655865299</t>
  </si>
  <si>
    <t>-591.709218610101 -222.878757036297 815.30955651787</t>
  </si>
  <si>
    <t>9763-20170724T104638.380226400.bin</t>
  </si>
  <si>
    <t>-935.212275413778 116.251122309907 -501.938279158575</t>
  </si>
  <si>
    <t>-983.33205122227 107.364414415675 -211.771426826953</t>
  </si>
  <si>
    <t>-759.296654417781 193.808170328278 -231.429939681373</t>
  </si>
  <si>
    <t>-855.791441808402 83.0075800890613 -82.0255003928179</t>
  </si>
  <si>
    <t>-823.598903171365 65.8902805280761 319.876578154541</t>
  </si>
  <si>
    <t>-860.497930309998 28.0470543934071 764.514607556036</t>
  </si>
  <si>
    <t>-721.035814369969 71.3137304184399 825.879202656823</t>
  </si>
  <si>
    <t>-614.016748449684 -102.593299255574 302.052592181782</t>
  </si>
  <si>
    <t>-713.269572111593 -160.655283246825 734.979599582983</t>
  </si>
  <si>
    <t>-591.825448174755 -222.978888528197 815.318712101643</t>
  </si>
  <si>
    <t>9763-20170724T104638.446905300.bin</t>
  </si>
  <si>
    <t>-934.478780149394 116.94625113651 -501.959252865497</t>
  </si>
  <si>
    <t>-983.321718847693 107.754659906827 -211.922922582697</t>
  </si>
  <si>
    <t>-759.230665524668 194.196297023075 -230.947253375906</t>
  </si>
  <si>
    <t>-855.37240853465 83.456300177513 -81.9958097276663</t>
  </si>
  <si>
    <t>-823.537990654023 66.1149610217099 319.925229197115</t>
  </si>
  <si>
    <t>-860.591238614701 28.087444257209 764.531505531298</t>
  </si>
  <si>
    <t>-720.977429061825 70.8523101903597 825.902599829987</t>
  </si>
  <si>
    <t>-613.681043919643 -102.48132607988 302.045703552645</t>
  </si>
  <si>
    <t>-713.339693267191 -160.497937054051 734.943768808003</t>
  </si>
  <si>
    <t>-591.80581626396 -222.669600414628 815.264867772793</t>
  </si>
  <si>
    <t>9763-20170724T104638.480496300.bin</t>
  </si>
  <si>
    <t>-934.182825002097 117.120003569286 -501.9988830901</t>
  </si>
  <si>
    <t>-983.441454384896 107.793109272114 -212.037215634922</t>
  </si>
  <si>
    <t>-759.303208067701 194.201108654445 -230.653311776885</t>
  </si>
  <si>
    <t>-855.155077837476 83.5510052264344 -81.953788767798</t>
  </si>
  <si>
    <t>-823.461371759806 66.0646325593859 319.972042129606</t>
  </si>
  <si>
    <t>-860.570980057407 27.9826183179307 764.554784200362</t>
  </si>
  <si>
    <t>-721.001303583889 70.9010556775943 825.91957471382</t>
  </si>
  <si>
    <t>-613.501958957489 -102.580563653989 302.051948433858</t>
  </si>
  <si>
    <t>-713.394623599188 -160.527329501424 734.899663814892</t>
  </si>
  <si>
    <t>-591.795626363389 -222.5645033183 815.22633025249</t>
  </si>
  <si>
    <t>9763-20170724T104638.551188000.bin</t>
  </si>
  <si>
    <t>-933.075659897376 117.366321760786 -502.04333899239</t>
  </si>
  <si>
    <t>-983.268444264511 107.95432002824 -212.244763481873</t>
  </si>
  <si>
    <t>-759.002110945051 194.179573201183 -230.153200790362</t>
  </si>
  <si>
    <t>-854.734906952301 83.5869264484991 -81.7673209503108</t>
  </si>
  <si>
    <t>-822.950803233703 65.7864263060865 320.137667183878</t>
  </si>
  <si>
    <t>-860.387472591791 27.4918754974958 764.680547824982</t>
  </si>
  <si>
    <t>-720.86637575493 70.6147162437976 826.012397871743</t>
  </si>
  <si>
    <t>-612.055805898559 -102.626890073088 301.903091727079</t>
  </si>
  <si>
    <t>-713.136513594416 -160.336103847318 734.452149457287</t>
  </si>
  <si>
    <t>-591.841950409318 -222.484589812043 815.152070826966</t>
  </si>
  <si>
    <t>9763-20170724T104638.580270100.bin</t>
  </si>
  <si>
    <t>-932.531912115238 117.473640139043 -501.9910391654</t>
  </si>
  <si>
    <t>-983.25725217637 107.871240962766 -212.291265794457</t>
  </si>
  <si>
    <t>-758.89828220144 193.914283226987 -229.911243982261</t>
  </si>
  <si>
    <t>-854.569835668408 83.4728706042097 -81.6098807336708</t>
  </si>
  <si>
    <t>-822.604709367188 65.5552898714623 320.275512305281</t>
  </si>
  <si>
    <t>-860.293917675475 27.2144164983931 764.780178197583</t>
  </si>
  <si>
    <t>-720.830290078991 70.5470993413303 826.094559276283</t>
  </si>
  <si>
    <t>-610.648470360068 -102.686548561511 301.617363431704</t>
  </si>
  <si>
    <t>-712.69524772482 -159.806483749362 734.01066102188</t>
  </si>
  <si>
    <t>-591.869462493102 -222.33591739327 815.118597820816</t>
  </si>
  <si>
    <t>9763-20170724T104638.650461000.bin</t>
  </si>
  <si>
    <t>-932.157532617408 116.413408863484 -501.654946981293</t>
  </si>
  <si>
    <t>-983.94651167484 106.572377657593 -212.15153478244</t>
  </si>
  <si>
    <t>-759.43878871663 192.302042917502 -229.402272704828</t>
  </si>
  <si>
    <t>-854.553638017192 83.0131072362497 -81.2447753391212</t>
  </si>
  <si>
    <t>-822.163373175195 64.6524410185175 320.586606905711</t>
  </si>
  <si>
    <t>-860.15768401875 26.7532613840235 764.974391748053</t>
  </si>
  <si>
    <t>-720.716664794123 70.226952091492 826.240638569717</t>
  </si>
  <si>
    <t>-607.715069740501 -103.593491103637 300.605127910723</t>
  </si>
  <si>
    <t>-711.398403769807 -156.745149998422 733.1832519818</t>
  </si>
  <si>
    <t>-592.813885683404 -222.403154178122 815.122434782344</t>
  </si>
  <si>
    <t>9763-20170724T104638.683554900.bin</t>
  </si>
  <si>
    <t>-932.08116133065 115.530727883757 -501.410032248505</t>
  </si>
  <si>
    <t>-984.425482013719 105.668219680106 -212.007161358118</t>
  </si>
  <si>
    <t>-759.808903949797 191.150413973519 -229.066280838955</t>
  </si>
  <si>
    <t>-854.467805486149 82.6491450282374 -81.0402228553387</t>
  </si>
  <si>
    <t>-822.061632336731 64.1296865638171 320.782567319999</t>
  </si>
  <si>
    <t>-860.11008620576 26.5402793731962 765.068769615078</t>
  </si>
  <si>
    <t>-720.689169793928 70.1234589017108 826.302983722751</t>
  </si>
  <si>
    <t>-605.897500606296 -104.436100197312 299.899476880172</t>
  </si>
  <si>
    <t>-710.545244139747 -154.371657700816 732.775956371255</t>
  </si>
  <si>
    <t>-593.661596774577 -222.575921730376 815.078409785282</t>
  </si>
  <si>
    <t>9763-20170724T104638.751437900.bin</t>
  </si>
  <si>
    <t>-933.011440085591 114.445962059512 -500.845214476272</t>
  </si>
  <si>
    <t>-986.704391972558 104.828303897376 -211.681357795144</t>
  </si>
  <si>
    <t>-761.773644943261 189.584364393941 -228.217268831122</t>
  </si>
  <si>
    <t>-854.771415765206 82.0929078544145 -80.6446653497202</t>
  </si>
  <si>
    <t>-822.381662391778 63.0136556125899 321.153266404053</t>
  </si>
  <si>
    <t>-860.007673949745 25.9486857982058 765.291273858045</t>
  </si>
  <si>
    <t>-720.598994710411 69.6636743930478 826.459146428267</t>
  </si>
  <si>
    <t>-603.112252081405 -107.508646262827 297.992638826068</t>
  </si>
  <si>
    <t>-708.560051741213 -148.69079517851 731.967072948992</t>
  </si>
  <si>
    <t>-595.639172034598 -222.66600339546 814.81533097367</t>
  </si>
  <si>
    <t>9763-20170724T104638.783022900.bin</t>
  </si>
  <si>
    <t>-933.662215931203 114.206148861492 -500.54281240802</t>
  </si>
  <si>
    <t>-987.846645280802 104.622866238693 -211.46940780146</t>
  </si>
  <si>
    <t>-762.806445617461 189.147670845045 -227.697434114016</t>
  </si>
  <si>
    <t>-854.888697678171 81.9749695963505 -80.4574708862652</t>
  </si>
  <si>
    <t>-822.565386363378 62.668313181847 321.334955118624</t>
  </si>
  <si>
    <t>-860.111983463444 25.8411769052116 765.402336473204</t>
  </si>
  <si>
    <t>-720.574811129652 69.1917858823224 826.536457692673</t>
  </si>
  <si>
    <t>-602.109598208687 -108.579570261062 297.114733739138</t>
  </si>
  <si>
    <t>-707.543397331225 -145.858048458734 731.580912442418</t>
  </si>
  <si>
    <t>-597.130372081009 -223.286921973892 814.653387157529</t>
  </si>
  <si>
    <t>9763-20170724T104638.848704900.bin</t>
  </si>
  <si>
    <t>-934.32864415291 114.086476768018 -500.092635672115</t>
  </si>
  <si>
    <t>-988.918792691305 104.600767572472 -211.092352119319</t>
  </si>
  <si>
    <t>-763.823062466688 189.003871772701 -227.183971107744</t>
  </si>
  <si>
    <t>-854.343484380879 81.590689228078 -80.1127544072522</t>
  </si>
  <si>
    <t>-821.980178866841 61.8416559571253 321.654923862651</t>
  </si>
  <si>
    <t>-860.046892573453 25.080321662178 765.626725978193</t>
  </si>
  <si>
    <t>-720.620094820548 68.9013362916105 826.677202638243</t>
  </si>
  <si>
    <t>-601.060335020852 -110.027996903193 295.959672488964</t>
  </si>
  <si>
    <t>-706.057667076226 -141.947280544895 730.948452393738</t>
  </si>
  <si>
    <t>-598.939353784976 -223.592042677213 814.297710251829</t>
  </si>
  <si>
    <t>9763-20170724T104638.886815500.bin</t>
  </si>
  <si>
    <t>-934.162651478715 114.141217136542 -499.943746860959</t>
  </si>
  <si>
    <t>-988.454674607636 104.658442185382 -210.887241267753</t>
  </si>
  <si>
    <t>-763.407656977389 189.17672265864 -227.053767244381</t>
  </si>
  <si>
    <t>-853.699523557029 81.3614744032363 -79.9397908343319</t>
  </si>
  <si>
    <t>-821.041446929011 61.4604575200219 321.796494882129</t>
  </si>
  <si>
    <t>-860.03655911625 24.6568680071457 765.755057701296</t>
  </si>
  <si>
    <t>-720.592277192573 68.4926568901287 826.75505647059</t>
  </si>
  <si>
    <t>-600.83625638592 -110.280353471891 295.778946718246</t>
  </si>
  <si>
    <t>-705.786749617826 -141.086752364796 730.816247386425</t>
  </si>
  <si>
    <t>-599.326034117264 -223.55561321728 814.196616202344</t>
  </si>
  <si>
    <t>9763-20170724T104638.931935300.bin</t>
  </si>
  <si>
    <t>-933.581942145006 114.351861677702 -499.795561156211</t>
  </si>
  <si>
    <t>-987.465372578085 105.040736530415 -210.656968061624</t>
  </si>
  <si>
    <t>-762.569270981389 189.926551747845 -226.997269165385</t>
  </si>
  <si>
    <t>-852.752121037248 81.1501829923211 -79.742068737155</t>
  </si>
  <si>
    <t>-819.720355844781 61.0850237794955 321.955476429241</t>
  </si>
  <si>
    <t>-859.992705250486 24.1713509635258 765.887979037779</t>
  </si>
  <si>
    <t>-720.628699168337 68.314236878877 826.850249287739</t>
  </si>
  <si>
    <t>-600.827156922131 -110.376913544599 295.943425855728</t>
  </si>
  <si>
    <t>-706.037619780285 -141.172983387269 730.921701991165</t>
  </si>
  <si>
    <t>-599.377115232743 -223.533693911952 814.153624970529</t>
  </si>
  <si>
    <t>9763-20170724T104638.983584900.bin</t>
  </si>
  <si>
    <t>-932.156097562823 115.731673091798 -499.568605618295</t>
  </si>
  <si>
    <t>-984.25565882748 107.358334095508 -210.074653506006</t>
  </si>
  <si>
    <t>-759.902030088479 193.712916949081 -226.173930696231</t>
  </si>
  <si>
    <t>-850.814327087801 80.8774697874517 -79.3432326488985</t>
  </si>
  <si>
    <t>-817.239155986128 60.3683940594133 322.28690368749</t>
  </si>
  <si>
    <t>-860.010267326823 23.3316010518975 766.172752153684</t>
  </si>
  <si>
    <t>-720.609068057926 67.4745864683377 827.049713169343</t>
  </si>
  <si>
    <t>-602.194730271328 -110.224598729327 296.702986785342</t>
  </si>
  <si>
    <t>-706.710142887176 -141.335085123173 731.667439001619</t>
  </si>
  <si>
    <t>-599.476588163879 -223.589360109517 814.265792066094</t>
  </si>
  <si>
    <t>9763-20170724T104639.048832500.bin</t>
  </si>
  <si>
    <t>-930.296465342393 117.025162352925 -499.651478416817</t>
  </si>
  <si>
    <t>-978.485106030344 111.707342236211 -209.408798160152</t>
  </si>
  <si>
    <t>-755.16773087011 200.417603544097 -227.037577617251</t>
  </si>
  <si>
    <t>-848.93265594707 80.4343265602615 -79.1541690254121</t>
  </si>
  <si>
    <t>-815.584793524878 59.6353789068608 322.479990148998</t>
  </si>
  <si>
    <t>-860.116455731488 22.8201331369596 766.323256339453</t>
  </si>
  <si>
    <t>-720.785690075797 67.2492838994267 827.153297599436</t>
  </si>
  <si>
    <t>-603.543385005727 -110.137875086672 297.293594975422</t>
  </si>
  <si>
    <t>-706.761311117992 -141.057277719372 732.329538909802</t>
  </si>
  <si>
    <t>-599.142499520367 -223.130905466669 814.606067786053</t>
  </si>
  <si>
    <t>9763-20170724T104639.082935200.bin</t>
  </si>
  <si>
    <t>-929.032922278254 117.535760048776 -499.682314336505</t>
  </si>
  <si>
    <t>-974.049014280304 115.022760406411 -208.89284002769</t>
  </si>
  <si>
    <t>-751.406633375686 205.145681009058 -227.843034753965</t>
  </si>
  <si>
    <t>-847.932750273919 80.1668192058046 -79.0991280323506</t>
  </si>
  <si>
    <t>-814.799782947736 59.4048579596645 322.554710573709</t>
  </si>
  <si>
    <t>-860.026128851031 22.4520184552641 766.355729715099</t>
  </si>
  <si>
    <t>-720.794931406358 67.1954921950121 827.183228172365</t>
  </si>
  <si>
    <t>-603.624640340571 -110.393508161459 297.478615674728</t>
  </si>
  <si>
    <t>-706.619825529076 -140.814483818027 732.57365235992</t>
  </si>
  <si>
    <t>-599.046490757346 -222.958368623758 814.839423151322</t>
  </si>
  <si>
    <t>9763-20170724T104639.147108700.bin</t>
  </si>
  <si>
    <t>-925.823235369632 118.752593772894 -499.533994099679</t>
  </si>
  <si>
    <t>-961.734491931162 126.567287490962 -207.574194314644</t>
  </si>
  <si>
    <t>-739.928722043824 218.114409882557 -229.303558175852</t>
  </si>
  <si>
    <t>-846.422600797285 80.1430717311002 -78.8501401143228</t>
  </si>
  <si>
    <t>-813.650968331505 59.1511146331245 322.821389318814</t>
  </si>
  <si>
    <t>-860.062393177983 22.0439001890215 766.505757744785</t>
  </si>
  <si>
    <t>-720.825622181898 66.8140595003406 827.300864346672</t>
  </si>
  <si>
    <t>-603.408251800175 -111.204374543791 297.934978073404</t>
  </si>
  <si>
    <t>-706.632321099257 -140.815973250228 733.114028615187</t>
  </si>
  <si>
    <t>-598.837406052091 -222.745392459077 815.303649786472</t>
  </si>
  <si>
    <t>9763-20170724T104639.184208600.bin</t>
  </si>
  <si>
    <t>-923.847574221218 119.370793802173 -499.49777178431</t>
  </si>
  <si>
    <t>-953.9805803332 134.452393364367 -207.169653095486</t>
  </si>
  <si>
    <t>-731.957212492205 225.26145645081 -229.756699846433</t>
  </si>
  <si>
    <t>-845.795573211564 80.0675212063616 -78.7131417779682</t>
  </si>
  <si>
    <t>-813.155107209929 58.9627165482411 322.963159990313</t>
  </si>
  <si>
    <t>-859.972344492797 21.6731611401317 766.598990762242</t>
  </si>
  <si>
    <t>-720.918107771981 67.0605295237795 827.354362659753</t>
  </si>
  <si>
    <t>-603.258222606358 -111.402881348375 298.198248611606</t>
  </si>
  <si>
    <t>-706.495448489166 -140.523038288351 733.350107237888</t>
  </si>
  <si>
    <t>-598.948083679907 -222.779299175708 815.537423093534</t>
  </si>
  <si>
    <t>9763-20170724T104639.248382100.bin</t>
  </si>
  <si>
    <t>-919.757466955459 120.323076360849 -499.664915041649</t>
  </si>
  <si>
    <t>-935.372990384171 150.237541643631 -207.342355388765</t>
  </si>
  <si>
    <t>-712.38795266588 238.181845579237 -231.72187776312</t>
  </si>
  <si>
    <t>-844.642501105964 80.1608950469395 -78.5300438372734</t>
  </si>
  <si>
    <t>-812.55953336244 58.8663343275655 323.181183699259</t>
  </si>
  <si>
    <t>-860.031239985382 21.3379966636546 766.738742849867</t>
  </si>
  <si>
    <t>-720.990122486348 66.8387903579883 827.439170850966</t>
  </si>
  <si>
    <t>-603.373794934832 -111.702910821036 298.837622533912</t>
  </si>
  <si>
    <t>-706.502715683364 -140.47365369225 733.933632067468</t>
  </si>
  <si>
    <t>-598.643668548082 -222.436589337558 816.005613323646</t>
  </si>
  <si>
    <t>9763-20170724T104639.281476700.bin</t>
  </si>
  <si>
    <t>-917.714241706686 120.964789967828 -499.843856274883</t>
  </si>
  <si>
    <t>-925.007056052791 157.093377018243 -207.897346589931</t>
  </si>
  <si>
    <t>-701.443108269688 243.039147474966 -234.038995969699</t>
  </si>
  <si>
    <t>-844.253233231952 80.4459709541613 -78.4490115203745</t>
  </si>
  <si>
    <t>-812.310761312767 58.9756448478247 323.264085240098</t>
  </si>
  <si>
    <t>-860.122027007742 21.2695350372996 766.819514426891</t>
  </si>
  <si>
    <t>-721.025868098213 66.651373014663 827.482873230622</t>
  </si>
  <si>
    <t>-603.660635310821 -111.59624806096 299.14249160592</t>
  </si>
  <si>
    <t>-706.380123439795 -140.131308878434 734.252002666583</t>
  </si>
  <si>
    <t>-598.850104156597 -222.567050889795 816.282217568295</t>
  </si>
  <si>
    <t>9763-20170724T104639.348658400.bin</t>
  </si>
  <si>
    <t>-913.930523481099 122.179390813061 -500.283437632826</t>
  </si>
  <si>
    <t>-904.611650533055 168.127244182632 -209.77838264559</t>
  </si>
  <si>
    <t>-679.632195856632 249.002110145651 -239.684266845917</t>
  </si>
  <si>
    <t>-843.573408113543 80.8892502051974 -78.2328719823108</t>
  </si>
  <si>
    <t>-811.541865830947 59.1479110541209 323.458498056065</t>
  </si>
  <si>
    <t>-860.219364266574 20.9615665950773 767.02657276316</t>
  </si>
  <si>
    <t>-721.056650534632 66.3257189431363 827.550328101006</t>
  </si>
  <si>
    <t>-604.651431519007 -111.311755879447 299.684183535694</t>
  </si>
  <si>
    <t>-706.383525431612 -139.963536823733 734.949780977197</t>
  </si>
  <si>
    <t>-598.670713717996 -222.296689485185 816.843108007234</t>
  </si>
  <si>
    <t>9763-20170724T104639.382250100.bin</t>
  </si>
  <si>
    <t>-912.512618477513 122.560721403376 -500.547556217629</t>
  </si>
  <si>
    <t>-895.66676336646 171.65032125939 -210.896592294848</t>
  </si>
  <si>
    <t>-670.009497285927 250.09559419798 -242.137843962739</t>
  </si>
  <si>
    <t>-843.243564587396 81.0907034293389 -78.0776509224477</t>
  </si>
  <si>
    <t>-811.007568714512 59.1619356822714 323.587141948516</t>
  </si>
  <si>
    <t>-860.158907054188 20.6443047945211 767.13127894629</t>
  </si>
  <si>
    <t>-721.072653608273 66.3495726227375 827.574063475285</t>
  </si>
  <si>
    <t>-605.181553844106 -111.282269532099 299.930282992813</t>
  </si>
  <si>
    <t>-706.419243429019 -139.954273572578 735.317163121279</t>
  </si>
  <si>
    <t>-598.674929821087 -222.299682248556 817.15667915213</t>
  </si>
  <si>
    <t>9763-20170724T104639.447500200.bin</t>
  </si>
  <si>
    <t>-910.03532560966 123.476107986784 -500.813712731126</t>
  </si>
  <si>
    <t>-882.091163783898 175.822889435365 -212.594808585121</t>
  </si>
  <si>
    <t>-655.366387114439 250.582152938666 -245.118085074531</t>
  </si>
  <si>
    <t>-842.554358819251 81.6446569048287 -77.7122421550041</t>
  </si>
  <si>
    <t>-810.613769342501 59.1525720469615 323.945040932253</t>
  </si>
  <si>
    <t>-860.278459560917 20.3887916878764 767.372998252697</t>
  </si>
  <si>
    <t>-721.103774554074 65.9760829181007 827.70130672209</t>
  </si>
  <si>
    <t>-606.03535587656 -111.374544977151 300.427818725056</t>
  </si>
  <si>
    <t>-706.476859054432 -139.971399767869 735.98217523095</t>
  </si>
  <si>
    <t>-598.557826911611 -222.170967244244 817.737984075102</t>
  </si>
  <si>
    <t>9763-20170724T104639.481108100.bin</t>
  </si>
  <si>
    <t>-908.757231183086 124.123728445905 -500.921710834936</t>
  </si>
  <si>
    <t>-877.179049473893 177.10452885304 -213.194337727213</t>
  </si>
  <si>
    <t>-650.045067924219 250.657368408241 -245.614002219422</t>
  </si>
  <si>
    <t>-842.182800374277 81.8989271243065 -77.6455392708413</t>
  </si>
  <si>
    <t>-810.832744527301 59.1848259104192 324.045740210223</t>
  </si>
  <si>
    <t>-860.33761382174 20.3802709380791 767.437326015647</t>
  </si>
  <si>
    <t>-721.140197165769 65.9044874010192 827.760828372728</t>
  </si>
  <si>
    <t>-606.269558927336 -111.353912845408 300.589508035321</t>
  </si>
  <si>
    <t>-706.299057027376 -139.6634887195 736.176214659789</t>
  </si>
  <si>
    <t>-599.00566066858 -222.607535668303 818.003589531835</t>
  </si>
  <si>
    <t>9763-20170724T104639.550793100.bin</t>
  </si>
  <si>
    <t>-906.864585296241 124.940603618914 -501.0848826121</t>
  </si>
  <si>
    <t>-871.467570699254 177.75299870349 -213.771275586473</t>
  </si>
  <si>
    <t>-643.854401004519 250.132722738347 -245.461597996259</t>
  </si>
  <si>
    <t>-841.90891930697 82.2727065207996 -77.6342386599113</t>
  </si>
  <si>
    <t>-811.259439259396 59.3259887660195 324.097890211195</t>
  </si>
  <si>
    <t>-860.357990609231 20.3405523608869 767.513698518984</t>
  </si>
  <si>
    <t>-721.144687562766 65.790935415333 827.856091925633</t>
  </si>
  <si>
    <t>-606.912400947057 -111.717025389883 300.72933177715</t>
  </si>
  <si>
    <t>-706.343415096199 -139.72361353521 736.521820753508</t>
  </si>
  <si>
    <t>-598.614026795057 -222.115656401976 818.33395391181</t>
  </si>
  <si>
    <t>9763-20170724T104639.583885500.bin</t>
  </si>
  <si>
    <t>-906.240313509242 125.363753352764 -501.196688350742</t>
  </si>
  <si>
    <t>-870.098696197903 177.816214724481 -213.909720763062</t>
  </si>
  <si>
    <t>-642.172116347844 249.466505590356 -244.999509175875</t>
  </si>
  <si>
    <t>-841.89672269944 82.4237396859705 -77.6316930193598</t>
  </si>
  <si>
    <t>-811.351512071751 59.3931870048148 324.103560075052</t>
  </si>
  <si>
    <t>-860.301736869075 20.2364783543605 767.53528107304</t>
  </si>
  <si>
    <t>-721.09297329489 65.6789285032296 827.894009582693</t>
  </si>
  <si>
    <t>-607.280960633112 -111.769798592207 300.71533571961</t>
  </si>
  <si>
    <t>-706.223508676519 -139.461786742612 736.619980387487</t>
  </si>
  <si>
    <t>-599.034371374046 -222.502146764888 818.48619909419</t>
  </si>
  <si>
    <t>9763-20170724T104639.651067200.bin</t>
  </si>
  <si>
    <t>-905.648227333854 125.875996377735 -501.559038334751</t>
  </si>
  <si>
    <t>-869.321869949093 177.874614567477 -214.212953912662</t>
  </si>
  <si>
    <t>-640.503748778845 247.632850166485 -242.968951710292</t>
  </si>
  <si>
    <t>-841.965390223753 82.6725603040336 -77.5885113917999</t>
  </si>
  <si>
    <t>-811.649919175914 59.5340919639825 324.158014738364</t>
  </si>
  <si>
    <t>-860.382748996857 20.2998751081718 767.587544271538</t>
  </si>
  <si>
    <t>-721.143574331536 65.6235280274689 827.965423696871</t>
  </si>
  <si>
    <t>-608.409110163584 -112.115710204339 300.763811433086</t>
  </si>
  <si>
    <t>-706.479472426371 -139.641699499728 736.928414507179</t>
  </si>
  <si>
    <t>-598.917958083012 -222.338538756304 818.65379943569</t>
  </si>
  <si>
    <t>9763-20170724T104639.683153900.bin</t>
  </si>
  <si>
    <t>-905.461378697875 125.932012722621 -501.801766959476</t>
  </si>
  <si>
    <t>-869.855352856576 177.4555454101 -214.280116685017</t>
  </si>
  <si>
    <t>-640.39695871868 245.379134487112 -242.316655925072</t>
  </si>
  <si>
    <t>-842.054180464936 82.7168832343898 -77.5916224698523</t>
  </si>
  <si>
    <t>-811.884602538392 59.5453343329557 324.16398580735</t>
  </si>
  <si>
    <t>-860.418010542893 20.3243769020746 767.603321081906</t>
  </si>
  <si>
    <t>-721.166056977998 65.5933732853225 827.993006299479</t>
  </si>
  <si>
    <t>-609.111389587425 -112.273815087754 300.828253948459</t>
  </si>
  <si>
    <t>-706.691583675584 -139.829335989787 737.109925542708</t>
  </si>
  <si>
    <t>-598.883249268268 -222.328120807333 818.710328258323</t>
  </si>
  <si>
    <t>9763-20170724T104639.753348800.bin</t>
  </si>
  <si>
    <t>-905.353468738635 125.786390861281 -502.147144423996</t>
  </si>
  <si>
    <t>-870.89709698427 175.302667890236 -214.133000838774</t>
  </si>
  <si>
    <t>-640.973575237021 242.190029629348 -240.817969619916</t>
  </si>
  <si>
    <t>-842.329654057389 82.6874816309842 -77.6101137349914</t>
  </si>
  <si>
    <t>-812.021343562957 59.5958805839055 324.139611537426</t>
  </si>
  <si>
    <t>-860.496017499763 20.3855155201709 767.616451700139</t>
  </si>
  <si>
    <t>-721.098982923259 65.1611870820916 828.039280252122</t>
  </si>
  <si>
    <t>-610.015612127364 -112.450607742999 300.922690400016</t>
  </si>
  <si>
    <t>-706.855507526607 -139.839430946427 737.330747820358</t>
  </si>
  <si>
    <t>-599.057097271508 -222.490754909246 818.789808366788</t>
  </si>
  <si>
    <t>9763-20170724T104639.783935800.bin</t>
  </si>
  <si>
    <t>-905.635305773781 125.405937221626 -502.22599791563</t>
  </si>
  <si>
    <t>-871.023862150939 173.951816684882 -214.065415343933</t>
  </si>
  <si>
    <t>-640.935541269062 240.219608333491 -240.876516447374</t>
  </si>
  <si>
    <t>-842.489030799558 82.5132193596153 -77.5915546369362</t>
  </si>
  <si>
    <t>-811.973528430357 59.4295875064113 324.142977788453</t>
  </si>
  <si>
    <t>-860.53909583084 20.4115526227495 767.62432384837</t>
  </si>
  <si>
    <t>-721.232696736316 65.4634277297082 828.05065937974</t>
  </si>
  <si>
    <t>-610.305240736956 -112.647714872029 300.926931710394</t>
  </si>
  <si>
    <t>-706.919837761336 -139.903189756757 737.401996171281</t>
  </si>
  <si>
    <t>-598.928928161586 -222.343140826964 818.82017320913</t>
  </si>
  <si>
    <t>9763-20170724T104639.848610400.bin</t>
  </si>
  <si>
    <t>-906.551283073299 124.561009850504 -502.431167101101</t>
  </si>
  <si>
    <t>-871.789133316593 171.98629784018 -214.101999254715</t>
  </si>
  <si>
    <t>-641.390637132263 237.412199856665 -240.309097111143</t>
  </si>
  <si>
    <t>-842.806230536863 82.2354933137619 -77.5742408011104</t>
  </si>
  <si>
    <t>-812.157336477808 59.2498969337817 324.155803129963</t>
  </si>
  <si>
    <t>-860.557501782181 20.3675834161661 767.639770491059</t>
  </si>
  <si>
    <t>-721.264578446889 65.432345665374 828.087852087885</t>
  </si>
  <si>
    <t>-610.893651652554 -112.907182993372 300.976368860049</t>
  </si>
  <si>
    <t>-707.229991707366 -140.353769122099 737.549664677003</t>
  </si>
  <si>
    <t>-598.653267624867 -222.142970887387 818.844905053789</t>
  </si>
  <si>
    <t>9763-20170724T104639.883210600.bin</t>
  </si>
  <si>
    <t>-906.927809180961 124.258253509056 -502.564934198572</t>
  </si>
  <si>
    <t>-872.436523644333 171.214043640599 -214.126625409052</t>
  </si>
  <si>
    <t>-641.865995819702 236.274277192041 -239.723811705605</t>
  </si>
  <si>
    <t>-842.947176835187 82.2296349023827 -77.5912264704165</t>
  </si>
  <si>
    <t>-812.247567692376 59.2851887913896 324.137262592587</t>
  </si>
  <si>
    <t>-860.563265816255 20.3421549620928 767.639340308508</t>
  </si>
  <si>
    <t>-721.223057666238 65.2514638963951 828.09407768174</t>
  </si>
  <si>
    <t>-611.054875434629 -112.728826661351 300.989866462925</t>
  </si>
  <si>
    <t>-707.132958665713 -140.053281117153 737.589674252792</t>
  </si>
  <si>
    <t>-598.983177892706 -222.406837375173 818.884349747646</t>
  </si>
  <si>
    <t>9763-20170724T104639.953900500.bin</t>
  </si>
  <si>
    <t>-907.57002620781 123.460031953174 -502.793394098147</t>
  </si>
  <si>
    <t>-874.275937269284 169.162149424271 -214.013237919045</t>
  </si>
  <si>
    <t>-643.417188243467 233.568650946801 -238.6493240367</t>
  </si>
  <si>
    <t>-843.181273446068 82.1567947351652 -77.5968464629234</t>
  </si>
  <si>
    <t>-812.232840190327 59.204776385955 324.112075528792</t>
  </si>
  <si>
    <t>-860.586187835934 20.305026184142 767.636855315109</t>
  </si>
  <si>
    <t>-721.269992933074 65.2774014417678 828.099981315369</t>
  </si>
  <si>
    <t>-611.205081380298 -112.561499837826 301.017360253781</t>
  </si>
  <si>
    <t>-707.053012257872 -139.815464038816 737.647915817583</t>
  </si>
  <si>
    <t>-599.098574213052 -222.42735159044 818.93996213923</t>
  </si>
  <si>
    <t>9763-20170724T104639.981981900.bin</t>
  </si>
  <si>
    <t>-907.971789225769 123.004052597551 -502.909832002918</t>
  </si>
  <si>
    <t>-875.293653300229 168.109534141259 -213.965419662782</t>
  </si>
  <si>
    <t>-644.301099982267 232.158323433724 -238.277578415013</t>
  </si>
  <si>
    <t>-843.352273016117 82.2086780220191 -77.5933597110941</t>
  </si>
  <si>
    <t>-812.218558982906 59.1979256084178 324.097876189055</t>
  </si>
  <si>
    <t>-860.616387301274 20.3181204869045 767.625189510842</t>
  </si>
  <si>
    <t>-721.224598102072 65.0383031977735 828.100917859327</t>
  </si>
  <si>
    <t>-611.293605999442 -112.543533302757 301.04219080104</t>
  </si>
  <si>
    <t>-707.080010350304 -139.850688582645 737.689137803135</t>
  </si>
  <si>
    <t>-599.178306349835 -222.526248775894 818.986532253138</t>
  </si>
  <si>
    <t>9763-20170724T104640.051702100.bin</t>
  </si>
  <si>
    <t>-908.925712762963 122.339384418132 -502.992351364919</t>
  </si>
  <si>
    <t>-877.400975834763 166.331599725607 -213.748314916146</t>
  </si>
  <si>
    <t>-646.316156038132 230.158694904183 -237.763951233395</t>
  </si>
  <si>
    <t>-843.627526458377 82.2950132899527 -77.6036266664114</t>
  </si>
  <si>
    <t>-812.322101987987 59.2434164601937 324.071915496253</t>
  </si>
  <si>
    <t>-860.692040378986 20.3724955092143 767.604108268951</t>
  </si>
  <si>
    <t>-721.331486816539 65.1735579334168 828.091897182247</t>
  </si>
  <si>
    <t>-611.50262673584 -112.581937988757 301.159784184228</t>
  </si>
  <si>
    <t>-707.194533090279 -139.969677524977 737.816973096389</t>
  </si>
  <si>
    <t>-599.092353810835 -222.431977446364 819.0645741283</t>
  </si>
  <si>
    <t>9763-20170724T104640.080282100.bin</t>
  </si>
  <si>
    <t>-909.473432845925 122.11335811492 -503.018277866065</t>
  </si>
  <si>
    <t>-878.418493956903 165.62791925505 -213.651230156022</t>
  </si>
  <si>
    <t>-647.353046775165 229.562671169948 -237.566796416895</t>
  </si>
  <si>
    <t>-843.809307000735 82.4592075488067 -77.6149674375962</t>
  </si>
  <si>
    <t>-812.508704514323 59.381537543884 324.059485912932</t>
  </si>
  <si>
    <t>-860.797079563705 20.5129394116375 767.589100316975</t>
  </si>
  <si>
    <t>-721.318702180567 64.9203626206186 828.095731976568</t>
  </si>
  <si>
    <t>-611.559400790559 -112.554580077608 301.193111607119</t>
  </si>
  <si>
    <t>-707.220703072475 -139.96488547526 737.859571784948</t>
  </si>
  <si>
    <t>-599.014886896888 -222.318990987019 819.078997795189</t>
  </si>
  <si>
    <t>9763-20170724T104640.147055500.bin</t>
  </si>
  <si>
    <t>-910.589351869214 121.386560921162 -503.161430540974</t>
  </si>
  <si>
    <t>-879.792781305076 164.775935143103 -213.747965806417</t>
  </si>
  <si>
    <t>-648.732131932014 228.887948631794 -237.23138284761</t>
  </si>
  <si>
    <t>-844.307780512154 82.5040447690894 -77.6732968007925</t>
  </si>
  <si>
    <t>-812.911912832008 59.4030066735902 323.99241133754</t>
  </si>
  <si>
    <t>-860.779762049639 20.5065015241503 767.535159924488</t>
  </si>
  <si>
    <t>-721.364057241504 65.0354322806331 828.09703340413</t>
  </si>
  <si>
    <t>-611.662060883677 -112.445026576762 301.177774268425</t>
  </si>
  <si>
    <t>-707.219748066084 -139.888697390615 737.881374003871</t>
  </si>
  <si>
    <t>-599.086241443234 -222.334933671976 819.103693451118</t>
  </si>
  <si>
    <t>9763-20170724T104640.183151100.bin</t>
  </si>
  <si>
    <t>-911.076117825878 121.080138697244 -503.216481223231</t>
  </si>
  <si>
    <t>-880.147635443008 164.740107992307 -213.857728130231</t>
  </si>
  <si>
    <t>-649.096011745167 228.908896446772 -237.275382700231</t>
  </si>
  <si>
    <t>-844.595891099188 82.4477965855847 -77.7100568274286</t>
  </si>
  <si>
    <t>-813.105533441111 59.3925074773185 323.950866219566</t>
  </si>
  <si>
    <t>-860.689488392023 20.3794338770695 767.507632052657</t>
  </si>
  <si>
    <t>-721.31547828282 64.996498814507 828.100096911596</t>
  </si>
  <si>
    <t>-611.696649845182 -112.246828371143 301.15374018332</t>
  </si>
  <si>
    <t>-707.103987575515 -139.599393413325 737.866730879421</t>
  </si>
  <si>
    <t>-599.066201038318 -222.162022346083 819.098130591503</t>
  </si>
  <si>
    <t>9763-20170724T104640.248335200.bin</t>
  </si>
  <si>
    <t>-911.839594978721 120.614719276319 -503.33055706612</t>
  </si>
  <si>
    <t>-880.383980780244 164.985076367434 -214.136833065895</t>
  </si>
  <si>
    <t>-649.44185346195 229.525338959817 -237.613367593258</t>
  </si>
  <si>
    <t>-845.307015272812 82.5276516934805 -77.8012139369158</t>
  </si>
  <si>
    <t>-813.581493551563 59.5984959995988 323.848412699605</t>
  </si>
  <si>
    <t>-860.912903888111 20.7290716244629 767.438092413493</t>
  </si>
  <si>
    <t>-721.396466564693 64.7865544977076 828.112819021386</t>
  </si>
  <si>
    <t>-611.953446110533 -111.973038345309 301.129821604144</t>
  </si>
  <si>
    <t>-707.268511146956 -139.783041937273 737.891914926055</t>
  </si>
  <si>
    <t>-599.075549457958 -222.193353815976 819.071479359392</t>
  </si>
  <si>
    <t>9763-20170724T104640.313101500.bin</t>
  </si>
  <si>
    <t>-911.896431898575 120.469681519888 -503.458452177042</t>
  </si>
  <si>
    <t>-879.847137122156 165.166698876285 -214.380073787937</t>
  </si>
  <si>
    <t>-649.049589191766 230.155850002152 -238.039677393314</t>
  </si>
  <si>
    <t>-845.548960679339 82.5347623941072 -77.9167639570094</t>
  </si>
  <si>
    <t>-814.291402249529 59.5976527093842 323.769079818264</t>
  </si>
  <si>
    <t>-860.796613180407 20.5471903695291 767.391841665905</t>
  </si>
  <si>
    <t>-721.435976333896 65.0230417973089 828.119289082418</t>
  </si>
  <si>
    <t>-612.01028709911 -111.73887016256 301.099089170925</t>
  </si>
  <si>
    <t>-707.369990571035 -139.819671394913 737.880150798445</t>
  </si>
  <si>
    <t>-599.102592288387 -222.196802382905 818.994171276378</t>
  </si>
  <si>
    <t>9763-20170724T104640.348189400.bin</t>
  </si>
  <si>
    <t>-911.90447194895 120.564245329348 -503.497134096728</t>
  </si>
  <si>
    <t>-879.669851396608 165.372267150614 -214.456776067233</t>
  </si>
  <si>
    <t>-648.906374953589 230.41665881761 -238.296143977541</t>
  </si>
  <si>
    <t>-845.923140331194 82.8144508244582 -77.9753951994942</t>
  </si>
  <si>
    <t>-814.758507676641 59.8648264446635 323.716994582492</t>
  </si>
  <si>
    <t>-860.985752203241 20.8370007910053 767.358195919325</t>
  </si>
  <si>
    <t>-721.464222409186 64.7493202683772 828.126375947383</t>
  </si>
  <si>
    <t>-611.987769230858 -111.52511874421 301.060767280348</t>
  </si>
  <si>
    <t>-707.391402600826 -139.792316200897 737.830037639835</t>
  </si>
  <si>
    <t>-599.154662098146 -222.225455798313 818.928079769756</t>
  </si>
  <si>
    <t>9763-20170724T104640.383785100.bin</t>
  </si>
  <si>
    <t>-911.881066654296 120.61967630839 -503.519342838362</t>
  </si>
  <si>
    <t>-879.431786929833 165.435037293578 -214.504014422335</t>
  </si>
  <si>
    <t>-648.714487857302 230.575586404817 -238.527143572365</t>
  </si>
  <si>
    <t>-846.143376407059 82.9600816594696 -78.0250755755568</t>
  </si>
  <si>
    <t>-815.019577165559 59.9500231302357 323.666978557384</t>
  </si>
  <si>
    <t>-860.914945912728 20.7393913389717 767.326925529631</t>
  </si>
  <si>
    <t>-721.46262538996 64.8374131615333 828.119305264231</t>
  </si>
  <si>
    <t>-611.915566452636 -111.280006656175 301.007175761554</t>
  </si>
  <si>
    <t>-707.318704975243 -139.597134645415 737.760580563707</t>
  </si>
  <si>
    <t>-599.110738950079 -222.068086329783 818.858630686622</t>
  </si>
  <si>
    <t>9763-20170724T104640.447494500.bin</t>
  </si>
  <si>
    <t>-912.129229314152 120.857256454008 -503.502664804472</t>
  </si>
  <si>
    <t>-879.362522615808 165.383578278783 -214.478542968429</t>
  </si>
  <si>
    <t>-648.74482095043 230.719374612677 -238.923261540509</t>
  </si>
  <si>
    <t>-846.351749809943 83.2527136418462 -78.0725278461695</t>
  </si>
  <si>
    <t>-815.283251359222 60.1409371093721 323.618016008266</t>
  </si>
  <si>
    <t>-860.961855427413 20.776064206784 767.288510337299</t>
  </si>
  <si>
    <t>-721.516012256898 64.844700099188 828.11694368353</t>
  </si>
  <si>
    <t>-611.775940584356 -110.838438237874 300.85797322113</t>
  </si>
  <si>
    <t>-707.303817641479 -139.520187028647 737.601339475725</t>
  </si>
  <si>
    <t>-599.210281428676 -222.126900438685 818.713584538959</t>
  </si>
  <si>
    <t>9763-20170724T104640.480583800.bin</t>
  </si>
  <si>
    <t>-912.337380325975 121.017755161383 -503.500775793607</t>
  </si>
  <si>
    <t>-879.504309815034 165.400680591065 -214.462032323747</t>
  </si>
  <si>
    <t>-648.937743492414 230.85558746317 -239.070128430367</t>
  </si>
  <si>
    <t>-846.447334905273 83.4247871779899 -78.075710002757</t>
  </si>
  <si>
    <t>-815.377175852877 60.2541457624186 323.611264510917</t>
  </si>
  <si>
    <t>-860.941279042227 20.7080902138991 767.271795565105</t>
  </si>
  <si>
    <t>-721.462021426438 64.650557181192 828.11498950219</t>
  </si>
  <si>
    <t>-611.781110910825 -110.729669144433 300.786405146141</t>
  </si>
  <si>
    <t>-707.365896325402 -139.634270141732 737.525371570608</t>
  </si>
  <si>
    <t>-598.785305690571 -221.630295129324 818.60679675924</t>
  </si>
  <si>
    <t>9763-20170724T104640.549771500.bin</t>
  </si>
  <si>
    <t>-912.40441320971 121.590152189465 -503.522425828256</t>
  </si>
  <si>
    <t>-879.378998635979 165.884157959403 -214.492020227637</t>
  </si>
  <si>
    <t>-648.938190098129 231.730730459642 -239.232840597804</t>
  </si>
  <si>
    <t>-846.415680217007 83.9213271958058 -78.0976125960714</t>
  </si>
  <si>
    <t>-815.544700783781 60.5703515813389 323.594309592312</t>
  </si>
  <si>
    <t>-860.948841687756 20.6434395787069 767.244925515032</t>
  </si>
  <si>
    <t>-721.491367450773 64.627956878008 828.107527151642</t>
  </si>
  <si>
    <t>-611.687874504576 -110.273594139609 300.660095495879</t>
  </si>
  <si>
    <t>-707.319414062888 -139.496433644027 737.3728639952</t>
  </si>
  <si>
    <t>-599.006627073727 -221.821667857034 818.478894228455</t>
  </si>
  <si>
    <t>9763-20170724T104640.580855400.bin</t>
  </si>
  <si>
    <t>-912.344293899882 121.909356918066 -503.518390385818</t>
  </si>
  <si>
    <t>-879.314973186069 166.169822306486 -214.483270502434</t>
  </si>
  <si>
    <t>-648.931599660893 232.171588812754 -239.346098839466</t>
  </si>
  <si>
    <t>-846.358800112357 84.2456369091315 -78.1018358199455</t>
  </si>
  <si>
    <t>-815.582114740246 60.7646334335318 323.58977444948</t>
  </si>
  <si>
    <t>-860.980280941455 20.6426076061093 767.237071711936</t>
  </si>
  <si>
    <t>-721.502782990104 64.5530613689714 828.107587597076</t>
  </si>
  <si>
    <t>-611.637353166383 -110.077202296489 300.639484963437</t>
  </si>
  <si>
    <t>-707.299226933673 -139.436238896611 737.316616321058</t>
  </si>
  <si>
    <t>-598.973846569458 -221.743973349145 818.423673110751</t>
  </si>
  <si>
    <t>9763-20170724T104640.651662400.bin</t>
  </si>
  <si>
    <t>-912.140531847722 122.537161258063 -503.45225508645</t>
  </si>
  <si>
    <t>-879.230581864839 166.609533480223 -214.37489468688</t>
  </si>
  <si>
    <t>-648.922345777406 232.653968507426 -239.813200782006</t>
  </si>
  <si>
    <t>-846.092984941868 84.7407288232641 -78.0706724490575</t>
  </si>
  <si>
    <t>-815.702509927859 60.9413487033269 323.631514393027</t>
  </si>
  <si>
    <t>-860.962452579182 20.4836787195675 767.248820140188</t>
  </si>
  <si>
    <t>-721.505769380108 64.4571011376754 828.121334398106</t>
  </si>
  <si>
    <t>-611.473278596488 -109.693852235258 300.61229743534</t>
  </si>
  <si>
    <t>-707.207228436333 -139.181530732419 737.229377187727</t>
  </si>
  <si>
    <t>-599.013080111534 -221.657574486921 818.340567558218</t>
  </si>
  <si>
    <t>9763-20170724T104640.684253100.bin</t>
  </si>
  <si>
    <t>-911.927783220005 122.868589715267 -503.421962016524</t>
  </si>
  <si>
    <t>-879.235571897534 166.630143707223 -214.272591290381</t>
  </si>
  <si>
    <t>-648.933714890968 232.50192411721 -240.21118997194</t>
  </si>
  <si>
    <t>-845.910670277495 84.8518305672787 -78.0826875620653</t>
  </si>
  <si>
    <t>-815.794284348967 60.9849446863248 323.636161658444</t>
  </si>
  <si>
    <t>-860.925779028977 20.3767657096696 767.249766841829</t>
  </si>
  <si>
    <t>-721.591145755544 64.7267095185919 828.128747501676</t>
  </si>
  <si>
    <t>-611.357046416597 -109.595903099084 300.567235593962</t>
  </si>
  <si>
    <t>-707.211939580956 -139.206875399308 737.167290683458</t>
  </si>
  <si>
    <t>-599.058174166474 -221.717104051176 818.297625843302</t>
  </si>
  <si>
    <t>9763-20170724T104640.751560300.bin</t>
  </si>
  <si>
    <t>-911.019456576525 123.604981501982 -503.430503099811</t>
  </si>
  <si>
    <t>-879.235723431943 166.379572539321 -214.032369899616</t>
  </si>
  <si>
    <t>-648.906643545473 231.812192064094 -240.827096803075</t>
  </si>
  <si>
    <t>-845.592313119374 85.1573285865952 -78.1069510553175</t>
  </si>
  <si>
    <t>-815.687174628628 61.1536356251445 323.619564908249</t>
  </si>
  <si>
    <t>-860.909302883748 20.2548798377015 767.247393926088</t>
  </si>
  <si>
    <t>-721.515071279256 64.4096603382627 828.131734879667</t>
  </si>
  <si>
    <t>-611.189757543696 -109.43262309739 300.506210175149</t>
  </si>
  <si>
    <t>-707.103624998025 -139.049484054582 737.046722424471</t>
  </si>
  <si>
    <t>-599.058782791165 -221.642566873968 818.23777807909</t>
  </si>
  <si>
    <t>9763-20170724T104640.782648800.bin</t>
  </si>
  <si>
    <t>-910.563876321191 123.896954826454 -503.439132540019</t>
  </si>
  <si>
    <t>-879.223198134457 166.161162716968 -213.917512655705</t>
  </si>
  <si>
    <t>-648.87351878219 231.374945188451 -241.066463123936</t>
  </si>
  <si>
    <t>-845.36184908516 85.2334773234259 -78.0987190967237</t>
  </si>
  <si>
    <t>-815.520656519658 61.1518375671717 323.627841080492</t>
  </si>
  <si>
    <t>-860.913405448746 20.199083296656 767.245012508476</t>
  </si>
  <si>
    <t>-721.546657852987 64.4477968713195 828.12413381969</t>
  </si>
  <si>
    <t>-611.211948464959 -109.438292865666 300.487636097664</t>
  </si>
  <si>
    <t>-707.086876668485 -139.024943988731 737.029624023189</t>
  </si>
  <si>
    <t>-598.829645717919 -221.338248092407 818.221914734451</t>
  </si>
  <si>
    <t>9763-20170724T104640.850833000.bin</t>
  </si>
  <si>
    <t>-909.873100528175 124.570016977708 -503.368516036935</t>
  </si>
  <si>
    <t>-879.332914535313 165.703687208036 -213.598646363471</t>
  </si>
  <si>
    <t>-648.999153038048 230.713355677721 -241.365059478565</t>
  </si>
  <si>
    <t>-844.699276354671 85.3330850392747 -78.0610128345899</t>
  </si>
  <si>
    <t>-815.130793311156 61.1213970431688 323.677884710575</t>
  </si>
  <si>
    <t>-860.889469279611 20.040063716428 767.267431488314</t>
  </si>
  <si>
    <t>-721.521798872715 64.3177318466837 828.123265558546</t>
  </si>
  <si>
    <t>-611.168275901798 -109.471463194288 300.470914099133</t>
  </si>
  <si>
    <t>-707.037070559536 -138.819023748321 737.037808626027</t>
  </si>
  <si>
    <t>-599.043512895578 -221.475921689523 818.232042340446</t>
  </si>
  <si>
    <t>9763-20170724T104640.881929600.bin</t>
  </si>
  <si>
    <t>-909.662793409477 124.757215591283 -503.281345700521</t>
  </si>
  <si>
    <t>-879.45072706634 165.344709872735 -213.400295273204</t>
  </si>
  <si>
    <t>-649.136107888191 230.3144914527 -241.417736417894</t>
  </si>
  <si>
    <t>-844.405059045003 85.3367158679146 -78.0335059941522</t>
  </si>
  <si>
    <t>-814.971976991667 61.025063411849 323.709386440293</t>
  </si>
  <si>
    <t>-860.860417871819 19.9339681688789 767.28070523254</t>
  </si>
  <si>
    <t>-721.600201563305 64.5766987943343 828.115731391339</t>
  </si>
  <si>
    <t>-611.198028112401 -109.671093493022 300.489839424759</t>
  </si>
  <si>
    <t>-707.138557525259 -139.003979685495 737.060157574153</t>
  </si>
  <si>
    <t>-598.750643660318 -221.17602614213 818.221110251641</t>
  </si>
  <si>
    <t>9763-20170724T104640.951114500.bin</t>
  </si>
  <si>
    <t>-909.33542276188 125.139534088387 -503.069851697809</t>
  </si>
  <si>
    <t>-879.776545177303 164.676874870932 -212.976251374586</t>
  </si>
  <si>
    <t>-649.531063674001 229.742386288573 -241.338286703499</t>
  </si>
  <si>
    <t>-843.785325763004 85.4573276927622 -77.949791815057</t>
  </si>
  <si>
    <t>-814.640003319757 60.9991699669981 323.805204906142</t>
  </si>
  <si>
    <t>-861.018596689681 20.020993316763 767.331453115792</t>
  </si>
  <si>
    <t>-721.594321409562 64.2229452795448 828.112621435965</t>
  </si>
  <si>
    <t>-610.986467698925 -109.777894374385 300.535209590339</t>
  </si>
  <si>
    <t>-707.113862182433 -138.929923613026 737.055974793626</t>
  </si>
  <si>
    <t>-598.9333044659 -221.350727929891 818.241358495684</t>
  </si>
  <si>
    <t>9763-20170724T104640.986206300.bin</t>
  </si>
  <si>
    <t>-908.900125215225 125.286365324798 -502.939707715178</t>
  </si>
  <si>
    <t>-879.741203897436 164.212485319299 -212.723009006333</t>
  </si>
  <si>
    <t>-649.501949356076 229.236501831186 -241.229820252464</t>
  </si>
  <si>
    <t>-843.303727746264 85.3213557019342 -77.9147947473589</t>
  </si>
  <si>
    <t>-814.36194088799 60.8169706538411 323.851985776409</t>
  </si>
  <si>
    <t>-860.893676035841 19.7644468990195 767.358092627374</t>
  </si>
  <si>
    <t>-721.579011936609 64.3577829476565 828.104770458023</t>
  </si>
  <si>
    <t>-610.801599652229 -109.670931151329 300.627976630048</t>
  </si>
  <si>
    <t>-707.048899925779 -138.756051441551 737.080746260866</t>
  </si>
  <si>
    <t>-599.084801678507 -221.460441268221 818.26591089374</t>
  </si>
  <si>
    <t>9763-20170724T104641.050324400.bin</t>
  </si>
  <si>
    <t>-907.962924445919 125.102388029995 -502.85849022356</t>
  </si>
  <si>
    <t>-879.616871911572 163.027142387318 -212.428762819292</t>
  </si>
  <si>
    <t>-649.326470426721 227.952320287058 -240.747889043433</t>
  </si>
  <si>
    <t>-842.666706659771 85.0926129912493 -77.932813721907</t>
  </si>
  <si>
    <t>-814.05664474807 60.2996224275205 323.840080022805</t>
  </si>
  <si>
    <t>-860.9023532301 19.6437771336332 767.366037983653</t>
  </si>
  <si>
    <t>-721.536366915012 64.1133482516955 828.085657016567</t>
  </si>
  <si>
    <t>-611.332129783396 -108.79196745569 300.900697919083</t>
  </si>
  <si>
    <t>-707.153330477696 -138.43294394308 737.476238490255</t>
  </si>
  <si>
    <t>-599.090835959739 -221.303837931709 818.360188730691</t>
  </si>
  <si>
    <t>9763-20170724T104641.085420800.bin</t>
  </si>
  <si>
    <t>-907.809287691828 125.657563114084 -503.018164416902</t>
  </si>
  <si>
    <t>-879.741403971803 162.9848432406 -212.484102780804</t>
  </si>
  <si>
    <t>-649.410529563802 227.904049605317 -240.485115901398</t>
  </si>
  <si>
    <t>-842.504545514886 85.2383642485422 -77.9855957274168</t>
  </si>
  <si>
    <t>-813.959266113971 60.2615062441257 323.78048818024</t>
  </si>
  <si>
    <t>-860.844202522341 19.5167683825846 767.33158244571</t>
  </si>
  <si>
    <t>-721.54517520825 64.186104619218 828.058295796369</t>
  </si>
  <si>
    <t>-612.311575155046 -108.145492052801 301.01920664662</t>
  </si>
  <si>
    <t>-707.166243610981 -138.216505837025 737.684428825907</t>
  </si>
  <si>
    <t>-598.914292091268 -220.978589776115 818.42638720975</t>
  </si>
  <si>
    <t>9763-20170724T104641.149301600.bin</t>
  </si>
  <si>
    <t>-907.664034326711 128.361346393528 -503.779446613808</t>
  </si>
  <si>
    <t>-880.297391310325 164.640629903251 -213.045870421028</t>
  </si>
  <si>
    <t>-649.862868337671 229.466702167153 -240.40250424548</t>
  </si>
  <si>
    <t>-842.591622466418 86.3268016792636 -78.1861647020851</t>
  </si>
  <si>
    <t>-814.565835845819 61.0585510134251 323.598281873878</t>
  </si>
  <si>
    <t>-860.937301590355 19.6755797408896 767.181187430316</t>
  </si>
  <si>
    <t>-721.608334129524 64.1660279270241 827.970439421541</t>
  </si>
  <si>
    <t>-615.470222820043 -106.453490222865 301.240509852726</t>
  </si>
  <si>
    <t>-707.432330165322 -138.109932326534 738.320342551179</t>
  </si>
  <si>
    <t>-599.454290239742 -221.546166921664 818.73453113599</t>
  </si>
  <si>
    <t>9763-20170724T104641.180886300.bin</t>
  </si>
  <si>
    <t>-907.442331293709 130.248669446833 -504.362922512702</t>
  </si>
  <si>
    <t>-880.465594366553 166.199835511536 -213.552119536081</t>
  </si>
  <si>
    <t>-649.949417279508 230.8384337371 -240.663034128288</t>
  </si>
  <si>
    <t>-842.718474700084 87.0878244400935 -78.3913406577542</t>
  </si>
  <si>
    <t>-815.085738720015 61.9688778839159 323.429647460206</t>
  </si>
  <si>
    <t>-860.984867601373 19.8435022547194 767.052979915008</t>
  </si>
  <si>
    <t>-721.652878230458 64.2568567771636 827.892021716989</t>
  </si>
  <si>
    <t>-617.381173368339 -105.64625811943 301.259475219153</t>
  </si>
  <si>
    <t>-707.452743761864 -138.106395238147 738.541300315913</t>
  </si>
  <si>
    <t>-599.699867677403 -221.850183591397 818.93782047339</t>
  </si>
  <si>
    <t>9763-20170724T104641.249086000.bin</t>
  </si>
  <si>
    <t>-808.931995901744 1.1262507283061 -73.8400500466574</t>
  </si>
  <si>
    <t>-874.294557367433 2.25075011753574 -527.978034183092</t>
  </si>
  <si>
    <t>-906.709719365764 133.888344967398 -505.19360025616</t>
  </si>
  <si>
    <t>-880.680865733509 169.476614378252 -214.251746713862</t>
  </si>
  <si>
    <t>-649.970778861038 233.462203711777 -241.26149319378</t>
  </si>
  <si>
    <t>-843.213920391134 89.0003174337623 -78.7135849698598</t>
  </si>
  <si>
    <t>-815.777060988696 63.7536254591928 323.112845406113</t>
  </si>
  <si>
    <t>-860.948632396592 20.0417591650521 766.794042878891</t>
  </si>
  <si>
    <t>-721.778048481271 64.8335283486042 827.724795590919</t>
  </si>
  <si>
    <t>-620.129645145172 -104.43063572691 301.293276333286</t>
  </si>
  <si>
    <t>-707.670836149143 -138.5550185738 739.042587740466</t>
  </si>
  <si>
    <t>-599.557892880563 -221.879698426293 819.391020576081</t>
  </si>
  <si>
    <t>9763-20170724T104641.283186200.bin</t>
  </si>
  <si>
    <t>-809.378347425065 1.77256942582494 -73.8891650377664</t>
  </si>
  <si>
    <t>-874.270937386898 3.43358828718692 -528.111100474576</t>
  </si>
  <si>
    <t>-906.630456171797 135.077897841089 -505.275625976089</t>
  </si>
  <si>
    <t>-880.900776395263 170.503029806476 -214.287202367585</t>
  </si>
  <si>
    <t>-650.048063627301 233.933871497853 -241.387112312039</t>
  </si>
  <si>
    <t>-843.661155291315 89.7411196809746 -78.7212958812481</t>
  </si>
  <si>
    <t>-816.229443046884 64.1749001646187 323.085257417463</t>
  </si>
  <si>
    <t>-860.950118738984 20.0801315876597 766.764644031884</t>
  </si>
  <si>
    <t>-721.862508484374 65.1318130266261 827.692941830381</t>
  </si>
  <si>
    <t>-620.912089475587 -104.136304456799 301.334874395697</t>
  </si>
  <si>
    <t>-707.862901139771 -139.081647487795 739.189445000206</t>
  </si>
  <si>
    <t>-599.164534285071 -221.644865387221 819.534110617886</t>
  </si>
  <si>
    <t>9763-20170724T104641.348806100.bin</t>
  </si>
  <si>
    <t>-810.432585419076 2.69641249921779 -73.81855488247</t>
  </si>
  <si>
    <t>-874.436306341291 5.33959782832426 -528.217463255243</t>
  </si>
  <si>
    <t>-906.633803745728 136.986566630009 -505.208964068082</t>
  </si>
  <si>
    <t>-881.695852388827 171.227169917597 -214.010010285913</t>
  </si>
  <si>
    <t>-650.568420757951 233.541399542575 -241.357882463149</t>
  </si>
  <si>
    <t>-845.319623591003 91.3264716970461 -78.5181641842677</t>
  </si>
  <si>
    <t>-817.81617450189 64.842059517242 323.223992560984</t>
  </si>
  <si>
    <t>-861.207825829168 20.3933591656605 766.883380292224</t>
  </si>
  <si>
    <t>-721.855902813139 64.6626114506184 827.781544113107</t>
  </si>
  <si>
    <t>-620.846127752045 -102.404456330998 301.190896921659</t>
  </si>
  <si>
    <t>-707.507867244905 -139.021004457847 738.951875648689</t>
  </si>
  <si>
    <t>-599.584557466299 -222.213953455014 819.690926273054</t>
  </si>
  <si>
    <t>9763-20170724T104641.382406000.bin</t>
  </si>
  <si>
    <t>-810.715882437866 3.5542217990585 -73.928196995741</t>
  </si>
  <si>
    <t>-873.957268810323 7.08157662033386 -528.52218950963</t>
  </si>
  <si>
    <t>-905.974099597397 138.740079311703 -505.35766170718</t>
  </si>
  <si>
    <t>-881.497725698767 172.072175856032 -214.014103001137</t>
  </si>
  <si>
    <t>-650.20129467456 233.837962353373 -241.17610723694</t>
  </si>
  <si>
    <t>-845.771224561892 92.032093951198 -78.4270576953089</t>
  </si>
  <si>
    <t>-818.327372326777 65.7608985479808 323.333235941344</t>
  </si>
  <si>
    <t>-861.223905837991 20.4423494088949 766.959773792032</t>
  </si>
  <si>
    <t>-721.886689892901 64.8399558576948 827.798097232934</t>
  </si>
  <si>
    <t>-619.737406627035 -101.415561524733 300.680892400596</t>
  </si>
  <si>
    <t>-706.976641418897 -138.959252858322 738.175741160473</t>
  </si>
  <si>
    <t>-599.407291150618 -222.005404982276 819.535766978061</t>
  </si>
  <si>
    <t>9763-20170724T104641.451090900.bin</t>
  </si>
  <si>
    <t>-811.983239866032 2.29252120336105 -75.1672920342706</t>
  </si>
  <si>
    <t>-871.39859286159 9.16970602617971 -530.699209577282</t>
  </si>
  <si>
    <t>-903.139485621082 140.816642745178 -507.142798456799</t>
  </si>
  <si>
    <t>-879.893641513658 172.138764532183 -215.475396410316</t>
  </si>
  <si>
    <t>-648.312744743613 233.344720395951 -241.45560314869</t>
  </si>
  <si>
    <t>-847.671153937599 91.5225371834026 -78.4967412455226</t>
  </si>
  <si>
    <t>-816.976989951332 66.1880627916537 323.088501766054</t>
  </si>
  <si>
    <t>-861.261574560841 20.6133754998802 766.82631851999</t>
  </si>
  <si>
    <t>-721.828689961052 64.8248770170146 827.580716388687</t>
  </si>
  <si>
    <t>-618.164076938638 -101.509702542316 297.71999751452</t>
  </si>
  <si>
    <t>-704.549344992157 -136.629278333528 735.300318516226</t>
  </si>
  <si>
    <t>-599.378694388814 -219.542852348717 819.868389721584</t>
  </si>
  <si>
    <t>9763-20170724T104641.480173300.bin</t>
  </si>
  <si>
    <t>-813.628774753852 0.997874131690651 -75.8387043967358</t>
  </si>
  <si>
    <t>-870.552477061654 10.3107381658263 -531.898168642125</t>
  </si>
  <si>
    <t>-902.395833696591 141.919296441777 -508.233997197973</t>
  </si>
  <si>
    <t>-880.254804126108 172.165766374715 -216.367331881604</t>
  </si>
  <si>
    <t>-648.544598158514 233.246965198693 -241.474194311217</t>
  </si>
  <si>
    <t>-848.667175745026 90.4429708693219 -78.601749553749</t>
  </si>
  <si>
    <t>-816.490800385741 65.6189320689791 322.899324929133</t>
  </si>
  <si>
    <t>-861.173113286152 20.5294989469198 766.693403423383</t>
  </si>
  <si>
    <t>-721.830927176772 65.0449773564703 827.433760010012</t>
  </si>
  <si>
    <t>-618.534486472143 -101.540339514182 295.552082774581</t>
  </si>
  <si>
    <t>-707.125447510889 -128.209935648869 733.789055082954</t>
  </si>
  <si>
    <t>-602.672583640277 -210.290589513575 820.042506503859</t>
  </si>
  <si>
    <t>9763-20170724T104641.549201300.bin</t>
  </si>
  <si>
    <t>-868.823567343563 13.7379072397482 -534.326666924319</t>
  </si>
  <si>
    <t>-900.897144561863 145.295513140431 -510.571590128053</t>
  </si>
  <si>
    <t>-881.813982531067 174.045782910702 -218.338080450135</t>
  </si>
  <si>
    <t>-649.823096285453 234.779999289674 -241.628590835663</t>
  </si>
  <si>
    <t>-851.700134942828 87.658214610917 -78.6437435913358</t>
  </si>
  <si>
    <t>-817.33471906929 63.9672523599049 322.744382445581</t>
  </si>
  <si>
    <t>-861.014268181203 20.2974367416496 766.630655925901</t>
  </si>
  <si>
    <t>-721.863387744579 65.4661011854228 827.327577042369</t>
  </si>
  <si>
    <t>-621.45832988913 -97.1631813069562 291.947874987414</t>
  </si>
  <si>
    <t>-724.14426413368 -99.5897689346212 728.000063243093</t>
  </si>
  <si>
    <t>-615.814772575482 -171.904329134012 818.125652870242</t>
  </si>
  <si>
    <t>9763-20170724T104641.581796200.bin</t>
  </si>
  <si>
    <t>-867.072714358076 15.6658312005818 -535.578282233136</t>
  </si>
  <si>
    <t>-899.293730162393 147.148958197697 -511.688433880436</t>
  </si>
  <si>
    <t>-881.767959435367 175.364720532369 -219.30535084389</t>
  </si>
  <si>
    <t>-649.683296146178 235.983088438552 -241.953881381194</t>
  </si>
  <si>
    <t>-852.648166599278 86.1178599278248 -78.7614779948523</t>
  </si>
  <si>
    <t>-818.117344248188 63.1365088436762 322.653700520623</t>
  </si>
  <si>
    <t>-861.040920130691 20.3822186538732 766.606906346773</t>
  </si>
  <si>
    <t>-721.950284487272 65.7220360363385 827.314568093754</t>
  </si>
  <si>
    <t>-625.401995566844 -94.2009459170941 291.193831616922</t>
  </si>
  <si>
    <t>-735.467987570565 -84.0152450144935 725.101222892392</t>
  </si>
  <si>
    <t>-623.679653049482 -147.836128464187 817.391835122388</t>
  </si>
  <si>
    <t>9763-20170724T104641.646009900.bin</t>
  </si>
  <si>
    <t>-823.39416212446 1.88466848000348 -670.716028187407</t>
  </si>
  <si>
    <t>-862.704300175708 18.9427087028068 -538.156066432838</t>
  </si>
  <si>
    <t>-895.38621286881 150.234513177826 -513.710289118868</t>
  </si>
  <si>
    <t>-880.142197168869 176.907079268677 -221.054510824916</t>
  </si>
  <si>
    <t>-648.264393556694 238.55103081722 -243.045676848125</t>
  </si>
  <si>
    <t>-854.008301379955 82.447641370517 -79.4115665848985</t>
  </si>
  <si>
    <t>-820.180387295512 61.4384137684001 322.171487277484</t>
  </si>
  <si>
    <t>-860.973238621732 20.6322837675634 766.362619472613</t>
  </si>
  <si>
    <t>-722.029837683287 66.275221275037 827.179783712809</t>
  </si>
  <si>
    <t>-637.291174731492 -83.909293304543 291.182086191887</t>
  </si>
  <si>
    <t>-765.453974565774 -51.3085276475151 719.480874685236</t>
  </si>
  <si>
    <t>-644.744672430058 -90.2846769642224 814.335658785671</t>
  </si>
  <si>
    <t>9763-20170724T104641.680101300.bin</t>
  </si>
  <si>
    <t>-820.770394618145 2.46221189758626 -671.790582648341</t>
  </si>
  <si>
    <t>-860.436795006928 18.9986892699178 -539.230364660484</t>
  </si>
  <si>
    <t>-893.391797702622 150.170460684178 -514.494763401972</t>
  </si>
  <si>
    <t>-879.425350403999 175.700993583377 -221.673362106544</t>
  </si>
  <si>
    <t>-647.753677260583 238.177671281569 -243.484730053311</t>
  </si>
  <si>
    <t>-854.797189982137 79.4999393563303 -79.8220251066111</t>
  </si>
  <si>
    <t>-820.582587491353 60.1557604992779 321.812006276603</t>
  </si>
  <si>
    <t>-861.043914523091 20.9771327657145 766.201019378518</t>
  </si>
  <si>
    <t>-722.030646206632 66.3289443793731 827.076294016533</t>
  </si>
  <si>
    <t>-643.755848098679 -74.4677729762564 291.193373109445</t>
  </si>
  <si>
    <t>-779.176787223316 -32.6768576207328 716.714483020587</t>
  </si>
  <si>
    <t>-654.45881593309 -56.0998206295056 811.498873706652</t>
  </si>
  <si>
    <t>9763-20170724T104641.750130100.bin</t>
  </si>
  <si>
    <t>-815.529468914037 2.18102468455345 -672.912653537944</t>
  </si>
  <si>
    <t>-855.854973558345 17.5222675511452 -540.294972711097</t>
  </si>
  <si>
    <t>-889.825271749043 148.287779176862 -514.889142365692</t>
  </si>
  <si>
    <t>-878.013245765663 172.214637343139 -221.837727631724</t>
  </si>
  <si>
    <t>-646.777282539154 236.514486742991 -242.963863021276</t>
  </si>
  <si>
    <t>-857.026714121673 72.9873764683589 -80.0913305129092</t>
  </si>
  <si>
    <t>-818.706936851439 56.6735816286327 321.306400533765</t>
  </si>
  <si>
    <t>-861.105040011681 21.4948010836922 765.832343761024</t>
  </si>
  <si>
    <t>-722.183214028994 66.9739153775492 826.821618812347</t>
  </si>
  <si>
    <t>-656.283426031839 -56.093960017525 291.901913990456</t>
  </si>
  <si>
    <t>-794.419907786409 -7.90055267077514 715.111295421032</t>
  </si>
  <si>
    <t>-666.194551760659 -13.3240689901997 807.934496899726</t>
  </si>
  <si>
    <t>9763-20170724T104641.784227500.bin</t>
  </si>
  <si>
    <t>-813.548126354523 1.7709352559034 -673.318747681794</t>
  </si>
  <si>
    <t>-853.919695151983 16.6818116079996 -540.544532932879</t>
  </si>
  <si>
    <t>-888.803379814224 147.124069578659 -514.706205019454</t>
  </si>
  <si>
    <t>-877.494828089155 170.365450199942 -221.579532938546</t>
  </si>
  <si>
    <t>-646.587827536593 235.836811393645 -242.705056477079</t>
  </si>
  <si>
    <t>-858.519722013418 69.8445854549202 -80.3014302758294</t>
  </si>
  <si>
    <t>-819.287636906141 55.3908605382101 321.07943264397</t>
  </si>
  <si>
    <t>-861.110418170338 21.8295708481542 765.575430379704</t>
  </si>
  <si>
    <t>-722.186205142585 67.1677516375437 826.664110274144</t>
  </si>
  <si>
    <t>-664.002728505234 -54.120796787555 293.704011761203</t>
  </si>
  <si>
    <t>-794.869488115728 -10.1516502049144 719.454725895783</t>
  </si>
  <si>
    <t>-665.051906918617 -15.2211856245797 810.05822889021</t>
  </si>
  <si>
    <t>9763-20170724T104641.847407700.bin</t>
  </si>
  <si>
    <t>-809.842691007089 3.39015120727049 -674.537778295326</t>
  </si>
  <si>
    <t>-849.902923455867 17.5740757496885 -541.206880697011</t>
  </si>
  <si>
    <t>-887.024392605527 147.099429165194 -514.132057146554</t>
  </si>
  <si>
    <t>-875.633763687743 168.911928342528 -220.898962570774</t>
  </si>
  <si>
    <t>-645.8508745078 237.92425199887 -242.990207532607</t>
  </si>
  <si>
    <t>-860.429810236978 68.0899363384049 -81.4888052019757</t>
  </si>
  <si>
    <t>-822.714231795786 54.467951663521 320.066412659611</t>
  </si>
  <si>
    <t>-861.324076873729 22.9657303647202 764.904270404176</t>
  </si>
  <si>
    <t>-722.277340078464 67.5902780817771 826.238893207531</t>
  </si>
  <si>
    <t>-680.968678965399 -62.6425907099771 300.396516509182</t>
  </si>
  <si>
    <t>-798.818245260819 -34.3222159052982 732.060305666413</t>
  </si>
  <si>
    <t>-665.089144856942 -38.1111036242789 816.85102495617</t>
  </si>
  <si>
    <t>9763-20170724T104641.879492600.bin</t>
  </si>
  <si>
    <t>-806.83022668062 6.18853705383867 -675.229281975653</t>
  </si>
  <si>
    <t>-846.740475532109 20.1249931732964 -541.676069484549</t>
  </si>
  <si>
    <t>-884.890257360671 149.289500718783 -514.10223554639</t>
  </si>
  <si>
    <t>-873.342907391262 170.609722699467 -220.839140837355</t>
  </si>
  <si>
    <t>-644.144074831781 241.479683976698 -243.114650678268</t>
  </si>
  <si>
    <t>-858.162262383039 69.8327082098281 -82.1271657940755</t>
  </si>
  <si>
    <t>-823.353941227641 55.6050065424929 319.669539240862</t>
  </si>
  <si>
    <t>-861.452389861542 23.5588381622829 764.503638833628</t>
  </si>
  <si>
    <t>-722.435128736424 68.0868552222228 825.975218850228</t>
  </si>
  <si>
    <t>-685.61223177133 -62.2707537863297 302.31741340529</t>
  </si>
  <si>
    <t>-796.687218041464 -43.6580128192294 736.296043672784</t>
  </si>
  <si>
    <t>-661.129183489456 -44.1314510807972 818.217322094343</t>
  </si>
  <si>
    <t>9763-20170724T104641.950688900.bin</t>
  </si>
  <si>
    <t>-799.768964833887 6.29531667298829 -676.806613715324</t>
  </si>
  <si>
    <t>-838.898186870657 20.4633206016058 -542.901840723501</t>
  </si>
  <si>
    <t>-878.085311198921 149.308392511497 -515.312918272158</t>
  </si>
  <si>
    <t>-867.519348435951 170.444218402678 -221.999422735217</t>
  </si>
  <si>
    <t>-639.002823931143 243.853685562264 -243.02590747493</t>
  </si>
  <si>
    <t>-849.845831111633 69.9021312189752 -83.5352156351781</t>
  </si>
  <si>
    <t>-822.422466682335 56.0258232073338 318.845308545114</t>
  </si>
  <si>
    <t>-861.793046003284 24.8626675257933 763.873868505539</t>
  </si>
  <si>
    <t>-722.714657303515 69.3362563940673 825.246401906369</t>
  </si>
  <si>
    <t>-688.809543320745 -65.5973848579007 305.079876668155</t>
  </si>
  <si>
    <t>-786.451364614977 -69.7652215367818 742.424256967605</t>
  </si>
  <si>
    <t>-648.339157137669 -58.2128193131256 819.097936285177</t>
  </si>
  <si>
    <t>9763-20170724T104641.983782700.bin</t>
  </si>
  <si>
    <t>-797.005088284811 4.43467891378964 -677.313259501105</t>
  </si>
  <si>
    <t>-835.562749731202 18.9408679202741 -543.255885982372</t>
  </si>
  <si>
    <t>-874.746700904956 147.830642379457 -515.864266456913</t>
  </si>
  <si>
    <t>-864.659420959947 170.357804755319 -222.637531229258</t>
  </si>
  <si>
    <t>-636.225706706887 244.463101477508 -242.061774557133</t>
  </si>
  <si>
    <t>-846.209100567098 69.6795675491476 -83.9843042530482</t>
  </si>
  <si>
    <t>-821.100771348098 55.941803281841 318.552048961798</t>
  </si>
  <si>
    <t>-861.966084140107 25.3139229136245 763.744571781557</t>
  </si>
  <si>
    <t>-722.846675687159 70.0167967930527 824.857138498431</t>
  </si>
  <si>
    <t>-691.201715196223 -70.8644998856514 307.012602067744</t>
  </si>
  <si>
    <t>-782.332819964629 -85.6744479115047 745.581347328306</t>
  </si>
  <si>
    <t>-643.855679991834 -65.2069436839632 819.692529630135</t>
  </si>
  <si>
    <t>9763-20170724T104642.048956600.bin</t>
  </si>
  <si>
    <t>-827.711167630221 12.2555437591145 -543.123529160975</t>
  </si>
  <si>
    <t>-866.737548020711 141.349669328294 -516.422464541674</t>
  </si>
  <si>
    <t>-858.688092569009 165.321694402485 -223.247154489584</t>
  </si>
  <si>
    <t>-630.735306680269 241.71772843992 -239.123276115029</t>
  </si>
  <si>
    <t>-837.877691652065 64.8886833683384 -83.4721767113078</t>
  </si>
  <si>
    <t>-806.898521156672 54.7010437058561 318.760577894098</t>
  </si>
  <si>
    <t>-862.289639174692 26.4384341402624 762.975209496172</t>
  </si>
  <si>
    <t>-723.027653055647 70.2934217464915 824.376577406801</t>
  </si>
  <si>
    <t>-696.268043300308 -86.8560615623076 311.020765065511</t>
  </si>
  <si>
    <t>-765.083853346443 -106.125734145703 753.053775279654</t>
  </si>
  <si>
    <t>-626.802405736582 -73.8165982205253 823.208147382768</t>
  </si>
  <si>
    <t>9763-20170724T104642.082546900.bin</t>
  </si>
  <si>
    <t>-822.006135300983 6.54479263301891 -542.152500477644</t>
  </si>
  <si>
    <t>-861.345941003608 135.648098756491 -515.859178587797</t>
  </si>
  <si>
    <t>-854.213048724075 159.845206861533 -222.678718022279</t>
  </si>
  <si>
    <t>-626.545043653739 237.339827348222 -237.264735762478</t>
  </si>
  <si>
    <t>-831.897705975466 60.4274348350582 -82.4528606272013</t>
  </si>
  <si>
    <t>-795.075944754652 53.3075144371928 319.353254733952</t>
  </si>
  <si>
    <t>-862.880750751389 28.1464157141691 762.155233838408</t>
  </si>
  <si>
    <t>-723.412858728444 70.2183856492375 824.331737023841</t>
  </si>
  <si>
    <t>-698.197899289376 -95.5142476089788 313.998546250492</t>
  </si>
  <si>
    <t>-757.696606774208 -111.678313297242 757.486538519745</t>
  </si>
  <si>
    <t>-619.296313672327 -77.7966756786017 826.658053885086</t>
  </si>
  <si>
    <t>9763-20170724T104642.151217400.bin</t>
  </si>
  <si>
    <t>-853.545659528118 127.660790421797 -513.926260967429</t>
  </si>
  <si>
    <t>-847.258839675539 152.658506647233 -220.793450651767</t>
  </si>
  <si>
    <t>-620.087320182709 231.860973476675 -233.868605991301</t>
  </si>
  <si>
    <t>-821.936038082602 53.1953243387461 -80.7853845098825</t>
  </si>
  <si>
    <t>-777.040097556702 53.4393056054089 320.261990788925</t>
  </si>
  <si>
    <t>-873.532352097381 58.7464961199887 758.064775748097</t>
  </si>
  <si>
    <t>-730.944540202153 81.3848353230408 823.20688880373</t>
  </si>
  <si>
    <t>-703.472740889883 -105.973330029683 318.579949597045</t>
  </si>
  <si>
    <t>-754.206286935717 -114.731770661665 762.164949498215</t>
  </si>
  <si>
    <t>-615.593563653946 -79.9014466006287 830.433929973887</t>
  </si>
  <si>
    <t>9763-20170724T104642.185817600.bin</t>
  </si>
  <si>
    <t>-817.458912363063 1.76633233867437 -540.928819971642</t>
  </si>
  <si>
    <t>-857.726726457602 130.517908531862 -514.726318134248</t>
  </si>
  <si>
    <t>-851.764940736283 155.711464232882 -221.603670012743</t>
  </si>
  <si>
    <t>-624.895150885337 235.848998050807 -234.209715453174</t>
  </si>
  <si>
    <t>-828.432418072466 57.5919820489908 -82.6170112030256</t>
  </si>
  <si>
    <t>-781.457961591935 65.0669695681718 318.122563816486</t>
  </si>
  <si>
    <t>-883.548051152533 99.8964000325902 753.12205044982</t>
  </si>
  <si>
    <t>-740.204744337371 101.754897991684 820.475773088896</t>
  </si>
  <si>
    <t>-712.445596617656 -107.518223099227 318.268548157835</t>
  </si>
  <si>
    <t>-754.327891644015 -114.662920290731 762.657991232342</t>
  </si>
  <si>
    <t>-615.602222977289 -80.2134137389621 830.890944299006</t>
  </si>
  <si>
    <t>9763-20170724T104642.249490400.bin</t>
  </si>
  <si>
    <t>-794.312503686856 0.226970177877774 -679.504497392913</t>
  </si>
  <si>
    <t>-830.515052377853 14.8678908623917 -544.819901569557</t>
  </si>
  <si>
    <t>-870.739570224521 143.513482605846 -518.018981609997</t>
  </si>
  <si>
    <t>-865.277707243009 167.428982739774 -224.779609885745</t>
  </si>
  <si>
    <t>-639.000404555587 249.29965310848 -236.886281582265</t>
  </si>
  <si>
    <t>-842.127166386689 72.4684556750822 -88.1963919335515</t>
  </si>
  <si>
    <t>-795.011514948292 94.0548094598187 312.01452002851</t>
  </si>
  <si>
    <t>-883.242530623357 175.465590956559 743.418547503195</t>
  </si>
  <si>
    <t>-747.696958942115 135.384268676115 814.890174603224</t>
  </si>
  <si>
    <t>-731.492505271535 -106.742040008024 316.400596687896</t>
  </si>
  <si>
    <t>-754.943850209688 -113.11167984956 762.453493800536</t>
  </si>
  <si>
    <t>-615.689252536877 -81.7363433281317 831.090520085727</t>
  </si>
  <si>
    <t>9763-20170724T104642.288098100.bin</t>
  </si>
  <si>
    <t>-799.140648207865 7.05203630058759 -681.470132544534</t>
  </si>
  <si>
    <t>-834.933821804137 21.2451453194074 -546.659763745892</t>
  </si>
  <si>
    <t>-874.858177736704 149.961348320098 -519.673733392781</t>
  </si>
  <si>
    <t>-869.669430191276 172.59468237314 -226.327540008319</t>
  </si>
  <si>
    <t>-643.740019667355 255.381352213759 -238.701730579594</t>
  </si>
  <si>
    <t>-845.552570750328 79.7002646590076 -90.6660777572772</t>
  </si>
  <si>
    <t>-802.208921868732 105.699717045924 309.708740186085</t>
  </si>
  <si>
    <t>-879.771376511323 197.044177720766 740.974901531691</t>
  </si>
  <si>
    <t>-748.987247410821 144.262661808326 813.064629324474</t>
  </si>
  <si>
    <t>-740.541788484314 -105.619197856693 315.564223732693</t>
  </si>
  <si>
    <t>-755.574561733384 -111.767694136411 762.28917159595</t>
  </si>
  <si>
    <t>-615.890610453174 -82.723881369956 831.079765421632</t>
  </si>
  <si>
    <t>9763-20170724T104642.346269800.bin</t>
  </si>
  <si>
    <t>-827.182640689652 7.64530481243969 -605.558347170717</t>
  </si>
  <si>
    <t>-800.759176733453 16.0230147706388 -683.895129230215</t>
  </si>
  <si>
    <t>-836.156504943863 29.9747337029357 -549.041261118137</t>
  </si>
  <si>
    <t>-874.325320537462 159.325207718243 -522.238355260863</t>
  </si>
  <si>
    <t>-871.2382688243 178.477087820586 -228.614484627096</t>
  </si>
  <si>
    <t>-645.990480278545 263.016624381251 -241.551843863696</t>
  </si>
  <si>
    <t>-845.686838470271 89.1814648650045 -93.8741855923938</t>
  </si>
  <si>
    <t>-821.573906817003 119.868230152041 307.786800980624</t>
  </si>
  <si>
    <t>-885.596352671921 205.156556204978 742.519340001841</t>
  </si>
  <si>
    <t>-755.428539174527 147.871436307508 812.247600117466</t>
  </si>
  <si>
    <t>-753.920262525721 -104.749766314337 314.134201076667</t>
  </si>
  <si>
    <t>-756.098284670307 -110.58236561142 761.940887655759</t>
  </si>
  <si>
    <t>-616.070293525175 -83.6632134864135 830.896121266832</t>
  </si>
  <si>
    <t>9763-20170724T104642.383370000.bin</t>
  </si>
  <si>
    <t>-812.079050504282 1.55593386980422 -90.9249260413447</t>
  </si>
  <si>
    <t>-829.134096680914 0.485530849510724 -482.428983980434</t>
  </si>
  <si>
    <t>-825.964197137237 9.82924002404025 -606.620201530743</t>
  </si>
  <si>
    <t>-799.382537498655 18.0610836008318 -684.918997180337</t>
  </si>
  <si>
    <t>-834.896086426598 32.3204633432888 -550.160703301477</t>
  </si>
  <si>
    <t>-871.70114928606 162.164465860449 -523.649153943425</t>
  </si>
  <si>
    <t>-870.27571723025 179.670198996371 -229.909930756069</t>
  </si>
  <si>
    <t>-645.146648266677 264.610042826325 -242.279151297652</t>
  </si>
  <si>
    <t>-845.173256313185 91.6341276940993 -94.8690981182694</t>
  </si>
  <si>
    <t>-831.592648380156 124.786093825705 307.090080654775</t>
  </si>
  <si>
    <t>-890.396513250033 208.189415726859 743.368522643185</t>
  </si>
  <si>
    <t>-757.843013775879 154.60154070934 811.52417352543</t>
  </si>
  <si>
    <t>-756.305657075661 -104.021309751695 313.651542584052</t>
  </si>
  <si>
    <t>-756.14235199927 -109.895916282496 761.560439704955</t>
  </si>
  <si>
    <t>-616.133176936274 -83.4450350794729 830.734570162005</t>
  </si>
  <si>
    <t>9763-20170724T104642.451071100.bin</t>
  </si>
  <si>
    <t>-822.559263058494 4.45774916210939 -608.978607268437</t>
  </si>
  <si>
    <t>-795.493726423312 12.1134071890942 -687.169915232556</t>
  </si>
  <si>
    <t>-831.461594150745 27.352384548391 -552.676729626676</t>
  </si>
  <si>
    <t>-866.665157588066 157.66664559047 -526.75494513224</t>
  </si>
  <si>
    <t>-867.665350244265 173.712287325911 -232.930630904569</t>
  </si>
  <si>
    <t>-642.133608435825 257.975535909372 -242.203166800202</t>
  </si>
  <si>
    <t>-844.242784931629 88.4987498416535 -97.0981278830244</t>
  </si>
  <si>
    <t>-840.370914093464 128.613967007048 304.437059292972</t>
  </si>
  <si>
    <t>-890.436812108676 211.86872109162 742.257637792139</t>
  </si>
  <si>
    <t>-756.572364764559 158.765397010714 808.194408517806</t>
  </si>
  <si>
    <t>-753.106792248788 -103.125978511167 311.886729741455</t>
  </si>
  <si>
    <t>-756.024076389351 -108.311121430394 760.080897910071</t>
  </si>
  <si>
    <t>-616.314869483029 -82.6007217553605 830.135242918772</t>
  </si>
  <si>
    <t>9763-20170724T104642.480148300.bin</t>
  </si>
  <si>
    <t>-824.994390010355 5.45939196681275 -609.350369328051</t>
  </si>
  <si>
    <t>-797.724897342323 12.9198299617053 -687.489667654076</t>
  </si>
  <si>
    <t>-833.801152590976 28.4902109507916 -553.089121991417</t>
  </si>
  <si>
    <t>-868.889313121133 158.844607719567 -527.414635000552</t>
  </si>
  <si>
    <t>-870.045278827442 175.230723908631 -233.609683865602</t>
  </si>
  <si>
    <t>-644.186553579758 258.703640407251 -242.035944510144</t>
  </si>
  <si>
    <t>-848.76758658015 91.8733430087341 -97.4810083417235</t>
  </si>
  <si>
    <t>-843.91027200751 129.724571908418 304.263172921969</t>
  </si>
  <si>
    <t>-891.536946443516 212.578943669007 742.673569528023</t>
  </si>
  <si>
    <t>-757.232033277567 160.004762804832 808.137047951108</t>
  </si>
  <si>
    <t>-752.694083904759 -101.89871324292 311.255023603715</t>
  </si>
  <si>
    <t>-756.038439147635 -108.102518879207 759.707381322346</t>
  </si>
  <si>
    <t>-616.422563032555 -82.3108666581676 829.917890559713</t>
  </si>
  <si>
    <t>9763-20170724T104642.550354100.bin</t>
  </si>
  <si>
    <t>-815.970929728644 0.59404085784422 -92.8308025109765</t>
  </si>
  <si>
    <t>-832.568539914711 4.24288843819932 -608.570830832503</t>
  </si>
  <si>
    <t>-804.839720479692 11.4440536412437 -686.572743638187</t>
  </si>
  <si>
    <t>-840.919530706155 27.6595132798382 -552.399439316653</t>
  </si>
  <si>
    <t>-875.830891422508 158.238513997504 -527.202245624499</t>
  </si>
  <si>
    <t>-874.858754333866 176.171737280657 -233.486942643213</t>
  </si>
  <si>
    <t>-648.851009463601 259.163983992391 -242.634264994002</t>
  </si>
  <si>
    <t>-853.693225720247 92.0291157878319 -96.4357417863373</t>
  </si>
  <si>
    <t>-847.299618285863 126.032110857595 305.630878863323</t>
  </si>
  <si>
    <t>-891.852409676369 207.003299507251 744.697882428789</t>
  </si>
  <si>
    <t>-754.710511501887 160.236836375712 808.668960197026</t>
  </si>
  <si>
    <t>-754.072061564627 -101.457579113225 311.350746005442</t>
  </si>
  <si>
    <t>-756.479051782796 -107.327736421584 759.479133937587</t>
  </si>
  <si>
    <t>-616.686308272861 -82.5670526592488 829.708768658949</t>
  </si>
  <si>
    <t>9763-20170724T104642.581426000.bin</t>
  </si>
  <si>
    <t>-834.219227862154 1.8320038626407 -608.207002023639</t>
  </si>
  <si>
    <t>-806.239528240794 8.96206044000041 -686.125775591281</t>
  </si>
  <si>
    <t>-842.216646621266 25.4807557793702 -552.081244867407</t>
  </si>
  <si>
    <t>-876.924213472665 156.094789049008 -527.064547256533</t>
  </si>
  <si>
    <t>-874.245689673577 175.167921199373 -233.431687921593</t>
  </si>
  <si>
    <t>-648.349260813299 258.372976308627 -243.361175524478</t>
  </si>
  <si>
    <t>-849.525557870661 89.3163050850412 -96.1592921124396</t>
  </si>
  <si>
    <t>-845.481481742296 122.519308366153 306.00468021122</t>
  </si>
  <si>
    <t>-884.345098677421 198.746131777109 745.776427546238</t>
  </si>
  <si>
    <t>-744.53154310271 158.842548215288 808.603178255597</t>
  </si>
  <si>
    <t>-754.082398370212 -102.764024728331 311.412812622728</t>
  </si>
  <si>
    <t>-756.447944740513 -107.408673424966 759.40134580125</t>
  </si>
  <si>
    <t>-616.711921084146 -82.4239997887645 829.66446371373</t>
  </si>
  <si>
    <t>9763-20170724T104642.648611600.bin</t>
  </si>
  <si>
    <t>-809.97826427451 1.17013311582446 -92.465840322429</t>
  </si>
  <si>
    <t>-835.276783243176 1.6679824452774 -607.980206748917</t>
  </si>
  <si>
    <t>-807.089041201495 8.78330659521066 -685.825250618581</t>
  </si>
  <si>
    <t>-842.432097753541 25.6426261886563 -551.879001520152</t>
  </si>
  <si>
    <t>-876.533162700662 156.520754335036 -527.305726212309</t>
  </si>
  <si>
    <t>-870.588761800616 177.815334760798 -233.873593183255</t>
  </si>
  <si>
    <t>-645.221876864834 262.266751832529 -245.214344468162</t>
  </si>
  <si>
    <t>-842.771851051192 90.0019540085218 -95.8419242900017</t>
  </si>
  <si>
    <t>-845.028494937541 123.68938288134 306.295735999636</t>
  </si>
  <si>
    <t>-882.881482865937 190.039385914632 747.601531087189</t>
  </si>
  <si>
    <t>-738.480337666081 170.482521153619 809.674977701855</t>
  </si>
  <si>
    <t>-753.27252321768 -103.355187319246 311.464922986273</t>
  </si>
  <si>
    <t>-756.637216975283 -107.004571779605 759.359401183604</t>
  </si>
  <si>
    <t>-616.740078965451 -83.1198476225189 829.68441833608</t>
  </si>
  <si>
    <t>9763-20170724T104642.680696600.bin</t>
  </si>
  <si>
    <t>-807.640455711233 3.06443138715917 -92.5125226810525</t>
  </si>
  <si>
    <t>-835.103567281068 2.48196953978709 -607.97350819618</t>
  </si>
  <si>
    <t>-807.141591429228 9.42687338218593 -685.91536631218</t>
  </si>
  <si>
    <t>-841.863271456703 26.67816808513 -551.918659432393</t>
  </si>
  <si>
    <t>-875.588433481762 157.748615391211 -527.6421536257</t>
  </si>
  <si>
    <t>-868.714184543666 179.713412029927 -234.279766227755</t>
  </si>
  <si>
    <t>-643.499181832809 264.466516194542 -246.361038143589</t>
  </si>
  <si>
    <t>-840.107735353024 91.7749567955523 -95.7880008541393</t>
  </si>
  <si>
    <t>-848.073890275181 126.662645133522 306.174762241449</t>
  </si>
  <si>
    <t>-886.168750782617 191.758535206082 747.740719065348</t>
  </si>
  <si>
    <t>-741.164543659673 178.007367119024 809.965922543619</t>
  </si>
  <si>
    <t>-751.82126227734 -102.449305883548 311.449889453689</t>
  </si>
  <si>
    <t>-756.628716077023 -107.119006260608 759.392572846605</t>
  </si>
  <si>
    <t>-616.718361429029 -83.2007908622439 829.679797506139</t>
  </si>
  <si>
    <t>9763-20170724T104642.750625100.bin</t>
  </si>
  <si>
    <t>-804.283892021526 4.18400067432776 -92.8416340460573</t>
  </si>
  <si>
    <t>-834.18050067809 0.612469961919032 -608.253969508424</t>
  </si>
  <si>
    <t>-806.722845579708 6.96858248892499 -686.424932848015</t>
  </si>
  <si>
    <t>-840.37222139006 25.3220742007798 -552.357591817274</t>
  </si>
  <si>
    <t>-873.313725440913 156.6876346771 -528.821636063444</t>
  </si>
  <si>
    <t>-866.473713195132 179.336202777313 -235.510421619502</t>
  </si>
  <si>
    <t>-640.970455727791 263.25217829702 -248.051727175352</t>
  </si>
  <si>
    <t>-837.627727487404 93.4977735523771 -96.2020092435565</t>
  </si>
  <si>
    <t>-854.194998127463 129.512570283325 305.398746384087</t>
  </si>
  <si>
    <t>-886.805038289233 191.177460494931 747.667724616805</t>
  </si>
  <si>
    <t>-741.574151525017 180.397355052193 809.949862226782</t>
  </si>
  <si>
    <t>-749.509054311913 -101.117382561653 311.395226942743</t>
  </si>
  <si>
    <t>-756.807973696432 -106.481402334551 759.145712878611</t>
  </si>
  <si>
    <t>-616.833919840641 -83.3044883121258 829.554485689663</t>
  </si>
  <si>
    <t>9763-20170724T104642.785223600.bin</t>
  </si>
  <si>
    <t>-802.900529002219 5.61801563798031 -93.0662210699013</t>
  </si>
  <si>
    <t>-833.569733793749 0.708973085564367 -608.446887977102</t>
  </si>
  <si>
    <t>-806.353233772482 6.79751885618589 -686.723363488025</t>
  </si>
  <si>
    <t>-839.623425203954 25.6085808818161 -552.619596183744</t>
  </si>
  <si>
    <t>-872.439436560128 157.024806365594 -529.283408162036</t>
  </si>
  <si>
    <t>-865.896549228999 180.305225726664 -236.014868117646</t>
  </si>
  <si>
    <t>-640.093961681188 263.43326955048 -248.414342574869</t>
  </si>
  <si>
    <t>-837.176687518412 95.6534072635343 -96.6493383394013</t>
  </si>
  <si>
    <t>-854.848552344112 131.359901526597 304.93186851862</t>
  </si>
  <si>
    <t>-886.691332254354 192.165565430995 747.550620649418</t>
  </si>
  <si>
    <t>-741.493845656021 180.672090606332 809.783193723674</t>
  </si>
  <si>
    <t>-748.301767859345 -99.8189964558652 311.258788136837</t>
  </si>
  <si>
    <t>-756.930670402864 -106.091353492503 759.01410475269</t>
  </si>
  <si>
    <t>-616.963247889927 -83.0632270803029 829.48482910893</t>
  </si>
  <si>
    <t>9763-20170724T104642.851902800.bin</t>
  </si>
  <si>
    <t>-800.737250463962 9.96197650128738 -93.6332775237606</t>
  </si>
  <si>
    <t>-815.620158128365 0.846441636267855 -208.139240400206</t>
  </si>
  <si>
    <t>-832.558029709505 2.90548845518106 -608.965694531481</t>
  </si>
  <si>
    <t>-805.731396011412 8.66891020488265 -687.40119390442</t>
  </si>
  <si>
    <t>-838.49227761289 28.081224492294 -553.249628021694</t>
  </si>
  <si>
    <t>-871.473008084086 159.501314093005 -530.062093441065</t>
  </si>
  <si>
    <t>-866.047017122093 182.833558701725 -236.774851697731</t>
  </si>
  <si>
    <t>-639.812185022152 264.813102691059 -248.940122356697</t>
  </si>
  <si>
    <t>-836.114135114644 101.000444758404 -97.5469708756004</t>
  </si>
  <si>
    <t>-855.983440179637 135.770598837226 304.013651862876</t>
  </si>
  <si>
    <t>-886.537657326188 194.110346497024 747.186815782465</t>
  </si>
  <si>
    <t>-741.478947402698 181.112697034213 809.446789084293</t>
  </si>
  <si>
    <t>-747.190705478441 -96.3066954038428 310.96573402366</t>
  </si>
  <si>
    <t>-757.181604867377 -105.308235047881 758.708924602567</t>
  </si>
  <si>
    <t>-617.218909187762 -82.6515228420823 829.309443425189</t>
  </si>
  <si>
    <t>9763-20170724T104642.880980300.bin</t>
  </si>
  <si>
    <t>-799.432177955872 11.8530539945423 -93.8750227410087</t>
  </si>
  <si>
    <t>-814.381578289639 2.63390618792891 -208.36409793398</t>
  </si>
  <si>
    <t>-829.89395542434 0.40586596951789 -484.657296023247</t>
  </si>
  <si>
    <t>-831.941288596557 3.98860958366208 -609.171544429773</t>
  </si>
  <si>
    <t>-805.286959866316 9.68623709841449 -687.670526291933</t>
  </si>
  <si>
    <t>-837.836595993545 29.2600984562366 -553.494608671971</t>
  </si>
  <si>
    <t>-871.017073483243 160.647740028992 -530.420017292316</t>
  </si>
  <si>
    <t>-866.373342068205 183.064479533087 -237.047903786876</t>
  </si>
  <si>
    <t>-640.00045331102 264.709928462635 -248.889116947736</t>
  </si>
  <si>
    <t>-834.86600743475 102.579461560147 -97.7295026586072</t>
  </si>
  <si>
    <t>-856.316727795813 137.735525341087 303.716167338611</t>
  </si>
  <si>
    <t>-886.444224633111 194.706910448163 747.103651195054</t>
  </si>
  <si>
    <t>-741.437940024079 181.237535770213 809.385589810856</t>
  </si>
  <si>
    <t>-746.476387641576 -94.9215242534876 310.784655562271</t>
  </si>
  <si>
    <t>-757.313554073163 -104.84341390376 758.52529251577</t>
  </si>
  <si>
    <t>-617.331701305209 -82.635104731337 829.230078215529</t>
  </si>
  <si>
    <t>9763-20170724T104642.955185500.bin</t>
  </si>
  <si>
    <t>-796.684001573135 14.0853279630976 -94.141006767336</t>
  </si>
  <si>
    <t>-811.805027045016 4.73659977507577 -208.59697410219</t>
  </si>
  <si>
    <t>-819.432689042908 1.7454746293115 -306.879979134224</t>
  </si>
  <si>
    <t>-824.689397612111 0.790886150026608 -395.816366658053</t>
  </si>
  <si>
    <t>-827.93132231162 1.64986147093987 -484.849956915132</t>
  </si>
  <si>
    <t>-830.312296148302 4.71102451066054 -609.372192163731</t>
  </si>
  <si>
    <t>-803.908769426793 10.3280070923001 -687.961852022975</t>
  </si>
  <si>
    <t>-836.198395628895 30.1797914426033 -553.784332602391</t>
  </si>
  <si>
    <t>-869.950074981613 161.491448156912 -531.003887532313</t>
  </si>
  <si>
    <t>-866.695591724014 181.766261781449 -237.457265874738</t>
  </si>
  <si>
    <t>-640.109636593758 262.938925300031 -248.444001501346</t>
  </si>
  <si>
    <t>-831.836940241956 104.031253183922 -97.8771406347345</t>
  </si>
  <si>
    <t>-857.169808180426 141.009199736532 303.17837236925</t>
  </si>
  <si>
    <t>-886.328015156169 195.622759201649 746.951210429247</t>
  </si>
  <si>
    <t>-741.394871181281 181.578033703036 809.276313291115</t>
  </si>
  <si>
    <t>-743.525665656885 -93.3867007960249 310.487934070783</t>
  </si>
  <si>
    <t>-757.343076548096 -104.392585721671 758.173852599345</t>
  </si>
  <si>
    <t>-617.467573806054 -82.1678128752117 829.083631611724</t>
  </si>
  <si>
    <t>9763-20170724T104642.981255500.bin</t>
  </si>
  <si>
    <t>-795.828769973355 15.2853573517611 -94.173122919154</t>
  </si>
  <si>
    <t>-811.0341601405 5.83987664757615 -208.610035019537</t>
  </si>
  <si>
    <t>-818.766762331896 2.70728055717473 -306.88029922971</t>
  </si>
  <si>
    <t>-824.130785083314 1.59807900376995 -395.808673758915</t>
  </si>
  <si>
    <t>-827.492792240792 2.27702472529359 -484.839415631786</t>
  </si>
  <si>
    <t>-830.055100801005 5.05937694489648 -609.364513939883</t>
  </si>
  <si>
    <t>-803.729540845322 10.6355615774751 -687.983198029632</t>
  </si>
  <si>
    <t>-835.929710637346 30.6344553370911 -553.824247275598</t>
  </si>
  <si>
    <t>-869.987303621408 161.883766415253 -531.186027815073</t>
  </si>
  <si>
    <t>-867.215764500031 181.095853024925 -237.563109742446</t>
  </si>
  <si>
    <t>-640.579066284839 262.179862575956 -248.151021459921</t>
  </si>
  <si>
    <t>-831.691398365231 105.395668845448 -97.9499286226766</t>
  </si>
  <si>
    <t>-857.486928913134 141.963783126017 303.113673058793</t>
  </si>
  <si>
    <t>-886.250101315578 195.782792509376 746.976783531931</t>
  </si>
  <si>
    <t>-741.342223870678 181.642374084384 809.33896098005</t>
  </si>
  <si>
    <t>-742.388198316013 -92.5857369454081 310.39020887174</t>
  </si>
  <si>
    <t>-757.465917476935 -104.04361386779 758.045359917846</t>
  </si>
  <si>
    <t>-617.566125220521 -82.1823416366751 829.020253193179</t>
  </si>
  <si>
    <t>9763-20170724T104643.051996500.bin</t>
  </si>
  <si>
    <t>-795.246083386699 16.8001712388664 -94.1864781662991</t>
  </si>
  <si>
    <t>-810.646001230347 7.08876748294392 -208.575035226123</t>
  </si>
  <si>
    <t>-818.584877354882 3.65938221436886 -306.818994862335</t>
  </si>
  <si>
    <t>-824.148705865354 2.24814437768805 -395.730692868601</t>
  </si>
  <si>
    <t>-827.724040243275 2.59207195909357 -484.755087795327</t>
  </si>
  <si>
    <t>-830.598104652249 4.87074672795347 -609.283632195512</t>
  </si>
  <si>
    <t>-804.323379867783 10.3421143647834 -687.926693736482</t>
  </si>
  <si>
    <t>-836.488854912296 30.6292288396171 -553.829873297828</t>
  </si>
  <si>
    <t>-871.2343213463 161.717567886472 -531.313726614043</t>
  </si>
  <si>
    <t>-869.397685117359 179.669223339129 -237.603789846233</t>
  </si>
  <si>
    <t>-642.635626151968 260.446593381778 -247.843923182584</t>
  </si>
  <si>
    <t>-832.443457763802 107.290752859599 -98.032042105301</t>
  </si>
  <si>
    <t>-857.831272560648 142.798372473475 303.152920673055</t>
  </si>
  <si>
    <t>-886.168940052568 195.872174483022 747.260624713632</t>
  </si>
  <si>
    <t>-741.304280351874 181.370397342624 809.640319640088</t>
  </si>
  <si>
    <t>-741.177406557321 -91.2143399660408 310.39921570287</t>
  </si>
  <si>
    <t>-757.547916869055 -103.851306297892 757.921578458429</t>
  </si>
  <si>
    <t>-617.62040927798 -82.2520621204319 828.922023593049</t>
  </si>
  <si>
    <t>9763-20170724T104643.083082600.bin</t>
  </si>
  <si>
    <t>-795.070326112534 17.3713128235329 -94.2043020364312</t>
  </si>
  <si>
    <t>-810.567152548558 7.50543765860948 -208.56658053036</t>
  </si>
  <si>
    <t>-818.596277849167 3.95028407492191 -306.798696021129</t>
  </si>
  <si>
    <t>-824.243082974845 2.42511239402802 -395.703369249378</t>
  </si>
  <si>
    <t>-827.902858410775 2.65576909720176 -484.724614208374</t>
  </si>
  <si>
    <t>-830.896060078629 4.77667377619127 -609.253208097725</t>
  </si>
  <si>
    <t>-804.577525056856 10.2310765484569 -687.882724588152</t>
  </si>
  <si>
    <t>-836.826135167077 30.5804438364823 -553.824716534033</t>
  </si>
  <si>
    <t>-871.994695692068 161.552447761803 -531.34824886014</t>
  </si>
  <si>
    <t>-870.82202147785 179.140228526918 -237.612826411641</t>
  </si>
  <si>
    <t>-643.958550786882 259.659750334427 -247.637491282895</t>
  </si>
  <si>
    <t>-832.748080584916 108.145467705622 -98.0568639529404</t>
  </si>
  <si>
    <t>-857.844772662656 142.903792433035 303.211970536262</t>
  </si>
  <si>
    <t>-886.189034845125 195.890576211309 747.429250922056</t>
  </si>
  <si>
    <t>-741.334648128542 181.119804208314 809.769477093387</t>
  </si>
  <si>
    <t>-740.831971345567 -90.5791844495999 310.435235085324</t>
  </si>
  <si>
    <t>-757.70733817491 -103.548964758199 757.915423142392</t>
  </si>
  <si>
    <t>-617.73642596368 -82.1591950129384 828.893688938805</t>
  </si>
  <si>
    <t>9763-20170724T104643.150318200.bin</t>
  </si>
  <si>
    <t>-794.394475794564 17.6958163861866 -94.032713593694</t>
  </si>
  <si>
    <t>-810.08907711281 7.58934846900956 -208.347080859581</t>
  </si>
  <si>
    <t>-818.280634723988 3.83720616084747 -306.558448415793</t>
  </si>
  <si>
    <t>-824.069697344894 2.13363733390861 -395.450619036236</t>
  </si>
  <si>
    <t>-827.868453684886 2.18797757326229 -484.466490999751</t>
  </si>
  <si>
    <t>-831.052264603734 4.0646569832868 -608.994191842688</t>
  </si>
  <si>
    <t>-804.601589547814 9.60077435998846 -687.573750590795</t>
  </si>
  <si>
    <t>-837.100859804351 29.9211144678588 -553.603164891176</t>
  </si>
  <si>
    <t>-873.321020387052 160.648696925008 -531.296580052956</t>
  </si>
  <si>
    <t>-873.951514890534 177.778755873627 -237.532427809968</t>
  </si>
  <si>
    <t>-647.00172726867 258.034306666064 -247.71408855542</t>
  </si>
  <si>
    <t>-832.661030250564 108.478088118615 -97.7752796490246</t>
  </si>
  <si>
    <t>-858.164563104492 142.985348301325 303.489524764081</t>
  </si>
  <si>
    <t>-886.334141844982 195.501630860776 747.834475317936</t>
  </si>
  <si>
    <t>-741.453527475526 180.476718597173 810.053378928756</t>
  </si>
  <si>
    <t>-740.051089219249 -90.2457524152442 310.563654249956</t>
  </si>
  <si>
    <t>-757.803027335506 -103.452079559937 757.955323912844</t>
  </si>
  <si>
    <t>-617.927669418149 -81.1745865597063 828.848783142492</t>
  </si>
  <si>
    <t>9763-20170724T104643.183908200.bin</t>
  </si>
  <si>
    <t>-794.080090501583 17.8449594752178 -93.8320567052424</t>
  </si>
  <si>
    <t>-809.865389582381 7.64215413715806 -208.125263769014</t>
  </si>
  <si>
    <t>-818.127263948354 3.79105154502167 -306.326993379323</t>
  </si>
  <si>
    <t>-823.976387974727 1.98860284170337 -395.213307436575</t>
  </si>
  <si>
    <t>-827.832057617283 1.93598251145045 -484.226656644312</t>
  </si>
  <si>
    <t>-831.092269762506 3.65421077874817 -608.754661841761</t>
  </si>
  <si>
    <t>-804.553710005733 9.24877140196782 -687.300353343948</t>
  </si>
  <si>
    <t>-837.214118452357 29.5509331782894 -553.390404216025</t>
  </si>
  <si>
    <t>-873.968621076293 160.133572143412 -531.192832316179</t>
  </si>
  <si>
    <t>-875.207161954468 176.972947851512 -237.413777133268</t>
  </si>
  <si>
    <t>-648.329613557334 257.424126293515 -247.664766820045</t>
  </si>
  <si>
    <t>-832.599040131874 108.478377234659 -97.5275923253899</t>
  </si>
  <si>
    <t>-858.458084894759 142.763058745336 303.733564307943</t>
  </si>
  <si>
    <t>-886.467648173777 194.846675286372 748.145546249682</t>
  </si>
  <si>
    <t>-741.537588568925 179.893247937493 810.266347709237</t>
  </si>
  <si>
    <t>-739.703416648795 -90.1481622394042 310.676436084351</t>
  </si>
  <si>
    <t>-757.850628367144 -103.402106534174 757.993880144329</t>
  </si>
  <si>
    <t>-617.957012308077 -81.1374170662978 828.855432031212</t>
  </si>
  <si>
    <t>9763-20170724T104643.251089500.bin</t>
  </si>
  <si>
    <t>-794.163060583102 18.1860617336622 -93.5578119110148</t>
  </si>
  <si>
    <t>-810.239366208109 7.80446545707969 -207.794333303347</t>
  </si>
  <si>
    <t>-818.6643695201 3.74970223999708 -305.974028130683</t>
  </si>
  <si>
    <t>-824.625961126014 1.73751121127384 -394.848359670954</t>
  </si>
  <si>
    <t>-828.560750484948 1.45160904205477 -483.85777001795</t>
  </si>
  <si>
    <t>-831.897282473159 2.81873524240973 -608.388099343135</t>
  </si>
  <si>
    <t>-805.146709709762 8.51697473495597 -686.854415708286</t>
  </si>
  <si>
    <t>-838.20805912082 28.8070149206978 -553.088018851534</t>
  </si>
  <si>
    <t>-876.019410732431 159.125834618888 -531.043911464148</t>
  </si>
  <si>
    <t>-877.197796102452 176.400077998192 -237.289792459378</t>
  </si>
  <si>
    <t>-650.329955505247 256.860589453448 -247.682400915385</t>
  </si>
  <si>
    <t>-833.969618595016 108.57112237679 -97.1954502115045</t>
  </si>
  <si>
    <t>-859.491951853191 141.646944579876 304.188771969747</t>
  </si>
  <si>
    <t>-886.709329881483 193.41860010354 748.740104518737</t>
  </si>
  <si>
    <t>-741.70939708245 178.388356855715 810.679141204395</t>
  </si>
  <si>
    <t>-739.672826875051 -89.9103468848775 310.87818593303</t>
  </si>
  <si>
    <t>-758.000768359537 -103.21462296736 758.070362929396</t>
  </si>
  <si>
    <t>-618.099927073511 -80.8056847641473 828.872040676176</t>
  </si>
  <si>
    <t>9763-20170724T104643.281171000.bin</t>
  </si>
  <si>
    <t>-794.194011198764 18.5059036836733 -93.6496987354627</t>
  </si>
  <si>
    <t>-810.3367841809 7.96225285809078 -207.862103035122</t>
  </si>
  <si>
    <t>-818.827289056918 3.77025969416059 -306.030294293895</t>
  </si>
  <si>
    <t>-824.851480857545 1.63337486128148 -394.897561659796</t>
  </si>
  <si>
    <t>-828.85270028766 1.22373823098746 -483.903462861494</t>
  </si>
  <si>
    <t>-832.286129258413 2.41950911423464 -608.433065349276</t>
  </si>
  <si>
    <t>-805.446539767783 8.14584805816867 -686.866890345006</t>
  </si>
  <si>
    <t>-838.657468726306 28.4533931267511 -553.16142760433</t>
  </si>
  <si>
    <t>-876.880489790331 158.651432587378 -531.145560525683</t>
  </si>
  <si>
    <t>-877.495135325773 176.521179644371 -237.425311004109</t>
  </si>
  <si>
    <t>-650.484868740158 256.570828462852 -247.878355214715</t>
  </si>
  <si>
    <t>-834.503366650286 108.982942499141 -97.3294385816489</t>
  </si>
  <si>
    <t>-859.465718208321 141.677004262721 304.121204742698</t>
  </si>
  <si>
    <t>-886.716202500752 193.173503311963 748.750321815357</t>
  </si>
  <si>
    <t>-741.722663033741 178.036348101889 810.677801207221</t>
  </si>
  <si>
    <t>-739.641677858134 -89.4831013691286 310.900328412434</t>
  </si>
  <si>
    <t>-758.00881409155 -103.22843160062 758.07867857945</t>
  </si>
  <si>
    <t>-618.137898564345 -80.6077308306201 828.872290163355</t>
  </si>
  <si>
    <t>9763-20170724T104643.350371400.bin</t>
  </si>
  <si>
    <t>-793.4681227531 18.5679044547837 -93.8715166923135</t>
  </si>
  <si>
    <t>-809.678452135312 7.8088688042269 -208.054126504555</t>
  </si>
  <si>
    <t>-818.277326119968 3.4018512565915 -306.20362954664</t>
  </si>
  <si>
    <t>-824.41951988577 1.05695244753224 -395.057419210475</t>
  </si>
  <si>
    <t>-828.560534785093 0.428326537110706 -484.055655404549</t>
  </si>
  <si>
    <t>-832.212598191278 1.30693860208476 -608.581727288735</t>
  </si>
  <si>
    <t>-805.291389128933 7.03992023614387 -686.987043698392</t>
  </si>
  <si>
    <t>-838.634706997381 27.4372106613894 -553.361373763153</t>
  </si>
  <si>
    <t>-877.462350778051 157.482508778289 -531.486572928195</t>
  </si>
  <si>
    <t>-876.858023806702 176.105220533618 -237.813248025237</t>
  </si>
  <si>
    <t>-649.609368429018 255.416139476686 -248.706459131857</t>
  </si>
  <si>
    <t>-834.194878149894 109.17331977425 -97.5784147495184</t>
  </si>
  <si>
    <t>-858.389025788302 141.479476342244 303.950706366311</t>
  </si>
  <si>
    <t>-886.635797452906 192.827862183758 748.609806187676</t>
  </si>
  <si>
    <t>-741.6495762421 177.639178013744 810.541979761492</t>
  </si>
  <si>
    <t>-739.21930669043 -88.5585296281964 310.846137879861</t>
  </si>
  <si>
    <t>-758.131370827998 -102.998642707683 758.024118557968</t>
  </si>
  <si>
    <t>-618.271470687196 -80.4248169569798 828.854302453114</t>
  </si>
  <si>
    <t>9763-20170724T104643.382457500.bin</t>
  </si>
  <si>
    <t>-792.697790353321 18.4210043070018 -93.9456752216514</t>
  </si>
  <si>
    <t>-808.911770619348 7.54898078599103 -208.117090860862</t>
  </si>
  <si>
    <t>-817.522839636931 3.04901831941243 -306.261210802155</t>
  </si>
  <si>
    <t>-823.679501951417 0.620687220371792 -395.111847226891</t>
  </si>
  <si>
    <t>-831.519145153662 0.67580797832079 -608.63453618299</t>
  </si>
  <si>
    <t>-804.597703659048 6.41098819203762 -687.03967002427</t>
  </si>
  <si>
    <t>-837.981133353551 26.8401317285013 -553.435002152253</t>
  </si>
  <si>
    <t>-876.955949830273 156.85306441672 -531.625866785985</t>
  </si>
  <si>
    <t>-875.904222863374 175.670438297609 -237.96620731655</t>
  </si>
  <si>
    <t>-648.566739579381 254.698690141574 -249.05880903003</t>
  </si>
  <si>
    <t>-833.600520257162 108.94808921405 -97.6878252958594</t>
  </si>
  <si>
    <t>-857.760332341332 141.506078309744 303.823013049032</t>
  </si>
  <si>
    <t>-886.570089043522 192.727709474341 748.478144560079</t>
  </si>
  <si>
    <t>-741.576949897746 177.598824602222 810.408822751956</t>
  </si>
  <si>
    <t>-738.779718123549 -88.0704970843454 310.829676646447</t>
  </si>
  <si>
    <t>-758.269467045301 -102.706907696266 757.983411384849</t>
  </si>
  <si>
    <t>-618.409405222825 -80.2348676174328 828.845770192201</t>
  </si>
  <si>
    <t>9763-20170724T104643.450670900.bin</t>
  </si>
  <si>
    <t>-791.343369589165 18.5582337307687 -94.0314181070868</t>
  </si>
  <si>
    <t>-807.581051682606 7.54333193849652 -208.185810731205</t>
  </si>
  <si>
    <t>-816.207102044202 2.92047475929303 -306.322863802411</t>
  </si>
  <si>
    <t>-822.374568755044 0.379227651494375 -395.169633078808</t>
  </si>
  <si>
    <t>-830.232666211716 0.16004412887105 -608.691456426026</t>
  </si>
  <si>
    <t>-803.356102556566 5.89261387658348 -687.112308121657</t>
  </si>
  <si>
    <t>-836.779345817837 26.3679191884773 -553.52277080175</t>
  </si>
  <si>
    <t>-876.009528651027 156.32550378371 -531.841181480003</t>
  </si>
  <si>
    <t>-874.287475091931 175.856907094445 -238.231172961479</t>
  </si>
  <si>
    <t>-646.79718287296 254.418064059803 -249.510146706467</t>
  </si>
  <si>
    <t>-832.825691763737 109.091250589458 -97.8559705946765</t>
  </si>
  <si>
    <t>-856.977126703388 141.571945402594 303.661654655302</t>
  </si>
  <si>
    <t>-886.44588706107 192.532896205538 748.282398606032</t>
  </si>
  <si>
    <t>-741.449225652121 177.400176833986 810.204017378617</t>
  </si>
  <si>
    <t>-737.954161442157 -87.2121800024248 310.831803227292</t>
  </si>
  <si>
    <t>-758.445816746729 -102.34470728277 757.897052547937</t>
  </si>
  <si>
    <t>-618.554525706794 -80.2941696172398 828.830082328789</t>
  </si>
  <si>
    <t>9763-20170724T104643.483756300.bin</t>
  </si>
  <si>
    <t>-791.091741185054 18.954949569362 -94.0619912713612</t>
  </si>
  <si>
    <t>-807.388721804609 7.89664600178594 -208.203844375585</t>
  </si>
  <si>
    <t>-816.049402777579 3.22705839814671 -306.335614226752</t>
  </si>
  <si>
    <t>-822.241627635673 0.638598252816109 -395.179266187219</t>
  </si>
  <si>
    <t>-830.13760453486 0.291067926743835 -608.699565051867</t>
  </si>
  <si>
    <t>-803.284759026241 6.01042029222981 -687.129406347371</t>
  </si>
  <si>
    <t>-836.716416077176 26.5203211828491 -553.544818104945</t>
  </si>
  <si>
    <t>-876.076186247021 156.444314832826 -531.896489897467</t>
  </si>
  <si>
    <t>-874.028162791082 176.1593135653 -238.300887370908</t>
  </si>
  <si>
    <t>-646.523342017134 254.651172371316 -249.765980775277</t>
  </si>
  <si>
    <t>-832.792598125836 109.433735991453 -97.9226074847985</t>
  </si>
  <si>
    <t>-857.060174956578 141.806965523275 303.596690088005</t>
  </si>
  <si>
    <t>-886.396105889273 192.467488367653 748.228992529165</t>
  </si>
  <si>
    <t>-741.402346698597 177.310047743608 810.151289485659</t>
  </si>
  <si>
    <t>-737.764869892277 -86.8727731648564 310.809694552823</t>
  </si>
  <si>
    <t>-758.563864110948 -102.105172714147 757.847297379934</t>
  </si>
  <si>
    <t>-618.652814753506 -80.2936208946539 828.815405312085</t>
  </si>
  <si>
    <t>9763-20170724T104643.547936500.bin</t>
  </si>
  <si>
    <t>-790.857641706578 19.3576922583247 -94.1721277193404</t>
  </si>
  <si>
    <t>-807.301830858408 8.26549885446821 -208.289438130591</t>
  </si>
  <si>
    <t>-816.050686391515 3.56200695026973 -306.411801113044</t>
  </si>
  <si>
    <t>-822.307517596566 0.939957540633259 -395.250054137465</t>
  </si>
  <si>
    <t>-826.543615254112 0.0278609665067506 -484.241346650964</t>
  </si>
  <si>
    <t>-830.308850776984 0.504121933131955 -608.766104220673</t>
  </si>
  <si>
    <t>-803.5008008081 6.23261318879008 -687.210609081252</t>
  </si>
  <si>
    <t>-836.929115310036 26.7360690623327 -553.617549798717</t>
  </si>
  <si>
    <t>-876.595180526257 156.567203593865 -531.959917421617</t>
  </si>
  <si>
    <t>-874.099440231185 176.572613073173 -238.387537523429</t>
  </si>
  <si>
    <t>-646.599949940383 255.029294919287 -250.192960078365</t>
  </si>
  <si>
    <t>-832.729082989618 109.91492589466 -98.021611855325</t>
  </si>
  <si>
    <t>-857.500242311658 142.08077503062 303.483507132073</t>
  </si>
  <si>
    <t>-886.236716419526 192.288310253326 748.152105971158</t>
  </si>
  <si>
    <t>-741.255121285002 177.09126043586 810.0930300975</t>
  </si>
  <si>
    <t>-737.736311673328 -86.3963612126719 310.698710557665</t>
  </si>
  <si>
    <t>-758.655599351652 -101.997036531692 757.761610731925</t>
  </si>
  <si>
    <t>-618.789062647013 -80.0215975167656 828.766819803186</t>
  </si>
  <si>
    <t>9763-20170724T104643.586539600.bin</t>
  </si>
  <si>
    <t>-790.765488853868 19.4685111610142 -94.2478796348393</t>
  </si>
  <si>
    <t>-807.252898207078 8.35351776823336 -208.356830897355</t>
  </si>
  <si>
    <t>-816.018995711725 3.64599578525144 -306.477393389024</t>
  </si>
  <si>
    <t>-822.283102752539 1.02592526418198 -395.315196124422</t>
  </si>
  <si>
    <t>-826.518257435246 0.121865935718461 -484.306717794706</t>
  </si>
  <si>
    <t>-830.273390647888 0.615276959419361 -608.831636129132</t>
  </si>
  <si>
    <t>-803.462194120846 6.36833173422338 -687.273185153202</t>
  </si>
  <si>
    <t>-836.925046136066 26.8311761261909 -553.679149440011</t>
  </si>
  <si>
    <t>-876.768612981559 156.600276435694 -532.002193113506</t>
  </si>
  <si>
    <t>-874.380999355008 176.688677728895 -238.434536616196</t>
  </si>
  <si>
    <t>-646.8584265983 255.081271008409 -250.221607099476</t>
  </si>
  <si>
    <t>-832.687589682791 110.05031800263 -98.0853193637128</t>
  </si>
  <si>
    <t>-857.521939933898 142.069154882411 303.427673644768</t>
  </si>
  <si>
    <t>-886.160976772439 192.252233946389 748.133440960825</t>
  </si>
  <si>
    <t>-741.180578943315 177.058847220289 810.078315114636</t>
  </si>
  <si>
    <t>-737.742945442856 -86.1432213444099 310.641202206062</t>
  </si>
  <si>
    <t>-758.787204232274 -101.781099536266 757.732385624533</t>
  </si>
  <si>
    <t>-618.92181581995 -79.8128558932125 828.742023815785</t>
  </si>
  <si>
    <t>9763-20170724T104643.647205300.bin</t>
  </si>
  <si>
    <t>-790.456516056986 19.3855197686974 -94.3032620195258</t>
  </si>
  <si>
    <t>-807.030939241808 8.20398847086062 -208.393192179727</t>
  </si>
  <si>
    <t>-815.839866243497 3.50894929281321 -306.510485755692</t>
  </si>
  <si>
    <t>-822.128319688203 0.926598922874746 -395.34762551256</t>
  </si>
  <si>
    <t>-826.372611850144 0.0867023083130789 -484.339294619691</t>
  </si>
  <si>
    <t>-830.123871858595 0.69668309677354 -608.863895127419</t>
  </si>
  <si>
    <t>-803.278101445211 6.52537380766921 -687.287972254233</t>
  </si>
  <si>
    <t>-836.808229241773 26.851172101716 -553.686163081013</t>
  </si>
  <si>
    <t>-876.939896864516 156.514439914876 -531.890014223605</t>
  </si>
  <si>
    <t>-875.210572383435 176.199084589479 -238.290476330453</t>
  </si>
  <si>
    <t>-647.668565656325 254.548140217137 -249.992369310363</t>
  </si>
  <si>
    <t>-832.458713992365 109.752618762021 -98.102971442827</t>
  </si>
  <si>
    <t>-857.048950218922 141.712807996053 303.429803189809</t>
  </si>
  <si>
    <t>-886.010194587992 191.949917303047 748.131726676404</t>
  </si>
  <si>
    <t>-741.014518293714 176.901691950292 810.076184869862</t>
  </si>
  <si>
    <t>-737.443970168383 -86.0626020087192 310.610765451819</t>
  </si>
  <si>
    <t>-758.936338392724 -101.6114698711 757.686881776831</t>
  </si>
  <si>
    <t>-619.098527869377 -79.4844294237458 828.701485803105</t>
  </si>
  <si>
    <t>9763-20170724T104643.680293200.bin</t>
  </si>
  <si>
    <t>-790.204710157485 19.2085279176079 -94.2875189984682</t>
  </si>
  <si>
    <t>-806.811124250092 7.98385070281279 -208.368496975651</t>
  </si>
  <si>
    <t>-815.642544058416 3.30465069909337 -306.484535998274</t>
  </si>
  <si>
    <t>-821.948205969813 0.757189895669853 -395.321437455335</t>
  </si>
  <si>
    <t>-829.97263593131 0.68257927154059 -608.836579554236</t>
  </si>
  <si>
    <t>-803.101004618891 6.57340841349719 -687.247315891725</t>
  </si>
  <si>
    <t>-836.660889623695 26.7895717621391 -553.63690325052</t>
  </si>
  <si>
    <t>-876.920805497096 156.392761257265 -531.745736372038</t>
  </si>
  <si>
    <t>-875.530428416674 175.666037792882 -238.117103723737</t>
  </si>
  <si>
    <t>-647.981793050927 253.995212228482 -249.822774959183</t>
  </si>
  <si>
    <t>-832.163449439962 109.532230087211 -98.0955071567804</t>
  </si>
  <si>
    <t>-856.692479559922 141.44846844457 303.444448948866</t>
  </si>
  <si>
    <t>-885.952766057362 191.842470878058 748.121957587019</t>
  </si>
  <si>
    <t>-740.959174402457 176.783834398385 810.068537317303</t>
  </si>
  <si>
    <t>-737.270089351141 -86.1016620657568 310.62158780838</t>
  </si>
  <si>
    <t>-758.964336129579 -101.627802458571 757.679545757785</t>
  </si>
  <si>
    <t>-619.15174723461 -79.3464335069536 828.695574294901</t>
  </si>
  <si>
    <t>9763-20170724T104643.747147300.bin</t>
  </si>
  <si>
    <t>-789.820275642984 19.0083322796622 -94.2315532242964</t>
  </si>
  <si>
    <t>-806.495768757333 7.73585190146287 -208.297709761835</t>
  </si>
  <si>
    <t>-815.399003222506 3.09975021409991 -306.409236998337</t>
  </si>
  <si>
    <t>-821.773684380311 0.625825563904982 -395.243322670738</t>
  </si>
  <si>
    <t>-829.974727904065 0.847672747097477 -608.751466686761</t>
  </si>
  <si>
    <t>-803.072278635422 6.90019951239628 -687.139369971677</t>
  </si>
  <si>
    <t>-836.632906542708 26.8660891817715 -553.506327182276</t>
  </si>
  <si>
    <t>-877.07096480905 156.379440171829 -531.394880281091</t>
  </si>
  <si>
    <t>-876.353595922498 174.603497594038 -237.696835231164</t>
  </si>
  <si>
    <t>-648.8071258245 252.893860257364 -249.700338440546</t>
  </si>
  <si>
    <t>-831.752199218075 109.301501851609 -98.0488355181577</t>
  </si>
  <si>
    <t>-856.42485825964 141.187160715798 303.484728825733</t>
  </si>
  <si>
    <t>-885.865234323525 191.64342442584 748.105240092515</t>
  </si>
  <si>
    <t>-740.87738307104 176.491479943775 810.042645232935</t>
  </si>
  <si>
    <t>-737.371163391318 -86.0027962607298 310.670723248912</t>
  </si>
  <si>
    <t>-759.310466809105 -101.048868993036 757.696453094256</t>
  </si>
  <si>
    <t>-619.391538621794 -79.4360763385474 828.709690560737</t>
  </si>
  <si>
    <t>9763-20170724T104643.782240500.bin</t>
  </si>
  <si>
    <t>-789.650977846685 18.8508656852287 -94.1998417115043</t>
  </si>
  <si>
    <t>-806.353345963567 7.58519714879867 -208.262720748153</t>
  </si>
  <si>
    <t>-815.300509216882 2.97855619993811 -306.371721669302</t>
  </si>
  <si>
    <t>-821.723136636537 0.541127807832936 -395.203312398419</t>
  </si>
  <si>
    <t>-830.066647731942 0.886317640309017 -608.705701694616</t>
  </si>
  <si>
    <t>-803.157766342425 7.02138160832783 -687.084848344762</t>
  </si>
  <si>
    <t>-836.69145399305 26.8692134271023 -553.439846006997</t>
  </si>
  <si>
    <t>-877.202418887566 156.341984466919 -531.242633001337</t>
  </si>
  <si>
    <t>-876.79227185162 174.103026589974 -237.515707487949</t>
  </si>
  <si>
    <t>-649.220801362968 252.283619913058 -249.757857081907</t>
  </si>
  <si>
    <t>-831.575241911421 109.170306005983 -98.020659869526</t>
  </si>
  <si>
    <t>-856.471269513702 140.997613701856 303.503745742089</t>
  </si>
  <si>
    <t>-885.81243337976 191.450990212541 748.112101909764</t>
  </si>
  <si>
    <t>-740.817764123114 176.364008107742 810.049278928596</t>
  </si>
  <si>
    <t>-737.340083679684 -86.1732472066317 310.690659330449</t>
  </si>
  <si>
    <t>-759.298266794766 -101.176380000674 757.714977353357</t>
  </si>
  <si>
    <t>-619.459225179049 -78.9763470733768 828.704490489299</t>
  </si>
  <si>
    <t>9763-20170724T104643.847956000.bin</t>
  </si>
  <si>
    <t>-789.392189044193 18.5013590558133 -94.2010852926583</t>
  </si>
  <si>
    <t>-806.180711448079 7.21446233022721 -208.249194991332</t>
  </si>
  <si>
    <t>-815.213176004167 2.63888277204001 -306.35181939116</t>
  </si>
  <si>
    <t>-821.716503313027 0.249239014195609 -395.178824446628</t>
  </si>
  <si>
    <t>-830.265885011248 0.778623342145693 -608.672652012055</t>
  </si>
  <si>
    <t>-803.326382260164 7.04125580327036 -687.031302282861</t>
  </si>
  <si>
    <t>-836.858623687189 26.7029623528651 -553.375453330856</t>
  </si>
  <si>
    <t>-877.499784057381 156.111459868795 -531.01328640726</t>
  </si>
  <si>
    <t>-877.552140616774 172.971131537789 -237.232922784456</t>
  </si>
  <si>
    <t>-649.911545209041 250.854067134111 -250.072818768335</t>
  </si>
  <si>
    <t>-831.314357002533 108.680483342153 -98.0004073676432</t>
  </si>
  <si>
    <t>-856.374986249447 140.569835891808 303.508869468044</t>
  </si>
  <si>
    <t>-885.691004582969 191.14687918877 748.099796445918</t>
  </si>
  <si>
    <t>-740.701131711543 176.082141971792 810.053585014789</t>
  </si>
  <si>
    <t>-737.302270950596 -86.3710711229495 310.705224773234</t>
  </si>
  <si>
    <t>-759.433632506734 -101.070573592406 757.732901041165</t>
  </si>
  <si>
    <t>-619.592804091802 -78.8052884892833 828.698332822376</t>
  </si>
  <si>
    <t>9763-20170724T104643.881044900.bin</t>
  </si>
  <si>
    <t>-789.171230359092 18.1543290842772 -94.2096201375241</t>
  </si>
  <si>
    <t>-805.985848308335 6.83548736884973 -208.25066217444</t>
  </si>
  <si>
    <t>-815.035809836873 2.26905548422678 -306.352165414615</t>
  </si>
  <si>
    <t>-830.123398890549 0.534302590962625 -608.67142205931</t>
  </si>
  <si>
    <t>-803.15672283364 6.85589586866399 -687.015844558843</t>
  </si>
  <si>
    <t>-836.725391164506 26.4246232790942 -553.359385282316</t>
  </si>
  <si>
    <t>-877.443021887382 155.790281413011 -530.921413607351</t>
  </si>
  <si>
    <t>-877.612029026197 172.281868164779 -237.120046383522</t>
  </si>
  <si>
    <t>-649.937162802986 250.030408345679 -250.165566956163</t>
  </si>
  <si>
    <t>-831.134520889444 108.351058630071 -97.9998100240515</t>
  </si>
  <si>
    <t>-855.965178421738 140.15238767143 303.530765185703</t>
  </si>
  <si>
    <t>-885.633900638755 190.957998011228 748.105436082623</t>
  </si>
  <si>
    <t>-740.642407893069 175.907638685448 810.059095778783</t>
  </si>
  <si>
    <t>-737.226606944248 -86.5260126856034 310.714427307249</t>
  </si>
  <si>
    <t>-759.439455777545 -101.139712731331 757.737770525411</t>
  </si>
  <si>
    <t>-619.634956529033 -78.614300075244 828.692871478411</t>
  </si>
  <si>
    <t>9763-20170724T104643.946225800.bin</t>
  </si>
  <si>
    <t>-788.587870424368 17.5943074974334 -94.1969671034145</t>
  </si>
  <si>
    <t>-805.49148963298 6.2468737807767 -208.221922015326</t>
  </si>
  <si>
    <t>-814.595043856843 1.70047022637823 -306.319475725253</t>
  </si>
  <si>
    <t>-829.784499613151 0.154849203292088 -608.633558782058</t>
  </si>
  <si>
    <t>-802.77144472283 6.58134335240766 -686.953572343627</t>
  </si>
  <si>
    <t>-836.400165667949 25.9928690391939 -553.298752270685</t>
  </si>
  <si>
    <t>-877.281962077001 155.295879265953 -530.753692859064</t>
  </si>
  <si>
    <t>-877.430811553163 171.301565914845 -236.925406730517</t>
  </si>
  <si>
    <t>-649.766793358829 249.027277406339 -250.290472127352</t>
  </si>
  <si>
    <t>-830.554021725318 107.71388467818 -97.9733219955946</t>
  </si>
  <si>
    <t>-855.314204349026 139.519983302599 303.561210902069</t>
  </si>
  <si>
    <t>-885.551855507647 190.749054167088 748.069824388723</t>
  </si>
  <si>
    <t>-740.564673272425 175.652211641313 810.022203657971</t>
  </si>
  <si>
    <t>-737.072241009547 -86.6546737031848 310.734350158502</t>
  </si>
  <si>
    <t>-759.597868475824 -100.927464718645 757.733893892799</t>
  </si>
  <si>
    <t>-619.814467691469 -78.3006097209837 828.69820231521</t>
  </si>
  <si>
    <t>9763-20170724T104643.985842700.bin</t>
  </si>
  <si>
    <t>-788.310621497247 17.3129362040518 -94.18500205384</t>
  </si>
  <si>
    <t>-805.249850498401 5.95471823309845 -208.203806519818</t>
  </si>
  <si>
    <t>-814.386074535549 1.4026602338472 -306.297881367127</t>
  </si>
  <si>
    <t>-802.657659943574 6.30491063135787 -686.919765918736</t>
  </si>
  <si>
    <t>-836.281281197535 25.6907140632352 -553.269016807515</t>
  </si>
  <si>
    <t>-877.216368986571 154.972373822576 -530.709111572702</t>
  </si>
  <si>
    <t>-877.324784092269 170.75666971567 -236.869014090166</t>
  </si>
  <si>
    <t>-649.707651446851 248.589757784266 -250.409292821563</t>
  </si>
  <si>
    <t>-830.220668849818 107.365293248821 -97.9508022420578</t>
  </si>
  <si>
    <t>-855.046327054867 139.310974988136 303.568682350736</t>
  </si>
  <si>
    <t>-885.487139476725 190.592716139549 748.029784558146</t>
  </si>
  <si>
    <t>-740.498272900472 175.517729851718 809.983217040821</t>
  </si>
  <si>
    <t>-737.017835404645 -86.7520525307954 310.746372443395</t>
  </si>
  <si>
    <t>-759.70351768708 -100.772125905846 757.735290094124</t>
  </si>
  <si>
    <t>-619.902362378396 -78.2704840296807 828.704299027685</t>
  </si>
  <si>
    <t>9763-20170724T104644.046133600.bin</t>
  </si>
  <si>
    <t>-787.920044213706 16.9547354142703 -94.157344041828</t>
  </si>
  <si>
    <t>-804.924404030188 5.5706848671291 -208.163773005613</t>
  </si>
  <si>
    <t>-814.112999531427 1.00813288202471 -306.252584972626</t>
  </si>
  <si>
    <t>-802.536444541619 5.94928549223891 -686.863026354862</t>
  </si>
  <si>
    <t>-836.135349120898 25.2968063616042 -553.210740169787</t>
  </si>
  <si>
    <t>-877.098794965192 154.562938300557 -530.653130400613</t>
  </si>
  <si>
    <t>-877.314927438918 170.189952952495 -236.804574155818</t>
  </si>
  <si>
    <t>-649.76423905584 248.196924109114 -250.458816152648</t>
  </si>
  <si>
    <t>-829.743825133801 107.058022687629 -97.9514716006881</t>
  </si>
  <si>
    <t>-854.855540793013 139.054653641945 303.546097295136</t>
  </si>
  <si>
    <t>-885.410360794596 190.429696455354 747.985515454947</t>
  </si>
  <si>
    <t>-740.431842257985 175.201300795586 809.925807950922</t>
  </si>
  <si>
    <t>-737.038118821887 -86.7950779523726 310.768841248227</t>
  </si>
  <si>
    <t>-759.947584091626 -100.429676240844 757.758291031391</t>
  </si>
  <si>
    <t>-620.072891268511 -78.3734737392464 828.722261975744</t>
  </si>
  <si>
    <t>9763-20170724T104644.084234900.bin</t>
  </si>
  <si>
    <t>-787.755207448771 16.6878529856922 -94.1576882884179</t>
  </si>
  <si>
    <t>-804.814213001445 5.29150093181238 -208.154698799382</t>
  </si>
  <si>
    <t>-814.035956539164 0.724274151763666 -306.240283471207</t>
  </si>
  <si>
    <t>-802.529191373409 5.66468270871496 -686.849489871557</t>
  </si>
  <si>
    <t>-836.116079288569 25.0107336603826 -553.193311354023</t>
  </si>
  <si>
    <t>-877.101168440157 154.277446244107 -530.638380561299</t>
  </si>
  <si>
    <t>-877.296773987599 169.883832953793 -236.788694011858</t>
  </si>
  <si>
    <t>-649.776718772143 247.977107482596 -250.462544001811</t>
  </si>
  <si>
    <t>-829.636134638103 106.858770934993 -97.9467660543861</t>
  </si>
  <si>
    <t>-854.805273320548 138.826151443589 303.549491433939</t>
  </si>
  <si>
    <t>-885.36804196648 190.287195467443 747.978993357955</t>
  </si>
  <si>
    <t>-740.377104282285 175.129973524359 809.907916440238</t>
  </si>
  <si>
    <t>-737.057928999277 -86.8570731990437 310.780332673823</t>
  </si>
  <si>
    <t>-759.979931473219 -100.431832188217 757.760283410719</t>
  </si>
  <si>
    <t>-620.144959010333 -78.1126544170496 828.720255288816</t>
  </si>
  <si>
    <t>9763-20170724T104644.157146300.bin</t>
  </si>
  <si>
    <t>-787.507254987312 16.0488148761897 -94.1605876148433</t>
  </si>
  <si>
    <t>-804.673612527797 4.65425132761425 -208.141733617227</t>
  </si>
  <si>
    <t>-813.948704191461 0.0758264651012723 -306.22163754974</t>
  </si>
  <si>
    <t>-802.503529783813 4.89839873663504 -686.832046411597</t>
  </si>
  <si>
    <t>-836.095118136035 24.298465290645 -553.177999738479</t>
  </si>
  <si>
    <t>-877.166142241783 153.532684638691 -530.623915817828</t>
  </si>
  <si>
    <t>-877.288449748895 169.083916081406 -236.77141204361</t>
  </si>
  <si>
    <t>-649.850355127283 247.380642056164 -250.643343404975</t>
  </si>
  <si>
    <t>-829.50825440222 106.272507911342 -97.8922042283928</t>
  </si>
  <si>
    <t>-854.632453126594 138.181959112327 303.611533451058</t>
  </si>
  <si>
    <t>-885.290901371979 189.797976445515 748.03770125079</t>
  </si>
  <si>
    <t>-740.277867132858 174.710553885486 809.931984077572</t>
  </si>
  <si>
    <t>-737.11404434563 -86.9522717357808 310.772765917133</t>
  </si>
  <si>
    <t>-760.113354372803 -100.318571029527 757.77009944915</t>
  </si>
  <si>
    <t>-620.235599064467 -78.2447004775677 828.722539580428</t>
  </si>
  <si>
    <t>9763-20170724T104644.182212500.bin</t>
  </si>
  <si>
    <t>-787.445295884417 15.6743503501907 -94.1589259943863</t>
  </si>
  <si>
    <t>-804.663196176039 4.27131675419969 -208.131405319534</t>
  </si>
  <si>
    <t>-802.541768687422 4.46225451703481 -686.817375020995</t>
  </si>
  <si>
    <t>-836.142175517969 23.8835627444671 -553.165371481893</t>
  </si>
  <si>
    <t>-877.242560860475 153.112884186341 -530.60439952366</t>
  </si>
  <si>
    <t>-877.339585615329 168.628888704858 -236.749842144823</t>
  </si>
  <si>
    <t>-649.930658941742 246.994549499063 -250.709552323178</t>
  </si>
  <si>
    <t>-829.517252355888 105.909183159712 -97.8643265411914</t>
  </si>
  <si>
    <t>-854.484961554614 137.765505129809 303.653383910116</t>
  </si>
  <si>
    <t>-885.255223929018 189.577357373773 748.067017346002</t>
  </si>
  <si>
    <t>-740.228670484047 174.532253110352 809.939695894545</t>
  </si>
  <si>
    <t>-737.158757209553 -87.0802956639704 310.779652902968</t>
  </si>
  <si>
    <t>-760.162230393056 -100.307301205498 757.774075072576</t>
  </si>
  <si>
    <t>-620.35887961829 -77.7176575915084 828.710894045231</t>
  </si>
  <si>
    <t>9763-20170724T104644.247400100.bin</t>
  </si>
  <si>
    <t>-787.381742972955 15.1587698211456 -94.192423268112</t>
  </si>
  <si>
    <t>-804.687383397777 3.72967818938469 -208.149104666558</t>
  </si>
  <si>
    <t>-802.686209199092 3.62660275530766 -686.824061452339</t>
  </si>
  <si>
    <t>-836.287027578801 23.1349402042924 -553.1889520283</t>
  </si>
  <si>
    <t>-877.416816965745 152.353214097873 -530.647209359514</t>
  </si>
  <si>
    <t>-877.62804617533 167.9191514135 -236.79550069696</t>
  </si>
  <si>
    <t>-650.20516352471 246.24495770877 -250.751304523024</t>
  </si>
  <si>
    <t>-829.511832901274 105.439776531889 -97.8773707092029</t>
  </si>
  <si>
    <t>-854.185416535899 137.212096671973 303.665162939191</t>
  </si>
  <si>
    <t>-885.140626739715 189.275623007081 748.032380697479</t>
  </si>
  <si>
    <t>-740.116607538498 174.175795766598 809.897950117111</t>
  </si>
  <si>
    <t>-737.177510958344 -87.3004880207982 310.76601242027</t>
  </si>
  <si>
    <t>-760.229347546449 -100.336420692493 757.773213749866</t>
  </si>
  <si>
    <t>-620.4944866752 -77.2853483481024 828.696512824569</t>
  </si>
  <si>
    <t>9763-20170724T104644.282494300.bin</t>
  </si>
  <si>
    <t>-787.446000643412 15.0528206867489 -94.1891187580616</t>
  </si>
  <si>
    <t>-804.772082139726 3.62199663423576 -208.142416707656</t>
  </si>
  <si>
    <t>-802.899791344905 3.3552082413546 -686.813271914818</t>
  </si>
  <si>
    <t>-836.467488156583 22.9226545496631 -553.182839897904</t>
  </si>
  <si>
    <t>-877.575702321066 152.151915374979 -530.65934687955</t>
  </si>
  <si>
    <t>-878.003015476275 167.664546131654 -236.805017616519</t>
  </si>
  <si>
    <t>-650.534053375104 245.846131881209 -250.818535236576</t>
  </si>
  <si>
    <t>-829.540000146555 105.326161594678 -97.875323420665</t>
  </si>
  <si>
    <t>-854.178499487316 137.066193018569 303.671965233593</t>
  </si>
  <si>
    <t>-885.102334085205 189.233259411422 748.022500897723</t>
  </si>
  <si>
    <t>-740.078646588754 174.110101353132 809.882790587229</t>
  </si>
  <si>
    <t>-737.285044225856 -87.2543850975763 310.763940450532</t>
  </si>
  <si>
    <t>-760.392672546789 -100.079117717865 757.774991384145</t>
  </si>
  <si>
    <t>-620.60254325154 -77.3604597240421 828.696471345128</t>
  </si>
  <si>
    <t>9763-20170724T104644.348678500.bin</t>
  </si>
  <si>
    <t>-787.67512530943 14.9317268181562 -94.1915352424386</t>
  </si>
  <si>
    <t>-804.996304685863 3.5223573414969 -208.147666408086</t>
  </si>
  <si>
    <t>-803.584371974001 3.03929877186488 -686.814139111152</t>
  </si>
  <si>
    <t>-837.009518139749 22.7255084260391 -553.168128660128</t>
  </si>
  <si>
    <t>-878.050556307075 151.989945117833 -530.716385288379</t>
  </si>
  <si>
    <t>-879.159013732876 167.24663935901 -236.850334354303</t>
  </si>
  <si>
    <t>-651.560666627917 244.967132834469 -251.320305500682</t>
  </si>
  <si>
    <t>-829.781897415008 105.238775319758 -97.877505569606</t>
  </si>
  <si>
    <t>-854.527723833093 136.897630988923 303.66952816139</t>
  </si>
  <si>
    <t>-885.001171437227 189.018741326246 748.027219231254</t>
  </si>
  <si>
    <t>-739.953986846155 174.039249051178 809.867644577172</t>
  </si>
  <si>
    <t>-737.617746609299 -87.1954134918379 310.759403440022</t>
  </si>
  <si>
    <t>-760.624651592116 -99.7811832489684 757.787538187833</t>
  </si>
  <si>
    <t>-620.799131195764 -77.2230241752347 828.690680651365</t>
  </si>
  <si>
    <t>9763-20170724T104644.382769900.bin</t>
  </si>
  <si>
    <t>-787.864052635094 14.8701191740383 -94.2026732072137</t>
  </si>
  <si>
    <t>-805.161122327863 3.49078207564685 -208.165694862039</t>
  </si>
  <si>
    <t>-804.091737645379 2.81338011456933 -686.830115475588</t>
  </si>
  <si>
    <t>-837.408665018264 22.587300046049 -553.175854644524</t>
  </si>
  <si>
    <t>-878.37730772869 151.893908343752 -530.795480994729</t>
  </si>
  <si>
    <t>-880.031544781502 167.0415367889 -236.926268166618</t>
  </si>
  <si>
    <t>-652.331246622754 244.396088856577 -251.750813992428</t>
  </si>
  <si>
    <t>-830.015927668707 105.204363238172 -97.879911835777</t>
  </si>
  <si>
    <t>-854.817031511759 136.863065656826 303.663742286274</t>
  </si>
  <si>
    <t>-884.94591553976 188.955099754326 748.02886570987</t>
  </si>
  <si>
    <t>-739.914266733491 173.848778509757 809.874904079045</t>
  </si>
  <si>
    <t>-737.790036919771 -87.1990048539446 310.746206740616</t>
  </si>
  <si>
    <t>-760.707175437756 -99.6989949464009 757.794165528544</t>
  </si>
  <si>
    <t>-620.866117649852 -77.1935602333547 828.683491637301</t>
  </si>
  <si>
    <t>9763-20170724T104644.447946900.bin</t>
  </si>
  <si>
    <t>-788.292942369705 14.6281098143247 -94.2224039892252</t>
  </si>
  <si>
    <t>-805.526411056681 3.27390892610788 -208.197486328755</t>
  </si>
  <si>
    <t>-804.693982134172 1.89437053082656 -686.858356847959</t>
  </si>
  <si>
    <t>-837.920811587358 21.9187428825339 -553.235961872351</t>
  </si>
  <si>
    <t>-878.794158919495 151.295636514813 -531.099009340598</t>
  </si>
  <si>
    <t>-882.169913373664 166.502511556634 -237.247818534084</t>
  </si>
  <si>
    <t>-654.077478774691 242.429548955156 -253.366742334056</t>
  </si>
  <si>
    <t>-830.515324807854 104.865241913371 -97.8894933164398</t>
  </si>
  <si>
    <t>-855.060247701025 136.622566819736 303.662106238558</t>
  </si>
  <si>
    <t>-884.81272494036 188.78353465945 748.055944197731</t>
  </si>
  <si>
    <t>-739.795433063433 173.598336647003 809.916429361116</t>
  </si>
  <si>
    <t>-738.206623408882 -87.1752705320204 310.713266333232</t>
  </si>
  <si>
    <t>-760.89015895147 -99.4815988948865 757.792243597745</t>
  </si>
  <si>
    <t>-621.019481610319 -77.1328999395179 828.672644963949</t>
  </si>
  <si>
    <t>9763-20170724T104644.481035500.bin</t>
  </si>
  <si>
    <t>-788.467341019062 14.4807620345657 -94.2083144617719</t>
  </si>
  <si>
    <t>-805.66316038798 3.11731304738623 -208.188152030086</t>
  </si>
  <si>
    <t>-804.727254764623 1.40481237591189 -686.846587017449</t>
  </si>
  <si>
    <t>-837.972540543877 21.5505849787498 -553.252413185813</t>
  </si>
  <si>
    <t>-878.770158789837 150.967194456652 -531.24822185255</t>
  </si>
  <si>
    <t>-883.377968499762 166.233188221361 -237.416635959726</t>
  </si>
  <si>
    <t>-654.944902901119 240.907309486558 -254.533911770371</t>
  </si>
  <si>
    <t>-830.737175987583 104.631576501126 -97.8900878310018</t>
  </si>
  <si>
    <t>-855.088452629848 136.463603180126 303.667461166626</t>
  </si>
  <si>
    <t>-884.74309645294 188.623895580286 748.06814501734</t>
  </si>
  <si>
    <t>-739.713332186454 173.560606117895 809.929078468732</t>
  </si>
  <si>
    <t>-738.369637821994 -87.2162927148975 310.71923081608</t>
  </si>
  <si>
    <t>-760.945867449536 -99.4441641512617 757.792298876809</t>
  </si>
  <si>
    <t>-621.079990551916 -77.0597578795642 828.670940566436</t>
  </si>
  <si>
    <t>9763-20170724T104644.549221800.bin</t>
  </si>
  <si>
    <t>-788.67679670748 14.3446044510222 -94.1880193420044</t>
  </si>
  <si>
    <t>-805.830423531885 2.94037746534741 -208.17004627772</t>
  </si>
  <si>
    <t>-805.04114265815 0.623989414377547 -686.799329840947</t>
  </si>
  <si>
    <t>-838.256144363513 20.9963221875546 -553.250476471118</t>
  </si>
  <si>
    <t>-878.795915305225 150.53744707745 -531.514792910631</t>
  </si>
  <si>
    <t>-885.947475904071 166.026385120199 -237.745893282643</t>
  </si>
  <si>
    <t>-656.605935173294 237.320831660573 -256.993097472552</t>
  </si>
  <si>
    <t>-830.915051383477 104.427040951773 -97.9090580057122</t>
  </si>
  <si>
    <t>-855.252627776613 136.34586053368 303.642411301894</t>
  </si>
  <si>
    <t>-884.626582403989 188.413882370679 748.069108977672</t>
  </si>
  <si>
    <t>-739.591890514181 173.385968545206 809.927158658285</t>
  </si>
  <si>
    <t>-738.602276386601 -87.2668762501766 310.745089096537</t>
  </si>
  <si>
    <t>-761.094215886677 -99.2870620711747 757.810355603999</t>
  </si>
  <si>
    <t>-621.250575755465 -76.7371560260447 828.680316115872</t>
  </si>
  <si>
    <t>9763-20170724T104644.582309600.bin</t>
  </si>
  <si>
    <t>-788.729198617257 14.3655301796721 -94.1961070818089</t>
  </si>
  <si>
    <t>-805.87560564483 2.94932299511242 -208.178093832031</t>
  </si>
  <si>
    <t>-805.231932711968 0.252724261392359 -686.784943754368</t>
  </si>
  <si>
    <t>-838.423280300722 20.7574690087367 -553.266296154569</t>
  </si>
  <si>
    <t>-878.820659337918 150.368562313192 -531.683424869802</t>
  </si>
  <si>
    <t>-886.840292600469 165.730885389086 -237.930340686874</t>
  </si>
  <si>
    <t>-657.130896889103 235.580836535462 -258.06624022346</t>
  </si>
  <si>
    <t>-830.954265709535 104.514477096289 -97.9337086857696</t>
  </si>
  <si>
    <t>-855.34315792015 136.352140863285 303.620985101078</t>
  </si>
  <si>
    <t>-884.591531341267 188.404264451072 748.067156824652</t>
  </si>
  <si>
    <t>-739.569914014381 173.260009714374 809.927174781223</t>
  </si>
  <si>
    <t>-738.714571788174 -87.2266996462727 310.75884520929</t>
  </si>
  <si>
    <t>-761.140050334695 -99.281144755258 757.822312661862</t>
  </si>
  <si>
    <t>-621.278925559455 -76.8259601907407 828.687834974083</t>
  </si>
  <si>
    <t>9763-20170724T104644.650497000.bin</t>
  </si>
  <si>
    <t>-788.905785624083 14.4263189785559 -94.2215383383792</t>
  </si>
  <si>
    <t>-806.050233352861 2.98058671584067 -208.200856789915</t>
  </si>
  <si>
    <t>-838.885182486874 20.3285936978182 -553.296256230618</t>
  </si>
  <si>
    <t>-879.036093068847 150.054765487946 -531.957561592394</t>
  </si>
  <si>
    <t>-887.69177829627 164.932538108817 -238.197669629157</t>
  </si>
  <si>
    <t>-657.530194766908 232.911194324894 -259.537839176452</t>
  </si>
  <si>
    <t>-831.137656665013 104.556620938099 -97.9723145924913</t>
  </si>
  <si>
    <t>-855.335020816874 136.230363581697 303.606995894533</t>
  </si>
  <si>
    <t>-884.482496995732 188.112843431715 748.074409103243</t>
  </si>
  <si>
    <t>-739.446279957155 173.056546271651 809.921884451723</t>
  </si>
  <si>
    <t>-738.9386826845 -87.1687983889444 310.77045540145</t>
  </si>
  <si>
    <t>-761.252330102663 -99.2046390816109 757.840771143587</t>
  </si>
  <si>
    <t>-621.452302644175 -76.3187915353559 828.688965143761</t>
  </si>
  <si>
    <t>9763-20170724T104644.682582700.bin</t>
  </si>
  <si>
    <t>-789.017823748905 14.484672717791 -94.2425067745891</t>
  </si>
  <si>
    <t>-806.168397349095 3.01300748314429 -208.218290106411</t>
  </si>
  <si>
    <t>-839.185574624362 20.1561535706962 -553.309896169314</t>
  </si>
  <si>
    <t>-879.241816046948 149.933333400719 -532.073010927597</t>
  </si>
  <si>
    <t>-887.917916447728 164.832085707492 -238.314750485407</t>
  </si>
  <si>
    <t>-657.564674735163 232.068535177116 -259.937221646147</t>
  </si>
  <si>
    <t>-831.228393855074 104.589588759058 -98.0059922692539</t>
  </si>
  <si>
    <t>-855.314261778325 136.178051571822 303.586715686272</t>
  </si>
  <si>
    <t>-884.42352906293 187.990171518852 748.057665223167</t>
  </si>
  <si>
    <t>-739.394288831191 172.908857781697 809.915368654225</t>
  </si>
  <si>
    <t>-739.055481591021 -87.1089585697615 310.773564547418</t>
  </si>
  <si>
    <t>-761.318760400591 -99.1387038419824 757.846797638598</t>
  </si>
  <si>
    <t>-621.512490521456 -76.2887113490466 828.694365911934</t>
  </si>
  <si>
    <t>9763-20170724T104644.748576100.bin</t>
  </si>
  <si>
    <t>-789.189472620457 14.408280024121 -94.2703209215788</t>
  </si>
  <si>
    <t>-806.308042900501 2.92006207365944 -208.24926206361</t>
  </si>
  <si>
    <t>-839.474901856122 19.7978039437476 -553.345653231216</t>
  </si>
  <si>
    <t>-879.402625640178 149.643591840409 -532.282321776528</t>
  </si>
  <si>
    <t>-888.058061873159 164.803489599376 -238.536656680603</t>
  </si>
  <si>
    <t>-657.455676886342 231.118237004015 -260.348520010738</t>
  </si>
  <si>
    <t>-831.290397554763 104.414022552593 -98.0644790336441</t>
  </si>
  <si>
    <t>-855.229042493278 135.934267771284 303.542405105264</t>
  </si>
  <si>
    <t>-884.285001872042 187.652024482435 748.025494392579</t>
  </si>
  <si>
    <t>-739.251570049277 172.678274289853 809.899623210129</t>
  </si>
  <si>
    <t>-739.257820596541 -87.0673179917885 310.773875721077</t>
  </si>
  <si>
    <t>-761.506895710671 -98.8931587379269 757.853150314637</t>
  </si>
  <si>
    <t>-621.748788735128 -75.7206389038417 828.690988479554</t>
  </si>
  <si>
    <t>9763-20170724T104644.781675600.bin</t>
  </si>
  <si>
    <t>-789.283849864598 14.4105375560521 -94.2894374100895</t>
  </si>
  <si>
    <t>-806.390110572161 2.93215495700042 -208.2712480426</t>
  </si>
  <si>
    <t>-839.582953918347 19.7076264377163 -553.374253460284</t>
  </si>
  <si>
    <t>-879.470287648865 149.583476791099 -532.38246612341</t>
  </si>
  <si>
    <t>-888.157419722806 164.907866718115 -238.646429076825</t>
  </si>
  <si>
    <t>-657.51135805499 231.030834221839 -260.578295416052</t>
  </si>
  <si>
    <t>-831.321689623023 104.381709966835 -98.0856890286984</t>
  </si>
  <si>
    <t>-855.260660523907 135.824559032523 303.527188979882</t>
  </si>
  <si>
    <t>-884.218828066162 187.478543029072 748.009097643371</t>
  </si>
  <si>
    <t>-739.173753937547 172.634375953487 809.88714747231</t>
  </si>
  <si>
    <t>-739.386782574625 -87.0146550273651 310.766649864062</t>
  </si>
  <si>
    <t>-761.589575944596 -98.7910677799548 757.854608550223</t>
  </si>
  <si>
    <t>-621.794712584227 -75.8496236725928 828.695184524054</t>
  </si>
  <si>
    <t>9763-20170724T104644.849853100.bin</t>
  </si>
  <si>
    <t>-789.546978037361 14.3282456805889 -94.2990660206179</t>
  </si>
  <si>
    <t>-806.622558241168 2.86842532345054 -208.287350188231</t>
  </si>
  <si>
    <t>-839.935007050248 19.4801945679271 -553.393542809379</t>
  </si>
  <si>
    <t>-879.818773999074 149.364480262427 -532.515714507815</t>
  </si>
  <si>
    <t>-888.505740756681 165.03623833075 -238.797815572345</t>
  </si>
  <si>
    <t>-657.854636244004 231.03736771044 -261.040767180892</t>
  </si>
  <si>
    <t>-831.530634414354 104.121283482524 -98.0918848326888</t>
  </si>
  <si>
    <t>-855.232749881668 135.628215084558 303.530090543263</t>
  </si>
  <si>
    <t>-884.10248559123 187.238742371452 748.000676649048</t>
  </si>
  <si>
    <t>-739.065971412053 172.356410704822 809.889453032691</t>
  </si>
  <si>
    <t>-739.626692779945 -86.9302565403292 310.744382176944</t>
  </si>
  <si>
    <t>-761.79940766075 -98.4970567181637 757.856221669314</t>
  </si>
  <si>
    <t>-621.975742927415 -75.7260786599195 828.694945185815</t>
  </si>
  <si>
    <t>9763-20170724T104644.916714600.bin</t>
  </si>
  <si>
    <t>-789.655442039351 14.147398597361 -94.281208831457</t>
  </si>
  <si>
    <t>-806.786825040293 2.67493926126281 -208.259781514911</t>
  </si>
  <si>
    <t>-840.446956822845 19.1167710206203 -553.344178529677</t>
  </si>
  <si>
    <t>-880.312469101246 149.014365902773 -532.491871411152</t>
  </si>
  <si>
    <t>-889.006701327659 165.02287173628 -238.792569119191</t>
  </si>
  <si>
    <t>-658.315845572235 230.867708049679 -261.087464891753</t>
  </si>
  <si>
    <t>-831.622647088859 104.005296427396 -98.0906643374722</t>
  </si>
  <si>
    <t>-855.24494645994 135.490505020367 303.537727235058</t>
  </si>
  <si>
    <t>-884.015881463038 187.107984093881 748.003461842822</t>
  </si>
  <si>
    <t>-738.989590276034 172.081088362695 809.881264287582</t>
  </si>
  <si>
    <t>-739.713683762777 -86.9524797814047 310.740755687559</t>
  </si>
  <si>
    <t>-761.836963904474 -98.535140611156 757.846161574028</t>
  </si>
  <si>
    <t>-622.111536283756 -75.1638165966319 828.683127190675</t>
  </si>
  <si>
    <t>9763-20170724T104644.948799900.bin</t>
  </si>
  <si>
    <t>-789.708417466531 14.1391429043124 -94.2894194163449</t>
  </si>
  <si>
    <t>-806.884099199432 2.65926673946933 -208.260642797797</t>
  </si>
  <si>
    <t>-840.709225494268 19.0774352625224 -553.330144142259</t>
  </si>
  <si>
    <t>-880.591610225226 148.970853164095 -532.4670044529</t>
  </si>
  <si>
    <t>-889.249862775782 164.897490761402 -238.762073549331</t>
  </si>
  <si>
    <t>-658.551289734432 230.67932849762 -261.162487381604</t>
  </si>
  <si>
    <t>-831.669797082506 103.994574295449 -98.0808743641311</t>
  </si>
  <si>
    <t>-855.261105892358 135.430129325636 303.553205717139</t>
  </si>
  <si>
    <t>-883.962341895255 186.964946162728 748.017973021439</t>
  </si>
  <si>
    <t>-738.917304992849 172.064625502955 809.882420155787</t>
  </si>
  <si>
    <t>-739.779638568096 -86.8866612956101 310.737604830976</t>
  </si>
  <si>
    <t>-761.924801450806 -98.4228911479906 757.84465022484</t>
  </si>
  <si>
    <t>-622.175223234137 -75.2143014585686 828.68754719416</t>
  </si>
  <si>
    <t>9763-20170724T104644.997433300.bin</t>
  </si>
  <si>
    <t>-789.837325143934 14.2513650371975 -94.2933360763144</t>
  </si>
  <si>
    <t>-807.044063892877 2.77120858716307 -208.259863062053</t>
  </si>
  <si>
    <t>-840.994762847903 19.2721922545859 -553.310259468096</t>
  </si>
  <si>
    <t>-880.931128780377 149.137516016668 -532.409481709144</t>
  </si>
  <si>
    <t>-889.508832005754 164.902574733995 -238.693402046603</t>
  </si>
  <si>
    <t>-658.809274803903 230.639174829406 -261.216881974718</t>
  </si>
  <si>
    <t>-831.758932056596 104.040495621315 -98.0789418986269</t>
  </si>
  <si>
    <t>-855.322130727079 135.44070772305 303.559539446445</t>
  </si>
  <si>
    <t>-883.910537622913 186.86643447806 748.024279708544</t>
  </si>
  <si>
    <t>-738.873223472506 171.912156619116 809.893692981991</t>
  </si>
  <si>
    <t>-739.915678128059 -86.6860939244855 310.730192319351</t>
  </si>
  <si>
    <t>-762.08152710318 -98.1510327744469 757.840030690754</t>
  </si>
  <si>
    <t>-622.232132611593 -75.5969102823269 828.697335446694</t>
  </si>
  <si>
    <t>9763-20170724T104645.051079700.bin</t>
  </si>
  <si>
    <t>-790.03965500706 14.2328885715663 -94.3136724221661</t>
  </si>
  <si>
    <t>-807.284404545325 2.73920886091037 -208.273042931889</t>
  </si>
  <si>
    <t>-841.518001006514 19.5477897160888 -553.267792338581</t>
  </si>
  <si>
    <t>-881.498152460223 149.385332093615 -532.26058587146</t>
  </si>
  <si>
    <t>-890.066166547627 164.641238915581 -238.517509148532</t>
  </si>
  <si>
    <t>-659.425913057494 230.523035176433 -261.222189901585</t>
  </si>
  <si>
    <t>-831.929679191018 103.921085470628 -98.082828436177</t>
  </si>
  <si>
    <t>-855.351004226892 135.382978760153 303.55908639228</t>
  </si>
  <si>
    <t>-883.800556527223 186.690130278727 748.039921679989</t>
  </si>
  <si>
    <t>-738.760836493061 171.754227782707 809.908481577186</t>
  </si>
  <si>
    <t>-740.062903427518 -86.5517718904831 310.705116693494</t>
  </si>
  <si>
    <t>-762.2156647822 -97.9771952500753 757.824949392695</t>
  </si>
  <si>
    <t>-622.418743944352 -75.1155493501926 828.687091780923</t>
  </si>
  <si>
    <t>9763-20170724T104645.084167900.bin</t>
  </si>
  <si>
    <t>-790.18901036941 14.2754228346309 -94.3308736335406</t>
  </si>
  <si>
    <t>-807.461224166064 2.78978548273426 -208.287037182528</t>
  </si>
  <si>
    <t>-841.846109836061 19.7181963940861 -553.257066333209</t>
  </si>
  <si>
    <t>-881.846422294498 149.547951162241 -532.210111669318</t>
  </si>
  <si>
    <t>-890.469170405085 164.641033201141 -238.460047861158</t>
  </si>
  <si>
    <t>-659.83355902134 230.559928511978 -261.105969852788</t>
  </si>
  <si>
    <t>-832.061085882287 103.958849140334 -98.0869782492659</t>
  </si>
  <si>
    <t>-855.41743655605 135.371848075197 303.562595785854</t>
  </si>
  <si>
    <t>-883.752554357991 186.610748253794 748.056233805365</t>
  </si>
  <si>
    <t>-738.707477285803 171.701205055611 809.918205238618</t>
  </si>
  <si>
    <t>-740.187397439596 -86.3859663357639 310.683731987704</t>
  </si>
  <si>
    <t>-762.352948343165 -97.7432203822711 757.819246603613</t>
  </si>
  <si>
    <t>-622.502304750288 -75.2332247779209 828.688145981505</t>
  </si>
  <si>
    <t>9763-20170724T104645.152358800.bin</t>
  </si>
  <si>
    <t>-790.521585686074 14.330268461616 -94.3293885736219</t>
  </si>
  <si>
    <t>-807.81501321917 2.8743473797108 -208.28516975832</t>
  </si>
  <si>
    <t>-842.376512450911 20.0651587576435 -553.218290295457</t>
  </si>
  <si>
    <t>-882.439441426706 149.860448371785 -532.097074669053</t>
  </si>
  <si>
    <t>-891.284826839013 164.736492442487 -238.342607848018</t>
  </si>
  <si>
    <t>-660.597672072727 230.481791533288 -260.966788403248</t>
  </si>
  <si>
    <t>-832.301104351054 103.962204941138 -98.068287932849</t>
  </si>
  <si>
    <t>-855.601306233992 135.391062291946 303.58333550709</t>
  </si>
  <si>
    <t>-883.660246218773 186.482003843021 748.085138745283</t>
  </si>
  <si>
    <t>-738.615981125073 171.545126964715 809.942567309347</t>
  </si>
  <si>
    <t>-740.420014743709 -86.2851376181646 310.667039609451</t>
  </si>
  <si>
    <t>-762.417277448882 -97.7305109313284 757.808255862438</t>
  </si>
  <si>
    <t>-622.556525658997 -75.2863865271318 828.678077916217</t>
  </si>
  <si>
    <t>9763-20170724T104645.180433500.bin</t>
  </si>
  <si>
    <t>-790.709074825129 14.4298702654764 -94.3297894409765</t>
  </si>
  <si>
    <t>-807.997812917336 2.99370066621191 -208.288293743352</t>
  </si>
  <si>
    <t>-842.57486428278 20.3005734402161 -553.211974773952</t>
  </si>
  <si>
    <t>-882.664279104261 150.079234804008 -532.038111647383</t>
  </si>
  <si>
    <t>-891.599758141034 164.758187154221 -238.276540555946</t>
  </si>
  <si>
    <t>-660.923708084138 230.503020000711 -261.015294173612</t>
  </si>
  <si>
    <t>-832.461237748477 104.028772293009 -98.055581578015</t>
  </si>
  <si>
    <t>-855.766644286295 135.461131890916 303.595466231515</t>
  </si>
  <si>
    <t>-883.622679543111 186.452390661936 748.110779763161</t>
  </si>
  <si>
    <t>-738.589727321985 171.394623152757 809.965380867468</t>
  </si>
  <si>
    <t>-740.58143738063 -86.1747889787109 310.649459828083</t>
  </si>
  <si>
    <t>-762.537607430031 -97.5249859618415 757.798363584843</t>
  </si>
  <si>
    <t>-622.680234794968 -75.0671236967499 828.670474966003</t>
  </si>
  <si>
    <t>9763-20170724T104645.250275000.bin</t>
  </si>
  <si>
    <t>-790.967955148596 14.5276860484848 -94.3376098870805</t>
  </si>
  <si>
    <t>-808.23975990851 3.12073992929686 -208.301634541703</t>
  </si>
  <si>
    <t>-842.781641942285 20.6328990433553 -553.214328425183</t>
  </si>
  <si>
    <t>-882.911596140264 150.388378074731 -531.977147878593</t>
  </si>
  <si>
    <t>-892.091903446006 164.690274838551 -238.204414903931</t>
  </si>
  <si>
    <t>-661.418627648325 230.358474312406 -261.191183443542</t>
  </si>
  <si>
    <t>-832.659166091204 104.06867692654 -98.04328621088</t>
  </si>
  <si>
    <t>-856.049352393572 135.533206573274 303.600286360379</t>
  </si>
  <si>
    <t>-883.534128518261 186.323485130769 748.154825292858</t>
  </si>
  <si>
    <t>-738.49544932294 171.287890656769 810.001762663474</t>
  </si>
  <si>
    <t>-740.819110079754 -86.0155235929969 310.614289986413</t>
  </si>
  <si>
    <t>-762.633335298961 -97.4063754953278 757.78408254469</t>
  </si>
  <si>
    <t>-622.771963174738 -75.0128218314806 828.66862612022</t>
  </si>
  <si>
    <t>9763-20170724T104645.283362100.bin</t>
  </si>
  <si>
    <t>-791.016813257281 14.4827751585799 -94.3385328150258</t>
  </si>
  <si>
    <t>-808.285961631125 3.09745560201441 -208.305072050452</t>
  </si>
  <si>
    <t>-809.660756433484 0.0431818896167897 -686.715977063008</t>
  </si>
  <si>
    <t>-842.653199742908 20.6823299710054 -553.232119166871</t>
  </si>
  <si>
    <t>-882.825130899708 150.424263208093 -531.977013245545</t>
  </si>
  <si>
    <t>-892.222467693014 164.646959074058 -238.207347913128</t>
  </si>
  <si>
    <t>-661.519760871648 230.175467187285 -261.29791009838</t>
  </si>
  <si>
    <t>-832.67854334276 104.06397642786 -98.0357133177972</t>
  </si>
  <si>
    <t>-856.121781263637 135.52575848518 303.604953927495</t>
  </si>
  <si>
    <t>-883.495616897113 186.306114352425 748.172597377684</t>
  </si>
  <si>
    <t>-738.460656639527 171.227788859745 810.01734405565</t>
  </si>
  <si>
    <t>-740.795855460776 -86.0348538658969 310.603441727323</t>
  </si>
  <si>
    <t>-762.613064324412 -97.4950399564714 757.77730676618</t>
  </si>
  <si>
    <t>-622.835041092259 -74.57832581964 828.659009037175</t>
  </si>
  <si>
    <t>9763-20170724T104645.351067800.bin</t>
  </si>
  <si>
    <t>-791.140331575741 14.565186033788 -94.334029349212</t>
  </si>
  <si>
    <t>-808.409982135678 3.23214001051133 -208.305736946416</t>
  </si>
  <si>
    <t>-809.067501127391 0.378599240952326 -686.701520840757</t>
  </si>
  <si>
    <t>-842.318031415241 20.9654693336524 -553.273468531586</t>
  </si>
  <si>
    <t>-882.607371860085 150.662426921363 -531.975408105646</t>
  </si>
  <si>
    <t>-892.529708594692 164.600852573634 -238.209415244921</t>
  </si>
  <si>
    <t>-661.845510038066 229.996905835183 -261.852388006925</t>
  </si>
  <si>
    <t>-832.76564721899 104.087407467478 -97.9940215437623</t>
  </si>
  <si>
    <t>-856.25498638257 135.497446381061 303.648053583687</t>
  </si>
  <si>
    <t>-883.397730218699 186.142523700488 748.223577947694</t>
  </si>
  <si>
    <t>-738.360921075831 171.087045179045 810.070046627018</t>
  </si>
  <si>
    <t>-740.968319688375 -85.8265039148899 310.582205892554</t>
  </si>
  <si>
    <t>-762.811305474708 -97.1567187717827 757.762259801589</t>
  </si>
  <si>
    <t>-622.950070278083 -74.8230719927788 828.666105252032</t>
  </si>
  <si>
    <t>9763-20170724T104645.381149200.bin</t>
  </si>
  <si>
    <t>-791.209404096917 14.569749004696 -94.3203032378899</t>
  </si>
  <si>
    <t>-808.47103092105 3.26332666941471 -208.295812404538</t>
  </si>
  <si>
    <t>-808.846911057278 0.527822039950934 -686.684403452582</t>
  </si>
  <si>
    <t>-842.20883292216 21.0771709786443 -553.2769565524</t>
  </si>
  <si>
    <t>-882.59326360502 150.732000231759 -531.903191195321</t>
  </si>
  <si>
    <t>-892.75972905078 164.533990946581 -238.139143665141</t>
  </si>
  <si>
    <t>-662.091659511854 229.820325539407 -262.23937515248</t>
  </si>
  <si>
    <t>-832.782424962486 104.04093013802 -97.9653597280666</t>
  </si>
  <si>
    <t>-856.348254846993 135.495672662811 303.668705640035</t>
  </si>
  <si>
    <t>-883.352333157075 186.076571834196 748.252405900639</t>
  </si>
  <si>
    <t>-738.323917772223 170.95243573128 810.101554139763</t>
  </si>
  <si>
    <t>-741.054969444555 -85.7902539001127 310.580194547607</t>
  </si>
  <si>
    <t>-762.854870933198 -97.1184488294512 757.763252558059</t>
  </si>
  <si>
    <t>-623.005455981421 -74.6970057517456 828.66257665989</t>
  </si>
  <si>
    <t>9763-20170724T104645.449354600.bin</t>
  </si>
  <si>
    <t>-791.387185166932 14.5520866662707 -94.2898957144276</t>
  </si>
  <si>
    <t>-808.625163419738 3.29203661489396 -208.273655600275</t>
  </si>
  <si>
    <t>-808.390269796254 0.876051121826777 -686.655100960978</t>
  </si>
  <si>
    <t>-841.965805912829 21.3138374060529 -553.282184662749</t>
  </si>
  <si>
    <t>-882.481211410583 150.895999498316 -531.732970031135</t>
  </si>
  <si>
    <t>-893.352958854474 164.247790043561 -237.973363239603</t>
  </si>
  <si>
    <t>-662.682839780927 229.118311459172 -263.15227173274</t>
  </si>
  <si>
    <t>-832.915043217846 104.024358633948 -97.90656146048</t>
  </si>
  <si>
    <t>-856.562062145666 135.4737883676 303.72313968152</t>
  </si>
  <si>
    <t>-883.279040286586 185.968132062955 748.317133589574</t>
  </si>
  <si>
    <t>-738.252232037448 170.818931307819 810.163967885574</t>
  </si>
  <si>
    <t>-741.283404853587 -85.740890906623 310.579274174558</t>
  </si>
  <si>
    <t>-762.966544154587 -96.9898421599272 757.768047102899</t>
  </si>
  <si>
    <t>-623.091225302492 -74.7246430329194 828.66555916156</t>
  </si>
  <si>
    <t>9763-20170724T104645.485452000.bin</t>
  </si>
  <si>
    <t>-791.492763569139 14.5411231553958 -94.2844727258739</t>
  </si>
  <si>
    <t>-808.710513219679 3.29950521508204 -208.273054852521</t>
  </si>
  <si>
    <t>-808.055303650586 1.17127772967251 -686.657762547581</t>
  </si>
  <si>
    <t>-841.75914220358 21.5068544428887 -553.296928143689</t>
  </si>
  <si>
    <t>-882.327831887208 151.056581617467 -531.673217301118</t>
  </si>
  <si>
    <t>-893.653996898693 164.130457320738 -237.918193916846</t>
  </si>
  <si>
    <t>-662.954296883662 228.732703494229 -263.511890037432</t>
  </si>
  <si>
    <t>-833.005390975428 104.001854343644 -97.8922253455949</t>
  </si>
  <si>
    <t>-856.68488403285 135.427462184671 303.737420441182</t>
  </si>
  <si>
    <t>-883.229250557648 185.857977476081 748.349559850652</t>
  </si>
  <si>
    <t>-738.192518436302 170.793161716121 810.193762086464</t>
  </si>
  <si>
    <t>-741.391933724498 -85.7242697316187 310.572092012584</t>
  </si>
  <si>
    <t>-762.997764388347 -96.9765631028201 757.772738913915</t>
  </si>
  <si>
    <t>-623.143669033739 -74.5562844921508 828.663193854293</t>
  </si>
  <si>
    <t>9763-20170724T104645.549135100.bin</t>
  </si>
  <si>
    <t>-791.73987510271 14.4803096358967 -94.2828450345079</t>
  </si>
  <si>
    <t>-808.900709060901 3.26385463310771 -208.282521809953</t>
  </si>
  <si>
    <t>-807.608211378771 1.45516549396666 -686.668830358045</t>
  </si>
  <si>
    <t>-841.50728330855 21.6507578241358 -553.337221202491</t>
  </si>
  <si>
    <t>-882.188526389619 151.145677264059 -531.552458509721</t>
  </si>
  <si>
    <t>-893.884525814762 163.702588388906 -237.789486034602</t>
  </si>
  <si>
    <t>-663.136876155997 227.976578653175 -263.775154761561</t>
  </si>
  <si>
    <t>-833.246371547626 103.908474354105 -97.8697347934253</t>
  </si>
  <si>
    <t>-856.850808931652 135.349616144054 303.763079292576</t>
  </si>
  <si>
    <t>-883.14590040173 185.744947426412 748.389680667038</t>
  </si>
  <si>
    <t>-738.126664588827 170.602718503838 810.255661989389</t>
  </si>
  <si>
    <t>-741.547949157819 -85.7242382544612 310.571800295758</t>
  </si>
  <si>
    <t>-763.133639197088 -96.7897455157664 757.779661323393</t>
  </si>
  <si>
    <t>-623.336214642756 -73.9665946985789 828.653395711969</t>
  </si>
  <si>
    <t>9763-20170724T104645.582222900.bin</t>
  </si>
  <si>
    <t>-791.889488035207 14.4839977663298 -94.2713538028283</t>
  </si>
  <si>
    <t>-809.034768606773 3.26743754533277 -208.273404200941</t>
  </si>
  <si>
    <t>-807.49868723435 1.54259431619175 -686.656220197563</t>
  </si>
  <si>
    <t>-841.477607360737 21.6912686414621 -553.340957648374</t>
  </si>
  <si>
    <t>-882.201771889294 151.159239877892 -531.508463736396</t>
  </si>
  <si>
    <t>-893.894883029441 163.435746521901 -237.733370921873</t>
  </si>
  <si>
    <t>-663.162852589595 227.695815321136 -263.891406904294</t>
  </si>
  <si>
    <t>-833.374971379783 103.824405060207 -97.8599510787107</t>
  </si>
  <si>
    <t>-856.912795457457 135.288419207741 303.775047526569</t>
  </si>
  <si>
    <t>-883.090335382385 185.615946686667 748.405389656565</t>
  </si>
  <si>
    <t>-738.073325248334 170.518383278177 810.28784936241</t>
  </si>
  <si>
    <t>-741.699708108676 -85.6319900878214 310.570147173813</t>
  </si>
  <si>
    <t>-763.25244480377 -96.5842011765776 757.783857776665</t>
  </si>
  <si>
    <t>-623.402324268279 -74.0962851378123 828.660712129764</t>
  </si>
  <si>
    <t>9763-20170724T104645.644946500.bin</t>
  </si>
  <si>
    <t>-792.130091446758 14.3942529868862 -94.259472752758</t>
  </si>
  <si>
    <t>-809.280788371575 3.18439706097274 -208.261192103801</t>
  </si>
  <si>
    <t>-807.376074147163 1.54152568683116 -686.632010305206</t>
  </si>
  <si>
    <t>-841.497393656735 21.6300891403848 -553.350502130742</t>
  </si>
  <si>
    <t>-882.281568308658 151.071480660678 -531.448795896262</t>
  </si>
  <si>
    <t>-893.90143958394 163.136483915082 -237.662057593906</t>
  </si>
  <si>
    <t>-663.190968624638 227.320142093062 -264.195014663853</t>
  </si>
  <si>
    <t>-833.570039986682 103.678503927323 -97.8473738683949</t>
  </si>
  <si>
    <t>-857.035944214735 135.189919102419 303.788108674722</t>
  </si>
  <si>
    <t>-882.986777880606 185.413786247053 748.437152300747</t>
  </si>
  <si>
    <t>-737.97398809981 170.384871271496 810.34616619219</t>
  </si>
  <si>
    <t>-741.917072350612 -85.6387611782801 310.569538307243</t>
  </si>
  <si>
    <t>-763.334375008934 -96.4997207189398 757.792233498604</t>
  </si>
  <si>
    <t>-623.516048208915 -73.7744217031579 828.656124078662</t>
  </si>
  <si>
    <t>9763-20170724T104645.679037100.bin</t>
  </si>
  <si>
    <t>-792.233650729769 14.3776168230927 -94.2596021685689</t>
  </si>
  <si>
    <t>-809.403913133208 3.16819461618775 -208.258571361614</t>
  </si>
  <si>
    <t>-807.371828330424 1.47847841382099 -686.620234142975</t>
  </si>
  <si>
    <t>-841.550384795598 21.5765329209473 -553.358339367748</t>
  </si>
  <si>
    <t>-882.358405998315 151.011262569632 -531.442930404138</t>
  </si>
  <si>
    <t>-894.056617306092 163.067031473274 -237.658971790393</t>
  </si>
  <si>
    <t>-663.331495652091 227.099217506171 -264.430783898439</t>
  </si>
  <si>
    <t>-833.661302401694 103.665158652236 -97.8434926022388</t>
  </si>
  <si>
    <t>-857.050560611294 135.148323212194 303.798737351685</t>
  </si>
  <si>
    <t>-882.942875495724 185.3280154492 748.458643256836</t>
  </si>
  <si>
    <t>-737.939023238779 170.239828201422 810.374059298545</t>
  </si>
  <si>
    <t>-741.967587544507 -85.6584736027288 310.566530867321</t>
  </si>
  <si>
    <t>-763.28561885972 -96.6532267098726 757.799714319473</t>
  </si>
  <si>
    <t>-623.490942118819 -73.757262651157 828.655301371285</t>
  </si>
  <si>
    <t>9763-20170724T104645.746262600.bin</t>
  </si>
  <si>
    <t>-792.473904631515 14.5152646488068 -94.2333689576936</t>
  </si>
  <si>
    <t>-809.676703014337 3.29292481459902 -208.226181940536</t>
  </si>
  <si>
    <t>-807.450977082082 1.55724418474347 -686.572229408305</t>
  </si>
  <si>
    <t>-841.722860262507 21.6696643738971 -553.337725191671</t>
  </si>
  <si>
    <t>-882.571636399263 151.085297516037 -531.415416534227</t>
  </si>
  <si>
    <t>-894.533805759481 163.163771957122 -237.643070936328</t>
  </si>
  <si>
    <t>-663.690737876935 226.431085267904 -265.203184542193</t>
  </si>
  <si>
    <t>-833.859399501787 103.74239665605 -97.8182351667288</t>
  </si>
  <si>
    <t>-857.179875890209 135.203049482848 303.829716172769</t>
  </si>
  <si>
    <t>-882.874256930587 185.237647122065 748.505124847066</t>
  </si>
  <si>
    <t>-737.874468234731 170.108119310244 810.419970103376</t>
  </si>
  <si>
    <t>-742.14158880151 -85.3917196818518 310.579294415879</t>
  </si>
  <si>
    <t>-763.47123213294 -96.3304373632495 757.80539134166</t>
  </si>
  <si>
    <t>-623.591191912327 -73.9766161726258 828.665669333983</t>
  </si>
  <si>
    <t>9763-20170724T104645.781358600.bin</t>
  </si>
  <si>
    <t>-792.565283615691 14.5568269464841 -94.2267309645334</t>
  </si>
  <si>
    <t>-809.796213097057 3.31940249384547 -208.213733115913</t>
  </si>
  <si>
    <t>-807.491604178866 1.52628243583649 -686.551360234866</t>
  </si>
  <si>
    <t>-841.805976751815 21.6530540797573 -553.331360872539</t>
  </si>
  <si>
    <t>-882.675021772034 151.059718414415 -531.401893782559</t>
  </si>
  <si>
    <t>-894.747184954579 163.184903377711 -237.636008621647</t>
  </si>
  <si>
    <t>-663.848659291407 226.029320326868 -265.694177130149</t>
  </si>
  <si>
    <t>-833.945190831089 103.788026199498 -97.8059659243212</t>
  </si>
  <si>
    <t>-857.259379660716 135.222242945204 303.844427064491</t>
  </si>
  <si>
    <t>-882.84923045118 185.186564598083 748.537073590242</t>
  </si>
  <si>
    <t>-737.83791124195 170.111562726715 810.43836763431</t>
  </si>
  <si>
    <t>-742.172790919331 -85.3244023276434 310.591142717681</t>
  </si>
  <si>
    <t>-763.540500402729 -96.2190437539624 757.807910185875</t>
  </si>
  <si>
    <t>-623.716841609721 -73.4922864827881 828.660857456947</t>
  </si>
  <si>
    <t>9763-20170724T104645.847539900.bin</t>
  </si>
  <si>
    <t>-792.841292643589 14.7111983322168 -94.2176783608522</t>
  </si>
  <si>
    <t>-810.110997972362 3.43918978429883 -208.195394806666</t>
  </si>
  <si>
    <t>-807.767692962537 1.5021658908156 -686.525118538305</t>
  </si>
  <si>
    <t>-842.115681722133 21.6615400979738 -553.320623994255</t>
  </si>
  <si>
    <t>-883.032431981412 151.053645958455 -531.393533082176</t>
  </si>
  <si>
    <t>-895.195162081503 162.994490777404 -237.62377075476</t>
  </si>
  <si>
    <t>-664.300839447762 225.381363681929 -266.719914532053</t>
  </si>
  <si>
    <t>-834.237550862851 103.859434789409 -97.8007922724967</t>
  </si>
  <si>
    <t>-857.362425128919 135.232502373342 303.86524917909</t>
  </si>
  <si>
    <t>-882.770900153593 184.983193055731 748.574840728242</t>
  </si>
  <si>
    <t>-737.753904378586 169.944122796414 810.471626722139</t>
  </si>
  <si>
    <t>-742.3256549211 -85.062244483186 310.599492262575</t>
  </si>
  <si>
    <t>-763.663347985688 -96.0225190184898 757.809818260369</t>
  </si>
  <si>
    <t>-623.793933329433 -73.5966688156127 828.668399878035</t>
  </si>
  <si>
    <t>9763-20170724T104645.885641600.bin</t>
  </si>
  <si>
    <t>-792.948800991284 14.6807796439011 -94.2200213102058</t>
  </si>
  <si>
    <t>-810.241694625972 3.38358611771605 -208.191669794173</t>
  </si>
  <si>
    <t>-807.909922461287 1.40752523086235 -686.518449205376</t>
  </si>
  <si>
    <t>-842.268569292327 21.5634943095115 -553.316431462995</t>
  </si>
  <si>
    <t>-883.222955405295 150.943006613045 -531.378920980908</t>
  </si>
  <si>
    <t>-895.357490818971 162.927400042016 -237.609740789521</t>
  </si>
  <si>
    <t>-664.454374807325 225.076668410621 -267.140365731471</t>
  </si>
  <si>
    <t>-834.368540582628 103.805706366312 -97.8101761823839</t>
  </si>
  <si>
    <t>-857.383189415924 135.167618281795 303.863099086339</t>
  </si>
  <si>
    <t>-882.71828268528 184.840638592156 748.583591628707</t>
  </si>
  <si>
    <t>-737.684820880512 169.964691973873 810.481211294233</t>
  </si>
  <si>
    <t>-742.325153578267 -85.1054267820087 310.599490379783</t>
  </si>
  <si>
    <t>-763.577590273137 -96.2444038454531 757.811268558654</t>
  </si>
  <si>
    <t>-623.797042906924 -73.239359873475 828.659497563326</t>
  </si>
  <si>
    <t>9763-20170724T104645.952827200.bin</t>
  </si>
  <si>
    <t>-793.315166643259 14.822854245072 -94.2522906251477</t>
  </si>
  <si>
    <t>-810.658602259147 3.46965532170657 -208.210725886009</t>
  </si>
  <si>
    <t>-808.4362634102 1.38408248466271 -686.529664004673</t>
  </si>
  <si>
    <t>-842.796520015624 21.5313405390077 -553.330431886429</t>
  </si>
  <si>
    <t>-883.824898512227 150.886241865626 -531.372507575322</t>
  </si>
  <si>
    <t>-895.780824516207 162.931056879274 -237.598458804427</t>
  </si>
  <si>
    <t>-664.866858232862 224.684629967831 -267.866329967815</t>
  </si>
  <si>
    <t>-834.739296599288 103.882795543225 -97.8462038016169</t>
  </si>
  <si>
    <t>-857.444372848541 135.165277307482 303.85087675877</t>
  </si>
  <si>
    <t>-882.640817024619 184.716415024655 748.586918432622</t>
  </si>
  <si>
    <t>-737.633553796602 169.698988104021 810.511625447056</t>
  </si>
  <si>
    <t>-742.512545739043 -84.8510097854444 310.585165707032</t>
  </si>
  <si>
    <t>-763.744449691759 -95.9637501668848 757.808934217283</t>
  </si>
  <si>
    <t>-623.944879833631 -73.078594463852 828.65842108977</t>
  </si>
  <si>
    <t>9763-20170724T104645.983908600.bin</t>
  </si>
  <si>
    <t>-793.481170873586 14.837994896908 -94.2638428235634</t>
  </si>
  <si>
    <t>-810.85701839567 3.46420328209797 -208.215266848018</t>
  </si>
  <si>
    <t>-808.714450849521 1.31452403282901 -686.529730399404</t>
  </si>
  <si>
    <t>-843.069573258882 21.4610441072994 -553.331759297414</t>
  </si>
  <si>
    <t>-884.137032099521 150.802266257917 -531.363949345662</t>
  </si>
  <si>
    <t>-896.011213713589 162.807820847803 -237.584956347936</t>
  </si>
  <si>
    <t>-665.108284032269 224.422127724615 -268.218273531818</t>
  </si>
  <si>
    <t>-834.891431315497 103.866527418567 -97.8629109392618</t>
  </si>
  <si>
    <t>-857.462547926216 135.122815796747 303.843812467376</t>
  </si>
  <si>
    <t>-882.598029852111 184.623559470325 748.597785370004</t>
  </si>
  <si>
    <t>-737.584565810485 169.662420391917 810.521672870742</t>
  </si>
  <si>
    <t>-742.602556277002 -84.7769028279879 310.582958530404</t>
  </si>
  <si>
    <t>-763.78708359382 -95.9039089774145 757.808795096927</t>
  </si>
  <si>
    <t>-624.011256840799 -72.8660796284743 828.655689964615</t>
  </si>
  <si>
    <t>9763-20170724T104646.048801500.bin</t>
  </si>
  <si>
    <t>-793.911018369463 14.8594454794568 -94.2637639190938</t>
  </si>
  <si>
    <t>-811.370439598683 3.44610684177314 -208.198473219204</t>
  </si>
  <si>
    <t>-809.410301534811 1.14847318378315 -686.504660874719</t>
  </si>
  <si>
    <t>-843.738247998187 21.3130124248194 -553.308201436446</t>
  </si>
  <si>
    <t>-884.824652234713 150.642238261168 -531.321475998715</t>
  </si>
  <si>
    <t>-896.626370439332 162.562091467785 -237.535958566209</t>
  </si>
  <si>
    <t>-665.706401440552 223.849321455309 -268.693130156435</t>
  </si>
  <si>
    <t>-835.22487308892 103.787219981287 -97.8691169351165</t>
  </si>
  <si>
    <t>-857.60291845749 135.03896505667 303.848687263707</t>
  </si>
  <si>
    <t>-882.515419151706 184.383504210621 748.617459663176</t>
  </si>
  <si>
    <t>-737.483246018219 169.585303947557 810.536475181599</t>
  </si>
  <si>
    <t>-742.809318419383 -84.6058988319803 310.571346988279</t>
  </si>
  <si>
    <t>-763.907771949842 -95.7070473839304 757.811131132833</t>
  </si>
  <si>
    <t>-624.050548994849 -73.1898013765218 828.664782420509</t>
  </si>
  <si>
    <t>9763-20170724T104646.081890000.bin</t>
  </si>
  <si>
    <t>-794.121398111616 14.7712051901126 -94.2619560020763</t>
  </si>
  <si>
    <t>-811.621124211795 3.34147096324546 -208.188869820755</t>
  </si>
  <si>
    <t>-809.735039158269 1.03514526191429 -686.492502050834</t>
  </si>
  <si>
    <t>-844.047671234102 21.201207752159 -553.292094218227</t>
  </si>
  <si>
    <t>-885.108965107481 150.533479016109 -531.282128674982</t>
  </si>
  <si>
    <t>-896.913167253942 162.411277765687 -237.495253442958</t>
  </si>
  <si>
    <t>-665.981215113885 223.581178893773 -268.793053634565</t>
  </si>
  <si>
    <t>-835.3893512474 103.757502142009 -97.8712579541045</t>
  </si>
  <si>
    <t>-857.655703436234 134.976729273463 303.855288815281</t>
  </si>
  <si>
    <t>-882.49975748603 184.374618219436 748.630286715956</t>
  </si>
  <si>
    <t>-737.481482988414 169.431530700305 810.547063120478</t>
  </si>
  <si>
    <t>-742.914659039252 -84.6720410553438 310.570594561009</t>
  </si>
  <si>
    <t>-763.845311954658 -95.8776272216874 757.820031364183</t>
  </si>
  <si>
    <t>-624.069916373201 -72.8140879698843 828.659358881945</t>
  </si>
  <si>
    <t>9763-20170724T104646.147658100.bin</t>
  </si>
  <si>
    <t>-794.614183216871 14.6508671350637 -94.274421520586</t>
  </si>
  <si>
    <t>-812.214968555596 3.21255978910881 -208.18488794961</t>
  </si>
  <si>
    <t>-810.499290639142 0.980075748866739 -686.485590181316</t>
  </si>
  <si>
    <t>-844.769976677128 21.1398805698941 -553.269756464982</t>
  </si>
  <si>
    <t>-885.762974942356 150.483402009343 -531.198673416266</t>
  </si>
  <si>
    <t>-897.573759476385 162.119864609592 -237.402377739956</t>
  </si>
  <si>
    <t>-666.613382171764 223.165453903996 -268.731980632093</t>
  </si>
  <si>
    <t>-835.767437810156 103.612394373022 -97.8559704451607</t>
  </si>
  <si>
    <t>-857.806236903413 134.80332367739 303.885369566465</t>
  </si>
  <si>
    <t>-882.449510345229 184.206115798268 748.659386873433</t>
  </si>
  <si>
    <t>-737.43390704683 169.207574686417 810.569038588936</t>
  </si>
  <si>
    <t>-743.239929090314 -84.5662667708125 310.55317026075</t>
  </si>
  <si>
    <t>-764.04670404353 -95.5114233363356 757.823611537536</t>
  </si>
  <si>
    <t>-624.186635666345 -72.974438570044 828.665351139024</t>
  </si>
  <si>
    <t>9763-20170724T104646.181749800.bin</t>
  </si>
  <si>
    <t>-794.851199250814 14.5046104904507 -94.2682505690891</t>
  </si>
  <si>
    <t>-812.503677477753 3.05564821416715 -208.169625193425</t>
  </si>
  <si>
    <t>-810.930203276629 0.89611394883309 -686.46738370206</t>
  </si>
  <si>
    <t>-845.16404568702 21.0368683361601 -553.238688040492</t>
  </si>
  <si>
    <t>-886.118739108063 150.389181375924 -531.124561957358</t>
  </si>
  <si>
    <t>-897.933974120957 161.921895508095 -237.324234048447</t>
  </si>
  <si>
    <t>-666.947690342268 222.882225960903 -268.63017948728</t>
  </si>
  <si>
    <t>-835.9381070343 103.428459809993 -97.8370250001171</t>
  </si>
  <si>
    <t>-857.826570408315 134.657751462099 303.909488246934</t>
  </si>
  <si>
    <t>-882.416913196305 184.087739823001 748.672607423344</t>
  </si>
  <si>
    <t>-737.389361216381 169.177723940938 810.575774547122</t>
  </si>
  <si>
    <t>-743.377996140653 -84.5914559823183 310.549140550247</t>
  </si>
  <si>
    <t>-764.111724236144 -95.4016055916694 757.829762211727</t>
  </si>
  <si>
    <t>-624.268782223678 -72.7315794283106 828.662873176262</t>
  </si>
  <si>
    <t>9763-20170724T104646.249944900.bin</t>
  </si>
  <si>
    <t>-795.225218186495 14.1412276941703 -94.236474860753</t>
  </si>
  <si>
    <t>-812.989418422073 2.67394534583559 -208.118653396894</t>
  </si>
  <si>
    <t>-811.729538147905 0.759568286876402 -686.404352477452</t>
  </si>
  <si>
    <t>-845.890597707095 20.8215005654854 -553.147807597491</t>
  </si>
  <si>
    <t>-886.746338698694 150.178025622281 -530.913839011686</t>
  </si>
  <si>
    <t>-898.513213231004 161.490878661733 -237.10299149845</t>
  </si>
  <si>
    <t>-667.485885603109 222.285845982929 -268.42710502915</t>
  </si>
  <si>
    <t>-836.170579287438 103.020985588438 -97.7975117047223</t>
  </si>
  <si>
    <t>-857.676882127899 134.354725710071 303.96150520753</t>
  </si>
  <si>
    <t>-882.372197301278 183.907185122848 748.704004887411</t>
  </si>
  <si>
    <t>-737.32919655968 169.092660555376 810.593732369157</t>
  </si>
  <si>
    <t>-743.586059310002 -84.633866899635 310.551459260573</t>
  </si>
  <si>
    <t>-764.142701564537 -95.3823328010255 757.839881366462</t>
  </si>
  <si>
    <t>-624.27675130645 -72.8460509616281 828.670132752323</t>
  </si>
  <si>
    <t>9763-20170724T104646.282028200.bin</t>
  </si>
  <si>
    <t>-795.34196220429 13.9841003201304 -94.2188463071831</t>
  </si>
  <si>
    <t>-813.174959541711 2.51166588115916 -208.089759175239</t>
  </si>
  <si>
    <t>-811.977624433974 0.828162457429016 -686.371333675741</t>
  </si>
  <si>
    <t>-846.134313473034 20.8145559789862 -553.099413155009</t>
  </si>
  <si>
    <t>-886.995311105395 150.1612352212 -530.794399821208</t>
  </si>
  <si>
    <t>-898.719633120315 161.325455793531 -236.976279143195</t>
  </si>
  <si>
    <t>-667.694040840674 222.082241055004 -268.387614724934</t>
  </si>
  <si>
    <t>-836.24438209489 102.90092493347 -97.7796005184366</t>
  </si>
  <si>
    <t>-857.512415575396 134.20397800989 303.994565505669</t>
  </si>
  <si>
    <t>-882.357170969969 183.823325231289 748.726656739351</t>
  </si>
  <si>
    <t>-737.315543741914 168.968364763771 810.610054111643</t>
  </si>
  <si>
    <t>-743.639536818289 -84.6949935553556 310.560379376616</t>
  </si>
  <si>
    <t>-764.166161262537 -95.3579402946383 757.845458693587</t>
  </si>
  <si>
    <t>-624.325409646136 -72.6465740076039 828.669597853889</t>
  </si>
  <si>
    <t>9763-20170724T104646.351765300.bin</t>
  </si>
  <si>
    <t>-795.546043850264 13.822499750315 -94.1912757054328</t>
  </si>
  <si>
    <t>-813.479354463468 2.35317963439798 -208.046663471676</t>
  </si>
  <si>
    <t>-812.386520068849 0.984845253656658 -686.320184495363</t>
  </si>
  <si>
    <t>-846.51933157757 20.8643756008892 -553.030483816982</t>
  </si>
  <si>
    <t>-887.343159106055 150.201472677846 -530.587981942724</t>
  </si>
  <si>
    <t>-899.143238629975 160.894463704801 -236.755221631634</t>
  </si>
  <si>
    <t>-668.104957821545 221.578246803701 -268.214335264016</t>
  </si>
  <si>
    <t>-836.290720528653 102.74577105118 -97.7283146647807</t>
  </si>
  <si>
    <t>-857.315182610696 134.013651903421 304.061413422561</t>
  </si>
  <si>
    <t>-882.325089357937 183.661565778672 748.753019779277</t>
  </si>
  <si>
    <t>-737.284397035933 168.770307383197 810.629837063408</t>
  </si>
  <si>
    <t>-743.753809945127 -84.7603304449732 310.57293170674</t>
  </si>
  <si>
    <t>-764.20707626531 -95.3254164400165 757.862802659642</t>
  </si>
  <si>
    <t>-624.357250535479 -72.6523445685422 828.681242451391</t>
  </si>
  <si>
    <t>9763-20170724T104646.380840000.bin</t>
  </si>
  <si>
    <t>-795.599402299235 13.7283895987882 -94.1655488178659</t>
  </si>
  <si>
    <t>-813.569233252462 2.25123996723482 -208.014521000184</t>
  </si>
  <si>
    <t>-812.545947808542 1.0513692412535 -686.274573917006</t>
  </si>
  <si>
    <t>-846.672264133832 20.8696752620485 -552.981528495802</t>
  </si>
  <si>
    <t>-887.453194816998 150.207430070573 -530.46625545572</t>
  </si>
  <si>
    <t>-899.375487640459 160.653043308187 -236.62953909137</t>
  </si>
  <si>
    <t>-668.328563916516 221.29905183679 -268.098295785369</t>
  </si>
  <si>
    <t>-836.266269323095 102.634699734949 -97.7074583843405</t>
  </si>
  <si>
    <t>-857.241443605365 133.915135412444 304.083845318266</t>
  </si>
  <si>
    <t>-882.310328567424 183.579085849302 748.767186176691</t>
  </si>
  <si>
    <t>-737.267583776044 168.688648036326 810.63928791699</t>
  </si>
  <si>
    <t>-743.803159392331 -84.8183820171392 310.5882302911</t>
  </si>
  <si>
    <t>-764.254989965474 -95.2481783687159 757.88039923525</t>
  </si>
  <si>
    <t>-624.42443909393 -72.4158797836899 828.685715425397</t>
  </si>
  <si>
    <t>9763-20170724T104646.448577400.bin</t>
  </si>
  <si>
    <t>-795.636891579158 13.536918805225 -94.1435588929901</t>
  </si>
  <si>
    <t>-813.68675597723 2.02381168071702 -207.976149866013</t>
  </si>
  <si>
    <t>-812.845962027973 1.03828174601131 -686.186674870373</t>
  </si>
  <si>
    <t>-846.994200231366 20.7448391509511 -552.909928761792</t>
  </si>
  <si>
    <t>-887.691125420225 150.086032011077 -530.282702541829</t>
  </si>
  <si>
    <t>-899.667453353707 160.106613950423 -236.433355561214</t>
  </si>
  <si>
    <t>-668.641532921461 220.846791132003 -267.87362064768</t>
  </si>
  <si>
    <t>-836.226817866568 102.409677572878 -97.690209153846</t>
  </si>
  <si>
    <t>-857.080245414429 133.790152000377 304.09965203915</t>
  </si>
  <si>
    <t>-882.291850234208 183.544798638175 748.762688822436</t>
  </si>
  <si>
    <t>-737.2718161642 168.453135251293 810.639160135602</t>
  </si>
  <si>
    <t>-743.94340671982 -84.8276821198924 310.614739619307</t>
  </si>
  <si>
    <t>-764.399447357262 -94.9818835690606 757.901694695433</t>
  </si>
  <si>
    <t>-624.539539132488 -72.2990760578305 828.697011632933</t>
  </si>
  <si>
    <t>9763-20170724T104646.480663500.bin</t>
  </si>
  <si>
    <t>-795.601776464678 13.3811425898214 -94.1442208616404</t>
  </si>
  <si>
    <t>-813.706839409061 1.83894856554889 -207.965070488832</t>
  </si>
  <si>
    <t>-813.016972666879 0.884903919583849 -686.152396630431</t>
  </si>
  <si>
    <t>-847.154505125593 20.5570215728476 -552.882270363983</t>
  </si>
  <si>
    <t>-887.841280614062 149.895374986285 -530.199981417554</t>
  </si>
  <si>
    <t>-899.784932269314 159.75710877354 -236.34411077721</t>
  </si>
  <si>
    <t>-668.782941758572 220.58577563259 -267.789731899462</t>
  </si>
  <si>
    <t>-836.170182626658 102.248965129975 -97.6963898311867</t>
  </si>
  <si>
    <t>-856.895049063777 133.611243758651 304.101458161605</t>
  </si>
  <si>
    <t>-882.269218229899 183.412543100791 748.760476133294</t>
  </si>
  <si>
    <t>-737.23752814845 168.411028740011 810.631685797781</t>
  </si>
  <si>
    <t>-743.938256782779 -84.8699928791099 310.628604860181</t>
  </si>
  <si>
    <t>-764.415511334405 -94.9730212099213 757.914425775866</t>
  </si>
  <si>
    <t>-624.546238237039 -72.3218569873876 828.701625737485</t>
  </si>
  <si>
    <t>9763-20170724T104646.550968700.bin</t>
  </si>
  <si>
    <t>-795.435154997358 12.9807000425033 -94.1412447917223</t>
  </si>
  <si>
    <t>-813.640572646461 1.39313806308019 -207.941596694129</t>
  </si>
  <si>
    <t>-813.158815957154 0.597070126682183 -686.096061855324</t>
  </si>
  <si>
    <t>-847.297585591235 20.1773284889509 -552.827559667954</t>
  </si>
  <si>
    <t>-888.000010404627 149.493322060321 -530.054985796186</t>
  </si>
  <si>
    <t>-899.886620835815 159.1573400814 -236.190294762628</t>
  </si>
  <si>
    <t>-668.90994321949 220.006772466129 -267.781300444521</t>
  </si>
  <si>
    <t>-835.969140899873 101.828239194723 -97.6828195710086</t>
  </si>
  <si>
    <t>-856.33789647597 133.196536700194 304.132800109274</t>
  </si>
  <si>
    <t>-882.233478687031 183.223747627911 748.748769755068</t>
  </si>
  <si>
    <t>-737.194257212713 168.277556603564 810.615776975965</t>
  </si>
  <si>
    <t>-743.734274239079 -85.157465013287 310.652075997285</t>
  </si>
  <si>
    <t>-764.257447789538 -95.3668245090295 757.93472816391</t>
  </si>
  <si>
    <t>-624.518207066932 -71.8484783895482 828.695808097207</t>
  </si>
  <si>
    <t>9763-20170724T104646.581048700.bin</t>
  </si>
  <si>
    <t>-795.382283972812 12.9348353018916 -94.1337864392161</t>
  </si>
  <si>
    <t>-813.614108751039 1.32569685933208 -207.927801635612</t>
  </si>
  <si>
    <t>-813.188478542917 0.580193295716981 -686.075186566066</t>
  </si>
  <si>
    <t>-847.319046401183 20.127120190406 -552.80505764396</t>
  </si>
  <si>
    <t>-888.014214775868 149.436731560126 -529.999103888973</t>
  </si>
  <si>
    <t>-899.886945933588 159.003860086216 -236.130577646684</t>
  </si>
  <si>
    <t>-668.945562194512 219.979385665136 -267.735890764377</t>
  </si>
  <si>
    <t>-835.879630492505 101.738932715019 -97.6758864335504</t>
  </si>
  <si>
    <t>-856.093325814573 133.085649349834 304.149320361012</t>
  </si>
  <si>
    <t>-882.222439243542 183.1439886742 748.742038055471</t>
  </si>
  <si>
    <t>-737.186584888456 168.155170059366 810.606370131567</t>
  </si>
  <si>
    <t>-743.727271568652 -85.0762534605166 310.669275557647</t>
  </si>
  <si>
    <t>-764.391839839106 -95.1045669303198 757.943743265719</t>
  </si>
  <si>
    <t>-624.554374760491 -72.1928978083871 828.709794446443</t>
  </si>
  <si>
    <t>9763-20170724T104646.648741700.bin</t>
  </si>
  <si>
    <t>-795.201719114002 12.8647719170697 -94.1099783017698</t>
  </si>
  <si>
    <t>-813.443939644158 1.25501708800562 -207.902210114135</t>
  </si>
  <si>
    <t>-813.127644887357 0.5740465607023 -686.055902667801</t>
  </si>
  <si>
    <t>-847.203166846718 20.0965303594926 -552.769872932556</t>
  </si>
  <si>
    <t>-887.916072154506 149.398930596254 -529.948095082927</t>
  </si>
  <si>
    <t>-899.933453658275 158.830710777548 -236.081106920949</t>
  </si>
  <si>
    <t>-669.031651281551 219.961345141702 -267.67672758075</t>
  </si>
  <si>
    <t>-835.638219047838 101.619609483353 -97.6718177835756</t>
  </si>
  <si>
    <t>-855.873775189441 132.976454263271 304.15140091809</t>
  </si>
  <si>
    <t>-882.201455098829 183.064826506863 748.708041530549</t>
  </si>
  <si>
    <t>-737.163530199736 168.123039344966 810.579243798754</t>
  </si>
  <si>
    <t>-743.681456008265 -85.0940946372103 310.688331172676</t>
  </si>
  <si>
    <t>-764.453500073716 -95.0190373398658 757.953019265981</t>
  </si>
  <si>
    <t>-624.614286829397 -72.1032460657428 828.714290664637</t>
  </si>
  <si>
    <t>9763-20170724T104646.685840900.bin</t>
  </si>
  <si>
    <t>-795.145817127167 12.9399463121704 -94.1096737598708</t>
  </si>
  <si>
    <t>-813.370590635587 1.33844817691966 -207.905465854629</t>
  </si>
  <si>
    <t>-813.141324290131 0.673976690309019 -686.069837944144</t>
  </si>
  <si>
    <t>-847.167285745333 20.1984883225773 -552.768361936276</t>
  </si>
  <si>
    <t>-887.885674447758 149.499488748188 -529.938294354273</t>
  </si>
  <si>
    <t>-900.001243491655 158.887480327071 -236.073892806982</t>
  </si>
  <si>
    <t>-669.113388360946 220.064751719856 -267.680550026737</t>
  </si>
  <si>
    <t>-835.540047516344 101.657343881546 -97.6769024071929</t>
  </si>
  <si>
    <t>-855.899662244999 133.0306031529 304.138826556775</t>
  </si>
  <si>
    <t>-882.186731613331 183.011834664246 748.690256803457</t>
  </si>
  <si>
    <t>-737.155260214128 168.047815839296 810.571115976225</t>
  </si>
  <si>
    <t>-743.720206967464 -85.0037894102901 310.693223191842</t>
  </si>
  <si>
    <t>-764.538391650844 -94.8579188400632 757.954381408332</t>
  </si>
  <si>
    <t>-624.625931979568 -72.405959393446 828.719668670366</t>
  </si>
  <si>
    <t>9763-20170724T104646.747149400.bin</t>
  </si>
  <si>
    <t>-795.014926927616 13.0284946172276 -94.1193413953516</t>
  </si>
  <si>
    <t>-813.179845258901 1.44744714570402 -207.926887811166</t>
  </si>
  <si>
    <t>-812.96655910084 0.732183537674018 -686.122083934963</t>
  </si>
  <si>
    <t>-846.929684321378 20.2984957769163 -552.796944171038</t>
  </si>
  <si>
    <t>-887.70764131773 149.581117940591 -529.955060703133</t>
  </si>
  <si>
    <t>-900.142709161033 158.733589106201 -236.096593379236</t>
  </si>
  <si>
    <t>-669.289641934071 219.995323330381 -267.794511005129</t>
  </si>
  <si>
    <t>-835.411085591781 101.715687745253 -97.7041535713091</t>
  </si>
  <si>
    <t>-855.95106313876 133.075863488741 304.103474284869</t>
  </si>
  <si>
    <t>-882.148852839099 182.937346748691 748.665284504269</t>
  </si>
  <si>
    <t>-737.125094955131 167.972329997142 810.563936200832</t>
  </si>
  <si>
    <t>-743.722000845611 -84.9613348447967 310.68271933435</t>
  </si>
  <si>
    <t>-764.640151953807 -94.6804154655058 757.95859043504</t>
  </si>
  <si>
    <t>-624.746046751984 -72.0774593018429 828.711988114163</t>
  </si>
  <si>
    <t>9763-20170724T104646.780230500.bin</t>
  </si>
  <si>
    <t>-794.905660614201 13.0866230660868 -94.1259835583202</t>
  </si>
  <si>
    <t>-813.038425535449 1.51410975929457 -207.93944362526</t>
  </si>
  <si>
    <t>-812.774201996302 0.750240294092464 -686.155148580107</t>
  </si>
  <si>
    <t>-846.718368381327 20.3455378521689 -552.819160764614</t>
  </si>
  <si>
    <t>-887.541527830325 149.609722736856 -529.986366201728</t>
  </si>
  <si>
    <t>-900.306943626683 158.662189241225 -236.138961504358</t>
  </si>
  <si>
    <t>-669.45443503755 219.854038266434 -267.974806622785</t>
  </si>
  <si>
    <t>-835.297392700014 101.737946248953 -97.7109300134845</t>
  </si>
  <si>
    <t>-855.93798739221 133.08255564057 304.092712979475</t>
  </si>
  <si>
    <t>-882.132908901495 182.885973798003 748.664270974441</t>
  </si>
  <si>
    <t>-737.108941159164 167.939867563346 810.567169119682</t>
  </si>
  <si>
    <t>-743.664003382878 -84.9044349871293 310.681502968954</t>
  </si>
  <si>
    <t>-764.671029296408 -94.6201623348245 757.951959578617</t>
  </si>
  <si>
    <t>-624.784510626436 -71.9717421304675 828.705852646984</t>
  </si>
  <si>
    <t>9763-20170724T104646.846927700.bin</t>
  </si>
  <si>
    <t>-794.564196609699 13.1500331936502 -94.1438616601646</t>
  </si>
  <si>
    <t>-812.644235751845 1.57316483377053 -207.965166838047</t>
  </si>
  <si>
    <t>-812.217035769407 0.644260161789134 -686.202453249179</t>
  </si>
  <si>
    <t>-846.189952913536 20.2940272037688 -552.868378886263</t>
  </si>
  <si>
    <t>-887.163682267413 149.514617453757 -530.049907412183</t>
  </si>
  <si>
    <t>-900.50347857149 158.418619419532 -236.223526392844</t>
  </si>
  <si>
    <t>-669.621097281188 219.377484408117 -268.28894896467</t>
  </si>
  <si>
    <t>-835.010916097206 101.744095901002 -97.7251223211133</t>
  </si>
  <si>
    <t>-855.773439146638 133.086792903542 304.072320256931</t>
  </si>
  <si>
    <t>-882.099228059088 182.791782174284 748.649166322548</t>
  </si>
  <si>
    <t>-737.076772624854 167.90526847876 810.570158057353</t>
  </si>
  <si>
    <t>-743.386176392304 -84.896072704324 310.680937721927</t>
  </si>
  <si>
    <t>-764.56009156496 -94.8631470944119 757.939169922672</t>
  </si>
  <si>
    <t>-624.706896004897 -72.0312882248459 828.699932276407</t>
  </si>
  <si>
    <t>9763-20170724T104646.884025900.bin</t>
  </si>
  <si>
    <t>-794.467583520778 13.2366540921591 -94.1438540161969</t>
  </si>
  <si>
    <t>-812.532036884635 1.65419658056089 -207.967033530195</t>
  </si>
  <si>
    <t>-811.981713474857 0.649348842451445 -686.204446799279</t>
  </si>
  <si>
    <t>-846.008018174423 20.314339188023 -552.882562867046</t>
  </si>
  <si>
    <t>-887.102847157305 149.498706437761 -530.069360986797</t>
  </si>
  <si>
    <t>-900.696621396973 158.331975211154 -236.252416305393</t>
  </si>
  <si>
    <t>-669.818384290763 219.227679110703 -268.467901166977</t>
  </si>
  <si>
    <t>-834.959220838801 101.780719825767 -97.7311216437441</t>
  </si>
  <si>
    <t>-855.702383839113 133.110162504487 304.068411636659</t>
  </si>
  <si>
    <t>-882.084034650126 182.706374870522 748.649185507144</t>
  </si>
  <si>
    <t>-737.062713061763 167.83309287294 810.575869268689</t>
  </si>
  <si>
    <t>-743.36470776982 -84.725371334409 310.680846513616</t>
  </si>
  <si>
    <t>-764.697614233194 -94.5664954808836 757.931815593414</t>
  </si>
  <si>
    <t>-624.760584518578 -72.3008044533236 828.707257596452</t>
  </si>
  <si>
    <t>9763-20170724T104646.949222700.bin</t>
  </si>
  <si>
    <t>-794.419062776923 13.241677601987 -94.1655876151619</t>
  </si>
  <si>
    <t>-812.453263720535 1.63270830963029 -207.991009730034</t>
  </si>
  <si>
    <t>-811.6831360057 0.585983328085831 -686.225184516717</t>
  </si>
  <si>
    <t>-845.809697506534 20.232834516019 -552.921958060799</t>
  </si>
  <si>
    <t>-887.142772109851 149.34298516577 -530.118779388075</t>
  </si>
  <si>
    <t>-901.423953851052 158.17201385107 -236.334281350862</t>
  </si>
  <si>
    <t>-670.520105097398 218.806085229992 -268.858401879289</t>
  </si>
  <si>
    <t>-835.041895621261 101.716468147621 -97.7540939267691</t>
  </si>
  <si>
    <t>-855.74841929781 133.070507379065 304.045391346062</t>
  </si>
  <si>
    <t>-882.034768361223 182.546021663491 748.627492179978</t>
  </si>
  <si>
    <t>-737.007982636739 167.821839959401 810.576923364051</t>
  </si>
  <si>
    <t>-743.27683070205 -84.6535996421993 310.671503062689</t>
  </si>
  <si>
    <t>-764.749489764851 -94.4592866089247 757.916746397623</t>
  </si>
  <si>
    <t>-624.900706469432 -71.6502697818632 828.693567650509</t>
  </si>
  <si>
    <t>9763-20170724T104646.983305300.bin</t>
  </si>
  <si>
    <t>-794.460136607424 13.274402336403 -94.1866384323897</t>
  </si>
  <si>
    <t>-812.471183673201 1.65029647190681 -208.014027348516</t>
  </si>
  <si>
    <t>-811.646843829944 0.594770058221002 -686.242306347143</t>
  </si>
  <si>
    <t>-845.810336829014 20.2213199623388 -552.948167937109</t>
  </si>
  <si>
    <t>-887.233653331074 149.30198999757 -530.155533678582</t>
  </si>
  <si>
    <t>-902.013867631393 158.1515344593 -236.396373722809</t>
  </si>
  <si>
    <t>-671.0630352973 218.632175581757 -268.872328105914</t>
  </si>
  <si>
    <t>-835.11338866607 101.725339357836 -97.7846790800977</t>
  </si>
  <si>
    <t>-855.755083117218 133.070089198749 304.01887673133</t>
  </si>
  <si>
    <t>-882.022526447789 182.577846880948 748.610213034647</t>
  </si>
  <si>
    <t>-737.015122854271 167.752820927614 810.580732485009</t>
  </si>
  <si>
    <t>-743.297017267778 -84.5553684427423 310.662907155484</t>
  </si>
  <si>
    <t>-764.813538058283 -94.3365726974728 757.911895617558</t>
  </si>
  <si>
    <t>-624.938083447298 -71.7130298221081 828.695586810307</t>
  </si>
  <si>
    <t>9763-20170724T104647.050574800.bin</t>
  </si>
  <si>
    <t>-794.567854436032 13.2235954197679 -94.2083307786378</t>
  </si>
  <si>
    <t>-812.532410688367 1.5893014466144 -208.042166002935</t>
  </si>
  <si>
    <t>-811.864263575082 0.567296839135452 -686.257619443931</t>
  </si>
  <si>
    <t>-846.022425764601 20.1309880245328 -552.962865872496</t>
  </si>
  <si>
    <t>-887.603874286543 149.164390514254 -530.185666973775</t>
  </si>
  <si>
    <t>-903.473154136634 157.706101041717 -236.474283867105</t>
  </si>
  <si>
    <t>-672.465782473854 218.083766225292 -268.73844878078</t>
  </si>
  <si>
    <t>-835.233313159874 101.562333716511 -97.8187839744631</t>
  </si>
  <si>
    <t>-855.714690249399 132.921371210763 303.991894541707</t>
  </si>
  <si>
    <t>-881.962952659548 182.359950376621 748.590511200768</t>
  </si>
  <si>
    <t>-736.94573620756 167.696958775082 810.576800404733</t>
  </si>
  <si>
    <t>-743.399729422058 -84.5072773451005 310.65603639491</t>
  </si>
  <si>
    <t>-764.865540542809 -94.2432462225638 757.908089698847</t>
  </si>
  <si>
    <t>-624.953121856098 -71.8665953540749 828.6970910872</t>
  </si>
  <si>
    <t>9763-20170724T104647.083664400.bin</t>
  </si>
  <si>
    <t>-794.678129789727 13.1910031138104 -94.2117457907267</t>
  </si>
  <si>
    <t>-812.624458424481 1.56068326578043 -208.04888075468</t>
  </si>
  <si>
    <t>-812.074941581592 0.527487668911363 -686.258205226915</t>
  </si>
  <si>
    <t>-846.218673878502 20.076177640653 -552.96163476043</t>
  </si>
  <si>
    <t>-887.853612996699 149.095808339717 -530.193837777943</t>
  </si>
  <si>
    <t>-904.253418626378 157.390627739605 -236.504562830511</t>
  </si>
  <si>
    <t>-673.244912244544 217.868324981504 -268.572665014119</t>
  </si>
  <si>
    <t>-835.328123337416 101.501209768738 -97.8234479411316</t>
  </si>
  <si>
    <t>-855.7488164015 132.873821740731 303.989238354067</t>
  </si>
  <si>
    <t>-881.947193433887 182.327562572459 748.576937084848</t>
  </si>
  <si>
    <t>-736.941920526221 167.604556492668 810.576761739769</t>
  </si>
  <si>
    <t>-743.477896643009 -84.5146886489757 310.655466514676</t>
  </si>
  <si>
    <t>-764.898919527714 -94.1929291351894 757.912479668164</t>
  </si>
  <si>
    <t>-624.973034826983 -71.8844950178478 828.696591602154</t>
  </si>
  <si>
    <t>9763-20170724T104647.147837200.bin</t>
  </si>
  <si>
    <t>-794.867126197045 12.9205577132984 -94.213018085865</t>
  </si>
  <si>
    <t>-812.77287000015 1.2823833892146 -208.055594689351</t>
  </si>
  <si>
    <t>-812.331774211888 0.306017661692977 -686.256286764547</t>
  </si>
  <si>
    <t>-846.475377898792 19.8207619061675 -552.954493580168</t>
  </si>
  <si>
    <t>-888.225858774675 148.80785459531 -530.225972355932</t>
  </si>
  <si>
    <t>-905.484530756021 156.704566960084 -236.574797215533</t>
  </si>
  <si>
    <t>-674.447634245968 217.268131537171 -268.275412176699</t>
  </si>
  <si>
    <t>-835.502697544125 101.248621879044 -97.8470418277855</t>
  </si>
  <si>
    <t>-855.764632399591 132.695759955388 303.967868936258</t>
  </si>
  <si>
    <t>-881.911252207212 182.275783731173 748.550241025517</t>
  </si>
  <si>
    <t>-736.916611174893 167.519449667807 810.567057981599</t>
  </si>
  <si>
    <t>-743.544709604651 -84.7596104904609 310.65974822968</t>
  </si>
  <si>
    <t>-764.791706267371 -94.4645428674953 757.926574183028</t>
  </si>
  <si>
    <t>-624.993727005243 -71.2907801419029 828.685296825223</t>
  </si>
  <si>
    <t>9763-20170724T104647.179921900.bin</t>
  </si>
  <si>
    <t>-794.916033040417 12.8377127355568 -94.2169230531782</t>
  </si>
  <si>
    <t>-812.819526127872 1.19997201273804 -208.06001652147</t>
  </si>
  <si>
    <t>-812.377033466613 0.248655433392969 -686.259169651003</t>
  </si>
  <si>
    <t>-846.532877157738 19.7513139486662 -552.956531550046</t>
  </si>
  <si>
    <t>-888.353288069539 148.72819341988 -530.273334665242</t>
  </si>
  <si>
    <t>-906.082939961062 156.563774573553 -236.648683913085</t>
  </si>
  <si>
    <t>-675.019897516337 217.086464700055 -268.235708345824</t>
  </si>
  <si>
    <t>-835.524669608956 101.157320920366 -97.8515593527276</t>
  </si>
  <si>
    <t>-855.759915225677 132.648729520989 303.961215900775</t>
  </si>
  <si>
    <t>-881.897968305599 182.241820180103 748.540174761855</t>
  </si>
  <si>
    <t>-736.91209986799 167.425595569193 810.563212290575</t>
  </si>
  <si>
    <t>-743.601347914675 -84.7245439856683 310.657205827119</t>
  </si>
  <si>
    <t>-764.893352450178 -94.2570130754348 757.927732405276</t>
  </si>
  <si>
    <t>-625.060349031357 -71.3159684532887 828.693031458601</t>
  </si>
  <si>
    <t>9763-20170724T104647.250116700.bin</t>
  </si>
  <si>
    <t>-794.990835898139 12.6883806834635 -94.2079146548055</t>
  </si>
  <si>
    <t>-812.910985349806 1.06526830884604 -208.049866860007</t>
  </si>
  <si>
    <t>-846.668885588789 19.4662090331806 -552.957525878535</t>
  </si>
  <si>
    <t>-888.617600557441 148.430514741318 -530.432894988065</t>
  </si>
  <si>
    <t>-907.25539400406 156.293570192151 -236.86515266096</t>
  </si>
  <si>
    <t>-676.083070190908 216.471786031646 -268.310254655388</t>
  </si>
  <si>
    <t>-835.601747153402 100.995562112065 -97.8235354798758</t>
  </si>
  <si>
    <t>-855.800079648597 132.549833691613 303.98610986068</t>
  </si>
  <si>
    <t>-881.892650554297 182.17721175847 748.553807205469</t>
  </si>
  <si>
    <t>-736.905500512462 167.364695836897 810.574712516151</t>
  </si>
  <si>
    <t>-743.651868373599 -84.7391257617292 310.649369346099</t>
  </si>
  <si>
    <t>-764.902214638535 -94.2529401507541 757.9252775665</t>
  </si>
  <si>
    <t>-625.061711606507 -71.3694624445918 828.694409794796</t>
  </si>
  <si>
    <t>9763-20170724T104647.286212700.bin</t>
  </si>
  <si>
    <t>-795.037382397302 12.649890480863 -94.189709385574</t>
  </si>
  <si>
    <t>-812.970628985865 1.02073876898635 -208.028979431085</t>
  </si>
  <si>
    <t>-846.802325101832 19.3282696583772 -552.937155469459</t>
  </si>
  <si>
    <t>-888.816039187487 148.284131332831 -530.485921710885</t>
  </si>
  <si>
    <t>-907.867784121715 156.259558450745 -236.947877545723</t>
  </si>
  <si>
    <t>-676.645078802394 216.206537901906 -268.464480779369</t>
  </si>
  <si>
    <t>-835.636035500454 100.921275292775 -97.8015857751618</t>
  </si>
  <si>
    <t>-855.877702651578 132.583806213883 303.997400805857</t>
  </si>
  <si>
    <t>-881.899137052788 182.172801368684 748.563053115438</t>
  </si>
  <si>
    <t>-736.923400840692 167.256621273734 810.58617392875</t>
  </si>
  <si>
    <t>-743.722114169354 -84.6846629060217 310.650433259283</t>
  </si>
  <si>
    <t>-764.990204414599 -94.0657359034783 757.924774800508</t>
  </si>
  <si>
    <t>-625.108421820382 -71.4515283985786 828.698856735805</t>
  </si>
  <si>
    <t>9763-20170724T104647.348310000.bin</t>
  </si>
  <si>
    <t>-795.077424064527 12.3918060119504 -94.1863472500852</t>
  </si>
  <si>
    <t>-813.05395768684 0.741460694862781 -208.016561939991</t>
  </si>
  <si>
    <t>-847.12080784491 18.9275725820257 -552.910502478284</t>
  </si>
  <si>
    <t>-889.300072526081 147.836097004038 -530.526858871577</t>
  </si>
  <si>
    <t>-909.084996167983 155.990440611147 -237.042216058993</t>
  </si>
  <si>
    <t>-677.77302323624 215.559270658796 -268.620517606022</t>
  </si>
  <si>
    <t>-835.80785382334 100.700192573935 -97.7843202042044</t>
  </si>
  <si>
    <t>-855.900819775312 132.370626888993 304.021556655404</t>
  </si>
  <si>
    <t>-881.88219726847 182.007898552648 748.584302379304</t>
  </si>
  <si>
    <t>-736.886662523347 167.255308767908 810.600118523659</t>
  </si>
  <si>
    <t>-743.72951577284 -84.8090396377612 310.647863504561</t>
  </si>
  <si>
    <t>-764.94384962131 -94.1657880154556 757.919167758483</t>
  </si>
  <si>
    <t>-625.160615948923 -70.9389394410031 828.68966381949</t>
  </si>
  <si>
    <t>9763-20170724T104647.381399300.bin</t>
  </si>
  <si>
    <t>-795.08858035397 12.2883326473573 -94.1909455497428</t>
  </si>
  <si>
    <t>-813.085696551082 0.623588415237236 -208.016485179967</t>
  </si>
  <si>
    <t>-847.257193782792 18.7782806828736 -552.901847908379</t>
  </si>
  <si>
    <t>-889.560336061939 147.649615923756 -530.53972551507</t>
  </si>
  <si>
    <t>-909.734544454704 155.790291938157 -237.081099710953</t>
  </si>
  <si>
    <t>-678.369251654691 215.162102059775 -268.640204601012</t>
  </si>
  <si>
    <t>-835.865009464078 100.587567105974 -97.7838499487203</t>
  </si>
  <si>
    <t>-855.862930404358 132.277557758536 304.02513162464</t>
  </si>
  <si>
    <t>-881.867113837364 181.902096005288 748.589130185561</t>
  </si>
  <si>
    <t>-736.871595433587 167.173217931726 810.61054583057</t>
  </si>
  <si>
    <t>-743.720755646769 -84.808481988095 310.637647116702</t>
  </si>
  <si>
    <t>-764.939227452893 -94.1653291195468 757.916551422617</t>
  </si>
  <si>
    <t>-625.153643942577 -70.9675302915682 828.691916519999</t>
  </si>
  <si>
    <t>9763-20170724T104647.450591200.bin</t>
  </si>
  <si>
    <t>-795.1788744636 12.1825995331969 -94.1935175898042</t>
  </si>
  <si>
    <t>-813.214860848321 0.465010676417023 -208.007489720774</t>
  </si>
  <si>
    <t>-847.61312138417 18.6504465608302 -552.863075782227</t>
  </si>
  <si>
    <t>-890.192244103011 147.434738284032 -530.505068574362</t>
  </si>
  <si>
    <t>-911.170813426061 155.540901605873 -237.101921054808</t>
  </si>
  <si>
    <t>-679.599057431278 214.229674380001 -268.423209245571</t>
  </si>
  <si>
    <t>-836.009661198409 100.36537175875 -97.7858947484318</t>
  </si>
  <si>
    <t>-855.837897215491 132.103244467461 304.027779188157</t>
  </si>
  <si>
    <t>-881.835245105698 181.717909664662 748.583021059362</t>
  </si>
  <si>
    <t>-736.817144544374 167.266766668941 810.616832666567</t>
  </si>
  <si>
    <t>-743.779664017576 -84.6464726948229 310.642714842883</t>
  </si>
  <si>
    <t>-765.069326950646 -93.8846975470417 757.913880042107</t>
  </si>
  <si>
    <t>-625.182378148034 -71.3402620408785 828.700120233824</t>
  </si>
  <si>
    <t>9763-20170724T104647.480669800.bin</t>
  </si>
  <si>
    <t>-795.24157849168 12.0351719078533 -94.2067266920898</t>
  </si>
  <si>
    <t>-813.294236381 0.281415680757164 -208.014285017082</t>
  </si>
  <si>
    <t>-847.79186485009 18.4149365622675 -552.861343940842</t>
  </si>
  <si>
    <t>-890.527182081376 147.147676219348 -530.507983257506</t>
  </si>
  <si>
    <t>-911.841945796393 155.2004267485 -237.127583427737</t>
  </si>
  <si>
    <t>-680.134331496175 213.470302210832 -268.225665811386</t>
  </si>
  <si>
    <t>-836.13700169481 100.178225153976 -97.7946538527118</t>
  </si>
  <si>
    <t>-855.814055095732 131.919319342089 304.02612122321</t>
  </si>
  <si>
    <t>-881.813783010428 181.586106831445 748.578509119892</t>
  </si>
  <si>
    <t>-736.780223298235 167.284378600058 810.611195167165</t>
  </si>
  <si>
    <t>-743.775704917529 -84.7359612866584 310.646960377007</t>
  </si>
  <si>
    <t>-765.030220071981 -93.979702368504 757.916657909239</t>
  </si>
  <si>
    <t>-625.221078862009 -70.923348739112 828.691741483735</t>
  </si>
  <si>
    <t>9763-20170724T104647.550381200.bin</t>
  </si>
  <si>
    <t>-795.507106717036 11.9096689048413 -94.2367204438104</t>
  </si>
  <si>
    <t>-813.564042164448 0.0778034971067427 -208.035563609663</t>
  </si>
  <si>
    <t>-848.271519041681 18.1040892913527 -552.863508477658</t>
  </si>
  <si>
    <t>-891.31067608833 146.738875347799 -530.536604128577</t>
  </si>
  <si>
    <t>-913.331033028305 154.476135310394 -237.199843981874</t>
  </si>
  <si>
    <t>-681.368588084842 211.927861937524 -267.918359585874</t>
  </si>
  <si>
    <t>-836.532731353746 99.9929758605872 -97.8396546640423</t>
  </si>
  <si>
    <t>-855.84397214624 131.758546557711 303.99700287429</t>
  </si>
  <si>
    <t>-881.812466330766 181.558639700864 748.550734161987</t>
  </si>
  <si>
    <t>-736.793790950675 167.152290125153 810.593592304352</t>
  </si>
  <si>
    <t>-743.868325978373 -84.5987649641037 310.643182086717</t>
  </si>
  <si>
    <t>-765.1244119132 -93.7601782807004 757.91463595616</t>
  </si>
  <si>
    <t>-625.25212042423 -71.1458730761314 828.707483140579</t>
  </si>
  <si>
    <t>9763-20170724T104647.586476500.bin</t>
  </si>
  <si>
    <t>-795.667964375386 11.8392047326197 -94.2489895684375</t>
  </si>
  <si>
    <t>-848.561283409976 17.9296032737891 -552.858287390305</t>
  </si>
  <si>
    <t>-891.714677682548 146.528044334735 -530.541287967981</t>
  </si>
  <si>
    <t>-914.163368327166 154.160307314178 -237.234281680026</t>
  </si>
  <si>
    <t>-682.083543305764 211.215162408361 -267.80499145593</t>
  </si>
  <si>
    <t>-836.789125706281 99.863036873347 -97.8644222221878</t>
  </si>
  <si>
    <t>-855.871336599298 131.677031853488 303.979361484685</t>
  </si>
  <si>
    <t>-881.81250742784 181.553629817692 748.531110370511</t>
  </si>
  <si>
    <t>-736.800254387583 167.103197341216 810.579175065182</t>
  </si>
  <si>
    <t>-743.929326434475 -84.52573089318 310.634367084116</t>
  </si>
  <si>
    <t>-765.158503359741 -93.6825633415745 757.911259731012</t>
  </si>
  <si>
    <t>-625.306152929527 -70.9508999105047 828.70598598303</t>
  </si>
  <si>
    <t>9763-20170724T104647.650153600.bin</t>
  </si>
  <si>
    <t>-796.003042087794 11.5431665869469 -94.2739172139076</t>
  </si>
  <si>
    <t>-849.2781483447 17.3549850022839 -552.835949470603</t>
  </si>
  <si>
    <t>-892.712654926972 145.869924487751 -530.565857966878</t>
  </si>
  <si>
    <t>-915.807793149454 153.571924205341 -237.310907777305</t>
  </si>
  <si>
    <t>-683.515933162928 209.935843911595 -267.550334150193</t>
  </si>
  <si>
    <t>-837.30070533167 99.4304865538891 -97.9122889874375</t>
  </si>
  <si>
    <t>-855.974092140375 131.383132825987 303.93972701392</t>
  </si>
  <si>
    <t>-881.789105725945 181.429760998293 748.479136860623</t>
  </si>
  <si>
    <t>-736.76775706531 167.106005197376 810.53508539541</t>
  </si>
  <si>
    <t>-744.016067778711 -84.4730689725662 310.629270303142</t>
  </si>
  <si>
    <t>-765.215588130844 -93.5515095401539 757.910551462873</t>
  </si>
  <si>
    <t>-625.32236373666 -71.1088531908503 828.716719837504</t>
  </si>
  <si>
    <t>9763-20170724T104647.683241400.bin</t>
  </si>
  <si>
    <t>-796.154692649037 11.3003290400579 -94.3007493978205</t>
  </si>
  <si>
    <t>-849.600441599477 16.9519764088363 -552.84588343031</t>
  </si>
  <si>
    <t>-893.21327136165 145.408971225912 -530.598569423871</t>
  </si>
  <si>
    <t>-916.536655918968 153.260618549057 -237.365688100102</t>
  </si>
  <si>
    <t>-684.164572484613 209.354374477926 -267.49233679131</t>
  </si>
  <si>
    <t>-837.547477260172 99.1836284688682 -97.9461457338107</t>
  </si>
  <si>
    <t>-856.068787686393 131.215526447724 303.906502317354</t>
  </si>
  <si>
    <t>-881.767279616352 181.387203971909 748.434671900037</t>
  </si>
  <si>
    <t>-736.747009595097 167.08773156562 810.498747812507</t>
  </si>
  <si>
    <t>-744.059062161655 -84.5558674521832 310.626745959746</t>
  </si>
  <si>
    <t>-765.210262612509 -93.5745779972071 757.915075051091</t>
  </si>
  <si>
    <t>-625.358883211859 -70.8498164352961 828.713890611266</t>
  </si>
  <si>
    <t>9763-20170724T104647.751983800.bin</t>
  </si>
  <si>
    <t>-796.505050297088 10.752423793793 -94.328707894775</t>
  </si>
  <si>
    <t>-850.276571837091 16.1174450007129 -552.837928451726</t>
  </si>
  <si>
    <t>-894.21841436371 144.462876687144 -530.618424739959</t>
  </si>
  <si>
    <t>-917.732671438584 152.688842058799 -237.410981844763</t>
  </si>
  <si>
    <t>-685.231729115281 208.329909992632 -267.381410152266</t>
  </si>
  <si>
    <t>-838.087320911486 98.5632157675741 -97.9917376398404</t>
  </si>
  <si>
    <t>-856.359518219339 130.864155301846 303.850891672979</t>
  </si>
  <si>
    <t>-881.737422658692 181.337217986899 748.35803512476</t>
  </si>
  <si>
    <t>-736.724802952417 167.021629579521 810.436116258814</t>
  </si>
  <si>
    <t>-744.205890356869 -84.6920309384413 310.622738073949</t>
  </si>
  <si>
    <t>-765.22516375856 -93.5268063360325 757.921798573544</t>
  </si>
  <si>
    <t>-625.351453684012 -70.9503352884295 828.724051485579</t>
  </si>
  <si>
    <t>9763-20170724T104647.783074400.bin</t>
  </si>
  <si>
    <t>-796.757007054913 10.5026995585251 -94.3394656245802</t>
  </si>
  <si>
    <t>-850.659481528986 15.7365431253886 -552.834432424188</t>
  </si>
  <si>
    <t>-894.763873064788 144.026422044152 -530.608503587136</t>
  </si>
  <si>
    <t>-918.234166683281 152.297908027071 -237.3989430775</t>
  </si>
  <si>
    <t>-685.728912530529 207.881218216991 -267.443742194398</t>
  </si>
  <si>
    <t>-838.42683472552 98.1853012333459 -98.0121900515487</t>
  </si>
  <si>
    <t>-856.546576182513 130.65433322615 303.823696553428</t>
  </si>
  <si>
    <t>-881.713232800471 181.221573955585 748.327818261793</t>
  </si>
  <si>
    <t>-736.684135836887 167.082702810039 810.408225905933</t>
  </si>
  <si>
    <t>-744.389652370387 -84.6622047128596 310.621100180797</t>
  </si>
  <si>
    <t>-765.33977162024 -93.2884159709201 757.926405768604</t>
  </si>
  <si>
    <t>-625.40894077481 -71.0748950597865 828.730521361972</t>
  </si>
  <si>
    <t>9763-20170724T104647.851783600.bin</t>
  </si>
  <si>
    <t>-797.174580592456 9.6943687128346 -94.3412459623083</t>
  </si>
  <si>
    <t>-851.441774118962 14.7294175111306 -552.794362594818</t>
  </si>
  <si>
    <t>-895.8402888819 142.910176441791 -530.526413387374</t>
  </si>
  <si>
    <t>-919.165463166393 151.0668500808 -237.301893340957</t>
  </si>
  <si>
    <t>-686.737509082482 206.749132375259 -267.758035853786</t>
  </si>
  <si>
    <t>-839.049184300477 97.3582960024451 -98.0342775186595</t>
  </si>
  <si>
    <t>-856.853700289208 130.151383964621 303.789403369187</t>
  </si>
  <si>
    <t>-881.714974910045 181.172899711824 748.280011645822</t>
  </si>
  <si>
    <t>-736.691402609749 167.007924395634 810.367316653989</t>
  </si>
  <si>
    <t>-744.649835027024 -85.1116413750641 310.637131370547</t>
  </si>
  <si>
    <t>-765.283895245753 -93.453243572971 757.962565658436</t>
  </si>
  <si>
    <t>-625.475588786076 -70.3642475874864 828.728626664669</t>
  </si>
  <si>
    <t>9763-20170724T104647.880862900.bin</t>
  </si>
  <si>
    <t>-797.421275564161 9.31681928149214 -94.3414307343769</t>
  </si>
  <si>
    <t>-851.903136249789 14.2480764085344 -552.76832357676</t>
  </si>
  <si>
    <t>-896.424579758797 142.383211799734 -530.482502684628</t>
  </si>
  <si>
    <t>-919.688532491186 150.59098004775 -237.254527058312</t>
  </si>
  <si>
    <t>-687.281145172597 206.265464006182 -267.881180708773</t>
  </si>
  <si>
    <t>-839.358795644645 96.952147406017 -98.0431117874567</t>
  </si>
  <si>
    <t>-857.005959959485 129.891907856217 303.775583312434</t>
  </si>
  <si>
    <t>-881.702734562104 181.064859332454 748.256784851802</t>
  </si>
  <si>
    <t>-736.672479058325 166.958566921719 810.341732665848</t>
  </si>
  <si>
    <t>-744.825347435535 -85.277994624984 310.647386349837</t>
  </si>
  <si>
    <t>-765.290141037209 -93.453199859468 757.981591096888</t>
  </si>
  <si>
    <t>-625.480135015004 -70.3365787141884 828.735248115311</t>
  </si>
  <si>
    <t>9763-20170724T104647.948548200.bin</t>
  </si>
  <si>
    <t>-797.934115999883 8.58626409392173 -94.3369547301667</t>
  </si>
  <si>
    <t>-852.665917981549 13.4023368472622 -552.721390265956</t>
  </si>
  <si>
    <t>-897.339185628594 141.481802421048 -530.42096346356</t>
  </si>
  <si>
    <t>-920.657275489302 149.881465643708 -237.202867238827</t>
  </si>
  <si>
    <t>-688.246336713669 205.228931676502 -268.390292870417</t>
  </si>
  <si>
    <t>-839.959291589145 96.1441949009932 -98.0586694900968</t>
  </si>
  <si>
    <t>-857.232285783845 129.364177649456 303.753122626719</t>
  </si>
  <si>
    <t>-881.707860050882 180.973458542433 748.202342823579</t>
  </si>
  <si>
    <t>-736.684281213071 166.799883096469 810.287616290823</t>
  </si>
  <si>
    <t>-745.200400836746 -85.5842592773649 310.664669350421</t>
  </si>
  <si>
    <t>-765.280253387387 -93.4921410020488 758.014039701673</t>
  </si>
  <si>
    <t>-625.484038243657 -70.2274715300343 828.746330792283</t>
  </si>
  <si>
    <t>9763-20170724T104647.981636400.bin</t>
  </si>
  <si>
    <t>-798.14638840385 8.17895232254978 -94.3441524396967</t>
  </si>
  <si>
    <t>-852.969674525114 12.9112314705874 -552.714304300213</t>
  </si>
  <si>
    <t>-897.683077151629 140.979915739406 -530.406102828725</t>
  </si>
  <si>
    <t>-921.003671757498 149.442473999528 -237.189943213299</t>
  </si>
  <si>
    <t>-688.598694085429 204.599273819362 -268.757865341392</t>
  </si>
  <si>
    <t>-840.193129749761 95.6882544951259 -98.0632545099492</t>
  </si>
  <si>
    <t>-857.338890397752 129.061766116612 303.741321221908</t>
  </si>
  <si>
    <t>-881.701090496593 180.869577425556 748.170446794044</t>
  </si>
  <si>
    <t>-736.661032596752 166.840031412728 810.250017101622</t>
  </si>
  <si>
    <t>-745.377687051359 -85.7284021365984 310.672916841751</t>
  </si>
  <si>
    <t>-765.362661165452 -93.3346626655321 758.032814733496</t>
  </si>
  <si>
    <t>-625.549762040902 -70.1387154841505 828.754621933347</t>
  </si>
  <si>
    <t>9763-20170724T104648.050390700.bin</t>
  </si>
  <si>
    <t>-798.549425151185 7.38595366086065 -94.3422332279081</t>
  </si>
  <si>
    <t>-853.545567420275 11.9660618454291 -552.689801215272</t>
  </si>
  <si>
    <t>-898.35729056823 139.995572108315 -530.365845009258</t>
  </si>
  <si>
    <t>-921.637011926154 148.548008112325 -237.148909198832</t>
  </si>
  <si>
    <t>-689.294078625436 203.330610999365 -269.805403162571</t>
  </si>
  <si>
    <t>-840.62955754634 94.8440269446221 -98.0689367769004</t>
  </si>
  <si>
    <t>-857.534861019516 128.543842901309 303.718537889115</t>
  </si>
  <si>
    <t>-881.705169936399 180.77918093264 748.103252129282</t>
  </si>
  <si>
    <t>-736.668311038677 166.728143867108 810.185467214754</t>
  </si>
  <si>
    <t>-745.692808343014 -86.0520568851282 310.691462544271</t>
  </si>
  <si>
    <t>-765.3686952031 -93.3440007240546 758.065066459611</t>
  </si>
  <si>
    <t>-625.528605616457 -70.2789587080509 828.776147038569</t>
  </si>
  <si>
    <t>9763-20170724T104648.082469000.bin</t>
  </si>
  <si>
    <t>-798.724223189755 6.92989372961347 -94.3369045845562</t>
  </si>
  <si>
    <t>-853.795769125912 11.4908203067803 -552.672633562597</t>
  </si>
  <si>
    <t>-898.656996335686 139.501494222235 -530.328160551265</t>
  </si>
  <si>
    <t>-921.980251828223 148.262974671737 -237.120915844473</t>
  </si>
  <si>
    <t>-689.621619480154 202.500201840983 -270.567496942327</t>
  </si>
  <si>
    <t>-840.826556674708 94.3888696172328 -98.0684747402886</t>
  </si>
  <si>
    <t>-857.663348246204 128.265173862679 303.707043691525</t>
  </si>
  <si>
    <t>-881.701545327058 180.693224453047 748.072754220834</t>
  </si>
  <si>
    <t>-736.668800511419 166.600253217925 810.155040955897</t>
  </si>
  <si>
    <t>-745.805965448367 -86.3826205643222 310.703975047722</t>
  </si>
  <si>
    <t>-765.263225559951 -93.5756316834475 758.082147993816</t>
  </si>
  <si>
    <t>-625.543414089003 -69.7334463272571 828.773213450701</t>
  </si>
  <si>
    <t>9763-20170724T104648.151658200.bin</t>
  </si>
  <si>
    <t>-799.140969333965 6.26997501802293 -94.341970357732</t>
  </si>
  <si>
    <t>-854.136940147019 10.8186634352674 -552.680957716156</t>
  </si>
  <si>
    <t>-899.162789310946 138.776879624238 -530.368916311033</t>
  </si>
  <si>
    <t>-922.780991360469 148.110120752169 -237.202832996112</t>
  </si>
  <si>
    <t>-690.383988956449 200.809630252411 -272.773867371491</t>
  </si>
  <si>
    <t>-841.266359196292 93.6728111114701 -98.0744799897445</t>
  </si>
  <si>
    <t>-857.877906030278 127.785490506132 303.690451922343</t>
  </si>
  <si>
    <t>-881.700933644867 180.567646466427 748.023344584155</t>
  </si>
  <si>
    <t>-736.647838066834 166.642833186523 810.095813315104</t>
  </si>
  <si>
    <t>-746.160113696151 -86.612851408471 310.698144982637</t>
  </si>
  <si>
    <t>-765.291126462738 -93.5366885249161 758.111908071646</t>
  </si>
  <si>
    <t>-625.492723883541 -70.1506716092373 828.799991045592</t>
  </si>
  <si>
    <t>9763-20170724T104648.180735700.bin</t>
  </si>
  <si>
    <t>-799.265673514125 5.91890387532044 -94.330325365216</t>
  </si>
  <si>
    <t>-854.138592414371 10.4851889003176 -552.674836212139</t>
  </si>
  <si>
    <t>-899.231519648024 138.408144117281 -530.343095678336</t>
  </si>
  <si>
    <t>-923.181917664997 147.777403377304 -237.205259684454</t>
  </si>
  <si>
    <t>-690.788106617127 199.841698371207 -273.719797655593</t>
  </si>
  <si>
    <t>-841.410865802835 93.318822417205 -98.0721517730918</t>
  </si>
  <si>
    <t>-857.901538710845 127.571721030587 303.685805440093</t>
  </si>
  <si>
    <t>-881.706976447077 180.538903175599 748.002524448167</t>
  </si>
  <si>
    <t>-736.658064729093 166.569216860328 810.074703740743</t>
  </si>
  <si>
    <t>-746.242270819463 -86.7813386614266 310.70488453962</t>
  </si>
  <si>
    <t>-765.296578193049 -93.5245406480753 758.122309591805</t>
  </si>
  <si>
    <t>-625.541063005673 -69.8646784737322 828.80405481479</t>
  </si>
  <si>
    <t>9763-20170724T104648.248476600.bin</t>
  </si>
  <si>
    <t>-799.421207750882 5.34750323594972 -94.3175392451983</t>
  </si>
  <si>
    <t>-854.179957863869 9.9633865782946 -552.654543396487</t>
  </si>
  <si>
    <t>-899.468710180754 137.7985692263 -530.184305498127</t>
  </si>
  <si>
    <t>-923.679920130895 146.976530622893 -237.061887382565</t>
  </si>
  <si>
    <t>-691.428185945766 198.325650584454 -275.44536617534</t>
  </si>
  <si>
    <t>-841.614494411025 92.7353502540168 -98.0602616811852</t>
  </si>
  <si>
    <t>-857.918813133708 127.211526205702 303.686221886729</t>
  </si>
  <si>
    <t>-881.732494488424 180.479708139027 747.965564678047</t>
  </si>
  <si>
    <t>-736.677373176468 166.509421896838 810.023299896214</t>
  </si>
  <si>
    <t>-746.398891989114 -86.9489577626528 310.732287673036</t>
  </si>
  <si>
    <t>-765.366497347166 -93.3885647974515 758.145197505203</t>
  </si>
  <si>
    <t>-625.578833370159 -69.9031635924279 828.82168221056</t>
  </si>
  <si>
    <t>9763-20170724T104648.282567700.bin</t>
  </si>
  <si>
    <t>-799.475255881538 5.03697299393866 -94.316928074957</t>
  </si>
  <si>
    <t>-854.188383316964 9.6419195300748 -552.656786668627</t>
  </si>
  <si>
    <t>-899.620866043476 137.417539922292 -530.126312717326</t>
  </si>
  <si>
    <t>-923.780326183178 146.472122810291 -236.995726600691</t>
  </si>
  <si>
    <t>-691.579067304763 197.526878269046 -276.070964520453</t>
  </si>
  <si>
    <t>-841.741574186722 92.4572593627311 -98.0525145493419</t>
  </si>
  <si>
    <t>-857.964942464691 126.990264272762 303.69237998394</t>
  </si>
  <si>
    <t>-881.733027523986 180.402572287441 747.947680648586</t>
  </si>
  <si>
    <t>-736.661096270218 166.570251808859 809.996794643909</t>
  </si>
  <si>
    <t>-746.36731646025 -87.2449306257944 310.736638069786</t>
  </si>
  <si>
    <t>-765.221310072504 -93.7003726313679 758.160206333786</t>
  </si>
  <si>
    <t>-625.597554200236 -69.1818203874279 828.809522393577</t>
  </si>
  <si>
    <t>9763-20170724T104648.347252500.bin</t>
  </si>
  <si>
    <t>-799.74511318956 4.82157827602532 -94.3259434758982</t>
  </si>
  <si>
    <t>-854.398447138379 9.28998996437213 -552.664924828745</t>
  </si>
  <si>
    <t>-900.099569051258 136.947667207253 -530.035680445079</t>
  </si>
  <si>
    <t>-924.204524336572 145.98804804124 -236.900054377131</t>
  </si>
  <si>
    <t>-692.025738542058 196.386435357906 -276.948761929872</t>
  </si>
  <si>
    <t>-842.094530349524 92.0916859392298 -98.0729817975438</t>
  </si>
  <si>
    <t>-858.082937713463 126.821512307967 303.664334834196</t>
  </si>
  <si>
    <t>-881.725442050026 180.297903559426 747.904458306273</t>
  </si>
  <si>
    <t>-736.668838543266 166.350832156145 809.963701723222</t>
  </si>
  <si>
    <t>-746.554661989298 -87.1570353296385 310.734624158068</t>
  </si>
  <si>
    <t>-765.318251413217 -93.4854730393927 758.171413278937</t>
  </si>
  <si>
    <t>-625.524780158988 -69.9879308090083 828.832292119548</t>
  </si>
  <si>
    <t>9763-20170724T104648.379337800.bin</t>
  </si>
  <si>
    <t>-799.80152628897 4.6452975214695 -94.340561838228</t>
  </si>
  <si>
    <t>-854.438104793442 9.02315295819903 -552.679139801468</t>
  </si>
  <si>
    <t>-900.253288394401 136.636890077601 -530.01673547766</t>
  </si>
  <si>
    <t>-924.355854089568 145.740442754712 -236.88297943435</t>
  </si>
  <si>
    <t>-692.111907057749 195.790401703578 -276.990091809904</t>
  </si>
  <si>
    <t>-842.236404225648 91.9092433008816 -98.0949100123471</t>
  </si>
  <si>
    <t>-858.06360763302 126.659384637354 303.647029762243</t>
  </si>
  <si>
    <t>-881.720317070798 180.246034496712 747.880475418541</t>
  </si>
  <si>
    <t>-736.659129970928 166.355347423755 809.941546007466</t>
  </si>
  <si>
    <t>-746.547747600184 -87.2318865299181 310.733033125037</t>
  </si>
  <si>
    <t>-765.29138409213 -93.5269279345868 758.16979884635</t>
  </si>
  <si>
    <t>-625.568709167663 -69.5982885894158 828.825891982064</t>
  </si>
  <si>
    <t>9763-20170724T104648.450064800.bin</t>
  </si>
  <si>
    <t>-799.889074889106 4.41272926453826 -94.3582773895323</t>
  </si>
  <si>
    <t>-854.453752426628 8.55780564235579 -552.70669739367</t>
  </si>
  <si>
    <t>-900.532328434319 136.079717293993 -530.034924903474</t>
  </si>
  <si>
    <t>-924.788658217209 145.195947299998 -236.914188254792</t>
  </si>
  <si>
    <t>-692.466335896496 194.791726772907 -277.132689269617</t>
  </si>
  <si>
    <t>-842.443654085599 91.589866376949 -98.1178087426272</t>
  </si>
  <si>
    <t>-858.058341264762 126.430342470065 303.624640953435</t>
  </si>
  <si>
    <t>-881.714131055245 180.140443004609 747.843250289691</t>
  </si>
  <si>
    <t>-736.646111617198 166.305477720613 809.900877676062</t>
  </si>
  <si>
    <t>-746.592119788975 -87.2203444935939 310.729292405234</t>
  </si>
  <si>
    <t>-765.417121359244 -93.2387170637461 758.170661626758</t>
  </si>
  <si>
    <t>-625.691278605592 -69.3150136711154 828.822213319992</t>
  </si>
  <si>
    <t>9763-20170724T104648.479142600.bin</t>
  </si>
  <si>
    <t>-799.898814781322 4.26652119845721 -94.3613932086032</t>
  </si>
  <si>
    <t>-854.43483489292 8.25360956681834 -552.715815872279</t>
  </si>
  <si>
    <t>-900.652975015865 135.722503376856 -530.050945767333</t>
  </si>
  <si>
    <t>-925.026952904741 144.817248088034 -236.939380169621</t>
  </si>
  <si>
    <t>-692.68403103265 194.282526919588 -277.198789486593</t>
  </si>
  <si>
    <t>-842.517306471631 91.4287701813084 -98.1290187000028</t>
  </si>
  <si>
    <t>-858.079240607586 126.330222705553 303.610160195247</t>
  </si>
  <si>
    <t>-881.714768898265 180.105666189427 747.819616597631</t>
  </si>
  <si>
    <t>-736.645952322226 166.284274221147 809.878511312108</t>
  </si>
  <si>
    <t>-746.515389395581 -87.3806060919471 310.731684315375</t>
  </si>
  <si>
    <t>-765.293789587452 -93.4899199234043 758.172988522366</t>
  </si>
  <si>
    <t>-625.676589383225 -68.9037868574384 828.811834814347</t>
  </si>
  <si>
    <t>9763-20170724T104648.548812800.bin</t>
  </si>
  <si>
    <t>-800.015691689354 4.13045127739565 -94.3808062369461</t>
  </si>
  <si>
    <t>-854.589808948911 7.87821986031781 -552.732148436479</t>
  </si>
  <si>
    <t>-901.106845861484 135.233575436791 -530.044287925021</t>
  </si>
  <si>
    <t>-925.765409869673 144.256996098806 -236.95439246162</t>
  </si>
  <si>
    <t>-693.423716825265 193.641740635447 -277.319067877976</t>
  </si>
  <si>
    <t>-842.739056792648 91.1890882321209 -98.1746768906823</t>
  </si>
  <si>
    <t>-858.058806621396 126.140742039756 303.56947569934</t>
  </si>
  <si>
    <t>-881.695911745343 179.968080593972 747.767609836081</t>
  </si>
  <si>
    <t>-736.60672947557 166.354377302255 809.824873124987</t>
  </si>
  <si>
    <t>-746.519630937521 -87.276590484621 310.726971832802</t>
  </si>
  <si>
    <t>-765.380170479257 -93.2759310756455 758.170332401816</t>
  </si>
  <si>
    <t>-625.712744651734 -68.9940145441545 828.815224462821</t>
  </si>
  <si>
    <t>9763-20170724T104648.580898100.bin</t>
  </si>
  <si>
    <t>-800.037431454094 3.99609208204606 -94.3878850766284</t>
  </si>
  <si>
    <t>-854.611799240654 7.64387787976489 -552.737755170941</t>
  </si>
  <si>
    <t>-901.289559520419 134.937905781847 -530.03862728324</t>
  </si>
  <si>
    <t>-926.159657226111 143.911493750889 -236.964926557208</t>
  </si>
  <si>
    <t>-693.832687754797 193.338796921571 -277.36262663388</t>
  </si>
  <si>
    <t>-842.830191094605 91.0227105294571 -98.1903397525821</t>
  </si>
  <si>
    <t>-858.003278326484 126.003701989409 303.556768929265</t>
  </si>
  <si>
    <t>-881.693371076049 179.918380305023 747.745397751183</t>
  </si>
  <si>
    <t>-736.602486351332 166.320754701769 809.802193787588</t>
  </si>
  <si>
    <t>-746.470816585204 -87.3092891817571 310.728019284209</t>
  </si>
  <si>
    <t>-765.329642144259 -93.3743049747501 758.171441792495</t>
  </si>
  <si>
    <t>-625.674321139992 -69.0179497319635 828.814660887035</t>
  </si>
  <si>
    <t>9763-20170724T104648.647080100.bin</t>
  </si>
  <si>
    <t>-800.16298237017 3.9044748151066 -94.4041093133552</t>
  </si>
  <si>
    <t>-854.700682006118 7.3729265253578 -552.752959822591</t>
  </si>
  <si>
    <t>-901.69318859909 134.552734173258 -530.064970506238</t>
  </si>
  <si>
    <t>-927.0923057 143.363825996908 -237.031618757012</t>
  </si>
  <si>
    <t>-694.738957376373 192.799451214074 -277.267698431995</t>
  </si>
  <si>
    <t>-843.049328905909 90.7917176263632 -98.2041066142391</t>
  </si>
  <si>
    <t>-857.925186855048 125.845573381735 303.547820542331</t>
  </si>
  <si>
    <t>-881.710682141225 179.887305409967 747.710878170378</t>
  </si>
  <si>
    <t>-736.63663295935 166.10763267591 809.766830504533</t>
  </si>
  <si>
    <t>-746.533400974098 -87.1451675263106 310.74397692472</t>
  </si>
  <si>
    <t>-765.487985152671 -93.0161829063571 758.17208848255</t>
  </si>
  <si>
    <t>-625.717372166543 -69.3712113268768 828.828887887918</t>
  </si>
  <si>
    <t>9763-20170724T104648.684178700.bin</t>
  </si>
  <si>
    <t>-800.162315053617 3.69010842438934 -94.3998769236021</t>
  </si>
  <si>
    <t>-854.677927272046 7.10416555409938 -552.748782236001</t>
  </si>
  <si>
    <t>-901.802820592021 134.237238721019 -530.065044962368</t>
  </si>
  <si>
    <t>-927.566652547504 142.893722245789 -237.059037878087</t>
  </si>
  <si>
    <t>-695.207363317417 192.413041952433 -277.157715245606</t>
  </si>
  <si>
    <t>-843.111717780646 90.57499396296 -98.2043943929104</t>
  </si>
  <si>
    <t>-857.907091669624 125.695304120272 303.544686507487</t>
  </si>
  <si>
    <t>-881.719810853005 179.844747604543 747.696955798969</t>
  </si>
  <si>
    <t>-736.636497762748 166.130300629843 809.745516881267</t>
  </si>
  <si>
    <t>-746.462406408988 -87.3647202052847 310.744656703189</t>
  </si>
  <si>
    <t>-765.33889578286 -93.3224188119724 758.178417348186</t>
  </si>
  <si>
    <t>-625.707516711803 -68.8098888022107 828.814838483105</t>
  </si>
  <si>
    <t>9763-20170724T104648.749357800.bin</t>
  </si>
  <si>
    <t>-800.401829240045 3.58723207555818 -94.4092172471413</t>
  </si>
  <si>
    <t>-854.904806357379 6.95930785772748 -552.752346504696</t>
  </si>
  <si>
    <t>-902.254852525013 134.00671774156 -530.062682580752</t>
  </si>
  <si>
    <t>-928.714818478006 142.400997849268 -237.111232333405</t>
  </si>
  <si>
    <t>-696.334595987664 192.049626245994 -276.92740523489</t>
  </si>
  <si>
    <t>-843.395995523184 90.3995890882763 -98.2220071955187</t>
  </si>
  <si>
    <t>-858.090095021521 125.608287218687 303.523087717289</t>
  </si>
  <si>
    <t>-881.740675954329 179.835789079761 747.660225959816</t>
  </si>
  <si>
    <t>-736.677443192752 165.929715608902 809.713151093407</t>
  </si>
  <si>
    <t>-746.656458082667 -87.1992665437706 310.745198999901</t>
  </si>
  <si>
    <t>-765.552722724236 -92.8480860971461 758.181808351863</t>
  </si>
  <si>
    <t>-625.747381521911 -69.3836285457696 828.830088803552</t>
  </si>
  <si>
    <t>9763-20170724T104648.785453900.bin</t>
  </si>
  <si>
    <t>-800.523211308143 3.49692847775054 -94.4186548972558</t>
  </si>
  <si>
    <t>-854.9061329609 6.9456930752342 -552.765407710474</t>
  </si>
  <si>
    <t>-902.384921040354 133.944393095338 -530.083007312491</t>
  </si>
  <si>
    <t>-929.167962705169 142.231071037716 -237.157716612518</t>
  </si>
  <si>
    <t>-696.785391532814 191.955531302314 -276.865371038351</t>
  </si>
  <si>
    <t>-843.55221983228 90.2783904476746 -98.23772038339</t>
  </si>
  <si>
    <t>-858.149290061256 125.526072295015 303.50743092932</t>
  </si>
  <si>
    <t>-881.738527378075 179.774966042706 747.64711142254</t>
  </si>
  <si>
    <t>-736.664703328355 165.959326946053 809.695622232048</t>
  </si>
  <si>
    <t>-746.736944651173 -87.2141822026744 310.738295578707</t>
  </si>
  <si>
    <t>-765.585557114944 -92.7806171198442 758.188746378292</t>
  </si>
  <si>
    <t>-625.819515566178 -69.0510403474239 828.826298033279</t>
  </si>
  <si>
    <t>9763-20170724T104648.849632700.bin</t>
  </si>
  <si>
    <t>-800.828823245044 3.23949179005035 -94.4505639242828</t>
  </si>
  <si>
    <t>-854.771080753195 6.83880256220982 -552.84143693729</t>
  </si>
  <si>
    <t>-902.500835020681 133.748226303152 -530.155662959281</t>
  </si>
  <si>
    <t>-929.725106860829 141.76311355857 -237.263423275131</t>
  </si>
  <si>
    <t>-697.358229912183 191.856795724514 -276.596871437569</t>
  </si>
  <si>
    <t>-843.905438877583 89.9505115505976 -98.2552499459033</t>
  </si>
  <si>
    <t>-858.285362148834 125.311336752644 303.487798862925</t>
  </si>
  <si>
    <t>-881.730272245754 179.652471976854 747.619229846901</t>
  </si>
  <si>
    <t>-736.650565239198 165.933885947519 809.675387029312</t>
  </si>
  <si>
    <t>-746.897722071655 -87.4089695934588 310.738466603764</t>
  </si>
  <si>
    <t>-765.527988032229 -92.9154871038046 758.205666434124</t>
  </si>
  <si>
    <t>-625.787262021565 -68.9665102830589 828.819264469759</t>
  </si>
  <si>
    <t>9763-20170724T104648.882719800.bin</t>
  </si>
  <si>
    <t>-801.043381878336 3.18416353089106 -94.4397611301871</t>
  </si>
  <si>
    <t>-854.752609307441 6.81240358822311 -552.857688012323</t>
  </si>
  <si>
    <t>-902.586178901773 133.683774208708 -530.188617030391</t>
  </si>
  <si>
    <t>-930.03499625206 141.579660397522 -237.314216481882</t>
  </si>
  <si>
    <t>-697.694262234506 191.915631348956 -276.492364268954</t>
  </si>
  <si>
    <t>-844.147888350672 89.8399360212052 -98.2621004883976</t>
  </si>
  <si>
    <t>-858.418942105751 125.253182605172 303.480201859112</t>
  </si>
  <si>
    <t>-881.731220004001 179.622788252595 747.608533125496</t>
  </si>
  <si>
    <t>-736.659870390307 165.841481674018 809.670381280284</t>
  </si>
  <si>
    <t>-747.075791996845 -87.4308625090491 310.73630403825</t>
  </si>
  <si>
    <t>-765.544913432381 -92.8780789415525 758.20914752234</t>
  </si>
  <si>
    <t>-625.785342204828 -69.0252050405536 828.817802906795</t>
  </si>
  <si>
    <t>9763-20170724T104648.950602900.bin</t>
  </si>
  <si>
    <t>-801.462275424261 3.17671205672036 -94.4298292904973</t>
  </si>
  <si>
    <t>-854.793398070783 6.82023582803004 -552.897140279987</t>
  </si>
  <si>
    <t>-902.725028391757 133.65932435833 -530.283112598148</t>
  </si>
  <si>
    <t>-930.670754642073 141.586482086302 -237.456501698669</t>
  </si>
  <si>
    <t>-698.308532130983 192.098402831938 -276.279139069748</t>
  </si>
  <si>
    <t>-844.57068042285 89.7421927772421 -98.2663226596108</t>
  </si>
  <si>
    <t>-858.75981659811 125.286817151297 303.467344258395</t>
  </si>
  <si>
    <t>-881.735671308729 179.561329100383 747.5992385323</t>
  </si>
  <si>
    <t>-736.66838701846 165.768917588023 809.668162526835</t>
  </si>
  <si>
    <t>-747.223352687764 -87.3685734862742 310.719229855696</t>
  </si>
  <si>
    <t>-765.510390479538 -92.9080557895147 758.203396306988</t>
  </si>
  <si>
    <t>-625.75718021101 -69.0497230444007 828.822898365919</t>
  </si>
  <si>
    <t>9763-20170724T104648.983690700.bin</t>
  </si>
  <si>
    <t>-801.581173397771 3.15781313567868 -94.4341936513107</t>
  </si>
  <si>
    <t>-854.757925025498 6.80798959757954 -552.920806534194</t>
  </si>
  <si>
    <t>-902.752928019726 133.636540956631 -530.32116821835</t>
  </si>
  <si>
    <t>-930.957851277522 141.57230145319 -237.519554526361</t>
  </si>
  <si>
    <t>-698.56087305093 192.093239560643 -276.122234222009</t>
  </si>
  <si>
    <t>-844.730710281419 89.7674729361192 -98.2733217176175</t>
  </si>
  <si>
    <t>-858.843392006279 125.29027038953 303.464987589955</t>
  </si>
  <si>
    <t>-881.742032681381 179.549156785972 747.605874661763</t>
  </si>
  <si>
    <t>-736.675498711498 165.733833642416 809.67131403798</t>
  </si>
  <si>
    <t>-747.249473261024 -87.3650882412845 310.707289559658</t>
  </si>
  <si>
    <t>-765.469506730053 -92.9717414102365 758.197466830282</t>
  </si>
  <si>
    <t>-625.762494039688 -68.8537973059838 828.820120418391</t>
  </si>
  <si>
    <t>9763-20170724T104649.048868800.bin</t>
  </si>
  <si>
    <t>-801.755020812598 3.24978913762175 -94.4314639592276</t>
  </si>
  <si>
    <t>-854.625382452488 6.83530254736456 -552.95066308266</t>
  </si>
  <si>
    <t>-902.787323391921 133.589657230138 -530.346190403128</t>
  </si>
  <si>
    <t>-931.44464396518 141.441818682845 -237.58635239564</t>
  </si>
  <si>
    <t>-699.030029232199 192.026551736365 -275.998770404644</t>
  </si>
  <si>
    <t>-844.933117076718 89.7900176110045 -98.2748023535163</t>
  </si>
  <si>
    <t>-858.89732073238 125.319807216273 303.467983651612</t>
  </si>
  <si>
    <t>-881.750052835186 179.472560584599 747.618570549432</t>
  </si>
  <si>
    <t>-736.68354822782 165.624451214123 809.67690392393</t>
  </si>
  <si>
    <t>-747.357228625695 -87.1800313354909 310.708736412629</t>
  </si>
  <si>
    <t>-765.605927454126 -92.657915316341 758.196412874746</t>
  </si>
  <si>
    <t>-625.880295953004 -68.6540875164557 828.821295251245</t>
  </si>
  <si>
    <t>9763-20170724T104649.083962400.bin</t>
  </si>
  <si>
    <t>-801.817261349377 3.27289604803423 -94.4426822329218</t>
  </si>
  <si>
    <t>-854.589981333178 6.83161076370698 -552.974169113044</t>
  </si>
  <si>
    <t>-902.84368932891 133.550974947293 -530.357571713232</t>
  </si>
  <si>
    <t>-931.702482865455 141.307290840462 -237.614989431869</t>
  </si>
  <si>
    <t>-699.293609726497 191.968663451025 -275.960900669387</t>
  </si>
  <si>
    <t>-844.987185484015 89.8225549844276 -98.2740128313009</t>
  </si>
  <si>
    <t>-858.92912712106 125.345003645125 303.470190481481</t>
  </si>
  <si>
    <t>-881.767405827404 179.470281209635 747.62679250979</t>
  </si>
  <si>
    <t>-736.698476342309 165.628375955345 809.681079171983</t>
  </si>
  <si>
    <t>-747.353679787294 -87.1531889316453 310.707896034516</t>
  </si>
  <si>
    <t>-765.555759096825 -92.741394894289 758.194597800026</t>
  </si>
  <si>
    <t>-625.852457563848 -68.6071532400279 828.819092740083</t>
  </si>
  <si>
    <t>9763-20170724T104649.151148300.bin</t>
  </si>
  <si>
    <t>-801.992524224811 3.36104789852834 -94.452272203371</t>
  </si>
  <si>
    <t>-854.615360793704 6.87698400684053 -552.995405112112</t>
  </si>
  <si>
    <t>-903.040322746289 133.532350265378 -530.384456909</t>
  </si>
  <si>
    <t>-932.382793673207 141.021983937364 -237.682975090684</t>
  </si>
  <si>
    <t>-699.96450443 191.770671917175 -275.856505672656</t>
  </si>
  <si>
    <t>-845.223716775209 89.8947864538861 -98.2870601565417</t>
  </si>
  <si>
    <t>-859.065040859075 125.377309199592 303.464193230138</t>
  </si>
  <si>
    <t>-881.770315951988 179.371790638488 747.637095254181</t>
  </si>
  <si>
    <t>-736.696496900926 165.58304593454 809.691505469681</t>
  </si>
  <si>
    <t>-747.402176907613 -87.0928727112999 310.700420779071</t>
  </si>
  <si>
    <t>-765.48821681062 -92.8560357951235 758.195234886872</t>
  </si>
  <si>
    <t>-625.790408993471 -68.6828544268349 828.817293104764</t>
  </si>
  <si>
    <t>9763-20170724T104649.182231900.bin</t>
  </si>
  <si>
    <t>-802.092286687173 3.3974110486995 -94.4643967899855</t>
  </si>
  <si>
    <t>-854.63680677699 6.91555866043313 -553.01209188517</t>
  </si>
  <si>
    <t>-903.143792428871 133.539236948702 -530.405934497308</t>
  </si>
  <si>
    <t>-932.690019577399 140.989068446147 -237.723974214401</t>
  </si>
  <si>
    <t>-700.280737389647 191.809279530289 -275.857272329156</t>
  </si>
  <si>
    <t>-845.369432530622 89.8867789120688 -98.2958849288428</t>
  </si>
  <si>
    <t>-859.138598623534 125.368995888863 303.457863970732</t>
  </si>
  <si>
    <t>-881.765621236959 179.304634122141 747.641182270253</t>
  </si>
  <si>
    <t>-736.688598959679 165.555917452856 809.696756099534</t>
  </si>
  <si>
    <t>-747.436898554833 -87.0154078825747 310.693022988333</t>
  </si>
  <si>
    <t>-765.528135499637 -92.7588173782486 758.192461892947</t>
  </si>
  <si>
    <t>-625.834690631073 -68.56463202385 828.816053617385</t>
  </si>
  <si>
    <t>9763-20170724T104649.251046500.bin</t>
  </si>
  <si>
    <t>-802.271029340867 3.51161746272942 -94.4798160981686</t>
  </si>
  <si>
    <t>-854.767065022326 7.06828435806528 -553.028496253878</t>
  </si>
  <si>
    <t>-903.386348488459 133.651881797809 -530.428799287757</t>
  </si>
  <si>
    <t>-933.172768163661 141.001712979816 -237.768627223456</t>
  </si>
  <si>
    <t>-700.786813385135 192.022028350516 -275.775750092537</t>
  </si>
  <si>
    <t>-845.577783203434 89.890545916953 -98.3103226657778</t>
  </si>
  <si>
    <t>-859.293371911097 125.380464702793 303.444603889669</t>
  </si>
  <si>
    <t>-881.757037123494 179.207297330025 747.647595957113</t>
  </si>
  <si>
    <t>-736.669928045012 165.5787681394 809.706267252488</t>
  </si>
  <si>
    <t>-747.501662795148 -86.8188281661255 310.676986048661</t>
  </si>
  <si>
    <t>-765.577717986806 -92.6169729187731 758.174695414557</t>
  </si>
  <si>
    <t>-625.84336578984 -68.7029860070211 828.812800494258</t>
  </si>
  <si>
    <t>9763-20170724T104649.278117300.bin</t>
  </si>
  <si>
    <t>-802.364781537379 3.60992662693388 -94.4766797562027</t>
  </si>
  <si>
    <t>-854.87075935391 7.20035148313423 -553.021010459614</t>
  </si>
  <si>
    <t>-903.549291169788 133.76241132072 -530.423238131728</t>
  </si>
  <si>
    <t>-933.374893966077 141.062463456505 -237.765857666633</t>
  </si>
  <si>
    <t>-701.017793059161 192.212735509286 -275.774533933537</t>
  </si>
  <si>
    <t>-845.692527782864 89.9635289674959 -98.3099886909763</t>
  </si>
  <si>
    <t>-859.349132955494 125.433024964164 303.448751369863</t>
  </si>
  <si>
    <t>-881.758078601085 179.183459847264 747.655682597828</t>
  </si>
  <si>
    <t>-736.670862864034 165.563642695299 809.71606183945</t>
  </si>
  <si>
    <t>-747.555175081128 -86.7096425346981 310.666477036234</t>
  </si>
  <si>
    <t>-765.653402177027 -92.4373425446489 758.168655584398</t>
  </si>
  <si>
    <t>-625.918300415283 -68.5298876789614 828.807394113228</t>
  </si>
  <si>
    <t>9763-20170724T104649.351317800.bin</t>
  </si>
  <si>
    <t>-802.493479840334 3.75030954124759 -94.4727385179359</t>
  </si>
  <si>
    <t>-855.096213952947 7.39347298083658 -552.997320604212</t>
  </si>
  <si>
    <t>-903.863095724895 133.915386427261 -530.381063671032</t>
  </si>
  <si>
    <t>-933.696436409225 141.050912601179 -237.720373832364</t>
  </si>
  <si>
    <t>-701.377300597633 192.356415091782 -275.752283819319</t>
  </si>
  <si>
    <t>-845.861279780882 90.1349408018821 -98.3160351225434</t>
  </si>
  <si>
    <t>-859.414522956016 125.530947258309 303.452677737535</t>
  </si>
  <si>
    <t>-881.78099062551 179.200155767043 747.676189689811</t>
  </si>
  <si>
    <t>-736.716415980105 165.362882839428 809.741511739888</t>
  </si>
  <si>
    <t>-747.510419111422 -86.6521994737222 310.660028676753</t>
  </si>
  <si>
    <t>-765.565516859513 -92.5797462560705 758.158492372139</t>
  </si>
  <si>
    <t>-625.887011418201 -68.3393266945171 828.795656179848</t>
  </si>
  <si>
    <t>9763-20170724T104649.382401000.bin</t>
  </si>
  <si>
    <t>-802.501868920596 3.73297682501175 -94.4688455426809</t>
  </si>
  <si>
    <t>-855.204625125118 7.40660762915604 -552.977847362989</t>
  </si>
  <si>
    <t>-904.018053159091 133.910130549049 -530.340576955027</t>
  </si>
  <si>
    <t>-933.805612781354 140.937267024047 -237.672609549299</t>
  </si>
  <si>
    <t>-701.521651710887 192.380320242351 -275.734261302354</t>
  </si>
  <si>
    <t>-845.886363305748 90.1087604615598 -98.3023624967872</t>
  </si>
  <si>
    <t>-859.40053966792 125.470563560627 303.470768588362</t>
  </si>
  <si>
    <t>-881.769202998272 179.099101287226 747.692585777306</t>
  </si>
  <si>
    <t>-736.690337280025 165.401089042564 809.755222976502</t>
  </si>
  <si>
    <t>-747.433678828192 -86.6811560906342 310.655732633892</t>
  </si>
  <si>
    <t>-765.485534296422 -92.7304507155644 758.152358831228</t>
  </si>
  <si>
    <t>-625.89064564773 -67.9987944454062 828.784572040694</t>
  </si>
  <si>
    <t>9763-20170724T104649.455268700.bin</t>
  </si>
  <si>
    <t>-802.547467789223 3.88093747768698 -94.4613341208453</t>
  </si>
  <si>
    <t>-855.520976432808 7.56764557665292 -552.932604034054</t>
  </si>
  <si>
    <t>-904.296713748036 134.069382995348 -530.221587813639</t>
  </si>
  <si>
    <t>-934.149070295834 141.014562624255 -237.558274719777</t>
  </si>
  <si>
    <t>-701.893079168309 192.627688600346 -275.560055507041</t>
  </si>
  <si>
    <t>-845.918207654515 90.200874028639 -98.2859654754502</t>
  </si>
  <si>
    <t>-859.371273758581 125.538069094426 303.491251335477</t>
  </si>
  <si>
    <t>-881.783440229809 179.09740003564 747.716446121496</t>
  </si>
  <si>
    <t>-736.716529861212 165.294699476234 809.783889460453</t>
  </si>
  <si>
    <t>-747.400497445026 -86.3463325009724 310.656234994584</t>
  </si>
  <si>
    <t>-765.622762570293 -92.3959671466534 758.139221588827</t>
  </si>
  <si>
    <t>-625.910438304059 -68.4055889316885 828.795013033759</t>
  </si>
  <si>
    <t>9763-20170724T104649.483344100.bin</t>
  </si>
  <si>
    <t>-802.544817867425 3.94408318145292 -94.4591806257521</t>
  </si>
  <si>
    <t>-855.626875779786 7.64825221902834 -552.913888253251</t>
  </si>
  <si>
    <t>-904.372920514282 134.15452808177 -530.155636619721</t>
  </si>
  <si>
    <t>-934.234036426892 141.116447491573 -237.493647918522</t>
  </si>
  <si>
    <t>-701.971669406111 192.733742639199 -275.451034969809</t>
  </si>
  <si>
    <t>-845.873861475278 90.2686115647673 -98.2888632107678</t>
  </si>
  <si>
    <t>-859.320260879606 125.579733909209 303.490956402674</t>
  </si>
  <si>
    <t>-881.788634603702 179.092359538618 747.721004107052</t>
  </si>
  <si>
    <t>-736.718939916365 165.328376297561 809.790604598916</t>
  </si>
  <si>
    <t>-747.404329543406 -86.2018427916453 310.663532436307</t>
  </si>
  <si>
    <t>-765.720899455377 -92.1636205026226 758.134221928131</t>
  </si>
  <si>
    <t>-625.956651240054 -68.5133733743454 828.801861161328</t>
  </si>
  <si>
    <t>9763-20170724T104649.549526100.bin</t>
  </si>
  <si>
    <t>-802.558094363888 3.96420343302111 -94.4410639896915</t>
  </si>
  <si>
    <t>-855.822574551615 7.695823007728 -552.876688621875</t>
  </si>
  <si>
    <t>-904.514862641974 134.218202358088 -530.074279660054</t>
  </si>
  <si>
    <t>-934.529406491143 141.053081846347 -237.42508800312</t>
  </si>
  <si>
    <t>-702.286261779603 192.697061143871 -275.462605638524</t>
  </si>
  <si>
    <t>-845.83042544896 90.3519813817502 -98.2632149174724</t>
  </si>
  <si>
    <t>-859.261451095128 125.586908804718 303.523731189992</t>
  </si>
  <si>
    <t>-881.806978776489 179.084592952935 747.753197073667</t>
  </si>
  <si>
    <t>-736.758463413809 165.108302158637 809.824703814</t>
  </si>
  <si>
    <t>-747.355088114934 -86.2188565489398 310.664548604091</t>
  </si>
  <si>
    <t>-765.658733174497 -92.2811790528771 758.143579137451</t>
  </si>
  <si>
    <t>-625.937096814167 -68.3464722643477 828.799778078678</t>
  </si>
  <si>
    <t>9763-20170724T104649.579606500.bin</t>
  </si>
  <si>
    <t>-802.60349583199 3.94018638444231 -94.4244127733276</t>
  </si>
  <si>
    <t>-855.99929388658 7.71807225427915 -552.841611104054</t>
  </si>
  <si>
    <t>-904.724968351389 134.214788532308 -529.986703866332</t>
  </si>
  <si>
    <t>-934.732979796751 140.959973507643 -237.334695558649</t>
  </si>
  <si>
    <t>-702.500021783955 192.602770548965 -275.436706579457</t>
  </si>
  <si>
    <t>-845.809590478181 90.2847027416215 -98.2373755664912</t>
  </si>
  <si>
    <t>-859.246707937531 125.543137693428 303.547376815984</t>
  </si>
  <si>
    <t>-881.799228299788 178.9703950841 747.773323434349</t>
  </si>
  <si>
    <t>-736.723047966914 165.251097281262 809.837440817618</t>
  </si>
  <si>
    <t>-747.373423010704 -86.1959749123138 310.667257574475</t>
  </si>
  <si>
    <t>-765.701891375216 -92.1786970864102 758.14131011516</t>
  </si>
  <si>
    <t>-625.96803509981 -68.3238387522676 828.800266514411</t>
  </si>
  <si>
    <t>9763-20170724T104649.652327100.bin</t>
  </si>
  <si>
    <t>-802.685690117799 3.84960256902059 -94.4061337851597</t>
  </si>
  <si>
    <t>-856.174981636153 7.87284935063144 -552.780725813868</t>
  </si>
  <si>
    <t>-905.050644238635 134.29371066076 -529.842973512998</t>
  </si>
  <si>
    <t>-935.284580489936 140.577590011367 -237.203942988795</t>
  </si>
  <si>
    <t>-703.14352381764 192.516144499913 -275.463666738901</t>
  </si>
  <si>
    <t>-845.935133862729 90.213715913826 -98.2101184837203</t>
  </si>
  <si>
    <t>-859.314346640291 125.453328189372 303.578140586769</t>
  </si>
  <si>
    <t>-881.81530032733 178.908865357967 747.806169122988</t>
  </si>
  <si>
    <t>-736.737841515217 165.154717143547 809.859760305995</t>
  </si>
  <si>
    <t>-747.420299426445 -86.1817592926423 310.670869960037</t>
  </si>
  <si>
    <t>-765.692646101719 -92.1808110310566 758.146681910714</t>
  </si>
  <si>
    <t>-625.975574745064 -68.2286022499178 828.805850902931</t>
  </si>
  <si>
    <t>9763-20170724T104649.683411000.bin</t>
  </si>
  <si>
    <t>-802.787678776885 3.84486854101624 -94.4223700093723</t>
  </si>
  <si>
    <t>-856.287141257463 7.92594017435908 -552.782745626829</t>
  </si>
  <si>
    <t>-905.252041111052 134.310086001325 -529.797482356584</t>
  </si>
  <si>
    <t>-935.593351076623 140.458490531185 -237.16654315291</t>
  </si>
  <si>
    <t>-703.496119344262 192.578638119928 -275.444807827663</t>
  </si>
  <si>
    <t>-846.064516920294 90.1753086426211 -98.2063704488586</t>
  </si>
  <si>
    <t>-859.40915478218 125.449526482951 303.580080052455</t>
  </si>
  <si>
    <t>-881.826385930368 178.897049591579 747.813771074828</t>
  </si>
  <si>
    <t>-736.750304868964 165.112917334526 809.863854581471</t>
  </si>
  <si>
    <t>-747.443053304965 -86.0731806354627 310.668770029989</t>
  </si>
  <si>
    <t>-765.693487493557 -92.1627771426691 758.149279775052</t>
  </si>
  <si>
    <t>-625.904004372363 -68.655578859428 828.814812037912</t>
  </si>
  <si>
    <t>9763-20170724T104649.748647300.bin</t>
  </si>
  <si>
    <t>-802.973579715348 3.71359251348258 -94.4285529827466</t>
  </si>
  <si>
    <t>-856.708206368604 7.70216126428136 -552.761225637999</t>
  </si>
  <si>
    <t>-905.728380228842 134.055678798829 -529.728320586204</t>
  </si>
  <si>
    <t>-936.454677282955 140.204266521398 -237.137693161177</t>
  </si>
  <si>
    <t>-704.345890482469 192.374327149839 -275.277316115652</t>
  </si>
  <si>
    <t>-846.374478087422 90.070068799118 -98.2113587647175</t>
  </si>
  <si>
    <t>-859.579193857657 125.389081182853 303.575767851278</t>
  </si>
  <si>
    <t>-881.843074532537 178.899700862504 747.824300711303</t>
  </si>
  <si>
    <t>-736.781686510543 164.994265601642 809.881825972725</t>
  </si>
  <si>
    <t>-747.409027315887 -86.0497472696733 310.652041825416</t>
  </si>
  <si>
    <t>-765.666898117481 -92.1730673002322 758.13613940357</t>
  </si>
  <si>
    <t>-625.959025432402 -68.1971017053706 828.805622352334</t>
  </si>
  <si>
    <t>9763-20170724T104649.780732700.bin</t>
  </si>
  <si>
    <t>-803.078001418602 3.60094707982375 -94.4153121609741</t>
  </si>
  <si>
    <t>-857.021502327705 7.39991391877311 -552.730192935072</t>
  </si>
  <si>
    <t>-906.07114016569 133.743360267055 -529.692224863029</t>
  </si>
  <si>
    <t>-936.900662813266 139.970382512937 -237.113956072928</t>
  </si>
  <si>
    <t>-704.789018090014 192.061789211231 -275.344127730443</t>
  </si>
  <si>
    <t>-846.519030363378 89.9294904237877 -98.2070911713614</t>
  </si>
  <si>
    <t>-859.682956382364 125.348678466694 303.572560296465</t>
  </si>
  <si>
    <t>-881.846518199449 178.870375698893 747.826053292222</t>
  </si>
  <si>
    <t>-736.779242674748 165.037430602853 809.885764980514</t>
  </si>
  <si>
    <t>-747.450172283066 -86.0922481701459 310.65555561322</t>
  </si>
  <si>
    <t>-765.646292954989 -92.1921791127011 758.136909236833</t>
  </si>
  <si>
    <t>-625.979008703066 -67.9773980036115 828.805059779324</t>
  </si>
  <si>
    <t>9763-20170724T104649.852934200.bin</t>
  </si>
  <si>
    <t>-803.332547114603 3.45712643656498 -94.3980805681214</t>
  </si>
  <si>
    <t>-857.883732328342 6.97629318398344 -552.638773420621</t>
  </si>
  <si>
    <t>-907.129010417462 133.251932085231 -529.620659892562</t>
  </si>
  <si>
    <t>-938.073089899689 139.334181607438 -237.051592799687</t>
  </si>
  <si>
    <t>-706.007635759593 191.437824034721 -275.544238267013</t>
  </si>
  <si>
    <t>-846.811655740314 89.7177771355784 -98.198234418515</t>
  </si>
  <si>
    <t>-859.760516437051 125.177616595877 303.584761315309</t>
  </si>
  <si>
    <t>-881.836696821878 178.699175958754 747.839282149039</t>
  </si>
  <si>
    <t>-736.751018516546 165.027280748131 809.891620503223</t>
  </si>
  <si>
    <t>-747.645631566021 -85.9996914120176 310.665379720286</t>
  </si>
  <si>
    <t>-765.777717741001 -91.8847652464744 758.144428110202</t>
  </si>
  <si>
    <t>-626.001077134407 -68.3514454379048 828.826638165455</t>
  </si>
  <si>
    <t>9763-20170724T104649.881008600.bin</t>
  </si>
  <si>
    <t>-803.406061019817 3.32648427214167 -94.3976985174228</t>
  </si>
  <si>
    <t>-858.296043807791 6.68131802280823 -552.595905718854</t>
  </si>
  <si>
    <t>-907.661155839463 132.903740663841 -529.621789138729</t>
  </si>
  <si>
    <t>-938.870776372667 138.975459180674 -237.080818095011</t>
  </si>
  <si>
    <t>-706.833576256407 191.099640976738 -275.715440939344</t>
  </si>
  <si>
    <t>-846.952810441777 89.6224421307854 -98.1989776512936</t>
  </si>
  <si>
    <t>-859.760476086817 125.063561548872 303.590232226294</t>
  </si>
  <si>
    <t>-881.842296053267 178.665860052779 747.841008929171</t>
  </si>
  <si>
    <t>-736.761163172194 164.954531931431 809.89543856908</t>
  </si>
  <si>
    <t>-747.617796768769 -86.0666239840265 310.656633126025</t>
  </si>
  <si>
    <t>-765.711445611694 -92.0111696394582 758.144999663519</t>
  </si>
  <si>
    <t>-626.019651047496 -67.9497742792857 828.817137870023</t>
  </si>
  <si>
    <t>9763-20170724T104649.947692700.bin</t>
  </si>
  <si>
    <t>-803.588619915536 2.98324652302927 -94.413791008589</t>
  </si>
  <si>
    <t>-859.421243654781 6.25805989258765 -552.471236549619</t>
  </si>
  <si>
    <t>-908.850750869762 132.446055662845 -529.456764152748</t>
  </si>
  <si>
    <t>-940.940641291364 138.474181497987 -237.009938877851</t>
  </si>
  <si>
    <t>-708.859746855754 190.449849895633 -275.582960745798</t>
  </si>
  <si>
    <t>-847.225966331048 89.2263001675328 -98.1907585119156</t>
  </si>
  <si>
    <t>-859.676614437897 124.765614191424 303.600989955782</t>
  </si>
  <si>
    <t>-881.842234242747 178.569828454171 747.829811912953</t>
  </si>
  <si>
    <t>-736.751556140018 164.979951637041 809.888632901454</t>
  </si>
  <si>
    <t>-747.605778840235 -85.9915156393267 310.670385361162</t>
  </si>
  <si>
    <t>-765.738918027568 -91.9194452916014 758.146683317177</t>
  </si>
  <si>
    <t>-626.005499310469 -68.1240196118926 828.826584237516</t>
  </si>
  <si>
    <t>9763-20170724T104649.984791600.bin</t>
  </si>
  <si>
    <t>-803.752203097798 2.83363351094613 -94.4089433256547</t>
  </si>
  <si>
    <t>-859.995753551056 6.12032149755737 -552.395750077446</t>
  </si>
  <si>
    <t>-909.466546361498 132.286639000943 -529.312106207745</t>
  </si>
  <si>
    <t>-942.014693299198 138.198992897946 -236.913519521689</t>
  </si>
  <si>
    <t>-709.935905939008 190.268553165864 -275.372199045342</t>
  </si>
  <si>
    <t>-847.4477707275 89.03271312216 -98.2002748379242</t>
  </si>
  <si>
    <t>-859.603486879483 124.591746215733 303.598708310935</t>
  </si>
  <si>
    <t>-881.840887861319 178.508576457217 747.818476959726</t>
  </si>
  <si>
    <t>-736.754069978207 164.902176666062 809.882757805944</t>
  </si>
  <si>
    <t>-747.642459539631 -85.9267004719294 310.680653464707</t>
  </si>
  <si>
    <t>-765.845646289511 -91.6799190219301 758.148872188234</t>
  </si>
  <si>
    <t>-626.066198975776 -68.1756801564496 828.835046445734</t>
  </si>
  <si>
    <t>9763-20170724T104650.047489700.bin</t>
  </si>
  <si>
    <t>-804.047814421315 2.40510035966463 -94.4331151595246</t>
  </si>
  <si>
    <t>-861.036825187456 5.73260775244103 -552.296025613867</t>
  </si>
  <si>
    <t>-910.542868307795 131.860684780844 -529.068608513326</t>
  </si>
  <si>
    <t>-943.866967005409 137.099388792031 -236.744612049043</t>
  </si>
  <si>
    <t>-711.862784378485 189.759628717609 -274.84709484171</t>
  </si>
  <si>
    <t>-847.840418916514 88.5898446213193 -98.2156354874982</t>
  </si>
  <si>
    <t>-859.493607581802 124.225082425343 303.591540721738</t>
  </si>
  <si>
    <t>-881.8517193434 178.464325580897 747.784464982416</t>
  </si>
  <si>
    <t>-736.76597584077 164.860339152439 809.851652984295</t>
  </si>
  <si>
    <t>-747.650822092383 -86.0665055443619 310.685519344423</t>
  </si>
  <si>
    <t>-765.745841584778 -91.8627677309221 758.156522650745</t>
  </si>
  <si>
    <t>-626.041294590522 -67.903170656763 828.838025518856</t>
  </si>
  <si>
    <t>9763-20170724T104650.079583600.bin</t>
  </si>
  <si>
    <t>-804.190569590387 2.18240157818946 -94.4294714255171</t>
  </si>
  <si>
    <t>-861.526039184589 5.50031993092921 -552.24076041715</t>
  </si>
  <si>
    <t>-911.051295921998 131.620406154492 -528.995615872072</t>
  </si>
  <si>
    <t>-944.77862694671 136.499723157803 -236.71167933729</t>
  </si>
  <si>
    <t>-712.760570762053 189.321704265487 -274.504956330681</t>
  </si>
  <si>
    <t>-847.991925784243 88.3262964888499 -98.2159425144595</t>
  </si>
  <si>
    <t>-859.448399271189 124.047827330672 303.589278791833</t>
  </si>
  <si>
    <t>-881.838254340305 178.341365394305 747.766225414338</t>
  </si>
  <si>
    <t>-736.745292213238 164.817750544017 809.834314751526</t>
  </si>
  <si>
    <t>-747.724670673779 -86.0741625765737 310.688103450278</t>
  </si>
  <si>
    <t>-765.824676807469 -91.697139643589 758.164458679228</t>
  </si>
  <si>
    <t>-626.106838624262 -67.7968114899668 828.839796407605</t>
  </si>
  <si>
    <t>9763-20170724T104650.148275200.bin</t>
  </si>
  <si>
    <t>-804.42938940041 1.66340561487277 -94.409983896775</t>
  </si>
  <si>
    <t>-862.283285269653 4.91293144066412 -552.144001941136</t>
  </si>
  <si>
    <t>-911.832479459315 131.010221637762 -528.846759279844</t>
  </si>
  <si>
    <t>-946.662462831862 135.468333657469 -236.685430960785</t>
  </si>
  <si>
    <t>-714.545034223671 188.374553233916 -273.74333017214</t>
  </si>
  <si>
    <t>-848.22303739398 87.8113490744684 -98.214356159671</t>
  </si>
  <si>
    <t>-859.327291478904 123.684135119465 303.58720555112</t>
  </si>
  <si>
    <t>-881.832042933887 178.23534278085 747.726436482233</t>
  </si>
  <si>
    <t>-736.723098822765 164.876265041732 809.792921184669</t>
  </si>
  <si>
    <t>-747.766169245721 -86.2965305318535 310.699869252203</t>
  </si>
  <si>
    <t>-765.718143933281 -91.9190948343478 758.178555960173</t>
  </si>
  <si>
    <t>-626.061818086073 -67.6139668048945 828.837390707379</t>
  </si>
  <si>
    <t>9763-20170724T104650.183368700.bin</t>
  </si>
  <si>
    <t>-804.510080084688 1.39144384486485 -94.4155534597031</t>
  </si>
  <si>
    <t>-862.606439559581 4.59533562255706 -552.113838428662</t>
  </si>
  <si>
    <t>-912.18664965357 130.678755654361 -528.808331248522</t>
  </si>
  <si>
    <t>-947.700963676557 134.967236960353 -236.726957804177</t>
  </si>
  <si>
    <t>-715.525926055999 187.912166069098 -273.367023090973</t>
  </si>
  <si>
    <t>-848.337824336458 87.5787485499693 -98.2195119379355</t>
  </si>
  <si>
    <t>-859.257370017517 123.507447439863 303.582111332055</t>
  </si>
  <si>
    <t>-881.837666065152 178.227966452162 747.705698609314</t>
  </si>
  <si>
    <t>-736.743148833282 164.732718879761 809.776267445651</t>
  </si>
  <si>
    <t>-747.738149840894 -86.4185530129362 310.695759964855</t>
  </si>
  <si>
    <t>-765.662743964874 -92.0266882615114 758.180903822907</t>
  </si>
  <si>
    <t>-626.05731799395 -67.4158441240563 828.834548384937</t>
  </si>
  <si>
    <t>9763-20170724T104650.252576500.bin</t>
  </si>
  <si>
    <t>-804.712747643493 0.923941350768928 -94.4148363436292</t>
  </si>
  <si>
    <t>-863.306006094951 4.052965759068 -552.049151357836</t>
  </si>
  <si>
    <t>-913.008176369176 130.093934590155 -528.773900976356</t>
  </si>
  <si>
    <t>-949.689098816444 134.108270596436 -236.832863290602</t>
  </si>
  <si>
    <t>-717.498036308989 187.407488814729 -272.852293631422</t>
  </si>
  <si>
    <t>-848.589294964558 87.0562145058082 -98.1946698301022</t>
  </si>
  <si>
    <t>-859.178620984963 123.1751775638 303.598650662666</t>
  </si>
  <si>
    <t>-881.849658502428 178.200573804868 747.670994926537</t>
  </si>
  <si>
    <t>-736.763160242257 164.628708912245 809.74367236374</t>
  </si>
  <si>
    <t>-747.683785802082 -86.4556735043969 310.670696855358</t>
  </si>
  <si>
    <t>-765.705709252123 -91.897365329139 758.165495061666</t>
  </si>
  <si>
    <t>-626.088783748971 -67.4154574794142 828.841186225835</t>
  </si>
  <si>
    <t>9763-20170724T104650.279648700.bin</t>
  </si>
  <si>
    <t>-804.771580732552 0.661773593076987 -94.4032037659027</t>
  </si>
  <si>
    <t>-863.615254782409 3.74754631926362 -552.005231435944</t>
  </si>
  <si>
    <t>-913.417087947791 129.749990735774 -528.742907844524</t>
  </si>
  <si>
    <t>-950.624021693801 133.694324650211 -236.867552287795</t>
  </si>
  <si>
    <t>-718.464027506823 187.270937440989 -272.674697650651</t>
  </si>
  <si>
    <t>-848.685260147735 86.7641249382382 -98.1765496952202</t>
  </si>
  <si>
    <t>-859.160023631372 123.008859867659 303.608536608483</t>
  </si>
  <si>
    <t>-881.85693986546 178.191754602924 747.659674169761</t>
  </si>
  <si>
    <t>-736.770200418816 164.611519166824 809.729909173351</t>
  </si>
  <si>
    <t>-747.666008876501 -86.5153670259227 310.665546059322</t>
  </si>
  <si>
    <t>-765.726005742152 -91.8423875685077 758.165786137889</t>
  </si>
  <si>
    <t>-626.082115759811 -67.5326667086498 828.847560181889</t>
  </si>
  <si>
    <t>9763-20170724T104650.348838200.bin</t>
  </si>
  <si>
    <t>-804.895209340272 0.265496488322697 -94.371982333668</t>
  </si>
  <si>
    <t>-864.096347643704 3.17543005633229 -551.936700259734</t>
  </si>
  <si>
    <t>-914.202118376402 129.066989239568 -528.72470576665</t>
  </si>
  <si>
    <t>-952.357775896186 132.874669167582 -236.969988393948</t>
  </si>
  <si>
    <t>-720.330826911603 187.411451732273 -272.184774533856</t>
  </si>
  <si>
    <t>-848.926047122638 86.3257949628719 -98.1658658991416</t>
  </si>
  <si>
    <t>-859.228212807915 122.731081353204 303.609208903451</t>
  </si>
  <si>
    <t>-881.855109783877 178.091922264485 747.634587134418</t>
  </si>
  <si>
    <t>-736.770814042041 164.497631188691 809.707449917161</t>
  </si>
  <si>
    <t>-747.715897868855 -86.6929693118843 310.676145671074</t>
  </si>
  <si>
    <t>-765.676552518292 -91.9082979180534 758.165178412096</t>
  </si>
  <si>
    <t>-626.069039898985 -67.4227290836417 828.85811520311</t>
  </si>
  <si>
    <t>9763-20170724T104650.380933100.bin</t>
  </si>
  <si>
    <t>-804.973749786473 0.180179766136462 -94.374730398107</t>
  </si>
  <si>
    <t>-864.365897377503 2.95939639059998 -551.922252027437</t>
  </si>
  <si>
    <t>-914.640035475987 128.782000403918 -528.721506911726</t>
  </si>
  <si>
    <t>-953.175771004556 132.582574957452 -237.016502872318</t>
  </si>
  <si>
    <t>-721.082405759736 187.471165969753 -271.233592714612</t>
  </si>
  <si>
    <t>-849.060055462135 86.1872282211368 -98.1758223164454</t>
  </si>
  <si>
    <t>-859.280030998409 122.65354847016 303.595806946051</t>
  </si>
  <si>
    <t>-881.860324994406 178.068978993327 747.616773199177</t>
  </si>
  <si>
    <t>-736.770120726773 164.532435603685 809.688371045738</t>
  </si>
  <si>
    <t>-747.736418867847 -86.7375729499888 310.689070084373</t>
  </si>
  <si>
    <t>-765.663572753555 -91.910244603009 758.165383295605</t>
  </si>
  <si>
    <t>-626.063495923168 -67.4173293597345 828.87058623099</t>
  </si>
  <si>
    <t>9763-20170724T104650.448672300.bin</t>
  </si>
  <si>
    <t>-805.084630600195 0.196559223323902 -94.4127974002949</t>
  </si>
  <si>
    <t>-864.75399505208 2.77402639722072 -551.937154554673</t>
  </si>
  <si>
    <t>-915.276003691953 128.499608935515 -528.752259574294</t>
  </si>
  <si>
    <t>-954.796846588026 132.066661390812 -237.17623137511</t>
  </si>
  <si>
    <t>-722.466392558989 186.995848540697 -269.67519950352</t>
  </si>
  <si>
    <t>-849.319515286464 86.0797139261283 -98.2242446158356</t>
  </si>
  <si>
    <t>-859.457388717089 122.631682050824 303.541630764312</t>
  </si>
  <si>
    <t>-881.858331422903 177.999793167322 747.571994222447</t>
  </si>
  <si>
    <t>-736.765597750839 164.498548594479 809.645604856425</t>
  </si>
  <si>
    <t>-747.768675602424 -86.6948905297826 310.696669383852</t>
  </si>
  <si>
    <t>-765.71096792248 -91.7824339381463 758.17648864663</t>
  </si>
  <si>
    <t>-626.078010083014 -67.5223434329043 828.897037527234</t>
  </si>
  <si>
    <t>9763-20170724T104650.485771500.bin</t>
  </si>
  <si>
    <t>-805.095118786947 0.160955838872496 -94.4328823720873</t>
  </si>
  <si>
    <t>-864.748547089574 2.64261987502209 -551.967003728516</t>
  </si>
  <si>
    <t>-915.398804060581 128.330839448105 -528.799196654266</t>
  </si>
  <si>
    <t>-955.302208694258 131.592376050219 -237.271741381439</t>
  </si>
  <si>
    <t>-722.942257224087 186.664058238996 -269.316306408976</t>
  </si>
  <si>
    <t>-849.421463906781 86.0249889654663 -98.2517854188942</t>
  </si>
  <si>
    <t>-859.509325574098 122.599454289 303.513320484452</t>
  </si>
  <si>
    <t>-881.857783581604 177.953561541977 747.550255818802</t>
  </si>
  <si>
    <t>-736.765649434079 164.44461814831 809.623235351394</t>
  </si>
  <si>
    <t>-747.732123587451 -86.7530628778605 310.69308575588</t>
  </si>
  <si>
    <t>-765.627936370279 -91.9338056981454 758.177672089519</t>
  </si>
  <si>
    <t>-626.052930998031 -67.33828217213 828.896663924163</t>
  </si>
  <si>
    <t>9763-20170724T104650.549961200.bin</t>
  </si>
  <si>
    <t>-805.16280258643 0.284326908774574 -94.4532002590107</t>
  </si>
  <si>
    <t>-864.594336595344 2.59966681244805 -552.040864725923</t>
  </si>
  <si>
    <t>-915.547354773679 128.175994553934 -528.938309383048</t>
  </si>
  <si>
    <t>-956.365833866129 131.209783597846 -237.535087173649</t>
  </si>
  <si>
    <t>-723.996060891386 186.64216161416 -268.878561693191</t>
  </si>
  <si>
    <t>-849.625552492253 86.0644986155141 -98.293941223813</t>
  </si>
  <si>
    <t>-859.774049413116 122.676975003117 303.46618534314</t>
  </si>
  <si>
    <t>-881.868351578445 177.957137956296 747.514540158693</t>
  </si>
  <si>
    <t>-736.771077953109 164.506861083135 809.588233186122</t>
  </si>
  <si>
    <t>-747.686685182694 -86.6773043365828 310.674803581347</t>
  </si>
  <si>
    <t>-765.661625235238 -91.8177577357666 758.173083927287</t>
  </si>
  <si>
    <t>-626.063637498083 -67.3771305890749 828.900437670921</t>
  </si>
  <si>
    <t>9763-20170724T104650.582046200.bin</t>
  </si>
  <si>
    <t>-805.157077618807 0.319558834896952 -94.4612247187102</t>
  </si>
  <si>
    <t>-864.416700494839 2.48937269115936 -552.084576850078</t>
  </si>
  <si>
    <t>-915.538861160504 128.007939205273 -529.053996742429</t>
  </si>
  <si>
    <t>-956.819429846682 131.111224428352 -237.716597553444</t>
  </si>
  <si>
    <t>-724.426161859272 186.738142071429 -268.536353408085</t>
  </si>
  <si>
    <t>-849.683117219249 86.0703998451713 -98.3157158858197</t>
  </si>
  <si>
    <t>-859.885067320747 122.704063882341 303.44111834647</t>
  </si>
  <si>
    <t>-881.858546313305 177.906228225467 747.498205177575</t>
  </si>
  <si>
    <t>-736.753184705841 164.53293435252 809.569812629136</t>
  </si>
  <si>
    <t>-747.611195410688 -86.7025857954413 310.667590258494</t>
  </si>
  <si>
    <t>-765.561398538168 -91.9943892086235 758.161102881999</t>
  </si>
  <si>
    <t>-626.042399348372 -67.1139037611192 828.890911894929</t>
  </si>
  <si>
    <t>9763-20170724T104650.649228600.bin</t>
  </si>
  <si>
    <t>-805.123543982404 0.614927509242989 -94.4777932060013</t>
  </si>
  <si>
    <t>-864.066550398162 2.49122750661013 -552.159413996152</t>
  </si>
  <si>
    <t>-915.437150085282 127.935003196034 -529.276551604838</t>
  </si>
  <si>
    <t>-957.919587966722 131.202753979321 -238.113766310082</t>
  </si>
  <si>
    <t>-725.51378649559 187.309378780899 -267.955270351796</t>
  </si>
  <si>
    <t>-849.800208748985 86.2960693703108 -98.3600190954166</t>
  </si>
  <si>
    <t>-860.053399604112 122.90665143864 303.397702923749</t>
  </si>
  <si>
    <t>-881.883600159201 177.934345893054 747.485549912412</t>
  </si>
  <si>
    <t>-736.794257832789 164.39492337221 809.558580701549</t>
  </si>
  <si>
    <t>-747.57413757546 -86.5245422788469 310.660177303848</t>
  </si>
  <si>
    <t>-765.594443835411 -91.8606276425772 758.147438395727</t>
  </si>
  <si>
    <t>-626.078520463427 -66.9950662783045 828.888610520039</t>
  </si>
  <si>
    <t>9763-20170724T104650.686327100.bin</t>
  </si>
  <si>
    <t>-805.085956640929 0.703221510643971 -94.4987950486623</t>
  </si>
  <si>
    <t>-863.864527368395 2.43441178115609 -552.209926669795</t>
  </si>
  <si>
    <t>-915.342492722482 127.845109376545 -529.39642474775</t>
  </si>
  <si>
    <t>-958.46520402688 131.218766422028 -238.329068950564</t>
  </si>
  <si>
    <t>-726.059583040367 187.547981823601 -267.748855281844</t>
  </si>
  <si>
    <t>-849.82038110118 86.3517249022639 -98.3813215136473</t>
  </si>
  <si>
    <t>-860.080082754782 122.938294605092 303.37831383423</t>
  </si>
  <si>
    <t>-881.891941166942 177.923013067115 747.48035260376</t>
  </si>
  <si>
    <t>-736.798330604416 164.416294215476 809.550603164014</t>
  </si>
  <si>
    <t>-747.523114549279 -86.4620264821601 310.653691574098</t>
  </si>
  <si>
    <t>-765.572640513638 -91.870292418648 758.138634698601</t>
  </si>
  <si>
    <t>-626.053760705249 -67.0397996489831 828.886187589122</t>
  </si>
  <si>
    <t>9763-20170724T104650.750482300.bin</t>
  </si>
  <si>
    <t>-804.991211430151 0.846931166954164 -94.5321272626218</t>
  </si>
  <si>
    <t>-863.53627018165 2.3412002761404 -552.288398008354</t>
  </si>
  <si>
    <t>-915.140160289149 127.714121599607 -529.516491326065</t>
  </si>
  <si>
    <t>-960.058816683796 131.534323743083 -238.726193585763</t>
  </si>
  <si>
    <t>-727.63526413958 188.246814576152 -267.254266136313</t>
  </si>
  <si>
    <t>-849.788472481544 86.4552102459434 -98.4144084448778</t>
  </si>
  <si>
    <t>-860.118390144528 122.98759934485 303.348392186791</t>
  </si>
  <si>
    <t>-881.900280631679 177.808797281828 747.473176683707</t>
  </si>
  <si>
    <t>-736.789785488725 164.4349838658 809.53274677678</t>
  </si>
  <si>
    <t>-747.432973798906 -86.3043893017543 310.636613615678</t>
  </si>
  <si>
    <t>-765.597057012463 -91.7363714478645 758.118257934774</t>
  </si>
  <si>
    <t>-626.100324189065 -66.8339823487487 828.884359442405</t>
  </si>
  <si>
    <t>9763-20170724T104650.781559200.bin</t>
  </si>
  <si>
    <t>-804.963635265476 0.925791078184375 -94.5422857656289</t>
  </si>
  <si>
    <t>-863.303529640478 2.41360755069445 -552.325422378596</t>
  </si>
  <si>
    <t>-915.02617242798 127.742541055856 -529.628076640289</t>
  </si>
  <si>
    <t>-961.051981842075 131.673045232826 -239.012547443628</t>
  </si>
  <si>
    <t>-728.632164358953 188.621046917839 -267.098200511715</t>
  </si>
  <si>
    <t>-849.769050946211 86.5120404880665 -98.4324801649376</t>
  </si>
  <si>
    <t>-860.170472270588 123.038645845884 303.328989288169</t>
  </si>
  <si>
    <t>-881.907680990873 177.774256044821 747.458784400218</t>
  </si>
  <si>
    <t>-736.801314582469 164.384673578343 809.524458234215</t>
  </si>
  <si>
    <t>-747.363237723705 -86.2496626909104 310.628075801748</t>
  </si>
  <si>
    <t>-765.59176207328 -91.7074938575573 758.104897836221</t>
  </si>
  <si>
    <t>-626.083159647089 -66.9154729909963 828.886184307562</t>
  </si>
  <si>
    <t>9763-20170724T104650.848743700.bin</t>
  </si>
  <si>
    <t>-805.002151282112 1.16983640422313 -94.5697454822667</t>
  </si>
  <si>
    <t>-862.734631551618 2.75020534433679 -552.428170871525</t>
  </si>
  <si>
    <t>-914.816592876662 127.945607588818 -529.804935192804</t>
  </si>
  <si>
    <t>-962.541972099404 131.795551526998 -239.462706354164</t>
  </si>
  <si>
    <t>-730.242490550369 189.674395469677 -266.625594851779</t>
  </si>
  <si>
    <t>-849.830550012574 86.7302778175247 -98.468831074607</t>
  </si>
  <si>
    <t>-860.206300232858 123.151995317636 303.302854591701</t>
  </si>
  <si>
    <t>-881.927863183982 177.750995607427 747.446418982833</t>
  </si>
  <si>
    <t>-736.829140159566 164.317681568132 809.520662895335</t>
  </si>
  <si>
    <t>-747.433775021905 -86.038658123413 310.608284100393</t>
  </si>
  <si>
    <t>-765.703106286318 -91.4336421785224 758.099056262549</t>
  </si>
  <si>
    <t>-626.0905538964 -67.2742565648275 828.894220112432</t>
  </si>
  <si>
    <t>9763-20170724T104650.882838300.bin</t>
  </si>
  <si>
    <t>-805.005735954829 1.1320379018548 -94.5796937843523</t>
  </si>
  <si>
    <t>-862.308148633131 2.81138925668097 -552.491117898033</t>
  </si>
  <si>
    <t>-914.605064034062 127.918618302022 -529.87654586238</t>
  </si>
  <si>
    <t>-962.944460548782 131.618378144556 -239.633942375178</t>
  </si>
  <si>
    <t>-730.724149240443 189.968713548047 -266.463100826937</t>
  </si>
  <si>
    <t>-849.861658573977 86.6509538583334 -98.4651966856273</t>
  </si>
  <si>
    <t>-860.210570096059 123.08388649784 303.306132651828</t>
  </si>
  <si>
    <t>-881.917383370328 177.633635429101 747.444733108441</t>
  </si>
  <si>
    <t>-736.802237904559 164.367388487897 809.516313965524</t>
  </si>
  <si>
    <t>-747.367269823311 -86.1652336557488 310.599764463885</t>
  </si>
  <si>
    <t>-765.618369691933 -91.5997022284234 758.097766715567</t>
  </si>
  <si>
    <t>-626.140538667029 -66.6179555032725 828.873102801934</t>
  </si>
  <si>
    <t>9763-20170724T104650.949537600.bin</t>
  </si>
  <si>
    <t>-805.125591155946 1.17090775328165 -94.5895891198996</t>
  </si>
  <si>
    <t>-861.477649681752 3.11415439585085 -552.608901407699</t>
  </si>
  <si>
    <t>-913.963651396404 128.135493099279 -529.941395875065</t>
  </si>
  <si>
    <t>-963.669091121193 131.305758100095 -239.923181957177</t>
  </si>
  <si>
    <t>-731.571202248761 190.414674909911 -266.14529011862</t>
  </si>
  <si>
    <t>-850.041771429487 86.6235176688544 -98.4756441330871</t>
  </si>
  <si>
    <t>-860.359096096569 123.096095474407 303.292941658959</t>
  </si>
  <si>
    <t>-881.928090527202 177.601546570333 747.442889528199</t>
  </si>
  <si>
    <t>-736.825204303748 164.258041361582 809.526834198753</t>
  </si>
  <si>
    <t>-747.459971837646 -86.1931702860632 310.600264624468</t>
  </si>
  <si>
    <t>-765.604267400746 -91.6054901102401 758.099041778195</t>
  </si>
  <si>
    <t>-626.149026478756 -66.4647249996907 828.862658093746</t>
  </si>
  <si>
    <t>9763-20170724T104650.983629000.bin</t>
  </si>
  <si>
    <t>-805.17087412887 1.21123486715487 -94.5881971168706</t>
  </si>
  <si>
    <t>-861.071626906641 3.23160308566162 -552.6593114883</t>
  </si>
  <si>
    <t>-913.615106603687 128.227276472733 -530.010919231722</t>
  </si>
  <si>
    <t>-963.97056017577 131.167410659768 -240.102561108025</t>
  </si>
  <si>
    <t>-731.868856416772 190.443753093789 -265.908220069822</t>
  </si>
  <si>
    <t>-850.087113388121 86.6129417170955 -98.4879135141636</t>
  </si>
  <si>
    <t>-860.46332013401 123.133611662459 303.274774674114</t>
  </si>
  <si>
    <t>-881.928486772424 177.530363233173 747.443327668897</t>
  </si>
  <si>
    <t>-736.8195600533 164.243241879567 809.525291544603</t>
  </si>
  <si>
    <t>-747.50569189165 -86.1694054375581 310.598349696298</t>
  </si>
  <si>
    <t>-765.635984004721 -91.5132819465997 758.092507786554</t>
  </si>
  <si>
    <t>-626.15974844893 -66.5052208873487 828.861598716672</t>
  </si>
  <si>
    <t>9763-20170724T104651.048306800.bin</t>
  </si>
  <si>
    <t>-805.281246504966 1.29316164550323 -94.5883564349883</t>
  </si>
  <si>
    <t>-860.335991299972 3.39943245648624 -552.759245490951</t>
  </si>
  <si>
    <t>-912.992089328637 128.35205331895 -530.114297563458</t>
  </si>
  <si>
    <t>-964.147643522185 131.102251786046 -240.344032269163</t>
  </si>
  <si>
    <t>-732.032612016051 190.621098330528 -265.464287274104</t>
  </si>
  <si>
    <t>-850.202010850713 86.6377695940696 -98.5037483477468</t>
  </si>
  <si>
    <t>-860.52303959485 123.167927178647 303.259468155623</t>
  </si>
  <si>
    <t>-881.939985248822 177.503304805729 747.436944595733</t>
  </si>
  <si>
    <t>-736.840336806245 164.152556932108 809.526749909029</t>
  </si>
  <si>
    <t>-747.594594012917 -86.1130253927926 310.601118335366</t>
  </si>
  <si>
    <t>-765.636165772968 -91.4761164452526 758.096326093337</t>
  </si>
  <si>
    <t>-626.137240547514 -66.5870735089578 828.862701620343</t>
  </si>
  <si>
    <t>9763-20170724T104651.081394600.bin</t>
  </si>
  <si>
    <t>-805.282917195541 1.25444496130422 -94.5847870928675</t>
  </si>
  <si>
    <t>-859.982049035492 3.39956826564935 -552.79751883235</t>
  </si>
  <si>
    <t>-912.682278604049 128.33578068705 -530.172498700621</t>
  </si>
  <si>
    <t>-964.058827195356 130.933561814933 -240.439907296376</t>
  </si>
  <si>
    <t>-731.950539410216 190.547013764218 -265.396436353027</t>
  </si>
  <si>
    <t>-850.235905747323 86.604317757271 -98.5041298754512</t>
  </si>
  <si>
    <t>-860.504668522019 123.107948076252 303.262856251394</t>
  </si>
  <si>
    <t>-881.945081083742 177.466169546381 747.437716121261</t>
  </si>
  <si>
    <t>-736.850060193296 164.083616507293 809.531773730925</t>
  </si>
  <si>
    <t>-747.562097028418 -86.216161403025 310.601034413885</t>
  </si>
  <si>
    <t>-765.560358395471 -91.6146407292351 758.100395952016</t>
  </si>
  <si>
    <t>-626.14268395895 -66.2429278809786 828.855565284684</t>
  </si>
  <si>
    <t>9763-20170724T104651.147316700.bin</t>
  </si>
  <si>
    <t>-805.358889081108 1.35768579360251 -94.5665699718704</t>
  </si>
  <si>
    <t>-859.448687267047 3.61031008562713 -552.846347625511</t>
  </si>
  <si>
    <t>-912.215614638194 128.513826094249 -530.206224962011</t>
  </si>
  <si>
    <t>-963.947300613932 130.938980308355 -240.535450277088</t>
  </si>
  <si>
    <t>-731.843817889921 190.643717319004 -265.31797685277</t>
  </si>
  <si>
    <t>-850.237524422503 86.5558833626967 -98.474056170946</t>
  </si>
  <si>
    <t>-860.533529891086 123.165526104541 303.282557933086</t>
  </si>
  <si>
    <t>-881.965611351128 177.451555360022 747.438713901027</t>
  </si>
  <si>
    <t>-736.876680181943 164.033493710163 809.539230933364</t>
  </si>
  <si>
    <t>-747.703422774566 -85.954280497962 310.609354087697</t>
  </si>
  <si>
    <t>-765.776886471492 -91.1231407858004 758.097223374667</t>
  </si>
  <si>
    <t>-626.171209759504 -66.8781047339018 828.876583091384</t>
  </si>
  <si>
    <t>9763-20170724T104651.182412000.bin</t>
  </si>
  <si>
    <t>-805.303362082459 1.30272878027859 -94.5690624088536</t>
  </si>
  <si>
    <t>-859.231642563998 3.62441710313692 -552.862706588985</t>
  </si>
  <si>
    <t>-912.018663550709 128.51765266771 -530.204281111837</t>
  </si>
  <si>
    <t>-963.954614801534 130.906382128896 -240.569709262666</t>
  </si>
  <si>
    <t>-731.83906776819 190.593743346551 -265.281245960425</t>
  </si>
  <si>
    <t>-850.197311964304 86.558978995494 -98.4716881586621</t>
  </si>
  <si>
    <t>-860.537507811052 123.150650599385 303.285442607984</t>
  </si>
  <si>
    <t>-881.983035823603 177.470080911125 747.443719570454</t>
  </si>
  <si>
    <t>-736.905845993362 163.93737593741 809.546708665732</t>
  </si>
  <si>
    <t>-747.631140685275 -86.0868377259093 310.605238230997</t>
  </si>
  <si>
    <t>-765.659426427925 -91.3511750148826 758.098617121428</t>
  </si>
  <si>
    <t>-626.163464598372 -66.4524280452461 828.867449922348</t>
  </si>
  <si>
    <t>9763-20170724T104651.250608900.bin</t>
  </si>
  <si>
    <t>-805.187039724071 1.16486765082732 -94.5595593792588</t>
  </si>
  <si>
    <t>-858.773375065452 3.61909583799752 -552.880300224031</t>
  </si>
  <si>
    <t>-911.615426405103 128.47537057508 -530.163579308372</t>
  </si>
  <si>
    <t>-963.949961559697 130.741151222324 -240.599926750713</t>
  </si>
  <si>
    <t>-731.81998949667 190.459312896321 -265.100002004169</t>
  </si>
  <si>
    <t>-850.070132266086 86.3798105498608 -98.4552026884196</t>
  </si>
  <si>
    <t>-860.447301746818 123.006020023343 303.297795089587</t>
  </si>
  <si>
    <t>-881.98348354772 177.346828454918 747.447324440033</t>
  </si>
  <si>
    <t>-736.888032537582 164.002300762596 809.548288877071</t>
  </si>
  <si>
    <t>-747.569372877952 -86.160463377696 310.615384854986</t>
  </si>
  <si>
    <t>-765.702254778687 -91.2546040988419 758.109264078902</t>
  </si>
  <si>
    <t>-626.211816543072 -66.2858749814577 828.864311808137</t>
  </si>
  <si>
    <t>9763-20170724T104651.283697100.bin</t>
  </si>
  <si>
    <t>-805.104290375323 1.11090616812453 -94.5508092198556</t>
  </si>
  <si>
    <t>-858.489851091409 3.67992368831801 -552.883506059094</t>
  </si>
  <si>
    <t>-911.361282194873 128.522080862302 -530.142810386363</t>
  </si>
  <si>
    <t>-963.931107652425 130.661015663832 -240.620744056901</t>
  </si>
  <si>
    <t>-731.792792884109 190.376017245659 -265.050657332789</t>
  </si>
  <si>
    <t>-849.980028385456 86.3267386513933 -98.4444708798698</t>
  </si>
  <si>
    <t>-860.39017907971 122.977302012564 303.305480467174</t>
  </si>
  <si>
    <t>-881.995456179257 177.347770825961 747.446780520448</t>
  </si>
  <si>
    <t>-736.917557411583 163.85724892948 809.557095925549</t>
  </si>
  <si>
    <t>-747.558650908446 -86.147084273766 310.621159190756</t>
  </si>
  <si>
    <t>-765.754204025013 -91.1287429446752 758.109854755845</t>
  </si>
  <si>
    <t>-626.249459417258 -66.2423897561578 828.865825566372</t>
  </si>
  <si>
    <t>9763-20170724T104651.351889100.bin</t>
  </si>
  <si>
    <t>-804.95901817077 1.04027489636928 -94.5564214770853</t>
  </si>
  <si>
    <t>-857.929457754634 3.779535477428 -552.921647248348</t>
  </si>
  <si>
    <t>-910.899699255447 128.572061175231 -530.134501325105</t>
  </si>
  <si>
    <t>-963.891813611838 130.419483889468 -240.687330198923</t>
  </si>
  <si>
    <t>-731.773082225501 190.279402704713 -264.948676766398</t>
  </si>
  <si>
    <t>-849.823823588864 86.1870242977136 -98.4305125952085</t>
  </si>
  <si>
    <t>-860.251617376305 122.872633410809 303.315839719233</t>
  </si>
  <si>
    <t>-881.998175759866 177.24057871715 747.446269817227</t>
  </si>
  <si>
    <t>-736.905166948292 163.91158739348 809.556195536479</t>
  </si>
  <si>
    <t>-747.457063831407 -86.1455045102783 310.62575705854</t>
  </si>
  <si>
    <t>-765.755592418221 -91.0994704465443 758.109715569708</t>
  </si>
  <si>
    <t>-626.189200114502 -66.581942398054 828.872843454556</t>
  </si>
  <si>
    <t>9763-20170724T104651.381966300.bin</t>
  </si>
  <si>
    <t>-804.863885137657 0.98523121330868 -94.5475278002042</t>
  </si>
  <si>
    <t>-857.709432921432 3.77588744391619 -552.923015165903</t>
  </si>
  <si>
    <t>-910.731072664238 128.545473052082 -530.114819525109</t>
  </si>
  <si>
    <t>-963.874998831804 130.223216791898 -240.694489283782</t>
  </si>
  <si>
    <t>-731.757302005121 190.150517721618 -264.797142966774</t>
  </si>
  <si>
    <t>-849.760371321211 86.1372857199967 -98.4186865246186</t>
  </si>
  <si>
    <t>-860.184883630629 122.814184792005 303.328557935704</t>
  </si>
  <si>
    <t>-882.007957931659 177.222152493163 747.44935235209</t>
  </si>
  <si>
    <t>-736.917067599949 163.873804236559 809.560164458084</t>
  </si>
  <si>
    <t>-747.37444870796 -86.2388282424681 310.628080867378</t>
  </si>
  <si>
    <t>-765.688294472746 -91.2323616920351 758.115365610111</t>
  </si>
  <si>
    <t>-626.160029821857 -66.4754433004243 828.870253288629</t>
  </si>
  <si>
    <t>9763-20170724T104651.448700500.bin</t>
  </si>
  <si>
    <t>-804.692624480617 0.913409060062577 -94.5179756444663</t>
  </si>
  <si>
    <t>-857.341404450409 3.77195954777767 -552.90828834381</t>
  </si>
  <si>
    <t>-910.446750736723 128.487126583245 -530.023874608756</t>
  </si>
  <si>
    <t>-963.901637741982 129.992776591474 -240.659953414922</t>
  </si>
  <si>
    <t>-731.810996461701 190.112443770731 -264.54349936084</t>
  </si>
  <si>
    <t>-849.573609865994 86.0406460805887 -98.3932243149951</t>
  </si>
  <si>
    <t>-860.179164921753 122.780377906281 303.343478606128</t>
  </si>
  <si>
    <t>-882.039844997636 177.232841977087 747.457429572365</t>
  </si>
  <si>
    <t>-736.958191834559 163.772365870767 809.565738675327</t>
  </si>
  <si>
    <t>-747.304497473787 -86.2870761018863 310.643308891008</t>
  </si>
  <si>
    <t>-765.700343252417 -91.201405319509 758.125752307669</t>
  </si>
  <si>
    <t>-626.148623207763 -66.5577592266952 828.87384967052</t>
  </si>
  <si>
    <t>9763-20170724T104651.480786900.bin</t>
  </si>
  <si>
    <t>-804.617191885838 0.858102700259224 -94.5098533468118</t>
  </si>
  <si>
    <t>-857.233397454521 3.7595060808078 -552.900884236283</t>
  </si>
  <si>
    <t>-910.382780525644 128.450755566877 -529.965597584193</t>
  </si>
  <si>
    <t>-963.990761726944 129.904577708892 -240.629638934941</t>
  </si>
  <si>
    <t>-731.909414835929 190.124896058272 -264.348906490577</t>
  </si>
  <si>
    <t>-849.51623381032 86.0014860600247 -98.3829103463282</t>
  </si>
  <si>
    <t>-860.149665726249 122.741232182554 303.353116866745</t>
  </si>
  <si>
    <t>-882.04739775904 177.211834904402 747.466400087555</t>
  </si>
  <si>
    <t>-736.965628384175 163.73784323912 809.571552911383</t>
  </si>
  <si>
    <t>-747.281934148672 -86.2963084776347 310.647449829772</t>
  </si>
  <si>
    <t>-765.690565003179 -91.2107609375115 758.12764737548</t>
  </si>
  <si>
    <t>-626.132724433968 -66.5999131279993 828.875168920421</t>
  </si>
  <si>
    <t>9763-20170724T104651.559640200.bin</t>
  </si>
  <si>
    <t>-804.449513994869 0.706390528911925 -94.4787755238943</t>
  </si>
  <si>
    <t>-856.988552792788 3.71365188075288 -552.86714526305</t>
  </si>
  <si>
    <t>-910.320746774866 128.310783106884 -529.851697132028</t>
  </si>
  <si>
    <t>-964.401786508528 129.597813155694 -240.603022844965</t>
  </si>
  <si>
    <t>-732.35490762157 190.037308536625 -264.101256722222</t>
  </si>
  <si>
    <t>-849.375783600582 85.8615941747955 -98.3438999010341</t>
  </si>
  <si>
    <t>-860.073593524134 122.620162612103 303.388663555167</t>
  </si>
  <si>
    <t>-882.075491209271 177.158143138829 747.486294200072</t>
  </si>
  <si>
    <t>-736.984973305538 163.751743156389 809.585486015336</t>
  </si>
  <si>
    <t>-747.126427438959 -86.3271126801603 310.664577375207</t>
  </si>
  <si>
    <t>-765.740783189981 -91.0845609148942 758.135736887916</t>
  </si>
  <si>
    <t>-626.198430785335 -66.3744168816567 828.879231690231</t>
  </si>
  <si>
    <t>9763-20170724T104651.579689700.bin</t>
  </si>
  <si>
    <t>-804.352156499569 0.593160447640685 -94.4751979899979</t>
  </si>
  <si>
    <t>-856.77150488926 3.68664263084838 -552.867227954655</t>
  </si>
  <si>
    <t>-910.264785246458 128.204348426348 -529.812445014897</t>
  </si>
  <si>
    <t>-964.582335064853 129.488448549894 -240.608095032623</t>
  </si>
  <si>
    <t>-732.556545390746 190.049826582863 -264.000314918207</t>
  </si>
  <si>
    <t>-849.346824867568 85.7993331427954 -98.3262254089295</t>
  </si>
  <si>
    <t>-860.054865366991 122.575507615818 303.404371918805</t>
  </si>
  <si>
    <t>-882.103014716099 177.217356252293 747.494263825791</t>
  </si>
  <si>
    <t>-737.030968593708 163.63506818596 809.59836436193</t>
  </si>
  <si>
    <t>-747.018757283494 -86.4792717987845 310.672165975359</t>
  </si>
  <si>
    <t>-765.621436594338 -91.3205936518395 758.136137435702</t>
  </si>
  <si>
    <t>-626.200255386323 -65.9033039793425 828.868008357615</t>
  </si>
  <si>
    <t>9763-20170724T104651.648882000.bin</t>
  </si>
  <si>
    <t>-804.331526130848 0.654349214285276 -94.4890198291745</t>
  </si>
  <si>
    <t>-856.615082409148 3.9399838183715 -552.870936586149</t>
  </si>
  <si>
    <t>-910.321801785346 128.354909217296 -529.758413628385</t>
  </si>
  <si>
    <t>-964.968990164509 129.205559295356 -240.614558248659</t>
  </si>
  <si>
    <t>-733.031695912085 190.18660308401 -263.7937604037</t>
  </si>
  <si>
    <t>-849.444669416441 85.7947022584456 -98.3303908406979</t>
  </si>
  <si>
    <t>-860.240382483939 122.555878935144 303.399298682111</t>
  </si>
  <si>
    <t>-882.109471068779 177.114177217378 747.500032238411</t>
  </si>
  <si>
    <t>-737.021891878599 163.703338013196 809.605085989415</t>
  </si>
  <si>
    <t>-746.976400741893 -86.3641204018251 310.659138880163</t>
  </si>
  <si>
    <t>-765.634781636131 -91.2441530522342 758.125703891365</t>
  </si>
  <si>
    <t>-626.139038663585 -66.2771758914969 828.870834536351</t>
  </si>
  <si>
    <t>9763-20170724T104651.683980500.bin</t>
  </si>
  <si>
    <t>-804.38636155006 0.730819266416347 -94.4999057601392</t>
  </si>
  <si>
    <t>-856.659945448598 4.09377885856816 -552.873734342479</t>
  </si>
  <si>
    <t>-910.480594196587 128.449092422166 -529.690530414638</t>
  </si>
  <si>
    <t>-965.142529092189 129.180635373512 -240.549116782852</t>
  </si>
  <si>
    <t>-733.236749850092 190.289175016665 -263.708215390725</t>
  </si>
  <si>
    <t>-849.544282004579 85.7601212460206 -98.337001144774</t>
  </si>
  <si>
    <t>-860.332041706543 122.558929372431 303.389475811858</t>
  </si>
  <si>
    <t>-882.09512281104 177.004117101115 747.50011769639</t>
  </si>
  <si>
    <t>-736.98549887102 163.827679777319 809.603463037937</t>
  </si>
  <si>
    <t>-747.019812338342 -86.1496315893369 310.649921491522</t>
  </si>
  <si>
    <t>-765.756880501097 -90.9785470389095 758.119095414047</t>
  </si>
  <si>
    <t>-626.156607173245 -66.6337937806112 828.87487182735</t>
  </si>
  <si>
    <t>9763-20170724T104651.749749900.bin</t>
  </si>
  <si>
    <t>-804.439290557991 0.717713400847515 -94.5164300635821</t>
  </si>
  <si>
    <t>-856.869085217949 4.11775114038028 -552.862246631496</t>
  </si>
  <si>
    <t>-910.89443132992 128.359860089079 -529.553176575883</t>
  </si>
  <si>
    <t>-965.505147629545 128.736651583895 -240.401471310367</t>
  </si>
  <si>
    <t>-733.64240295566 189.974459950637 -263.648848360266</t>
  </si>
  <si>
    <t>-849.722756031998 85.7315526964228 -98.3524265504783</t>
  </si>
  <si>
    <t>-860.35368560555 122.512194741887 303.379887969892</t>
  </si>
  <si>
    <t>-882.103297562934 176.959762569635 747.50780137315</t>
  </si>
  <si>
    <t>-737.003646180109 163.738798763982 809.625250829186</t>
  </si>
  <si>
    <t>-746.929027595938 -86.0763872468327 310.628405644433</t>
  </si>
  <si>
    <t>-765.733666409735 -90.9815337418243 758.10490960434</t>
  </si>
  <si>
    <t>-626.214658364915 -66.1656975749628 828.857389971123</t>
  </si>
  <si>
    <t>9763-20170724T104651.782837800.bin</t>
  </si>
  <si>
    <t>-804.440494227756 0.67346604872705 -94.5139027455258</t>
  </si>
  <si>
    <t>-856.939283863686 4.07714659093995 -552.84853925274</t>
  </si>
  <si>
    <t>-911.058451646907 128.27406114544 -529.492568497085</t>
  </si>
  <si>
    <t>-965.669162688912 128.550709145098 -240.340740133563</t>
  </si>
  <si>
    <t>-733.816892293296 189.817973493108 -263.614494858578</t>
  </si>
  <si>
    <t>-849.75116227311 85.6970850352491 -98.3453998350451</t>
  </si>
  <si>
    <t>-860.331250836682 122.468650899592 303.389086269339</t>
  </si>
  <si>
    <t>-882.113039664641 176.966039867777 747.512241975232</t>
  </si>
  <si>
    <t>-737.022866788024 163.677543761457 809.637478669496</t>
  </si>
  <si>
    <t>-746.862775635584 -86.100321315325 310.621787673749</t>
  </si>
  <si>
    <t>-765.638580481908 -91.1536439901363 758.098946512382</t>
  </si>
  <si>
    <t>-626.13075795872 -66.2850542509776 828.855027691807</t>
  </si>
  <si>
    <t>9763-20170724T104651.850546700.bin</t>
  </si>
  <si>
    <t>-804.468986743576 0.630311562227007 -94.502690063196</t>
  </si>
  <si>
    <t>-857.096000598036 4.00054345430658 -552.815168542982</t>
  </si>
  <si>
    <t>-911.368413678351 128.109168712717 -529.368115767387</t>
  </si>
  <si>
    <t>-966.168900931546 128.327633710644 -240.25222099424</t>
  </si>
  <si>
    <t>-734.348701177801 189.732778194017 -263.481792209527</t>
  </si>
  <si>
    <t>-849.748779285163 85.6101738795214 -98.3369468985773</t>
  </si>
  <si>
    <t>-860.244209037643 122.376930414315 303.400196575543</t>
  </si>
  <si>
    <t>-882.113049323389 176.84087110408 747.522552464823</t>
  </si>
  <si>
    <t>-737.006337420699 163.724581249772 809.645599841292</t>
  </si>
  <si>
    <t>-746.854248245061 -86.0141803463234 310.62726749916</t>
  </si>
  <si>
    <t>-765.735896956178 -90.9131212983383 758.091855326453</t>
  </si>
  <si>
    <t>-626.180811372778 -66.3357482998933 828.856370517415</t>
  </si>
  <si>
    <t>9763-20170724T104651.879623800.bin</t>
  </si>
  <si>
    <t>-804.479794741426 0.583099563857786 -94.4988995044323</t>
  </si>
  <si>
    <t>-857.156901364338 3.92875244281754 -552.801146905977</t>
  </si>
  <si>
    <t>-911.490526703913 128.010275591662 -529.321237034859</t>
  </si>
  <si>
    <t>-966.57647588698 128.075892111113 -240.259446688603</t>
  </si>
  <si>
    <t>-734.806292997413 189.67424421273 -263.477569438272</t>
  </si>
  <si>
    <t>-849.771970097384 85.5794367886779 -98.3331258424309</t>
  </si>
  <si>
    <t>-860.192356088763 122.314261813324 303.408894898989</t>
  </si>
  <si>
    <t>-882.123265121186 176.826225381981 747.52509204559</t>
  </si>
  <si>
    <t>-737.018213550673 163.692880097862 809.648609980704</t>
  </si>
  <si>
    <t>-746.810831124817 -86.0262799994533 310.637286443189</t>
  </si>
  <si>
    <t>-765.724219708532 -90.9254746766989 758.097376837332</t>
  </si>
  <si>
    <t>-626.198549265221 -66.1632360819342 828.855508904639</t>
  </si>
  <si>
    <t>9763-20170724T104651.950856400.bin</t>
  </si>
  <si>
    <t>-804.53304690537 0.605139208356832 -94.5021585716141</t>
  </si>
  <si>
    <t>-857.260549157962 4.01751122036603 -552.781975724689</t>
  </si>
  <si>
    <t>-911.808456322158 127.992096216418 -529.284148124817</t>
  </si>
  <si>
    <t>-967.601021249308 127.733581556254 -240.358119752001</t>
  </si>
  <si>
    <t>-735.941853451834 189.820711867505 -263.380497340841</t>
  </si>
  <si>
    <t>-849.853084998039 85.5737050828902 -98.3297850196169</t>
  </si>
  <si>
    <t>-860.145796214019 122.279917231207 303.418125263607</t>
  </si>
  <si>
    <t>-882.145477701159 176.813468530366 747.525851269248</t>
  </si>
  <si>
    <t>-737.054744041207 163.56336272624 809.658034770064</t>
  </si>
  <si>
    <t>-746.819114091762 -85.8516245109506 310.64369754315</t>
  </si>
  <si>
    <t>-765.857284381653 -90.6269899177806 758.103132093549</t>
  </si>
  <si>
    <t>-626.257456551701 -66.2963142196156 828.864584527461</t>
  </si>
  <si>
    <t>9763-20170724T104651.985950300.bin</t>
  </si>
  <si>
    <t>-804.544941821055 0.489928848374348 -94.493187880132</t>
  </si>
  <si>
    <t>-857.356295484178 3.9175926334392 -552.75639752967</t>
  </si>
  <si>
    <t>-912.005059158978 127.847652426941 -529.238930512234</t>
  </si>
  <si>
    <t>-968.057916660318 127.467423168659 -240.363270121743</t>
  </si>
  <si>
    <t>-736.46166648425 189.850184549656 -263.219856959577</t>
  </si>
  <si>
    <t>-849.921634824485 85.4661591778977 -98.3154174271536</t>
  </si>
  <si>
    <t>-860.138800582748 122.215977229625 303.430438039769</t>
  </si>
  <si>
    <t>-882.155108746991 176.803697815821 747.528419406731</t>
  </si>
  <si>
    <t>-737.06547355742 163.545938789033 809.661419937871</t>
  </si>
  <si>
    <t>-746.748327122818 -85.9315617304642 310.642625699683</t>
  </si>
  <si>
    <t>-765.737266802158 -90.8595160474015 758.105065400795</t>
  </si>
  <si>
    <t>-626.206414550817 -66.108825636231 828.857030807893</t>
  </si>
  <si>
    <t>9763-20170724T104652.049318100.bin</t>
  </si>
  <si>
    <t>-804.698615377574 0.2419672004321 -94.4872019155197</t>
  </si>
  <si>
    <t>-857.829568739879 3.62382510275665 -552.710696066261</t>
  </si>
  <si>
    <t>-912.583896232381 127.475649328054 -529.035881484994</t>
  </si>
  <si>
    <t>-968.879387527545 127.065540540911 -240.207461138337</t>
  </si>
  <si>
    <t>-737.367869413566 189.830134553041 -262.876384924687</t>
  </si>
  <si>
    <t>-850.165965068582 85.2003270946423 -98.3102259580539</t>
  </si>
  <si>
    <t>-860.196002682431 122.005514914155 303.435314321147</t>
  </si>
  <si>
    <t>-882.152240345896 176.711640987187 747.521967988987</t>
  </si>
  <si>
    <t>-737.059203156669 163.527044449846 809.662639536314</t>
  </si>
  <si>
    <t>-746.702360401692 -86.0029179698416 310.641417479018</t>
  </si>
  <si>
    <t>-765.72851888383 -90.844740684728 758.104169937952</t>
  </si>
  <si>
    <t>-626.236761482681 -65.8670218879305 828.853413871512</t>
  </si>
  <si>
    <t>9763-20170724T104652.079402300.bin</t>
  </si>
  <si>
    <t>-804.845140263566 0.176347400177519 -94.4904378130052</t>
  </si>
  <si>
    <t>-858.085789074957 3.48586291815354 -552.704606370157</t>
  </si>
  <si>
    <t>-912.860549366837 127.318740592666 -528.938445593795</t>
  </si>
  <si>
    <t>-969.501354578186 126.905195231205 -240.177537343989</t>
  </si>
  <si>
    <t>-738.038429111543 189.88155174555 -262.75634200506</t>
  </si>
  <si>
    <t>-850.343106765872 85.1050012315104 -98.3130108304301</t>
  </si>
  <si>
    <t>-860.225218997154 121.916422928603 303.435577795809</t>
  </si>
  <si>
    <t>-882.151381630696 176.655653510553 747.525404749891</t>
  </si>
  <si>
    <t>-737.046066837926 163.587487093846 809.662201701622</t>
  </si>
  <si>
    <t>-746.791429737354 -85.9219956329358 310.641393568593</t>
  </si>
  <si>
    <t>-765.804520679624 -90.6734387093492 758.1042626702</t>
  </si>
  <si>
    <t>-626.242290642885 -66.113495662222 828.860855399887</t>
  </si>
  <si>
    <t>9763-20170724T104652.149596100.bin</t>
  </si>
  <si>
    <t>-858.162183140009 3.30229239061896 -552.708207552366</t>
  </si>
  <si>
    <t>-913.181723953813 127.022440762687 -528.958598870813</t>
  </si>
  <si>
    <t>-971.130722799072 126.458960287591 -240.457803720415</t>
  </si>
  <si>
    <t>-739.763888361288 189.929528497981 -262.632465384871</t>
  </si>
  <si>
    <t>-850.661241438909 84.8987657304069 -98.299486647316</t>
  </si>
  <si>
    <t>-860.266213988935 121.774777359417 303.449937183251</t>
  </si>
  <si>
    <t>-882.165450191029 176.64067030382 747.526231568127</t>
  </si>
  <si>
    <t>-737.085907007924 163.333966168992 809.672371534563</t>
  </si>
  <si>
    <t>-746.829133285644 -86.1314113033941 310.631878681524</t>
  </si>
  <si>
    <t>-765.608715300001 -91.0598018634882 758.105959272347</t>
  </si>
  <si>
    <t>-626.164946011235 -65.796671331013 828.848513143059</t>
  </si>
  <si>
    <t>9763-20170724T104652.182685000.bin</t>
  </si>
  <si>
    <t>-858.15647780338 3.19823723380068 -552.728348028184</t>
  </si>
  <si>
    <t>-913.32567886173 126.860942815507 -529.013771316521</t>
  </si>
  <si>
    <t>-971.965635692137 126.162974160796 -240.652693053078</t>
  </si>
  <si>
    <t>-740.661603871479 190.031920390173 -262.333576229916</t>
  </si>
  <si>
    <t>-850.850622487381 84.7764989512882 -98.2947716483507</t>
  </si>
  <si>
    <t>-860.272765935046 121.684920270857 303.456025169115</t>
  </si>
  <si>
    <t>-882.181720670014 176.672668100462 747.528737492954</t>
  </si>
  <si>
    <t>-737.108974330651 163.30375324089 809.677706562359</t>
  </si>
  <si>
    <t>-746.847907032501 -86.1576836900157 310.63195423814</t>
  </si>
  <si>
    <t>-765.611571275986 -91.04756511383 758.104782891892</t>
  </si>
  <si>
    <t>-626.168014651376 -65.7815780598243 828.846638735778</t>
  </si>
  <si>
    <t>9763-20170724T104652.247437500.bin</t>
  </si>
  <si>
    <t>-858.245468464318 2.80528898335297 -552.723709696275</t>
  </si>
  <si>
    <t>-913.734561624722 126.334568717684 -529.059453956237</t>
  </si>
  <si>
    <t>-973.43425714993 125.34897661163 -240.916891582557</t>
  </si>
  <si>
    <t>-742.233462844722 189.913592181858 -261.616473393663</t>
  </si>
  <si>
    <t>-851.274963876927 84.4005830444391 -98.2644748414239</t>
  </si>
  <si>
    <t>-860.271235792273 121.408187027357 303.486919240848</t>
  </si>
  <si>
    <t>-882.186143532746 176.559217609834 747.535517958443</t>
  </si>
  <si>
    <t>-737.10009200029 163.32998048811 809.683090256182</t>
  </si>
  <si>
    <t>-746.799125469613 -86.0827919020468 310.647359495183</t>
  </si>
  <si>
    <t>-765.720693333601 -90.8050362937578 758.12265947918</t>
  </si>
  <si>
    <t>-626.180628055869 -66.0453434586412 828.853274212622</t>
  </si>
  <si>
    <t>9763-20170724T104652.281525000.bin</t>
  </si>
  <si>
    <t>-858.187616541644 2.41635130421469 -552.717824713798</t>
  </si>
  <si>
    <t>-913.894418442738 125.845801489663 -529.046945703396</t>
  </si>
  <si>
    <t>-974.013627828407 124.764470964599 -240.991852180059</t>
  </si>
  <si>
    <t>-742.856399705565 189.614206204488 -261.282555771166</t>
  </si>
  <si>
    <t>-851.449306457258 84.0646501051192 -98.2412627903142</t>
  </si>
  <si>
    <t>-860.227948025181 121.207597101564 303.502399436477</t>
  </si>
  <si>
    <t>-882.189510408904 176.519173811076 747.538476425625</t>
  </si>
  <si>
    <t>-737.103645029803 163.282701766434 809.684742765586</t>
  </si>
  <si>
    <t>-746.664738042407 -86.2821486123136 310.66286413801</t>
  </si>
  <si>
    <t>-765.588149581068 -91.0597885901655 758.126660215533</t>
  </si>
  <si>
    <t>-626.190973431109 -65.4408105659534 828.833001573412</t>
  </si>
  <si>
    <t>9763-20170724T104652.348717300.bin</t>
  </si>
  <si>
    <t>-858.058850320809 1.77015664394003 -552.709970159417</t>
  </si>
  <si>
    <t>-914.25875870679 124.978065007744 -529.074488511476</t>
  </si>
  <si>
    <t>-975.294796671016 123.658357485374 -241.213317074281</t>
  </si>
  <si>
    <t>-744.228119254923 189.148121892061 -260.452771953953</t>
  </si>
  <si>
    <t>-851.874850852168 83.6185527059208 -98.2345021621749</t>
  </si>
  <si>
    <t>-860.295533469341 120.910633435089 303.503091353386</t>
  </si>
  <si>
    <t>-882.210385144556 176.524068092237 747.518437744579</t>
  </si>
  <si>
    <t>-737.134920495808 163.178268115436 809.665846458163</t>
  </si>
  <si>
    <t>-746.467315698486 -86.399837784241 310.67991501417</t>
  </si>
  <si>
    <t>-765.47468073863 -91.237192681231 758.1253767126</t>
  </si>
  <si>
    <t>-626.149533143384 -65.197524456622 828.820110516737</t>
  </si>
  <si>
    <t>9763-20170724T104652.383813300.bin</t>
  </si>
  <si>
    <t>-858.106239021343 1.62691326146501 -552.695898169005</t>
  </si>
  <si>
    <t>-914.548641890279 124.725561231458 -529.058683824459</t>
  </si>
  <si>
    <t>-975.995371048192 123.175581485809 -241.286037234616</t>
  </si>
  <si>
    <t>-745.046437534087 189.188496255024 -260.147445737332</t>
  </si>
  <si>
    <t>-852.114706210771 83.49783460771 -98.2347812361264</t>
  </si>
  <si>
    <t>-860.463713398732 120.87464057999 303.49634562408</t>
  </si>
  <si>
    <t>-882.220695760587 176.546172281173 747.50096977704</t>
  </si>
  <si>
    <t>-737.147542138546 163.170842067708 809.647664331876</t>
  </si>
  <si>
    <t>-746.48149739396 -86.2107137578662 310.703712017697</t>
  </si>
  <si>
    <t>-765.663857719098 -90.8745259256212 758.150410473149</t>
  </si>
  <si>
    <t>-626.206648621393 -65.47509978405 828.81763610566</t>
  </si>
  <si>
    <t>9763-20170724T104652.448717400.bin</t>
  </si>
  <si>
    <t>-858.216584034932 1.06960530132187 -552.710937511589</t>
  </si>
  <si>
    <t>-915.241951072632 123.90694605997 -529.081428954629</t>
  </si>
  <si>
    <t>-977.51799953766 122.002859218796 -241.489252724922</t>
  </si>
  <si>
    <t>-746.73843517435 188.810838876431 -259.609317138296</t>
  </si>
  <si>
    <t>-852.4871334682 83.0990426393789 -98.269701819252</t>
  </si>
  <si>
    <t>-860.865862181948 120.699850693074 303.439950927889</t>
  </si>
  <si>
    <t>-882.191055705939 176.424329193508 747.451622997259</t>
  </si>
  <si>
    <t>-737.095790076599 163.306842538142 809.601242501306</t>
  </si>
  <si>
    <t>-746.492957722033 -86.2479811783144 310.74320386213</t>
  </si>
  <si>
    <t>-765.68695451726 -90.8874349796133 758.185857940384</t>
  </si>
  <si>
    <t>-626.216920838178 -65.3387925857154 828.773858975744</t>
  </si>
  <si>
    <t>9763-20170724T104652.480802100.bin</t>
  </si>
  <si>
    <t>-858.356394709086 0.744053854134563 -552.730238395442</t>
  </si>
  <si>
    <t>-915.701466873351 123.433189072065 -529.126626850249</t>
  </si>
  <si>
    <t>-978.322895942269 121.232315255235 -241.611537875192</t>
  </si>
  <si>
    <t>-747.61730290797 188.399123460635 -259.342765656864</t>
  </si>
  <si>
    <t>-852.721146467047 82.9080174842688 -98.2981587109311</t>
  </si>
  <si>
    <t>-861.037938055355 120.603596624846 303.403900608527</t>
  </si>
  <si>
    <t>-882.198787796638 176.443724110994 747.425433297694</t>
  </si>
  <si>
    <t>-737.112774832016 163.271835633722 809.585505042935</t>
  </si>
  <si>
    <t>-746.437274123065 -86.2935179710506 310.748784303576</t>
  </si>
  <si>
    <t>-765.69576874676 -90.8561734081918 758.188900203137</t>
  </si>
  <si>
    <t>-626.254721133241 -65.113443577205 828.763569487171</t>
  </si>
  <si>
    <t>9763-20170724T104652.547558500.bin</t>
  </si>
  <si>
    <t>-916.557279682448 122.348303684541 -529.144646507827</t>
  </si>
  <si>
    <t>-979.831531894569 119.68241886737 -241.776588987393</t>
  </si>
  <si>
    <t>-749.256267535692 187.504121223966 -258.692205908732</t>
  </si>
  <si>
    <t>-853.099276690528 82.2812136746668 -98.3127741880838</t>
  </si>
  <si>
    <t>-861.170968786841 120.216286202498 303.371697475119</t>
  </si>
  <si>
    <t>-882.188743669877 176.305292092399 747.376954767287</t>
  </si>
  <si>
    <t>-737.093301410977 163.290440729431 809.548040597892</t>
  </si>
  <si>
    <t>-746.343091221569 -86.3399529065456 310.744733090774</t>
  </si>
  <si>
    <t>-765.682363594981 -90.8060963326635 758.184406771626</t>
  </si>
  <si>
    <t>-626.238006703604 -65.1090922652874 828.769320456402</t>
  </si>
  <si>
    <t>9763-20170724T104652.581647400.bin</t>
  </si>
  <si>
    <t>-916.845500804944 121.749587475129 -529.175307428099</t>
  </si>
  <si>
    <t>-980.425420274046 118.910949381885 -241.876290303269</t>
  </si>
  <si>
    <t>-749.906818362652 187.006422795474 -258.460612466836</t>
  </si>
  <si>
    <t>-853.20152967794 81.9402633848078 -98.3289184420732</t>
  </si>
  <si>
    <t>-861.15332138231 119.986357029844 303.347492612636</t>
  </si>
  <si>
    <t>-882.186786150672 176.243656752735 747.34103413204</t>
  </si>
  <si>
    <t>-737.088455793648 163.275345986777 809.514632320959</t>
  </si>
  <si>
    <t>-746.213269554024 -86.458898797069 310.741756538786</t>
  </si>
  <si>
    <t>-765.608295663863 -90.9156371761876 758.176543376567</t>
  </si>
  <si>
    <t>-626.212399933827 -64.9831217259281 828.771058624503</t>
  </si>
  <si>
    <t>9763-20170724T104652.647095700.bin</t>
  </si>
  <si>
    <t>-917.380586208518 120.845817898362 -529.213109692532</t>
  </si>
  <si>
    <t>-981.519532974845 117.675614668175 -242.041756784099</t>
  </si>
  <si>
    <t>-751.082282683412 186.20320113182 -257.964721127229</t>
  </si>
  <si>
    <t>-853.213215040303 81.5169302498634 -98.3680866338171</t>
  </si>
  <si>
    <t>-861.102100869746 119.67251721535 303.299238110055</t>
  </si>
  <si>
    <t>-882.196025033664 176.153312750856 747.262350168914</t>
  </si>
  <si>
    <t>-737.090020416761 163.289743363458 809.439820286717</t>
  </si>
  <si>
    <t>-745.910948180752 -86.5192495063418 310.73932484759</t>
  </si>
  <si>
    <t>-765.617799274377 -90.7928823149616 758.162737344759</t>
  </si>
  <si>
    <t>-626.211142426606 -65.0096446970273 828.79065561132</t>
  </si>
  <si>
    <t>9763-20170724T104652.682188100.bin</t>
  </si>
  <si>
    <t>-917.579266512008 120.431053764833 -529.195675458721</t>
  </si>
  <si>
    <t>-981.988491239542 117.148560297688 -242.086178897987</t>
  </si>
  <si>
    <t>-751.600225921639 185.920183172844 -257.659796778111</t>
  </si>
  <si>
    <t>-853.087495812159 81.2890763076225 -98.3947744619811</t>
  </si>
  <si>
    <t>-860.974836736599 119.524925184988 303.264855504776</t>
  </si>
  <si>
    <t>-882.192234853943 176.079919066778 747.211822804936</t>
  </si>
  <si>
    <t>-737.074383633144 163.347783281428 809.389232733132</t>
  </si>
  <si>
    <t>-745.759542414939 -86.5711950176909 310.750452923019</t>
  </si>
  <si>
    <t>-765.573565225124 -90.8517371547213 758.164438282354</t>
  </si>
  <si>
    <t>-626.155737110379 -65.1536674250641 828.801372384649</t>
  </si>
  <si>
    <t>9763-20170724T104652.750374400.bin</t>
  </si>
  <si>
    <t>-917.730152830979 119.648034549719 -529.139154244597</t>
  </si>
  <si>
    <t>-983.055188671268 116.401987646413 -242.236189068096</t>
  </si>
  <si>
    <t>-752.660841895991 185.387320821059 -256.738820579194</t>
  </si>
  <si>
    <t>-852.664928098104 80.8586348063357 -98.4383743317607</t>
  </si>
  <si>
    <t>-860.481326660756 119.157042850607 303.216699710426</t>
  </si>
  <si>
    <t>-882.209797086051 176.002667315826 747.118173422844</t>
  </si>
  <si>
    <t>-737.096068909735 163.241257302098 809.298862783173</t>
  </si>
  <si>
    <t>-745.425120737055 -86.864948630334 310.764082476539</t>
  </si>
  <si>
    <t>-765.458388044056 -91.0069507756062 758.162942819925</t>
  </si>
  <si>
    <t>-626.164413331257 -64.6584938486272 828.804586919775</t>
  </si>
  <si>
    <t>9763-20170724T104652.778450500.bin</t>
  </si>
  <si>
    <t>-917.684046477275 119.378802360721 -529.141279270184</t>
  </si>
  <si>
    <t>-983.751292355962 116.265229661671 -242.406949117288</t>
  </si>
  <si>
    <t>-753.275467793516 185.161254794406 -256.01209375847</t>
  </si>
  <si>
    <t>-852.417340484515 80.6655922594045 -98.4473224897459</t>
  </si>
  <si>
    <t>-860.195143471439 118.969513494915 303.207917783809</t>
  </si>
  <si>
    <t>-882.214992775132 175.940129706028 747.070169195137</t>
  </si>
  <si>
    <t>-737.099217922202 163.234174948211 809.257585028519</t>
  </si>
  <si>
    <t>-745.232387120215 -86.9249521353257 310.77194717867</t>
  </si>
  <si>
    <t>-765.514599018424 -90.8635017018225 758.162848327187</t>
  </si>
  <si>
    <t>-626.212586795058 -64.5741517575125 828.810625754295</t>
  </si>
  <si>
    <t>9763-20170724T104652.848295200.bin</t>
  </si>
  <si>
    <t>-917.349250438057 119.036495418567 -529.169057637736</t>
  </si>
  <si>
    <t>-984.811827041905 115.917221824328 -242.7597063446</t>
  </si>
  <si>
    <t>-754.331593085059 185.099446268398 -254.741850795157</t>
  </si>
  <si>
    <t>-851.723153397667 80.2567696703097 -98.4593384946157</t>
  </si>
  <si>
    <t>-859.511496540104 118.626796778899 303.189402498009</t>
  </si>
  <si>
    <t>-882.206611620327 175.747539343148 746.979284224971</t>
  </si>
  <si>
    <t>-737.073957437474 163.303578663092 809.18027519719</t>
  </si>
  <si>
    <t>-744.968663009661 -87.0783418865519 310.790485184461</t>
  </si>
  <si>
    <t>-765.568065904016 -90.7239160965152 758.166578062516</t>
  </si>
  <si>
    <t>-626.208488409315 -64.7557916262457 828.81967611458</t>
  </si>
  <si>
    <t>9763-20170724T104652.879377300.bin</t>
  </si>
  <si>
    <t>-917.057334843931 118.890005270374 -529.19779653432</t>
  </si>
  <si>
    <t>-984.976528972877 115.849348491715 -242.895612812355</t>
  </si>
  <si>
    <t>-754.394713412675 184.830061300686 -254.056551855712</t>
  </si>
  <si>
    <t>-851.239518874612 80.1152354677345 -98.4790750514198</t>
  </si>
  <si>
    <t>-859.200931870604 118.532503053346 303.161792255588</t>
  </si>
  <si>
    <t>-882.206445532993 175.705036680703 746.916002897725</t>
  </si>
  <si>
    <t>-737.08335716324 163.261072268042 809.138965733909</t>
  </si>
  <si>
    <t>-744.797763837335 -87.297068492736 310.80585887467</t>
  </si>
  <si>
    <t>-765.586778871562 -90.6831969211944 758.176577475636</t>
  </si>
  <si>
    <t>-626.2820851292 -64.386401712066 828.816418307992</t>
  </si>
  <si>
    <t>9763-20170724T104652.950611700.bin</t>
  </si>
  <si>
    <t>-915.67227061062 118.846844702651 -529.387603699433</t>
  </si>
  <si>
    <t>-983.714653717834 116.316183870884 -243.109571307611</t>
  </si>
  <si>
    <t>-753.064430260566 185.14439884332 -253.789128110246</t>
  </si>
  <si>
    <t>-849.839202827961 79.6754077465218 -98.5158022267791</t>
  </si>
  <si>
    <t>-858.523914595092 118.51975265059 303.068986869968</t>
  </si>
  <si>
    <t>-882.196418152324 175.684003746701 746.761599174134</t>
  </si>
  <si>
    <t>-737.115637457304 163.183666375829 809.072072804207</t>
  </si>
  <si>
    <t>-744.464404224252 -87.9367420171751 310.853322798365</t>
  </si>
  <si>
    <t>-765.400744498246 -91.0806928146848 758.216541981631</t>
  </si>
  <si>
    <t>-626.20109916936 -64.1334683574196 828.818286010392</t>
  </si>
  <si>
    <t>9763-20170724T104652.983698800.bin</t>
  </si>
  <si>
    <t>-914.667644610687 119.050614702257 -529.529703565929</t>
  </si>
  <si>
    <t>-982.148902010029 117.340277197353 -243.112919708481</t>
  </si>
  <si>
    <t>-751.365886974707 185.735092428716 -253.706752037086</t>
  </si>
  <si>
    <t>-849.167264906217 79.4586622189604 -98.5164571707867</t>
  </si>
  <si>
    <t>-858.082289778905 118.462990528932 303.047793494777</t>
  </si>
  <si>
    <t>-882.22606671179 175.574663514473 746.743059797454</t>
  </si>
  <si>
    <t>-737.13711390684 163.172868689343 809.054091487907</t>
  </si>
  <si>
    <t>-744.49114841001 -88.0993706813331 310.888955992626</t>
  </si>
  <si>
    <t>-765.459274493962 -90.9656190543695 758.23257023337</t>
  </si>
  <si>
    <t>-626.139113098131 -64.6557700711641 828.837062465854</t>
  </si>
  <si>
    <t>9763-20170724T104653.050889000.bin</t>
  </si>
  <si>
    <t>-912.46894339379 120.053375784349 -529.981548994196</t>
  </si>
  <si>
    <t>-976.769729939075 121.875070338865 -242.834646194655</t>
  </si>
  <si>
    <t>-745.662595701859 189.106560273091 -253.802873147022</t>
  </si>
  <si>
    <t>-848.195466227417 79.444736856638 -98.5343129078107</t>
  </si>
  <si>
    <t>-857.306949309025 118.502925518661 303.020276090323</t>
  </si>
  <si>
    <t>-882.288072797901 175.436065042685 746.663579488133</t>
  </si>
  <si>
    <t>-737.196059686465 162.932527485645 808.947309441389</t>
  </si>
  <si>
    <t>-744.379514419377 -88.3894957116272 310.923049649733</t>
  </si>
  <si>
    <t>-765.415670948889 -91.0149575791236 758.240719761255</t>
  </si>
  <si>
    <t>-626.085702311407 -64.8005783430391 828.861245037672</t>
  </si>
  <si>
    <t>9763-20170724T104653.081971500.bin</t>
  </si>
  <si>
    <t>-911.361597515094 120.738023246278 -530.254682985652</t>
  </si>
  <si>
    <t>-972.48651064207 125.570242654874 -242.449807542953</t>
  </si>
  <si>
    <t>-741.146471432578 191.909082506143 -253.931959458182</t>
  </si>
  <si>
    <t>-847.783277715094 79.5997617879243 -98.5476130507952</t>
  </si>
  <si>
    <t>-856.964083970929 118.65786076427 303.005429572689</t>
  </si>
  <si>
    <t>-882.316434608711 175.43872894365 746.597710576091</t>
  </si>
  <si>
    <t>-737.220306362271 162.934748711582 808.871712503863</t>
  </si>
  <si>
    <t>-744.404304635514 -88.3859624257161 310.921324912285</t>
  </si>
  <si>
    <t>-765.537234440228 -90.7478992708468 758.236416746563</t>
  </si>
  <si>
    <t>-626.161588252394 -64.8157123821618 828.870978463322</t>
  </si>
  <si>
    <t>9763-20170724T104653.148159100.bin</t>
  </si>
  <si>
    <t>-908.655794099713 121.77174247821 -530.614429629985</t>
  </si>
  <si>
    <t>-960.284180306504 135.413685577357 -241.236485894103</t>
  </si>
  <si>
    <t>-728.361264633495 199.224112200193 -255.051138548028</t>
  </si>
  <si>
    <t>-846.638288937048 79.8345561427814 -98.6046554032472</t>
  </si>
  <si>
    <t>-856.362646375997 118.940336696608 302.931028059959</t>
  </si>
  <si>
    <t>-882.350979156343 175.425064562545 746.475122804771</t>
  </si>
  <si>
    <t>-737.237015649462 162.984633918571 808.720215373776</t>
  </si>
  <si>
    <t>-744.24658288774 -88.5840180616838 310.918388347113</t>
  </si>
  <si>
    <t>-765.412092236235 -90.980688472875 758.217047704725</t>
  </si>
  <si>
    <t>-626.128053208411 -64.6022787689316 828.867154448189</t>
  </si>
  <si>
    <t>9763-20170724T104653.180238200.bin</t>
  </si>
  <si>
    <t>-907.174223167332 122.380257367811 -530.762060691706</t>
  </si>
  <si>
    <t>-953.028201759509 141.311866848775 -240.709959292769</t>
  </si>
  <si>
    <t>-720.706083203533 203.372222514699 -255.736221116245</t>
  </si>
  <si>
    <t>-846.145095946994 80.0979114709926 -98.6648500404943</t>
  </si>
  <si>
    <t>-856.121188492394 119.151931927063 302.869652583096</t>
  </si>
  <si>
    <t>-882.363082079088 175.437935929762 746.414423456876</t>
  </si>
  <si>
    <t>-737.236095468595 163.060813628137 808.641765554967</t>
  </si>
  <si>
    <t>-744.203434564815 -88.4609185445955 310.918518390864</t>
  </si>
  <si>
    <t>-765.542030242898 -90.6972182710904 758.196188027296</t>
  </si>
  <si>
    <t>-626.170428827717 -64.8609644405407 828.874030068725</t>
  </si>
  <si>
    <t>9763-20170724T104653.248045000.bin</t>
  </si>
  <si>
    <t>-904.033225604892 123.724518626571 -531.335442085112</t>
  </si>
  <si>
    <t>-937.245501254157 151.966082981395 -240.319154125981</t>
  </si>
  <si>
    <t>-704.121876906322 210.528400542853 -256.892999422463</t>
  </si>
  <si>
    <t>-844.975016354792 80.8737818847515 -98.7893100648763</t>
  </si>
  <si>
    <t>-855.21735941635 119.51603412027 302.778293563349</t>
  </si>
  <si>
    <t>-882.411432788878 175.543928262972 746.333947327687</t>
  </si>
  <si>
    <t>-737.279275620235 162.955037462496 808.506848810758</t>
  </si>
  <si>
    <t>-744.022170949696 -88.2760919836142 310.901624599072</t>
  </si>
  <si>
    <t>-765.54045991996 -90.6421890341205 758.153889628234</t>
  </si>
  <si>
    <t>-626.170411557094 -64.9559049139629 828.889279283785</t>
  </si>
  <si>
    <t>9763-20170724T104653.282144200.bin</t>
  </si>
  <si>
    <t>-902.109299137701 124.417138973643 -531.491908483573</t>
  </si>
  <si>
    <t>-929.512127954296 156.974622064889 -240.321400235105</t>
  </si>
  <si>
    <t>-695.917812270675 213.596217031689 -257.011177085111</t>
  </si>
  <si>
    <t>-844.15795323797 81.1569046378806 -98.828559543243</t>
  </si>
  <si>
    <t>-854.564920390464 119.577811751293 302.756064677481</t>
  </si>
  <si>
    <t>-882.436664594162 175.589393600102 746.292131668324</t>
  </si>
  <si>
    <t>-737.295953682563 162.950371872525 808.434985145188</t>
  </si>
  <si>
    <t>-743.804807443782 -88.2997280202458 310.880433372618</t>
  </si>
  <si>
    <t>-765.541637996739 -90.6229344282976 758.131849953245</t>
  </si>
  <si>
    <t>-626.160994349598 -65.0563381527114 828.88971630205</t>
  </si>
  <si>
    <t>9763-20170724T104653.349604100.bin</t>
  </si>
  <si>
    <t>-898.384931535888 125.916309892491 -531.687846489834</t>
  </si>
  <si>
    <t>-914.968781881667 164.995336272692 -240.502326600949</t>
  </si>
  <si>
    <t>-680.901767574686 219.685220613054 -257.01032529945</t>
  </si>
  <si>
    <t>-842.333985011892 81.3901945540485 -98.8108734709007</t>
  </si>
  <si>
    <t>-853.24475815928 119.629094665025 302.777715361551</t>
  </si>
  <si>
    <t>-882.484778957128 175.69666767375 746.214242885395</t>
  </si>
  <si>
    <t>-737.330329078134 162.908165166725 808.294470890323</t>
  </si>
  <si>
    <t>-743.69675874528 -88.4592422369765 310.867722955593</t>
  </si>
  <si>
    <t>-765.73695506395 -90.3077170613801 758.108383786134</t>
  </si>
  <si>
    <t>-626.22264907668 -65.5019143434648 828.873670962571</t>
  </si>
  <si>
    <t>9763-20170724T104653.383698000.bin</t>
  </si>
  <si>
    <t>-896.75804770946 126.484524816234 -531.761375391531</t>
  </si>
  <si>
    <t>-908.347485723136 168.025710624461 -240.675102674583</t>
  </si>
  <si>
    <t>-674.165110487722 222.342164956659 -256.773963026635</t>
  </si>
  <si>
    <t>-841.473219832662 81.5835532508734 -98.7931942452602</t>
  </si>
  <si>
    <t>-852.570559300595 119.658997909707 302.805842894777</t>
  </si>
  <si>
    <t>-882.507245269736 175.749505640668 746.181146198523</t>
  </si>
  <si>
    <t>-737.355371699383 162.792758574783 808.232231263325</t>
  </si>
  <si>
    <t>-743.709038995526 -88.7433999668181 310.860121783356</t>
  </si>
  <si>
    <t>-765.731189678546 -90.3799497779124 758.105646439776</t>
  </si>
  <si>
    <t>-626.25273192709 -65.356964251284 828.865190976257</t>
  </si>
  <si>
    <t>9763-20170724T104653.448882800.bin</t>
  </si>
  <si>
    <t>-893.764769597936 128.040607698651 -531.721538897653</t>
  </si>
  <si>
    <t>-900.200912827483 172.348800693701 -240.883861279451</t>
  </si>
  <si>
    <t>-665.403846134661 224.399565308103 -255.441174487176</t>
  </si>
  <si>
    <t>-840.427327435666 82.1499686820066 -98.8541975304643</t>
  </si>
  <si>
    <t>-851.743251702823 119.980772248267 302.761931896467</t>
  </si>
  <si>
    <t>-882.553784270266 176.061972830887 746.022188834486</t>
  </si>
  <si>
    <t>-737.455320946297 162.568507262254 808.083954873907</t>
  </si>
  <si>
    <t>-743.793151731887 -88.9088086826299 310.842051745156</t>
  </si>
  <si>
    <t>-765.87658691602 -90.1581343216275 758.071681610907</t>
  </si>
  <si>
    <t>-626.255929731889 -66.0640213634152 828.873104045705</t>
  </si>
  <si>
    <t>9763-20170724T104653.483973900.bin</t>
  </si>
  <si>
    <t>-892.395390880368 128.730041016984 -531.85244116242</t>
  </si>
  <si>
    <t>-899.154995215703 172.715924538004 -240.973111392311</t>
  </si>
  <si>
    <t>-664.053488476413 223.381990620146 -255.503349145711</t>
  </si>
  <si>
    <t>-839.723074828932 82.0850296739702 -98.8503407032182</t>
  </si>
  <si>
    <t>-851.41875666352 120.107822962177 302.736739704903</t>
  </si>
  <si>
    <t>-882.552730194519 176.076031781845 745.945567749262</t>
  </si>
  <si>
    <t>-737.443168635189 162.696399066267 808.006156339636</t>
  </si>
  <si>
    <t>-743.938238818433 -89.0629522931266 310.845569553019</t>
  </si>
  <si>
    <t>-765.923923092355 -90.1672621781587 758.103523414631</t>
  </si>
  <si>
    <t>-626.290569475552 -66.0809701669532 828.882532523465</t>
  </si>
  <si>
    <t>9763-20170724T104653.549187900.bin</t>
  </si>
  <si>
    <t>-890.395315474514 129.202899405097 -531.993252316308</t>
  </si>
  <si>
    <t>-899.996002564299 170.791575681028 -240.841398842541</t>
  </si>
  <si>
    <t>-664.81450569521 220.806766199012 -256.303124880163</t>
  </si>
  <si>
    <t>-838.436860908981 81.9114954241995 -98.7506617010072</t>
  </si>
  <si>
    <t>-850.93965942961 120.108545580592 302.795489175174</t>
  </si>
  <si>
    <t>-882.58686272309 176.242740905226 745.8958876666</t>
  </si>
  <si>
    <t>-737.489335244545 162.702686154146 807.949782345788</t>
  </si>
  <si>
    <t>-743.963309138368 -89.547788255113 310.85693749531</t>
  </si>
  <si>
    <t>-765.871519850095 -90.5014587201161 758.145413144176</t>
  </si>
  <si>
    <t>-626.220313154599 -66.3507399599808 828.867177283692</t>
  </si>
  <si>
    <t>9763-20170724T104653.583291300.bin</t>
  </si>
  <si>
    <t>-889.957274056991 129.366633923999 -531.941934980645</t>
  </si>
  <si>
    <t>-900.960756542758 169.409446188197 -240.622931202644</t>
  </si>
  <si>
    <t>-665.715241849588 218.987105886364 -256.512155463911</t>
  </si>
  <si>
    <t>-838.084062147887 81.9417594501645 -98.693840553216</t>
  </si>
  <si>
    <t>-850.865762094608 120.149993327256 302.842539278474</t>
  </si>
  <si>
    <t>-882.586649825493 176.233463941003 745.910860073545</t>
  </si>
  <si>
    <t>-737.472337561991 162.790709496739 807.946520290623</t>
  </si>
  <si>
    <t>-744.044330750677 -89.6418334724314 310.859804091212</t>
  </si>
  <si>
    <t>-765.987097221174 -90.3527098911186 758.156679267375</t>
  </si>
  <si>
    <t>-626.320011163636 -66.228854182139 828.856366539548</t>
  </si>
  <si>
    <t>9763-20170724T104653.647459900.bin</t>
  </si>
  <si>
    <t>-848.52561000966 0.393995913086428 -553.268636330407</t>
  </si>
  <si>
    <t>-889.921576022325 129.710293779051 -531.759991796805</t>
  </si>
  <si>
    <t>-903.695004790633 166.549323310956 -240.13623142949</t>
  </si>
  <si>
    <t>-668.621647346184 216.565799651765 -257.157151582492</t>
  </si>
  <si>
    <t>-838.178944606018 82.2950881677914 -98.6374491734256</t>
  </si>
  <si>
    <t>-851.069856474878 120.435696352352 302.901892972259</t>
  </si>
  <si>
    <t>-882.627311209044 176.403002628282 745.964345402678</t>
  </si>
  <si>
    <t>-737.514589281241 162.858201855107 807.981495207029</t>
  </si>
  <si>
    <t>-743.90642506851 -89.7709570102837 310.888010808654</t>
  </si>
  <si>
    <t>-765.81616622043 -90.8565293175632 758.180157038748</t>
  </si>
  <si>
    <t>-626.211754082746 -66.2591197148706 828.84034659628</t>
  </si>
  <si>
    <t>9763-20170724T104653.679540000.bin</t>
  </si>
  <si>
    <t>-848.438183366118 0.481206284870041 -553.29092559401</t>
  </si>
  <si>
    <t>-890.1735063494 129.679471421614 -531.700708553067</t>
  </si>
  <si>
    <t>-905.065270785084 165.205708310735 -239.969168251161</t>
  </si>
  <si>
    <t>-670.021779209144 215.167843269321 -257.552928264873</t>
  </si>
  <si>
    <t>-838.292819993254 82.3554538668532 -98.6331110276094</t>
  </si>
  <si>
    <t>-851.179832983244 120.450058411632 302.910700094991</t>
  </si>
  <si>
    <t>-882.627976511602 176.389017970266 745.995492062098</t>
  </si>
  <si>
    <t>-737.4941901434 163.02922913609 808.003357294662</t>
  </si>
  <si>
    <t>-743.872415333616 -89.5476456346242 310.888823951343</t>
  </si>
  <si>
    <t>-765.913126081808 -90.6912236821325 758.176363416466</t>
  </si>
  <si>
    <t>-626.212443823449 -66.6577981597759 828.840410916034</t>
  </si>
  <si>
    <t>9763-20170724T104653.717143100.bin</t>
  </si>
  <si>
    <t>-848.325078899148 0.405884235262192 -553.312710133639</t>
  </si>
  <si>
    <t>-890.419656878145 129.465988559065 -531.664536703342</t>
  </si>
  <si>
    <t>-906.454930352371 164.052234467493 -239.880477504407</t>
  </si>
  <si>
    <t>-671.439824647347 213.937612295375 -258.052973006052</t>
  </si>
  <si>
    <t>-838.423255318179 82.2713285673565 -98.6269272437746</t>
  </si>
  <si>
    <t>-851.340656155749 120.437869698199 302.908980886353</t>
  </si>
  <si>
    <t>-882.627884966699 176.396679545807 746.018623156037</t>
  </si>
  <si>
    <t>-737.490552946095 163.083529346243 808.028528652162</t>
  </si>
  <si>
    <t>-743.777092362136 -89.4329645086946 310.874507373328</t>
  </si>
  <si>
    <t>-765.950240954903 -90.648792870545 758.165437260031</t>
  </si>
  <si>
    <t>-626.25533695715 -66.5762268064431 828.827539893042</t>
  </si>
  <si>
    <t>9763-20170724T104653.783416400.bin</t>
  </si>
  <si>
    <t>-848.099465027006 0.303562560400906 -553.338866540835</t>
  </si>
  <si>
    <t>-891.041987196235 129.071333391797 -531.608231578905</t>
  </si>
  <si>
    <t>-908.570394552889 162.185105635717 -239.739228958102</t>
  </si>
  <si>
    <t>-673.694197644071 212.286557129377 -259.076287559495</t>
  </si>
  <si>
    <t>-838.80625964638 82.3636400395601 -98.6689464538258</t>
  </si>
  <si>
    <t>-851.577492026287 120.448506051678 302.879426155651</t>
  </si>
  <si>
    <t>-882.622571162117 176.500516655981 746.043133711294</t>
  </si>
  <si>
    <t>-737.503984778359 163.13590190762 808.085912058981</t>
  </si>
  <si>
    <t>-743.404446540392 -89.5189642373837 310.865845998988</t>
  </si>
  <si>
    <t>-765.736212472511 -91.165422571778 758.158161621477</t>
  </si>
  <si>
    <t>-626.243375783695 -65.8685660727696 828.79175593177</t>
  </si>
  <si>
    <t>9763-20170724T104653.846268700.bin</t>
  </si>
  <si>
    <t>-848.251366532745 0.551191982253158 -553.375891710523</t>
  </si>
  <si>
    <t>-891.97639900225 129.051326964688 -531.595863309562</t>
  </si>
  <si>
    <t>-910.421419235436 161.033957235526 -239.657321616212</t>
  </si>
  <si>
    <t>-675.863638384646 212.121409580791 -260.238055242065</t>
  </si>
  <si>
    <t>-839.326722661313 82.591583696945 -98.7033034490056</t>
  </si>
  <si>
    <t>-851.862376824426 120.678345385062 302.852308203025</t>
  </si>
  <si>
    <t>-882.615907550364 176.567221472041 746.078201711686</t>
  </si>
  <si>
    <t>-737.507310373771 163.230880096276 808.150107459885</t>
  </si>
  <si>
    <t>-743.398075842651 -89.176479278442 310.862149823634</t>
  </si>
  <si>
    <t>-765.892719671439 -90.9045123011036 758.155443530763</t>
  </si>
  <si>
    <t>-626.26745218337 -66.3670489568599 828.795379338908</t>
  </si>
  <si>
    <t>9763-20170724T104653.884365800.bin</t>
  </si>
  <si>
    <t>-848.437377779746 0.575697598774923 -553.379520382932</t>
  </si>
  <si>
    <t>-892.452784586898 128.97019597145 -531.576503542503</t>
  </si>
  <si>
    <t>-911.166010389346 160.529511269182 -239.608970260702</t>
  </si>
  <si>
    <t>-676.752108095215 212.018521179934 -260.818336317063</t>
  </si>
  <si>
    <t>-839.605299456609 82.740012311119 -98.7139926644826</t>
  </si>
  <si>
    <t>-851.9908731284 120.7529439076 302.85326653168</t>
  </si>
  <si>
    <t>-882.624318960243 176.60709549782 746.098690100016</t>
  </si>
  <si>
    <t>-737.516257962318 163.278655875995 808.173606030829</t>
  </si>
  <si>
    <t>-743.445139651308 -89.0894955877019 310.859899259125</t>
  </si>
  <si>
    <t>-765.868888135071 -90.9721501981322 758.149687114526</t>
  </si>
  <si>
    <t>-626.267695071756 -66.2872914119132 828.785722355427</t>
  </si>
  <si>
    <t>9763-20170724T104653.949555600.bin</t>
  </si>
  <si>
    <t>-848.845706029421 0.642274042849976 -553.370787456487</t>
  </si>
  <si>
    <t>-893.340805499533 128.862577315087 -531.511934847881</t>
  </si>
  <si>
    <t>-912.350290195002 159.976376746401 -239.51572046952</t>
  </si>
  <si>
    <t>-678.186697973742 211.988534666295 -262.165839516873</t>
  </si>
  <si>
    <t>-839.982689383297 82.9908453120102 -98.7324649741055</t>
  </si>
  <si>
    <t>-852.323523203335 120.919882826333 302.844075983857</t>
  </si>
  <si>
    <t>-882.644926397801 176.716954662852 746.129785910111</t>
  </si>
  <si>
    <t>-737.544567518131 163.344665810561 808.213406661514</t>
  </si>
  <si>
    <t>-743.498412156913 -88.9060721469676 310.839139059437</t>
  </si>
  <si>
    <t>-765.840441127384 -91.0792372855802 758.142441567353</t>
  </si>
  <si>
    <t>-626.259025134482 -66.2703372916316 828.774242122356</t>
  </si>
  <si>
    <t>9763-20170724T104653.980638800.bin</t>
  </si>
  <si>
    <t>-849.030054812417 0.672002445512362 -553.364582864213</t>
  </si>
  <si>
    <t>-893.664748430476 128.833311744505 -531.458725990942</t>
  </si>
  <si>
    <t>-912.768754730434 159.747003156104 -239.447481570044</t>
  </si>
  <si>
    <t>-678.669183748777 211.785674087411 -262.690544317102</t>
  </si>
  <si>
    <t>-840.127644840373 83.1226859278252 -98.7452190399345</t>
  </si>
  <si>
    <t>-852.469439817928 121.015067854072 302.834816151399</t>
  </si>
  <si>
    <t>-882.652550561337 176.764198826598 746.147676699845</t>
  </si>
  <si>
    <t>-737.561914253612 163.296882358927 808.233388109822</t>
  </si>
  <si>
    <t>-743.51051617894 -88.8556898831514 310.835155351588</t>
  </si>
  <si>
    <t>-765.835558259351 -91.1046019505807 758.13542183195</t>
  </si>
  <si>
    <t>-626.247998382094 -66.3410953522402 828.770908842305</t>
  </si>
  <si>
    <t>9763-20170724T104654.046822900.bin</t>
  </si>
  <si>
    <t>-849.367204923119 0.756582512164869 -553.349612999667</t>
  </si>
  <si>
    <t>-894.261581404028 128.821848448531 -531.375767656252</t>
  </si>
  <si>
    <t>-914.037530327179 158.977927385873 -239.330001952149</t>
  </si>
  <si>
    <t>-680.07772551032 211.039671154587 -263.89074432154</t>
  </si>
  <si>
    <t>-840.440022302247 83.3923281712086 -98.7737530909321</t>
  </si>
  <si>
    <t>-852.56631205333 121.08323786702 302.831832952401</t>
  </si>
  <si>
    <t>-882.662902241778 176.779005512497 746.18985999447</t>
  </si>
  <si>
    <t>-737.554860853131 163.426872860912 808.259895039088</t>
  </si>
  <si>
    <t>-743.426540058408 -88.6767471293321 310.83273987652</t>
  </si>
  <si>
    <t>-765.861492749594 -91.0520736249856 758.111754931557</t>
  </si>
  <si>
    <t>-626.316998330261 -66.0987362543115 828.765568724626</t>
  </si>
  <si>
    <t>9763-20170724T104654.079905800.bin</t>
  </si>
  <si>
    <t>-849.538138025205 0.76768925463125 -553.340612422067</t>
  </si>
  <si>
    <t>-894.5586087567 128.779701593746 -531.33894620528</t>
  </si>
  <si>
    <t>-914.779547884836 158.553969266211 -239.284438497407</t>
  </si>
  <si>
    <t>-680.877892748462 210.632117956335 -264.359520487348</t>
  </si>
  <si>
    <t>-840.542360227057 83.5016743040362 -98.7849424652711</t>
  </si>
  <si>
    <t>-852.530612862577 121.145647018647 302.829184170188</t>
  </si>
  <si>
    <t>-882.673818000893 176.801464406676 746.200712360256</t>
  </si>
  <si>
    <t>-737.567649978339 163.410670518763 808.266632698684</t>
  </si>
  <si>
    <t>-743.431653415416 -88.5326105700379 310.822557713458</t>
  </si>
  <si>
    <t>-765.896693042015 -90.9759558072831 758.096548973597</t>
  </si>
  <si>
    <t>-626.32165990745 -66.2540960759964 828.771421913953</t>
  </si>
  <si>
    <t>9763-20170724T104654.146977200.bin</t>
  </si>
  <si>
    <t>-849.913021966762 0.601533450043462 -553.300242397538</t>
  </si>
  <si>
    <t>-895.227252203877 128.497432767866 -531.233183384116</t>
  </si>
  <si>
    <t>-916.123397369429 157.346732076835 -239.133479233207</t>
  </si>
  <si>
    <t>-682.338911144291 209.597660722223 -264.930531277971</t>
  </si>
  <si>
    <t>-840.707130558646 83.5421443338537 -98.8033873642945</t>
  </si>
  <si>
    <t>-852.443602340123 121.095231203112 302.826641481171</t>
  </si>
  <si>
    <t>-882.688525206043 176.853734030532 746.194566642272</t>
  </si>
  <si>
    <t>-737.598985354781 163.288624444628 808.261283826581</t>
  </si>
  <si>
    <t>-743.286434237444 -88.5055511223829 310.811507934064</t>
  </si>
  <si>
    <t>-765.807360142085 -91.1805096250974 758.085584412724</t>
  </si>
  <si>
    <t>-626.279449650621 -66.235012029201 828.774853252052</t>
  </si>
  <si>
    <t>9763-20170724T104654.185078900.bin</t>
  </si>
  <si>
    <t>-850.112850989853 0.599418879350424 -553.275003261986</t>
  </si>
  <si>
    <t>-895.588581869833 128.43034962796 -531.162227924438</t>
  </si>
  <si>
    <t>-916.793786623346 156.881220650253 -239.045541205001</t>
  </si>
  <si>
    <t>-683.074725358141 209.318775138151 -265.056480855454</t>
  </si>
  <si>
    <t>-840.745288383463 83.4991792077262 -98.8015549769445</t>
  </si>
  <si>
    <t>-852.432611388405 121.058943542846 302.829342552804</t>
  </si>
  <si>
    <t>-882.692362335784 176.862767519356 746.191547845885</t>
  </si>
  <si>
    <t>-737.596648623123 163.338808515042 808.252825655505</t>
  </si>
  <si>
    <t>-743.251558629598 -88.4269457608644 310.811241620726</t>
  </si>
  <si>
    <t>-765.86675731847 -91.0684501418101 758.078158496352</t>
  </si>
  <si>
    <t>-626.265464140685 -66.5807063680093 828.782589908414</t>
  </si>
  <si>
    <t>9763-20170724T104654.252287700.bin</t>
  </si>
  <si>
    <t>-850.435245779168 0.419623678926882 -553.208643610062</t>
  </si>
  <si>
    <t>-896.221813143658 128.120904032832 -530.974200221731</t>
  </si>
  <si>
    <t>-917.893648029081 155.765238980742 -238.814432455623</t>
  </si>
  <si>
    <t>-684.342284087152 208.675052554088 -265.36986014334</t>
  </si>
  <si>
    <t>-840.76772680684 83.3533079850019 -98.795804800974</t>
  </si>
  <si>
    <t>-852.421499364127 120.930869558574 302.83434119119</t>
  </si>
  <si>
    <t>-882.688886710404 176.791278138651 746.187528370203</t>
  </si>
  <si>
    <t>-737.572058927346 163.435878881573 808.236095710614</t>
  </si>
  <si>
    <t>-743.203341578826 -88.4723774842313 310.825205443974</t>
  </si>
  <si>
    <t>-765.917021642567 -91.0078630171334 758.077740885688</t>
  </si>
  <si>
    <t>-626.289203017538 -66.6908777274579 828.788886641956</t>
  </si>
  <si>
    <t>9763-20170724T104654.281364900.bin</t>
  </si>
  <si>
    <t>-850.528123835148 0.363637242190862 -553.192057714437</t>
  </si>
  <si>
    <t>-896.496105311763 127.991086159692 -530.905121118211</t>
  </si>
  <si>
    <t>-918.423747816074 155.16597422201 -238.720433862176</t>
  </si>
  <si>
    <t>-685.006372287066 208.460017095015 -265.68216901721</t>
  </si>
  <si>
    <t>-840.830690006133 83.3792928805797 -98.8048077295774</t>
  </si>
  <si>
    <t>-852.425270229621 120.889634915059 302.833341412954</t>
  </si>
  <si>
    <t>-882.710183820817 176.858836200111 746.187112027295</t>
  </si>
  <si>
    <t>-737.608332743655 163.342393615571 808.236117408402</t>
  </si>
  <si>
    <t>-743.179146789107 -88.5701352938127 310.823997425846</t>
  </si>
  <si>
    <t>-765.920317727089 -91.0287486048351 758.082542990717</t>
  </si>
  <si>
    <t>-626.386092419957 -66.1379726328026 828.778648564925</t>
  </si>
  <si>
    <t>9763-20170724T104654.350070300.bin</t>
  </si>
  <si>
    <t>-850.555628646509 0.215825476110467 -553.179790803676</t>
  </si>
  <si>
    <t>-896.832836826178 127.722060993643 -530.842679987749</t>
  </si>
  <si>
    <t>-919.767918370304 154.047525974303 -238.657402086617</t>
  </si>
  <si>
    <t>-686.584474459684 207.952956597324 -266.416644875934</t>
  </si>
  <si>
    <t>-840.902684506122 83.3017123784214 -98.8010090577527</t>
  </si>
  <si>
    <t>-852.449674777823 120.775747201958 302.841922755751</t>
  </si>
  <si>
    <t>-882.729469552012 176.889745929786 746.187817885051</t>
  </si>
  <si>
    <t>-737.631676457368 163.283721270252 808.226502390181</t>
  </si>
  <si>
    <t>-743.025238732822 -88.7533826870767 310.824314781653</t>
  </si>
  <si>
    <t>-765.806861732651 -91.2923453862679 758.080049926594</t>
  </si>
  <si>
    <t>-626.339827808999 -66.0147435758048 828.771646866093</t>
  </si>
  <si>
    <t>9763-20170724T104654.382154600.bin</t>
  </si>
  <si>
    <t>-850.573402335608 0.0932354689516615 -553.172389438343</t>
  </si>
  <si>
    <t>-897.016599550553 127.537125392554 -530.834432161838</t>
  </si>
  <si>
    <t>-920.515612451695 153.413407567644 -238.654038274446</t>
  </si>
  <si>
    <t>-687.466703093127 207.709232769421 -266.778667086288</t>
  </si>
  <si>
    <t>-840.919610811921 83.2020032462083 -98.7961507732934</t>
  </si>
  <si>
    <t>-852.449840055134 120.654049536481 302.849297961282</t>
  </si>
  <si>
    <t>-882.735500199785 176.87282350182 746.185471195225</t>
  </si>
  <si>
    <t>-737.624862628729 163.384796300844 808.219890854612</t>
  </si>
  <si>
    <t>-742.991835185949 -88.7511403894663 310.819244132962</t>
  </si>
  <si>
    <t>-765.86402490993 -91.1806631331374 758.073853332588</t>
  </si>
  <si>
    <t>-626.334534005236 -66.2799422653476 828.77583598412</t>
  </si>
  <si>
    <t>9763-20170724T104654.450369400.bin</t>
  </si>
  <si>
    <t>-897.427051458256 127.111926625576 -530.791504921462</t>
  </si>
  <si>
    <t>-922.255386344056 152.031743016612 -238.637834902735</t>
  </si>
  <si>
    <t>-689.493816683482 207.086738037255 -267.653104331496</t>
  </si>
  <si>
    <t>-840.927604480661 82.9921733471178 -98.7781643843697</t>
  </si>
  <si>
    <t>-852.368960104335 120.442507639044 302.869963193711</t>
  </si>
  <si>
    <t>-882.749408046378 176.857810209883 746.180344436995</t>
  </si>
  <si>
    <t>-737.638804361977 163.350141509966 808.210720251762</t>
  </si>
  <si>
    <t>-742.835876778767 -88.7005140709456 310.828197847699</t>
  </si>
  <si>
    <t>-765.948366766581 -91.0225818002034 758.05921122421</t>
  </si>
  <si>
    <t>-626.373165387521 -66.4072762179709 828.770920777432</t>
  </si>
  <si>
    <t>9763-20170724T104654.486464000.bin</t>
  </si>
  <si>
    <t>-897.663308240116 126.861728871588 -530.794857912386</t>
  </si>
  <si>
    <t>-923.331820609741 151.230606024197 -238.667290540074</t>
  </si>
  <si>
    <t>-690.718226832918 206.718410086928 -268.041913965982</t>
  </si>
  <si>
    <t>-840.9765679692 82.8970386269302 -98.7803011787156</t>
  </si>
  <si>
    <t>-852.308570958177 120.334085888798 302.872210397656</t>
  </si>
  <si>
    <t>-882.752161993754 176.861732441942 746.169111886102</t>
  </si>
  <si>
    <t>-737.641340815416 163.376395193517 808.203791642143</t>
  </si>
  <si>
    <t>-742.774595815322 -88.6732050914081 310.825573138169</t>
  </si>
  <si>
    <t>-766.013751132105 -90.9175342876529 758.057495845811</t>
  </si>
  <si>
    <t>-626.421971978651 -66.3924000131651 828.767780518478</t>
  </si>
  <si>
    <t>9763-20170724T104654.547993600.bin</t>
  </si>
  <si>
    <t>-898.395475706918 126.194446978056 -530.836189711209</t>
  </si>
  <si>
    <t>-925.474780766314 149.537120132441 -238.752178658215</t>
  </si>
  <si>
    <t>-693.132511826292 206.030675404647 -268.357401492761</t>
  </si>
  <si>
    <t>-841.228683236231 82.5941305013926 -98.7885943126638</t>
  </si>
  <si>
    <t>-852.36776785791 120.013467363194 302.870926313903</t>
  </si>
  <si>
    <t>-882.74350103507 176.843982300334 746.139796911558</t>
  </si>
  <si>
    <t>-737.635752071376 163.398548279158 808.190356347647</t>
  </si>
  <si>
    <t>-742.73887629549 -88.8561411931307 310.825919626343</t>
  </si>
  <si>
    <t>-765.913074725747 -91.1950277672712 758.06602888964</t>
  </si>
  <si>
    <t>-626.399029457393 -66.1702069594841 828.754723936647</t>
  </si>
  <si>
    <t>9763-20170724T104654.580079300.bin</t>
  </si>
  <si>
    <t>-898.75605356141 125.776092698395 -530.838790956696</t>
  </si>
  <si>
    <t>-926.282466213115 148.732826206684 -238.766145202657</t>
  </si>
  <si>
    <t>-694.051511208233 205.692584507322 -268.350513468305</t>
  </si>
  <si>
    <t>-841.371324190071 82.3258715820109 -98.7948386504039</t>
  </si>
  <si>
    <t>-852.462297695678 119.853519603625 302.855897127715</t>
  </si>
  <si>
    <t>-882.727688268199 176.798637260572 746.120932178828</t>
  </si>
  <si>
    <t>-737.617234333747 163.450368303059 808.186115172484</t>
  </si>
  <si>
    <t>-742.727635983641 -88.9689852666103 310.829564537035</t>
  </si>
  <si>
    <t>-765.889485992882 -91.2912766248286 758.078283320888</t>
  </si>
  <si>
    <t>-626.434546071115 -65.8719676005666 828.742852052945</t>
  </si>
  <si>
    <t>9763-20170724T104654.651277300.bin</t>
  </si>
  <si>
    <t>-899.236769624199 125.174309314601 -530.774435953219</t>
  </si>
  <si>
    <t>-927.013667481111 147.617801748577 -238.685517705179</t>
  </si>
  <si>
    <t>-694.975795449971 205.367858641465 -268.252864265405</t>
  </si>
  <si>
    <t>-841.713711204917 81.7663356006999 -98.7887642763666</t>
  </si>
  <si>
    <t>-852.767172965707 119.629844888366 302.831568655426</t>
  </si>
  <si>
    <t>-882.70514852127 176.737267479463 746.086553854404</t>
  </si>
  <si>
    <t>-737.599924971595 163.45607659436 808.178231026988</t>
  </si>
  <si>
    <t>-742.893899923257 -88.9072748546344 310.846146930445</t>
  </si>
  <si>
    <t>-766.059671183029 -91.0244133418754 758.100685349554</t>
  </si>
  <si>
    <t>-626.458963339379 -66.3680338240035 828.747623459317</t>
  </si>
  <si>
    <t>9763-20170724T104654.681359100.bin</t>
  </si>
  <si>
    <t>-899.389773240595 124.833784477763 -530.728520838707</t>
  </si>
  <si>
    <t>-927.290976377695 147.073409938893 -238.635902546523</t>
  </si>
  <si>
    <t>-695.324747876146 205.031355305714 -268.357936263551</t>
  </si>
  <si>
    <t>-841.914058499708 81.5422170846887 -98.7822792943034</t>
  </si>
  <si>
    <t>-852.925008816935 119.493420346308 302.830884125186</t>
  </si>
  <si>
    <t>-882.704442030993 176.720628199485 746.081024855866</t>
  </si>
  <si>
    <t>-737.594807242485 163.485136964334 808.172031710821</t>
  </si>
  <si>
    <t>-742.822753194607 -89.1222710708711 310.855751564394</t>
  </si>
  <si>
    <t>-765.920638159579 -91.3321616351681 758.104974179053</t>
  </si>
  <si>
    <t>-626.426434869465 -66.0450790433156 828.739444699493</t>
  </si>
  <si>
    <t>9763-20170724T104654.750549700.bin</t>
  </si>
  <si>
    <t>-899.826825748797 124.312650453075 -530.683543927606</t>
  </si>
  <si>
    <t>-928.30701394263 146.237401553818 -238.622998632935</t>
  </si>
  <si>
    <t>-696.505853210473 204.581513016614 -268.872604449081</t>
  </si>
  <si>
    <t>-842.244334717964 81.2762556897317 -98.7682168073551</t>
  </si>
  <si>
    <t>-853.180553426807 119.348934739128 302.835460015273</t>
  </si>
  <si>
    <t>-882.725448073249 176.760199916825 746.080082648122</t>
  </si>
  <si>
    <t>-737.629284510999 163.389589531889 808.173950055418</t>
  </si>
  <si>
    <t>-742.80005155525 -89.2487743497659 310.854075649401</t>
  </si>
  <si>
    <t>-765.93444419069 -91.334114593576 758.116676211758</t>
  </si>
  <si>
    <t>-626.435263171136 -66.0631071753063 828.746938070524</t>
  </si>
  <si>
    <t>9763-20170724T104654.779626900.bin</t>
  </si>
  <si>
    <t>-900.032920598762 124.033250462655 -530.660113742887</t>
  </si>
  <si>
    <t>-928.830823788108 145.900966079609 -238.626416669655</t>
  </si>
  <si>
    <t>-697.111125322245 204.413921437547 -269.172976249016</t>
  </si>
  <si>
    <t>-842.348002601583 81.1491934825908 -98.7692510291439</t>
  </si>
  <si>
    <t>-853.277834696902 119.261113612744 302.830923225963</t>
  </si>
  <si>
    <t>-882.731261651855 176.731693485757 746.083501680274</t>
  </si>
  <si>
    <t>-737.618147065419 163.504161335433 808.168175221556</t>
  </si>
  <si>
    <t>-742.886448385993 -89.3969816403716 310.862789715653</t>
  </si>
  <si>
    <t>-765.862869133942 -91.4992251965178 758.126422598977</t>
  </si>
  <si>
    <t>-626.384871527645 -66.0877032369265 828.748400782462</t>
  </si>
  <si>
    <t>9763-20170724T104654.875892100.bin</t>
  </si>
  <si>
    <t>-900.24063076127 123.851128630508 -530.649998193991</t>
  </si>
  <si>
    <t>-929.429598364473 145.753919482562 -238.657741058992</t>
  </si>
  <si>
    <t>-697.760606236475 204.33999889401 -269.447943183657</t>
  </si>
  <si>
    <t>-842.432804745881 81.0364148088465 -98.76622264112</t>
  </si>
  <si>
    <t>-853.330795993666 119.173958697673 302.832335664482</t>
  </si>
  <si>
    <t>-882.734019542148 176.683393736597 746.083990610066</t>
  </si>
  <si>
    <t>-737.604546275574 163.579466562423 808.15685074897</t>
  </si>
  <si>
    <t>-743.031748250598 -89.4298338931899 310.876549533936</t>
  </si>
  <si>
    <t>-765.919644930828 -91.3970538310567 758.133304217678</t>
  </si>
  <si>
    <t>-626.366524835535 -66.411735134294 828.758758929752</t>
  </si>
  <si>
    <t>9763-20170724T104654.884915200.bin</t>
  </si>
  <si>
    <t>-900.665223313207 123.430667001689 -530.686843328709</t>
  </si>
  <si>
    <t>-930.859513597119 144.963543560631 -238.769309569937</t>
  </si>
  <si>
    <t>-699.309755458826 203.803669822772 -269.969143553936</t>
  </si>
  <si>
    <t>-842.56490031849 80.9205425320483 -98.7902398447028</t>
  </si>
  <si>
    <t>-853.2691591733 118.970300831848 302.821897003401</t>
  </si>
  <si>
    <t>-882.744350385152 176.623750235152 746.06967207554</t>
  </si>
  <si>
    <t>-737.611414841503 163.518201835862 808.134024129775</t>
  </si>
  <si>
    <t>-743.050279216992 -89.5553503306717 310.888447322761</t>
  </si>
  <si>
    <t>-765.9658087365 -91.3194582920064 758.151846551941</t>
  </si>
  <si>
    <t>-626.443053253649 -66.1401611600379 828.768340592928</t>
  </si>
  <si>
    <t>9763-20170724T104654.918008300.bin</t>
  </si>
  <si>
    <t>-900.78059746553 123.214307405208 -530.682783844327</t>
  </si>
  <si>
    <t>-931.553104191512 144.416436255381 -238.801483139781</t>
  </si>
  <si>
    <t>-700.023166577504 203.248738106501 -270.162567932296</t>
  </si>
  <si>
    <t>-842.509872788052 80.8217644071724 -98.7824203814785</t>
  </si>
  <si>
    <t>-853.156279394125 118.857447433483 302.832559276985</t>
  </si>
  <si>
    <t>-882.75081105613 176.597583358917 746.063625746801</t>
  </si>
  <si>
    <t>-737.613586008662 163.521414510764 808.124151620508</t>
  </si>
  <si>
    <t>-743.05796738874 -89.6053860846005 310.893969427975</t>
  </si>
  <si>
    <t>-765.971566774316 -91.319369519191 758.158414277829</t>
  </si>
  <si>
    <t>-626.462958637641 -66.0588005438905 828.773907361736</t>
  </si>
  <si>
    <t>9763-20170724T104654.987199200.bin</t>
  </si>
  <si>
    <t>-900.844803027035 122.872050420197 -530.678905058165</t>
  </si>
  <si>
    <t>-932.602289257657 143.458495089061 -238.858974828965</t>
  </si>
  <si>
    <t>-701.104582139373 202.364379910015 -270.319574288329</t>
  </si>
  <si>
    <t>-842.373372131551 80.6954580717743 -98.7841677270271</t>
  </si>
  <si>
    <t>-852.966057575362 118.748697497352 302.830583270076</t>
  </si>
  <si>
    <t>-882.782935702048 176.669937862232 746.03699552322</t>
  </si>
  <si>
    <t>-737.654389601771 163.487625228133 808.095421710071</t>
  </si>
  <si>
    <t>-743.015647777572 -89.6615603535023 310.918359336085</t>
  </si>
  <si>
    <t>-766.002044017472 -91.2686348029413 758.167007180027</t>
  </si>
  <si>
    <t>-626.465187850009 -66.1697553654446 828.784437138971</t>
  </si>
  <si>
    <t>9763-20170724T104655.049177700.bin</t>
  </si>
  <si>
    <t>-901.123412923448 122.424619720878 -530.679384307202</t>
  </si>
  <si>
    <t>-934.227327100098 142.211502972756 -238.953800074628</t>
  </si>
  <si>
    <t>-702.591742523654 200.735754108124 -270.111167860059</t>
  </si>
  <si>
    <t>-842.229634701798 80.5011980961619 -98.8068681971272</t>
  </si>
  <si>
    <t>-852.802133698373 118.577832233623 302.806117594272</t>
  </si>
  <si>
    <t>-882.776846992732 176.563665216763 745.972521115537</t>
  </si>
  <si>
    <t>-737.654526036341 163.356050930819 808.040106084967</t>
  </si>
  <si>
    <t>-742.958279157071 -89.6836311553551 310.92587384641</t>
  </si>
  <si>
    <t>-766.0779675153 -91.1303229476313 758.173866505814</t>
  </si>
  <si>
    <t>-626.462529687475 -66.486195346498 828.79609932369</t>
  </si>
  <si>
    <t>9763-20170724T104655.082266300.bin</t>
  </si>
  <si>
    <t>-901.233316530423 122.194302657122 -530.682383933034</t>
  </si>
  <si>
    <t>-934.732994965371 141.705289637477 -238.983397406443</t>
  </si>
  <si>
    <t>-703.08088600661 200.20901849728 -270.055559151779</t>
  </si>
  <si>
    <t>-842.146190677703 80.4268230953846 -98.8178038635989</t>
  </si>
  <si>
    <t>-852.712203052099 118.488600268301 302.79684522492</t>
  </si>
  <si>
    <t>-882.783507207134 176.552980901556 745.955466398703</t>
  </si>
  <si>
    <t>-737.650887042215 163.435170015666 808.017608841012</t>
  </si>
  <si>
    <t>-742.871099476369 -89.7870293247894 310.931644079418</t>
  </si>
  <si>
    <t>-766.032907635353 -91.2208685349519 758.171386799959</t>
  </si>
  <si>
    <t>-626.48362498761 -66.1941340675311 828.789662676507</t>
  </si>
  <si>
    <t>9763-20170724T104655.148184500.bin</t>
  </si>
  <si>
    <t>-901.487786918637 121.814190462355 -530.644419381366</t>
  </si>
  <si>
    <t>-935.827696407977 140.70702715697 -239.002393047576</t>
  </si>
  <si>
    <t>-704.243127680336 199.407651315583 -270.206757809381</t>
  </si>
  <si>
    <t>-842.02013197413 80.249006239756 -98.8310633305223</t>
  </si>
  <si>
    <t>-852.567469433774 118.316296105691 302.783531720122</t>
  </si>
  <si>
    <t>-882.785741001485 176.488833927082 745.923418967661</t>
  </si>
  <si>
    <t>-737.647735163822 163.414929205225 807.982277749398</t>
  </si>
  <si>
    <t>-742.569429386166 -89.9663793197358 310.924503858436</t>
  </si>
  <si>
    <t>-765.921662813759 -91.433549785776 758.152127032488</t>
  </si>
  <si>
    <t>-626.473760079761 -65.8674359083273 828.777541569563</t>
  </si>
  <si>
    <t>9763-20170724T104655.180275200.bin</t>
  </si>
  <si>
    <t>-901.626187622576 121.693377811206 -530.621727912766</t>
  </si>
  <si>
    <t>-936.568072661142 140.336521991552 -239.035165978806</t>
  </si>
  <si>
    <t>-704.98473946554 199.056426541078 -270.211856578396</t>
  </si>
  <si>
    <t>-841.977744476562 80.2317700130807 -98.8391490970894</t>
  </si>
  <si>
    <t>-852.510033070784 118.284534810883 302.777229596398</t>
  </si>
  <si>
    <t>-882.81469829164 176.581486075723 745.909851575653</t>
  </si>
  <si>
    <t>-737.692317058884 163.331131258549 807.967932068295</t>
  </si>
  <si>
    <t>-742.494796197121 -89.9466575543723 310.916588382164</t>
  </si>
  <si>
    <t>-765.935109346716 -91.3976144238198 758.145725113081</t>
  </si>
  <si>
    <t>-626.446641087102 -66.0873279096722 828.783208643427</t>
  </si>
  <si>
    <t>9763-20170724T104655.250471000.bin</t>
  </si>
  <si>
    <t>-901.986492789599 121.311745464252 -530.654925171679</t>
  </si>
  <si>
    <t>-938.512060403829 139.415306347305 -239.228576152233</t>
  </si>
  <si>
    <t>-706.989350299087 198.280054756361 -270.582014352096</t>
  </si>
  <si>
    <t>-841.984478069615 79.9635835877148 -98.8437296338841</t>
  </si>
  <si>
    <t>-852.378792533616 118.071868228373 302.770993242375</t>
  </si>
  <si>
    <t>-882.816198049978 176.519592416452 745.865925369014</t>
  </si>
  <si>
    <t>-737.688825967999 163.349520042202 807.929439192921</t>
  </si>
  <si>
    <t>-742.356740878047 -90.0181205111439 310.923588901127</t>
  </si>
  <si>
    <t>-765.905391255882 -91.4719237279664 758.146172381559</t>
  </si>
  <si>
    <t>-626.442326064574 -66.0168557332308 828.781675391745</t>
  </si>
  <si>
    <t>9763-20170724T104655.282553600.bin</t>
  </si>
  <si>
    <t>-902.214730251264 121.14481040143 -530.653504496373</t>
  </si>
  <si>
    <t>-939.504091797736 139.08079663234 -239.313425306313</t>
  </si>
  <si>
    <t>-707.997920194484 197.983048040211 -270.717784140704</t>
  </si>
  <si>
    <t>-842.018049412086 79.8275394125585 -98.8440004945637</t>
  </si>
  <si>
    <t>-852.365773875966 117.973611237408 302.768355214747</t>
  </si>
  <si>
    <t>-882.817116844523 176.487859817095 745.846595154502</t>
  </si>
  <si>
    <t>-737.685153651295 163.370476784592 807.910701188567</t>
  </si>
  <si>
    <t>-742.403100374138 -89.9469565245246 310.924143543263</t>
  </si>
  <si>
    <t>-766.011805886962 -91.2582442500815 758.145506744102</t>
  </si>
  <si>
    <t>-626.474444567543 -66.2356658044205 828.788880051918</t>
  </si>
  <si>
    <t>9763-20170724T104655.347244000.bin</t>
  </si>
  <si>
    <t>-902.716544501919 120.819119091491 -530.669927156053</t>
  </si>
  <si>
    <t>-941.356206284207 138.191722924013 -239.471732443841</t>
  </si>
  <si>
    <t>-709.873525355828 197.277226148367 -270.706124610237</t>
  </si>
  <si>
    <t>-842.084310983987 79.6680368804512 -98.8543468891443</t>
  </si>
  <si>
    <t>-852.367274579157 117.87167132729 302.754157412457</t>
  </si>
  <si>
    <t>-882.832483064219 176.439521858814 745.821562087078</t>
  </si>
  <si>
    <t>-737.692863535373 163.35751559352 807.875113742943</t>
  </si>
  <si>
    <t>-742.377105620512 -89.8967175808631 310.923291680792</t>
  </si>
  <si>
    <t>-766.057554666537 -91.1608889225156 758.136550160148</t>
  </si>
  <si>
    <t>-626.501228375574 -66.2662797874768 828.787630951659</t>
  </si>
  <si>
    <t>9763-20170724T104655.381349900.bin</t>
  </si>
  <si>
    <t>-902.979641559775 120.594192994659 -530.654632044271</t>
  </si>
  <si>
    <t>-942.42204728051 137.592466443563 -239.542041302393</t>
  </si>
  <si>
    <t>-710.960050245364 196.817082098934 -270.664867380133</t>
  </si>
  <si>
    <t>-842.112878514575 79.5353237076699 -98.8495590321235</t>
  </si>
  <si>
    <t>-852.359321015276 117.76669066257 302.757236482473</t>
  </si>
  <si>
    <t>-882.842028097526 176.435722770653 745.809067700777</t>
  </si>
  <si>
    <t>-737.691639822531 163.439315632387 807.855457068039</t>
  </si>
  <si>
    <t>-742.264275910876 -89.9851877795131 310.915155463527</t>
  </si>
  <si>
    <t>-766.01327732527 -91.2422050444408 758.136270291759</t>
  </si>
  <si>
    <t>-626.506527662739 -66.0620074208042 828.78409510302</t>
  </si>
  <si>
    <t>9763-20170724T104655.450527400.bin</t>
  </si>
  <si>
    <t>-903.57621823248 120.126115521364 -530.653149023999</t>
  </si>
  <si>
    <t>-944.771273818193 136.178096997725 -239.729656708377</t>
  </si>
  <si>
    <t>-713.340591898149 195.645669446519 -270.620776946184</t>
  </si>
  <si>
    <t>-842.137277903531 79.2808853924807 -98.8498870162548</t>
  </si>
  <si>
    <t>-852.323462891243 117.578547317138 302.752146005053</t>
  </si>
  <si>
    <t>-882.852954750711 176.393200845698 745.785493875841</t>
  </si>
  <si>
    <t>-737.699447175501 163.401468543353 807.825810700973</t>
  </si>
  <si>
    <t>-741.9740850147 -89.9684738676227 310.915909207827</t>
  </si>
  <si>
    <t>-766.054226724119 -91.1402602781424 758.123956529274</t>
  </si>
  <si>
    <t>-626.544833642418 -66.0005499133531 828.781008584038</t>
  </si>
  <si>
    <t>9763-20170724T104655.484618400.bin</t>
  </si>
  <si>
    <t>-903.913048832664 119.837512480397 -530.660480658492</t>
  </si>
  <si>
    <t>-945.899778889184 135.319021524028 -239.819290477962</t>
  </si>
  <si>
    <t>-714.512962605077 195.057654953027 -270.516706392862</t>
  </si>
  <si>
    <t>-842.221582558488 79.1009085184146 -98.8475569973807</t>
  </si>
  <si>
    <t>-852.269886637174 117.426185845601 302.755276299858</t>
  </si>
  <si>
    <t>-882.848749679548 176.314481100009 745.771285840106</t>
  </si>
  <si>
    <t>-737.689864795994 163.391696882436 807.813397028598</t>
  </si>
  <si>
    <t>-741.901999291703 -89.9236883828864 310.912052679088</t>
  </si>
  <si>
    <t>-766.094117370455 -91.0538383517131 758.119246860767</t>
  </si>
  <si>
    <t>-626.539412416663 -66.1788519058144 828.780471741671</t>
  </si>
  <si>
    <t>9763-20170724T104655.547593100.bin</t>
  </si>
  <si>
    <t>-904.533668986412 119.136461472881 -530.650515202675</t>
  </si>
  <si>
    <t>-947.821024419529 133.841797497305 -239.959724327617</t>
  </si>
  <si>
    <t>-716.480494963531 194.039729492677 -270.103235852631</t>
  </si>
  <si>
    <t>-842.489647059757 78.7036373118829 -98.861114261536</t>
  </si>
  <si>
    <t>-852.276043526699 117.081956251636 302.743124043952</t>
  </si>
  <si>
    <t>-882.835431483702 176.188243499479 745.729374811653</t>
  </si>
  <si>
    <t>-737.671337003916 163.415312290139 807.789966691743</t>
  </si>
  <si>
    <t>-741.87573432699 -89.9317309229034 310.920128295695</t>
  </si>
  <si>
    <t>-766.072507123165 -91.1111552732441 758.126496396608</t>
  </si>
  <si>
    <t>-626.502925045091 -66.2851724584882 828.775681334761</t>
  </si>
  <si>
    <t>9763-20170724T104655.579678100.bin</t>
  </si>
  <si>
    <t>-904.86772886265 118.719792983439 -530.653839843614</t>
  </si>
  <si>
    <t>-948.483149808827 133.070428064858 -239.994120418839</t>
  </si>
  <si>
    <t>-717.194376796526 193.582800711056 -269.905002013402</t>
  </si>
  <si>
    <t>-842.635801371796 78.5181938585902 -98.8743891508121</t>
  </si>
  <si>
    <t>-852.363944944973 116.997687325714 302.721617235272</t>
  </si>
  <si>
    <t>-882.836872148673 176.185627807544 745.706778583954</t>
  </si>
  <si>
    <t>-737.679435134467 163.376265946154 807.775601861205</t>
  </si>
  <si>
    <t>-741.78309630993 -90.0743343668803 310.927459065711</t>
  </si>
  <si>
    <t>-766.024156011231 -91.2042844436457 758.130585449463</t>
  </si>
  <si>
    <t>-626.547057852049 -65.8238136248585 828.765309660591</t>
  </si>
  <si>
    <t>9763-20170724T104655.650912700.bin</t>
  </si>
  <si>
    <t>-905.629198690734 118.024106929267 -530.568707373746</t>
  </si>
  <si>
    <t>-949.494434922297 132.119244439173 -239.934096944008</t>
  </si>
  <si>
    <t>-718.23817804453 192.89662631443 -269.55781010987</t>
  </si>
  <si>
    <t>-842.971113829416 78.2459993879475 -98.9178513007997</t>
  </si>
  <si>
    <t>-852.630130207634 116.848888910881 302.66802326501</t>
  </si>
  <si>
    <t>-882.844529985312 176.162390435964 745.660795150436</t>
  </si>
  <si>
    <t>-737.692088836886 163.347524655698 807.740198212106</t>
  </si>
  <si>
    <t>-741.698040424954 -90.1138050254308 310.943533379612</t>
  </si>
  <si>
    <t>-766.035674758925 -91.1917545882407 758.1419685462</t>
  </si>
  <si>
    <t>-626.55055775018 -65.8184199654715 828.763501930647</t>
  </si>
  <si>
    <t>9763-20170724T104655.680993100.bin</t>
  </si>
  <si>
    <t>-905.940606776712 117.63647449487 -530.551539749979</t>
  </si>
  <si>
    <t>-949.9143508667 131.584277111182 -239.926402016631</t>
  </si>
  <si>
    <t>-718.682967796775 192.444081231988 -269.574106015623</t>
  </si>
  <si>
    <t>-843.004219993975 78.0214963641718 -98.9289912336468</t>
  </si>
  <si>
    <t>-852.636819264648 116.685314419463 302.651601595742</t>
  </si>
  <si>
    <t>-882.840124615775 176.098655297359 745.640372521787</t>
  </si>
  <si>
    <t>-737.676044963934 163.389318410748 807.714161999008</t>
  </si>
  <si>
    <t>-741.714046464975 -90.1184606722189 310.9407852525</t>
  </si>
  <si>
    <t>-766.104948888639 -91.043127351362 758.14628189829</t>
  </si>
  <si>
    <t>-626.597960589777 -65.7768203186037 828.762924770773</t>
  </si>
  <si>
    <t>9763-20170724T104655.748192100.bin</t>
  </si>
  <si>
    <t>-906.285776494319 116.899540640272 -530.447813243516</t>
  </si>
  <si>
    <t>-951.105758835768 130.850719318303 -239.952023771209</t>
  </si>
  <si>
    <t>-719.799347152355 191.403439146595 -269.643358770748</t>
  </si>
  <si>
    <t>-842.950476325611 77.598959615493 -98.9169497718799</t>
  </si>
  <si>
    <t>-852.502968918402 116.332121322278 302.658845647087</t>
  </si>
  <si>
    <t>-882.85717110134 176.032350261951 745.608658639938</t>
  </si>
  <si>
    <t>-737.680498148073 163.410051154344 807.67069679581</t>
  </si>
  <si>
    <t>-741.418395643659 -90.2223286598226 310.953760923596</t>
  </si>
  <si>
    <t>-766.08836380399 -91.0420193088376 758.139482267053</t>
  </si>
  <si>
    <t>-626.623654227672 -65.5466328496208 828.757340281593</t>
  </si>
  <si>
    <t>9763-20170724T104655.779271100.bin</t>
  </si>
  <si>
    <t>-906.376487213305 116.586533387076 -530.431992960685</t>
  </si>
  <si>
    <t>-951.860712771386 130.537128155962 -240.039436428434</t>
  </si>
  <si>
    <t>-720.475386443426 190.799414513717 -269.706523250386</t>
  </si>
  <si>
    <t>-842.818918357772 77.4061545717764 -98.9004065709365</t>
  </si>
  <si>
    <t>-852.395849078243 116.208106838671 302.668210027141</t>
  </si>
  <si>
    <t>-882.870331795645 176.007108437883 745.595554065104</t>
  </si>
  <si>
    <t>-737.693219702241 163.365629609065 807.652833305596</t>
  </si>
  <si>
    <t>-741.253455596878 -90.3853845585514 310.961447103584</t>
  </si>
  <si>
    <t>-766.017876504647 -91.176010806315 758.14258882728</t>
  </si>
  <si>
    <t>-626.622799606248 -65.2820439048739 828.752888207903</t>
  </si>
  <si>
    <t>9763-20170724T104655.847958400.bin</t>
  </si>
  <si>
    <t>-906.467276822006 116.176104608484 -530.395220110641</t>
  </si>
  <si>
    <t>-953.2341912974 130.113031000865 -240.206026049323</t>
  </si>
  <si>
    <t>-721.605861451763 189.595061348193 -269.549772478498</t>
  </si>
  <si>
    <t>-842.533562341603 77.2183978865819 -98.8798916568906</t>
  </si>
  <si>
    <t>-852.201972045147 115.996289308509 302.688843387234</t>
  </si>
  <si>
    <t>-882.90142475025 175.98114210878 745.569440030162</t>
  </si>
  <si>
    <t>-737.719996695396 163.317597352064 807.612017765131</t>
  </si>
  <si>
    <t>-741.06917741772 -90.543898499727 310.994187997189</t>
  </si>
  <si>
    <t>-765.980114380547 -91.2474216910664 758.15502455753</t>
  </si>
  <si>
    <t>-626.564280922681 -65.4426558694208 828.756990300532</t>
  </si>
  <si>
    <t>9763-20170724T104655.887070400.bin</t>
  </si>
  <si>
    <t>-906.357273830925 116.059950109344 -530.352731807625</t>
  </si>
  <si>
    <t>-953.698783121971 130.071118920656 -240.260122689487</t>
  </si>
  <si>
    <t>-721.906417879951 189.065205230303 -269.293213683148</t>
  </si>
  <si>
    <t>-842.357898680568 77.1051388651445 -98.872818388981</t>
  </si>
  <si>
    <t>-852.111810490779 115.925993538615 302.689730435885</t>
  </si>
  <si>
    <t>-882.920065663839 175.992490236264 745.550303553245</t>
  </si>
  <si>
    <t>-737.744355288856 163.264204312467 807.593008289095</t>
  </si>
  <si>
    <t>-741.031486361527 -90.5745962645478 311.00101233854</t>
  </si>
  <si>
    <t>-766.02888528756 -91.1486905014541 758.162168627162</t>
  </si>
  <si>
    <t>-626.587635882628 -65.4722322422433 828.760708575332</t>
  </si>
  <si>
    <t>9763-20170724T104655.946743500.bin</t>
  </si>
  <si>
    <t>-905.824552399299 115.96989120427 -530.29950461806</t>
  </si>
  <si>
    <t>-954.344414201449 129.881511502904 -240.396901118524</t>
  </si>
  <si>
    <t>-722.287919494753 188.072877908405 -268.934688266199</t>
  </si>
  <si>
    <t>-841.939353496574 76.9148443539179 -98.8642263502958</t>
  </si>
  <si>
    <t>-851.922120442583 115.775633161498 302.68878881306</t>
  </si>
  <si>
    <t>-882.957640285721 175.997849253939 745.516893137622</t>
  </si>
  <si>
    <t>-737.777127896898 163.26955664658 807.54828502977</t>
  </si>
  <si>
    <t>-740.87163759366 -90.6641986664096 311.014353037419</t>
  </si>
  <si>
    <t>-766.11475872801 -90.939251675549 758.153771700739</t>
  </si>
  <si>
    <t>-626.649219303641 -65.4226168420818 828.762412863575</t>
  </si>
  <si>
    <t>9763-20170724T104655.980830600.bin</t>
  </si>
  <si>
    <t>-905.40464575587 115.925535720301 -530.256035780829</t>
  </si>
  <si>
    <t>-954.510998272849 129.708005749349 -240.446102461738</t>
  </si>
  <si>
    <t>-722.364755951112 187.61266359817 -268.837074468985</t>
  </si>
  <si>
    <t>-841.715109602659 76.8278666247186 -98.8590645464669</t>
  </si>
  <si>
    <t>-851.726342185348 115.667359814931 302.695342968675</t>
  </si>
  <si>
    <t>-882.966055530339 175.964022273868 745.501006888315</t>
  </si>
  <si>
    <t>-737.780632653021 163.262849899729 807.526601521488</t>
  </si>
  <si>
    <t>-740.704332132151 -90.7829894668312 311.00890220163</t>
  </si>
  <si>
    <t>-766.03414867086 -91.090995717844 758.150482324086</t>
  </si>
  <si>
    <t>-626.565011788563 -65.6176356628439 828.767480539242</t>
  </si>
  <si>
    <t>9763-20170724T104656.048033500.bin</t>
  </si>
  <si>
    <t>-904.598973364568 115.848282583076 -530.180769509133</t>
  </si>
  <si>
    <t>-954.709006512995 129.233313589195 -240.524118395134</t>
  </si>
  <si>
    <t>-722.553966042988 186.996227033227 -269.130763993407</t>
  </si>
  <si>
    <t>-841.224044186953 76.5806474616497 -98.8408649461121</t>
  </si>
  <si>
    <t>-851.406608430799 115.456235607833 302.70569696169</t>
  </si>
  <si>
    <t>-882.999344243717 175.982895426356 745.449606715224</t>
  </si>
  <si>
    <t>-737.820634373901 163.208711018674 807.475943036559</t>
  </si>
  <si>
    <t>-740.544293184026 -90.9199325506579 311.03151699274</t>
  </si>
  <si>
    <t>-766.034291628527 -91.0795186250402 758.157560916719</t>
  </si>
  <si>
    <t>-626.511071380071 -65.9167120934917 828.779150991457</t>
  </si>
  <si>
    <t>9763-20170724T104656.084129500.bin</t>
  </si>
  <si>
    <t>-904.252943178203 115.808418604254 -530.149490631947</t>
  </si>
  <si>
    <t>-954.769605393001 129.039570762608 -240.556369200876</t>
  </si>
  <si>
    <t>-722.663932512394 186.844007263294 -269.477530832707</t>
  </si>
  <si>
    <t>-840.999705020992 76.4108861151442 -98.8250717688111</t>
  </si>
  <si>
    <t>-851.317668575748 115.336665984416 302.713205554053</t>
  </si>
  <si>
    <t>-883.003589973374 175.931552937243 745.429916932458</t>
  </si>
  <si>
    <t>-737.816120987502 163.240283084839 807.452559977713</t>
  </si>
  <si>
    <t>-740.440815509443 -91.0449913103698 311.0403621358</t>
  </si>
  <si>
    <t>-766.012590635627 -91.1273026471629 758.160275313038</t>
  </si>
  <si>
    <t>-626.502858553345 -65.8703166214362 828.774961323094</t>
  </si>
  <si>
    <t>9763-20170724T104656.150355600.bin</t>
  </si>
  <si>
    <t>-903.690928258607 115.720856522095 -530.116163880919</t>
  </si>
  <si>
    <t>-954.872710956194 128.656128843683 -240.626366780252</t>
  </si>
  <si>
    <t>-722.941275360885 186.856999104238 -270.144918384835</t>
  </si>
  <si>
    <t>-840.675260279053 76.2368034894077 -98.8195131814784</t>
  </si>
  <si>
    <t>-851.176175037521 115.16830586966 302.713532181997</t>
  </si>
  <si>
    <t>-883.031744740143 175.967269566734 745.38679195044</t>
  </si>
  <si>
    <t>-737.861499782327 163.122418296902 807.418425173185</t>
  </si>
  <si>
    <t>-740.36701698985 -91.1353597154658 311.049275292844</t>
  </si>
  <si>
    <t>-766.113052071981 -90.9291865953567 758.169235360951</t>
  </si>
  <si>
    <t>-626.560735930262 -65.8858279148026 828.775730103132</t>
  </si>
  <si>
    <t>9763-20170724T104656.184448400.bin</t>
  </si>
  <si>
    <t>-903.384898198988 115.732946578918 -530.098073359127</t>
  </si>
  <si>
    <t>-954.970354596939 128.545119511591 -240.674371139954</t>
  </si>
  <si>
    <t>-723.087919865136 186.889581169035 -270.294049198008</t>
  </si>
  <si>
    <t>-840.525860162504 76.1316701556818 -98.8098878487924</t>
  </si>
  <si>
    <t>-851.107423239552 115.096903791967 302.717699061794</t>
  </si>
  <si>
    <t>-883.038107451214 175.943710861668 745.367933505382</t>
  </si>
  <si>
    <t>-737.86653640561 163.123060134069 807.40130449896</t>
  </si>
  <si>
    <t>-740.336121691824 -91.1417170274073 311.052505089948</t>
  </si>
  <si>
    <t>-766.196971157252 -90.7546678839683 758.169961485677</t>
  </si>
  <si>
    <t>-626.606420337367 -65.9305307958956 828.778158090616</t>
  </si>
  <si>
    <t>9763-20170724T104656.248233700.bin</t>
  </si>
  <si>
    <t>-902.737634402112 115.645366291582 -530.065403528793</t>
  </si>
  <si>
    <t>-955.296831231212 128.171537920975 -240.804614835862</t>
  </si>
  <si>
    <t>-723.533289406804 187.083241927695 -270.232142844057</t>
  </si>
  <si>
    <t>-840.171875809264 75.8913860846371 -98.792382477547</t>
  </si>
  <si>
    <t>-850.957301734739 114.900359649251 302.725559839318</t>
  </si>
  <si>
    <t>-883.046333134162 175.839251995719 745.340813709697</t>
  </si>
  <si>
    <t>-737.860393583033 163.165907665888 807.37096473486</t>
  </si>
  <si>
    <t>-740.056225877488 -91.3801865222415 311.072677181789</t>
  </si>
  <si>
    <t>-766.09299840029 -90.9740378684214 758.175662249228</t>
  </si>
  <si>
    <t>-626.60806306102 -65.5159055297707 828.766967216039</t>
  </si>
  <si>
    <t>9763-20170724T104656.281321200.bin</t>
  </si>
  <si>
    <t>-902.396527825252 115.604318215017 -530.055794129495</t>
  </si>
  <si>
    <t>-955.379249787111 127.947347809343 -240.86431685727</t>
  </si>
  <si>
    <t>-723.634221636357 187.054286618164 -270.044515239112</t>
  </si>
  <si>
    <t>-840.014552767426 75.8070148040872 -98.791482614388</t>
  </si>
  <si>
    <t>-850.875939492974 114.82197980206 302.723836088384</t>
  </si>
  <si>
    <t>-883.054927187496 175.858318563354 745.325246087882</t>
  </si>
  <si>
    <t>-737.878708703228 163.1049456789 807.361447535509</t>
  </si>
  <si>
    <t>-739.926316213289 -91.4549144171555 311.07735404898</t>
  </si>
  <si>
    <t>-766.116304082936 -90.9187481216242 758.178853388165</t>
  </si>
  <si>
    <t>-626.635751083853 -65.4309714090716 828.768010899631</t>
  </si>
  <si>
    <t>9763-20170724T104656.348512000.bin</t>
  </si>
  <si>
    <t>-901.412747587469 115.671606678462 -529.991746140956</t>
  </si>
  <si>
    <t>-955.513918000245 127.570092394116 -240.988710650611</t>
  </si>
  <si>
    <t>-723.805812031704 187.000389229139 -269.803348952807</t>
  </si>
  <si>
    <t>-839.62380002458 75.6678633499907 -98.7852450335024</t>
  </si>
  <si>
    <t>-850.693272979825 114.677540473073 302.724889147399</t>
  </si>
  <si>
    <t>-883.058179821306 175.786387926853 745.303488946954</t>
  </si>
  <si>
    <t>-737.881143055796 163.084152877318 807.348665177258</t>
  </si>
  <si>
    <t>-739.623682969738 -91.654243894356 311.089972539403</t>
  </si>
  <si>
    <t>-766.032658513144 -91.0772447251643 758.178845316164</t>
  </si>
  <si>
    <t>-626.630875346742 -65.1362926989752 828.758632691554</t>
  </si>
  <si>
    <t>9763-20170724T104656.380598100.bin</t>
  </si>
  <si>
    <t>-900.905826270318 115.741542254913 -530.001392017719</t>
  </si>
  <si>
    <t>-955.729783051622 127.208658247882 -241.117251239779</t>
  </si>
  <si>
    <t>-724.051074985481 186.75914986989 -269.918890425012</t>
  </si>
  <si>
    <t>-839.378173596407 75.6252152941222 -98.7838063815658</t>
  </si>
  <si>
    <t>-850.564601844039 114.646733394709 302.721939305191</t>
  </si>
  <si>
    <t>-883.059753370069 175.763360988322 745.285045808245</t>
  </si>
  <si>
    <t>-737.877728449162 163.158572096027 807.338268079802</t>
  </si>
  <si>
    <t>-739.467144815982 -91.6931458269625 311.099075589441</t>
  </si>
  <si>
    <t>-766.027090500161 -91.0855727637405 758.182061317209</t>
  </si>
  <si>
    <t>-626.603026195258 -65.2643566327871 828.761864526966</t>
  </si>
  <si>
    <t>9763-20170724T104656.449392000.bin</t>
  </si>
  <si>
    <t>-899.091379464825 116.079033014259 -530.442996731509</t>
  </si>
  <si>
    <t>-954.814561233614 126.839935683381 -241.703851713958</t>
  </si>
  <si>
    <t>-723.205275604383 186.988811795133 -269.813665155346</t>
  </si>
  <si>
    <t>-838.31617950073 75.4802261726636 -98.9107219894001</t>
  </si>
  <si>
    <t>-850.442477059837 114.882695981918 302.530472573855</t>
  </si>
  <si>
    <t>-882.874309103094 175.740428518349 745.00017853577</t>
  </si>
  <si>
    <t>-737.832016435087 163.222567511537 807.396611460239</t>
  </si>
  <si>
    <t>-739.044691596866 -91.9318134599725 311.051714455706</t>
  </si>
  <si>
    <t>-766.029084552669 -91.1013943410893 758.182784505256</t>
  </si>
  <si>
    <t>-626.566738914427 -65.3820655980967 828.724041853229</t>
  </si>
  <si>
    <t>9763-20170724T104656.481470600.bin</t>
  </si>
  <si>
    <t>-897.458069732723 116.018107991741 -530.874288372738</t>
  </si>
  <si>
    <t>-953.376336326339 126.362083246077 -242.157490822502</t>
  </si>
  <si>
    <t>-721.809290852491 186.948343546182 -269.668654535752</t>
  </si>
  <si>
    <t>-837.50344319869 74.6880690061762 -98.9064038692389</t>
  </si>
  <si>
    <t>-850.074048239635 114.803477119237 302.450561400434</t>
  </si>
  <si>
    <t>-882.826016195792 175.762283074053 744.928635008853</t>
  </si>
  <si>
    <t>-737.854237821752 163.228754938779 807.485638768489</t>
  </si>
  <si>
    <t>-739.054041369373 -92.482174904563 311.021063846214</t>
  </si>
  <si>
    <t>-765.877773485443 -91.4640450795227 758.186258790452</t>
  </si>
  <si>
    <t>-626.526123363517 -65.0376266220344 828.684907833147</t>
  </si>
  <si>
    <t>9763-20170724T104656.546648700.bin</t>
  </si>
  <si>
    <t>-893.886607623351 117.017337555283 -531.615323047026</t>
  </si>
  <si>
    <t>-949.047801863206 127.695804671046 -242.765023891825</t>
  </si>
  <si>
    <t>-717.739645306371 189.377756922543 -270.017882405163</t>
  </si>
  <si>
    <t>-836.24973912985 73.6599639513688 -98.6955957773216</t>
  </si>
  <si>
    <t>-849.669011288787 114.842631402526 302.525744439095</t>
  </si>
  <si>
    <t>-882.854176642688 175.69690732247 744.935476038993</t>
  </si>
  <si>
    <t>-737.89558649073 163.315740673766 807.553503709898</t>
  </si>
  <si>
    <t>-739.245515009346 -93.3909768847273 311.057576594505</t>
  </si>
  <si>
    <t>-765.957993382276 -91.3661360688 758.222478413398</t>
  </si>
  <si>
    <t>-626.483495315202 -65.5272737617643 828.69598830385</t>
  </si>
  <si>
    <t>9763-20170724T104656.582744400.bin</t>
  </si>
  <si>
    <t>-892.207444350189 118.106581061765 -531.824479708383</t>
  </si>
  <si>
    <t>-945.925584017671 130.588493478945 -242.774784850793</t>
  </si>
  <si>
    <t>-714.711435169025 192.710958495967 -269.825082978343</t>
  </si>
  <si>
    <t>-836.274082883404 73.7050544339143 -98.5129407094691</t>
  </si>
  <si>
    <t>-849.73145645338 114.983292148985 302.697256747454</t>
  </si>
  <si>
    <t>-882.900202391589 175.686532836065 744.998955042609</t>
  </si>
  <si>
    <t>-737.930378928441 163.332359689864 807.596214238271</t>
  </si>
  <si>
    <t>-739.299528300806 -93.7304166819256 311.098601170084</t>
  </si>
  <si>
    <t>-765.856138340239 -91.5689766604328 758.247765185107</t>
  </si>
  <si>
    <t>-626.453596726635 -65.299904279289 828.704598809192</t>
  </si>
  <si>
    <t>9763-20170724T104656.648505100.bin</t>
  </si>
  <si>
    <t>-888.784432643643 120.484587217425 -532.410714398779</t>
  </si>
  <si>
    <t>-935.542117457591 140.170963412013 -242.553168755278</t>
  </si>
  <si>
    <t>-704.139303312245 201.760573158276 -269.204971803814</t>
  </si>
  <si>
    <t>-836.489932426838 74.3790303078899 -98.3445056776237</t>
  </si>
  <si>
    <t>-849.880276895688 115.420363578909 302.892286306276</t>
  </si>
  <si>
    <t>-882.988200143733 175.690565327827 745.186967189131</t>
  </si>
  <si>
    <t>-737.987620857854 163.337830201259 807.713423698161</t>
  </si>
  <si>
    <t>-739.85009094174 -93.8221380534707 311.14457563733</t>
  </si>
  <si>
    <t>-765.822045912507 -91.6524257336424 758.286372701644</t>
  </si>
  <si>
    <t>-626.402711062038 -65.4411175791369 828.731462203011</t>
  </si>
  <si>
    <t>9763-20170724T104656.683598200.bin</t>
  </si>
  <si>
    <t>-886.966386908005 121.443341980701 -532.660025504575</t>
  </si>
  <si>
    <t>-927.966436924015 145.801300234376 -242.286388919762</t>
  </si>
  <si>
    <t>-696.260833557994 206.094475334221 -269.26949380577</t>
  </si>
  <si>
    <t>-836.307704567668 74.6531885066292 -98.3024622748809</t>
  </si>
  <si>
    <t>-849.752586471771 115.679898385044 302.93402656718</t>
  </si>
  <si>
    <t>-883.044219951864 175.785651100128 745.255238672599</t>
  </si>
  <si>
    <t>-738.033764526804 163.318494782514 807.736019254669</t>
  </si>
  <si>
    <t>-740.252588906867 -93.7165776253936 311.178116650363</t>
  </si>
  <si>
    <t>-765.890238527392 -91.4968139062836 758.302161326979</t>
  </si>
  <si>
    <t>-626.406364877803 -65.6669371903341 828.760357142395</t>
  </si>
  <si>
    <t>9763-20170724T104656.749793000.bin</t>
  </si>
  <si>
    <t>-883.47944375851 123.029326306275 -532.906723038722</t>
  </si>
  <si>
    <t>-910.56030797657 156.604921603336 -241.821680585825</t>
  </si>
  <si>
    <t>-677.987029028571 212.982350659946 -269.787582186199</t>
  </si>
  <si>
    <t>-835.628522833552 75.2981834765205 -98.3467664752078</t>
  </si>
  <si>
    <t>-849.220230884934 116.115170081428 302.906142792994</t>
  </si>
  <si>
    <t>-883.157602941649 175.916632561956 745.304783836529</t>
  </si>
  <si>
    <t>-738.109079165404 163.272225307705 807.661210353356</t>
  </si>
  <si>
    <t>-740.210912434368 -93.7227334508134 311.199841796826</t>
  </si>
  <si>
    <t>-765.779544245918 -91.6004600706756 758.281419730647</t>
  </si>
  <si>
    <t>-626.340112020274 -65.6831087024633 828.795450140424</t>
  </si>
  <si>
    <t>9763-20170724T104656.782881900.bin</t>
  </si>
  <si>
    <t>-882.169104495392 123.891718124447 -532.973440247971</t>
  </si>
  <si>
    <t>-901.504133634511 160.942239118119 -241.692483513437</t>
  </si>
  <si>
    <t>-668.477390660292 215.11169238069 -270.241619902165</t>
  </si>
  <si>
    <t>-835.188828692041 75.8135213603839 -98.3968868941909</t>
  </si>
  <si>
    <t>-848.883478461276 116.366157693643 302.879329442188</t>
  </si>
  <si>
    <t>-883.208769679251 176.029514658881 745.287573570264</t>
  </si>
  <si>
    <t>-738.149803149041 163.27381885076 807.597040438479</t>
  </si>
  <si>
    <t>-740.13979795865 -93.5202881948937 311.177814096717</t>
  </si>
  <si>
    <t>-765.913839397154 -91.2444030663635 758.241926572215</t>
  </si>
  <si>
    <t>-626.380713048891 -65.9692699372226 828.803791668691</t>
  </si>
  <si>
    <t>9763-20170724T104656.847062400.bin</t>
  </si>
  <si>
    <t>-879.591955808177 125.874846223995 -532.967120073464</t>
  </si>
  <si>
    <t>-886.160952458992 167.023886879234 -241.668672391176</t>
  </si>
  <si>
    <t>-652.453540589484 217.649774074031 -271.142799259075</t>
  </si>
  <si>
    <t>-834.090291167493 77.0134107210934 -98.4728727854066</t>
  </si>
  <si>
    <t>-848.327387752246 117.102258651156 302.831054281871</t>
  </si>
  <si>
    <t>-883.311038375371 176.308747551562 745.242490990261</t>
  </si>
  <si>
    <t>-738.257013415931 163.105691958905 807.470392432493</t>
  </si>
  <si>
    <t>-739.93209362628 -93.3275680860164 311.115451941083</t>
  </si>
  <si>
    <t>-765.871137518173 -91.287797861008 758.167383316177</t>
  </si>
  <si>
    <t>-626.321004024194 -66.2373317083229 828.775645988155</t>
  </si>
  <si>
    <t>9763-20170724T104656.879147800.bin</t>
  </si>
  <si>
    <t>-878.573920087288 126.748727069481 -533.007287307095</t>
  </si>
  <si>
    <t>-880.733627568147 168.701248041811 -241.757412342106</t>
  </si>
  <si>
    <t>-646.722049928223 217.836689280155 -271.340426078022</t>
  </si>
  <si>
    <t>-833.51534711275 77.5955682263186 -98.5143831941649</t>
  </si>
  <si>
    <t>-848.084886942863 117.442142075999 302.801759828984</t>
  </si>
  <si>
    <t>-883.364655448819 176.475333949083 745.212402276264</t>
  </si>
  <si>
    <t>-738.318798539887 163.025860490194 807.406594223016</t>
  </si>
  <si>
    <t>-739.87763521123 -93.2355141022708 311.07672452014</t>
  </si>
  <si>
    <t>-765.810546626976 -91.3932708864473 758.124191730511</t>
  </si>
  <si>
    <t>-626.345073456994 -65.9376977777511 828.754838931048</t>
  </si>
  <si>
    <t>9763-20170724T104656.950009000.bin</t>
  </si>
  <si>
    <t>-876.651036725122 128.280517877536 -533.027444833017</t>
  </si>
  <si>
    <t>-875.74319259705 169.302565323733 -241.638329112637</t>
  </si>
  <si>
    <t>-641.302011169906 215.811055667728 -272.054128206119</t>
  </si>
  <si>
    <t>-832.407891911721 78.4709537792035 -98.5449437682614</t>
  </si>
  <si>
    <t>-847.664320278323 117.995977449359 302.777453640222</t>
  </si>
  <si>
    <t>-883.428069790267 176.6638030181 745.190498744505</t>
  </si>
  <si>
    <t>-738.375357698605 162.991159124927 807.320007795952</t>
  </si>
  <si>
    <t>-739.880092484789 -93.0258140298065 310.982437805169</t>
  </si>
  <si>
    <t>-765.862300093359 -91.3054470269723 758.054518343001</t>
  </si>
  <si>
    <t>-626.320673913667 -66.4201315264837 828.738049499886</t>
  </si>
  <si>
    <t>9763-20170724T104656.985108600.bin</t>
  </si>
  <si>
    <t>-875.96298240594 128.794199464546 -533.105080127598</t>
  </si>
  <si>
    <t>-875.933851032534 168.959253473035 -241.595184367627</t>
  </si>
  <si>
    <t>-641.473962757048 214.604353356555 -273.154091034703</t>
  </si>
  <si>
    <t>-831.883026216068 78.8149360763521 -98.5417468601679</t>
  </si>
  <si>
    <t>-847.398534487889 118.223066368335 302.78223276</t>
  </si>
  <si>
    <t>-883.455459978814 176.762870314272 745.190411912296</t>
  </si>
  <si>
    <t>-738.400159468497 163.00196974848 807.29433393461</t>
  </si>
  <si>
    <t>-739.876273297735 -92.9003106929487 310.956637025451</t>
  </si>
  <si>
    <t>-765.929467010625 -91.2118422549305 758.03591705052</t>
  </si>
  <si>
    <t>-626.363099171213 -66.5021712194049 828.732113400745</t>
  </si>
  <si>
    <t>9763-20170724T104657.046293000.bin</t>
  </si>
  <si>
    <t>-875.815170818814 128.885130579375 -533.153273367235</t>
  </si>
  <si>
    <t>-877.524150696543 167.291141881803 -241.411411358917</t>
  </si>
  <si>
    <t>-643.185423859537 212.266110426165 -274.780731807859</t>
  </si>
  <si>
    <t>-831.361138219686 79.143898803281 -98.4870686091609</t>
  </si>
  <si>
    <t>-846.943747542901 118.298098891648 302.85920006521</t>
  </si>
  <si>
    <t>-883.491409929293 176.917964894701 745.197366204151</t>
  </si>
  <si>
    <t>-738.449542516986 162.996234349162 807.296768420544</t>
  </si>
  <si>
    <t>-739.464641314646 -92.8868472105273 310.93997001148</t>
  </si>
  <si>
    <t>-765.796754741747 -91.5888638827286 758.007678043665</t>
  </si>
  <si>
    <t>-626.292436263724 -66.5227123303341 828.700911966048</t>
  </si>
  <si>
    <t>9763-20170724T104657.083391800.bin</t>
  </si>
  <si>
    <t>-876.142074743134 128.67332802901 -533.139367951358</t>
  </si>
  <si>
    <t>-878.537409756931 166.49475572068 -241.326140922576</t>
  </si>
  <si>
    <t>-644.365283607779 211.959531982223 -275.196797455031</t>
  </si>
  <si>
    <t>-831.314986603419 79.1123781928975 -98.4629257263914</t>
  </si>
  <si>
    <t>-846.828943209934 118.26817019213 302.885853526717</t>
  </si>
  <si>
    <t>-883.485847810355 176.945835904732 745.197644541743</t>
  </si>
  <si>
    <t>-738.453575847112 163.004342675842 807.315164586111</t>
  </si>
  <si>
    <t>-739.446933649139 -92.6536083077223 310.93005304116</t>
  </si>
  <si>
    <t>-765.977137995074 -91.2795815237167 757.99729013884</t>
  </si>
  <si>
    <t>-626.414991601521 -66.5435364815947 828.692541515197</t>
  </si>
  <si>
    <t>9763-20170724T104657.149500500.bin</t>
  </si>
  <si>
    <t>-877.040191920399 128.197697883491 -533.127530524282</t>
  </si>
  <si>
    <t>-880.528355213081 165.667501370488 -241.279873739988</t>
  </si>
  <si>
    <t>-646.592046028427 211.770187973876 -275.90964371336</t>
  </si>
  <si>
    <t>-831.580458917808 79.1412075734195 -98.4652273774566</t>
  </si>
  <si>
    <t>-846.983879709438 118.354504053572 302.882195466003</t>
  </si>
  <si>
    <t>-883.498455561186 177.039201846857 745.214972988415</t>
  </si>
  <si>
    <t>-738.457637214847 163.205982146755 807.336630076058</t>
  </si>
  <si>
    <t>-739.328055146031 -92.4832979304431 310.952714403105</t>
  </si>
  <si>
    <t>-765.946979461627 -91.4679345825707 758.011265655226</t>
  </si>
  <si>
    <t>-626.358611707371 -66.8345102038141 828.690653174186</t>
  </si>
  <si>
    <t>9763-20170724T104657.183592600.bin</t>
  </si>
  <si>
    <t>-877.551155694624 128.147216612828 -533.129214620894</t>
  </si>
  <si>
    <t>-881.456322821825 165.463700308657 -241.26715361128</t>
  </si>
  <si>
    <t>-647.675137859497 211.99620566526 -276.366284388102</t>
  </si>
  <si>
    <t>-831.898005375039 79.3144925964496 -98.4828591091361</t>
  </si>
  <si>
    <t>-847.19079142085 118.440309165917 302.877250836442</t>
  </si>
  <si>
    <t>-883.50095106027 177.037984333212 745.242504307074</t>
  </si>
  <si>
    <t>-738.439362958155 163.372262822629 807.352695410625</t>
  </si>
  <si>
    <t>-739.373960404666 -92.3315718924538 310.961610783509</t>
  </si>
  <si>
    <t>-765.982838082968 -91.4680546516773 758.023655333626</t>
  </si>
  <si>
    <t>-626.340784790274 -67.1114699532714 828.692959931475</t>
  </si>
  <si>
    <t>9763-20170724T104657.246566200.bin</t>
  </si>
  <si>
    <t>-878.585351079988 127.794257738802 -533.119038032761</t>
  </si>
  <si>
    <t>-882.446719800283 164.968234052295 -241.238289709578</t>
  </si>
  <si>
    <t>-648.822640711098 211.655792837756 -277.167769706488</t>
  </si>
  <si>
    <t>-832.444005801035 79.5655744151777 -98.533993979693</t>
  </si>
  <si>
    <t>-847.452842563979 118.655434112226 302.84040846188</t>
  </si>
  <si>
    <t>-883.508560053262 177.09942707149 745.281154743378</t>
  </si>
  <si>
    <t>-738.440669519362 163.480003670081 807.386723221145</t>
  </si>
  <si>
    <t>-739.501706478006 -92.2331913742604 310.988597818893</t>
  </si>
  <si>
    <t>-765.946792463495 -91.6609603975916 758.047967498213</t>
  </si>
  <si>
    <t>-626.365212059633 -66.8774968433023 828.688302134286</t>
  </si>
  <si>
    <t>9763-20170724T104657.281659000.bin</t>
  </si>
  <si>
    <t>-879.016197086939 127.731033226549 -533.082279863909</t>
  </si>
  <si>
    <t>-882.496647547711 164.967077513974 -241.204627594152</t>
  </si>
  <si>
    <t>-648.923342629601 211.540609214246 -277.608744268201</t>
  </si>
  <si>
    <t>-832.618326665011 79.7638257783367 -98.5502144355463</t>
  </si>
  <si>
    <t>-847.559543379751 118.852246152581 302.826808667866</t>
  </si>
  <si>
    <t>-883.541896252394 177.214265481317 745.301661468849</t>
  </si>
  <si>
    <t>-738.479937861262 163.47102098383 807.393812793724</t>
  </si>
  <si>
    <t>-739.521371644781 -92.1190559987232 310.998533516313</t>
  </si>
  <si>
    <t>-765.938095365844 -91.7292129931602 758.06246427114</t>
  </si>
  <si>
    <t>-626.334282885727 -67.0631713916035 828.700081527399</t>
  </si>
  <si>
    <t>9763-20170724T104657.349846700.bin</t>
  </si>
  <si>
    <t>-879.557769911819 127.891640468649 -533.031722026608</t>
  </si>
  <si>
    <t>-882.629411202184 165.063108350192 -241.141120066913</t>
  </si>
  <si>
    <t>-649.173415073649 210.993690511873 -279.082029828684</t>
  </si>
  <si>
    <t>-832.532032937277 80.2371053633515 -98.5775514826965</t>
  </si>
  <si>
    <t>-847.565345008437 119.126127200183 302.815377013372</t>
  </si>
  <si>
    <t>-883.59875712942 177.278669154128 745.348718750506</t>
  </si>
  <si>
    <t>-738.515675903992 163.498298892581 807.383559714057</t>
  </si>
  <si>
    <t>-739.251622188487 -91.9571655123467 311.024070396529</t>
  </si>
  <si>
    <t>-765.944979923059 -91.7295225104941 758.059612043732</t>
  </si>
  <si>
    <t>-626.368868817108 -66.9513790305222 828.712636598654</t>
  </si>
  <si>
    <t>9763-20170724T104657.381932100.bin</t>
  </si>
  <si>
    <t>-879.838848146535 127.899256584516 -533.024652186705</t>
  </si>
  <si>
    <t>-882.741675448611 164.96865325898 -241.119374411358</t>
  </si>
  <si>
    <t>-649.334422746501 210.54676729803 -279.778787045266</t>
  </si>
  <si>
    <t>-832.403910561698 80.5117644911136 -98.585006906325</t>
  </si>
  <si>
    <t>-847.356081153061 119.161412640972 302.834205456047</t>
  </si>
  <si>
    <t>-883.637887700885 177.344915040758 745.370392743101</t>
  </si>
  <si>
    <t>-738.55398428376 163.451604965275 807.377817704551</t>
  </si>
  <si>
    <t>-738.992400748424 -91.8286237602094 311.014684735473</t>
  </si>
  <si>
    <t>-765.98052525895 -91.6477669534053 758.040065262801</t>
  </si>
  <si>
    <t>-626.403146735275 -66.9261847775457 828.710481685191</t>
  </si>
  <si>
    <t>9763-20170724T104657.447110500.bin</t>
  </si>
  <si>
    <t>-880.20433213818 127.552016691232 -532.975913616898</t>
  </si>
  <si>
    <t>-883.096522487919 164.533195617163 -241.059445983856</t>
  </si>
  <si>
    <t>-649.750145511631 209.695804427077 -280.564055442752</t>
  </si>
  <si>
    <t>-832.004949943941 80.6223866388632 -98.5670708423057</t>
  </si>
  <si>
    <t>-846.615863196848 118.901826089095 302.90002102551</t>
  </si>
  <si>
    <t>-883.688024359121 177.301727627176 745.393427560462</t>
  </si>
  <si>
    <t>-738.566271361823 163.495011542939 807.331709276906</t>
  </si>
  <si>
    <t>-738.628005123949 -91.6508657439249 311.024980962957</t>
  </si>
  <si>
    <t>-765.929801513239 -91.757428143903 758.012471165726</t>
  </si>
  <si>
    <t>-626.343412722483 -67.2100150974826 828.725659117636</t>
  </si>
  <si>
    <t>9763-20170724T104657.485211200.bin</t>
  </si>
  <si>
    <t>-880.504344246602 127.482693370774 -532.95359707852</t>
  </si>
  <si>
    <t>-883.638530331657 164.535264531808 -241.048743530341</t>
  </si>
  <si>
    <t>-650.302390999118 209.540609887338 -280.793274068139</t>
  </si>
  <si>
    <t>-831.878380684267 80.7209879773479 -98.5784212652337</t>
  </si>
  <si>
    <t>-846.285622482282 118.779095918308 302.917074663273</t>
  </si>
  <si>
    <t>-883.699571563783 177.260096979762 745.39033427785</t>
  </si>
  <si>
    <t>-738.565081728723 163.463076680452 807.301004751029</t>
  </si>
  <si>
    <t>-738.266446059705 -91.5437787746234 311.037284814861</t>
  </si>
  <si>
    <t>-765.995535795357 -91.5844226359527 757.983405148312</t>
  </si>
  <si>
    <t>-626.394520179593 -67.2317285419126 828.734956519792</t>
  </si>
  <si>
    <t>9763-20170724T104657.548929500.bin</t>
  </si>
  <si>
    <t>-881.400190094369 127.238393084418 -532.861470753856</t>
  </si>
  <si>
    <t>-885.161885996354 164.295261027771 -240.964485372361</t>
  </si>
  <si>
    <t>-651.871779845984 209.226554449409 -281.061635522661</t>
  </si>
  <si>
    <t>-831.806498142818 80.7973079904823 -98.5741212971401</t>
  </si>
  <si>
    <t>-845.642679372575 118.568108713777 302.968669473851</t>
  </si>
  <si>
    <t>-883.728377709743 177.177640885634 745.363297206157</t>
  </si>
  <si>
    <t>-738.568022400551 163.454377174061 807.229469721763</t>
  </si>
  <si>
    <t>-737.247103229215 -91.3882642071213 311.051751886231</t>
  </si>
  <si>
    <t>-765.992626189799 -91.6014444929109 757.937450542948</t>
  </si>
  <si>
    <t>-626.438747325677 -67.0977858882239 828.729944653329</t>
  </si>
  <si>
    <t>9763-20170724T104657.582017000.bin</t>
  </si>
  <si>
    <t>-881.671736651051 126.962231855965 -532.796490256368</t>
  </si>
  <si>
    <t>-885.901964441198 163.935605270844 -240.895512300039</t>
  </si>
  <si>
    <t>-652.72685807337 209.077113710566 -281.422998296728</t>
  </si>
  <si>
    <t>-831.659059057492 80.7172101033007 -98.5611288145798</t>
  </si>
  <si>
    <t>-845.417868621534 118.499918678145 302.983188404516</t>
  </si>
  <si>
    <t>-883.752044836091 177.21613094599 745.331837463317</t>
  </si>
  <si>
    <t>-738.586506057536 163.48067974646 807.183392094995</t>
  </si>
  <si>
    <t>-737.084082565331 -91.2179044123588 311.089730605175</t>
  </si>
  <si>
    <t>-766.055790717933 -91.5523477479693 757.95383102533</t>
  </si>
  <si>
    <t>-626.410708210395 -67.5282441338802 828.730850015841</t>
  </si>
  <si>
    <t>9763-20170724T104657.646735300.bin</t>
  </si>
  <si>
    <t>-882.261323480257 126.131553210352 -532.794585721304</t>
  </si>
  <si>
    <t>-887.180716208652 162.804710402039 -240.866229670926</t>
  </si>
  <si>
    <t>-654.20268496495 208.28030426887 -282.147010170077</t>
  </si>
  <si>
    <t>-831.563856580474 80.6230774901255 -98.6255694618234</t>
  </si>
  <si>
    <t>-845.340324193885 118.286692448414 302.929297527967</t>
  </si>
  <si>
    <t>-883.738695532602 177.170323818006 745.248848619028</t>
  </si>
  <si>
    <t>-738.55947220204 163.58166844497 807.100667445073</t>
  </si>
  <si>
    <t>-736.733488588422 -91.2166420969371 311.145076437915</t>
  </si>
  <si>
    <t>-766.061688270079 -91.6725866198801 757.971290501228</t>
  </si>
  <si>
    <t>-626.430765634866 -67.4248322738849 828.70002933488</t>
  </si>
  <si>
    <t>9763-20170724T104657.678821300.bin</t>
  </si>
  <si>
    <t>-882.607164017847 125.911460448224 -532.818547658227</t>
  </si>
  <si>
    <t>-887.780126209212 162.630125033808 -240.90040282839</t>
  </si>
  <si>
    <t>-654.908033669199 208.328405022553 -282.53113412928</t>
  </si>
  <si>
    <t>-831.602388641585 80.5610321443532 -98.6592405587658</t>
  </si>
  <si>
    <t>-845.396815468998 118.233373359067 302.894208225928</t>
  </si>
  <si>
    <t>-883.70411190875 177.072974893434 745.215645596292</t>
  </si>
  <si>
    <t>-738.51328733708 163.670198569461 807.080863774858</t>
  </si>
  <si>
    <t>-736.723682901202 -91.1234448919546 311.135799780262</t>
  </si>
  <si>
    <t>-766.143962773541 -91.5507422762157 757.964478559606</t>
  </si>
  <si>
    <t>-626.454025314369 -67.6412641892223 828.691761743989</t>
  </si>
  <si>
    <t>9763-20170724T104657.746021000.bin</t>
  </si>
  <si>
    <t>-883.24194701111 125.653531915233 -532.949272211882</t>
  </si>
  <si>
    <t>-888.685127201764 162.295888900243 -241.026542421956</t>
  </si>
  <si>
    <t>-655.929768082412 208.086045752071 -283.205619443433</t>
  </si>
  <si>
    <t>-831.723180073385 80.6270652753301 -98.7116744332153</t>
  </si>
  <si>
    <t>-845.379348354809 118.313765599194 302.845084308078</t>
  </si>
  <si>
    <t>-883.721808951562 177.223741028517 745.180426886967</t>
  </si>
  <si>
    <t>-738.546975208887 163.687862490494 807.054012028052</t>
  </si>
  <si>
    <t>-736.371575861853 -91.0353200028086 311.120306424384</t>
  </si>
  <si>
    <t>-766.205531796942 -91.4750237083138 757.942964503387</t>
  </si>
  <si>
    <t>-626.512099906318 -67.5723827175617 828.665624790193</t>
  </si>
  <si>
    <t>9763-20170724T104657.786128800.bin</t>
  </si>
  <si>
    <t>-883.388122433458 125.476743878821 -533.007048331459</t>
  </si>
  <si>
    <t>-889.029260786767 162.285339830896 -241.108950413354</t>
  </si>
  <si>
    <t>-656.271106172878 207.920560895554 -283.440001588318</t>
  </si>
  <si>
    <t>-831.773866106617 80.6504376136859 -98.7085800999412</t>
  </si>
  <si>
    <t>-845.31948204918 118.257197981234 302.859523835037</t>
  </si>
  <si>
    <t>-883.726748177347 177.236525978992 745.175209212485</t>
  </si>
  <si>
    <t>-738.544345075561 163.754705491175 807.042865117614</t>
  </si>
  <si>
    <t>-736.334381002443 -90.9522702208119 311.113924786325</t>
  </si>
  <si>
    <t>-766.216343426355 -91.4968128935583 757.930487737401</t>
  </si>
  <si>
    <t>-626.532404264139 -67.5400005496381 828.653665455063</t>
  </si>
  <si>
    <t>9763-20170724T104657.849845300.bin</t>
  </si>
  <si>
    <t>-883.477454496051 125.202128038331 -533.178539708809</t>
  </si>
  <si>
    <t>-889.670547025969 162.213178652956 -241.317291413978</t>
  </si>
  <si>
    <t>-656.82024318478 207.226427000048 -283.807432407171</t>
  </si>
  <si>
    <t>-831.79240126877 80.6344581076319 -98.7410810685384</t>
  </si>
  <si>
    <t>-845.314654741018 118.301359863545 302.822172535436</t>
  </si>
  <si>
    <t>-883.733970848141 177.299453347359 745.132070711303</t>
  </si>
  <si>
    <t>-738.556756351922 163.745948347169 806.996094835442</t>
  </si>
  <si>
    <t>-736.287821045308 -91.038970897686 311.117346768672</t>
  </si>
  <si>
    <t>-766.208024595542 -91.5811214827803 757.925374889051</t>
  </si>
  <si>
    <t>-626.585141035152 -67.2577525284737 828.6439082096</t>
  </si>
  <si>
    <t>9763-20170724T104657.883935600.bin</t>
  </si>
  <si>
    <t>-883.54635221841 125.133070731521 -533.256307786782</t>
  </si>
  <si>
    <t>-889.979914057826 162.120461331757 -241.39719779034</t>
  </si>
  <si>
    <t>-657.109730707024 206.943567782087 -283.979181668145</t>
  </si>
  <si>
    <t>-831.829807570031 80.7158442496263 -98.7718784706569</t>
  </si>
  <si>
    <t>-845.342085361455 118.29313581144 302.80011737639</t>
  </si>
  <si>
    <t>-883.734997563067 177.307997618419 745.111623566691</t>
  </si>
  <si>
    <t>-738.548560782257 163.840719354384 806.972884458215</t>
  </si>
  <si>
    <t>-736.342202973649 -91.0129801319791 311.11983432772</t>
  </si>
  <si>
    <t>-766.205839623073 -91.6359307508783 757.932951794551</t>
  </si>
  <si>
    <t>-626.534928033486 -67.591650900935 828.652210101479</t>
  </si>
  <si>
    <t>9763-20170724T104657.949619800.bin</t>
  </si>
  <si>
    <t>-883.502495462696 125.13844834724 -533.433057130804</t>
  </si>
  <si>
    <t>-890.389055507934 161.898792175775 -241.555507888876</t>
  </si>
  <si>
    <t>-657.523229890116 206.439551226576 -284.456792649046</t>
  </si>
  <si>
    <t>-831.84246305882 80.90462720387 -98.831209658335</t>
  </si>
  <si>
    <t>-845.264013073721 118.360532764497 302.755118793358</t>
  </si>
  <si>
    <t>-883.738978985689 177.356165764292 745.071633915981</t>
  </si>
  <si>
    <t>-738.564709830247 163.783985230053 806.938752127683</t>
  </si>
  <si>
    <t>-736.348492448438 -90.9104770816261 311.123905192138</t>
  </si>
  <si>
    <t>-766.293779015676 -91.516926681844 757.935295814887</t>
  </si>
  <si>
    <t>-626.596585347386 -67.6164147617609 828.651336121003</t>
  </si>
  <si>
    <t>9763-20170724T104657.995747000.bin</t>
  </si>
  <si>
    <t>-883.286314877634 125.096228960567 -533.524129710034</t>
  </si>
  <si>
    <t>-890.328380694317 161.809694712808 -241.644523016459</t>
  </si>
  <si>
    <t>-657.478956567309 206.32880464587 -284.656746287881</t>
  </si>
  <si>
    <t>-831.793978601903 80.9659280390147 -98.8539492995866</t>
  </si>
  <si>
    <t>-845.137274457861 118.349285369068 302.741740128124</t>
  </si>
  <si>
    <t>-883.73079589909 177.344595587309 745.049767641074</t>
  </si>
  <si>
    <t>-738.556976290446 163.81321966813 806.926825371423</t>
  </si>
  <si>
    <t>-736.308649381278 -91.0111475182265 311.122893484425</t>
  </si>
  <si>
    <t>-766.257303607517 -91.6355385861083 757.937115396439</t>
  </si>
  <si>
    <t>-626.649934534947 -67.1705416949511 828.637531372252</t>
  </si>
  <si>
    <t>9763-20170724T104658.067470800.bin</t>
  </si>
  <si>
    <t>-882.726259232346 125.074470574456 -533.75148714868</t>
  </si>
  <si>
    <t>-890.287570490346 161.66991578133 -241.870038031909</t>
  </si>
  <si>
    <t>-657.448053667399 206.444144290224 -284.6707828433</t>
  </si>
  <si>
    <t>-831.62707359446 81.1381905511139 -98.9028402910391</t>
  </si>
  <si>
    <t>-844.98523718635 118.431038419989 302.700831977772</t>
  </si>
  <si>
    <t>-883.727682349638 177.441728267847 745.00005696857</t>
  </si>
  <si>
    <t>-738.581038723626 163.719166666912 806.898660928184</t>
  </si>
  <si>
    <t>-736.317520404684 -90.940367069536 311.121414462428</t>
  </si>
  <si>
    <t>-766.306767522186 -91.6022590524655 757.941704432485</t>
  </si>
  <si>
    <t>-626.675792410282 -67.2508014499846 828.634535259902</t>
  </si>
  <si>
    <t>9763-20170724T104658.082510300.bin</t>
  </si>
  <si>
    <t>-882.478783345264 125.082563607278 -533.824355065858</t>
  </si>
  <si>
    <t>-890.179800630168 161.673575123851 -241.945979994438</t>
  </si>
  <si>
    <t>-657.319535595385 206.58240191687 -284.492078127491</t>
  </si>
  <si>
    <t>-831.584288846691 81.1740750465433 -98.9206061419686</t>
  </si>
  <si>
    <t>-844.943869904076 118.436484210748 302.685752540526</t>
  </si>
  <si>
    <t>-883.719948941259 177.424293657663 744.9826411835</t>
  </si>
  <si>
    <t>-738.569133389785 163.773374217578 806.887303652243</t>
  </si>
  <si>
    <t>-736.221895620484 -90.8741418773784 311.125558888609</t>
  </si>
  <si>
    <t>-766.350128204652 -91.5488207425271 757.936508498869</t>
  </si>
  <si>
    <t>-626.636675353892 -67.6930026586991 828.635634201743</t>
  </si>
  <si>
    <t>9763-20170724T104658.132690900.bin</t>
  </si>
  <si>
    <t>-882.128445605011 124.955490307662 -533.863306798224</t>
  </si>
  <si>
    <t>-889.984820768872 161.566451648929 -241.991597366664</t>
  </si>
  <si>
    <t>-657.135172526357 206.586401699252 -284.477969257894</t>
  </si>
  <si>
    <t>-831.488684413373 81.0946521663107 -98.9338594825336</t>
  </si>
  <si>
    <t>-844.915059006814 118.393463867625 302.666980139388</t>
  </si>
  <si>
    <t>-883.706434730969 177.394267782523 744.959305725045</t>
  </si>
  <si>
    <t>-738.552960882341 163.826654178268 806.876220822123</t>
  </si>
  <si>
    <t>-736.23611767669 -90.8324205744476 311.125281695747</t>
  </si>
  <si>
    <t>-766.381879040232 -91.5226057172329 757.937978343402</t>
  </si>
  <si>
    <t>-626.650456647167 -67.7490899282768 828.629071650098</t>
  </si>
  <si>
    <t>9763-20170724T104658.295242500.bin</t>
  </si>
  <si>
    <t>-881.769413368822 124.869379824995 -533.864586540901</t>
  </si>
  <si>
    <t>-889.67718249797 161.469577517352 -241.992773410882</t>
  </si>
  <si>
    <t>-656.860899247334 206.685816724506 -284.45418090692</t>
  </si>
  <si>
    <t>-831.355922487422 80.9890851533248 -98.9441686178496</t>
  </si>
  <si>
    <t>-844.941441587886 118.372845890581 302.643358204926</t>
  </si>
  <si>
    <t>-883.69291991526 177.354729031488 744.941372266019</t>
  </si>
  <si>
    <t>-738.534479638907 163.868267556813 806.864292131728</t>
  </si>
  <si>
    <t>-736.211345992134 -90.8771182277283 311.126729091626</t>
  </si>
  <si>
    <t>-766.409790396937 -91.4993740791757 757.942655204091</t>
  </si>
  <si>
    <t>-626.651392513851 -67.8668976561722 828.627837593328</t>
  </si>
  <si>
    <t>9763-20170724T104658.348940500.bin</t>
  </si>
  <si>
    <t>-881.456025383848 125.758640417018 -533.459592996496</t>
  </si>
  <si>
    <t>-890.110180585421 162.474810182429 -241.623666101677</t>
  </si>
  <si>
    <t>-657.591622397808 209.163288539967 -284.122829068715</t>
  </si>
  <si>
    <t>-830.973209152487 81.1821345733526 -98.8558956342432</t>
  </si>
  <si>
    <t>-844.618012347151 118.395874599532 302.745367443856</t>
  </si>
  <si>
    <t>-883.7294663919 177.515537653803 744.980952460201</t>
  </si>
  <si>
    <t>-738.599862018277 163.729205196869 806.90510247466</t>
  </si>
  <si>
    <t>-735.784506379602 -90.8636619290183 311.145452121476</t>
  </si>
  <si>
    <t>-766.563721250912 -91.3639774272626 757.945721320605</t>
  </si>
  <si>
    <t>-626.774208433442 -67.7840511018932 828.586900306503</t>
  </si>
  <si>
    <t>9763-20170724T104658.401080600.bin</t>
  </si>
  <si>
    <t>-881.368503387678 126.066028167149 -533.146497355409</t>
  </si>
  <si>
    <t>-889.950848219559 162.325699744641 -241.251352564862</t>
  </si>
  <si>
    <t>-657.587922053973 209.565630534133 -283.991539004239</t>
  </si>
  <si>
    <t>-830.808987714292 81.0385724936527 -98.7897078222444</t>
  </si>
  <si>
    <t>-844.544318478063 118.239787040072 302.809709407769</t>
  </si>
  <si>
    <t>-883.722806624319 177.425997956426 745.019277416797</t>
  </si>
  <si>
    <t>-738.56695457038 163.876981220843 806.934410702319</t>
  </si>
  <si>
    <t>-735.621728890485 -90.9760419097685 311.16095707077</t>
  </si>
  <si>
    <t>-766.45860606082 -91.6154957907619 757.938963776108</t>
  </si>
  <si>
    <t>-626.736490197681 -67.6382572374602 828.579684564071</t>
  </si>
  <si>
    <t>9763-20170724T104658.445241700.bin</t>
  </si>
  <si>
    <t>-881.338913768888 126.242282492418 -532.972594286969</t>
  </si>
  <si>
    <t>-889.814675508122 162.050050377223 -241.018581358347</t>
  </si>
  <si>
    <t>-657.530186776617 209.476231861139 -283.977811890421</t>
  </si>
  <si>
    <t>-830.738280126701 81.0348452595497 -98.7688731104599</t>
  </si>
  <si>
    <t>-844.540067470482 118.207264896055 302.83094232962</t>
  </si>
  <si>
    <t>-883.735653589723 177.464601942693 745.039394347364</t>
  </si>
  <si>
    <t>-738.580542111625 163.872537075491 806.946773003451</t>
  </si>
  <si>
    <t>-735.59790461808 -90.959165123798 311.167410005041</t>
  </si>
  <si>
    <t>-766.467678288339 -91.6148866396196 757.939464455891</t>
  </si>
  <si>
    <t>-626.708016839096 -67.8816707179672 828.588337420076</t>
  </si>
  <si>
    <t>9763-20170724T104658.521952100.bin</t>
  </si>
  <si>
    <t>-881.185528052888 126.774634445924 -532.605590475008</t>
  </si>
  <si>
    <t>-889.66289637493 161.324624358334 -240.500223468206</t>
  </si>
  <si>
    <t>-657.498595212781 209.159323762915 -283.656318505271</t>
  </si>
  <si>
    <t>-830.663458601381 81.1136671498009 -98.7356577982629</t>
  </si>
  <si>
    <t>-844.503061666111 118.228636326918 302.868164411549</t>
  </si>
  <si>
    <t>-883.729828704661 177.477800980047 745.073323680627</t>
  </si>
  <si>
    <t>-738.590969131778 163.798343249135 806.999928673011</t>
  </si>
  <si>
    <t>-735.410722756189 -91.0456859083353 311.165669555485</t>
  </si>
  <si>
    <t>-766.455961183186 -91.691002926758 757.939699022481</t>
  </si>
  <si>
    <t>-626.794143408629 -67.3453813742445 828.573680732313</t>
  </si>
  <si>
    <t>9763-20170724T104658.551538100.bin</t>
  </si>
  <si>
    <t>-881.203031842113 126.973715810205 -532.520768799831</t>
  </si>
  <si>
    <t>-889.795451407982 161.334830872343 -240.396263185682</t>
  </si>
  <si>
    <t>-657.627567357535 209.231883004598 -283.464202433622</t>
  </si>
  <si>
    <t>-830.658140584419 81.2023559465656 -98.7113121290034</t>
  </si>
  <si>
    <t>-844.483459809524 118.289413394152 302.895624702772</t>
  </si>
  <si>
    <t>-883.735365395228 177.494701011492 745.105154224512</t>
  </si>
  <si>
    <t>-738.597098846895 163.794160269178 807.028258825078</t>
  </si>
  <si>
    <t>-735.346483432429 -90.875159684274 311.166043007064</t>
  </si>
  <si>
    <t>-766.54765703606 -91.5324642225603 757.932961946924</t>
  </si>
  <si>
    <t>-626.798621442772 -67.7127853246163 828.573732487113</t>
  </si>
  <si>
    <t>9763-20170724T104658.616711000.bin</t>
  </si>
  <si>
    <t>-881.400801736656 127.284888825479 -532.380946316654</t>
  </si>
  <si>
    <t>-890.067713921664 161.510945070995 -240.242965430038</t>
  </si>
  <si>
    <t>-657.967429202927 209.749073474362 -283.294265499874</t>
  </si>
  <si>
    <t>-830.607036945064 81.3756397724057 -98.6594141881699</t>
  </si>
  <si>
    <t>-844.346342363288 118.330059700635 302.962600093327</t>
  </si>
  <si>
    <t>-883.745370775314 177.469112819226 745.173160139875</t>
  </si>
  <si>
    <t>-738.599080734976 163.795578712332 807.083378061711</t>
  </si>
  <si>
    <t>-735.361495739412 -90.6941477406443 311.177421318109</t>
  </si>
  <si>
    <t>-766.655385720451 -91.3321717693217 757.928331601423</t>
  </si>
  <si>
    <t>-626.820703761039 -68.0629552049945 828.583165153451</t>
  </si>
  <si>
    <t>9763-20170724T104658.683897600.bin</t>
  </si>
  <si>
    <t>-881.098655055694 127.522257996901 -532.294666602693</t>
  </si>
  <si>
    <t>-889.846998256121 161.725174236703 -240.156207763699</t>
  </si>
  <si>
    <t>-657.8543118992 210.207808370279 -283.511626648259</t>
  </si>
  <si>
    <t>-830.415716854277 81.5096504101446 -98.5985669003387</t>
  </si>
  <si>
    <t>-844.246002422947 118.356752373486 303.030223770848</t>
  </si>
  <si>
    <t>-883.763034726407 177.502480225588 745.219529084292</t>
  </si>
  <si>
    <t>-738.625165670526 163.74793175196 807.13154172555</t>
  </si>
  <si>
    <t>-735.240294135959 -90.7106858948817 311.172979060623</t>
  </si>
  <si>
    <t>-766.566449069297 -91.5479936048237 757.915792700972</t>
  </si>
  <si>
    <t>-626.798982977903 -67.8874907675524 828.573516089744</t>
  </si>
  <si>
    <t>9763-20170724T104658.781161100.bin</t>
  </si>
  <si>
    <t>-880.785700561216 127.586204164871 -532.253892090477</t>
  </si>
  <si>
    <t>-889.625326823221 161.644008332202 -240.101370219481</t>
  </si>
  <si>
    <t>-657.655610785572 210.162739833637 -283.53933996284</t>
  </si>
  <si>
    <t>-830.249014119213 81.5141557531194 -98.5725515195331</t>
  </si>
  <si>
    <t>-844.180632351835 118.353916684842 303.053422484961</t>
  </si>
  <si>
    <t>-883.759205287835 177.483380727328 745.235111271021</t>
  </si>
  <si>
    <t>-738.622446066757 163.729414524029 807.150038826196</t>
  </si>
  <si>
    <t>-735.192697787767 -90.7811829953965 311.170715474001</t>
  </si>
  <si>
    <t>-766.570654838053 -91.5549216958893 757.916429516496</t>
  </si>
  <si>
    <t>-626.831243508676 -67.7299888204095 828.574500089829</t>
  </si>
  <si>
    <t>9763-20170724T104658.789178200.bin</t>
  </si>
  <si>
    <t>-880.304411306596 127.809946920664 -532.105362324643</t>
  </si>
  <si>
    <t>-889.275976144713 161.490771940998 -239.913124893968</t>
  </si>
  <si>
    <t>-657.349930369393 210.07709878423 -283.507977268491</t>
  </si>
  <si>
    <t>-829.927609601805 81.6669529092248 -98.561976443871</t>
  </si>
  <si>
    <t>-843.97630751367 118.404242404815 303.069307266657</t>
  </si>
  <si>
    <t>-883.768961727325 177.527723331661 745.267213507157</t>
  </si>
  <si>
    <t>-738.636212306268 163.737840266051 807.183604709429</t>
  </si>
  <si>
    <t>-734.988191454074 -90.7680667652564 311.18102667814</t>
  </si>
  <si>
    <t>-766.5492561988 -91.6459075229402 757.915329519174</t>
  </si>
  <si>
    <t>-626.814745012206 -67.8032031656397 828.577127453023</t>
  </si>
  <si>
    <t>9763-20170724T104658.849916900.bin</t>
  </si>
  <si>
    <t>-879.326738024625 128.135729825488 -532.091885305613</t>
  </si>
  <si>
    <t>-888.473038449939 161.269094825609 -239.842545675942</t>
  </si>
  <si>
    <t>-656.515942509333 210.072480290756 -283.027999416361</t>
  </si>
  <si>
    <t>-829.257587036444 81.5860300630534 -98.5391225181919</t>
  </si>
  <si>
    <t>-843.965389424982 118.588801134395 303.044138203259</t>
  </si>
  <si>
    <t>-883.705505980306 177.496663215917 745.215400541868</t>
  </si>
  <si>
    <t>-738.614699441471 163.751674114256 807.239913699402</t>
  </si>
  <si>
    <t>-734.987749339053 -90.767823628773 311.181310746944</t>
  </si>
  <si>
    <t>-766.665252544912 -91.4899030263467 757.940461079851</t>
  </si>
  <si>
    <t>-626.910214770306 -67.6783803250358 828.572135685088</t>
  </si>
  <si>
    <t>9763-20170724T104658.880997600.bin</t>
  </si>
  <si>
    <t>-834.255153349203 0.00196604184111493 -553.626244227483</t>
  </si>
  <si>
    <t>-878.410711405995 128.41482789238 -532.227840968068</t>
  </si>
  <si>
    <t>-887.633994918706 161.646260690919 -239.992011880811</t>
  </si>
  <si>
    <t>-655.623620862977 210.50844027359 -282.823993600724</t>
  </si>
  <si>
    <t>-828.750243617451 81.4452595669384 -98.5448611555533</t>
  </si>
  <si>
    <t>-844.110943275884 118.781605830238 302.983060304593</t>
  </si>
  <si>
    <t>-883.656953196153 177.502978885136 745.167281330153</t>
  </si>
  <si>
    <t>-738.595550248304 163.873002837392 807.285540775061</t>
  </si>
  <si>
    <t>-735.265126964449 -90.8704744888162 311.145491747504</t>
  </si>
  <si>
    <t>-766.648058604486 -91.5760805407059 757.940474981392</t>
  </si>
  <si>
    <t>-626.843212472978 -68.0636851911102 828.5738418116</t>
  </si>
  <si>
    <t>9763-20170724T104658.946184600.bin</t>
  </si>
  <si>
    <t>-833.074677625278 0.461339030371164 -553.672231683295</t>
  </si>
  <si>
    <t>-876.815761674054 129.054971313401 -532.495911445941</t>
  </si>
  <si>
    <t>-885.734553496661 163.39414431322 -240.378648363705</t>
  </si>
  <si>
    <t>-653.802709747953 213.21473532878 -282.526053328908</t>
  </si>
  <si>
    <t>-828.051727983819 81.1863863724348 -98.4913511985499</t>
  </si>
  <si>
    <t>-844.363759389257 119.253735448835 302.930457596993</t>
  </si>
  <si>
    <t>-883.616800121594 177.497428333017 745.165731239469</t>
  </si>
  <si>
    <t>-738.609483260325 163.924576851598 807.42276457624</t>
  </si>
  <si>
    <t>-735.415915578865 -91.3493990445347 311.121338321005</t>
  </si>
  <si>
    <t>-766.504617564058 -91.8997108047431 757.938094262327</t>
  </si>
  <si>
    <t>-626.809383380234 -67.8056706362958 828.592305439951</t>
  </si>
  <si>
    <t>9763-20170724T104658.979265000.bin</t>
  </si>
  <si>
    <t>-832.753193093879 0.762759855955437 -553.642439758593</t>
  </si>
  <si>
    <t>-876.207237683198 129.473459838694 -532.576385656257</t>
  </si>
  <si>
    <t>-884.83284545978 164.561018199576 -240.539319520161</t>
  </si>
  <si>
    <t>-652.976015458899 215.220751979112 -282.094904662803</t>
  </si>
  <si>
    <t>-828.046718225391 81.2349895000732 -98.4195873379184</t>
  </si>
  <si>
    <t>-844.341298016918 119.344918698863 302.998861643974</t>
  </si>
  <si>
    <t>-883.622136593096 177.421097689939 745.234873837385</t>
  </si>
  <si>
    <t>-738.605903439072 164.005965006603 807.505373803161</t>
  </si>
  <si>
    <t>-735.5881393104 -91.3098164890071 311.1033587992</t>
  </si>
  <si>
    <t>-766.596193307759 -91.7157393692922 757.939941525612</t>
  </si>
  <si>
    <t>-626.797065969561 -68.3249248233876 828.625069978202</t>
  </si>
  <si>
    <t>9763-20170724T104659.049958100.bin</t>
  </si>
  <si>
    <t>-832.472517764298 1.0503994864041 -553.622737002223</t>
  </si>
  <si>
    <t>-875.20650665766 130.019890056924 -532.68871617447</t>
  </si>
  <si>
    <t>-882.675941198948 166.867654200237 -240.836430467858</t>
  </si>
  <si>
    <t>-650.763312629699 218.925246110761 -280.300671813423</t>
  </si>
  <si>
    <t>-828.128730542674 81.5258870562764 -98.3496591121069</t>
  </si>
  <si>
    <t>-843.977392875981 119.504665365617 303.099051315312</t>
  </si>
  <si>
    <t>-883.668938131436 177.496567680317 745.326501223736</t>
  </si>
  <si>
    <t>-738.66325196692 164.021104213606 807.608701027315</t>
  </si>
  <si>
    <t>-736.231047751837 -91.4754731068814 311.154303889647</t>
  </si>
  <si>
    <t>-766.508263127164 -92.0056718787275 758.012811275252</t>
  </si>
  <si>
    <t>-626.791678511288 -68.0260021078205 828.663581752002</t>
  </si>
  <si>
    <t>9763-20170724T104659.083046300.bin</t>
  </si>
  <si>
    <t>-832.419413566656 1.01163839059132 -553.594811597149</t>
  </si>
  <si>
    <t>-874.749980452864 130.115929980757 -532.707868146617</t>
  </si>
  <si>
    <t>-881.28445397094 167.787855739792 -240.938550646623</t>
  </si>
  <si>
    <t>-649.308852661071 220.520407068229 -279.115475256992</t>
  </si>
  <si>
    <t>-827.834466298357 81.553262922341 -98.3005577001043</t>
  </si>
  <si>
    <t>-843.629923348309 119.63284284166 303.140778284045</t>
  </si>
  <si>
    <t>-883.686519961483 177.569534419713 745.335116426357</t>
  </si>
  <si>
    <t>-738.69939041199 163.951579017452 807.62921696295</t>
  </si>
  <si>
    <t>-736.187134267702 -91.5280708152292 311.191013270359</t>
  </si>
  <si>
    <t>-766.519481410662 -92.0226489250426 758.033663063452</t>
  </si>
  <si>
    <t>-626.809098473102 -67.9924808365861 828.679725304938</t>
  </si>
  <si>
    <t>9763-20170724T104659.147241600.bin</t>
  </si>
  <si>
    <t>-832.481047151867 0.847563518169181 -553.496650124417</t>
  </si>
  <si>
    <t>-873.811243854545 130.279489958801 -532.637021189928</t>
  </si>
  <si>
    <t>-877.877021844398 169.502755311085 -241.027270192165</t>
  </si>
  <si>
    <t>-645.576774228392 222.995765403679 -276.040776456036</t>
  </si>
  <si>
    <t>-827.126091404238 81.6665705362057 -98.2620372478025</t>
  </si>
  <si>
    <t>-842.880509837433 119.828644682286 303.173101803102</t>
  </si>
  <si>
    <t>-883.698054479478 177.607204939032 745.333584219613</t>
  </si>
  <si>
    <t>-738.705751290505 164.085128407151 807.636682753969</t>
  </si>
  <si>
    <t>-735.940341875096 -91.6896744406621 311.288295010561</t>
  </si>
  <si>
    <t>-766.426736795902 -92.3350380513223 758.108287338445</t>
  </si>
  <si>
    <t>-626.72290642288 -68.1597190193429 828.717786540013</t>
  </si>
  <si>
    <t>9763-20170724T104659.179326600.bin</t>
  </si>
  <si>
    <t>-832.656673542656 0.790003197108945 -553.42899499819</t>
  </si>
  <si>
    <t>-873.440314516047 130.395755228761 -532.570714933747</t>
  </si>
  <si>
    <t>-876.01804530812 170.317219630048 -241.03880161781</t>
  </si>
  <si>
    <t>-643.651580977087 224.318382619968 -274.810393571885</t>
  </si>
  <si>
    <t>-826.935232235055 81.8079878938247 -98.2471115126322</t>
  </si>
  <si>
    <t>-842.458093885094 119.882762531403 303.205281964015</t>
  </si>
  <si>
    <t>-883.712179460702 177.583621506707 745.351819957945</t>
  </si>
  <si>
    <t>-738.69498135696 164.191134368337 807.625093360122</t>
  </si>
  <si>
    <t>-735.823465875639 -91.628332229918 311.337572914968</t>
  </si>
  <si>
    <t>-766.380772742852 -92.4313453509013 758.110490851791</t>
  </si>
  <si>
    <t>-626.661089171317 -68.3805531679079 828.73116621345</t>
  </si>
  <si>
    <t>9763-20170724T104659.248539800.bin</t>
  </si>
  <si>
    <t>-833.396707287124 1.26181509701814 -553.281721253154</t>
  </si>
  <si>
    <t>-873.01418715437 131.20225693783 -532.250601462631</t>
  </si>
  <si>
    <t>-870.922178069204 172.389929131174 -240.891145298041</t>
  </si>
  <si>
    <t>-639.029317450612 228.763826847663 -274.035781116175</t>
  </si>
  <si>
    <t>-826.635703299952 82.392948710034 -98.2013594521533</t>
  </si>
  <si>
    <t>-841.742457280153 119.905144758308 303.319871236411</t>
  </si>
  <si>
    <t>-883.833423301728 177.706835217903 745.436437240716</t>
  </si>
  <si>
    <t>-738.770709237118 164.097513231447 807.556235194918</t>
  </si>
  <si>
    <t>-735.484938256719 -91.3121056233981 311.371417297662</t>
  </si>
  <si>
    <t>-766.494022519008 -92.1995984428432 758.106866273004</t>
  </si>
  <si>
    <t>-626.706814483296 -68.62974982669 828.755996680766</t>
  </si>
  <si>
    <t>9763-20170724T104659.283633300.bin</t>
  </si>
  <si>
    <t>-833.684431662942 1.41729808739228 -553.173686227623</t>
  </si>
  <si>
    <t>-872.679410379784 131.530249448171 -532.013237255855</t>
  </si>
  <si>
    <t>-867.285847258164 173.867466551186 -240.860864887498</t>
  </si>
  <si>
    <t>-635.922188151736 231.8634540615 -274.892872301534</t>
  </si>
  <si>
    <t>-826.324970101198 82.3657385120491 -98.1592594435465</t>
  </si>
  <si>
    <t>-841.332581983685 119.814163581673 303.371609884163</t>
  </si>
  <si>
    <t>-883.87641359684 177.73170766615 745.436889330161</t>
  </si>
  <si>
    <t>-738.784402160607 164.131661462787 807.49052837853</t>
  </si>
  <si>
    <t>-735.33525409593 -91.357530161548 311.405110943876</t>
  </si>
  <si>
    <t>-766.493621572256 -92.2473501845141 758.124260446154</t>
  </si>
  <si>
    <t>-626.762016449924 -68.3104095499223 828.760055083471</t>
  </si>
  <si>
    <t>9763-20170724T104659.350012800.bin</t>
  </si>
  <si>
    <t>-834.250401292455 1.44998921243246 -552.943334503017</t>
  </si>
  <si>
    <t>-872.025413919882 131.887548487738 -531.572703973687</t>
  </si>
  <si>
    <t>-857.364027111756 178.916811491178 -241.461435197172</t>
  </si>
  <si>
    <t>-626.77646518017 239.454175334444 -276.325107794405</t>
  </si>
  <si>
    <t>-825.496955370533 82.1697553345562 -98.1412554495031</t>
  </si>
  <si>
    <t>-840.256045844345 119.548357756589 303.405360144488</t>
  </si>
  <si>
    <t>-883.91144503865 177.725957617852 745.327595838573</t>
  </si>
  <si>
    <t>-738.784896192129 164.272800333876 807.332506600352</t>
  </si>
  <si>
    <t>-734.880721510393 -91.35626385557 311.511134331653</t>
  </si>
  <si>
    <t>-766.62072122742 -92.0643377977094 758.154000271806</t>
  </si>
  <si>
    <t>-626.777367053243 -68.7829879140577 828.787742522792</t>
  </si>
  <si>
    <t>9763-20170724T104659.381096000.bin</t>
  </si>
  <si>
    <t>-834.366475259284 1.29318787087709 -552.858598775021</t>
  </si>
  <si>
    <t>-871.499150645103 131.905452989125 -531.417055310768</t>
  </si>
  <si>
    <t>-851.362712195482 182.178227432632 -242.179365887159</t>
  </si>
  <si>
    <t>-620.959738936282 242.983813696384 -277.78844146934</t>
  </si>
  <si>
    <t>-825.067150544049 82.0363484103891 -98.1252820152785</t>
  </si>
  <si>
    <t>-839.642561458079 119.329820824424 303.435931650491</t>
  </si>
  <si>
    <t>-883.91450156036 177.711221841558 745.268521967824</t>
  </si>
  <si>
    <t>-738.782523920861 164.290057173453 807.267509868654</t>
  </si>
  <si>
    <t>-734.550524314986 -91.3846191369425 311.539081155907</t>
  </si>
  <si>
    <t>-766.621190444784 -92.095356682525 758.156171353869</t>
  </si>
  <si>
    <t>-626.817544578757 -68.5524189289019 828.781732736972</t>
  </si>
  <si>
    <t>9763-20170724T104659.446276600.bin</t>
  </si>
  <si>
    <t>-834.11326642472 1.24263416100462 -552.728392044593</t>
  </si>
  <si>
    <t>-869.860729893283 132.229192194349 -531.237235759038</t>
  </si>
  <si>
    <t>-838.564648360002 188.224175591813 -244.05033911324</t>
  </si>
  <si>
    <t>-608.388064227938 248.925591138877 -281.265051250263</t>
  </si>
  <si>
    <t>-824.083720482272 82.0020188988349 -98.0812224049204</t>
  </si>
  <si>
    <t>-838.555165254384 119.033142642522 303.50805443604</t>
  </si>
  <si>
    <t>-883.949823664189 177.828328987978 745.173413506565</t>
  </si>
  <si>
    <t>-738.824471270191 164.293478123236 807.163266488203</t>
  </si>
  <si>
    <t>-733.855975316616 -91.505780099924 311.580326451707</t>
  </si>
  <si>
    <t>-766.583022499532 -92.2980011977191 758.158959948271</t>
  </si>
  <si>
    <t>-626.834996572362 -68.3510357716458 828.758646719618</t>
  </si>
  <si>
    <t>9763-20170724T104659.500420600.bin</t>
  </si>
  <si>
    <t>-833.736399470243 1.68910541395348 -552.658991472489</t>
  </si>
  <si>
    <t>-868.300885216683 132.986848319816 -531.140649209193</t>
  </si>
  <si>
    <t>-828.402131995842 192.679657398218 -245.770721815446</t>
  </si>
  <si>
    <t>-598.42186785972 253.075322042345 -284.659042701522</t>
  </si>
  <si>
    <t>-823.427765142959 82.3606404961561 -98.0542508992806</t>
  </si>
  <si>
    <t>-838.012856657707 119.14800565831 303.553317135004</t>
  </si>
  <si>
    <t>-883.975780620591 177.920712199692 745.151347886122</t>
  </si>
  <si>
    <t>-738.852557082639 164.260274047441 807.118618166018</t>
  </si>
  <si>
    <t>-733.572921178047 -91.2742429609219 311.612189795377</t>
  </si>
  <si>
    <t>-766.644433651466 -92.265513195318 758.152317472754</t>
  </si>
  <si>
    <t>-626.856108311531 -68.5227906834588 828.741332725353</t>
  </si>
  <si>
    <t>9763-20170724T104659.548098700.bin</t>
  </si>
  <si>
    <t>-833.145244761467 2.23399061438408 -552.669857495051</t>
  </si>
  <si>
    <t>-866.280124877677 133.907116126551 -531.147221093525</t>
  </si>
  <si>
    <t>-818.428473126615 196.50454283567 -247.628313169485</t>
  </si>
  <si>
    <t>-588.428501185795 256.051780560708 -287.6905650067</t>
  </si>
  <si>
    <t>-823.028951747242 82.7396894120689 -98.0613730263871</t>
  </si>
  <si>
    <t>-837.737164621765 119.321474819872 303.560403075372</t>
  </si>
  <si>
    <t>-883.994791969075 177.914351472271 745.156298719607</t>
  </si>
  <si>
    <t>-738.842971187793 164.285339391445 807.063548875464</t>
  </si>
  <si>
    <t>-733.579457499066 -91.1635320087647 311.629264477382</t>
  </si>
  <si>
    <t>-766.648883108017 -92.3622874742547 758.147115099554</t>
  </si>
  <si>
    <t>-626.85300388444 -68.6491452014568 828.731014004273</t>
  </si>
  <si>
    <t>9763-20170724T104659.582190100.bin</t>
  </si>
  <si>
    <t>-832.699406507798 2.68439959288207 -552.708771963369</t>
  </si>
  <si>
    <t>-864.81377826345 134.618029166226 -531.269940089697</t>
  </si>
  <si>
    <t>-812.343332693999 198.780539030137 -248.920383266318</t>
  </si>
  <si>
    <t>-582.043802662049 256.920541230871 -289.327247056334</t>
  </si>
  <si>
    <t>-822.852021673748 83.1288717298821 -98.0875026902644</t>
  </si>
  <si>
    <t>-837.655718958085 119.523112039952 303.547930777753</t>
  </si>
  <si>
    <t>-884.003476066865 177.934460869522 745.148161837092</t>
  </si>
  <si>
    <t>-738.832670312041 164.361809811915 807.023167240544</t>
  </si>
  <si>
    <t>-733.599720362101 -91.006090137606 311.62215812083</t>
  </si>
  <si>
    <t>-766.650872036253 -92.4262468712391 758.139788581467</t>
  </si>
  <si>
    <t>-626.802159477494 -69.0491465771596 828.731249514691</t>
  </si>
  <si>
    <t>9763-20170724T104659.649875000.bin</t>
  </si>
  <si>
    <t>-831.867022137965 3.45794067062616 -552.836281316544</t>
  </si>
  <si>
    <t>-862.140186693432 135.879922360749 -531.700964496252</t>
  </si>
  <si>
    <t>-801.321503903193 201.86946751238 -251.455312570581</t>
  </si>
  <si>
    <t>-570.475086511593 257.950447525646 -291.651658743578</t>
  </si>
  <si>
    <t>-822.550837048505 83.9154033035095 -98.1503388935598</t>
  </si>
  <si>
    <t>-837.521218126412 120.122252817137 303.495798995312</t>
  </si>
  <si>
    <t>-884.017763199981 178.125289987426 745.125400423556</t>
  </si>
  <si>
    <t>-738.859128456378 164.34223371779 806.982585148629</t>
  </si>
  <si>
    <t>-733.951925284924 -90.5312624502303 311.564287576563</t>
  </si>
  <si>
    <t>-766.830447447 -92.144688568382 758.095869074804</t>
  </si>
  <si>
    <t>-626.936667084658 -69.1245888389018 828.715384377002</t>
  </si>
  <si>
    <t>9763-20170724T104659.682962800.bin</t>
  </si>
  <si>
    <t>-831.496664742116 3.92539372020838 -552.90914000298</t>
  </si>
  <si>
    <t>-861.025039091634 136.540713187176 -531.950452104773</t>
  </si>
  <si>
    <t>-796.615338612489 202.877356531509 -252.590411163662</t>
  </si>
  <si>
    <t>-565.610447985967 258.133001990202 -293.018952487431</t>
  </si>
  <si>
    <t>-822.426433836441 84.3717317457044 -98.182442472281</t>
  </si>
  <si>
    <t>-837.458276082205 120.437462766561 303.474114191831</t>
  </si>
  <si>
    <t>-884.014138160428 178.183840162829 745.130090928431</t>
  </si>
  <si>
    <t>-738.859620296101 164.284547426578 806.970837928216</t>
  </si>
  <si>
    <t>-734.162205171906 -90.3997837863943 311.522607658219</t>
  </si>
  <si>
    <t>-766.848242978383 -92.1542398043289 758.067011130952</t>
  </si>
  <si>
    <t>-626.984074913833 -68.9994309431318 828.701040068024</t>
  </si>
  <si>
    <t>9763-20170724T104659.748141300.bin</t>
  </si>
  <si>
    <t>-831.131037373675 5.25134677561732 -553.046898688824</t>
  </si>
  <si>
    <t>-859.36927348403 138.216564102983 -532.429692009015</t>
  </si>
  <si>
    <t>-790.311852113874 204.236478014244 -254.106836406151</t>
  </si>
  <si>
    <t>-558.793317048367 257.538612351887 -294.218388317482</t>
  </si>
  <si>
    <t>-822.280092730822 85.6276036227118 -98.2290887208211</t>
  </si>
  <si>
    <t>-837.41476987851 121.268284950813 303.4615364515</t>
  </si>
  <si>
    <t>-884.003017940143 178.341018538289 745.172362856614</t>
  </si>
  <si>
    <t>-738.857846972929 164.246539628149 806.990634261467</t>
  </si>
  <si>
    <t>-734.756433204639 -89.93755559253 311.393534014409</t>
  </si>
  <si>
    <t>-766.937500664161 -92.0472904790748 757.991850827729</t>
  </si>
  <si>
    <t>-627.032556337638 -69.3169491783613 828.682803781263</t>
  </si>
  <si>
    <t>9763-20170724T104659.782233400.bin</t>
  </si>
  <si>
    <t>-831.150430966939 5.76116412997226 -553.113037411145</t>
  </si>
  <si>
    <t>-858.92460392741 138.843033554386 -532.67128586701</t>
  </si>
  <si>
    <t>-789.095466217393 204.371195360032 -254.424726134046</t>
  </si>
  <si>
    <t>-557.329127487968 256.345471900828 -294.846564268865</t>
  </si>
  <si>
    <t>-822.262768123963 86.1878432038545 -98.2296253898243</t>
  </si>
  <si>
    <t>-837.460105156323 121.644891846413 303.474880841751</t>
  </si>
  <si>
    <t>-883.993647312794 178.463333272204 745.201328185977</t>
  </si>
  <si>
    <t>-738.857131335938 164.319413199359 807.028634581314</t>
  </si>
  <si>
    <t>-735.013453688227 -89.8368371631304 311.329924202984</t>
  </si>
  <si>
    <t>-766.869006713181 -92.2458083945749 757.957695209967</t>
  </si>
  <si>
    <t>-626.991610542361 -69.3980800462285 828.665509440752</t>
  </si>
  <si>
    <t>9763-20170724T104659.845403000.bin</t>
  </si>
  <si>
    <t>-831.391744167702 6.61812829744599 -553.205676556567</t>
  </si>
  <si>
    <t>-858.495601650355 139.866778350686 -532.915310675653</t>
  </si>
  <si>
    <t>-788.384254013242 203.827306783593 -254.374965189525</t>
  </si>
  <si>
    <t>-556.149292307361 253.255892825685 -295.296693305317</t>
  </si>
  <si>
    <t>-822.339209432075 86.9762190575693 -98.2122950639722</t>
  </si>
  <si>
    <t>-837.631454502239 122.215592804002 303.507744649883</t>
  </si>
  <si>
    <t>-883.945850210592 178.693117152122 745.26354667553</t>
  </si>
  <si>
    <t>-738.879166347827 164.198521837101 807.173730819616</t>
  </si>
  <si>
    <t>-735.587968245475 -89.4705595898574 311.224557787071</t>
  </si>
  <si>
    <t>-767.034587792117 -92.0521261577865 757.906986182762</t>
  </si>
  <si>
    <t>-627.07102810527 -69.8220390758102 828.641130374378</t>
  </si>
  <si>
    <t>9763-20170724T104659.883504000.bin</t>
  </si>
  <si>
    <t>-831.323702854591 6.71881617352915 -553.230916355576</t>
  </si>
  <si>
    <t>-858.118265843373 140.019451797332 -532.946029291087</t>
  </si>
  <si>
    <t>-787.985109800402 203.392667105912 -254.277013583398</t>
  </si>
  <si>
    <t>-555.51093441261 251.647918749243 -295.2413800329</t>
  </si>
  <si>
    <t>-822.377357995116 87.0639728708456 -98.1991145801544</t>
  </si>
  <si>
    <t>-837.707571994256 122.329974907725 303.517203285158</t>
  </si>
  <si>
    <t>-883.909456328779 178.691925457388 745.306419109663</t>
  </si>
  <si>
    <t>-738.833220388529 164.403946459271 807.242106808088</t>
  </si>
  <si>
    <t>-735.812005315889 -89.3896501368504 311.204019889145</t>
  </si>
  <si>
    <t>-767.099503729508 -92.0175157039025 757.902017987125</t>
  </si>
  <si>
    <t>-627.109531419176 -69.9636520713326 828.639151807082</t>
  </si>
  <si>
    <t>9763-20170724T104659.950688500.bin</t>
  </si>
  <si>
    <t>-831.075414645773 6.69739329520485 -553.252875652428</t>
  </si>
  <si>
    <t>-857.235689605942 140.125051879477 -532.983112058961</t>
  </si>
  <si>
    <t>-787.115999891741 202.683360178996 -254.126588300267</t>
  </si>
  <si>
    <t>-554.202931901366 249.303918070201 -294.486145939302</t>
  </si>
  <si>
    <t>-822.722760933139 87.407760121517 -98.1786380412907</t>
  </si>
  <si>
    <t>-837.909273350746 122.531203980381 303.555565498497</t>
  </si>
  <si>
    <t>-883.879396417273 178.763543953438 745.418501210966</t>
  </si>
  <si>
    <t>-738.825320697515 164.357519482558 807.378844879659</t>
  </si>
  <si>
    <t>-735.904686984287 -89.1979286197894 311.204838422503</t>
  </si>
  <si>
    <t>-767.207181954592 -91.9774639459341 757.90448205394</t>
  </si>
  <si>
    <t>-627.194301075929 -70.0720892866154 828.642437709724</t>
  </si>
  <si>
    <t>9763-20170724T104659.983777400.bin</t>
  </si>
  <si>
    <t>-831.037708883091 6.63678640998251 -553.255279441771</t>
  </si>
  <si>
    <t>-856.828056182749 140.137971917242 -533.026872485096</t>
  </si>
  <si>
    <t>-786.878337802006 202.501075901396 -254.084014001022</t>
  </si>
  <si>
    <t>-553.809715601968 248.54919550926 -294.201788775494</t>
  </si>
  <si>
    <t>-823.037180706107 87.6723632458375 -98.1855960100413</t>
  </si>
  <si>
    <t>-837.946427067369 122.659906441116 303.570888283186</t>
  </si>
  <si>
    <t>-883.86602756485 178.826426365382 745.476596829209</t>
  </si>
  <si>
    <t>-738.82269182486 164.345069665066 807.444442958695</t>
  </si>
  <si>
    <t>-735.743974777535 -88.9921790116424 311.230243379372</t>
  </si>
  <si>
    <t>-767.239242396834 -92.0084575129489 757.913399635944</t>
  </si>
  <si>
    <t>-627.260636750707 -69.8480343487331 828.639690692226</t>
  </si>
  <si>
    <t>9763-20170724T104700.046958700.bin</t>
  </si>
  <si>
    <t>-830.808615399432 6.11754278948274 -553.258183885183</t>
  </si>
  <si>
    <t>-856.049848625652 139.767474817316 -533.259936993324</t>
  </si>
  <si>
    <t>-786.040689703877 201.880130352346 -254.27614279973</t>
  </si>
  <si>
    <t>-552.703831297929 247.378363602443 -293.451148628502</t>
  </si>
  <si>
    <t>-823.150564563364 87.806255888014 -98.1855747082207</t>
  </si>
  <si>
    <t>-837.739571424991 122.782895539343 303.583627856703</t>
  </si>
  <si>
    <t>-883.800136938606 178.824808371641 745.539021233494</t>
  </si>
  <si>
    <t>-738.731799864717 164.613111401926 807.510727795048</t>
  </si>
  <si>
    <t>-735.406366423248 -88.6616018882312 311.287778153394</t>
  </si>
  <si>
    <t>-767.248635386202 -92.1228235462786 757.897008973751</t>
  </si>
  <si>
    <t>-627.296896675703 -69.8416473823336 828.638526159878</t>
  </si>
  <si>
    <t>9763-20170724T104700.082051900.bin</t>
  </si>
  <si>
    <t>-830.729575046059 5.93257711601154 -553.245678388797</t>
  </si>
  <si>
    <t>-855.801874718895 139.625552484823 -533.368135896084</t>
  </si>
  <si>
    <t>-785.63212571526 201.882391047795 -254.457007146711</t>
  </si>
  <si>
    <t>-552.150570306414 246.875143478616 -293.353242609924</t>
  </si>
  <si>
    <t>-823.136390920513 87.9265721514253 -98.1791715726862</t>
  </si>
  <si>
    <t>-837.616101392738 122.87032242343 303.596789300452</t>
  </si>
  <si>
    <t>-883.78671714014 178.859700808579 745.571903599248</t>
  </si>
  <si>
    <t>-738.716723315653 164.604024733873 807.529731249939</t>
  </si>
  <si>
    <t>-735.291062290484 -88.5417380460189 311.30263233704</t>
  </si>
  <si>
    <t>-767.253457096318 -92.1661278691099 757.880869613138</t>
  </si>
  <si>
    <t>-627.284653073959 -70.0715686469219 828.647162841337</t>
  </si>
  <si>
    <t>9763-20170724T104700.150245200.bin</t>
  </si>
  <si>
    <t>-789.047859591377 0.0696295771297173 -93.9162508128879</t>
  </si>
  <si>
    <t>-831.132066360365 6.03081833207307 -553.21666290466</t>
  </si>
  <si>
    <t>-856.042782109076 139.784112402331 -533.521569030612</t>
  </si>
  <si>
    <t>-785.496279377447 202.115523475803 -254.721948585769</t>
  </si>
  <si>
    <t>-551.924383611014 246.78804445241 -293.444057941041</t>
  </si>
  <si>
    <t>-823.383883695666 88.5434563926644 -98.1486232667347</t>
  </si>
  <si>
    <t>-837.578748661101 123.226490030879 303.660159051955</t>
  </si>
  <si>
    <t>-883.819758934475 179.087427152926 745.657569281903</t>
  </si>
  <si>
    <t>-738.752868188093 164.48162982381 807.540996133446</t>
  </si>
  <si>
    <t>-735.46514237443 -88.2370077630768 311.319969705345</t>
  </si>
  <si>
    <t>-767.390903452198 -92.0279801622223 757.876832232313</t>
  </si>
  <si>
    <t>-627.321430555431 -70.6893007386163 828.6758703476</t>
  </si>
  <si>
    <t>9763-20170724T104700.183333400.bin</t>
  </si>
  <si>
    <t>-789.313232318765 0.285248065348469 -93.9115086680462</t>
  </si>
  <si>
    <t>-831.543498188472 6.11778956941589 -553.21027431195</t>
  </si>
  <si>
    <t>-856.492228781834 139.875248351712 -533.562459694887</t>
  </si>
  <si>
    <t>-785.686464191692 201.955977292931 -254.772620942984</t>
  </si>
  <si>
    <t>-552.084096884741 246.347578114317 -293.633721841784</t>
  </si>
  <si>
    <t>-823.611140605278 88.7414494317873 -98.1463099714456</t>
  </si>
  <si>
    <t>-837.710260345522 123.337845757865 303.673337714421</t>
  </si>
  <si>
    <t>-883.818243553105 179.129637187666 745.681189393687</t>
  </si>
  <si>
    <t>-738.744938775268 164.478498181205 807.538894066123</t>
  </si>
  <si>
    <t>-735.652610732816 -88.0489525437793 311.323273464398</t>
  </si>
  <si>
    <t>-767.473703954743 -91.9415349879508 757.880112247112</t>
  </si>
  <si>
    <t>-627.401862313112 -70.6399877276496 828.685598222113</t>
  </si>
  <si>
    <t>9763-20170724T104700.248512600.bin</t>
  </si>
  <si>
    <t>-789.759236482657 0.230100715480603 -93.9097283719027</t>
  </si>
  <si>
    <t>-832.402545791716 5.75502593567489 -553.183252770205</t>
  </si>
  <si>
    <t>-857.483249531314 139.489597814981 -533.581950594612</t>
  </si>
  <si>
    <t>-786.465452166803 201.105102803581 -254.742834440133</t>
  </si>
  <si>
    <t>-552.828228036303 244.826280502673 -294.150209240039</t>
  </si>
  <si>
    <t>-824.051208207986 88.6747720362728 -98.1518475997236</t>
  </si>
  <si>
    <t>-837.860697418833 123.315264532275 303.674014007642</t>
  </si>
  <si>
    <t>-883.752751359806 179.030472716746 745.705742716811</t>
  </si>
  <si>
    <t>-738.639898962579 164.671097624693 807.539093709063</t>
  </si>
  <si>
    <t>-735.741067518751 -88.0984626221452 311.306741126507</t>
  </si>
  <si>
    <t>-767.435544380281 -92.2376435942284 757.891253675091</t>
  </si>
  <si>
    <t>-627.388944710454 -70.7506311387253 828.690583611422</t>
  </si>
  <si>
    <t>9763-20170724T104700.286616400.bin</t>
  </si>
  <si>
    <t>-789.917564492183 0.0365918586410316 -93.9030152740104</t>
  </si>
  <si>
    <t>-832.749473520219 5.40781863472557 -553.16326506445</t>
  </si>
  <si>
    <t>-857.908731100146 139.129142419576 -533.554496085959</t>
  </si>
  <si>
    <t>-786.784681321003 200.476856526946 -254.68347617202</t>
  </si>
  <si>
    <t>-553.168539255221 243.957088585405 -294.481076701696</t>
  </si>
  <si>
    <t>-824.296021920575 88.611053225568 -98.1474801992732</t>
  </si>
  <si>
    <t>-837.905375123562 123.231782949857 303.686837804598</t>
  </si>
  <si>
    <t>-883.740875594107 179.081298871635 745.720253064087</t>
  </si>
  <si>
    <t>-738.640465152645 164.581863725465 807.550134750952</t>
  </si>
  <si>
    <t>-735.733281751904 -88.2027449511755 311.301011968408</t>
  </si>
  <si>
    <t>-767.381793350997 -92.4513254963217 757.891629034593</t>
  </si>
  <si>
    <t>-627.431187352386 -70.302156332103 828.676772074</t>
  </si>
  <si>
    <t>9763-20170724T104700.347679900.bin</t>
  </si>
  <si>
    <t>-833.53701369692 4.85727957630274 -553.163481635084</t>
  </si>
  <si>
    <t>-858.809707095073 138.551182115104 -533.539327572722</t>
  </si>
  <si>
    <t>-787.869034812427 199.416514788874 -254.515969086414</t>
  </si>
  <si>
    <t>-554.263914115482 241.809110663889 -295.533002904807</t>
  </si>
  <si>
    <t>-824.872396664545 88.4927353533856 -98.1512706006231</t>
  </si>
  <si>
    <t>-838.109286193613 123.108431370191 303.695935707426</t>
  </si>
  <si>
    <t>-883.69558047825 179.112379587101 745.751457956024</t>
  </si>
  <si>
    <t>-738.586790547913 164.675560005824 807.576349184825</t>
  </si>
  <si>
    <t>-735.843391407317 -88.2113342378428 311.290590688889</t>
  </si>
  <si>
    <t>-767.423013901282 -92.5714910448581 757.897919606008</t>
  </si>
  <si>
    <t>-627.518020193551 -70.0726860723338 828.662873959857</t>
  </si>
  <si>
    <t>9763-20170724T104700.379761000.bin</t>
  </si>
  <si>
    <t>-834.010332504801 4.66045244936913 -553.158021268452</t>
  </si>
  <si>
    <t>-859.325423245992 138.345770153507 -533.552213873109</t>
  </si>
  <si>
    <t>-788.891141250706 198.979177509943 -254.350084611544</t>
  </si>
  <si>
    <t>-555.334252264399 240.814791773153 -296.204904795692</t>
  </si>
  <si>
    <t>-825.154138329914 88.4256096635854 -98.1495005641696</t>
  </si>
  <si>
    <t>-838.296276795706 123.098239227115 303.695937381082</t>
  </si>
  <si>
    <t>-883.669400969335 179.099422218038 745.770469573059</t>
  </si>
  <si>
    <t>-738.543137841965 164.787281689149 807.583375326412</t>
  </si>
  <si>
    <t>-736.018709303099 -88.1059348089196 311.282047763438</t>
  </si>
  <si>
    <t>-767.555354447661 -92.3781651779655 757.899137849193</t>
  </si>
  <si>
    <t>-627.573745634887 -70.3740316265262 828.668105586077</t>
  </si>
  <si>
    <t>9763-20170724T104700.452627200.bin</t>
  </si>
  <si>
    <t>-835.606874758677 4.26841408196742 -553.10317118143</t>
  </si>
  <si>
    <t>-861.013210629308 137.954246786014 -533.559310585029</t>
  </si>
  <si>
    <t>-791.781115178126 197.583929999491 -253.840799796001</t>
  </si>
  <si>
    <t>-558.081876759866 239.062678012737 -295.253618312321</t>
  </si>
  <si>
    <t>-825.949971473491 88.5387794120354 -98.1634306939474</t>
  </si>
  <si>
    <t>-838.687201974918 123.146680230257 303.700595130148</t>
  </si>
  <si>
    <t>-883.651269618444 179.212453372727 745.810756443072</t>
  </si>
  <si>
    <t>-738.532147663847 164.759718698537 807.607699500634</t>
  </si>
  <si>
    <t>-736.528606652506 -87.9704788969752 311.266318226477</t>
  </si>
  <si>
    <t>-767.65376701399 -92.3694536950811 757.915246437691</t>
  </si>
  <si>
    <t>-627.610186436397 -70.732183828283 828.674851948665</t>
  </si>
  <si>
    <t>9763-20170724T104700.481703700.bin</t>
  </si>
  <si>
    <t>-836.700556296061 3.962424916798 -553.066160228216</t>
  </si>
  <si>
    <t>-862.127598515591 137.636454239521 -533.545724185844</t>
  </si>
  <si>
    <t>-793.304834224029 197.034495484231 -253.677010344042</t>
  </si>
  <si>
    <t>-559.436146202228 238.331462725509 -294.308008769803</t>
  </si>
  <si>
    <t>-826.424117469088 88.5265174591718 -98.1818738708462</t>
  </si>
  <si>
    <t>-838.871642840432 123.162769404502 303.68880872984</t>
  </si>
  <si>
    <t>-883.626855208962 179.241352154791 745.822210153447</t>
  </si>
  <si>
    <t>-738.506108169418 164.81047611784 807.620258072513</t>
  </si>
  <si>
    <t>-736.789954032373 -87.8958762214834 311.251453255614</t>
  </si>
  <si>
    <t>-767.716727507862 -92.3432697728574 757.923931914954</t>
  </si>
  <si>
    <t>-627.642912526468 -70.8768279598083 828.675616764799</t>
  </si>
  <si>
    <t>9763-20170724T104700.545526400.bin</t>
  </si>
  <si>
    <t>-839.045390857481 3.22872727603203 -552.97107978122</t>
  </si>
  <si>
    <t>-864.432315927285 136.923049535427 -533.497992318028</t>
  </si>
  <si>
    <t>-795.933571091521 195.948712366835 -253.470923325667</t>
  </si>
  <si>
    <t>-561.901947709133 237.164553878908 -293.236437894079</t>
  </si>
  <si>
    <t>-827.441185244509 88.3569261103614 -98.2251559088105</t>
  </si>
  <si>
    <t>-839.314887988783 123.16451613177 303.648050839742</t>
  </si>
  <si>
    <t>-883.596733556841 179.300719362082 745.840227142059</t>
  </si>
  <si>
    <t>-738.485332262576 164.746987756727 807.631604854148</t>
  </si>
  <si>
    <t>-737.365765969284 -87.8966633213965 311.259496832493</t>
  </si>
  <si>
    <t>-767.709904821912 -92.5730363976656 757.954197034949</t>
  </si>
  <si>
    <t>-627.662124388128 -70.8573340500337 828.681382882734</t>
  </si>
  <si>
    <t>9763-20170724T104700.581622400.bin</t>
  </si>
  <si>
    <t>-840.195078598458 2.95062666702916 -552.949653653531</t>
  </si>
  <si>
    <t>-865.56280195833 136.654201187227 -533.521936955656</t>
  </si>
  <si>
    <t>-797.045720715804 195.459513748837 -253.453108555236</t>
  </si>
  <si>
    <t>-563.000457747817 236.699727808357 -293.113152741662</t>
  </si>
  <si>
    <t>-828.025392037564 88.3068683410759 -98.2644275620588</t>
  </si>
  <si>
    <t>-839.638560799482 123.162205311666 303.612316345721</t>
  </si>
  <si>
    <t>-883.578422805868 179.343198944558 745.833495053205</t>
  </si>
  <si>
    <t>-738.465759194318 164.812342490227 807.627282753074</t>
  </si>
  <si>
    <t>-737.654382201987 -87.8689802308176 311.252716990372</t>
  </si>
  <si>
    <t>-767.728887294345 -92.6345574768883 757.96816794941</t>
  </si>
  <si>
    <t>-627.662543256527 -71.0102831644552 828.686683427022</t>
  </si>
  <si>
    <t>9763-20170724T104700.648345700.bin</t>
  </si>
  <si>
    <t>-841.971321454686 2.7818957348527 -552.870394845579</t>
  </si>
  <si>
    <t>-867.436458118658 136.467609374563 -533.487099819598</t>
  </si>
  <si>
    <t>-798.078566258092 195.25240815663 -253.62101442946</t>
  </si>
  <si>
    <t>-564.014464309621 236.282091833463 -293.388006602234</t>
  </si>
  <si>
    <t>-829.004203658846 88.1561716524543 -98.3196486614522</t>
  </si>
  <si>
    <t>-840.335523028858 123.28784936025 303.541050457661</t>
  </si>
  <si>
    <t>-883.540042643224 179.441209849098 745.835312899073</t>
  </si>
  <si>
    <t>-738.447808559867 164.785163896335 807.647757619856</t>
  </si>
  <si>
    <t>-738.311377081232 -87.8930572041414 311.218897738367</t>
  </si>
  <si>
    <t>-767.814926747794 -92.6458691414073 757.991289689624</t>
  </si>
  <si>
    <t>-627.777405965927 -70.7753112543733 828.691148162211</t>
  </si>
  <si>
    <t>9763-20170724T104700.685443500.bin</t>
  </si>
  <si>
    <t>-842.520799475505 2.88849493873158 -552.821907760486</t>
  </si>
  <si>
    <t>-868.032933438523 136.573905393514 -533.471051674282</t>
  </si>
  <si>
    <t>-798.211248273483 195.547442869816 -253.75993481276</t>
  </si>
  <si>
    <t>-564.167916289048 236.606210877531 -293.619646743841</t>
  </si>
  <si>
    <t>-829.417344982707 88.1281938611241 -98.3350136787577</t>
  </si>
  <si>
    <t>-840.558628499875 123.34177274741 303.523826782267</t>
  </si>
  <si>
    <t>-883.52325655167 179.464637916094 745.851840143348</t>
  </si>
  <si>
    <t>-738.441942087219 164.698244728615 807.663354991117</t>
  </si>
  <si>
    <t>-738.602968143827 -87.9621911637521 311.216051535962</t>
  </si>
  <si>
    <t>-767.770173499124 -92.8451781505788 758.007802310767</t>
  </si>
  <si>
    <t>-627.773007812658 -70.6664430715782 828.691561204356</t>
  </si>
  <si>
    <t>9763-20170724T104700.750132200.bin</t>
  </si>
  <si>
    <t>-843.226898324322 3.00835971832066 -552.765095087179</t>
  </si>
  <si>
    <t>-868.81923700228 136.704952475321 -533.539388745148</t>
  </si>
  <si>
    <t>-798.335819693277 196.169153684549 -254.098326998766</t>
  </si>
  <si>
    <t>-564.310891233837 237.202575075756 -294.091298554202</t>
  </si>
  <si>
    <t>-830.105984275638 88.0514643439762 -98.3515357302933</t>
  </si>
  <si>
    <t>-840.599831448783 123.188968763862 303.531379330549</t>
  </si>
  <si>
    <t>-883.482168355447 179.384805492753 745.88402113468</t>
  </si>
  <si>
    <t>-738.367753693299 164.811677918277 807.663926932704</t>
  </si>
  <si>
    <t>-739.14396162126 -87.8355380187064 311.215796484222</t>
  </si>
  <si>
    <t>-767.944589902176 -92.6092958889977 758.018905660362</t>
  </si>
  <si>
    <t>-627.900250785355 -70.7650715813422 828.713508320209</t>
  </si>
  <si>
    <t>9763-20170724T104700.782218200.bin</t>
  </si>
  <si>
    <t>-843.499374063124 3.0426317216386 -552.7308749023</t>
  </si>
  <si>
    <t>-869.076541429075 136.746909413396 -533.567343412695</t>
  </si>
  <si>
    <t>-798.498201392401 196.328900245749 -254.175237412075</t>
  </si>
  <si>
    <t>-564.487339201553 237.369245498386 -294.243516621335</t>
  </si>
  <si>
    <t>-830.323810440369 88.0437412261383 -98.3295627912205</t>
  </si>
  <si>
    <t>-840.547631625489 123.117051148993 303.566010456144</t>
  </si>
  <si>
    <t>-883.493668330586 179.490013085668 745.901976332395</t>
  </si>
  <si>
    <t>-738.386017779273 164.77870043874 807.66486236277</t>
  </si>
  <si>
    <t>-739.288093711097 -87.8159246559258 311.208930072973</t>
  </si>
  <si>
    <t>-767.944535215457 -92.6703717792399 758.016072588255</t>
  </si>
  <si>
    <t>-627.894333869637 -70.8908408641207 828.718886133439</t>
  </si>
  <si>
    <t>9763-20170724T104700.851924000.bin</t>
  </si>
  <si>
    <t>-844.18044598144 2.91338601958819 -552.654071475104</t>
  </si>
  <si>
    <t>-869.71691578951 136.631519971732 -533.526266683163</t>
  </si>
  <si>
    <t>-798.702238352858 196.302881528344 -254.263873614869</t>
  </si>
  <si>
    <t>-564.671893242484 237.084834945759 -294.481940124836</t>
  </si>
  <si>
    <t>-830.705828051896 87.9152976087698 -98.2711704189803</t>
  </si>
  <si>
    <t>-840.569201590054 122.92911374704 303.638490677801</t>
  </si>
  <si>
    <t>-883.483881288332 179.47632317916 745.952658458022</t>
  </si>
  <si>
    <t>-738.352096643327 164.783028511782 807.662994874016</t>
  </si>
  <si>
    <t>-739.635292436094 -87.9663386319843 311.203596653916</t>
  </si>
  <si>
    <t>-767.939640190849 -92.838093829252 758.02795305735</t>
  </si>
  <si>
    <t>-627.899739102295 -70.9902422730109 828.729974113188</t>
  </si>
  <si>
    <t>9763-20170724T104700.880000100.bin</t>
  </si>
  <si>
    <t>-844.405805898706 2.84190841143459 -552.623192392999</t>
  </si>
  <si>
    <t>-869.904205029682 136.56436783392 -533.499144921208</t>
  </si>
  <si>
    <t>-798.762633485692 196.038079204274 -254.226952821138</t>
  </si>
  <si>
    <t>-564.721082961154 236.648824748405 -294.552904893279</t>
  </si>
  <si>
    <t>-830.834321698631 87.8127794417569 -98.2567247869531</t>
  </si>
  <si>
    <t>-840.620037667356 122.838604607031 303.653839392037</t>
  </si>
  <si>
    <t>-883.477768949831 179.476170000264 745.970584882976</t>
  </si>
  <si>
    <t>-738.324506323839 164.900247212394 807.658119238317</t>
  </si>
  <si>
    <t>-739.714563757378 -88.0730317184976 311.19528691435</t>
  </si>
  <si>
    <t>-767.925502133984 -92.9578031267228 758.032718121412</t>
  </si>
  <si>
    <t>-627.927222374769 -70.8181001747485 828.726586988196</t>
  </si>
  <si>
    <t>9763-20170724T104700.948691000.bin</t>
  </si>
  <si>
    <t>-845.04672338539 2.7659008358296 -552.551046619915</t>
  </si>
  <si>
    <t>-870.385932813838 136.516529837402 -533.412600696768</t>
  </si>
  <si>
    <t>-799.100598918843 195.565599204706 -254.086926184557</t>
  </si>
  <si>
    <t>-564.983140357417 235.855490567483 -294.293825072864</t>
  </si>
  <si>
    <t>-831.149641105952 87.769853851815 -98.2255985758591</t>
  </si>
  <si>
    <t>-840.903220500399 122.831296349711 303.682728811528</t>
  </si>
  <si>
    <t>-883.462761381134 179.522155637741 746.018444148751</t>
  </si>
  <si>
    <t>-738.311938241085 164.784619467642 807.673507463898</t>
  </si>
  <si>
    <t>-739.982651697921 -88.0952546372954 311.169031459149</t>
  </si>
  <si>
    <t>-767.968340064265 -93.004809179393 758.023335298568</t>
  </si>
  <si>
    <t>-627.959568502859 -70.9525824330887 828.723762926263</t>
  </si>
  <si>
    <t>9763-20170724T104700.982797500.bin</t>
  </si>
  <si>
    <t>-845.430220199259 2.88474445262068 -552.553254365893</t>
  </si>
  <si>
    <t>-870.705826338623 136.647111738429 -533.396180116295</t>
  </si>
  <si>
    <t>-799.350153464344 195.530053865721 -254.053513063811</t>
  </si>
  <si>
    <t>-565.209299779786 235.747831847007 -294.196545692069</t>
  </si>
  <si>
    <t>-831.412163578592 87.8534337749777 -98.2193821188391</t>
  </si>
  <si>
    <t>-841.148485393489 122.923580869119 303.688496291</t>
  </si>
  <si>
    <t>-883.450334332631 179.565517598225 746.042540672182</t>
  </si>
  <si>
    <t>-738.307274423579 164.734716502007 807.693516092362</t>
  </si>
  <si>
    <t>-740.278454226303 -87.9082483700258 311.140041757476</t>
  </si>
  <si>
    <t>-768.124547328492 -92.7293099649482 758.01574514884</t>
  </si>
  <si>
    <t>-628.008080107136 -71.4249074594526 828.732017292444</t>
  </si>
  <si>
    <t>9763-20170724T104701.047471800.bin</t>
  </si>
  <si>
    <t>-846.039557474784 3.09623814095289 -552.530405674641</t>
  </si>
  <si>
    <t>-871.228466176821 136.865675088839 -533.328882782531</t>
  </si>
  <si>
    <t>-799.670458072218 195.432926841343 -253.971528292594</t>
  </si>
  <si>
    <t>-565.489336651743 235.761366426927 -293.767398637417</t>
  </si>
  <si>
    <t>-831.839988551611 87.9120624679092 -98.2011601346871</t>
  </si>
  <si>
    <t>-841.653766113606 123.034055575957 303.700339501203</t>
  </si>
  <si>
    <t>-883.412354850475 179.570349003983 746.117374854424</t>
  </si>
  <si>
    <t>-738.263358757186 164.740059749234 807.75420552047</t>
  </si>
  <si>
    <t>-740.664074879723 -87.9062854535641 311.087429463697</t>
  </si>
  <si>
    <t>-768.174334914742 -92.7493298020607 757.998577319976</t>
  </si>
  <si>
    <t>-628.084396777669 -71.283553258426 828.71865810414</t>
  </si>
  <si>
    <t>9763-20170724T104701.078554600.bin</t>
  </si>
  <si>
    <t>-846.308689303818 3.25772325011258 -552.51015982893</t>
  </si>
  <si>
    <t>-871.473433090811 137.032982734195 -533.28249924254</t>
  </si>
  <si>
    <t>-799.808579567355 195.508881498973 -253.933368032143</t>
  </si>
  <si>
    <t>-565.636660302588 235.878711682643 -293.741412295622</t>
  </si>
  <si>
    <t>-832.059048608948 88.0195969170368 -98.1862952030814</t>
  </si>
  <si>
    <t>-841.854582565374 123.035849201653 303.724845735887</t>
  </si>
  <si>
    <t>-883.393017852356 179.545934329147 746.171192351602</t>
  </si>
  <si>
    <t>-738.230083149002 164.785088525783 807.792095319756</t>
  </si>
  <si>
    <t>-740.83262935674 -87.9255933759863 311.063917230684</t>
  </si>
  <si>
    <t>-768.19650466363 -92.7624071138082 757.986582575361</t>
  </si>
  <si>
    <t>-628.156210877666 -70.9776011532074 828.707325989635</t>
  </si>
  <si>
    <t>9763-20170724T104701.149254700.bin</t>
  </si>
  <si>
    <t>-846.86626836554 3.53325344498398 -552.491049513935</t>
  </si>
  <si>
    <t>-871.993912297564 137.310310206855 -533.256665207491</t>
  </si>
  <si>
    <t>-800.338305352063 195.678552180054 -253.882712331395</t>
  </si>
  <si>
    <t>-566.188538792633 235.966664631561 -293.902659910491</t>
  </si>
  <si>
    <t>-832.592258012818 88.2550586662569 -98.1445769319167</t>
  </si>
  <si>
    <t>-842.151586739556 123.092792978915 303.78777665653</t>
  </si>
  <si>
    <t>-883.378630096852 179.64424298923 746.274243650157</t>
  </si>
  <si>
    <t>-738.234305139212 164.621529962611 807.875599971132</t>
  </si>
  <si>
    <t>-741.307919024028 -87.7843665534298 311.026433281293</t>
  </si>
  <si>
    <t>-768.282178475637 -92.7341074393562 757.987258836584</t>
  </si>
  <si>
    <t>-628.169912430836 -71.4389998892106 828.714501996546</t>
  </si>
  <si>
    <t>9763-20170724T104701.179334700.bin</t>
  </si>
  <si>
    <t>-847.124726398204 3.41192290123536 -552.47600187411</t>
  </si>
  <si>
    <t>-872.212619358374 137.200040113755 -533.248286002711</t>
  </si>
  <si>
    <t>-800.468903742524 195.454678415498 -253.873050190599</t>
  </si>
  <si>
    <t>-566.323867692057 235.753433535295 -293.910442009575</t>
  </si>
  <si>
    <t>-832.796937790626 88.1478103320612 -98.1172737481371</t>
  </si>
  <si>
    <t>-842.239900515392 122.961392181229 303.819972748006</t>
  </si>
  <si>
    <t>-883.330522944 179.500760528937 746.315705540245</t>
  </si>
  <si>
    <t>-738.158063584348 164.732533020256 807.912306027313</t>
  </si>
  <si>
    <t>-741.382056681798 -87.9554627932739 311.022754182622</t>
  </si>
  <si>
    <t>-768.20274034538 -92.9851641463486 757.992001730352</t>
  </si>
  <si>
    <t>-628.205963587777 -70.8890472444737 828.702378155286</t>
  </si>
  <si>
    <t>9763-20170724T104701.246130700.bin</t>
  </si>
  <si>
    <t>-847.57483011626 3.22820272704962 -552.43709540194</t>
  </si>
  <si>
    <t>-872.548570775494 137.031072006999 -533.198577961786</t>
  </si>
  <si>
    <t>-800.586628313383 194.921599113643 -253.803995967347</t>
  </si>
  <si>
    <t>-566.453306457966 235.134137735797 -293.995998698714</t>
  </si>
  <si>
    <t>-833.081463995797 88.0377525082813 -98.0957868086541</t>
  </si>
  <si>
    <t>-842.431167894815 123.023432577003 303.8286848151</t>
  </si>
  <si>
    <t>-883.286217608604 179.53464215096 746.355597321474</t>
  </si>
  <si>
    <t>-738.136597243505 164.605517462182 807.967236568365</t>
  </si>
  <si>
    <t>-741.740506887129 -87.9208365597791 311.036388917314</t>
  </si>
  <si>
    <t>-768.295027615006 -92.9336171929666 758.016258526659</t>
  </si>
  <si>
    <t>-628.245012196572 -71.169164853495 828.723984554525</t>
  </si>
  <si>
    <t>9763-20170724T104701.286238100.bin</t>
  </si>
  <si>
    <t>-847.735158235871 3.19924905125686 -552.420278737118</t>
  </si>
  <si>
    <t>-872.637559873173 137.019150468007 -533.189801459998</t>
  </si>
  <si>
    <t>-800.591327651791 194.732976575184 -253.780411169866</t>
  </si>
  <si>
    <t>-566.445505234172 234.873859871906 -293.971467980705</t>
  </si>
  <si>
    <t>-833.20492314788 88.0872200166086 -98.1045931138244</t>
  </si>
  <si>
    <t>-842.491391587998 123.052261581135 303.823121074583</t>
  </si>
  <si>
    <t>-883.262020673627 179.522368970071 746.366322647917</t>
  </si>
  <si>
    <t>-738.099676232344 164.721141727465 807.978778274174</t>
  </si>
  <si>
    <t>-741.890252190421 -87.881481070937 311.050435127868</t>
  </si>
  <si>
    <t>-768.349005247872 -92.8907312431468 758.028002366734</t>
  </si>
  <si>
    <t>-628.300067317255 -71.0979059052771 828.729168610861</t>
  </si>
  <si>
    <t>9763-20170724T104701.350972300.bin</t>
  </si>
  <si>
    <t>-848.15021908769 3.16062519425918 -552.423281943241</t>
  </si>
  <si>
    <t>-872.935877889851 137.011297625972 -533.252372297835</t>
  </si>
  <si>
    <t>-800.743400884487 194.594380663061 -253.853697479605</t>
  </si>
  <si>
    <t>-566.563396181413 234.587036033468 -293.993457669841</t>
  </si>
  <si>
    <t>-833.450880502177 88.2789927315782 -98.1256053056818</t>
  </si>
  <si>
    <t>-842.529473748321 123.186664908293 303.811823819174</t>
  </si>
  <si>
    <t>-883.223589089568 179.557479059206 746.38751269393</t>
  </si>
  <si>
    <t>-738.07722953204 164.640155133001 808.009515923822</t>
  </si>
  <si>
    <t>-742.107051193282 -87.7812018928447 311.055257133611</t>
  </si>
  <si>
    <t>-768.41509605299 -92.8701275704311 758.035864365899</t>
  </si>
  <si>
    <t>-628.339962815992 -71.2755340114409 828.746172073609</t>
  </si>
  <si>
    <t>9763-20170724T104701.384060100.bin</t>
  </si>
  <si>
    <t>-848.12996513357 3.09162696857061 -552.408010072047</t>
  </si>
  <si>
    <t>-872.870534614734 136.96229946968 -533.292435190448</t>
  </si>
  <si>
    <t>-800.673763174387 194.564595326311 -253.898777979476</t>
  </si>
  <si>
    <t>-566.494088400482 234.546204112888 -294.050719447889</t>
  </si>
  <si>
    <t>-833.459195536047 88.3156279385364 -98.107576477301</t>
  </si>
  <si>
    <t>-842.48395460054 123.240486613941 303.829567976527</t>
  </si>
  <si>
    <t>-883.215935124214 179.583986868541 746.403176587277</t>
  </si>
  <si>
    <t>-738.071374070223 164.613734729797 808.01713444291</t>
  </si>
  <si>
    <t>-742.172486680552 -87.8426787239777 311.055928777358</t>
  </si>
  <si>
    <t>-768.345602046366 -93.0806676887888 758.039301272599</t>
  </si>
  <si>
    <t>-628.330723593028 -71.0852673998176 828.745268836944</t>
  </si>
  <si>
    <t>9763-20170724T104701.451255600.bin</t>
  </si>
  <si>
    <t>-848.263951747751 3.10759868904029 -552.377204840992</t>
  </si>
  <si>
    <t>-872.945176816231 137.000816784167 -533.38509115422</t>
  </si>
  <si>
    <t>-800.604057934483 194.934843002605 -254.097433751835</t>
  </si>
  <si>
    <t>-566.404012661662 234.845827323499 -294.201445351872</t>
  </si>
  <si>
    <t>-833.497423184412 88.5601484902109 -98.1109881832357</t>
  </si>
  <si>
    <t>-842.407133404172 123.33718108098 303.841567399772</t>
  </si>
  <si>
    <t>-883.179379172007 179.593680503908 746.412689438229</t>
  </si>
  <si>
    <t>-738.042668739676 164.547235155184 808.02631130816</t>
  </si>
  <si>
    <t>-742.341853067375 -87.7209156958725 311.056614003152</t>
  </si>
  <si>
    <t>-768.445543486351 -92.9892324579994 758.051068918192</t>
  </si>
  <si>
    <t>-628.441400163779 -70.9156670243812 828.754004782649</t>
  </si>
  <si>
    <t>9763-20170724T104701.483341600.bin</t>
  </si>
  <si>
    <t>-848.487728929388 3.15620328959335 -552.368372796135</t>
  </si>
  <si>
    <t>-873.156980848458 137.06195552017 -533.408139662332</t>
  </si>
  <si>
    <t>-800.643168476653 195.161394694592 -254.199587048811</t>
  </si>
  <si>
    <t>-566.453671887784 235.138260031962 -294.299584562858</t>
  </si>
  <si>
    <t>-833.531993675333 88.6442600415071 -98.1089012053601</t>
  </si>
  <si>
    <t>-842.360245154218 123.371563989237 303.849780496794</t>
  </si>
  <si>
    <t>-883.155677464556 179.56236317854 746.423370072501</t>
  </si>
  <si>
    <t>-738.004908610407 164.63597840341 808.033107765225</t>
  </si>
  <si>
    <t>-742.507854458454 -87.5081498500831 311.055570973816</t>
  </si>
  <si>
    <t>-768.56634480463 -92.7664167947258 758.046070614057</t>
  </si>
  <si>
    <t>-628.45631407427 -71.4458797284854 828.770272104318</t>
  </si>
  <si>
    <t>9763-20170724T104701.550130500.bin</t>
  </si>
  <si>
    <t>-848.877310519927 3.40402728490062 -552.306439164377</t>
  </si>
  <si>
    <t>-873.509424092282 137.308571294278 -533.327803074554</t>
  </si>
  <si>
    <t>-800.825332716236 195.43096392132 -254.168279819389</t>
  </si>
  <si>
    <t>-566.679426211668 235.490434735865 -294.440190935827</t>
  </si>
  <si>
    <t>-833.57931529865 88.8293662838732 -98.0873302906402</t>
  </si>
  <si>
    <t>-842.28331015385 123.441089878633 303.884004162943</t>
  </si>
  <si>
    <t>-883.13282702894 179.583557370235 746.45760894188</t>
  </si>
  <si>
    <t>-737.982568813788 164.610891359674 808.057459818783</t>
  </si>
  <si>
    <t>-742.579242333371 -87.2783350713401 311.037671236968</t>
  </si>
  <si>
    <t>-768.626801178395 -92.7344277867747 758.037284060143</t>
  </si>
  <si>
    <t>-628.490662168629 -71.6496125346292 828.78046067587</t>
  </si>
  <si>
    <t>9763-20170724T104701.580210200.bin</t>
  </si>
  <si>
    <t>-848.947775325338 3.4292718426459 -552.277469007448</t>
  </si>
  <si>
    <t>-873.556762737101 137.335278357583 -533.252514778651</t>
  </si>
  <si>
    <t>-800.848711878754 195.352945056379 -254.077587846357</t>
  </si>
  <si>
    <t>-566.730272067372 235.478488447092 -294.443009866641</t>
  </si>
  <si>
    <t>-833.532850354094 88.8299982205529 -98.061661828955</t>
  </si>
  <si>
    <t>-842.182459328669 123.374199272607 303.916629309785</t>
  </si>
  <si>
    <t>-883.117670272357 179.569063972685 746.480227565513</t>
  </si>
  <si>
    <t>-737.944641679551 164.761232085735 808.066137237057</t>
  </si>
  <si>
    <t>-742.493024935501 -87.4006274431051 311.036849836485</t>
  </si>
  <si>
    <t>-768.531926289809 -93.0094763850274 758.039156175148</t>
  </si>
  <si>
    <t>-628.478072373327 -71.3475092894261 828.770935214002</t>
  </si>
  <si>
    <t>9763-20170724T104701.647421100.bin</t>
  </si>
  <si>
    <t>-849.27573526579 3.74481456185026 -552.186841564162</t>
  </si>
  <si>
    <t>-873.836936107656 137.636875079464 -533.034682084817</t>
  </si>
  <si>
    <t>-801.066582987014 195.304160729426 -253.803284298155</t>
  </si>
  <si>
    <t>-566.965481992048 235.44987648087 -294.248988111637</t>
  </si>
  <si>
    <t>-833.545832847489 89.0569459634366 -98.0067575346983</t>
  </si>
  <si>
    <t>-842.032507675686 123.355564069749 303.996088462757</t>
  </si>
  <si>
    <t>-883.112515597168 179.641611802861 746.542642957525</t>
  </si>
  <si>
    <t>-737.962740658615 164.534545738381 808.110615003965</t>
  </si>
  <si>
    <t>-742.498232167136 -87.2435727076227 311.044988219183</t>
  </si>
  <si>
    <t>-768.691245780837 -92.7948019348901 758.041269415507</t>
  </si>
  <si>
    <t>-628.572393154334 -71.5655348825942 828.775349706381</t>
  </si>
  <si>
    <t>9763-20170724T104701.681508300.bin</t>
  </si>
  <si>
    <t>-849.569660688308 3.97806071801642 -552.123740359457</t>
  </si>
  <si>
    <t>-874.131566738724 137.855605432871 -532.873945673072</t>
  </si>
  <si>
    <t>-801.319254108989 195.312002433432 -253.610153225964</t>
  </si>
  <si>
    <t>-567.234047470478 235.442510097811 -294.162816351601</t>
  </si>
  <si>
    <t>-833.577332672372 89.1579596960689 -97.9712241108717</t>
  </si>
  <si>
    <t>-841.93469610553 123.322009360714 304.045722273932</t>
  </si>
  <si>
    <t>-883.09838657536 179.609366369372 746.577391523493</t>
  </si>
  <si>
    <t>-737.951324511997 164.449795307697 808.138905260565</t>
  </si>
  <si>
    <t>-742.472523938892 -87.0906717578868 311.046832861724</t>
  </si>
  <si>
    <t>-768.765508966435 -92.6781831859957 758.034144744106</t>
  </si>
  <si>
    <t>-628.583802917588 -71.9081459461135 828.78001157888</t>
  </si>
  <si>
    <t>9763-20170724T104701.747684300.bin</t>
  </si>
  <si>
    <t>-849.758728644384 4.23517747855567 -552.053523020972</t>
  </si>
  <si>
    <t>-874.384032530426 138.088188307637 -532.660283616774</t>
  </si>
  <si>
    <t>-801.559229438251 195.040510516385 -253.296407242435</t>
  </si>
  <si>
    <t>-567.553198044546 235.339653283159 -294.138034991905</t>
  </si>
  <si>
    <t>-833.474553719579 89.2440270140473 -97.9302433527885</t>
  </si>
  <si>
    <t>-841.749705461175 123.220005771497 304.104366218846</t>
  </si>
  <si>
    <t>-883.074540588299 179.61330222491 746.625472120042</t>
  </si>
  <si>
    <t>-737.918727399028 164.506009184668 808.179134428474</t>
  </si>
  <si>
    <t>-742.428201832021 -87.0382062132479 311.060742156451</t>
  </si>
  <si>
    <t>-768.785057063654 -92.7551959192447 758.038700934038</t>
  </si>
  <si>
    <t>-628.583271534858 -72.1332810215699 828.788167495225</t>
  </si>
  <si>
    <t>9763-20170724T104701.779769300.bin</t>
  </si>
  <si>
    <t>-849.727738717153 4.20750602082762 -552.028394502291</t>
  </si>
  <si>
    <t>-874.380479511296 138.045008710306 -532.582379528665</t>
  </si>
  <si>
    <t>-801.590988725818 194.834059757888 -253.175896010743</t>
  </si>
  <si>
    <t>-567.613654392693 235.169481439003 -294.145819060184</t>
  </si>
  <si>
    <t>-833.355271348799 89.2491379998769 -97.9104664567094</t>
  </si>
  <si>
    <t>-841.650686626325 123.190140549364 304.126682468816</t>
  </si>
  <si>
    <t>-883.069626318143 179.639188150981 746.643522550761</t>
  </si>
  <si>
    <t>-737.933165211091 164.334449644159 808.194071194999</t>
  </si>
  <si>
    <t>-742.260563217522 -87.1915935512051 311.061500228302</t>
  </si>
  <si>
    <t>-768.734862150545 -92.9111180474009 758.036125791204</t>
  </si>
  <si>
    <t>-628.665827162027 -71.367748531077 828.773946483676</t>
  </si>
  <si>
    <t>9763-20170724T104701.849477900.bin</t>
  </si>
  <si>
    <t>-849.802264141843 4.44849086078784 -551.980601646546</t>
  </si>
  <si>
    <t>-874.559786347721 138.252159608518 -532.447016201319</t>
  </si>
  <si>
    <t>-801.853458472403 194.920808299977 -252.994489876576</t>
  </si>
  <si>
    <t>-567.957993267991 235.330860211994 -294.356308711489</t>
  </si>
  <si>
    <t>-833.17496593305 89.3875625209771 -97.8863629326174</t>
  </si>
  <si>
    <t>-841.482059394331 123.199591912331 304.161429084266</t>
  </si>
  <si>
    <t>-883.050111797784 179.622494935923 746.683942145508</t>
  </si>
  <si>
    <t>-737.898011474879 164.356837191263 808.20711077238</t>
  </si>
  <si>
    <t>-742.095704462365 -86.9760398158962 311.066971968675</t>
  </si>
  <si>
    <t>-768.939927103581 -92.5391816023151 758.022054454279</t>
  </si>
  <si>
    <t>-628.794363989695 -71.5677455228523 828.780284808944</t>
  </si>
  <si>
    <t>9763-20170724T104701.882560100.bin</t>
  </si>
  <si>
    <t>-849.734934641795 4.51847776593104 -551.959493522296</t>
  </si>
  <si>
    <t>-874.563718222482 138.304895047102 -532.392451591834</t>
  </si>
  <si>
    <t>-801.904610137222 194.856976928835 -252.90415126076</t>
  </si>
  <si>
    <t>-568.065264746634 235.346224266518 -294.505295355737</t>
  </si>
  <si>
    <t>-833.097461518644 89.4269098614352 -97.8717045106058</t>
  </si>
  <si>
    <t>-841.384401683946 123.178978939715 304.181551038345</t>
  </si>
  <si>
    <t>-883.05245313891 179.653176400391 746.697890876647</t>
  </si>
  <si>
    <t>-737.887115430103 164.437982062598 808.202618578199</t>
  </si>
  <si>
    <t>-741.989730829704 -87.0081903719565 311.069063280743</t>
  </si>
  <si>
    <t>-768.904950854238 -92.6530002526769 758.016654172129</t>
  </si>
  <si>
    <t>-628.787584289044 -71.5103034243873 828.779657433713</t>
  </si>
  <si>
    <t>9763-20170724T104701.934200500.bin</t>
  </si>
  <si>
    <t>-849.477529331736 4.58122689852894 -551.934709391934</t>
  </si>
  <si>
    <t>-874.439931609223 138.338134531894 -532.328800459723</t>
  </si>
  <si>
    <t>-801.808012594957 194.777405289417 -252.810527157397</t>
  </si>
  <si>
    <t>-568.035494185989 235.356705774095 -294.698415909218</t>
  </si>
  <si>
    <t>-832.84868689866 89.4190843301344 -97.8429410206816</t>
  </si>
  <si>
    <t>-841.194465303336 123.12151558471 304.213154617014</t>
  </si>
  <si>
    <t>-883.032442818806 179.54958926519 746.71681054665</t>
  </si>
  <si>
    <t>-737.851076902046 164.384016108415 808.195933858012</t>
  </si>
  <si>
    <t>-741.763165130017 -86.9991848654473 311.073083694464</t>
  </si>
  <si>
    <t>-768.948110748451 -92.6047367145515 758.002490326379</t>
  </si>
  <si>
    <t>-628.875852727665 -71.1939443871715 828.77417300678</t>
  </si>
  <si>
    <t>9763-20170724T104701.979327800.bin</t>
  </si>
  <si>
    <t>-849.371389028394 4.63510292235401 -551.903812169222</t>
  </si>
  <si>
    <t>-874.479607137409 138.359684576357 -532.297639255124</t>
  </si>
  <si>
    <t>-801.897413161209 194.880637164484 -252.78316572405</t>
  </si>
  <si>
    <t>-568.161325237148 235.50398434215 -294.831402824246</t>
  </si>
  <si>
    <t>-832.684507531688 89.5056844617591 -97.8178641328468</t>
  </si>
  <si>
    <t>-840.964807148785 123.153552606677 304.244239845651</t>
  </si>
  <si>
    <t>-883.025170598759 179.520907102105 746.727825302404</t>
  </si>
  <si>
    <t>-737.835151035852 164.362396588683 808.188188645133</t>
  </si>
  <si>
    <t>-741.641830538466 -86.9623160249913 311.08480491316</t>
  </si>
  <si>
    <t>-768.949757418617 -92.6698692288833 758.002213540291</t>
  </si>
  <si>
    <t>-628.853686387283 -71.4300879328609 828.778262158976</t>
  </si>
  <si>
    <t>9763-20170724T104702.049548700.bin</t>
  </si>
  <si>
    <t>-849.379255882916 4.83816754489453 -551.901408030215</t>
  </si>
  <si>
    <t>-874.664692343636 138.530788299888 -532.29889219225</t>
  </si>
  <si>
    <t>-802.162897573021 195.065787608393 -252.76619085553</t>
  </si>
  <si>
    <t>-568.483507237657 235.877894156941 -294.94644468157</t>
  </si>
  <si>
    <t>-832.593317571001 89.7132852044178 -97.823919267631</t>
  </si>
  <si>
    <t>-840.875756387284 123.217988359852 304.250062751968</t>
  </si>
  <si>
    <t>-883.016268305375 179.544269061058 746.72123194804</t>
  </si>
  <si>
    <t>-737.832507453123 164.286089303961 808.171616654547</t>
  </si>
  <si>
    <t>-741.556713332104 -86.7065844703632 311.103933764135</t>
  </si>
  <si>
    <t>-769.102270869126 -92.4221853755605 758.005887114284</t>
  </si>
  <si>
    <t>-628.91113293508 -71.8595657183541 828.793676786836</t>
  </si>
  <si>
    <t>9763-20170724T104702.080629400.bin</t>
  </si>
  <si>
    <t>-849.3801341914 4.93796387969155 -551.916031704624</t>
  </si>
  <si>
    <t>-874.747266629094 138.613762277532 -532.324301369075</t>
  </si>
  <si>
    <t>-802.362886490413 195.181344716032 -252.767888446565</t>
  </si>
  <si>
    <t>-568.698046870053 236.037717996963 -294.985979736661</t>
  </si>
  <si>
    <t>-832.563335393902 89.8003394194063 -97.8415705720959</t>
  </si>
  <si>
    <t>-840.906437120381 123.248371858911 304.235914617248</t>
  </si>
  <si>
    <t>-882.994968047305 179.531975788429 746.70463694818</t>
  </si>
  <si>
    <t>-737.806554192697 164.35527661816 808.164152612685</t>
  </si>
  <si>
    <t>-741.501833132376 -86.7152148660927 311.102532253789</t>
  </si>
  <si>
    <t>-769.053750193713 -92.5672293274829 757.999974020976</t>
  </si>
  <si>
    <t>-628.929325494544 -71.540659032795 828.783602552434</t>
  </si>
  <si>
    <t>9763-20170724T104702.149385600.bin</t>
  </si>
  <si>
    <t>-849.013220722965 5.08822868543689 -551.987258025713</t>
  </si>
  <si>
    <t>-874.508027151563 138.753722142542 -532.448484385037</t>
  </si>
  <si>
    <t>-802.331073506461 195.296717707897 -252.833518065738</t>
  </si>
  <si>
    <t>-568.69864049087 236.292301520792 -295.095905743724</t>
  </si>
  <si>
    <t>-832.389525711523 89.917432952001 -97.8839800624651</t>
  </si>
  <si>
    <t>-840.939716415997 123.366161718722 304.189056029672</t>
  </si>
  <si>
    <t>-882.938007708819 179.383565448393 746.697380957363</t>
  </si>
  <si>
    <t>-737.726335247922 164.429187125042 808.156483079961</t>
  </si>
  <si>
    <t>-741.459111474719 -86.7206298771021 311.081500478925</t>
  </si>
  <si>
    <t>-769.075715285582 -92.5927477964017 757.981464241632</t>
  </si>
  <si>
    <t>-629.013164672079 -71.1736012344785 828.769824361081</t>
  </si>
  <si>
    <t>9763-20170724T104702.184480100.bin</t>
  </si>
  <si>
    <t>-799.114521069451 0.0521778676463782 -93.7734280822405</t>
  </si>
  <si>
    <t>-848.961976854589 5.30520279110874 -552.014505321554</t>
  </si>
  <si>
    <t>-874.499683558804 138.974601256398 -532.537006903286</t>
  </si>
  <si>
    <t>-802.482921509968 195.532539311652 -252.883574596353</t>
  </si>
  <si>
    <t>-568.843048202702 236.535674136456 -295.097411948707</t>
  </si>
  <si>
    <t>-832.423754753577 90.1906809618117 -97.9028334387691</t>
  </si>
  <si>
    <t>-840.958076965118 123.524193405851 304.180097176041</t>
  </si>
  <si>
    <t>-882.940095667196 179.447747867327 746.703263768775</t>
  </si>
  <si>
    <t>-737.746950560632 164.301032392874 808.159022340664</t>
  </si>
  <si>
    <t>-741.540767089777 -86.3754524908788 311.063709070851</t>
  </si>
  <si>
    <t>-769.265208621698 -92.1925882752466 757.967236527689</t>
  </si>
  <si>
    <t>-629.035580648643 -72.0050126985319 828.786761514785</t>
  </si>
  <si>
    <t>9763-20170724T104702.249663900.bin</t>
  </si>
  <si>
    <t>-799.054441830209 0.167130061483476 -93.7860921401751</t>
  </si>
  <si>
    <t>-849.107925869154 5.01860606225068 -552.033687419111</t>
  </si>
  <si>
    <t>-874.698177223133 138.694762520693 -532.68622922737</t>
  </si>
  <si>
    <t>-802.831890662 195.495589745018 -253.043487249526</t>
  </si>
  <si>
    <t>-569.144535061103 236.485803673963 -295.00660859246</t>
  </si>
  <si>
    <t>-832.427817662801 90.3334986167706 -97.9136921060889</t>
  </si>
  <si>
    <t>-840.827371366796 123.559517738473 304.181021073701</t>
  </si>
  <si>
    <t>-882.941669640984 179.561662193262 746.695910255813</t>
  </si>
  <si>
    <t>-737.765707721932 164.246461476157 808.150784923167</t>
  </si>
  <si>
    <t>-741.437125041707 -86.3190686459817 311.049058795063</t>
  </si>
  <si>
    <t>-769.236222097 -92.3190805699452 757.951182993278</t>
  </si>
  <si>
    <t>-629.124458073272 -71.327961409663 828.770349175872</t>
  </si>
  <si>
    <t>9763-20170724T104702.283752800.bin</t>
  </si>
  <si>
    <t>-799.059991108874 0.144358550970992 -93.7924288390083</t>
  </si>
  <si>
    <t>-849.387774689626 4.79178762483866 -552.028390523826</t>
  </si>
  <si>
    <t>-874.942203308427 138.481416565831 -532.75508856872</t>
  </si>
  <si>
    <t>-803.190437785328 195.441123309879 -253.115155889409</t>
  </si>
  <si>
    <t>-569.474547119364 236.368408436039 -294.980359703622</t>
  </si>
  <si>
    <t>-832.431421230906 90.2927749439807 -97.9136716641819</t>
  </si>
  <si>
    <t>-840.834814876602 123.552501117531 304.178153568301</t>
  </si>
  <si>
    <t>-882.913194049226 179.473008685113 746.693238405648</t>
  </si>
  <si>
    <t>-737.724612830169 164.252428612209 808.141685335359</t>
  </si>
  <si>
    <t>-741.445255072543 -86.3453013226967 311.051327268783</t>
  </si>
  <si>
    <t>-769.197747854485 -92.4409270708779 757.94725390713</t>
  </si>
  <si>
    <t>-629.106680292947 -71.3242686416801 828.770107461361</t>
  </si>
  <si>
    <t>9763-20170724T104702.347612900.bin</t>
  </si>
  <si>
    <t>-799.256268298236 0.272338944657577 -93.8317024791747</t>
  </si>
  <si>
    <t>-850.485173560774 4.48882873335424 -552.019425319979</t>
  </si>
  <si>
    <t>-875.973179133679 138.213939294325 -532.884198534919</t>
  </si>
  <si>
    <t>-804.315264577791 195.320700796249 -253.250318915786</t>
  </si>
  <si>
    <t>-570.559406543959 236.192232867315 -294.946948234459</t>
  </si>
  <si>
    <t>-832.620994754378 90.5024968443174 -97.9659880702095</t>
  </si>
  <si>
    <t>-840.991933391124 123.717883769818 304.130245134997</t>
  </si>
  <si>
    <t>-882.902411231047 179.608056202996 746.670901647245</t>
  </si>
  <si>
    <t>-737.749570260479 164.108092963975 808.133736846372</t>
  </si>
  <si>
    <t>-741.554272569177 -86.3153973867744 311.040172484325</t>
  </si>
  <si>
    <t>-769.194896999321 -92.5216819768013 757.940985376953</t>
  </si>
  <si>
    <t>-629.130787150146 -71.2486398728677 828.770441815065</t>
  </si>
  <si>
    <t>9763-20170724T104702.381703900.bin</t>
  </si>
  <si>
    <t>-799.463648493972 0.42101628338196 -93.8574702116549</t>
  </si>
  <si>
    <t>-851.000623630069 4.47078194052915 -552.031396763064</t>
  </si>
  <si>
    <t>-876.449217569194 138.210481494876 -532.976710115253</t>
  </si>
  <si>
    <t>-804.835945446349 195.359429758313 -253.3398568276</t>
  </si>
  <si>
    <t>-571.053656319108 236.167789450958 -294.949852001131</t>
  </si>
  <si>
    <t>-832.832241242144 90.6032387156363 -97.9970482768864</t>
  </si>
  <si>
    <t>-841.080185098011 123.771669141878 304.105502537319</t>
  </si>
  <si>
    <t>-882.870978889704 179.565443825813 746.660610913418</t>
  </si>
  <si>
    <t>-737.717870461606 164.118685913864 808.136536193403</t>
  </si>
  <si>
    <t>-741.641801859322 -86.1417255221321 311.028789134452</t>
  </si>
  <si>
    <t>-769.242864376034 -92.4478478592403 757.932367431714</t>
  </si>
  <si>
    <t>-629.107679000047 -71.6949020637785 828.775461904084</t>
  </si>
  <si>
    <t>9763-20170724T104702.450419800.bin</t>
  </si>
  <si>
    <t>-799.747735585718 0.467298869101114 -93.8691997990609</t>
  </si>
  <si>
    <t>-851.875871479493 4.05321904687003 -552.01982109824</t>
  </si>
  <si>
    <t>-877.257746503934 137.834978019869 -533.1621496749</t>
  </si>
  <si>
    <t>-805.726321272733 195.112697996805 -253.530711664329</t>
  </si>
  <si>
    <t>-571.879940107772 235.739423212864 -294.957684158877</t>
  </si>
  <si>
    <t>-833.109736377967 90.5386302281861 -98.0329976909654</t>
  </si>
  <si>
    <t>-841.22662870314 123.787565835124 304.065574353019</t>
  </si>
  <si>
    <t>-882.819941377991 179.481591505948 746.64700699487</t>
  </si>
  <si>
    <t>-737.649362378657 164.244353568268 808.133739602851</t>
  </si>
  <si>
    <t>-741.766401369452 -86.0217429634366 311.016101987347</t>
  </si>
  <si>
    <t>-769.331879265124 -92.3290422142599 757.928431001558</t>
  </si>
  <si>
    <t>-629.193018853336 -71.6133233081985 828.775165652349</t>
  </si>
  <si>
    <t>9763-20170724T104702.484511200.bin</t>
  </si>
  <si>
    <t>-799.796113513963 0.345007509484503 -93.8726489993733</t>
  </si>
  <si>
    <t>-852.246531927542 3.68196810022641 -552.011979262605</t>
  </si>
  <si>
    <t>-877.620041464491 137.485148152749 -533.253356737762</t>
  </si>
  <si>
    <t>-806.043248547937 194.774129722395 -253.635874841672</t>
  </si>
  <si>
    <t>-572.193098502185 235.405326810863 -295.037552336315</t>
  </si>
  <si>
    <t>-833.18761777213 90.4949689814596 -98.0543797732976</t>
  </si>
  <si>
    <t>-841.313479434108 123.759424853316 304.042782804885</t>
  </si>
  <si>
    <t>-882.813649224255 179.516015384344 746.636401365527</t>
  </si>
  <si>
    <t>-737.667463054818 164.081587909508 808.131354501133</t>
  </si>
  <si>
    <t>-741.818951487428 -86.1325417579424 311.019787793767</t>
  </si>
  <si>
    <t>-769.249211580039 -92.5639178950111 757.937965639878</t>
  </si>
  <si>
    <t>-629.167847536449 -71.418781150392 828.771535708082</t>
  </si>
  <si>
    <t>9763-20170724T104702.551923200.bin</t>
  </si>
  <si>
    <t>-799.905518798583 0.11219218392921 -93.8774988577032</t>
  </si>
  <si>
    <t>-852.940013605331 2.86088982061324 -552.006434387735</t>
  </si>
  <si>
    <t>-878.355334722687 136.689786299494 -533.514921938896</t>
  </si>
  <si>
    <t>-806.787260389811 194.239247779433 -253.948701312194</t>
  </si>
  <si>
    <t>-572.904509529645 234.862925986673 -295.172949915578</t>
  </si>
  <si>
    <t>-833.285265248042 90.2581819658508 -98.0773819701027</t>
  </si>
  <si>
    <t>-841.482177521087 123.631417980877 304.009283421285</t>
  </si>
  <si>
    <t>-882.782620454279 179.478419602344 746.611561981601</t>
  </si>
  <si>
    <t>-737.646824070786 163.987416643537 808.117105974059</t>
  </si>
  <si>
    <t>-741.899423846796 -86.250276756817 311.018326270903</t>
  </si>
  <si>
    <t>-769.303094875724 -92.517331539103 757.941490801429</t>
  </si>
  <si>
    <t>-629.243707920252 -71.2212433805416 828.773287285692</t>
  </si>
  <si>
    <t>9763-20170724T104702.581000400.bin</t>
  </si>
  <si>
    <t>-853.292306130289 2.38795872188348 -552.007137534459</t>
  </si>
  <si>
    <t>-878.699558843928 136.237433609666 -533.658261705565</t>
  </si>
  <si>
    <t>-807.190206599798 194.029054616778 -254.126934846379</t>
  </si>
  <si>
    <t>-573.288767492243 234.698553061134 -295.19998422558</t>
  </si>
  <si>
    <t>-833.378366952399 90.1581289537858 -98.0990548304669</t>
  </si>
  <si>
    <t>-841.506240691875 123.521830090236 303.989890563112</t>
  </si>
  <si>
    <t>-882.766301091742 179.443817565477 746.597770348777</t>
  </si>
  <si>
    <t>-737.610668474548 164.135490770879 808.102250936361</t>
  </si>
  <si>
    <t>-741.912544417599 -86.4135102805632 311.027779054279</t>
  </si>
  <si>
    <t>-769.238124157473 -92.7217805638232 757.955566826829</t>
  </si>
  <si>
    <t>-629.238424101592 -70.9776723487126 828.769231720122</t>
  </si>
  <si>
    <t>9763-20170724T104702.651192400.bin</t>
  </si>
  <si>
    <t>-853.979731185744 1.82064695911913 -551.997858257555</t>
  </si>
  <si>
    <t>-879.397780608058 135.693429052252 -533.886816499363</t>
  </si>
  <si>
    <t>-807.96291905913 193.998168056754 -254.442998129326</t>
  </si>
  <si>
    <t>-574.016352118421 234.6600307283 -295.265744793416</t>
  </si>
  <si>
    <t>-833.425756667856 89.998769959433 -98.1432363432305</t>
  </si>
  <si>
    <t>-841.541030031188 123.451090269484 303.938584669467</t>
  </si>
  <si>
    <t>-882.742229106115 179.412900931497 746.551621660262</t>
  </si>
  <si>
    <t>-737.582837611334 164.151591609766 808.058797808887</t>
  </si>
  <si>
    <t>-742.051122910952 -86.3503440577252 311.0475126694</t>
  </si>
  <si>
    <t>-769.373562329662 -92.5094514731082 757.969579145336</t>
  </si>
  <si>
    <t>-629.294490999983 -71.2846425090321 828.783690265041</t>
  </si>
  <si>
    <t>9763-20170724T104702.682277700.bin</t>
  </si>
  <si>
    <t>-854.217837346101 1.71589693135911 -551.988325051322</t>
  </si>
  <si>
    <t>-879.65222715635 135.602936533753 -533.958921753222</t>
  </si>
  <si>
    <t>-808.295699765783 193.978876158573 -254.510072379509</t>
  </si>
  <si>
    <t>-574.349500160807 234.658622226953 -295.316381781229</t>
  </si>
  <si>
    <t>-833.44619314626 89.9511271457757 -98.1491787699439</t>
  </si>
  <si>
    <t>-841.545506178148 123.444350958755 303.92949764935</t>
  </si>
  <si>
    <t>-882.739582817296 179.407206519987 746.535922108663</t>
  </si>
  <si>
    <t>-737.578548590019 164.130656305151 808.035585689486</t>
  </si>
  <si>
    <t>-742.122365144035 -86.3098290672759 311.054144598004</t>
  </si>
  <si>
    <t>-769.50506813675 -92.2685122946368 757.980472361462</t>
  </si>
  <si>
    <t>-629.369459280069 -71.4087851115237 828.791364062991</t>
  </si>
  <si>
    <t>9763-20170724T104702.750230200.bin</t>
  </si>
  <si>
    <t>-854.700503522197 1.54728796052814 -551.945717316142</t>
  </si>
  <si>
    <t>-880.128549536932 135.449103678847 -533.999368685876</t>
  </si>
  <si>
    <t>-808.914967828489 193.721812469875 -254.49242134331</t>
  </si>
  <si>
    <t>-574.987002121169 234.394689360654 -295.410943487675</t>
  </si>
  <si>
    <t>-833.516415371359 89.7875116942259 -98.1267861757609</t>
  </si>
  <si>
    <t>-841.667176505802 123.392085513941 303.941561719138</t>
  </si>
  <si>
    <t>-882.790065242041 179.535915006515 746.536697474453</t>
  </si>
  <si>
    <t>-737.639110642212 163.943923563734 807.980940766954</t>
  </si>
  <si>
    <t>-742.209221969048 -86.6433967998187 311.051638425585</t>
  </si>
  <si>
    <t>-769.374165364054 -92.6290354791818 757.987868534465</t>
  </si>
  <si>
    <t>-629.322087566309 -71.1773609829 828.78714427837</t>
  </si>
  <si>
    <t>9763-20170724T104702.785324800.bin</t>
  </si>
  <si>
    <t>-854.917819426791 1.57460272407207 -551.928771718243</t>
  </si>
  <si>
    <t>-880.36002844816 135.475502457186 -533.971031713043</t>
  </si>
  <si>
    <t>-809.268461200716 193.653930179868 -254.413411875338</t>
  </si>
  <si>
    <t>-575.360057459449 234.297772068825 -295.471905268529</t>
  </si>
  <si>
    <t>-833.561594052969 89.7035707517448 -98.103426079768</t>
  </si>
  <si>
    <t>-841.773372378735 123.402848353246 303.95576166357</t>
  </si>
  <si>
    <t>-882.808511565601 179.53269677789 746.545629645415</t>
  </si>
  <si>
    <t>-737.645803408907 163.902049098259 807.95223958403</t>
  </si>
  <si>
    <t>-742.325496441643 -86.5733763290655 311.044706221642</t>
  </si>
  <si>
    <t>-769.531297949421 -92.322916663237 757.992812245122</t>
  </si>
  <si>
    <t>-629.387703508387 -71.5170177815097 828.803570620841</t>
  </si>
  <si>
    <t>9763-20170724T104702.849498300.bin</t>
  </si>
  <si>
    <t>-855.016480260248 1.52102511449857 -551.893471026663</t>
  </si>
  <si>
    <t>-880.470064936355 135.410968471341 -533.908674928222</t>
  </si>
  <si>
    <t>-809.686241083325 193.183348955458 -254.188781300797</t>
  </si>
  <si>
    <t>-575.798066650802 233.752739289167 -295.43584163759</t>
  </si>
  <si>
    <t>-833.658706579263 89.4034436163934 -98.0608777696325</t>
  </si>
  <si>
    <t>-841.935443611636 123.328022527088 303.978096508669</t>
  </si>
  <si>
    <t>-882.827226058353 179.480027736358 746.549959512664</t>
  </si>
  <si>
    <t>-737.625842820797 163.952424469513 807.891432473468</t>
  </si>
  <si>
    <t>-742.344572684829 -86.7755280076939 311.061120794083</t>
  </si>
  <si>
    <t>-769.476026091454 -92.5243971561696 758.010911774973</t>
  </si>
  <si>
    <t>-629.370692104751 -71.4114908175758 828.806749656228</t>
  </si>
  <si>
    <t>9763-20170724T104702.883590800.bin</t>
  </si>
  <si>
    <t>-854.92365389332 1.53250707839356 -551.882821895723</t>
  </si>
  <si>
    <t>-880.399656060407 135.422928275483 -533.885891291918</t>
  </si>
  <si>
    <t>-809.739180876352 193.097282250842 -254.114698389718</t>
  </si>
  <si>
    <t>-575.862095688776 233.697330147848 -295.394253304384</t>
  </si>
  <si>
    <t>-833.662996087009 89.3329345867583 -98.046177580875</t>
  </si>
  <si>
    <t>-841.983829889107 123.296578193615 303.988557736666</t>
  </si>
  <si>
    <t>-882.838737159591 179.491046692716 746.557102886032</t>
  </si>
  <si>
    <t>-737.638458410541 163.878343724433 807.879252936703</t>
  </si>
  <si>
    <t>-742.389988317744 -86.8231139522842 311.053484008325</t>
  </si>
  <si>
    <t>-769.567693938362 -92.3544809069392 758.007408678153</t>
  </si>
  <si>
    <t>-629.480033424567 -71.115401659815 828.800354412064</t>
  </si>
  <si>
    <t>9763-20170724T104702.946767100.bin</t>
  </si>
  <si>
    <t>-854.789230539432 1.6074745340934 -551.856726732617</t>
  </si>
  <si>
    <t>-880.394281947609 135.45983140103 -533.793389195734</t>
  </si>
  <si>
    <t>-810.037702834041 192.945745408718 -253.90691080665</t>
  </si>
  <si>
    <t>-576.222806895309 233.644384646273 -295.440958498754</t>
  </si>
  <si>
    <t>-833.650979817027 89.1732630877614 -98.0147811306256</t>
  </si>
  <si>
    <t>-841.934750705118 123.138185505604 304.020582796749</t>
  </si>
  <si>
    <t>-882.833536076961 179.438004822058 746.564347983354</t>
  </si>
  <si>
    <t>-737.612833275701 163.910967236753 807.859925032356</t>
  </si>
  <si>
    <t>-742.36643432966 -86.8927301334475 311.051428110396</t>
  </si>
  <si>
    <t>-769.564695069725 -92.4111027826642 758.004180724966</t>
  </si>
  <si>
    <t>-629.459391258086 -71.3145018138554 828.804827686881</t>
  </si>
  <si>
    <t>9763-20170724T104702.979853500.bin</t>
  </si>
  <si>
    <t>-854.707458469743 1.53563204636453 -551.836081971502</t>
  </si>
  <si>
    <t>-880.378071077102 135.367307721555 -533.720831864333</t>
  </si>
  <si>
    <t>-810.113005421739 192.783442369477 -253.796952111657</t>
  </si>
  <si>
    <t>-576.34110930685 233.541047805375 -295.514941603716</t>
  </si>
  <si>
    <t>-833.563457968986 88.987806661029 -97.9863099241821</t>
  </si>
  <si>
    <t>-841.864290619401 123.037006451371 304.041544819435</t>
  </si>
  <si>
    <t>-882.844427722082 179.469643478469 746.556526053279</t>
  </si>
  <si>
    <t>-737.61806838223 163.951746049965 807.840911284605</t>
  </si>
  <si>
    <t>-742.296948285066 -87.016714422841 311.053492999765</t>
  </si>
  <si>
    <t>-769.519695053257 -92.5185273504065 758.00065662647</t>
  </si>
  <si>
    <t>-629.433627241012 -71.2982516338585 828.802341368266</t>
  </si>
  <si>
    <t>9763-20170724T104703.049063100.bin</t>
  </si>
  <si>
    <t>-854.606047859366 1.28877339133601 -551.805864021985</t>
  </si>
  <si>
    <t>-880.357059282399 135.084598124337 -533.567924931415</t>
  </si>
  <si>
    <t>-810.017229275069 192.311762211978 -253.623961630599</t>
  </si>
  <si>
    <t>-576.319332299343 233.177214417206 -295.650139069784</t>
  </si>
  <si>
    <t>-833.466937967651 88.6252111595106 -97.9580440297343</t>
  </si>
  <si>
    <t>-841.702650458558 122.708818925362 304.068222543911</t>
  </si>
  <si>
    <t>-882.841328410558 179.395395163924 746.539605330463</t>
  </si>
  <si>
    <t>-737.594008370818 163.996796321825 807.804584431664</t>
  </si>
  <si>
    <t>-742.17769912066 -87.1128029193537 311.060468914008</t>
  </si>
  <si>
    <t>-769.592462581603 -92.4137161341723 758.001075901598</t>
  </si>
  <si>
    <t>-629.48197721048 -71.3328618624654 828.796153158847</t>
  </si>
  <si>
    <t>9763-20170724T104703.085159100.bin</t>
  </si>
  <si>
    <t>-854.564759775109 1.22691388130283 -551.792234494209</t>
  </si>
  <si>
    <t>-880.365802143317 135.006369876891 -533.479571992945</t>
  </si>
  <si>
    <t>-809.951485573836 192.14553454844 -253.536429720804</t>
  </si>
  <si>
    <t>-576.294079597388 233.0533136862 -295.745863879816</t>
  </si>
  <si>
    <t>-833.439611210679 88.477219297509 -97.9462835900562</t>
  </si>
  <si>
    <t>-841.64190434764 122.534020464288 304.082951799778</t>
  </si>
  <si>
    <t>-882.826490677606 179.311512867716 746.531986300993</t>
  </si>
  <si>
    <t>-737.566546665888 164.007658355347 807.790603208767</t>
  </si>
  <si>
    <t>-742.187018558054 -87.1597250472698 311.064750197616</t>
  </si>
  <si>
    <t>-769.581329642373 -92.4671139905922 758.003403168276</t>
  </si>
  <si>
    <t>-629.437943405384 -71.5945155695855 828.795179357142</t>
  </si>
  <si>
    <t>9763-20170724T104703.149231500.bin</t>
  </si>
  <si>
    <t>-854.4195935732 1.18567899492314 -551.814016594697</t>
  </si>
  <si>
    <t>-880.321403307466 134.934696098643 -533.402033009625</t>
  </si>
  <si>
    <t>-809.912770500223 191.810567963727 -253.403880835285</t>
  </si>
  <si>
    <t>-576.328224228262 232.802784928378 -295.933678132676</t>
  </si>
  <si>
    <t>-833.601399982618 88.3343662210955 -97.9481392346413</t>
  </si>
  <si>
    <t>-841.694664987053 122.345807600144 304.08712972731</t>
  </si>
  <si>
    <t>-882.826964667676 179.310973701973 746.514994662902</t>
  </si>
  <si>
    <t>-737.586084674786 163.808648815814 807.768802324854</t>
  </si>
  <si>
    <t>-742.236403026326 -87.2598393469799 311.058534425889</t>
  </si>
  <si>
    <t>-769.607634230701 -92.4628321998545 757.996306557809</t>
  </si>
  <si>
    <t>-629.49358668128 -71.3730088894348 828.781552259062</t>
  </si>
  <si>
    <t>9763-20170724T104703.183322800.bin</t>
  </si>
  <si>
    <t>-854.410207223081 1.23572949998243 -551.832305239113</t>
  </si>
  <si>
    <t>-880.340399380149 134.973339979766 -533.404389701876</t>
  </si>
  <si>
    <t>-810.037496614524 191.791320372054 -253.368018705034</t>
  </si>
  <si>
    <t>-576.4725572611 232.779529757564 -296.008950995819</t>
  </si>
  <si>
    <t>-833.725983645402 88.3331060026514 -97.9644038237137</t>
  </si>
  <si>
    <t>-841.736670123517 122.325990990996 304.074114066122</t>
  </si>
  <si>
    <t>-882.828918727299 179.330846775336 746.50730801805</t>
  </si>
  <si>
    <t>-737.588730005776 163.810632591621 807.758273842522</t>
  </si>
  <si>
    <t>-742.334581076338 -87.2337274251744 311.050331256436</t>
  </si>
  <si>
    <t>-769.620810334484 -92.4519965127647 757.99246282594</t>
  </si>
  <si>
    <t>-629.452062949893 -71.7641286800859 828.788120240684</t>
  </si>
  <si>
    <t>9763-20170724T104703.219418200.bin</t>
  </si>
  <si>
    <t>-854.404046216169 1.25586289731973 -551.852805368384</t>
  </si>
  <si>
    <t>-880.390113995607 134.9808820878 -533.408457002762</t>
  </si>
  <si>
    <t>-810.159601726117 191.787051348546 -253.351429717502</t>
  </si>
  <si>
    <t>-576.613796540189 232.777319871881 -296.094986760441</t>
  </si>
  <si>
    <t>-833.852310125428 88.3067520821412 -97.9744967696269</t>
  </si>
  <si>
    <t>-841.800699372666 122.326052126355 304.06303216807</t>
  </si>
  <si>
    <t>-882.834658629179 179.384858786683 746.494514095047</t>
  </si>
  <si>
    <t>-737.60337358883 163.785208868287 807.746554244164</t>
  </si>
  <si>
    <t>-742.413800496057 -87.2055063596374 311.038054154709</t>
  </si>
  <si>
    <t>-769.683087634587 -92.3436729997529 757.992200713894</t>
  </si>
  <si>
    <t>-629.511331116547 -71.6780120551844 828.788487918347</t>
  </si>
  <si>
    <t>9763-20170724T104703.281594800.bin</t>
  </si>
  <si>
    <t>-854.342983447515 0.95900251955868 -551.883857658956</t>
  </si>
  <si>
    <t>-880.482711229888 134.651756058687 -533.41343682717</t>
  </si>
  <si>
    <t>-810.384163990296 191.394122994402 -253.310409743179</t>
  </si>
  <si>
    <t>-576.870647148677 232.504997301754 -296.114429760978</t>
  </si>
  <si>
    <t>-834.042645756355 88.0068968927735 -97.9855729813648</t>
  </si>
  <si>
    <t>-841.877394174274 122.052776186671 304.051856908724</t>
  </si>
  <si>
    <t>-882.795832395617 179.235998959751 746.475325704736</t>
  </si>
  <si>
    <t>-737.52927346577 163.960509958874 807.725497228531</t>
  </si>
  <si>
    <t>-742.435421297729 -87.358880314973 311.020377955536</t>
  </si>
  <si>
    <t>-769.656948603551 -92.434976790152 757.974631652997</t>
  </si>
  <si>
    <t>-629.537736021089 -71.4689682615248 828.786640247306</t>
  </si>
  <si>
    <t>9763-20170724T104703.349483900.bin</t>
  </si>
  <si>
    <t>-854.26961443905 0.688045995303128 -551.919882127382</t>
  </si>
  <si>
    <t>-880.562537056821 134.342804966805 -533.403105336823</t>
  </si>
  <si>
    <t>-810.517693932316 191.027811693003 -253.27505316229</t>
  </si>
  <si>
    <t>-577.029713861173 232.367625966918 -295.997876437144</t>
  </si>
  <si>
    <t>-834.210781184641 87.7154547335565 -97.9953088618414</t>
  </si>
  <si>
    <t>-841.915106275459 121.804310496682 304.041157447395</t>
  </si>
  <si>
    <t>-882.769801065589 179.152370699391 746.452059605754</t>
  </si>
  <si>
    <t>-737.499188010493 163.924247717895 807.704434413124</t>
  </si>
  <si>
    <t>-742.472690549554 -87.4453759087929 310.996423204345</t>
  </si>
  <si>
    <t>-769.705096961884 -92.3430361364818 757.964692197794</t>
  </si>
  <si>
    <t>-629.560740420202 -71.6139265821987 828.796719617819</t>
  </si>
  <si>
    <t>9763-20170724T104703.384598500.bin</t>
  </si>
  <si>
    <t>-854.221280683629 0.569867815389443 -551.93579140069</t>
  </si>
  <si>
    <t>-880.603447261225 134.205575569386 -533.417141658858</t>
  </si>
  <si>
    <t>-810.571079661556 190.92431127532 -253.292653667525</t>
  </si>
  <si>
    <t>-577.100598340741 232.372028861299 -296.006503346348</t>
  </si>
  <si>
    <t>-834.286998782853 87.6316182047924 -98.0006178503158</t>
  </si>
  <si>
    <t>-841.946352611554 121.734403581474 304.035464263395</t>
  </si>
  <si>
    <t>-882.771206967833 179.20535944187 746.430899630402</t>
  </si>
  <si>
    <t>-737.529081197026 163.776562962487 807.700501039594</t>
  </si>
  <si>
    <t>-742.534860880311 -87.4030400133468 310.992308287368</t>
  </si>
  <si>
    <t>-769.795748949873 -92.1675605734661 757.964477143287</t>
  </si>
  <si>
    <t>-629.618872894226 -71.6655674476126 828.798131133698</t>
  </si>
  <si>
    <t>9763-20170724T104703.446750900.bin</t>
  </si>
  <si>
    <t>-853.997194106913 0.189169690325343 -551.974525461122</t>
  </si>
  <si>
    <t>-880.53250190491 133.798754284368 -533.457217730891</t>
  </si>
  <si>
    <t>-810.434313527357 190.555835688427 -253.356980943197</t>
  </si>
  <si>
    <t>-577.035956127426 232.166440264612 -296.306141602554</t>
  </si>
  <si>
    <t>-834.375314944961 87.3095877662959 -98.0165502458564</t>
  </si>
  <si>
    <t>-841.938813930556 121.508984861111 304.013151960326</t>
  </si>
  <si>
    <t>-882.753157152519 179.197812919312 746.391744633955</t>
  </si>
  <si>
    <t>-737.516128281868 163.811939158146 807.684118357446</t>
  </si>
  <si>
    <t>-742.576996915769 -87.6818330043532 310.996249146006</t>
  </si>
  <si>
    <t>-769.723924917737 -92.374584731118 757.966181354659</t>
  </si>
  <si>
    <t>-629.647478189457 -71.1294131377826 828.779457544585</t>
  </si>
  <si>
    <t>9763-20170724T104703.484850100.bin</t>
  </si>
  <si>
    <t>-854.015799460363 0.232520194414064 -551.978843422511</t>
  </si>
  <si>
    <t>-880.632243932066 133.819630162884 -533.463527891506</t>
  </si>
  <si>
    <t>-810.510042684457 190.647805783125 -253.383826370123</t>
  </si>
  <si>
    <t>-577.147297686062 232.311819367745 -296.47489880118</t>
  </si>
  <si>
    <t>-834.463522773933 87.2337205306378 -98.0198020965881</t>
  </si>
  <si>
    <t>-841.958354834746 121.460632030864 304.008783928168</t>
  </si>
  <si>
    <t>-882.738722239837 179.153366531599 746.37847298784</t>
  </si>
  <si>
    <t>-737.495018695567 163.843543330328 807.674361980336</t>
  </si>
  <si>
    <t>-742.574103292803 -87.7053686056851 310.992507341634</t>
  </si>
  <si>
    <t>-769.824972002926 -92.1727123226326 757.9613400579</t>
  </si>
  <si>
    <t>-629.665869457987 -71.5155890641012 828.785214974693</t>
  </si>
  <si>
    <t>9763-20170724T104703.549892100.bin</t>
  </si>
  <si>
    <t>-853.936649491945 0.147526363875613 -551.987842550472</t>
  </si>
  <si>
    <t>-880.68187803328 133.719078580462 -533.506867337723</t>
  </si>
  <si>
    <t>-810.61308944978 190.699127763699 -253.444768383795</t>
  </si>
  <si>
    <t>-577.323145999051 232.511903493503 -296.784589769745</t>
  </si>
  <si>
    <t>-834.608917645381 87.1420469059185 -98.028672687332</t>
  </si>
  <si>
    <t>-842.029080499305 121.419276075867 303.996992203516</t>
  </si>
  <si>
    <t>-882.736983249373 179.243758841242 746.33168578763</t>
  </si>
  <si>
    <t>-737.513949933183 163.829739429712 807.650404966683</t>
  </si>
  <si>
    <t>-742.556859513258 -87.7465994281831 310.99511059746</t>
  </si>
  <si>
    <t>-769.888556964043 -92.0909849082695 757.961230729346</t>
  </si>
  <si>
    <t>-629.771042718053 -71.1295289923671 828.77793623719</t>
  </si>
  <si>
    <t>9763-20170724T104703.578974600.bin</t>
  </si>
  <si>
    <t>-853.81256609808 0.00752160348201869 -551.994747383498</t>
  </si>
  <si>
    <t>-880.625612015545 133.567774730219 -533.53263051173</t>
  </si>
  <si>
    <t>-810.634460019478 190.596412717462 -253.460818765238</t>
  </si>
  <si>
    <t>-577.353540972295 232.392714377777 -296.865289567792</t>
  </si>
  <si>
    <t>-834.688369240382 87.0633737709779 -98.0350332616302</t>
  </si>
  <si>
    <t>-842.038428036126 121.336651102208 303.992310470957</t>
  </si>
  <si>
    <t>-882.72909856499 179.240902443769 746.321041155407</t>
  </si>
  <si>
    <t>-737.512442415228 163.786083072039 807.644419348801</t>
  </si>
  <si>
    <t>-742.536371782932 -87.8724540939118 311.010357207794</t>
  </si>
  <si>
    <t>-769.808928939519 -92.3150384477574 757.973921552526</t>
  </si>
  <si>
    <t>-629.747443922219 -70.9272725628589 828.773938101395</t>
  </si>
  <si>
    <t>9763-20170724T104703.646758200.bin</t>
  </si>
  <si>
    <t>-880.191646334364 133.306079492282 -533.642327427574</t>
  </si>
  <si>
    <t>-810.563065253816 190.370549094412 -253.487489667457</t>
  </si>
  <si>
    <t>-577.309626362243 232.399764641306 -296.814458267298</t>
  </si>
  <si>
    <t>-834.75243944085 86.8918598734476 -98.0600691056135</t>
  </si>
  <si>
    <t>-842.129551691486 121.206943745404 303.963289554749</t>
  </si>
  <si>
    <t>-882.707897207638 179.191329647273 746.283687803771</t>
  </si>
  <si>
    <t>-737.492212417014 163.805413787735 807.626723191645</t>
  </si>
  <si>
    <t>-742.719749493274 -87.8680585806704 311.000590753087</t>
  </si>
  <si>
    <t>-769.855180100234 -92.2540291611859 757.976278117572</t>
  </si>
  <si>
    <t>-629.726624034628 -71.3638790888972 828.79216981431</t>
  </si>
  <si>
    <t>9763-20170724T104703.681850700.bin</t>
  </si>
  <si>
    <t>-879.945418917395 133.267102508784 -533.664519267752</t>
  </si>
  <si>
    <t>-810.574469898001 190.210359065389 -253.421112540008</t>
  </si>
  <si>
    <t>-577.325214456011 232.404685331382 -296.610235532436</t>
  </si>
  <si>
    <t>-834.736220106748 86.8408106281013 -98.0674535811039</t>
  </si>
  <si>
    <t>-842.169578375078 121.236371286893 303.94790297268</t>
  </si>
  <si>
    <t>-882.70683182469 179.218982549105 746.267046139686</t>
  </si>
  <si>
    <t>-737.512379467282 163.674955690571 807.620532702853</t>
  </si>
  <si>
    <t>-742.65772933929 -88.0152663790601 311.001223104855</t>
  </si>
  <si>
    <t>-769.772656022826 -92.4631692273142 757.97948517789</t>
  </si>
  <si>
    <t>-629.706583826832 -71.1273523377173 828.786039054242</t>
  </si>
  <si>
    <t>9763-20170724T104703.744615800.bin</t>
  </si>
  <si>
    <t>-879.485514477315 133.201334534022 -533.646483739497</t>
  </si>
  <si>
    <t>-810.754526937021 189.92101263923 -253.200171526704</t>
  </si>
  <si>
    <t>-577.470619302837 232.36605914384 -295.954696735122</t>
  </si>
  <si>
    <t>-834.597084874056 86.6999781028487 -98.0766968725154</t>
  </si>
  <si>
    <t>-842.204606039875 121.15670720118 303.930178724114</t>
  </si>
  <si>
    <t>-882.700576127823 179.186579664846 746.250673576566</t>
  </si>
  <si>
    <t>-737.484745968446 163.832239267848 807.601321558359</t>
  </si>
  <si>
    <t>-742.662580182926 -88.1430943093465 310.989545975292</t>
  </si>
  <si>
    <t>-769.805983526417 -92.4236322552234 757.982609250241</t>
  </si>
  <si>
    <t>-629.733894232274 -71.1333739626762 828.7910367822</t>
  </si>
  <si>
    <t>9763-20170724T104703.783718600.bin</t>
  </si>
  <si>
    <t>-879.31012876643 133.194027807356 -533.622377212669</t>
  </si>
  <si>
    <t>-810.946874347523 189.734296016868 -253.050094469855</t>
  </si>
  <si>
    <t>-577.624581046465 232.256043945834 -295.517653167208</t>
  </si>
  <si>
    <t>-834.509793529993 86.6172336103798 -98.0776048916675</t>
  </si>
  <si>
    <t>-842.159006047103 121.088247654612 303.927324248117</t>
  </si>
  <si>
    <t>-882.683593842242 179.093981389388 746.242864025536</t>
  </si>
  <si>
    <t>-737.456727816887 163.847047931964 807.594162144804</t>
  </si>
  <si>
    <t>-742.582760125857 -88.1286113847918 310.993306539916</t>
  </si>
  <si>
    <t>-769.859088334357 -92.3277039222493 757.984337575078</t>
  </si>
  <si>
    <t>-629.738471691568 -71.377612012303 828.798241568525</t>
  </si>
  <si>
    <t>9763-20170724T104703.851912700.bin</t>
  </si>
  <si>
    <t>-878.916397833576 133.230277137944 -533.476596212166</t>
  </si>
  <si>
    <t>-811.370694384881 189.154861231299 -252.582876047804</t>
  </si>
  <si>
    <t>-578.018218002382 231.870148908458 -294.688326679685</t>
  </si>
  <si>
    <t>-834.173235317434 86.5204498679764 -98.058534155296</t>
  </si>
  <si>
    <t>-841.956828672414 120.982320373811 303.944532743784</t>
  </si>
  <si>
    <t>-882.687566851406 179.136145401839 746.231328502251</t>
  </si>
  <si>
    <t>-737.484500513559 163.736226521358 807.600758880242</t>
  </si>
  <si>
    <t>-742.395975579986 -88.3382235464867 310.989453297079</t>
  </si>
  <si>
    <t>-769.769614225394 -92.5602228283121 757.980892914438</t>
  </si>
  <si>
    <t>-629.735119818462 -70.9904519124841 828.779144791924</t>
  </si>
  <si>
    <t>9763-20170724T104703.879986700.bin</t>
  </si>
  <si>
    <t>-878.863704341627 133.353470613903 -533.360852074191</t>
  </si>
  <si>
    <t>-811.734868824774 188.931838172064 -252.298840202956</t>
  </si>
  <si>
    <t>-578.372419816732 231.836105060665 -294.156337703725</t>
  </si>
  <si>
    <t>-834.028557966427 86.5193682679596 -98.0427923393951</t>
  </si>
  <si>
    <t>-841.827603844127 120.904497760715 303.966536633152</t>
  </si>
  <si>
    <t>-882.693296686283 179.142608832941 746.23156183833</t>
  </si>
  <si>
    <t>-737.493038689097 163.72816066535 807.603942116109</t>
  </si>
  <si>
    <t>-742.266779676876 -88.3729280840432 310.989756973914</t>
  </si>
  <si>
    <t>-769.775747857554 -92.5608781466752 757.976984349762</t>
  </si>
  <si>
    <t>-629.739715255863 -71.0050909897088 828.77638484868</t>
  </si>
  <si>
    <t>9763-20170724T104703.952212200.bin</t>
  </si>
  <si>
    <t>-852.090614205311 0.623487603712647 -552.080461321329</t>
  </si>
  <si>
    <t>-879.357557023889 134.008594559466 -533.059878275518</t>
  </si>
  <si>
    <t>-813.093471168844 188.830564916013 -251.644098228</t>
  </si>
  <si>
    <t>-579.6527744376 231.824993311026 -292.969544746028</t>
  </si>
  <si>
    <t>-833.80406209123 86.5404865616986 -98.0028907682755</t>
  </si>
  <si>
    <t>-841.649115281892 120.878799191913 304.009555260278</t>
  </si>
  <si>
    <t>-882.678223227057 179.047243164137 746.233737400545</t>
  </si>
  <si>
    <t>-737.459468647033 163.811886137185 807.607204591634</t>
  </si>
  <si>
    <t>-742.127129071095 -88.2839094380216 310.985880804005</t>
  </si>
  <si>
    <t>-769.858079146922 -92.3708162445328 757.958268742832</t>
  </si>
  <si>
    <t>-629.75385963453 -71.3400277165296 828.780657111351</t>
  </si>
  <si>
    <t>9763-20170724T104703.985300400.bin</t>
  </si>
  <si>
    <t>-852.607886417462 1.024101167347 -552.020728141046</t>
  </si>
  <si>
    <t>-879.854040345089 134.402239893335 -532.90698845185</t>
  </si>
  <si>
    <t>-814.007621884899 188.98099794643 -251.345929757575</t>
  </si>
  <si>
    <t>-580.523299109063 231.989479444931 -292.409576804038</t>
  </si>
  <si>
    <t>-833.81341402393 86.7105035654629 -97.9947407252846</t>
  </si>
  <si>
    <t>-841.61219303932 120.949386583294 304.027129436843</t>
  </si>
  <si>
    <t>-882.697443447681 179.145240797548 746.240905343503</t>
  </si>
  <si>
    <t>-737.505793101378 163.695211160291 807.62471059718</t>
  </si>
  <si>
    <t>-741.975881854398 -88.2428250332141 310.966336234501</t>
  </si>
  <si>
    <t>-769.895947814944 -92.2576551759804 757.92797179407</t>
  </si>
  <si>
    <t>-629.817733153198 -71.1258846318392 828.771661064784</t>
  </si>
  <si>
    <t>9763-20170724T104704.048483800.bin</t>
  </si>
  <si>
    <t>-853.582629237549 1.30895576914281 -551.915548379052</t>
  </si>
  <si>
    <t>-880.794304172913 134.688867879759 -532.695659524854</t>
  </si>
  <si>
    <t>-815.430176789478 188.773396393585 -250.926932115152</t>
  </si>
  <si>
    <t>-581.930879951706 231.948000209469 -291.729902508808</t>
  </si>
  <si>
    <t>-833.977688622898 86.8642428454905 -97.9813908308447</t>
  </si>
  <si>
    <t>-841.680287541897 121.042518773557 304.047456247092</t>
  </si>
  <si>
    <t>-882.708624292983 179.175265357693 746.261051317271</t>
  </si>
  <si>
    <t>-737.522762869757 163.676526582803 807.646247947828</t>
  </si>
  <si>
    <t>-741.887632910521 -88.275122720436 310.94693569317</t>
  </si>
  <si>
    <t>-769.784723832637 -92.4883486519396 757.891718748828</t>
  </si>
  <si>
    <t>-629.816009904197 -70.7220889349283 828.759696771611</t>
  </si>
  <si>
    <t>9763-20170724T104704.080569100.bin</t>
  </si>
  <si>
    <t>-853.975413211906 1.28839949662938 -551.897411912035</t>
  </si>
  <si>
    <t>-881.159651979369 134.656976480965 -532.651325175152</t>
  </si>
  <si>
    <t>-816.067919272908 188.632904094517 -250.798830273242</t>
  </si>
  <si>
    <t>-582.529090592672 231.798273057898 -291.385351920277</t>
  </si>
  <si>
    <t>-834.086276188771 86.8505205011645 -97.9908236279882</t>
  </si>
  <si>
    <t>-841.815242499392 121.067907432517 304.034202390149</t>
  </si>
  <si>
    <t>-882.69781794313 179.103488511328 746.260761229559</t>
  </si>
  <si>
    <t>-737.492985069136 163.765124004791 807.64128822487</t>
  </si>
  <si>
    <t>-741.92857401366 -88.1875351430741 310.946533523647</t>
  </si>
  <si>
    <t>-769.828001741527 -92.4055735831832 757.890041906818</t>
  </si>
  <si>
    <t>-629.805069530292 -71.0388962002399 828.772611513277</t>
  </si>
  <si>
    <t>9763-20170724T104704.147746200.bin</t>
  </si>
  <si>
    <t>-854.46345159797 1.45065728550321 -551.88248699412</t>
  </si>
  <si>
    <t>-881.661331484189 134.80194485599 -532.483630349405</t>
  </si>
  <si>
    <t>-817.309348773365 188.209843674562 -250.353166651969</t>
  </si>
  <si>
    <t>-583.644990098221 231.671865682425 -289.886385602453</t>
  </si>
  <si>
    <t>-834.343116055534 86.9098251380044 -98.032841223251</t>
  </si>
  <si>
    <t>-842.150725703523 121.22808316278 303.982084903555</t>
  </si>
  <si>
    <t>-882.711314930559 179.184070625399 746.259525295473</t>
  </si>
  <si>
    <t>-737.516985322244 163.765536242951 807.644755138979</t>
  </si>
  <si>
    <t>-741.935720804714 -87.918441744205 310.930683956073</t>
  </si>
  <si>
    <t>-769.929833349418 -92.181029684853 757.877962234703</t>
  </si>
  <si>
    <t>-629.860255078766 -71.1809954076564 828.777806425902</t>
  </si>
  <si>
    <t>9763-20170724T104704.184845100.bin</t>
  </si>
  <si>
    <t>-854.437379154139 1.67194396869809 -551.89283210453</t>
  </si>
  <si>
    <t>-881.684009885893 134.991828666126 -532.370057298966</t>
  </si>
  <si>
    <t>-817.932016838619 188.02698381729 -250.033099385935</t>
  </si>
  <si>
    <t>-584.16760766509 231.82280611249 -288.594527002285</t>
  </si>
  <si>
    <t>-834.469255110801 87.0043194608129 -98.0598195427101</t>
  </si>
  <si>
    <t>-842.272624626383 121.290813979248 303.957872010932</t>
  </si>
  <si>
    <t>-882.719042079985 179.225145048845 746.26019766723</t>
  </si>
  <si>
    <t>-737.535999429621 163.720113131121 807.650468759823</t>
  </si>
  <si>
    <t>-741.870687654166 -87.9429808553424 310.920946633919</t>
  </si>
  <si>
    <t>-769.832816927107 -92.4086688864836 757.872600001769</t>
  </si>
  <si>
    <t>-629.820432780991 -71.011820562768 828.767008305933</t>
  </si>
  <si>
    <t>9763-20170724T104704.247518200.bin</t>
  </si>
  <si>
    <t>-853.951130813615 2.45426165013873 -551.913037377746</t>
  </si>
  <si>
    <t>-881.231899006859 135.726853044733 -532.109830872975</t>
  </si>
  <si>
    <t>-818.975480515734 187.743639314587 -249.250158558078</t>
  </si>
  <si>
    <t>-584.990838999712 232.297451118415 -285.540657866041</t>
  </si>
  <si>
    <t>-834.513574962605 87.2084469732358 -98.085979795866</t>
  </si>
  <si>
    <t>-842.456532677938 121.488816623136 303.929469058178</t>
  </si>
  <si>
    <t>-882.711559213841 179.18758931954 746.268168612466</t>
  </si>
  <si>
    <t>-737.52776129014 163.707202192362 807.662859289335</t>
  </si>
  <si>
    <t>-741.810052055565 -87.7913054979025 310.907183370196</t>
  </si>
  <si>
    <t>-769.906277802279 -92.2677611347325 757.867916512781</t>
  </si>
  <si>
    <t>-629.846126796814 -71.1884675366293 828.763066328621</t>
  </si>
  <si>
    <t>9763-20170724T104704.280606100.bin</t>
  </si>
  <si>
    <t>-853.71340366362 2.82733146277587 -551.908214640389</t>
  </si>
  <si>
    <t>-880.951080445993 136.092659434675 -531.977801960966</t>
  </si>
  <si>
    <t>-819.469592815335 187.406394266277 -248.820362698303</t>
  </si>
  <si>
    <t>-585.36338568352 232.129726852824 -284.104167118228</t>
  </si>
  <si>
    <t>-834.489595099533 87.2794744229466 -98.0897123695587</t>
  </si>
  <si>
    <t>-842.469385736292 121.513469219849 303.928949808133</t>
  </si>
  <si>
    <t>-882.713044446114 179.187865615774 746.278087530071</t>
  </si>
  <si>
    <t>-737.52292754889 163.765731828162 807.672502215464</t>
  </si>
  <si>
    <t>-741.770157845831 -87.7684913832984 310.913968377567</t>
  </si>
  <si>
    <t>-769.904861223416 -92.2873254505594 757.870467519769</t>
  </si>
  <si>
    <t>-629.86286764883 -71.0457584872389 828.753061854608</t>
  </si>
  <si>
    <t>9763-20170724T104704.352804500.bin</t>
  </si>
  <si>
    <t>-853.139160758171 3.37054095073336 -551.93030038719</t>
  </si>
  <si>
    <t>-880.295289643792 136.611054384537 -531.750071684925</t>
  </si>
  <si>
    <t>-819.80822147366 186.713289496104 -248.161766081834</t>
  </si>
  <si>
    <t>-585.520206034308 231.752970815445 -281.798471068559</t>
  </si>
  <si>
    <t>-834.344165396349 87.4072003571075 -98.0896037971177</t>
  </si>
  <si>
    <t>-842.330352408711 121.535649591375 303.937906453295</t>
  </si>
  <si>
    <t>-882.71817828923 179.182112053338 746.288349868245</t>
  </si>
  <si>
    <t>-737.529413511314 163.768569047888 807.688294958461</t>
  </si>
  <si>
    <t>-741.642693736111 -87.7057253806555 310.913419270453</t>
  </si>
  <si>
    <t>-769.915526868416 -92.2641445709664 757.861584172487</t>
  </si>
  <si>
    <t>-629.862825202924 -71.12064216404 828.752372279026</t>
  </si>
  <si>
    <t>9763-20170724T104704.380878100.bin</t>
  </si>
  <si>
    <t>-852.791436805105 3.65372559081698 -551.926393828463</t>
  </si>
  <si>
    <t>-879.845989096197 136.89847760789 -531.64767448856</t>
  </si>
  <si>
    <t>-819.809068695063 186.445187484655 -247.866233075091</t>
  </si>
  <si>
    <t>-585.48841542899 231.807563776086 -280.834339497374</t>
  </si>
  <si>
    <t>-834.239969885396 87.522961180638 -98.0810423412619</t>
  </si>
  <si>
    <t>-842.23787658516 121.563877147702 303.953718278951</t>
  </si>
  <si>
    <t>-882.736969705864 179.270282796062 746.288709670857</t>
  </si>
  <si>
    <t>-737.56865786521 163.694017015581 807.695976390732</t>
  </si>
  <si>
    <t>-741.587275839545 -87.7094314879488 310.921286708136</t>
  </si>
  <si>
    <t>-769.904571023942 -92.2881299671221 757.858075631872</t>
  </si>
  <si>
    <t>-629.87403401143 -71.0084548121454 828.751785374042</t>
  </si>
  <si>
    <t>9763-20170724T104704.447171500.bin</t>
  </si>
  <si>
    <t>-852.300816989823 4.0571186992247 -551.956195184023</t>
  </si>
  <si>
    <t>-879.152127613072 137.323196138893 -531.513555865393</t>
  </si>
  <si>
    <t>-819.961972168266 186.076785679922 -247.417054002792</t>
  </si>
  <si>
    <t>-585.51754682645 231.884328399874 -278.855494249617</t>
  </si>
  <si>
    <t>-834.070347902629 87.6647392845066 -98.0675215030357</t>
  </si>
  <si>
    <t>-842.137115404855 121.607941841552 303.974107764053</t>
  </si>
  <si>
    <t>-882.733321584427 179.213835313664 746.295359084038</t>
  </si>
  <si>
    <t>-737.555189561242 163.736967691776 807.704437927418</t>
  </si>
  <si>
    <t>-741.56417692228 -87.6664700731894 310.920286059854</t>
  </si>
  <si>
    <t>-769.903919032981 -92.2978885264154 757.854159827225</t>
  </si>
  <si>
    <t>-629.850820215147 -71.1807821078095 828.751916588228</t>
  </si>
  <si>
    <t>9763-20170724T104704.481262200.bin</t>
  </si>
  <si>
    <t>-852.130861899011 4.27305744860541 -551.960807595172</t>
  </si>
  <si>
    <t>-878.933422208798 137.534291248514 -531.465627236018</t>
  </si>
  <si>
    <t>-820.244904890528 185.991269281637 -247.214355198824</t>
  </si>
  <si>
    <t>-585.750080950995 231.809593816234 -278.258219663568</t>
  </si>
  <si>
    <t>-834.000747275607 87.8382440696514 -98.0710124461252</t>
  </si>
  <si>
    <t>-842.109352110802 121.684097143015 303.977998490475</t>
  </si>
  <si>
    <t>-882.747161899919 179.280745126875 746.298989620606</t>
  </si>
  <si>
    <t>-737.589778467173 163.645108248704 807.716980083156</t>
  </si>
  <si>
    <t>-741.562290196714 -87.6264366008127 310.913378131938</t>
  </si>
  <si>
    <t>-769.929640575303 -92.2365519594725 757.845863827701</t>
  </si>
  <si>
    <t>-629.847961378117 -71.3509281746386 828.755714517589</t>
  </si>
  <si>
    <t>9763-20170724T104704.549402000.bin</t>
  </si>
  <si>
    <t>-851.868817433229 4.51578237650187 -551.963549232679</t>
  </si>
  <si>
    <t>-878.658763378748 137.767611319958 -531.366436608508</t>
  </si>
  <si>
    <t>-820.635285031356 185.672532269887 -246.885036754303</t>
  </si>
  <si>
    <t>-586.228866234348 231.346404297234 -278.797591542338</t>
  </si>
  <si>
    <t>-833.752253648427 87.9238884859212 -98.0554561590565</t>
  </si>
  <si>
    <t>-841.980051280689 121.703891174252 303.996578146564</t>
  </si>
  <si>
    <t>-882.757981262775 179.2929259988 746.304278285903</t>
  </si>
  <si>
    <t>-737.604241361204 163.628076139255 807.723475759293</t>
  </si>
  <si>
    <t>-741.490580538412 -87.6680592065721 310.906756909672</t>
  </si>
  <si>
    <t>-769.95555276099 -92.1834277967431 757.83136809812</t>
  </si>
  <si>
    <t>-629.901400706981 -71.1557979396274 828.75361625623</t>
  </si>
  <si>
    <t>9763-20170724T104704.581470400.bin</t>
  </si>
  <si>
    <t>-851.829648485887 4.47001319481342 -551.967343819685</t>
  </si>
  <si>
    <t>-878.673507630717 137.711147085378 -531.354646317325</t>
  </si>
  <si>
    <t>-820.536675244198 185.508669236736 -246.878495289678</t>
  </si>
  <si>
    <t>-586.228461882032 231.079346296788 -279.648431388523</t>
  </si>
  <si>
    <t>-833.702278711906 87.8956733835246 -98.0427682339449</t>
  </si>
  <si>
    <t>-841.911153913478 121.607696371161 304.015457108815</t>
  </si>
  <si>
    <t>-882.756041208649 179.243583578478 746.31051611637</t>
  </si>
  <si>
    <t>-737.598134713545 163.610972286476 807.727792080309</t>
  </si>
  <si>
    <t>-741.456957695415 -87.6448033945001 310.899699438058</t>
  </si>
  <si>
    <t>-769.940967016132 -92.2189725053374 757.829839989176</t>
  </si>
  <si>
    <t>-629.903356455521 -71.0814789303569 828.75228075622</t>
  </si>
  <si>
    <t>9763-20170724T104704.649630600.bin</t>
  </si>
  <si>
    <t>-851.7413662613 4.43454214850613 -551.976893562511</t>
  </si>
  <si>
    <t>-878.747519058818 137.645184944172 -531.405309233436</t>
  </si>
  <si>
    <t>-820.311796604365 185.887553383838 -247.065434316118</t>
  </si>
  <si>
    <t>-586.258475153346 231.165666713622 -281.991214014645</t>
  </si>
  <si>
    <t>-833.692183104831 87.8741086842056 -98.0282993619857</t>
  </si>
  <si>
    <t>-841.886287212207 121.533578244499 304.034541493777</t>
  </si>
  <si>
    <t>-882.756139065107 179.208538205402 746.320424112706</t>
  </si>
  <si>
    <t>-737.587200637344 163.686910924543 807.739755928385</t>
  </si>
  <si>
    <t>-741.4963225522 -87.6718236992389 310.910653793634</t>
  </si>
  <si>
    <t>-769.989427122273 -92.1368778395502 757.828834288116</t>
  </si>
  <si>
    <t>-629.902402459996 -71.3456967666641 828.755830122709</t>
  </si>
  <si>
    <t>9763-20170724T104704.683722700.bin</t>
  </si>
  <si>
    <t>-851.687264866993 4.51559654678977 -551.977219462516</t>
  </si>
  <si>
    <t>-878.767256820723 137.718265713624 -531.452221544578</t>
  </si>
  <si>
    <t>-820.182188208484 186.31122642313 -247.202731470056</t>
  </si>
  <si>
    <t>-586.289276493437 231.434777885804 -283.381019867964</t>
  </si>
  <si>
    <t>-833.715193872837 87.9532234978192 -98.0318092085096</t>
  </si>
  <si>
    <t>-841.907456474015 121.598401161164 304.03229364648</t>
  </si>
  <si>
    <t>-882.769467788135 179.259329453098 746.319665197525</t>
  </si>
  <si>
    <t>-737.616839652161 163.614722137282 807.746543855146</t>
  </si>
  <si>
    <t>-741.547131943905 -87.6233639176351 310.908374932301</t>
  </si>
  <si>
    <t>-770.09404739103 -91.9103899991419 757.821584940653</t>
  </si>
  <si>
    <t>-629.969020391802 -71.4187115911395 828.760625731375</t>
  </si>
  <si>
    <t>9763-20170724T104704.745542200.bin</t>
  </si>
  <si>
    <t>-851.614806926517 4.3625755386272 -551.97173940151</t>
  </si>
  <si>
    <t>-878.959688979972 137.524143072919 -531.534349293459</t>
  </si>
  <si>
    <t>-819.857853060714 186.645618217031 -247.482840198037</t>
  </si>
  <si>
    <t>-586.270079614606 231.523975398949 -285.869643841414</t>
  </si>
  <si>
    <t>-833.880002445284 88.0034976679549 -98.039190354804</t>
  </si>
  <si>
    <t>-841.948305553003 121.604264700939 304.031195340036</t>
  </si>
  <si>
    <t>-882.775918611683 179.253509810074 746.31656578524</t>
  </si>
  <si>
    <t>-737.620542619664 163.644945065214 807.746057618796</t>
  </si>
  <si>
    <t>-741.425046940785 -87.6837972354185 310.917191500357</t>
  </si>
  <si>
    <t>-769.989833972491 -92.1657841333767 757.822757843936</t>
  </si>
  <si>
    <t>-629.901518459673 -71.4355543507817 828.764993454088</t>
  </si>
  <si>
    <t>9763-20170724T104704.782637900.bin</t>
  </si>
  <si>
    <t>-851.615673151817 4.25406162715262 -551.960263025929</t>
  </si>
  <si>
    <t>-879.090456598577 137.397462718435 -531.559798495662</t>
  </si>
  <si>
    <t>-819.796587807348 186.755629107349 -247.589443471929</t>
  </si>
  <si>
    <t>-586.348201559309 231.56763336676 -286.890269611214</t>
  </si>
  <si>
    <t>-833.950845513155 87.949415432342 -98.0471851374646</t>
  </si>
  <si>
    <t>-842.00442288499 121.612315519265 304.018297941438</t>
  </si>
  <si>
    <t>-882.776343845041 179.25896013175 746.304687653018</t>
  </si>
  <si>
    <t>-737.630486907125 163.599639089664 807.743700590818</t>
  </si>
  <si>
    <t>-741.406404308248 -87.5658166319969 310.928749286761</t>
  </si>
  <si>
    <t>-770.064895153169 -92.0131418689259 757.827030304124</t>
  </si>
  <si>
    <t>-629.927486505113 -71.6400349483996 828.775944091964</t>
  </si>
  <si>
    <t>9763-20170724T104704.848383300.bin</t>
  </si>
  <si>
    <t>-851.67978617973 3.60895370348271 -551.945328778525</t>
  </si>
  <si>
    <t>-879.512042828205 136.68734078434 -531.607760242907</t>
  </si>
  <si>
    <t>-819.870382717827 186.352417567571 -247.763714422052</t>
  </si>
  <si>
    <t>-586.678256713456 231.19351563547 -288.525891416913</t>
  </si>
  <si>
    <t>-834.165289687562 87.6511776637674 -98.0603907695437</t>
  </si>
  <si>
    <t>-841.960447955647 121.320608247911 304.00958737109</t>
  </si>
  <si>
    <t>-882.771194156879 179.232747231289 746.281077936587</t>
  </si>
  <si>
    <t>-737.616867552764 163.685839019937 807.728520434244</t>
  </si>
  <si>
    <t>-741.223093380219 -87.8605081856273 310.948476099293</t>
  </si>
  <si>
    <t>-769.885752415115 -92.438430455482 757.829869943554</t>
  </si>
  <si>
    <t>-629.901014632629 -70.9903204233165 828.763312292983</t>
  </si>
  <si>
    <t>9763-20170724T104704.879463700.bin</t>
  </si>
  <si>
    <t>-851.823507780572 3.39997572750121 -551.94559057433</t>
  </si>
  <si>
    <t>-879.865223948291 136.436645925164 -531.625342645954</t>
  </si>
  <si>
    <t>-820.09435564011 186.308882746033 -247.844872985884</t>
  </si>
  <si>
    <t>-587.011460703272 231.228115313537 -289.142615530198</t>
  </si>
  <si>
    <t>-834.360895133438 87.5779099141701 -98.069055836788</t>
  </si>
  <si>
    <t>-842.048096222502 121.226006687146 304.004818415551</t>
  </si>
  <si>
    <t>-882.765819854013 179.204611264426 746.268618166998</t>
  </si>
  <si>
    <t>-737.612865081206 163.67207126823 807.723065800569</t>
  </si>
  <si>
    <t>-741.262131251284 -87.7081891038558 310.947160274186</t>
  </si>
  <si>
    <t>-770.037276006165 -92.1160340876165 757.830608310564</t>
  </si>
  <si>
    <t>-629.934879839531 -71.4946610008184 828.776889784359</t>
  </si>
  <si>
    <t>9763-20170724T104704.947324200.bin</t>
  </si>
  <si>
    <t>-852.113835021627 2.71719001147176 -551.964961992472</t>
  </si>
  <si>
    <t>-880.484229478491 135.693293952376 -531.679279144562</t>
  </si>
  <si>
    <t>-820.739127965078 185.656371910738 -247.909168167218</t>
  </si>
  <si>
    <t>-587.740270904276 230.974210726398 -289.246083085167</t>
  </si>
  <si>
    <t>-834.696290406066 87.2572809663936 -98.0910506281436</t>
  </si>
  <si>
    <t>-842.313807910791 121.067303302326 303.970571050979</t>
  </si>
  <si>
    <t>-882.780235466389 179.256865525354 746.242585287787</t>
  </si>
  <si>
    <t>-737.63803787675 163.677849707736 807.710742406474</t>
  </si>
  <si>
    <t>-741.293636115907 -87.9295044684127 310.95231993603</t>
  </si>
  <si>
    <t>-769.923833939271 -92.4063467882625 757.846377287189</t>
  </si>
  <si>
    <t>-629.947513441208 -70.8647026413892 828.767992890853</t>
  </si>
  <si>
    <t>9763-20170724T104704.980411700.bin</t>
  </si>
  <si>
    <t>-852.250657210795 2.47788982382008 -552.010176029844</t>
  </si>
  <si>
    <t>-880.707718648589 135.428061332135 -531.707758370814</t>
  </si>
  <si>
    <t>-821.222015390267 185.239846012255 -247.856712885744</t>
  </si>
  <si>
    <t>-588.110510513606 230.916125690333 -288.150302573475</t>
  </si>
  <si>
    <t>-834.876399165973 87.1393231264638 -98.1316663925591</t>
  </si>
  <si>
    <t>-842.512981674017 121.060227097169 303.920156096028</t>
  </si>
  <si>
    <t>-882.779367188596 179.258084944236 746.213919515464</t>
  </si>
  <si>
    <t>-737.641495413778 163.708408231151 807.699464550594</t>
  </si>
  <si>
    <t>-741.367234728553 -87.9740823093296 310.951153741744</t>
  </si>
  <si>
    <t>-769.918229169172 -92.4299810354578 757.850462023142</t>
  </si>
  <si>
    <t>-629.934253467118 -70.9569724493463 828.777828838904</t>
  </si>
  <si>
    <t>9763-20170724T104705.047140300.bin</t>
  </si>
  <si>
    <t>-851.995502423193 2.42630713635253 -552.241179682069</t>
  </si>
  <si>
    <t>-880.315010865015 135.398161619838 -531.887405737301</t>
  </si>
  <si>
    <t>-822.418493698396 184.603048306591 -247.602158939066</t>
  </si>
  <si>
    <t>-588.885568333174 231.739626126033 -283.538193532898</t>
  </si>
  <si>
    <t>-834.975294331153 86.8239263549196 -98.2562544865739</t>
  </si>
  <si>
    <t>-843.137150912101 121.306660114225 303.73746685025</t>
  </si>
  <si>
    <t>-882.649599814536 179.114988612754 746.044039329921</t>
  </si>
  <si>
    <t>-737.575875166903 163.794136984094 807.738277464407</t>
  </si>
  <si>
    <t>-741.78762317523 -87.8589871764375 310.89620033624</t>
  </si>
  <si>
    <t>-769.974142828925 -92.4660262308084 757.905650354429</t>
  </si>
  <si>
    <t>-629.957291886098 -71.1079700809696 828.802745297267</t>
  </si>
  <si>
    <t>9763-20170724T104705.084238800.bin</t>
  </si>
  <si>
    <t>-851.459915087526 2.49935194557224 -552.32472309456</t>
  </si>
  <si>
    <t>-879.532292214366 135.522695570113 -531.979130958034</t>
  </si>
  <si>
    <t>-822.875551818992 184.172390740684 -247.348784481245</t>
  </si>
  <si>
    <t>-589.061288208737 232.18213880553 -280.163936205288</t>
  </si>
  <si>
    <t>-834.794065572211 86.5613887787113 -98.290327581008</t>
  </si>
  <si>
    <t>-843.37076811465 121.507161678574 303.654841974102</t>
  </si>
  <si>
    <t>-882.613365573993 179.103449192475 746.010157641387</t>
  </si>
  <si>
    <t>-737.578200546941 163.794702461689 807.798091501119</t>
  </si>
  <si>
    <t>-742.081137777472 -87.9236351608929 310.907668120701</t>
  </si>
  <si>
    <t>-769.967810140899 -92.609748713505 757.972242770596</t>
  </si>
  <si>
    <t>-629.916137592938 -71.3193227180079 828.820901407047</t>
  </si>
  <si>
    <t>9763-20170724T104705.151555900.bin</t>
  </si>
  <si>
    <t>-849.472313487585 3.00755015774666 -552.390208787297</t>
  </si>
  <si>
    <t>-876.988461660982 136.142113313942 -532.022293841924</t>
  </si>
  <si>
    <t>-823.218540076567 183.414431946738 -246.600970589906</t>
  </si>
  <si>
    <t>-589.01307633934 232.679805603563 -274.378685645444</t>
  </si>
  <si>
    <t>-834.021595323558 86.081943295384 -98.2453799730122</t>
  </si>
  <si>
    <t>-843.622326298027 121.971718504148 303.593399864718</t>
  </si>
  <si>
    <t>-882.604023161867 179.032510673821 745.974007526419</t>
  </si>
  <si>
    <t>-737.615701514156 163.715369298198 807.869695115779</t>
  </si>
  <si>
    <t>-742.661457104938 -88.1045137426969 311.002065913444</t>
  </si>
  <si>
    <t>-769.831327463855 -92.969247806925 758.022212918501</t>
  </si>
  <si>
    <t>-629.885031722493 -70.9272759573767 828.849309280597</t>
  </si>
  <si>
    <t>9763-20170724T104705.179631300.bin</t>
  </si>
  <si>
    <t>-848.170993813752 3.67511568321856 -552.503781682484</t>
  </si>
  <si>
    <t>-875.398214255356 136.877893791859 -532.161923061581</t>
  </si>
  <si>
    <t>-823.087550219821 183.45004356723 -246.354479508791</t>
  </si>
  <si>
    <t>-588.762121231903 233.033080418666 -272.507891226725</t>
  </si>
  <si>
    <t>-833.62332644517 86.1298570741683 -98.2155645802848</t>
  </si>
  <si>
    <t>-843.594417301862 122.257213952529 303.592908131884</t>
  </si>
  <si>
    <t>-882.631351524197 179.047085085035 745.984549145423</t>
  </si>
  <si>
    <t>-737.638621834102 163.828035636029 807.894125250467</t>
  </si>
  <si>
    <t>-742.852860057308 -88.226216755991 311.020460999199</t>
  </si>
  <si>
    <t>-769.673326516099 -93.3481569488972 758.064169412173</t>
  </si>
  <si>
    <t>-629.783908627241 -70.8877972202388 828.872161514612</t>
  </si>
  <si>
    <t>9763-20170724T104705.249868800.bin</t>
  </si>
  <si>
    <t>-845.345133007327 5.34425004481545 -552.750913120321</t>
  </si>
  <si>
    <t>-871.992149339355 138.686247537376 -532.577145051891</t>
  </si>
  <si>
    <t>-822.72390394194 184.799497928418 -246.155400509314</t>
  </si>
  <si>
    <t>-588.128512764457 234.565414999946 -269.377166505454</t>
  </si>
  <si>
    <t>-833.032854348385 86.8839311013999 -98.1643749648085</t>
  </si>
  <si>
    <t>-843.568002976354 123.289988534515 303.604587911596</t>
  </si>
  <si>
    <t>-882.72730901912 179.125002682922 746.059301056727</t>
  </si>
  <si>
    <t>-737.778206081172 163.536601792982 807.979051729043</t>
  </si>
  <si>
    <t>-743.379807435098 -87.9897092079709 311.011107567268</t>
  </si>
  <si>
    <t>-769.596483305183 -93.5796456719886 758.111922501574</t>
  </si>
  <si>
    <t>-629.656893566605 -71.4627537502016 828.928894451559</t>
  </si>
  <si>
    <t>9763-20170724T104705.280965400.bin</t>
  </si>
  <si>
    <t>-843.972512672072 6.2179709969223 -552.821182784247</t>
  </si>
  <si>
    <t>-870.397020948819 139.622644417877 -532.748966531711</t>
  </si>
  <si>
    <t>-822.25143612547 185.517617204828 -246.101347967158</t>
  </si>
  <si>
    <t>-587.589473471849 235.575624993018 -267.984057263513</t>
  </si>
  <si>
    <t>-832.658121721425 87.3242478895281 -98.098476095287</t>
  </si>
  <si>
    <t>-843.558411332137 123.815082637674 303.653013353895</t>
  </si>
  <si>
    <t>-882.759164043927 179.147691234305 746.107594924198</t>
  </si>
  <si>
    <t>-737.812828134447 163.59171069141 808.04213729302</t>
  </si>
  <si>
    <t>-743.346754768711 -87.8078017726356 311.011132196484</t>
  </si>
  <si>
    <t>-769.632533772418 -93.5339643172154 758.119405517451</t>
  </si>
  <si>
    <t>-629.658000312907 -71.6806527464498 828.949227347729</t>
  </si>
  <si>
    <t>9763-20170724T104705.348752900.bin</t>
  </si>
  <si>
    <t>-840.993010559107 8.00482557971964 -552.886320576217</t>
  </si>
  <si>
    <t>-866.799874376138 141.531387994234 -532.866152692631</t>
  </si>
  <si>
    <t>-819.586211526854 187.622455832225 -246.094967548036</t>
  </si>
  <si>
    <t>-584.890322874903 238.627064842921 -265.258881728467</t>
  </si>
  <si>
    <t>-831.578404271051 88.1691803580848 -97.9808288070253</t>
  </si>
  <si>
    <t>-843.133468994111 124.700617112537 303.748685887412</t>
  </si>
  <si>
    <t>-882.80773965982 179.219962579718 746.231083670591</t>
  </si>
  <si>
    <t>-737.87518838812 163.679434142664 808.201770112556</t>
  </si>
  <si>
    <t>-742.978192303574 -87.5722863550989 311.058237722494</t>
  </si>
  <si>
    <t>-769.585293999533 -93.6995918002142 758.146463496533</t>
  </si>
  <si>
    <t>-629.585916591863 -72.0149673526317 828.979119063072</t>
  </si>
  <si>
    <t>9763-20170724T104705.381840400.bin</t>
  </si>
  <si>
    <t>-799.90970920466 0.355265892667603 -93.6989150313883</t>
  </si>
  <si>
    <t>-839.279802055678 8.92865716670462 -552.896650213354</t>
  </si>
  <si>
    <t>-864.672978482654 142.527740925691 -532.827951984728</t>
  </si>
  <si>
    <t>-817.334641370386 188.72667248505 -246.094668292719</t>
  </si>
  <si>
    <t>-582.735086058905 240.88415937721 -263.226318648949</t>
  </si>
  <si>
    <t>-830.700522328169 88.5068172411554 -97.8902346117906</t>
  </si>
  <si>
    <t>-842.609307653939 125.112934289588 303.822142814233</t>
  </si>
  <si>
    <t>-882.835809296066 179.280972979301 746.285991886675</t>
  </si>
  <si>
    <t>-737.909426772264 163.692619580086 808.25895484259</t>
  </si>
  <si>
    <t>-742.691845446237 -87.3881011750265 311.125597063055</t>
  </si>
  <si>
    <t>-769.653058024418 -93.5827081741603 758.171796358446</t>
  </si>
  <si>
    <t>-629.623880655886 -72.0807538191896 829.001262692606</t>
  </si>
  <si>
    <t>9763-20170724T104705.452049600.bin</t>
  </si>
  <si>
    <t>-798.155531263326 0.936794692229114 -93.5071354743233</t>
  </si>
  <si>
    <t>-835.216818083459 10.7241276423811 -552.849941598853</t>
  </si>
  <si>
    <t>-859.695311734336 144.476220752207 -532.686328291372</t>
  </si>
  <si>
    <t>-811.134542069954 191.400142488652 -246.275414438793</t>
  </si>
  <si>
    <t>-576.702992463676 245.42190170448 -259.479483030172</t>
  </si>
  <si>
    <t>-828.347075404794 89.1794353724342 -97.6530139696914</t>
  </si>
  <si>
    <t>-840.991678701219 125.61565746949 304.052384651957</t>
  </si>
  <si>
    <t>-882.903500879739 179.328582969457 746.400487413139</t>
  </si>
  <si>
    <t>-737.956864044033 163.819032761624 808.345836644508</t>
  </si>
  <si>
    <t>-741.425819241441 -87.4093901771964 311.256964280718</t>
  </si>
  <si>
    <t>-769.447009372857 -94.0912218367047 758.211961896285</t>
  </si>
  <si>
    <t>-629.489057683574 -72.1132956675959 829.036003035252</t>
  </si>
  <si>
    <t>9763-20170724T104705.480110200.bin</t>
  </si>
  <si>
    <t>-797.104637515104 1.48260917607922 -93.3776967212297</t>
  </si>
  <si>
    <t>-832.918441502669 12.0205214165064 -552.787792257044</t>
  </si>
  <si>
    <t>-856.799647227209 145.860962900385 -532.514151167361</t>
  </si>
  <si>
    <t>-807.339745871723 193.251709074046 -246.33408822386</t>
  </si>
  <si>
    <t>-573.179693825666 248.825505695124 -257.80030784213</t>
  </si>
  <si>
    <t>-826.920440823373 89.791167630663 -97.5036142821551</t>
  </si>
  <si>
    <t>-840.094513694875 125.972511388011 304.207752654146</t>
  </si>
  <si>
    <t>-882.948633756669 179.411918284998 746.475820568942</t>
  </si>
  <si>
    <t>-737.981497631757 163.999701258461 808.397264589749</t>
  </si>
  <si>
    <t>-740.683553900656 -87.4886436038073 311.31732853062</t>
  </si>
  <si>
    <t>-769.44629786156 -94.1538039447382 758.220177129116</t>
  </si>
  <si>
    <t>-629.532432242721 -71.9025413396981 829.045924325758</t>
  </si>
  <si>
    <t>9763-20170724T104705.551305800.bin</t>
  </si>
  <si>
    <t>-794.405950056048 3.17318829783903 -93.0928409519535</t>
  </si>
  <si>
    <t>-827.869987082548 15.2411665426544 -552.58134259023</t>
  </si>
  <si>
    <t>-850.249695106863 149.320905015578 -532.114804857927</t>
  </si>
  <si>
    <t>-797.780283083601 198.178155248876 -246.718375175899</t>
  </si>
  <si>
    <t>-564.022806749024 256.031329669288 -254.549008283861</t>
  </si>
  <si>
    <t>-823.349916989954 91.5178938530569 -97.1648226190295</t>
  </si>
  <si>
    <t>-837.747754857654 126.919738565492 304.574002086928</t>
  </si>
  <si>
    <t>-883.006714702704 179.586291276618 746.65562788581</t>
  </si>
  <si>
    <t>-738.00120527679 164.317457231866 808.522881019562</t>
  </si>
  <si>
    <t>-738.833561419708 -87.5700316860241 311.502577640602</t>
  </si>
  <si>
    <t>-769.379949900776 -94.383033772792 758.252793523682</t>
  </si>
  <si>
    <t>-629.433858514479 -72.4286636232738 829.107594348479</t>
  </si>
  <si>
    <t>9763-20170724T104705.580382600.bin</t>
  </si>
  <si>
    <t>-792.841133368812 4.07296683470599 -92.9696578213859</t>
  </si>
  <si>
    <t>-825.314832706954 16.9426465124948 -552.465356959757</t>
  </si>
  <si>
    <t>-846.829192548065 151.131015633716 -531.869329792199</t>
  </si>
  <si>
    <t>-792.714540346323 201.102835167078 -246.973502642887</t>
  </si>
  <si>
    <t>-559.048670440502 259.390559755022 -254.30168114749</t>
  </si>
  <si>
    <t>-821.341238725612 92.4918827354038 -96.9763662873692</t>
  </si>
  <si>
    <t>-836.3352609588 127.460693136706 304.778528166349</t>
  </si>
  <si>
    <t>-883.058058457829 179.767022932795 746.757925339224</t>
  </si>
  <si>
    <t>-738.071246331617 164.183187255184 808.590632283126</t>
  </si>
  <si>
    <t>-737.578888805724 -87.5343441040608 311.584200374289</t>
  </si>
  <si>
    <t>-769.400403043197 -94.4055911342821 758.265841727686</t>
  </si>
  <si>
    <t>-629.498405360915 -72.2348985835172 829.140219899128</t>
  </si>
  <si>
    <t>9763-20170724T104705.647602000.bin</t>
  </si>
  <si>
    <t>-789.231616412412 5.55806068181664 -92.6724532825792</t>
  </si>
  <si>
    <t>-775.269725245341 0.646685742804721 -680.967603039825</t>
  </si>
  <si>
    <t>-820.166889556417 20.1392725146586 -552.1589207802</t>
  </si>
  <si>
    <t>-839.963547976384 154.579309020011 -531.324704848601</t>
  </si>
  <si>
    <t>-782.076671040276 205.553474407935 -247.349401208287</t>
  </si>
  <si>
    <t>-548.442192198384 263.770724548994 -256.099639070114</t>
  </si>
  <si>
    <t>-816.98987588345 94.4471562891188 -96.5130690873111</t>
  </si>
  <si>
    <t>-832.906382567379 128.14299368353 305.31521528662</t>
  </si>
  <si>
    <t>-883.089326682196 180.093727467873 746.973717511927</t>
  </si>
  <si>
    <t>-738.090769515834 164.494591466674 808.77481901273</t>
  </si>
  <si>
    <t>-734.419355325177 -87.055182064952 311.777756061812</t>
  </si>
  <si>
    <t>-769.327791477704 -94.5349461798875 758.221621856378</t>
  </si>
  <si>
    <t>-629.382649814009 -72.9538021009546 829.19277346961</t>
  </si>
  <si>
    <t>9763-20170724T104705.682703300.bin</t>
  </si>
  <si>
    <t>-787.127012335969 6.49260091493011 -92.5832143765066</t>
  </si>
  <si>
    <t>-772.636455890791 2.1541788007562 -680.85376545114</t>
  </si>
  <si>
    <t>-817.553158748264 21.7237844227361 -552.056543883729</t>
  </si>
  <si>
    <t>-836.576898937801 156.255039323794 -531.101035286052</t>
  </si>
  <si>
    <t>-775.969213149264 207.497898516099 -247.742478628037</t>
  </si>
  <si>
    <t>-542.205936635904 265.049386671397 -257.406853102882</t>
  </si>
  <si>
    <t>-814.564816537763 95.6624191754138 -96.4263637352501</t>
  </si>
  <si>
    <t>-830.889252867673 128.803953873524 305.431600272117</t>
  </si>
  <si>
    <t>-883.007391061509 180.700991554613 746.855749635347</t>
  </si>
  <si>
    <t>-738.096253035364 164.709917908417 808.761453344328</t>
  </si>
  <si>
    <t>-732.606938299327 -86.6107382643573 311.796250272112</t>
  </si>
  <si>
    <t>-769.392376220303 -94.2242240219539 758.096563294313</t>
  </si>
  <si>
    <t>-629.440677821588 -73.0732332146895 829.18419085304</t>
  </si>
  <si>
    <t>9763-20170724T104705.748738300.bin</t>
  </si>
  <si>
    <t>-782.77044604355 8.87623434907232 -92.6597838979773</t>
  </si>
  <si>
    <t>-768.372337685081 5.36291330842323 -680.901979026116</t>
  </si>
  <si>
    <t>-813.105040925782 25.0804207613728 -552.079853660196</t>
  </si>
  <si>
    <t>-830.777042019471 159.750503765885 -530.890040815836</t>
  </si>
  <si>
    <t>-764.898581523876 211.441050379541 -248.792006838709</t>
  </si>
  <si>
    <t>-530.509565614846 265.99676846075 -260.468141708924</t>
  </si>
  <si>
    <t>-809.224998850393 98.4577830828696 -96.4524680780277</t>
  </si>
  <si>
    <t>-827.323625256053 130.759344008142 305.397887538545</t>
  </si>
  <si>
    <t>-882.72532749618 182.229866759427 746.390397764112</t>
  </si>
  <si>
    <t>-738.048194687988 165.571813477813 808.666642591458</t>
  </si>
  <si>
    <t>-729.43630368499 -85.3210043745814 311.603208914951</t>
  </si>
  <si>
    <t>-769.500362405436 -93.1194448238372 757.592003279857</t>
  </si>
  <si>
    <t>-629.574258819681 -73.4097761379209 829.14273228033</t>
  </si>
  <si>
    <t>9763-20170724T104705.781824400.bin</t>
  </si>
  <si>
    <t>-781.02866257697 9.85410443774958 -92.8073803043251</t>
  </si>
  <si>
    <t>-801.299366599138 0.750009009207588 -206.484213847624</t>
  </si>
  <si>
    <t>-804.660154644027 0.174007388302925 -607.35983444957</t>
  </si>
  <si>
    <t>-766.819728896851 6.62326708586079 -681.058841565642</t>
  </si>
  <si>
    <t>-811.418433416833 26.4044650272372 -552.227191903155</t>
  </si>
  <si>
    <t>-828.564697831752 161.145398350214 -530.962422272871</t>
  </si>
  <si>
    <t>-760.743565861084 212.598743745499 -249.281660077619</t>
  </si>
  <si>
    <t>-525.950217003173 265.108145872578 -262.154165242742</t>
  </si>
  <si>
    <t>-807.116081069481 99.5730234974274 -96.5423880698654</t>
  </si>
  <si>
    <t>-826.192400922816 131.391669825438 305.301320602125</t>
  </si>
  <si>
    <t>-882.616005695411 182.751821443695 746.222079087768</t>
  </si>
  <si>
    <t>-738.016319347041 166.00397251529 808.65390974696</t>
  </si>
  <si>
    <t>-728.412910734902 -84.903935452855 311.411688604066</t>
  </si>
  <si>
    <t>-769.498587345922 -92.5551028599851 757.309900414885</t>
  </si>
  <si>
    <t>-629.615359208679 -73.5466949858867 829.133635723233</t>
  </si>
  <si>
    <t>9763-20170724T104705.848545200.bin</t>
  </si>
  <si>
    <t>-779.242961535263 11.249150138091 -93.0351780166458</t>
  </si>
  <si>
    <t>-799.364754027831 2.27569423192995 -206.748994488272</t>
  </si>
  <si>
    <t>-802.878304911461 1.77972828705265 -607.634304409369</t>
  </si>
  <si>
    <t>-764.899694522417 8.21020167528923 -681.263761823013</t>
  </si>
  <si>
    <t>-809.448063788442 28.0386557058719 -552.492449769243</t>
  </si>
  <si>
    <t>-825.912036002022 162.872991535872 -531.252335107613</t>
  </si>
  <si>
    <t>-756.794367660486 212.74570181937 -249.602360004503</t>
  </si>
  <si>
    <t>-521.299494368539 261.457691410933 -264.439280711797</t>
  </si>
  <si>
    <t>-804.760331538658 101.322275861922 -96.6616643958938</t>
  </si>
  <si>
    <t>-825.125969679045 132.360069323497 305.179814226399</t>
  </si>
  <si>
    <t>-882.572847024266 183.426662082006 746.096302339905</t>
  </si>
  <si>
    <t>-738.028782326476 166.445173656802 808.593755173175</t>
  </si>
  <si>
    <t>-727.936785301901 -83.7478663549061 311.231819222066</t>
  </si>
  <si>
    <t>-770.235093175775 -90.1200382885862 757.063274512043</t>
  </si>
  <si>
    <t>-630.08034657969 -74.6955209676888 829.216083797687</t>
  </si>
  <si>
    <t>9763-20170724T104705.880629800.bin</t>
  </si>
  <si>
    <t>-778.986196887696 11.6856129060016 -93.0987291561761</t>
  </si>
  <si>
    <t>-799.022234470232 2.7462650294251 -206.830242330804</t>
  </si>
  <si>
    <t>-802.526126673594 2.2184888247175 -607.720366981323</t>
  </si>
  <si>
    <t>-764.453643858963 8.71770763401105 -681.295158352158</t>
  </si>
  <si>
    <t>-809.079903634517 28.4892365286894 -552.582291696033</t>
  </si>
  <si>
    <t>-825.514312845233 163.331128831506 -531.408517066921</t>
  </si>
  <si>
    <t>-756.705826578091 212.358232850315 -249.534537753798</t>
  </si>
  <si>
    <t>-520.858141555706 259.246818959658 -264.640327649985</t>
  </si>
  <si>
    <t>-804.415234630354 101.94035750279 -96.7126370005175</t>
  </si>
  <si>
    <t>-825.129316314389 132.683231655604 305.133738267037</t>
  </si>
  <si>
    <t>-882.607098207908 183.724756131615 746.050337515446</t>
  </si>
  <si>
    <t>-738.090016906614 166.490056857453 808.540913453988</t>
  </si>
  <si>
    <t>-728.10112718396 -83.1824413444421 311.151977031582</t>
  </si>
  <si>
    <t>-770.728342451021 -88.7250060805803 756.991312165271</t>
  </si>
  <si>
    <t>-630.42110903679 -75.3014667923397 829.247710694836</t>
  </si>
  <si>
    <t>9763-20170724T104705.950350000.bin</t>
  </si>
  <si>
    <t>-778.922946025068 13.1841613313341 -93.0705668975098</t>
  </si>
  <si>
    <t>-798.818202988481 4.15295956107047 -206.819663041146</t>
  </si>
  <si>
    <t>-805.910272338513 1.24726468052813 -305.145216795885</t>
  </si>
  <si>
    <t>-808.826213189798 0.269550134318251 -394.188856576098</t>
  </si>
  <si>
    <t>-807.858024781773 0.921256047713086 -483.277994459659</t>
  </si>
  <si>
    <t>-802.395444953194 3.45030774711745 -607.715051504287</t>
  </si>
  <si>
    <t>-764.085321240284 10.1762242564469 -681.14618931464</t>
  </si>
  <si>
    <t>-808.979503277429 29.7267139992882 -552.58326493911</t>
  </si>
  <si>
    <t>-825.667308837797 164.549490662076 -531.590771966252</t>
  </si>
  <si>
    <t>-758.251128018005 212.482569427701 -249.192663080825</t>
  </si>
  <si>
    <t>-521.917168705571 257.255305165967 -263.067394120608</t>
  </si>
  <si>
    <t>-804.145525365521 103.018897983775 -96.735684023988</t>
  </si>
  <si>
    <t>-825.328099210874 133.566433419147 305.101162699607</t>
  </si>
  <si>
    <t>-882.679651224704 183.916092350063 746.02395643463</t>
  </si>
  <si>
    <t>-738.127375328733 166.846049001534 808.478359684522</t>
  </si>
  <si>
    <t>-727.80805008165 -82.2970901114666 311.186100639157</t>
  </si>
  <si>
    <t>-771.3425482443 -87.5271990097822 757.000500832778</t>
  </si>
  <si>
    <t>-630.834801370652 -76.2369889673208 829.232038759363</t>
  </si>
  <si>
    <t>9763-20170724T104705.980429300.bin</t>
  </si>
  <si>
    <t>-779.131202488846 13.8175816464111 -93.0186399580004</t>
  </si>
  <si>
    <t>-799.005542919926 4.72605497805239 -206.766505588598</t>
  </si>
  <si>
    <t>-806.094515780932 1.78356108195317 -305.091269197153</t>
  </si>
  <si>
    <t>-809.013601436626 0.778558345182773 -394.134499468621</t>
  </si>
  <si>
    <t>-808.054371783999 1.40990621622655 -483.223926956741</t>
  </si>
  <si>
    <t>-802.610438426486 3.91827004020433 -607.662148852758</t>
  </si>
  <si>
    <t>-764.184729607086 10.7442897299518 -681.023650370864</t>
  </si>
  <si>
    <t>-809.231171708753 30.1970512058879 -552.535980895396</t>
  </si>
  <si>
    <t>-826.108278017742 165.03886027692 -531.699716668349</t>
  </si>
  <si>
    <t>-759.175834541863 212.426428637195 -249.094469369599</t>
  </si>
  <si>
    <t>-522.762356835069 256.80823948768 -262.870555408403</t>
  </si>
  <si>
    <t>-804.444072155323 103.594603091351 -96.729348526768</t>
  </si>
  <si>
    <t>-825.515145898954 133.89312061517 305.132162516882</t>
  </si>
  <si>
    <t>-882.755526339497 183.993477432655 746.082655336916</t>
  </si>
  <si>
    <t>-738.181804500788 166.889927711856 808.478212949314</t>
  </si>
  <si>
    <t>-727.824443629006 -82.2059139533459 311.266736669646</t>
  </si>
  <si>
    <t>-771.32860557652 -87.8097341751505 757.111253658098</t>
  </si>
  <si>
    <t>-630.795264307731 -75.9733673536911 829.205585206033</t>
  </si>
  <si>
    <t>9763-20170724T104706.049618500.bin</t>
  </si>
  <si>
    <t>-779.779296038025 14.0615580222686 -92.9760475585933</t>
  </si>
  <si>
    <t>-799.584456849944 4.79609881061469 -206.721962238189</t>
  </si>
  <si>
    <t>-806.682572748917 1.70759484480163 -305.041497945522</t>
  </si>
  <si>
    <t>-809.63641459489 0.569573822132497 -394.08209919697</t>
  </si>
  <si>
    <t>-808.738523377573 1.06829650686063 -483.172987839464</t>
  </si>
  <si>
    <t>-803.407651817623 3.39145205724572 -607.619720914312</t>
  </si>
  <si>
    <t>-764.794957857601 10.3078943539688 -680.874380195894</t>
  </si>
  <si>
    <t>-810.067859271819 29.7383078924647 -552.530734194439</t>
  </si>
  <si>
    <t>-827.316376686838 164.568729766267 -532.025520461746</t>
  </si>
  <si>
    <t>-760.59924491145 211.540755316731 -249.300095328851</t>
  </si>
  <si>
    <t>-524.039195139928 254.884965286865 -263.843674763185</t>
  </si>
  <si>
    <t>-805.699941040314 104.076769548051 -96.810925669855</t>
  </si>
  <si>
    <t>-826.112443108833 133.828489340538 305.125410057431</t>
  </si>
  <si>
    <t>-882.852957677605 184.041705209871 746.170439839512</t>
  </si>
  <si>
    <t>-738.237797526286 167.042922022234 808.498534072795</t>
  </si>
  <si>
    <t>-728.360710808702 -81.8331991327921 311.453966697697</t>
  </si>
  <si>
    <t>-771.306391385981 -88.1557011627471 757.260416675324</t>
  </si>
  <si>
    <t>-630.66898171748 -76.3086437702917 829.149710101995</t>
  </si>
  <si>
    <t>9763-20170724T104706.082710200.bin</t>
  </si>
  <si>
    <t>-780.360853018497 14.3433290253158 -92.9791607148693</t>
  </si>
  <si>
    <t>-800.153732926365 4.98337798547459 -206.719349059118</t>
  </si>
  <si>
    <t>-807.270102738124 1.80689278165642 -305.03487730169</t>
  </si>
  <si>
    <t>-810.251350512155 0.58491974006256 -394.073448917261</t>
  </si>
  <si>
    <t>-809.391615265102 0.995301448837381 -483.165124037914</t>
  </si>
  <si>
    <t>-804.125294885661 3.19044077201011 -607.616983955485</t>
  </si>
  <si>
    <t>-765.441473856255 10.1236360076118 -680.832507250762</t>
  </si>
  <si>
    <t>-810.787674959334 29.5891038765269 -552.553011374681</t>
  </si>
  <si>
    <t>-828.141390664939 164.4284774443 -532.246427920385</t>
  </si>
  <si>
    <t>-761.146178129371 211.878358549184 -249.66652118497</t>
  </si>
  <si>
    <t>-524.444304553967 254.317368277902 -264.566466161816</t>
  </si>
  <si>
    <t>-806.468006867055 104.277121325081 -96.8536734982233</t>
  </si>
  <si>
    <t>-826.567126603635 134.005364198218 305.100264482187</t>
  </si>
  <si>
    <t>-882.918595111006 184.211817446872 746.218483926131</t>
  </si>
  <si>
    <t>-738.323756901026 166.993246311989 808.533288053618</t>
  </si>
  <si>
    <t>-728.408327050948 -81.7657865879477 311.476893805561</t>
  </si>
  <si>
    <t>-771.320448943907 -88.2304166299476 757.309550143554</t>
  </si>
  <si>
    <t>-630.652733708834 -76.2433456260176 829.116292816745</t>
  </si>
  <si>
    <t>9763-20170724T104706.147440200.bin</t>
  </si>
  <si>
    <t>-781.54642136088 14.428985839626 -92.948133408134</t>
  </si>
  <si>
    <t>-801.372559484463 4.85005271509226 -206.664464067297</t>
  </si>
  <si>
    <t>-808.561627841545 1.43331991942773 -304.966577640965</t>
  </si>
  <si>
    <t>-810.864674362482 0.112652503997879 -483.092104291871</t>
  </si>
  <si>
    <t>-805.753777825727 1.90636147773967 -607.556835180756</t>
  </si>
  <si>
    <t>-766.944017249627 8.81574218889659 -680.707878483102</t>
  </si>
  <si>
    <t>-812.362588672163 28.4801395003251 -552.570729723516</t>
  </si>
  <si>
    <t>-829.757198863179 163.406430068821 -532.798037727962</t>
  </si>
  <si>
    <t>-761.677432447221 211.776938191542 -250.633927522986</t>
  </si>
  <si>
    <t>-524.686118754534 252.410404988944 -265.960776298802</t>
  </si>
  <si>
    <t>-807.884369069642 104.309848066376 -96.9085297552676</t>
  </si>
  <si>
    <t>-827.152621167059 134.097030241081 305.081647724091</t>
  </si>
  <si>
    <t>-883.010822623762 184.322216006909 746.29091512363</t>
  </si>
  <si>
    <t>-738.400653685654 167.179567293169 808.591070007931</t>
  </si>
  <si>
    <t>-728.874137417832 -81.7104710175161 311.573437013746</t>
  </si>
  <si>
    <t>-771.381611797559 -88.3579647216312 757.464495884411</t>
  </si>
  <si>
    <t>-630.614782762166 -76.4002721241473 829.081591566759</t>
  </si>
  <si>
    <t>9763-20170724T104706.180528700.bin</t>
  </si>
  <si>
    <t>-782.070885585402 14.1763011963701 -92.9045173865399</t>
  </si>
  <si>
    <t>-801.928824756644 4.46172853397843 -206.603657646653</t>
  </si>
  <si>
    <t>-809.168474747272 0.907535573616542 -304.897226994176</t>
  </si>
  <si>
    <t>-806.5760200811 0.887686396933759 -607.490773412425</t>
  </si>
  <si>
    <t>-767.728137542607 7.75890864488588 -680.625356258419</t>
  </si>
  <si>
    <t>-813.134021183313 27.5570893974621 -552.544943413439</t>
  </si>
  <si>
    <t>-830.472072469594 162.529081753567 -533.021538443028</t>
  </si>
  <si>
    <t>-761.919664849265 210.945240706527 -250.979522822039</t>
  </si>
  <si>
    <t>-524.868639252496 251.203953833984 -266.371518580581</t>
  </si>
  <si>
    <t>-808.544491937545 104.09284353274 -96.9309932280364</t>
  </si>
  <si>
    <t>-827.305724962685 133.908735975781 305.081025558669</t>
  </si>
  <si>
    <t>-883.065127918905 184.348796767948 746.302381189664</t>
  </si>
  <si>
    <t>-738.449065462929 167.195857803028 808.586178526992</t>
  </si>
  <si>
    <t>-729.270255900993 -81.8933529264337 311.666456705426</t>
  </si>
  <si>
    <t>-771.331222774543 -88.6473752176098 757.564376169314</t>
  </si>
  <si>
    <t>-630.560652566879 -76.0635366692115 829.066756602443</t>
  </si>
  <si>
    <t>9763-20170724T104706.250223500.bin</t>
  </si>
  <si>
    <t>-783.4555338052 14.0079512791649 -92.9231950766302</t>
  </si>
  <si>
    <t>-803.369703643094 4.07116962339364 -206.593258730158</t>
  </si>
  <si>
    <t>-810.714325195468 0.28254007199007 -304.870228308058</t>
  </si>
  <si>
    <t>-769.688914951468 6.10341356252411 -680.589003153771</t>
  </si>
  <si>
    <t>-814.999580668891 26.2432680439779 -552.590634816492</t>
  </si>
  <si>
    <t>-832.091533451199 161.297796030102 -533.406511332452</t>
  </si>
  <si>
    <t>-763.08726402928 209.242396285646 -251.394431137986</t>
  </si>
  <si>
    <t>-526.023872298414 249.732181122357 -265.968265872083</t>
  </si>
  <si>
    <t>-810.063402312215 104.027249526882 -97.0769999926082</t>
  </si>
  <si>
    <t>-828.022296330728 133.762202809755 304.977685885297</t>
  </si>
  <si>
    <t>-883.1991276945 184.506145203621 746.277594753385</t>
  </si>
  <si>
    <t>-738.595338707071 167.140901178621 808.531040530721</t>
  </si>
  <si>
    <t>-730.451915676912 -81.9859431810263 311.773541362974</t>
  </si>
  <si>
    <t>-771.368724744237 -88.7558781048491 757.726895975092</t>
  </si>
  <si>
    <t>-630.5044371312 -76.3737941611428 829.079872870829</t>
  </si>
  <si>
    <t>9763-20170724T104706.280303200.bin</t>
  </si>
  <si>
    <t>-784.141552656811 13.7632572703199 -92.9635656131699</t>
  </si>
  <si>
    <t>-804.048794438528 3.76781977411679 -206.629812536718</t>
  </si>
  <si>
    <t>-770.45071024051 5.36819837104645 -680.609680650923</t>
  </si>
  <si>
    <t>-815.735709415598 25.676749042829 -552.64442907916</t>
  </si>
  <si>
    <t>-832.608139783513 160.759419372094 -533.538550892197</t>
  </si>
  <si>
    <t>-763.737620812353 208.34126575789 -251.432179756707</t>
  </si>
  <si>
    <t>-526.629778031655 248.983961457797 -264.80818274022</t>
  </si>
  <si>
    <t>-810.797181639718 103.860705047981 -97.1436951396436</t>
  </si>
  <si>
    <t>-828.544064510046 133.70934149314 304.911986862219</t>
  </si>
  <si>
    <t>-883.262697537321 184.513675873781 746.257891591061</t>
  </si>
  <si>
    <t>-738.676829527789 166.945647392427 808.496055373211</t>
  </si>
  <si>
    <t>-731.207216153535 -82.0312243337967 311.782956035706</t>
  </si>
  <si>
    <t>-771.394530358248 -88.7729780775113 757.797774396354</t>
  </si>
  <si>
    <t>-630.49285267651 -76.5132737429867 829.097945277098</t>
  </si>
  <si>
    <t>9763-20170724T104706.353165500.bin</t>
  </si>
  <si>
    <t>-785.420950997774 13.4184835582621 -93.0772208576499</t>
  </si>
  <si>
    <t>-805.346840246686 3.37082890971692 -206.735676760894</t>
  </si>
  <si>
    <t>-771.540809168977 4.77936622532911 -680.671943307502</t>
  </si>
  <si>
    <t>-816.859341091471 25.2869020713858 -552.744832772503</t>
  </si>
  <si>
    <t>-833.164320280314 160.428737567943 -533.555762198117</t>
  </si>
  <si>
    <t>-765.098152338745 206.917791318825 -251.072171484762</t>
  </si>
  <si>
    <t>-527.975181835114 248.417601934103 -261.137746930781</t>
  </si>
  <si>
    <t>-811.969933920942 103.566646167046 -97.2986027270395</t>
  </si>
  <si>
    <t>-829.570922371906 133.598508209431 304.749890953453</t>
  </si>
  <si>
    <t>-883.391828547769 184.642381906716 746.209808926329</t>
  </si>
  <si>
    <t>-738.784477694949 167.080316499448 808.399758000906</t>
  </si>
  <si>
    <t>-732.504174032577 -82.3956526035971 311.754027179456</t>
  </si>
  <si>
    <t>-771.355373743211 -89.0179822821221 757.911708852482</t>
  </si>
  <si>
    <t>-630.401589847732 -76.8246290851192 829.12013073913</t>
  </si>
  <si>
    <t>9763-20170724T104706.381241600.bin</t>
  </si>
  <si>
    <t>-786.052508878515 13.4264553292198 -93.1266399741533</t>
  </si>
  <si>
    <t>-805.985404811971 3.39577945406882 -206.785326626378</t>
  </si>
  <si>
    <t>-771.932769627871 4.97605677186243 -680.678443713603</t>
  </si>
  <si>
    <t>-817.331868086131 25.5033024840429 -552.780155340949</t>
  </si>
  <si>
    <t>-833.362257824903 160.663183068647 -533.465987761409</t>
  </si>
  <si>
    <t>-765.777376593511 206.358606876981 -250.737397837943</t>
  </si>
  <si>
    <t>-528.670659029735 248.333292396771 -259.069251160708</t>
  </si>
  <si>
    <t>-812.537908395396 103.520504319451 -97.3547261775981</t>
  </si>
  <si>
    <t>-829.921370380339 133.58792761088 304.70051001454</t>
  </si>
  <si>
    <t>-883.43577036979 184.616811609537 746.189937799709</t>
  </si>
  <si>
    <t>-738.809847064496 167.14752591048 808.362910661536</t>
  </si>
  <si>
    <t>-732.93566997306 -82.7547864446525 311.705479630506</t>
  </si>
  <si>
    <t>-771.244664191287 -89.2885058450416 757.925608766874</t>
  </si>
  <si>
    <t>-630.343108911846 -76.3923815608294 829.113665211995</t>
  </si>
  <si>
    <t>9763-20170724T104706.452433300.bin</t>
  </si>
  <si>
    <t>-787.163141845075 13.7227763706467 -93.1815698157077</t>
  </si>
  <si>
    <t>-807.120645556025 3.78711210688971 -206.844159677484</t>
  </si>
  <si>
    <t>-814.409541992734 0.101175648580011 -305.129126647755</t>
  </si>
  <si>
    <t>-772.499774984561 6.09622076781034 -680.652376997299</t>
  </si>
  <si>
    <t>-818.087078025725 26.5120272178883 -552.794030818587</t>
  </si>
  <si>
    <t>-833.775319785267 161.666718916977 -533.164368740816</t>
  </si>
  <si>
    <t>-766.847749385322 205.916677917694 -250.049956073801</t>
  </si>
  <si>
    <t>-529.863697003872 248.955862397983 -256.138393434318</t>
  </si>
  <si>
    <t>-813.576086917271 103.733252567429 -97.381557169564</t>
  </si>
  <si>
    <t>-830.485558709054 133.69727881336 304.701671098756</t>
  </si>
  <si>
    <t>-883.557854457847 184.754031054535 746.213892675724</t>
  </si>
  <si>
    <t>-738.926085792827 167.197822135361 808.348684944736</t>
  </si>
  <si>
    <t>-733.737182819612 -82.5779129517135 311.575770159278</t>
  </si>
  <si>
    <t>-771.31953365474 -88.9881911684441 757.901482015862</t>
  </si>
  <si>
    <t>-630.33870190201 -77.2843054917877 829.138488489101</t>
  </si>
  <si>
    <t>9763-20170724T104706.481512900.bin</t>
  </si>
  <si>
    <t>-787.491421099365 13.6948058396731 -93.1822451239083</t>
  </si>
  <si>
    <t>-807.491399570925 3.80520711739155 -206.841420844799</t>
  </si>
  <si>
    <t>-814.770478425628 0.190203636317165 -305.129806489004</t>
  </si>
  <si>
    <t>-812.010417110932 0.119856211482784 -607.7179578704</t>
  </si>
  <si>
    <t>-772.614458741528 6.53493478455539 -680.600310502448</t>
  </si>
  <si>
    <t>-818.309157045875 26.8406164984851 -552.766801655789</t>
  </si>
  <si>
    <t>-833.901977521754 161.991919437711 -532.996706064233</t>
  </si>
  <si>
    <t>-766.948447286265 205.730166791013 -249.808884821112</t>
  </si>
  <si>
    <t>-530.024996213862 249.191589628384 -255.214944481482</t>
  </si>
  <si>
    <t>-813.937569696634 103.726984765397 -97.3547833113968</t>
  </si>
  <si>
    <t>-830.754658650047 133.688290837527 304.732491965317</t>
  </si>
  <si>
    <t>-883.606533005314 184.810170172401 746.244279710198</t>
  </si>
  <si>
    <t>-738.977584482122 167.20214764227 808.370882367193</t>
  </si>
  <si>
    <t>-733.919033376281 -82.7022984475411 311.530790377366</t>
  </si>
  <si>
    <t>-771.169705765381 -89.3429284736416 757.885800499739</t>
  </si>
  <si>
    <t>-630.239123230793 -77.0721753282086 829.12691523186</t>
  </si>
  <si>
    <t>9763-20170724T104706.550703100.bin</t>
  </si>
  <si>
    <t>-787.808199078082 13.6011929864187 -93.1328473776518</t>
  </si>
  <si>
    <t>-807.874196332239 3.76563792851243 -206.785048686926</t>
  </si>
  <si>
    <t>-815.170940721125 0.234577688266427 -305.075232836821</t>
  </si>
  <si>
    <t>-812.349577076727 0.518789551571217 -607.660986283208</t>
  </si>
  <si>
    <t>-772.874856277955 7.09442863907589 -680.48635432254</t>
  </si>
  <si>
    <t>-818.661813514664 27.170021170678 -552.67748237282</t>
  </si>
  <si>
    <t>-834.239548082131 162.28141708171 -532.656223963517</t>
  </si>
  <si>
    <t>-767.03743988132 205.893260882342 -249.507602679847</t>
  </si>
  <si>
    <t>-530.239595851216 250.101198769888 -254.337240219846</t>
  </si>
  <si>
    <t>-814.209322227207 103.671555259957 -97.2736191906458</t>
  </si>
  <si>
    <t>-831.144941454146 133.724175289944 304.801884362664</t>
  </si>
  <si>
    <t>-883.702077235209 184.907665879146 746.330574080306</t>
  </si>
  <si>
    <t>-739.080938774597 167.155954562283 808.434192090537</t>
  </si>
  <si>
    <t>-734.08118218657 -82.7128296823893 311.496760110547</t>
  </si>
  <si>
    <t>-771.166179476327 -89.2760944989685 757.865214546505</t>
  </si>
  <si>
    <t>-630.21606587384 -77.2981722859803 829.117440257168</t>
  </si>
  <si>
    <t>9763-20170724T104706.584832600.bin</t>
  </si>
  <si>
    <t>-787.838618108125 13.6460896636534 -93.1086275282507</t>
  </si>
  <si>
    <t>-807.956689918694 3.81562917841643 -206.75223035769</t>
  </si>
  <si>
    <t>-815.282387511287 0.300537205069077 -305.040815182227</t>
  </si>
  <si>
    <t>-812.505786587494 0.665956047099598 -607.626131681637</t>
  </si>
  <si>
    <t>-773.025040594521 7.3300662539159 -680.440185741677</t>
  </si>
  <si>
    <t>-818.829856511552 27.2974599806644 -552.634523995181</t>
  </si>
  <si>
    <t>-834.500379747635 162.381515964991 -532.530549044261</t>
  </si>
  <si>
    <t>-766.966473498661 206.025856861601 -249.466035273205</t>
  </si>
  <si>
    <t>-530.251932516006 250.687925792521 -254.19962781067</t>
  </si>
  <si>
    <t>-814.269602462513 103.711938325982 -97.2324232693987</t>
  </si>
  <si>
    <t>-831.205255090629 133.766264719597 304.84291761377</t>
  </si>
  <si>
    <t>-883.739152541752 184.896865294326 746.37396502385</t>
  </si>
  <si>
    <t>-739.104205615929 167.20965681869 808.464220299988</t>
  </si>
  <si>
    <t>-734.04923783615 -82.6875222621492 311.494781723438</t>
  </si>
  <si>
    <t>-771.159015998299 -89.2167642114309 757.842752692858</t>
  </si>
  <si>
    <t>-630.21046416066 -77.3113429703145 829.110196993745</t>
  </si>
  <si>
    <t>9763-20170724T104706.653996700.bin</t>
  </si>
  <si>
    <t>-787.736187658345 14.0408938715757 -93.1071830051404</t>
  </si>
  <si>
    <t>-807.984997916937 4.21612816640572 -206.728029357356</t>
  </si>
  <si>
    <t>-815.384112162242 0.747690059729393 -305.012744122689</t>
  </si>
  <si>
    <t>-812.726797481378 1.3838050775762 -607.596835321338</t>
  </si>
  <si>
    <t>-773.272151869733 8.22750425051822 -680.40849683674</t>
  </si>
  <si>
    <t>-819.093554930271 27.948763011123 -552.57791962272</t>
  </si>
  <si>
    <t>-835.149705982215 162.977828874507 -532.411232435244</t>
  </si>
  <si>
    <t>-767.103597769804 207.047435742865 -249.535421813426</t>
  </si>
  <si>
    <t>-530.458152170772 251.791177023888 -256.451115831434</t>
  </si>
  <si>
    <t>-814.300176627294 104.237341189463 -97.1869393028088</t>
  </si>
  <si>
    <t>-831.182263922361 133.937208886262 304.916992330788</t>
  </si>
  <si>
    <t>-883.832726754647 185.107521315276 746.449822286512</t>
  </si>
  <si>
    <t>-739.220090683602 167.203076716779 808.529665915993</t>
  </si>
  <si>
    <t>-733.78358927798 -82.4958020220281 311.462430725532</t>
  </si>
  <si>
    <t>-771.063417762064 -89.2933890839408 757.785201683752</t>
  </si>
  <si>
    <t>-630.132521487785 -77.3690124228947 829.084376363428</t>
  </si>
  <si>
    <t>9763-20170724T104706.680063600.bin</t>
  </si>
  <si>
    <t>-787.622495700852 14.2472548073029 -93.1118559787801</t>
  </si>
  <si>
    <t>-807.936785039526 4.41656749503113 -206.720434186792</t>
  </si>
  <si>
    <t>-815.375861369384 0.958466014421447 -305.002538743756</t>
  </si>
  <si>
    <t>-812.800413265689 1.68404866508718 -607.58631996707</t>
  </si>
  <si>
    <t>-773.386852097488 8.59736900003054 -680.413640322402</t>
  </si>
  <si>
    <t>-819.197548647647 28.2219634516007 -552.557985192232</t>
  </si>
  <si>
    <t>-835.538706924545 163.22154780188 -532.415196704836</t>
  </si>
  <si>
    <t>-767.184167323297 207.902903123633 -249.709515700276</t>
  </si>
  <si>
    <t>-530.559876614556 252.287755684748 -259.187378281701</t>
  </si>
  <si>
    <t>-814.217672876428 104.396004533707 -97.1638833080593</t>
  </si>
  <si>
    <t>-831.09513324273 134.054953161062 304.943268106571</t>
  </si>
  <si>
    <t>-883.86445924489 185.157094699409 746.479365106371</t>
  </si>
  <si>
    <t>-739.249222562574 167.281725775043 808.561493136931</t>
  </si>
  <si>
    <t>-733.62829854225 -82.3928810420513 311.44013566774</t>
  </si>
  <si>
    <t>-771.050046680258 -89.2515027116043 757.755999712093</t>
  </si>
  <si>
    <t>-630.118888425501 -77.4532654533718 829.075687848262</t>
  </si>
  <si>
    <t>9763-20170724T104706.749237200.bin</t>
  </si>
  <si>
    <t>-787.356410370222 14.3112281537033 -93.0999896949913</t>
  </si>
  <si>
    <t>-807.803577137035 4.44790341973203 -206.681868563049</t>
  </si>
  <si>
    <t>-815.322571528199 0.950323293444171 -304.956429207998</t>
  </si>
  <si>
    <t>-812.910017798155 1.54066634065407 -607.541235855839</t>
  </si>
  <si>
    <t>-773.549224938385 8.57215431880127 -680.385602820435</t>
  </si>
  <si>
    <t>-819.364702791683 28.0909409994777 -552.52548708224</t>
  </si>
  <si>
    <t>-836.281810144394 163.036262155184 -532.500779705276</t>
  </si>
  <si>
    <t>-766.076092870547 209.329713149956 -250.509188778492</t>
  </si>
  <si>
    <t>-529.641300605361 253.180753171803 -265.560485185246</t>
  </si>
  <si>
    <t>-814.100741614259 104.660810557509 -97.1342360744783</t>
  </si>
  <si>
    <t>-830.916738587934 134.088764986942 304.992412466833</t>
  </si>
  <si>
    <t>-883.934683049324 185.266605912657 746.527888135896</t>
  </si>
  <si>
    <t>-739.343797205284 167.252886463328 808.626913145704</t>
  </si>
  <si>
    <t>-733.076557462522 -82.293329974271 311.434554118103</t>
  </si>
  <si>
    <t>-770.904721833316 -89.5000753890525 757.709079622339</t>
  </si>
  <si>
    <t>-630.017832881656 -77.3236436437952 829.052646814372</t>
  </si>
  <si>
    <t>9763-20170724T104706.783327600.bin</t>
  </si>
  <si>
    <t>-787.113804827846 14.3647342663674 -93.0846649083072</t>
  </si>
  <si>
    <t>-807.594907060955 4.48293833360322 -206.658859096934</t>
  </si>
  <si>
    <t>-815.116483716849 0.970527033070994 -304.932600905977</t>
  </si>
  <si>
    <t>-812.639626451692 1.51683852245287 -607.516013766926</t>
  </si>
  <si>
    <t>-773.271965810692 8.6216218570471 -680.349703169716</t>
  </si>
  <si>
    <t>-819.141472338391 28.0700129177508 -552.50736272604</t>
  </si>
  <si>
    <t>-836.321198834241 162.987609173731 -532.556251690632</t>
  </si>
  <si>
    <t>-765.133831686849 210.427917770797 -251.001566802972</t>
  </si>
  <si>
    <t>-528.792297301893 253.915575560359 -268.389910728905</t>
  </si>
  <si>
    <t>-813.929145940792 104.701400806522 -97.1071954975687</t>
  </si>
  <si>
    <t>-830.800421188861 134.097902681674 305.019586625639</t>
  </si>
  <si>
    <t>-883.95863261092 185.242859815849 746.551816566127</t>
  </si>
  <si>
    <t>-739.364314373249 167.261840428655 808.652168437699</t>
  </si>
  <si>
    <t>-732.828355931476 -82.2215520283236 311.44239516639</t>
  </si>
  <si>
    <t>-770.944756219226 -89.3468979135408 757.69254319939</t>
  </si>
  <si>
    <t>-630.050501246256 -77.3147096616777 829.046138179</t>
  </si>
  <si>
    <t>9763-20170724T104706.849067100.bin</t>
  </si>
  <si>
    <t>-786.67286466905 14.5593508670934 -93.0659698629537</t>
  </si>
  <si>
    <t>-807.170397821198 4.65271104863973 -206.634951442202</t>
  </si>
  <si>
    <t>-814.666297979338 1.1152443268054 -304.90983406172</t>
  </si>
  <si>
    <t>-812.002928838678 1.57069714301883 -607.4907039044</t>
  </si>
  <si>
    <t>-772.605752048539 8.7827029818518 -680.297863466341</t>
  </si>
  <si>
    <t>-818.58472281699 28.1351241360389 -552.497005885441</t>
  </si>
  <si>
    <t>-836.140611770996 163.025305539923 -532.628238116116</t>
  </si>
  <si>
    <t>-764.067102930303 211.899908225462 -251.544806404871</t>
  </si>
  <si>
    <t>-527.884993794821 255.115299685768 -271.577395753084</t>
  </si>
  <si>
    <t>-813.574525469872 104.937457247288 -97.0732392105065</t>
  </si>
  <si>
    <t>-830.651456351416 134.194325243835 305.054913124105</t>
  </si>
  <si>
    <t>-884.025203401727 185.373500358286 746.573854821622</t>
  </si>
  <si>
    <t>-739.435206156181 167.381372608796 808.68095555215</t>
  </si>
  <si>
    <t>-732.401958940426 -82.2045239978197 311.469293696904</t>
  </si>
  <si>
    <t>-770.881668935498 -89.4281684321202 757.669093073159</t>
  </si>
  <si>
    <t>-629.987120376747 -77.4974329471339 829.039006769003</t>
  </si>
  <si>
    <t>9763-20170724T104706.882155600.bin</t>
  </si>
  <si>
    <t>-786.539695667164 14.6890002771031 -93.066457276772</t>
  </si>
  <si>
    <t>-806.99013425269 4.80003928669885 -206.645457811489</t>
  </si>
  <si>
    <t>-814.435744237619 1.26434366425519 -304.924340191656</t>
  </si>
  <si>
    <t>-811.594803227567 1.68868431984856 -607.503446630847</t>
  </si>
  <si>
    <t>-772.155278756623 8.94137107730808 -680.283511196299</t>
  </si>
  <si>
    <t>-818.222395297662 28.2593714037821 -552.518197809518</t>
  </si>
  <si>
    <t>-835.900943968882 163.126045000153 -532.611459034006</t>
  </si>
  <si>
    <t>-763.737648180649 212.063583153328 -251.562024573145</t>
  </si>
  <si>
    <t>-527.604395801837 255.518675911476 -271.652029368161</t>
  </si>
  <si>
    <t>-813.474497022525 105.128395431438 -97.065084490242</t>
  </si>
  <si>
    <t>-830.600207117305 134.272259875356 305.069302603957</t>
  </si>
  <si>
    <t>-884.061801493793 185.444678954648 746.584690143948</t>
  </si>
  <si>
    <t>-739.474351607851 167.448078813184 808.696620496052</t>
  </si>
  <si>
    <t>-732.332311096422 -82.0733910989231 311.473433277781</t>
  </si>
  <si>
    <t>-770.91226787263 -89.3436364038897 757.676292436485</t>
  </si>
  <si>
    <t>-630.007917708409 -77.4602060018259 829.034813709081</t>
  </si>
  <si>
    <t>9763-20170724T104706.948700500.bin</t>
  </si>
  <si>
    <t>-786.266913685732 14.7543561684599 -93.0383031945028</t>
  </si>
  <si>
    <t>-806.577097954404 4.92223392407345 -206.647478538615</t>
  </si>
  <si>
    <t>-813.878853707295 1.44374599194543 -304.939137528575</t>
  </si>
  <si>
    <t>-816.000376705877 0.164899743666183 -483.063964051932</t>
  </si>
  <si>
    <t>-810.533040603419 2.0647416209938 -607.511973660107</t>
  </si>
  <si>
    <t>-770.986503295969 9.39781567601312 -680.226019610452</t>
  </si>
  <si>
    <t>-817.248878384986 28.5996245746896 -552.52007927148</t>
  </si>
  <si>
    <t>-834.961774991601 163.432487031615 -532.413992317708</t>
  </si>
  <si>
    <t>-763.953060012003 211.113168885748 -250.854900943829</t>
  </si>
  <si>
    <t>-527.823293852786 255.640011645043 -268.489204004148</t>
  </si>
  <si>
    <t>-813.130015241174 105.24040747971 -97.0370925934916</t>
  </si>
  <si>
    <t>-830.617092041662 134.401578198084 305.080419949208</t>
  </si>
  <si>
    <t>-884.117598650589 185.487963475316 746.603673612118</t>
  </si>
  <si>
    <t>-739.534977807258 167.459384573519 808.717653005493</t>
  </si>
  <si>
    <t>-732.228072337643 -82.0509871205469 311.497101290775</t>
  </si>
  <si>
    <t>-770.861065539183 -89.4383537828924 757.682481711517</t>
  </si>
  <si>
    <t>-629.97738483707 -77.1999234673327 829.021930864101</t>
  </si>
  <si>
    <t>9763-20170724T104706.980786200.bin</t>
  </si>
  <si>
    <t>-786.149145390863 14.8338482672373 -93.0389829173076</t>
  </si>
  <si>
    <t>-806.377748865539 5.0452999594113 -206.666490009355</t>
  </si>
  <si>
    <t>-813.585167042958 1.62796706095151 -304.967214658015</t>
  </si>
  <si>
    <t>-816.527326235581 0.224913121965074 -394.0044420774</t>
  </si>
  <si>
    <t>-815.503814199908 0.48363822687088 -483.094960982572</t>
  </si>
  <si>
    <t>-809.875359571234 2.48914733371021 -607.534196860732</t>
  </si>
  <si>
    <t>-770.260343533273 9.84869589535742 -680.208151979741</t>
  </si>
  <si>
    <t>-816.639226092469 28.9808482724445 -552.527229763512</t>
  </si>
  <si>
    <t>-834.236472788682 163.80780093881 -532.234681387689</t>
  </si>
  <si>
    <t>-764.133840110964 210.24209783441 -250.2406053468</t>
  </si>
  <si>
    <t>-527.996238605117 255.533431701743 -265.687742102875</t>
  </si>
  <si>
    <t>-813.035259286808 105.435720090648 -97.03374767502</t>
  </si>
  <si>
    <t>-830.640218156383 134.503623997113 305.085395742982</t>
  </si>
  <si>
    <t>-884.163820476079 185.615039194455 746.615565355439</t>
  </si>
  <si>
    <t>-739.615146925999 167.335895125697 808.735335808311</t>
  </si>
  <si>
    <t>-732.177740135043 -82.0445942277776 311.489932704364</t>
  </si>
  <si>
    <t>-770.789065247498 -89.6086301569196 757.686222653576</t>
  </si>
  <si>
    <t>-629.899005683321 -77.439464226198 829.024875639808</t>
  </si>
  <si>
    <t>9763-20170724T104707.051982800.bin</t>
  </si>
  <si>
    <t>-785.979913542344 15.1323072836815 -93.0262188447322</t>
  </si>
  <si>
    <t>-806.077705480154 5.41983784521722 -206.683429580109</t>
  </si>
  <si>
    <t>-813.098000778862 2.1859888187289 -305.003969055833</t>
  </si>
  <si>
    <t>-815.837280439731 0.99166752741894 -394.050571047048</t>
  </si>
  <si>
    <t>-814.575272742924 1.49824602360695 -483.137024875268</t>
  </si>
  <si>
    <t>-808.574608804997 3.88848061580279 -607.552107646222</t>
  </si>
  <si>
    <t>-768.796204489635 11.3235018406197 -680.129027338978</t>
  </si>
  <si>
    <t>-815.442933441524 30.2193531439534 -552.480872289242</t>
  </si>
  <si>
    <t>-832.602598996717 165.006963785974 -531.610075036913</t>
  </si>
  <si>
    <t>-764.499743363916 209.105228675508 -248.752219561081</t>
  </si>
  <si>
    <t>-528.330429846611 255.665026726419 -259.10226537125</t>
  </si>
  <si>
    <t>-812.944655218934 105.685157966061 -96.9936417466517</t>
  </si>
  <si>
    <t>-830.725239794834 134.667509104365 305.123952508159</t>
  </si>
  <si>
    <t>-884.223414159149 185.707748902869 746.659468947297</t>
  </si>
  <si>
    <t>-739.667295441315 167.50639781545 808.784628653904</t>
  </si>
  <si>
    <t>-732.028715721378 -81.9854118372485 311.4647702035</t>
  </si>
  <si>
    <t>-770.791185698966 -89.5088914162449 757.658631495295</t>
  </si>
  <si>
    <t>-629.86931779646 -77.8979402381062 829.027447814596</t>
  </si>
  <si>
    <t>9763-20170724T104707.081059300.bin</t>
  </si>
  <si>
    <t>-785.870928199671 15.3055927216719 -93.0140363610176</t>
  </si>
  <si>
    <t>-805.901775132315 5.62497425919673 -206.685787811844</t>
  </si>
  <si>
    <t>-812.841861550025 2.48174544454287 -305.01488547773</t>
  </si>
  <si>
    <t>-815.49737683323 1.39238399695614 -394.065388350362</t>
  </si>
  <si>
    <t>-814.139129932644 2.02533512870241 -483.149737368803</t>
  </si>
  <si>
    <t>-807.990379921503 4.61277352472712 -607.553549292764</t>
  </si>
  <si>
    <t>-768.121154283288 12.0975499040305 -680.075599278773</t>
  </si>
  <si>
    <t>-814.889576701844 30.8615644141921 -552.447219928929</t>
  </si>
  <si>
    <t>-831.788388770623 165.635840986089 -531.261431958901</t>
  </si>
  <si>
    <t>-764.489772083972 208.232450174473 -247.981313579222</t>
  </si>
  <si>
    <t>-528.357717121044 255.517241405656 -255.507288583602</t>
  </si>
  <si>
    <t>-812.851322335007 105.75462111626 -96.96921420911</t>
  </si>
  <si>
    <t>-830.782554465197 134.72814722193 305.142252273194</t>
  </si>
  <si>
    <t>-884.225161833203 185.620317174712 746.683061392275</t>
  </si>
  <si>
    <t>-739.64038737258 167.670553481667 808.814915008861</t>
  </si>
  <si>
    <t>-731.828479737143 -82.0871558785344 311.462273247464</t>
  </si>
  <si>
    <t>-770.727471173388 -89.6254179054217 757.639662653535</t>
  </si>
  <si>
    <t>-629.829896525782 -77.7925515890913 829.01985122417</t>
  </si>
  <si>
    <t>9763-20170724T104707.150276600.bin</t>
  </si>
  <si>
    <t>-785.598311689232 15.7275773731981 -92.9515137333951</t>
  </si>
  <si>
    <t>-805.557295861068 6.10087749385571 -206.640532446364</t>
  </si>
  <si>
    <t>-812.397785241549 3.10828348733571 -304.981308310685</t>
  </si>
  <si>
    <t>-814.944937946331 2.19422461789145 -394.037066996669</t>
  </si>
  <si>
    <t>-813.458240959044 3.03885332889945 -483.11738760672</t>
  </si>
  <si>
    <t>-807.107744281155 5.95809250631601 -607.50372667938</t>
  </si>
  <si>
    <t>-767.088640638465 13.6123469107683 -679.92555460755</t>
  </si>
  <si>
    <t>-814.044061852531 32.067812829164 -552.335890964689</t>
  </si>
  <si>
    <t>-830.535094372765 166.797432096937 -530.630673967953</t>
  </si>
  <si>
    <t>-764.01696451406 206.954130581709 -246.810427738308</t>
  </si>
  <si>
    <t>-528.044396348987 255.552319491127 -249.265006138786</t>
  </si>
  <si>
    <t>-812.682670052289 106.091090142328 -96.8973057536724</t>
  </si>
  <si>
    <t>-830.727531834672 134.783407454748 305.229333588852</t>
  </si>
  <si>
    <t>-884.267744352711 185.625473843525 746.759671766686</t>
  </si>
  <si>
    <t>-739.688765995226 167.666439662736 808.902286170806</t>
  </si>
  <si>
    <t>-731.626732218535 -82.1593916925217 311.463890360072</t>
  </si>
  <si>
    <t>-770.715817979213 -89.5628913530444 757.609192113957</t>
  </si>
  <si>
    <t>-629.829529426125 -77.7672036477366 829.017927150033</t>
  </si>
  <si>
    <t>9763-20170724T104707.183335200.bin</t>
  </si>
  <si>
    <t>-785.484371860253 15.9795215443735 -92.9304893912736</t>
  </si>
  <si>
    <t>-805.416900057266 6.3960862713152 -206.627842146392</t>
  </si>
  <si>
    <t>-812.202088048291 3.4812029174409 -304.974768908941</t>
  </si>
  <si>
    <t>-814.685690952741 2.65419609064884 -394.033040597624</t>
  </si>
  <si>
    <t>-813.121530638182 3.60185747679998 -483.1111301727</t>
  </si>
  <si>
    <t>-806.648062305672 6.68210345777493 -607.487247356303</t>
  </si>
  <si>
    <t>-766.557412422899 14.4521057607278 -679.857097985617</t>
  </si>
  <si>
    <t>-813.63148080813 32.7215709874126 -552.292225466565</t>
  </si>
  <si>
    <t>-830.057234080009 167.44871839576 -530.495760558487</t>
  </si>
  <si>
    <t>-764.226062086752 207.202315582911 -246.458520168141</t>
  </si>
  <si>
    <t>-528.252204561817 255.824759291656 -248.212415882887</t>
  </si>
  <si>
    <t>-812.526459455458 106.302519073835 -96.8533106080495</t>
  </si>
  <si>
    <t>-830.629754387626 134.822498026516 305.282937675206</t>
  </si>
  <si>
    <t>-884.301792919231 185.705483555432 746.793401562802</t>
  </si>
  <si>
    <t>-739.721822676015 167.7520247654 808.935054841009</t>
  </si>
  <si>
    <t>-731.565710890672 -82.1873077961945 311.46017926584</t>
  </si>
  <si>
    <t>-770.672530182274 -89.623075041054 757.59127975316</t>
  </si>
  <si>
    <t>-629.799216284535 -77.7959774275332 829.02049889483</t>
  </si>
  <si>
    <t>9763-20170724T104707.251529600.bin</t>
  </si>
  <si>
    <t>-785.257105566731 16.5265190888097 -92.9572211179594</t>
  </si>
  <si>
    <t>-805.187076006969 7.0134670431928 -206.660963250824</t>
  </si>
  <si>
    <t>-811.899721823985 4.16581824060063 -305.014754146083</t>
  </si>
  <si>
    <t>-814.291668609823 3.40565814243359 -394.076272047921</t>
  </si>
  <si>
    <t>-812.610976768483 4.42865257631638 -483.151353344834</t>
  </si>
  <si>
    <t>-805.949659943139 7.62491678176457 -607.514629710528</t>
  </si>
  <si>
    <t>-765.741359149796 15.5294389741807 -679.804515753117</t>
  </si>
  <si>
    <t>-813.0678239094 33.6050001340261 -552.308929078476</t>
  </si>
  <si>
    <t>-829.926673206939 168.311490450523 -530.6891395804</t>
  </si>
  <si>
    <t>-764.990418163151 208.535931941793 -246.512263204672</t>
  </si>
  <si>
    <t>-528.906259084471 256.290682348502 -252.397492072616</t>
  </si>
  <si>
    <t>-812.27395497115 106.911909978421 -96.8228840643402</t>
  </si>
  <si>
    <t>-830.214035286962 135.009646083098 305.350346982499</t>
  </si>
  <si>
    <t>-884.360662307208 185.815853909202 746.855412610499</t>
  </si>
  <si>
    <t>-739.827982277817 167.537328843719 809.012346789635</t>
  </si>
  <si>
    <t>-731.319753201544 -82.1560210186882 311.42229181444</t>
  </si>
  <si>
    <t>-770.565042434071 -89.7644965505064 757.532558409281</t>
  </si>
  <si>
    <t>-629.72959686273 -77.8576652037541 829.023073408218</t>
  </si>
  <si>
    <t>9763-20170724T104707.282607900.bin</t>
  </si>
  <si>
    <t>-785.110683839295 16.6934619997321 -92.9558442308224</t>
  </si>
  <si>
    <t>-805.059877189837 7.17439407956203 -206.655652187211</t>
  </si>
  <si>
    <t>-811.759420767131 4.28059080596699 -305.009018537026</t>
  </si>
  <si>
    <t>-814.129557919305 3.46445176865677 -394.07066503904</t>
  </si>
  <si>
    <t>-812.418625999909 4.41897522598879 -483.145864558554</t>
  </si>
  <si>
    <t>-805.706812560152 7.50780078586217 -607.509137854808</t>
  </si>
  <si>
    <t>-765.424040901397 15.4407497673144 -679.754547221594</t>
  </si>
  <si>
    <t>-812.903441611344 33.5271032594831 -552.331953810869</t>
  </si>
  <si>
    <t>-830.211717847223 168.227474281788 -530.973906428886</t>
  </si>
  <si>
    <t>-764.608597788846 209.474345774324 -247.096862749399</t>
  </si>
  <si>
    <t>-528.598938399842 257.130374659397 -255.996907927734</t>
  </si>
  <si>
    <t>-812.157713943596 107.095901477936 -96.8118273766312</t>
  </si>
  <si>
    <t>-830.059494094793 135.122378072695 305.368097299091</t>
  </si>
  <si>
    <t>-884.378961406131 185.863173386253 746.868367326288</t>
  </si>
  <si>
    <t>-739.844706897882 167.639894193513 809.0379410125</t>
  </si>
  <si>
    <t>-731.14593653897 -82.106117809045 311.418115601346</t>
  </si>
  <si>
    <t>-770.561608408801 -89.714969254865 757.508457831828</t>
  </si>
  <si>
    <t>-629.738137431971 -77.8452719571895 829.028785077723</t>
  </si>
  <si>
    <t>9763-20170724T104707.347808600.bin</t>
  </si>
  <si>
    <t>-784.806044141148 16.7679665699895 -92.9336695596485</t>
  </si>
  <si>
    <t>-804.73018556866 7.12230739920733 -206.627169451694</t>
  </si>
  <si>
    <t>-811.340777724709 4.07524632325999 -304.981979703213</t>
  </si>
  <si>
    <t>-813.605036013517 3.10248929964064 -394.044724296109</t>
  </si>
  <si>
    <t>-811.764261991105 3.88534187341224 -483.119048143892</t>
  </si>
  <si>
    <t>-804.847486257478 6.71937346282425 -607.47727637093</t>
  </si>
  <si>
    <t>-764.41367454753 14.7570698314901 -679.626544400244</t>
  </si>
  <si>
    <t>-812.260483478103 32.8319975386646 -552.372761652363</t>
  </si>
  <si>
    <t>-830.494529739447 167.48657158946 -531.571749106328</t>
  </si>
  <si>
    <t>-763.562432991301 212.773348647295 -248.622214320606</t>
  </si>
  <si>
    <t>-527.821131494966 260.10216449697 -264.013729115757</t>
  </si>
  <si>
    <t>-812.037270728266 107.149367842645 -96.835362914118</t>
  </si>
  <si>
    <t>-830.039726580426 135.255753557012 305.334460561562</t>
  </si>
  <si>
    <t>-884.40629509384 185.867924100924 746.852414184646</t>
  </si>
  <si>
    <t>-739.8749719107 167.690393973097 809.042190984862</t>
  </si>
  <si>
    <t>-730.911487694668 -82.0674938696307 311.481678271389</t>
  </si>
  <si>
    <t>-770.550290255481 -89.7247873119341 757.519848147451</t>
  </si>
  <si>
    <t>-629.711963870196 -78.112126451245 829.053097823871</t>
  </si>
  <si>
    <t>9763-20170724T104707.381875600.bin</t>
  </si>
  <si>
    <t>-784.701869736123 16.6407669710829 -92.9512487203792</t>
  </si>
  <si>
    <t>-804.563963958103 6.94322726463997 -206.651209419981</t>
  </si>
  <si>
    <t>-811.092815210789 3.84069013244084 -305.009720869224</t>
  </si>
  <si>
    <t>-813.272140983675 2.81269398750374 -394.074084705943</t>
  </si>
  <si>
    <t>-811.336083329644 3.5361633775351 -483.146867253036</t>
  </si>
  <si>
    <t>-804.275470996388 6.28327834866514 -607.498836074095</t>
  </si>
  <si>
    <t>-763.771684113394 14.3691523352938 -679.603463773658</t>
  </si>
  <si>
    <t>-811.822052533414 32.4232555634567 -552.425631693726</t>
  </si>
  <si>
    <t>-830.561784051837 167.058205666887 -531.901782048296</t>
  </si>
  <si>
    <t>-763.409341683245 213.984548853172 -249.271825191379</t>
  </si>
  <si>
    <t>-527.830382137317 261.07798879853 -267.59208871981</t>
  </si>
  <si>
    <t>-812.08482727946 107.066141230315 -96.8778539030927</t>
  </si>
  <si>
    <t>-830.119182973868 135.224413601898 305.28699140857</t>
  </si>
  <si>
    <t>-884.420313465754 185.86930939302 746.824165267252</t>
  </si>
  <si>
    <t>-739.877455742437 167.788816993023 809.015435003008</t>
  </si>
  <si>
    <t>-730.848903411514 -82.1545235253574 311.510695123168</t>
  </si>
  <si>
    <t>-770.460606983905 -89.9887105228869 757.540247429263</t>
  </si>
  <si>
    <t>-629.636432604415 -78.0906059557506 829.05427064252</t>
  </si>
  <si>
    <t>9763-20170724T104707.450962200.bin</t>
  </si>
  <si>
    <t>-785.050873257484 16.3008231275223 -93.0913009353604</t>
  </si>
  <si>
    <t>-804.541298201241 6.50324000216187 -206.846891248068</t>
  </si>
  <si>
    <t>-810.742398891676 3.2866770079047 -305.222990716241</t>
  </si>
  <si>
    <t>-812.623145409978 2.14306454383564 -394.292643760883</t>
  </si>
  <si>
    <t>-810.387401524457 2.74067777415689 -483.359385733842</t>
  </si>
  <si>
    <t>-802.908092492666 5.30292457906967 -607.690804344832</t>
  </si>
  <si>
    <t>-762.157559026892 13.4726759132795 -679.647021744022</t>
  </si>
  <si>
    <t>-810.787844957473 31.5005057858584 -552.691669386422</t>
  </si>
  <si>
    <t>-830.34468541308 166.072923012441 -532.522367651573</t>
  </si>
  <si>
    <t>-763.005182765641 214.428895821181 -250.178087695717</t>
  </si>
  <si>
    <t>-527.652560036664 261.864100208399 -270.423994200403</t>
  </si>
  <si>
    <t>-812.618994004038 106.772905334161 -97.0803868439508</t>
  </si>
  <si>
    <t>-830.238393519985 134.973899479952 305.099827770391</t>
  </si>
  <si>
    <t>-884.359061210445 185.777998357443 746.632643462972</t>
  </si>
  <si>
    <t>-739.864292014838 167.83790421124 808.976141087275</t>
  </si>
  <si>
    <t>-730.931020141061 -82.1390325370224 311.563341681834</t>
  </si>
  <si>
    <t>-770.552090351082 -89.8914710692151 757.597411042179</t>
  </si>
  <si>
    <t>-629.717867206691 -77.8976568774029 829.075887548065</t>
  </si>
  <si>
    <t>9763-20170724T104707.484050700.bin</t>
  </si>
  <si>
    <t>-785.794201373556 16.2248435070978 -93.245277942229</t>
  </si>
  <si>
    <t>-804.796743418774 6.34531358347999 -207.076395264559</t>
  </si>
  <si>
    <t>-810.609914172552 3.10616611774117 -305.475395303649</t>
  </si>
  <si>
    <t>-812.151258568931 1.95972570908316 -394.551585073755</t>
  </si>
  <si>
    <t>-809.587741909682 2.57270554649426 -483.609262394738</t>
  </si>
  <si>
    <t>-801.66235320598 5.17509985757692 -607.912285558235</t>
  </si>
  <si>
    <t>-760.717731929461 13.4703953300316 -679.743828220263</t>
  </si>
  <si>
    <t>-809.817910458119 31.3416468149323 -552.938554761761</t>
  </si>
  <si>
    <t>-829.717332323767 165.865495128493 -532.808145882383</t>
  </si>
  <si>
    <t>-763.237682327853 213.792557040351 -250.187051519896</t>
  </si>
  <si>
    <t>-527.923548861271 262.062863337598 -268.84470664915</t>
  </si>
  <si>
    <t>-813.452260139413 106.5889451695 -97.2678663926239</t>
  </si>
  <si>
    <t>-830.067220467236 134.742565889161 304.958374684454</t>
  </si>
  <si>
    <t>-884.292095501978 185.709924097798 746.505126042373</t>
  </si>
  <si>
    <t>-739.841786320632 167.840794144214 808.971748515589</t>
  </si>
  <si>
    <t>-730.86441078245 -82.1024619966835 311.612598225854</t>
  </si>
  <si>
    <t>-770.664261438117 -90.0108152548041 757.729876809739</t>
  </si>
  <si>
    <t>-629.771277592513 -78.2238505704781 829.126907270565</t>
  </si>
  <si>
    <t>9763-20170724T104707.516135400.bin</t>
  </si>
  <si>
    <t>-786.957758545876 16.6237435803848 -93.3253599837474</t>
  </si>
  <si>
    <t>-805.160963851696 6.65807849377347 -207.279500476167</t>
  </si>
  <si>
    <t>-810.344501946352 3.44451451225063 -305.714565918304</t>
  </si>
  <si>
    <t>-811.337299612319 2.3578605942771 -394.799164675557</t>
  </si>
  <si>
    <t>-808.245714088425 3.06902410998555 -483.839570390681</t>
  </si>
  <si>
    <t>-799.603424048912 5.84791507205091 -608.090946428779</t>
  </si>
  <si>
    <t>-758.405662919766 14.3828145011864 -679.74939124501</t>
  </si>
  <si>
    <t>-808.17960005078 31.9185214300774 -553.135608584605</t>
  </si>
  <si>
    <t>-828.517254673976 166.362523480482 -532.989037173025</t>
  </si>
  <si>
    <t>-763.830416671412 213.267129599826 -249.781104896335</t>
  </si>
  <si>
    <t>-528.528623967234 262.665666858936 -265.392893087985</t>
  </si>
  <si>
    <t>-814.615914621712 106.734299682571 -97.4748717998428</t>
  </si>
  <si>
    <t>-829.439236201772 134.779762236492 304.828920251054</t>
  </si>
  <si>
    <t>-884.209763068153 185.822498557723 746.331310950359</t>
  </si>
  <si>
    <t>-739.85948186925 167.8433551851 808.997420185758</t>
  </si>
  <si>
    <t>-730.133846115537 -82.1494700482677 311.761837482149</t>
  </si>
  <si>
    <t>-770.704131481831 -90.6078207606932 758.000943177189</t>
  </si>
  <si>
    <t>-629.72265946401 -78.6149409740426 829.188652976265</t>
  </si>
  <si>
    <t>9763-20170724T104707.579960100.bin</t>
  </si>
  <si>
    <t>-788.806341623462 18.2840730958558 -92.6354719898294</t>
  </si>
  <si>
    <t>-805.42416323853 8.2558096056141 -206.826081296125</t>
  </si>
  <si>
    <t>-809.006348253996 5.25200855503908 -305.339083761352</t>
  </si>
  <si>
    <t>-808.450090184696 4.44932125972582 -394.430494184213</t>
  </si>
  <si>
    <t>-803.709134333514 5.53907719024664 -483.394334583917</t>
  </si>
  <si>
    <t>-792.657237129517 8.94260708255229 -607.439093282578</t>
  </si>
  <si>
    <t>-750.657979721257 18.172822288818 -678.543953061124</t>
  </si>
  <si>
    <t>-802.60282604266 34.6823276760499 -552.558560944173</t>
  </si>
  <si>
    <t>-824.230411988312 168.937983302445 -532.524574761051</t>
  </si>
  <si>
    <t>-764.908500874928 213.375545313766 -247.748540860477</t>
  </si>
  <si>
    <t>-529.464267448477 263.83283746471 -256.168902341373</t>
  </si>
  <si>
    <t>-816.714639275359 107.365750332991 -97.1243894757166</t>
  </si>
  <si>
    <t>-825.935102871273 135.592749547947 305.334190472004</t>
  </si>
  <si>
    <t>-884.11697363305 186.067747630408 746.215661796842</t>
  </si>
  <si>
    <t>-739.905595872097 168.151052358109 809.218578367506</t>
  </si>
  <si>
    <t>-727.701806273282 -82.246836618875 312.36870119277</t>
  </si>
  <si>
    <t>-770.601260546071 -92.1345619636953 758.555164925391</t>
  </si>
  <si>
    <t>-629.50008662926 -79.1566595752959 829.331830896733</t>
  </si>
  <si>
    <t>9763-20170724T104707.648143300.bin</t>
  </si>
  <si>
    <t>-790.340979641837 23.4394563240896 -91.2855746157858</t>
  </si>
  <si>
    <t>-805.591133746675 13.927194325566 -205.710983955602</t>
  </si>
  <si>
    <t>-807.506245241104 11.3294254597456 -304.282009208648</t>
  </si>
  <si>
    <t>-805.249794736092 10.8722988921309 -393.34901769578</t>
  </si>
  <si>
    <t>-798.622149623691 12.2868761166458 -482.187802374137</t>
  </si>
  <si>
    <t>-784.744117561174 16.1208565158613 -605.935446944251</t>
  </si>
  <si>
    <t>-741.398856084604 25.917751507139 -676.15121483574</t>
  </si>
  <si>
    <t>-796.228967296837 41.614947162602 -551.241083320032</t>
  </si>
  <si>
    <t>-819.281003931938 175.719858637797 -531.644445016026</t>
  </si>
  <si>
    <t>-765.155674696033 218.941451670352 -245.648661887585</t>
  </si>
  <si>
    <t>-529.381736765821 268.450522138753 -248.86836205685</t>
  </si>
  <si>
    <t>-818.517735350559 112.274551438182 -96.0424910958668</t>
  </si>
  <si>
    <t>-822.631495029939 137.592228579764 306.694091394022</t>
  </si>
  <si>
    <t>-884.279216148592 186.143146057676 746.817910718134</t>
  </si>
  <si>
    <t>-740.066464950984 168.279114946343 809.832639578183</t>
  </si>
  <si>
    <t>-725.575780803946 -79.5960383416632 313.079226353207</t>
  </si>
  <si>
    <t>-770.562945235996 -92.4987081769602 758.868084604036</t>
  </si>
  <si>
    <t>-629.356654203524 -79.9971727983855 829.52074531391</t>
  </si>
  <si>
    <t>9763-20170724T104707.681231500.bin</t>
  </si>
  <si>
    <t>-790.923980249585 27.2862182562769 -90.7431958556415</t>
  </si>
  <si>
    <t>-805.67279076488 18.0873089628547 -205.259873021643</t>
  </si>
  <si>
    <t>-806.90390862468 15.6826690009577 -303.846684389311</t>
  </si>
  <si>
    <t>-803.93178568561 15.369279706792 -392.893336726263</t>
  </si>
  <si>
    <t>-796.495002475459 16.8975613528899 -481.666158631649</t>
  </si>
  <si>
    <t>-781.392086541306 20.8587099193239 -605.266417543447</t>
  </si>
  <si>
    <t>-737.293243654765 30.8340127302054 -674.985905427967</t>
  </si>
  <si>
    <t>-793.506762620261 46.2788248368026 -550.673720364591</t>
  </si>
  <si>
    <t>-817.115681666462 180.342647914586 -531.420353460098</t>
  </si>
  <si>
    <t>-765.591627388636 223.305157505921 -244.905581175614</t>
  </si>
  <si>
    <t>-529.5872320197 271.789089923282 -246.359651469985</t>
  </si>
  <si>
    <t>-819.207882043285 116.023634649674 -95.5495762600145</t>
  </si>
  <si>
    <t>-821.482338361254 139.466678006688 307.31505665827</t>
  </si>
  <si>
    <t>-884.387704336542 186.336007886591 747.29345408346</t>
  </si>
  <si>
    <t>-740.148595059478 168.40206372915 810.228149640137</t>
  </si>
  <si>
    <t>-724.898716648341 -77.4294756298848 313.228773709939</t>
  </si>
  <si>
    <t>-770.520105411082 -92.4052015955568 758.868924947379</t>
  </si>
  <si>
    <t>-629.290611542234 -80.4938153756915 829.577122327975</t>
  </si>
  <si>
    <t>9763-20170724T104707.747952700.bin</t>
  </si>
  <si>
    <t>-792.226201496835 35.8015028688646 -90.1857396098045</t>
  </si>
  <si>
    <t>-806.089573646994 27.2988688878224 -204.866731358679</t>
  </si>
  <si>
    <t>-806.174082515295 25.2224968501739 -303.468632919088</t>
  </si>
  <si>
    <t>-802.021514584862 25.1028527578194 -392.468527179231</t>
  </si>
  <si>
    <t>-793.268213817581 26.7224903412734 -481.119505499101</t>
  </si>
  <si>
    <t>-776.190197401427 30.7059186372935 -604.461755529128</t>
  </si>
  <si>
    <t>-730.652556166136 40.796864572548 -673.233311464031</t>
  </si>
  <si>
    <t>-789.197534851725 56.1120352110236 -550.068325027437</t>
  </si>
  <si>
    <t>-813.441187484306 190.135345387468 -531.407582989398</t>
  </si>
  <si>
    <t>-767.625633330847 233.673858152701 -244.011581365231</t>
  </si>
  <si>
    <t>-530.900685094604 278.490689765209 -242.104615508484</t>
  </si>
  <si>
    <t>-778.21319246427 1.79395488058731 -550.301625890857</t>
  </si>
  <si>
    <t>-820.513217723283 125.072566790795 -94.8652634563125</t>
  </si>
  <si>
    <t>-820.643531631114 144.734287334994 308.20809394031</t>
  </si>
  <si>
    <t>-884.520167192018 186.727035141066 748.343594042218</t>
  </si>
  <si>
    <t>-740.246632051191 168.612814031641 811.147439628132</t>
  </si>
  <si>
    <t>-724.477012132494 -72.3461310102408 313.193857722766</t>
  </si>
  <si>
    <t>-770.27510044166 -92.371357162299 758.64244463848</t>
  </si>
  <si>
    <t>-629.145659739955 -80.9345403446483 829.628139904535</t>
  </si>
  <si>
    <t>9763-20170724T104707.781065200.bin</t>
  </si>
  <si>
    <t>-792.551903750961 40.0069772364852 -90.1773238508903</t>
  </si>
  <si>
    <t>-805.909155827998 32.1016370526536 -204.961080478588</t>
  </si>
  <si>
    <t>-805.402525332304 30.3007778019696 -303.567149369079</t>
  </si>
  <si>
    <t>-800.660192102162 30.3394141173944 -392.537633574078</t>
  </si>
  <si>
    <t>-791.266110377378 32.0266992461984 -481.121751013013</t>
  </si>
  <si>
    <t>-773.243505381545 36.0103015452576 -604.329379007793</t>
  </si>
  <si>
    <t>-727.051428631385 46.075988402413 -672.666839283714</t>
  </si>
  <si>
    <t>-786.586558392755 61.4325382410011 -550.024922031266</t>
  </si>
  <si>
    <t>-810.721934871793 195.500268057488 -531.514076847615</t>
  </si>
  <si>
    <t>-768.417487431005 239.032625298947 -243.579211333189</t>
  </si>
  <si>
    <t>-531.306800463711 281.729578193027 -241.051902184661</t>
  </si>
  <si>
    <t>-775.762121065231 7.08204497269867 -550.198817521083</t>
  </si>
  <si>
    <t>-819.995422549892 129.299857339553 -94.5430363887784</t>
  </si>
  <si>
    <t>-819.664864219072 147.344106556994 308.605813298374</t>
  </si>
  <si>
    <t>-884.469309517715 186.717469532899 748.881747554615</t>
  </si>
  <si>
    <t>-740.136839365674 169.003545477107 811.664307903375</t>
  </si>
  <si>
    <t>-723.895895073871 -70.0033815923146 312.914456002823</t>
  </si>
  <si>
    <t>-769.955171252299 -92.3339218963962 758.27143685117</t>
  </si>
  <si>
    <t>-628.994496169347 -81.2604175815593 829.649054522379</t>
  </si>
  <si>
    <t>9763-20170724T104707.847280700.bin</t>
  </si>
  <si>
    <t>-792.193851027927 48.4244269989356 -90.0808904148895</t>
  </si>
  <si>
    <t>-804.573124223369 41.876889239458 -205.059585224019</t>
  </si>
  <si>
    <t>-802.904480652874 40.8478867088179 -303.663887697938</t>
  </si>
  <si>
    <t>-796.996041149046 41.4379004995103 -392.562732294822</t>
  </si>
  <si>
    <t>-786.327847772285 43.526860816791 -480.993712523952</t>
  </si>
  <si>
    <t>-766.419445026475 47.9173485295303 -603.896940172179</t>
  </si>
  <si>
    <t>-719.161399852037 57.8928923449173 -671.514978780762</t>
  </si>
  <si>
    <t>-780.338619871787 73.2097298770659 -549.676334891052</t>
  </si>
  <si>
    <t>-803.574789918668 207.425875872457 -531.284838375837</t>
  </si>
  <si>
    <t>-767.781033296777 250.090794293046 -242.339008834535</t>
  </si>
  <si>
    <t>-529.952629903594 288.62679974964 -240.46608825981</t>
  </si>
  <si>
    <t>-770.021709546818 18.7609176852056 -549.950200026339</t>
  </si>
  <si>
    <t>-817.627745995794 137.033531382178 -93.7496339488961</t>
  </si>
  <si>
    <t>-816.518226573258 152.356104600302 309.510403727023</t>
  </si>
  <si>
    <t>-884.403181457991 187.460589437342 749.777196192005</t>
  </si>
  <si>
    <t>-740.073914520633 170.038651696283 812.648912283384</t>
  </si>
  <si>
    <t>-720.933898657533 -66.244963674189 311.755379155108</t>
  </si>
  <si>
    <t>-769.249951763746 -91.0765513436644 756.936381720916</t>
  </si>
  <si>
    <t>-628.8893278012 -81.6558134631651 829.719959996471</t>
  </si>
  <si>
    <t>9763-20170724T104707.880368900.bin</t>
  </si>
  <si>
    <t>-792.08035265236 52.3564397362709 -89.7755094439025</t>
  </si>
  <si>
    <t>-804.183765102259 46.5344584826639 -204.822547725954</t>
  </si>
  <si>
    <t>-802.110838261674 45.9418367370706 -303.422917305462</t>
  </si>
  <si>
    <t>-795.776900501351 46.8597273349803 -392.289530360254</t>
  </si>
  <si>
    <t>-784.626543720543 49.2096707483886 -480.654537501573</t>
  </si>
  <si>
    <t>-763.98888450854 53.8965225364714 -603.426392783591</t>
  </si>
  <si>
    <t>-716.272519765423 63.7829803507723 -670.734857900646</t>
  </si>
  <si>
    <t>-778.063847078618 79.0887666468266 -549.199487677191</t>
  </si>
  <si>
    <t>-800.640681510783 213.418899441342 -530.744742587612</t>
  </si>
  <si>
    <t>-767.379401698857 255.739909518865 -241.445812575444</t>
  </si>
  <si>
    <t>-529.22815934269 292.261526011151 -240.433150813431</t>
  </si>
  <si>
    <t>-768.077137060674 24.5793865218054 -549.601699799011</t>
  </si>
  <si>
    <t>-816.547718522811 140.868920870056 -93.1304442496521</t>
  </si>
  <si>
    <t>-815.093821430343 154.654683601725 310.183972796533</t>
  </si>
  <si>
    <t>-884.374005121689 187.999518884232 750.265505530026</t>
  </si>
  <si>
    <t>-740.102012593178 170.441763108453 813.230669346459</t>
  </si>
  <si>
    <t>-719.356819250177 -64.5843422601641 311.172779647531</t>
  </si>
  <si>
    <t>-768.929834123584 -89.9662795297688 756.192220730909</t>
  </si>
  <si>
    <t>-628.919597772267 -82.0222006242378 829.821794528069</t>
  </si>
  <si>
    <t>9763-20170724T104707.948552400.bin</t>
  </si>
  <si>
    <t>-792.830262508174 56.4002692228753 -89.3349247599873</t>
  </si>
  <si>
    <t>-804.809328166731 51.6113317219122 -204.442622010196</t>
  </si>
  <si>
    <t>-802.391931302144 51.6509359911845 -303.036862440118</t>
  </si>
  <si>
    <t>-795.660722458842 53.0533936005943 -391.867973721155</t>
  </si>
  <si>
    <t>-784.030815350258 55.7964477539599 -480.159878777349</t>
  </si>
  <si>
    <t>-762.641319784864 60.9388911017122 -602.784755712337</t>
  </si>
  <si>
    <t>-714.18157618938 70.5192670974393 -669.60455020614</t>
  </si>
  <si>
    <t>-776.642542094749 86.0002263959886 -548.47805810934</t>
  </si>
  <si>
    <t>-797.52682696045 220.618034378097 -529.838761946286</t>
  </si>
  <si>
    <t>-768.19133223607 262.051130700082 -239.987067278497</t>
  </si>
  <si>
    <t>-529.476540930042 294.701808614345 -240.237605031555</t>
  </si>
  <si>
    <t>-767.465024067156 31.3516503647229 -549.169078157299</t>
  </si>
  <si>
    <t>-815.887862029095 145.830987836948 -92.1258279309428</t>
  </si>
  <si>
    <t>-813.215528932035 157.035550452041 311.262297717244</t>
  </si>
  <si>
    <t>-884.40358802174 188.865601957634 751.196095464648</t>
  </si>
  <si>
    <t>-740.207066689054 170.987804020181 814.243956613862</t>
  </si>
  <si>
    <t>-719.156772745357 -60.9441912829292 310.27676099728</t>
  </si>
  <si>
    <t>-769.155271736431 -85.1453689059927 754.919106924667</t>
  </si>
  <si>
    <t>-629.74182771381 -82.2093044468895 830.036048921802</t>
  </si>
  <si>
    <t>9763-20170724T104707.981639900.bin</t>
  </si>
  <si>
    <t>-793.892507374886 57.3327294859614 -89.2090803960615</t>
  </si>
  <si>
    <t>-805.983310410227 52.6726822719286 -204.310460518921</t>
  </si>
  <si>
    <t>-803.60096468674 52.8453148695023 -302.905257516256</t>
  </si>
  <si>
    <t>-796.877818386781 54.3798595321712 -391.734913086811</t>
  </si>
  <si>
    <t>-785.231613292071 57.2640798343036 -480.020204051478</t>
  </si>
  <si>
    <t>-763.794326752991 62.6120977834869 -602.627821944167</t>
  </si>
  <si>
    <t>-715.13188671709 72.0280232970479 -669.323738330805</t>
  </si>
  <si>
    <t>-777.62839639981 87.6127324874642 -548.250464002691</t>
  </si>
  <si>
    <t>-797.686113960379 222.299077401731 -529.375490543143</t>
  </si>
  <si>
    <t>-769.473526177858 263.246880000574 -239.343566146755</t>
  </si>
  <si>
    <t>-530.580540228392 294.547710351863 -240.458322715284</t>
  </si>
  <si>
    <t>-768.827233214162 32.9045965642267 -549.098055094588</t>
  </si>
  <si>
    <t>-816.414954617096 147.290815162215 -91.8889718959512</t>
  </si>
  <si>
    <t>-812.833799625372 157.511397231615 311.518176072511</t>
  </si>
  <si>
    <t>-884.467680668839 189.205560205778 751.511830516875</t>
  </si>
  <si>
    <t>-740.311260643034 171.00706056536 814.559548355773</t>
  </si>
  <si>
    <t>-719.774427763117 -59.3348167555114 310.151413409788</t>
  </si>
  <si>
    <t>-769.604048376761 -82.7796213691108 754.730257420937</t>
  </si>
  <si>
    <t>-630.29961512782 -82.8022320593153 830.106471781084</t>
  </si>
  <si>
    <t>9763-20170724T104708.047770100.bin</t>
  </si>
  <si>
    <t>-795.792079717778 59.201776775433 -88.9080486193599</t>
  </si>
  <si>
    <t>-808.248194389919 54.377727850067 -203.963703269453</t>
  </si>
  <si>
    <t>-806.23509391853 54.5619227106743 -302.566773160696</t>
  </si>
  <si>
    <t>-799.866530648622 56.1747599853916 -391.421138190247</t>
  </si>
  <si>
    <t>-788.592800012863 59.2018674126889 -479.7498066057</t>
  </si>
  <si>
    <t>-767.692621157709 64.8177648435862 -602.43829819668</t>
  </si>
  <si>
    <t>-719.062488853858 74.0638361674548 -669.18147705375</t>
  </si>
  <si>
    <t>-781.024783636662 89.739681426385 -547.89976031603</t>
  </si>
  <si>
    <t>-799.892045853294 224.50990236671 -528.457037397419</t>
  </si>
  <si>
    <t>-771.857386395789 264.396156868281 -238.26004791129</t>
  </si>
  <si>
    <t>-532.769256048893 294.065091601519 -240.998317288146</t>
  </si>
  <si>
    <t>-772.754789931376 34.9531992807083 -548.998731503727</t>
  </si>
  <si>
    <t>-817.514976425115 149.350935266413 -91.5267077764269</t>
  </si>
  <si>
    <t>-812.438261216095 157.903147435422 311.903304197614</t>
  </si>
  <si>
    <t>-884.731404127465 189.804945994853 752.006485549325</t>
  </si>
  <si>
    <t>-740.62098108535 170.778459663402 814.914929670447</t>
  </si>
  <si>
    <t>-720.755195787543 -56.665718170739 310.401725226281</t>
  </si>
  <si>
    <t>-770.711677730019 -79.4663585778374 754.936974972911</t>
  </si>
  <si>
    <t>-631.325236531958 -84.3521508372282 830.002596250234</t>
  </si>
  <si>
    <t>9763-20170724T104708.080851200.bin</t>
  </si>
  <si>
    <t>-796.384042468873 60.2007591771492 -88.8480949545417</t>
  </si>
  <si>
    <t>-809.130884132486 55.2089524638729 -203.864692769589</t>
  </si>
  <si>
    <t>-807.425577813749 55.3006641670102 -302.473810112785</t>
  </si>
  <si>
    <t>-801.357513345111 56.8537015978186 -391.350181485164</t>
  </si>
  <si>
    <t>-790.40503112562 59.8443497156582 -479.720616523318</t>
  </si>
  <si>
    <t>-769.974298472708 65.4346276292945 -602.489213092428</t>
  </si>
  <si>
    <t>-721.547561359912 74.6242892664814 -669.387997028728</t>
  </si>
  <si>
    <t>-783.007932610305 90.3812059609161 -547.88974387731</t>
  </si>
  <si>
    <t>-801.4119031516 225.204976701069 -528.368115852934</t>
  </si>
  <si>
    <t>-772.994763893696 264.375917861473 -238.110703267688</t>
  </si>
  <si>
    <t>-533.858291686951 293.579916797379 -241.538554492672</t>
  </si>
  <si>
    <t>-774.921760652134 35.5681670912711 -549.03992398196</t>
  </si>
  <si>
    <t>-817.86255323649 150.143921247854 -91.4637891335911</t>
  </si>
  <si>
    <t>-812.498620459318 158.202787424118 311.972690023314</t>
  </si>
  <si>
    <t>-884.839554154173 190.109126010655 752.124004401938</t>
  </si>
  <si>
    <t>-740.784773922206 170.575036259583 815.004408678334</t>
  </si>
  <si>
    <t>-721.402224047183 -55.9083506684676 310.521367271429</t>
  </si>
  <si>
    <t>-771.113178393327 -79.0122895259456 755.169047428499</t>
  </si>
  <si>
    <t>-631.584119489532 -85.1540362681266 829.876565344829</t>
  </si>
  <si>
    <t>9763-20170724T104708.147547000.bin</t>
  </si>
  <si>
    <t>-797.908104992076 60.7247762726283 -88.7701843197832</t>
  </si>
  <si>
    <t>-811.330135823582 55.2188815552186 -203.686555310534</t>
  </si>
  <si>
    <t>-810.355142771426 54.9388957273598 -302.30518713871</t>
  </si>
  <si>
    <t>-805.004066277939 56.1844117848452 -391.232447629621</t>
  </si>
  <si>
    <t>-794.821522259827 58.8938941486547 -479.703881059709</t>
  </si>
  <si>
    <t>-775.518676345308 64.1185677777958 -602.671069384377</t>
  </si>
  <si>
    <t>-727.646982560262 73.0653502304276 -670.000753961162</t>
  </si>
  <si>
    <t>-787.919481387257 89.2462159862728 -548.007230319997</t>
  </si>
  <si>
    <t>-805.512831387063 224.210025141359 -528.639649374116</t>
  </si>
  <si>
    <t>-775.054613587236 262.744107241335 -238.504110005592</t>
  </si>
  <si>
    <t>-535.779929716717 290.528036300911 -243.654201468193</t>
  </si>
  <si>
    <t>-780.106285858778 34.3926459104143 -549.111327777912</t>
  </si>
  <si>
    <t>-819.32321657795 150.547178543425 -91.576420414525</t>
  </si>
  <si>
    <t>-813.462104105549 158.324999236024 311.858588397406</t>
  </si>
  <si>
    <t>-884.947308611076 190.452007911087 752.25590600571</t>
  </si>
  <si>
    <t>-740.967271345298 170.398495036959 815.143862838717</t>
  </si>
  <si>
    <t>-723.661919943626 -55.8924993918873 311.005336769572</t>
  </si>
  <si>
    <t>-771.319075992561 -79.9643130982194 755.73132994628</t>
  </si>
  <si>
    <t>-631.343041525748 -85.0377472403865 829.679113797622</t>
  </si>
  <si>
    <t>9763-20170724T104708.180636600.bin</t>
  </si>
  <si>
    <t>-798.992902224182 60.5898392810013 -88.7529933027522</t>
  </si>
  <si>
    <t>-812.738010358719 54.7691394920819 -203.615507364011</t>
  </si>
  <si>
    <t>-812.134899561982 54.2796186944463 -302.236311565435</t>
  </si>
  <si>
    <t>-807.154859248581 55.3565648222393 -391.187422656468</t>
  </si>
  <si>
    <t>-797.375803452894 57.9177012675209 -479.708824118412</t>
  </si>
  <si>
    <t>-778.668897050247 62.9548431720518 -602.775846463563</t>
  </si>
  <si>
    <t>-731.085122074995 71.7782494758937 -670.325580210431</t>
  </si>
  <si>
    <t>-790.790900263556 88.1676412979018 -548.088762131147</t>
  </si>
  <si>
    <t>-808.212500111259 223.163663802434 -528.808975068763</t>
  </si>
  <si>
    <t>-776.057280495121 261.997713999071 -238.89657009922</t>
  </si>
  <si>
    <t>-536.73743895669 288.87432312782 -246.27959909626</t>
  </si>
  <si>
    <t>-783.010833468988 33.3087641901172 -549.151497012462</t>
  </si>
  <si>
    <t>-820.560630467112 150.448687471413 -91.7048247816138</t>
  </si>
  <si>
    <t>-814.490449953672 158.211670721372 311.727395048718</t>
  </si>
  <si>
    <t>-885.028580239887 190.568044884163 752.327557096391</t>
  </si>
  <si>
    <t>-741.024194558967 170.494690142615 815.153394488735</t>
  </si>
  <si>
    <t>-724.727329667756 -55.6636626055559 311.244442023831</t>
  </si>
  <si>
    <t>-771.582358661438 -79.5524238708631 755.981587397338</t>
  </si>
  <si>
    <t>-631.495896656118 -85.6940078411765 829.638665401691</t>
  </si>
  <si>
    <t>9763-20170724T104708.249884300.bin</t>
  </si>
  <si>
    <t>-801.21395988009 59.6382282078571 -88.7962047010951</t>
  </si>
  <si>
    <t>-815.446656664541 53.195815266809 -203.566268504407</t>
  </si>
  <si>
    <t>-815.427339492935 52.2577650408423 -302.185536118587</t>
  </si>
  <si>
    <t>-811.036770224109 52.9598769905065 -391.171410752111</t>
  </si>
  <si>
    <t>-801.905982825975 55.1776902949978 -479.771253151709</t>
  </si>
  <si>
    <t>-784.163346778391 59.7677529446657 -602.998565112004</t>
  </si>
  <si>
    <t>-737.068649705525 68.4586519227692 -670.907102604255</t>
  </si>
  <si>
    <t>-795.935334149932 85.1681999186492 -548.321694340899</t>
  </si>
  <si>
    <t>-813.603810657068 220.183673503366 -529.43866400046</t>
  </si>
  <si>
    <t>-778.232120919979 260.192393502756 -240.061116629745</t>
  </si>
  <si>
    <t>-539.040396748336 285.974203394685 -253.231942298591</t>
  </si>
  <si>
    <t>-788.006709336976 30.3277021440108 -549.222802881207</t>
  </si>
  <si>
    <t>-823.223649499275 149.635281259607 -91.9422086356457</t>
  </si>
  <si>
    <t>-815.759374550738 157.307977928946 311.468366039093</t>
  </si>
  <si>
    <t>-885.231516073579 190.697176558514 752.339009929689</t>
  </si>
  <si>
    <t>-741.201762570975 170.459977592737 815.054309319788</t>
  </si>
  <si>
    <t>-726.810230018222 -56.0241462211234 311.653163980255</t>
  </si>
  <si>
    <t>-771.84186936024 -80.1212410123985 756.575600890708</t>
  </si>
  <si>
    <t>-631.384389376993 -85.7597118230786 829.56332397969</t>
  </si>
  <si>
    <t>9763-20170724T104708.281968200.bin</t>
  </si>
  <si>
    <t>-802.196316255567 58.7970966484884 -88.8310869170816</t>
  </si>
  <si>
    <t>-816.634761639722 52.0797623186131 -203.559575883804</t>
  </si>
  <si>
    <t>-816.838099405938 50.8889731483598 -302.176011952416</t>
  </si>
  <si>
    <t>-812.666355960241 51.3541467208365 -391.173869761447</t>
  </si>
  <si>
    <t>-803.771222855724 53.3273173374032 -479.803490764999</t>
  </si>
  <si>
    <t>-786.374841621614 57.5676208439941 -603.092637613254</t>
  </si>
  <si>
    <t>-739.452460741563 66.2005448683165 -671.127893566425</t>
  </si>
  <si>
    <t>-798.041643218625 83.1162567115493 -548.462402245049</t>
  </si>
  <si>
    <t>-815.944147655657 218.151486106941 -529.934921256967</t>
  </si>
  <si>
    <t>-779.148994483491 258.945832696412 -240.844752019263</t>
  </si>
  <si>
    <t>-540.085242059755 284.934701835863 -255.809413681007</t>
  </si>
  <si>
    <t>-790.018778367718 28.2871014135392 -549.216064748378</t>
  </si>
  <si>
    <t>-824.344922172475 148.661426976756 -92.0352799958738</t>
  </si>
  <si>
    <t>-815.820134840026 156.61840003304 311.348769838397</t>
  </si>
  <si>
    <t>-885.337172135285 190.759724901225 752.197780008692</t>
  </si>
  <si>
    <t>-741.288794301213 170.520843466932 814.869551650081</t>
  </si>
  <si>
    <t>-728.16560398411 -56.2977730381004 311.790226039215</t>
  </si>
  <si>
    <t>-771.933324086477 -80.1799160592826 756.805141537645</t>
  </si>
  <si>
    <t>-631.385249241186 -86.1815533368932 829.589285568967</t>
  </si>
  <si>
    <t>9763-20170724T104708.348024000.bin</t>
  </si>
  <si>
    <t>-803.843543705018 56.600317094588 -89.0587088221827</t>
  </si>
  <si>
    <t>-818.515202649162 49.3933338841734 -203.727997348152</t>
  </si>
  <si>
    <t>-818.960906621348 47.7355897620903 -302.336783255511</t>
  </si>
  <si>
    <t>-815.023244788528 47.7547792220073 -391.346608230461</t>
  </si>
  <si>
    <t>-806.376367670891 49.257625073948 -480.009954779844</t>
  </si>
  <si>
    <t>-789.340631745038 52.813788733594 -603.371208785143</t>
  </si>
  <si>
    <t>-742.597307920081 61.2879435299214 -671.549425125735</t>
  </si>
  <si>
    <t>-800.873833476396 78.6613481625216 -548.853127661711</t>
  </si>
  <si>
    <t>-818.878224482622 213.77733457149 -531.009372081742</t>
  </si>
  <si>
    <t>-780.238375532399 255.122111641601 -242.238161737814</t>
  </si>
  <si>
    <t>-541.222637304292 282.889146703591 -254.540807752923</t>
  </si>
  <si>
    <t>-792.800520970133 23.836396193522 -549.318719653561</t>
  </si>
  <si>
    <t>-826.187500327659 146.537934783871 -92.490681167559</t>
  </si>
  <si>
    <t>-816.5323541783 155.534563724344 310.845962737988</t>
  </si>
  <si>
    <t>-885.556392486398 190.923557110328 751.695847333451</t>
  </si>
  <si>
    <t>-741.468631487515 170.732371757466 814.292325309887</t>
  </si>
  <si>
    <t>-730.759212020309 -56.9730500794457 312.001619756828</t>
  </si>
  <si>
    <t>-771.928361218351 -80.4388743714127 757.150648035638</t>
  </si>
  <si>
    <t>-631.238695638746 -86.1068978167542 829.687486640305</t>
  </si>
  <si>
    <t>9763-20170724T104708.381108000.bin</t>
  </si>
  <si>
    <t>-804.762215510655 55.5267639644803 -89.3243026025474</t>
  </si>
  <si>
    <t>-819.442522484027 48.1742587919048 -203.983138650076</t>
  </si>
  <si>
    <t>-819.878744353798 46.40121635591 -302.590052105084</t>
  </si>
  <si>
    <t>-815.924380985911 46.3169158276851 -391.59903388449</t>
  </si>
  <si>
    <t>-807.25239290402 47.7157414712906 -480.26181814079</t>
  </si>
  <si>
    <t>-790.172311666201 51.1239665974738 -603.620887993968</t>
  </si>
  <si>
    <t>-743.444167670672 59.5040548236727 -671.821202497519</t>
  </si>
  <si>
    <t>-801.705482716524 77.0398374268866 -549.135265226717</t>
  </si>
  <si>
    <t>-819.509675689526 212.183188656991 -531.424897510643</t>
  </si>
  <si>
    <t>-781.042858857771 253.386455171598 -242.61034222946</t>
  </si>
  <si>
    <t>-542.071105502592 282.736072978576 -251.665367364645</t>
  </si>
  <si>
    <t>-793.671236899471 22.2085180099475 -549.538001746334</t>
  </si>
  <si>
    <t>-827.379645717195 145.596034214919 -92.8380256480245</t>
  </si>
  <si>
    <t>-817.268376151253 155.025132089461 310.477620805396</t>
  </si>
  <si>
    <t>-885.633431074486 190.948740540707 751.395885008379</t>
  </si>
  <si>
    <t>-741.530346703028 170.825075790378 813.978711374038</t>
  </si>
  <si>
    <t>-731.813990228657 -57.487711567569 311.959832110358</t>
  </si>
  <si>
    <t>-771.856971034679 -80.6465460272068 757.235832945169</t>
  </si>
  <si>
    <t>-631.114786057784 -85.8297129770959 829.707013800657</t>
  </si>
  <si>
    <t>9763-20170724T104708.451265400.bin</t>
  </si>
  <si>
    <t>-806.589105918295 53.4157511597332 -89.840242088581</t>
  </si>
  <si>
    <t>-821.106798134629 45.9884934846489 -204.514909178921</t>
  </si>
  <si>
    <t>-821.397228698071 44.196361673015 -303.12205240814</t>
  </si>
  <si>
    <t>-817.307330979857 44.1102966784078 -392.12497507729</t>
  </si>
  <si>
    <t>-808.495422352423 45.5206684776053 -480.773625748404</t>
  </si>
  <si>
    <t>-791.214968173506 48.9575089458313 -604.103985707247</t>
  </si>
  <si>
    <t>-744.417721589374 57.1844877133321 -672.275608507165</t>
  </si>
  <si>
    <t>-802.79542310347 74.8666364916535 -549.625343149012</t>
  </si>
  <si>
    <t>-820.186971082194 210.069464987976 -531.885761395856</t>
  </si>
  <si>
    <t>-782.054673444172 249.843357062459 -242.826567341155</t>
  </si>
  <si>
    <t>-543.400481638388 282.934389940712 -242.963189931566</t>
  </si>
  <si>
    <t>-794.84309742834 20.0237352214754 -550.039473995069</t>
  </si>
  <si>
    <t>-829.368864677798 143.568150915867 -93.4763522120924</t>
  </si>
  <si>
    <t>-818.562155072548 153.917926198579 309.798749313622</t>
  </si>
  <si>
    <t>-885.788845934366 191.038339403479 750.844822910088</t>
  </si>
  <si>
    <t>-741.684855368942 170.884567172617 813.416042849369</t>
  </si>
  <si>
    <t>-733.566594453907 -58.5152129209214 311.70282696664</t>
  </si>
  <si>
    <t>-771.781020170721 -80.6620849034034 757.27901739938</t>
  </si>
  <si>
    <t>-631.006767309625 -85.7056163855611 829.697726172209</t>
  </si>
  <si>
    <t>9763-20170724T104708.484352900.bin</t>
  </si>
  <si>
    <t>-807.283866159745 52.1026001479574 -90.0310199226753</t>
  </si>
  <si>
    <t>-821.695641180209 44.6633997134034 -204.718443331997</t>
  </si>
  <si>
    <t>-821.891596979909 42.8961185691478 -303.326073330893</t>
  </si>
  <si>
    <t>-817.714196489757 42.8452840702878 -392.324971842679</t>
  </si>
  <si>
    <t>-808.812162344525 44.302702457991 -480.963991581786</t>
  </si>
  <si>
    <t>-791.403131329202 47.8163053043722 -604.274082780514</t>
  </si>
  <si>
    <t>-744.536928941374 56.0049655170919 -672.402950047153</t>
  </si>
  <si>
    <t>-803.027563132359 73.6933025695007 -549.789575936616</t>
  </si>
  <si>
    <t>-820.145583394564 208.911858207056 -531.90122252883</t>
  </si>
  <si>
    <t>-781.74274937462 248.166564642142 -242.806917936269</t>
  </si>
  <si>
    <t>-543.339617188304 282.76417209562 -238.589641607172</t>
  </si>
  <si>
    <t>-795.100386748068 18.846956438415 -550.233167016014</t>
  </si>
  <si>
    <t>-830.002898384778 142.152790869601 -93.7188670980446</t>
  </si>
  <si>
    <t>-819.170667446134 153.262311706782 309.535268318716</t>
  </si>
  <si>
    <t>-885.877436652083 191.054643760834 750.601065793835</t>
  </si>
  <si>
    <t>-741.739186252773 171.087470113856 813.153284306882</t>
  </si>
  <si>
    <t>-734.458645380215 -59.3160805571396 311.56789411335</t>
  </si>
  <si>
    <t>-771.717867261427 -80.724764570158 757.266443438797</t>
  </si>
  <si>
    <t>-630.938359710113 -85.735494525124 829.677264606567</t>
  </si>
  <si>
    <t>9763-20170724T104708.545020700.bin</t>
  </si>
  <si>
    <t>-808.517129271479 49.6760351418973 -90.3428829731658</t>
  </si>
  <si>
    <t>-822.728597767058 42.2344331025386 -205.055085409847</t>
  </si>
  <si>
    <t>-822.692861396709 40.5551168936663 -303.664528225883</t>
  </si>
  <si>
    <t>-818.280108542526 40.6155932438514 -392.652008724221</t>
  </si>
  <si>
    <t>-809.11636942118 42.2137102899542 -481.261821892501</t>
  </si>
  <si>
    <t>-791.313519676202 45.9523681924782 -604.509184627074</t>
  </si>
  <si>
    <t>-744.237156604721 54.2355644657766 -672.481414705643</t>
  </si>
  <si>
    <t>-803.113342087405 71.7298000265098 -550.015018958109</t>
  </si>
  <si>
    <t>-819.911649989675 206.962898845522 -531.927429624864</t>
  </si>
  <si>
    <t>-781.086042547412 245.462563065482 -242.788046124134</t>
  </si>
  <si>
    <t>-543.345954086833 283.636656030472 -234.228814354294</t>
  </si>
  <si>
    <t>-795.181995520043 16.8845601139878 -550.533191085077</t>
  </si>
  <si>
    <t>-831.386028660663 139.659672274822 -94.1321822956485</t>
  </si>
  <si>
    <t>-820.434140402432 152.012797660331 309.082525619573</t>
  </si>
  <si>
    <t>-886.046644002523 191.113589843093 750.142144359966</t>
  </si>
  <si>
    <t>-741.90822703206 171.162285933222 812.699074518842</t>
  </si>
  <si>
    <t>-736.005174342041 -61.0425023776229 311.314274778724</t>
  </si>
  <si>
    <t>-771.641528270127 -80.9119784213144 757.279823661082</t>
  </si>
  <si>
    <t>-630.866566015249 -86.4535390238347 829.660733632633</t>
  </si>
  <si>
    <t>9763-20170724T104708.581407600.bin</t>
  </si>
  <si>
    <t>-809.094122733724 48.6176877593327 -90.4687936861502</t>
  </si>
  <si>
    <t>-823.189681075537 41.2029582331916 -205.196942994977</t>
  </si>
  <si>
    <t>-823.012654685123 39.5754569472008 -303.807211780268</t>
  </si>
  <si>
    <t>-818.455746328105 39.6949826897019 -392.787364484331</t>
  </si>
  <si>
    <t>-809.132204821618 41.3651914672478 -481.379229962544</t>
  </si>
  <si>
    <t>-791.09012228185 45.2191845405 -604.58816211967</t>
  </si>
  <si>
    <t>-743.89966838865 53.6084466938075 -672.468367921389</t>
  </si>
  <si>
    <t>-803.032054989214 70.9404078030416 -550.098532712462</t>
  </si>
  <si>
    <t>-819.936671475391 206.166642277331 -531.935096417286</t>
  </si>
  <si>
    <t>-780.968372648526 244.711010009268 -242.820972660675</t>
  </si>
  <si>
    <t>-543.544706555028 284.802465349167 -234.246786175146</t>
  </si>
  <si>
    <t>-795.026947522906 16.1061189621373 -550.641419995405</t>
  </si>
  <si>
    <t>-831.996385192064 138.626835022265 -94.3030013699785</t>
  </si>
  <si>
    <t>-821.22192836486 151.512037828318 308.899846737109</t>
  </si>
  <si>
    <t>-886.124560300419 191.175841852343 749.965871469972</t>
  </si>
  <si>
    <t>-742.004166298667 171.151442391832 812.541034461702</t>
  </si>
  <si>
    <t>-736.625761276741 -61.7798431584611 311.255359545489</t>
  </si>
  <si>
    <t>-771.5907253997 -81.1215779789472 757.309319674967</t>
  </si>
  <si>
    <t>-630.792426773288 -86.6061027708686 829.64916251003</t>
  </si>
  <si>
    <t>9763-20170724T104708.649389800.bin</t>
  </si>
  <si>
    <t>-809.79568057091 46.148916978289 -90.7095630703327</t>
  </si>
  <si>
    <t>-823.717673186389 38.7851742416262 -205.462188348879</t>
  </si>
  <si>
    <t>-823.289243896562 37.2039133864832 -304.072473931912</t>
  </si>
  <si>
    <t>-818.466220299587 37.369271577269 -393.038485820548</t>
  </si>
  <si>
    <t>-808.839735697805 39.0918245986877 -481.597007691351</t>
  </si>
  <si>
    <t>-790.337438880561 43.028045841691 -604.735080363802</t>
  </si>
  <si>
    <t>-742.950836894533 51.6273168068083 -672.452059062896</t>
  </si>
  <si>
    <t>-802.580783342703 68.6984870997496 -550.288416340947</t>
  </si>
  <si>
    <t>-820.066206481436 203.853994149628 -532.231126644457</t>
  </si>
  <si>
    <t>-781.326892990712 244.084261048013 -243.315835743531</t>
  </si>
  <si>
    <t>-544.309744928321 286.935072054618 -237.189923730789</t>
  </si>
  <si>
    <t>-794.378032015548 13.8933485783837 -550.807643037382</t>
  </si>
  <si>
    <t>-832.579512551111 136.239310504116 -94.5811707859925</t>
  </si>
  <si>
    <t>-822.77756356939 150.355473485264 308.605326629415</t>
  </si>
  <si>
    <t>-886.255238693938 191.169907211668 749.690352450364</t>
  </si>
  <si>
    <t>-742.1269433123 171.319343950193 812.302441763014</t>
  </si>
  <si>
    <t>-737.742033091638 -63.1611492972077 311.155199242016</t>
  </si>
  <si>
    <t>-771.588509697358 -81.1966182610004 757.377090159181</t>
  </si>
  <si>
    <t>-630.757936898585 -87.063895872546 829.624080459234</t>
  </si>
  <si>
    <t>9763-20170724T104708.682480100.bin</t>
  </si>
  <si>
    <t>-809.910734800244 44.930619048519 -90.7972495209425</t>
  </si>
  <si>
    <t>-823.751492240888 37.5613395074649 -205.559298156042</t>
  </si>
  <si>
    <t>-823.197777290921 35.9856935916171 -304.169089176224</t>
  </si>
  <si>
    <t>-818.239984906535 36.1606962284454 -393.127583184444</t>
  </si>
  <si>
    <t>-808.458118919945 37.8989826488605 -481.668826314045</t>
  </si>
  <si>
    <t>-789.71790082928 41.8640577705885 -604.7699768168</t>
  </si>
  <si>
    <t>-742.229891171605 50.5605024831741 -672.403434568673</t>
  </si>
  <si>
    <t>-802.126856077208 67.512846403356 -550.350474991646</t>
  </si>
  <si>
    <t>-820.032289582956 202.618258014446 -532.465200773774</t>
  </si>
  <si>
    <t>-780.827896234834 244.081584151757 -243.787231765111</t>
  </si>
  <si>
    <t>-543.887902229556 287.6094529 -239.834704256464</t>
  </si>
  <si>
    <t>-793.802178495858 12.7257663472551 -550.847889629214</t>
  </si>
  <si>
    <t>-832.730430182584 135.104604147106 -94.6738599851777</t>
  </si>
  <si>
    <t>-823.208115243243 149.749734633672 308.500453866968</t>
  </si>
  <si>
    <t>-886.321402477598 191.176151043999 749.578394748832</t>
  </si>
  <si>
    <t>-742.208630928655 171.288744246356 812.214628721317</t>
  </si>
  <si>
    <t>-738.224142459491 -64.1487033257918 311.129870433406</t>
  </si>
  <si>
    <t>-771.533079881302 -81.5227561407731 757.445519076359</t>
  </si>
  <si>
    <t>-630.634089825492 -86.7436821622224 829.608577739234</t>
  </si>
  <si>
    <t>9763-20170724T104708.748332800.bin</t>
  </si>
  <si>
    <t>-809.922030018683 42.7692361158001 -90.9295006189855</t>
  </si>
  <si>
    <t>-823.676027061657 35.3797889462787 -205.700747414337</t>
  </si>
  <si>
    <t>-822.949871953755 33.7922936440068 -304.30906596314</t>
  </si>
  <si>
    <t>-817.79805257221 33.9590634961751 -393.256789050705</t>
  </si>
  <si>
    <t>-807.786091049626 35.6952955753163 -481.77217795681</t>
  </si>
  <si>
    <t>-788.687889275317 39.6649720141434 -604.818139082163</t>
  </si>
  <si>
    <t>-741.062303857063 48.5004724432138 -672.336640120951</t>
  </si>
  <si>
    <t>-801.421432890245 65.2861346551601 -550.460784886717</t>
  </si>
  <si>
    <t>-820.681599999836 200.307562043678 -533.250290406579</t>
  </si>
  <si>
    <t>-780.179008277226 245.099399466015 -245.249366095714</t>
  </si>
  <si>
    <t>-542.986206159461 287.207265425429 -249.416824794106</t>
  </si>
  <si>
    <t>-792.762756603033 10.5501676199056 -550.882658889771</t>
  </si>
  <si>
    <t>-832.907950071707 132.939892908226 -94.7994273522501</t>
  </si>
  <si>
    <t>-823.629565137209 148.40074925001 308.350178604257</t>
  </si>
  <si>
    <t>-886.471088329638 191.133052433112 749.33600807211</t>
  </si>
  <si>
    <t>-742.337900613659 171.47637026503 811.998025982305</t>
  </si>
  <si>
    <t>-739.125140391584 -65.7587323530702 311.134863343042</t>
  </si>
  <si>
    <t>-771.406370564913 -81.9664307928711 757.562626382483</t>
  </si>
  <si>
    <t>-630.448313773747 -86.9587772177788 829.626418469084</t>
  </si>
  <si>
    <t>9763-20170724T104708.781421000.bin</t>
  </si>
  <si>
    <t>-809.721896562662 41.7377964181781 -91.0166342176871</t>
  </si>
  <si>
    <t>-823.449455977208 34.3187568165124 -205.789182023176</t>
  </si>
  <si>
    <t>-822.682974469469 32.6637381726644 -304.396161652148</t>
  </si>
  <si>
    <t>-817.488731713124 32.752352518233 -393.341259908344</t>
  </si>
  <si>
    <t>-807.429116451925 34.3953295702024 -481.853227226541</t>
  </si>
  <si>
    <t>-788.259720853879 38.2204620733112 -604.892649251974</t>
  </si>
  <si>
    <t>-740.599564622208 47.0947691644219 -672.38178289796</t>
  </si>
  <si>
    <t>-801.123541483978 63.8897343516405 -550.588731555941</t>
  </si>
  <si>
    <t>-821.155938636735 198.856877566166 -533.808840679897</t>
  </si>
  <si>
    <t>-780.175047254274 244.923598707942 -246.077022149268</t>
  </si>
  <si>
    <t>-543.012365902114 286.368826287576 -255.406144672304</t>
  </si>
  <si>
    <t>-792.267015720365 9.18485700325186 -550.90941446551</t>
  </si>
  <si>
    <t>-832.866435531496 131.819070301937 -94.8674735308897</t>
  </si>
  <si>
    <t>-823.713468151418 147.788311214196 308.265123721345</t>
  </si>
  <si>
    <t>-886.527804020431 191.01366155671 749.193569248723</t>
  </si>
  <si>
    <t>-742.36831775766 171.639051097928 811.882970403288</t>
  </si>
  <si>
    <t>-739.242603851229 -66.6292322011831 311.12955115922</t>
  </si>
  <si>
    <t>-771.265410816443 -82.4169944106104 757.607950849018</t>
  </si>
  <si>
    <t>-630.247109175202 -86.4428032931175 829.614304051436</t>
  </si>
  <si>
    <t>9763-20170724T104708.846469700.bin</t>
  </si>
  <si>
    <t>-809.312220015098 39.9624120286007 -91.1692305734475</t>
  </si>
  <si>
    <t>-823.066112407486 32.3987219463449 -205.929201954844</t>
  </si>
  <si>
    <t>-822.308976017906 30.5983621764519 -304.5336509373</t>
  </si>
  <si>
    <t>-817.117869818913 30.5455998835412 -393.479098075718</t>
  </si>
  <si>
    <t>-807.057195314144 32.0404754366321 -481.993473798841</t>
  </si>
  <si>
    <t>-787.882429428947 35.6529829648384 -605.038522591334</t>
  </si>
  <si>
    <t>-740.213401221959 44.6661155138315 -672.503009253085</t>
  </si>
  <si>
    <t>-800.93592994132 61.3850975931077 -550.809661970642</t>
  </si>
  <si>
    <t>-822.266707845836 196.209727993207 -534.5711805784</t>
  </si>
  <si>
    <t>-779.149435500599 244.327225459672 -247.487867100344</t>
  </si>
  <si>
    <t>-542.244565067412 285.369955132047 -263.059084336224</t>
  </si>
  <si>
    <t>-791.704656284576 6.74160252765682 -550.975350529149</t>
  </si>
  <si>
    <t>-833.058708088911 130.035983114219 -95.0735009382363</t>
  </si>
  <si>
    <t>-823.978110819878 146.782080372589 308.029159309065</t>
  </si>
  <si>
    <t>-886.626625823051 190.860140230798 748.890872884908</t>
  </si>
  <si>
    <t>-742.435041102338 171.969812556461 811.654391740221</t>
  </si>
  <si>
    <t>-739.157977810541 -67.4961696130829 311.15844882256</t>
  </si>
  <si>
    <t>-771.211755319027 -82.3038577829902 757.654507983719</t>
  </si>
  <si>
    <t>-630.182295075348 -86.5517303757672 829.626481282098</t>
  </si>
  <si>
    <t>9763-20170724T104708.882563600.bin</t>
  </si>
  <si>
    <t>-809.043033461489 39.0404681463817 -91.2607780967372</t>
  </si>
  <si>
    <t>-822.81827373789 31.3917700387881 -206.012491235045</t>
  </si>
  <si>
    <t>-822.071859101473 29.5510787523081 -304.616314078481</t>
  </si>
  <si>
    <t>-816.886150235197 29.472640566757 -393.562045445933</t>
  </si>
  <si>
    <t>-806.826630090043 30.9529926505732 -482.076881551043</t>
  </si>
  <si>
    <t>-787.648554277464 34.5562845295747 -605.12169884511</t>
  </si>
  <si>
    <t>-740.010454882347 43.6450591757216 -672.597703310014</t>
  </si>
  <si>
    <t>-800.766192770189 60.2818377700517 -550.905098645474</t>
  </si>
  <si>
    <t>-822.458551565637 195.062165766531 -534.715091410836</t>
  </si>
  <si>
    <t>-779.127012530666 243.750608426769 -247.760355850873</t>
  </si>
  <si>
    <t>-542.321020957646 285.127429142595 -263.938504846391</t>
  </si>
  <si>
    <t>-791.40953811911 5.65958065845143 -551.046241132819</t>
  </si>
  <si>
    <t>-833.091111540019 129.193735714626 -95.1966533273159</t>
  </si>
  <si>
    <t>-824.141326595176 146.422904705921 307.888582852987</t>
  </si>
  <si>
    <t>-886.687237393368 190.926542877726 748.732274626699</t>
  </si>
  <si>
    <t>-742.545297629191 171.854448419347 811.554820333983</t>
  </si>
  <si>
    <t>-738.877664296993 -67.8509212009402 311.166172376621</t>
  </si>
  <si>
    <t>-771.162640636303 -82.3215128675622 757.666387814385</t>
  </si>
  <si>
    <t>-630.123145592232 -86.5679922257164 829.618576382881</t>
  </si>
  <si>
    <t>9763-20170724T104708.946741000.bin</t>
  </si>
  <si>
    <t>-808.23096547876 36.9542284395909 -91.4029242520612</t>
  </si>
  <si>
    <t>-821.964619755972 29.2369600696416 -206.1551496438</t>
  </si>
  <si>
    <t>-821.254201021381 27.4475932999092 -304.760189457498</t>
  </si>
  <si>
    <t>-816.127780541872 27.4577426663268 -393.709310650668</t>
  </si>
  <si>
    <t>-806.152612547277 29.0700428652758 -482.23138475326</t>
  </si>
  <si>
    <t>-787.117861963427 32.9025420570806 -605.291451103925</t>
  </si>
  <si>
    <t>-739.629460973299 42.1398668681027 -672.852844157945</t>
  </si>
  <si>
    <t>-800.241348689377 58.5151929785893 -551.022895712993</t>
  </si>
  <si>
    <t>-822.068809563109 193.224372815648 -534.434229272946</t>
  </si>
  <si>
    <t>-780.113452862677 239.896903657796 -246.940508743717</t>
  </si>
  <si>
    <t>-543.401130142591 283.143241939067 -259.101921304718</t>
  </si>
  <si>
    <t>-790.746980556825 3.91704018521477 -551.254721139385</t>
  </si>
  <si>
    <t>-832.528030231804 127.294525265155 -95.3759012089866</t>
  </si>
  <si>
    <t>-824.096306273084 145.258036516067 307.688434141451</t>
  </si>
  <si>
    <t>-886.776917894459 190.838435413225 748.434473546024</t>
  </si>
  <si>
    <t>-742.640444917413 172.049663198134 811.354521920037</t>
  </si>
  <si>
    <t>-738.023045786455 -68.8987578855058 311.167510226319</t>
  </si>
  <si>
    <t>-771.007191571528 -82.6116200425349 757.685059557769</t>
  </si>
  <si>
    <t>-629.938255854245 -86.6063142807363 829.593941506064</t>
  </si>
  <si>
    <t>9763-20170724T104708.985863900.bin</t>
  </si>
  <si>
    <t>-807.781064370971 36.1871424643223 -91.4429875091282</t>
  </si>
  <si>
    <t>-821.50806643518 28.4353507743347 -206.193564015395</t>
  </si>
  <si>
    <t>-820.84584656162 26.7206088891605 -304.800207573423</t>
  </si>
  <si>
    <t>-815.782660122706 26.8400501057447 -393.753086158999</t>
  </si>
  <si>
    <t>-805.889421421041 28.6033315468517 -482.281359205299</t>
  </si>
  <si>
    <t>-786.987502029596 32.6905628503855 -605.353754619801</t>
  </si>
  <si>
    <t>-739.61121980893 42.0283762921913 -672.980027484595</t>
  </si>
  <si>
    <t>-800.068255478697 58.1880099429065 -551.020712396613</t>
  </si>
  <si>
    <t>-821.719521343465 192.858407106602 -534.001557863593</t>
  </si>
  <si>
    <t>-780.502601137418 237.74381177397 -246.116703846591</t>
  </si>
  <si>
    <t>-543.832886833967 282.14899194063 -254.272206119787</t>
  </si>
  <si>
    <t>-790.542291320874 3.59595428012017 -551.370718079994</t>
  </si>
  <si>
    <t>-832.275731357278 126.619002619836 -95.4376250568039</t>
  </si>
  <si>
    <t>-823.837384132861 144.730245144434 307.620062247208</t>
  </si>
  <si>
    <t>-886.814894981078 190.729166862103 748.305397491353</t>
  </si>
  <si>
    <t>-742.668403208108 172.164185161763 811.268947933687</t>
  </si>
  <si>
    <t>-737.800734271404 -69.4128805024222 311.181151112584</t>
  </si>
  <si>
    <t>-770.945823824032 -82.7047160092353 757.692847125932</t>
  </si>
  <si>
    <t>-629.861435781406 -86.5420251386997 829.579943834974</t>
  </si>
  <si>
    <t>9763-20170724T104709.048554300.bin</t>
  </si>
  <si>
    <t>-807.074132753754 35.0658294054294 -91.4936478019221</t>
  </si>
  <si>
    <t>-820.907037081025 27.2325654902468 -206.226011334915</t>
  </si>
  <si>
    <t>-820.402792013801 25.6832323444773 -304.836304462594</t>
  </si>
  <si>
    <t>-815.504509236011 26.0442972693977 -393.79774997335</t>
  </si>
  <si>
    <t>-805.795755413449 28.1400728470076 -482.339178605206</t>
  </si>
  <si>
    <t>-787.169324606862 32.7861088801897 -605.433794414952</t>
  </si>
  <si>
    <t>-740.047186558775 42.2959193667577 -673.213488099368</t>
  </si>
  <si>
    <t>-800.133174037314 58.0357077945334 -550.957178623766</t>
  </si>
  <si>
    <t>-821.219308383588 192.672319272413 -533.018839465672</t>
  </si>
  <si>
    <t>-780.65241601722 234.01339207266 -244.511463852038</t>
  </si>
  <si>
    <t>-544.22243727877 280.399206702122 -244.267032912354</t>
  </si>
  <si>
    <t>-790.59858242893 3.44753149991584 -551.574790670213</t>
  </si>
  <si>
    <t>-831.856004699151 125.467570618559 -95.5100146146401</t>
  </si>
  <si>
    <t>-823.283629059357 143.911842181015 307.529666731134</t>
  </si>
  <si>
    <t>-886.919380979153 190.644139440807 748.051252509454</t>
  </si>
  <si>
    <t>-742.783585110537 172.219258373374 811.080643792222</t>
  </si>
  <si>
    <t>-737.604348070053 -70.2018896536753 311.213160422574</t>
  </si>
  <si>
    <t>-770.811595852304 -82.898168486655 757.707472481898</t>
  </si>
  <si>
    <t>-629.713772475041 -86.5899452282596 829.575911948303</t>
  </si>
  <si>
    <t>9763-20170724T104709.083647500.bin</t>
  </si>
  <si>
    <t>-806.905677118999 34.5846495316621 -91.5530321356354</t>
  </si>
  <si>
    <t>-820.767725897862 26.7187341100964 -206.279548215647</t>
  </si>
  <si>
    <t>-820.367119730883 25.2230793163862 -304.891317966158</t>
  </si>
  <si>
    <t>-815.592617414345 25.6658026911985 -393.858984424806</t>
  </si>
  <si>
    <t>-806.036201777683 27.8768000349658 -482.414152894487</t>
  </si>
  <si>
    <t>-787.651445211365 32.7192207466128 -605.537496197618</t>
  </si>
  <si>
    <t>-740.669337325179 42.2826439422099 -673.40682990981</t>
  </si>
  <si>
    <t>-800.506106254383 57.8823330917346 -550.995018210482</t>
  </si>
  <si>
    <t>-821.376951110339 192.523802986732 -532.668575631838</t>
  </si>
  <si>
    <t>-780.158254361844 232.858616243213 -244.11127128645</t>
  </si>
  <si>
    <t>-543.839655757061 279.647405138538 -240.214437678815</t>
  </si>
  <si>
    <t>-790.977195257424 3.29440312294173 -551.719101927397</t>
  </si>
  <si>
    <t>-831.784574847733 125.017889052106 -95.5738029867537</t>
  </si>
  <si>
    <t>-823.194949230868 143.603827459687 307.459068125616</t>
  </si>
  <si>
    <t>-886.985825333141 190.663543161673 747.93788371939</t>
  </si>
  <si>
    <t>-742.864353149431 172.181188901239 810.982977389351</t>
  </si>
  <si>
    <t>-737.520436499154 -70.5848308712331 311.22916800551</t>
  </si>
  <si>
    <t>-770.694652939728 -83.2119429423049 757.722897705983</t>
  </si>
  <si>
    <t>-629.577332470585 -86.5035414156175 829.572521069677</t>
  </si>
  <si>
    <t>9763-20170724T104709.154344800.bin</t>
  </si>
  <si>
    <t>-806.763508948036 33.9873905974066 -91.6731758260472</t>
  </si>
  <si>
    <t>-820.702251320893 26.0188926710978 -206.383389290915</t>
  </si>
  <si>
    <t>-820.465035200997 24.530669383689 -304.995618084324</t>
  </si>
  <si>
    <t>-815.874644096807 25.018109863428 -393.972848985336</t>
  </si>
  <si>
    <t>-806.537189916826 27.3115531461244 -482.54925894112</t>
  </si>
  <si>
    <t>-788.493259345983 32.3082172204522 -605.716874077007</t>
  </si>
  <si>
    <t>-741.785953411658 41.939427820113 -673.76605280909</t>
  </si>
  <si>
    <t>-801.186951982271 57.40457953189 -551.106059963374</t>
  </si>
  <si>
    <t>-821.692583605274 192.058329289208 -532.45167100454</t>
  </si>
  <si>
    <t>-779.282755197471 231.426380765839 -243.933402123249</t>
  </si>
  <si>
    <t>-543.325788341154 279.373967196802 -235.202606450213</t>
  </si>
  <si>
    <t>-791.680088036964 2.81424372667107 -551.927914765132</t>
  </si>
  <si>
    <t>-831.826149174395 124.427671773168 -95.7299728420624</t>
  </si>
  <si>
    <t>-822.909221085622 143.219593382065 307.28612755295</t>
  </si>
  <si>
    <t>-887.120810628389 190.739464797948 747.689565471763</t>
  </si>
  <si>
    <t>-743.015072940072 172.180927973202 810.748374303905</t>
  </si>
  <si>
    <t>-737.581982443772 -70.7703458337999 311.212632982896</t>
  </si>
  <si>
    <t>-770.667350099862 -82.9651705492381 757.714331063236</t>
  </si>
  <si>
    <t>-629.598262542927 -87.4063048708286 829.596749404291</t>
  </si>
  <si>
    <t>9763-20170724T104709.183419500.bin</t>
  </si>
  <si>
    <t>-806.680099057007 33.6295186132083 -91.719586374915</t>
  </si>
  <si>
    <t>-820.690185560524 25.6185540987428 -206.418145148751</t>
  </si>
  <si>
    <t>-820.530216524923 24.0870798931339 -305.030039959584</t>
  </si>
  <si>
    <t>-816.015977177937 24.5322425282416 -394.011153065742</t>
  </si>
  <si>
    <t>-806.760446638532 26.7800659340635 -482.597515376638</t>
  </si>
  <si>
    <t>-788.836960966118 31.7098297551647 -605.785435454317</t>
  </si>
  <si>
    <t>-742.234612949 41.3468325278873 -673.905740784379</t>
  </si>
  <si>
    <t>-801.483252025291 56.8348138706742 -551.176609847248</t>
  </si>
  <si>
    <t>-821.977814988037 191.501352874231 -532.520231883079</t>
  </si>
  <si>
    <t>-778.873011498648 231.028822027168 -244.126662007182</t>
  </si>
  <si>
    <t>-543.094814424768 279.584966796578 -234.038368388703</t>
  </si>
  <si>
    <t>-791.965152366673 2.24604254693099 -551.976414111888</t>
  </si>
  <si>
    <t>-831.832468119991 124.087236944413 -95.8003703055799</t>
  </si>
  <si>
    <t>-822.773473753855 143.010742269617 307.206454062095</t>
  </si>
  <si>
    <t>-887.17780391141 190.738725494676 747.564071330726</t>
  </si>
  <si>
    <t>-743.074375704922 172.176309384546 810.627186814244</t>
  </si>
  <si>
    <t>-737.500564851505 -70.977779229814 311.207582178413</t>
  </si>
  <si>
    <t>-770.634321164769 -82.9238229277145 757.709930121179</t>
  </si>
  <si>
    <t>-629.542246298702 -86.8061046463861 829.579668302754</t>
  </si>
  <si>
    <t>9763-20170724T104709.247629700.bin</t>
  </si>
  <si>
    <t>-806.365271938155 33.2802912119939 -91.8141863972542</t>
  </si>
  <si>
    <t>-820.540287523488 25.1422121477985 -206.483474739785</t>
  </si>
  <si>
    <t>-820.525149498299 23.4654764106044 -305.092993880531</t>
  </si>
  <si>
    <t>-816.143092646991 23.7641627767707 -394.081551581888</t>
  </si>
  <si>
    <t>-807.020982290039 25.8514755659185 -482.685602391563</t>
  </si>
  <si>
    <t>-789.285251392963 30.5425000431524 -605.909883979985</t>
  </si>
  <si>
    <t>-742.829897246408 40.1199153934583 -674.139059514455</t>
  </si>
  <si>
    <t>-801.898805493553 55.7646183529937 -551.338417724512</t>
  </si>
  <si>
    <t>-822.803726470695 190.395226032817 -532.954193756784</t>
  </si>
  <si>
    <t>-779.595842910942 231.362096932253 -244.77713831389</t>
  </si>
  <si>
    <t>-543.840152983159 280.432190887644 -236.887525437839</t>
  </si>
  <si>
    <t>-792.280999863756 1.19180646222981 -552.031521619137</t>
  </si>
  <si>
    <t>-831.793270005817 123.796615169909 -95.9447448197038</t>
  </si>
  <si>
    <t>-822.575987772437 142.834068160626 307.053155957624</t>
  </si>
  <si>
    <t>-887.323140217566 190.902769219181 747.344814261054</t>
  </si>
  <si>
    <t>-743.239216399755 172.136112309692 810.391837544183</t>
  </si>
  <si>
    <t>-737.410867026551 -71.3305692414484 311.188318612139</t>
  </si>
  <si>
    <t>-770.52403232353 -82.9825010652494 757.687417654131</t>
  </si>
  <si>
    <t>-629.428922062391 -86.6813674693716 829.560903426613</t>
  </si>
  <si>
    <t>9763-20170724T104709.282724200.bin</t>
  </si>
  <si>
    <t>-806.235141468629 33.1280998399534 -91.8886322994859</t>
  </si>
  <si>
    <t>-820.524060683516 24.9375096660881 -206.540135085908</t>
  </si>
  <si>
    <t>-820.588875754321 23.1642346283875 -305.148046983456</t>
  </si>
  <si>
    <t>-816.273513184707 23.3566054298908 -394.139987142474</t>
  </si>
  <si>
    <t>-807.213361293324 25.3212490213748 -482.753173539481</t>
  </si>
  <si>
    <t>-789.560117949128 29.8252566746614 -605.996398445182</t>
  </si>
  <si>
    <t>-743.14549082284 39.3646229182441 -674.258532368846</t>
  </si>
  <si>
    <t>-802.207341680955 55.117829185232 -551.465184508507</t>
  </si>
  <si>
    <t>-823.637851219304 189.704575933791 -533.365388973444</t>
  </si>
  <si>
    <t>-780.329939465441 231.793386992698 -245.365102102944</t>
  </si>
  <si>
    <t>-544.459995328922 280.784783876299 -241.353879831723</t>
  </si>
  <si>
    <t>-792.449508683451 0.568779164909756 -552.061129212737</t>
  </si>
  <si>
    <t>-831.79788312565 123.646740629864 -96.0221142376714</t>
  </si>
  <si>
    <t>-822.488401684024 142.795625437805 306.968378400213</t>
  </si>
  <si>
    <t>-887.383044823808 190.907232669633 747.234697300517</t>
  </si>
  <si>
    <t>-743.280074405055 172.246046344374 810.269545781194</t>
  </si>
  <si>
    <t>-737.287901860706 -71.3591713620847 311.149715243213</t>
  </si>
  <si>
    <t>-770.472304676239 -82.9282238257221 757.647554423761</t>
  </si>
  <si>
    <t>-629.395271895749 -86.7586119731267 829.549494471475</t>
  </si>
  <si>
    <t>9763-20170724T104709.347934800.bin</t>
  </si>
  <si>
    <t>-805.992096764888 32.6781108867863 -92.0221883810303</t>
  </si>
  <si>
    <t>-820.524497866171 24.349698616305 -206.633045102148</t>
  </si>
  <si>
    <t>-820.750859393656 22.3175984180559 -305.235713636282</t>
  </si>
  <si>
    <t>-816.56398420197 22.2193345483531 -394.234151905486</t>
  </si>
  <si>
    <t>-807.617279038684 23.8400039277149 -482.865766674888</t>
  </si>
  <si>
    <t>-790.107625643684 27.8091982416177 -606.147854637823</t>
  </si>
  <si>
    <t>-743.717786300754 37.3301005099579 -674.429320284352</t>
  </si>
  <si>
    <t>-802.860175300216 53.3075999742939 -551.737233908912</t>
  </si>
  <si>
    <t>-825.538132849491 187.770342745102 -534.372170748045</t>
  </si>
  <si>
    <t>-781.042060082409 232.921084421332 -247.017560615309</t>
  </si>
  <si>
    <t>-545.12287180982 281.528171029179 -252.528807592009</t>
  </si>
  <si>
    <t>-832.037255335251 123.29468967641 -96.1592260798125</t>
  </si>
  <si>
    <t>-822.51302965958 142.612666788446 306.818168771839</t>
  </si>
  <si>
    <t>-887.499941301184 190.941731303996 747.052598583671</t>
  </si>
  <si>
    <t>-743.385012806049 172.326140882346 810.073633098234</t>
  </si>
  <si>
    <t>-736.663066516466 -71.5521164719693 311.057389659687</t>
  </si>
  <si>
    <t>-770.274207859406 -83.3104907049428 757.580496782841</t>
  </si>
  <si>
    <t>-629.194756745816 -86.7405604793129 829.497924627141</t>
  </si>
  <si>
    <t>9763-20170724T104709.379020100.bin</t>
  </si>
  <si>
    <t>-805.982167730587 32.5245785975321 -92.0690037203962</t>
  </si>
  <si>
    <t>-820.591226491763 24.0904341702258 -206.662504742767</t>
  </si>
  <si>
    <t>-820.862926543134 21.9434642415345 -305.262617530199</t>
  </si>
  <si>
    <t>-816.708476394127 21.7287755361867 -394.262212209495</t>
  </si>
  <si>
    <t>-807.785738155163 23.2217844172719 -482.898425721745</t>
  </si>
  <si>
    <t>-790.3009047531 27.0000701457177 -606.190014195217</t>
  </si>
  <si>
    <t>-743.905833618072 36.5579727878505 -674.462913602764</t>
  </si>
  <si>
    <t>-803.130699840876 52.5661960635316 -551.829419340683</t>
  </si>
  <si>
    <t>-826.424023623075 186.961055668351 -534.809206230711</t>
  </si>
  <si>
    <t>-781.09451253652 233.897977846246 -247.871263070029</t>
  </si>
  <si>
    <t>-545.22527134041 281.947084656623 -258.257077596991</t>
  </si>
  <si>
    <t>-832.366250088797 123.155058699171 -96.2397449722059</t>
  </si>
  <si>
    <t>-822.660790926521 142.539691139923 306.730056471855</t>
  </si>
  <si>
    <t>-887.547502184917 190.90794013288 746.974911646704</t>
  </si>
  <si>
    <t>-743.412508587387 172.425046445379 809.989050359905</t>
  </si>
  <si>
    <t>-736.380706161582 -71.5304667939004 311.037281370231</t>
  </si>
  <si>
    <t>-770.274151491615 -83.1430103879601 757.552909284902</t>
  </si>
  <si>
    <t>-629.197946182377 -86.7136025786712 829.469879575025</t>
  </si>
  <si>
    <t>9763-20170724T104709.449226900.bin</t>
  </si>
  <si>
    <t>-805.929271035653 32.0335972187884 -92.2253379520474</t>
  </si>
  <si>
    <t>-820.527256710079 23.4590248124741 -206.809749771254</t>
  </si>
  <si>
    <t>-820.723011686518 21.1568388816929 -305.406527841861</t>
  </si>
  <si>
    <t>-816.472315137245 20.7820771738855 -394.401179352015</t>
  </si>
  <si>
    <t>-807.426902255161 22.0963177413189 -483.027785160971</t>
  </si>
  <si>
    <t>-789.743292296339 25.6045523082012 -606.299078219453</t>
  </si>
  <si>
    <t>-743.313913643878 35.2110617673234 -674.541618465806</t>
  </si>
  <si>
    <t>-802.820257088331 51.259234236383 -552.039039185509</t>
  </si>
  <si>
    <t>-827.186356660854 185.519253828308 -535.407882204391</t>
  </si>
  <si>
    <t>-780.42276724074 234.274629735175 -249.003805212951</t>
  </si>
  <si>
    <t>-544.792307267416 281.533775434599 -266.200104360422</t>
  </si>
  <si>
    <t>-832.927356972429 122.699735955188 -96.4144096015352</t>
  </si>
  <si>
    <t>-822.9659672851 142.43831808302 306.53206578789</t>
  </si>
  <si>
    <t>-887.635373630361 190.879983211296 746.812521115841</t>
  </si>
  <si>
    <t>-743.49337317318 172.487111185962 809.83722202164</t>
  </si>
  <si>
    <t>-735.96601186716 -71.5734769463817 311.001420653456</t>
  </si>
  <si>
    <t>-770.128048064215 -83.3367126067128 757.495749073948</t>
  </si>
  <si>
    <t>-629.028256556086 -86.242423943751 829.396391354434</t>
  </si>
  <si>
    <t>9763-20170724T104709.485324700.bin</t>
  </si>
  <si>
    <t>-805.858254636047 31.8194565428287 -92.2962059428711</t>
  </si>
  <si>
    <t>-820.429746388431 23.2149259708622 -206.881850720312</t>
  </si>
  <si>
    <t>-820.587856601408 20.8972706388095 -305.478222557317</t>
  </si>
  <si>
    <t>-816.296993239297 20.5113081662726 -394.470827449982</t>
  </si>
  <si>
    <t>-807.205399034341 21.8178375651487 -483.09299400659</t>
  </si>
  <si>
    <t>-789.45103656434 25.3186540975721 -606.354237945592</t>
  </si>
  <si>
    <t>-743.000102043225 34.9745188759039 -674.575277497198</t>
  </si>
  <si>
    <t>-802.613098076372 50.9658191174551 -552.11144617048</t>
  </si>
  <si>
    <t>-827.27190583183 185.169346025312 -535.476623903926</t>
  </si>
  <si>
    <t>-780.227902327617 233.704327271819 -249.081241296332</t>
  </si>
  <si>
    <t>-544.718769605811 281.436123342924 -266.630612087373</t>
  </si>
  <si>
    <t>-833.039858779372 122.52374205139 -96.5129073521746</t>
  </si>
  <si>
    <t>-823.193219031253 142.392000252136 306.430013483777</t>
  </si>
  <si>
    <t>-887.675776830252 190.88610312374 746.739146087782</t>
  </si>
  <si>
    <t>-743.539382831039 172.506075560843 809.779998520392</t>
  </si>
  <si>
    <t>-735.846712547464 -71.5977373324039 310.960334673201</t>
  </si>
  <si>
    <t>-770.056593265518 -83.4319915709104 757.467797294902</t>
  </si>
  <si>
    <t>-628.953827345139 -86.276169741878 829.364970218983</t>
  </si>
  <si>
    <t>9763-20170724T104709.549415400.bin</t>
  </si>
  <si>
    <t>-805.850405380437 31.6734809055256 -92.4182744969163</t>
  </si>
  <si>
    <t>-820.363266008182 23.0581668721957 -207.010469808332</t>
  </si>
  <si>
    <t>-820.454053290703 20.8425150033861 -305.609362763097</t>
  </si>
  <si>
    <t>-816.094730369758 20.5946992399779 -394.599057406274</t>
  </si>
  <si>
    <t>-806.926598992801 22.0857092715357 -483.210441310482</t>
  </si>
  <si>
    <t>-789.056931426888 25.8936463076486 -606.445824350123</t>
  </si>
  <si>
    <t>-742.597896940098 35.7107978775364 -674.63833975057</t>
  </si>
  <si>
    <t>-802.306997037875 51.3983838845566 -552.157382554499</t>
  </si>
  <si>
    <t>-827.056554901955 185.544993177048 -535.117612111664</t>
  </si>
  <si>
    <t>-780.981723686492 231.655990702969 -248.164534481294</t>
  </si>
  <si>
    <t>-545.54975975976 281.374697345156 -260.441290007863</t>
  </si>
  <si>
    <t>-833.140943639125 122.413153011635 -96.6539037705313</t>
  </si>
  <si>
    <t>-823.388553593489 142.397151475319 306.28557511136</t>
  </si>
  <si>
    <t>-887.781253471618 190.985319485815 746.62844585325</t>
  </si>
  <si>
    <t>-743.662171451808 172.516687826996 809.683264897731</t>
  </si>
  <si>
    <t>-736.103851823392 -71.6254935306358 310.877384028642</t>
  </si>
  <si>
    <t>-769.99402058091 -83.2934632558864 757.40602573513</t>
  </si>
  <si>
    <t>-628.923200948905 -86.8328730907506 829.335173733425</t>
  </si>
  <si>
    <t>9763-20170724T104709.585511800.bin</t>
  </si>
  <si>
    <t>-805.951008123292 31.6351975939845 -92.4515174950481</t>
  </si>
  <si>
    <t>-820.47561482605 23.0374491336436 -207.043547912146</t>
  </si>
  <si>
    <t>-820.53615533788 20.92327899006 -305.644631164216</t>
  </si>
  <si>
    <t>-816.131920053427 20.801442533312 -394.632494988228</t>
  </si>
  <si>
    <t>-806.901396431333 22.4524927883992 -483.234448960071</t>
  </si>
  <si>
    <t>-788.925705929773 26.5184482989757 -606.446235685679</t>
  </si>
  <si>
    <t>-742.449083193208 36.4232147994076 -674.614013776246</t>
  </si>
  <si>
    <t>-802.210761671093 51.9117240933692 -552.113896981054</t>
  </si>
  <si>
    <t>-826.787812401989 186.045459616395 -534.713907517006</t>
  </si>
  <si>
    <t>-781.691630771359 230.704017253155 -247.375826609063</t>
  </si>
  <si>
    <t>-546.215523069074 280.948475761581 -256.170501166488</t>
  </si>
  <si>
    <t>-833.284058519344 122.348294778426 -96.6826910946666</t>
  </si>
  <si>
    <t>-823.346824072184 142.245426059658 306.256542553995</t>
  </si>
  <si>
    <t>-887.824866104533 190.95437394989 746.589267641115</t>
  </si>
  <si>
    <t>-743.682756019788 172.650679821723 809.639335720144</t>
  </si>
  <si>
    <t>-736.321118345484 -71.756351378794 310.852371308939</t>
  </si>
  <si>
    <t>-769.96696481121 -83.2848552754266 757.399265138985</t>
  </si>
  <si>
    <t>-628.901000349053 -86.9705533788491 829.330603835003</t>
  </si>
  <si>
    <t>9763-20170724T104709.647712000.bin</t>
  </si>
  <si>
    <t>-806.229391710572 31.1143580703483 -92.4765426202196</t>
  </si>
  <si>
    <t>-820.748061838687 22.609003606703 -207.076228716589</t>
  </si>
  <si>
    <t>-820.762941048721 20.7207824089567 -305.681979777034</t>
  </si>
  <si>
    <t>-816.299530887963 20.8619655759555 -394.666724997365</t>
  </si>
  <si>
    <t>-806.990445912155 22.832020289711 -483.254042381854</t>
  </si>
  <si>
    <t>-788.884116789254 27.4019571530705 -606.429059713171</t>
  </si>
  <si>
    <t>-742.349162835562 37.4174446207473 -674.540854948277</t>
  </si>
  <si>
    <t>-802.166649693754 52.5845386845153 -551.99819706415</t>
  </si>
  <si>
    <t>-826.281762149543 186.702055339406 -533.829672071146</t>
  </si>
  <si>
    <t>-782.27108865977 228.6394736788 -245.91377981039</t>
  </si>
  <si>
    <t>-546.65613176257 278.849780732073 -249.832923445756</t>
  </si>
  <si>
    <t>-833.377294500818 121.776510593914 -96.6681015793042</t>
  </si>
  <si>
    <t>-823.492810252994 141.933492995767 306.25948415495</t>
  </si>
  <si>
    <t>-887.937470034782 191.020455314578 746.53510323263</t>
  </si>
  <si>
    <t>-743.824173658962 172.498245178529 809.58707588879</t>
  </si>
  <si>
    <t>-736.759329645074 -72.1600684488635 310.793722847944</t>
  </si>
  <si>
    <t>-769.924238513011 -83.2374400869146 757.398088477018</t>
  </si>
  <si>
    <t>-628.84141062693 -86.6298949638023 829.310675268196</t>
  </si>
  <si>
    <t>9763-20170724T104709.682808400.bin</t>
  </si>
  <si>
    <t>-806.353321563825 30.6231422113651 -92.4765317253218</t>
  </si>
  <si>
    <t>-820.865608186421 22.160923943203 -207.080243003015</t>
  </si>
  <si>
    <t>-820.880962473837 20.3608480922342 -305.6876405609</t>
  </si>
  <si>
    <t>-816.41939885337 20.6013593491116 -394.672302453254</t>
  </si>
  <si>
    <t>-807.112633711315 22.6892521076065 -483.257161673915</t>
  </si>
  <si>
    <t>-789.009727468269 27.441875497369 -606.425767240647</t>
  </si>
  <si>
    <t>-742.451860986743 37.4879714694841 -674.517484252302</t>
  </si>
  <si>
    <t>-802.248539321505 52.5518389181366 -551.950674327986</t>
  </si>
  <si>
    <t>-826.117807850056 186.670847700548 -533.471516789158</t>
  </si>
  <si>
    <t>-781.907452625872 227.201277617567 -245.384813529982</t>
  </si>
  <si>
    <t>-546.310509971442 277.588245854326 -247.853073695189</t>
  </si>
  <si>
    <t>-833.420436361641 121.325643936846 -96.6402537100768</t>
  </si>
  <si>
    <t>-823.58640933434 141.658634378747 306.279788952331</t>
  </si>
  <si>
    <t>-887.992138843354 191.015406685313 746.522024462435</t>
  </si>
  <si>
    <t>-743.86080298408 172.580896584539 809.558610618233</t>
  </si>
  <si>
    <t>-736.92081379243 -72.447948466761 310.78000216072</t>
  </si>
  <si>
    <t>-769.834924818015 -83.4643728963279 757.395689046346</t>
  </si>
  <si>
    <t>-628.744414180608 -86.5805943417533 829.305712073232</t>
  </si>
  <si>
    <t>9763-20170724T104709.746980800.bin</t>
  </si>
  <si>
    <t>-806.679486631188 29.3831906741814 -92.4547191938025</t>
  </si>
  <si>
    <t>-821.122940038016 21.0712470339283 -207.078127409279</t>
  </si>
  <si>
    <t>-821.07988655534 19.423534667259 -305.688108698267</t>
  </si>
  <si>
    <t>-816.564677596662 19.8095577750496 -394.669644676058</t>
  </si>
  <si>
    <t>-807.202613375841 22.0474893726162 -483.244948499141</t>
  </si>
  <si>
    <t>-789.020165305061 27.0124953203233 -606.39341651498</t>
  </si>
  <si>
    <t>-742.42230784652 37.1236262540124 -674.448043137342</t>
  </si>
  <si>
    <t>-802.182558168953 52.0497892624564 -551.866437588259</t>
  </si>
  <si>
    <t>-825.59436496807 186.193109096322 -532.954109536851</t>
  </si>
  <si>
    <t>-781.617691207825 225.571462852969 -244.671914096028</t>
  </si>
  <si>
    <t>-545.932504757582 275.602844064021 -244.173027942474</t>
  </si>
  <si>
    <t>-833.438215968453 120.241284748765 -96.5742461463658</t>
  </si>
  <si>
    <t>-824.153525685643 141.191889720674 306.327127584002</t>
  </si>
  <si>
    <t>-888.113960588919 190.937987780952 746.543932552104</t>
  </si>
  <si>
    <t>-743.939465908249 172.603271632505 809.510848613853</t>
  </si>
  <si>
    <t>-737.247909078365 -72.824758894437 310.727566122163</t>
  </si>
  <si>
    <t>-769.799872405677 -83.3797050009125 757.405982315563</t>
  </si>
  <si>
    <t>-628.712012234361 -86.6680816516588 829.313508136022</t>
  </si>
  <si>
    <t>9763-20170724T104709.781687600.bin</t>
  </si>
  <si>
    <t>-806.799918934262 28.6663608601775 -92.4488340527556</t>
  </si>
  <si>
    <t>-821.167584316141 20.4517583067877 -207.088812920025</t>
  </si>
  <si>
    <t>-821.07424908237 18.8463276428329 -305.699384106888</t>
  </si>
  <si>
    <t>-816.520402069514 19.2553766818874 -394.67880032965</t>
  </si>
  <si>
    <t>-807.126701022413 21.4996424815195 -483.250721369698</t>
  </si>
  <si>
    <t>-788.907401282133 26.4565181728904 -606.394047357633</t>
  </si>
  <si>
    <t>-742.307534670722 36.5606558265949 -674.44845128222</t>
  </si>
  <si>
    <t>-802.012815375783 51.5109728251787 -551.861170022421</t>
  </si>
  <si>
    <t>-825.089160175009 185.676191408276 -532.780636870087</t>
  </si>
  <si>
    <t>-781.663672210596 224.907547592504 -244.394953530843</t>
  </si>
  <si>
    <t>-545.777159724651 273.926580644088 -242.036507584151</t>
  </si>
  <si>
    <t>-833.283122208506 119.757395024071 -96.5713959443339</t>
  </si>
  <si>
    <t>-824.484432266322 141.009684688852 306.325116586417</t>
  </si>
  <si>
    <t>-888.179721144413 190.990766795005 746.55911495118</t>
  </si>
  <si>
    <t>-744.003020140561 172.587604683988 809.50118406911</t>
  </si>
  <si>
    <t>-737.496576130507 -73.2786375139602 310.718683862594</t>
  </si>
  <si>
    <t>-769.736430016228 -83.6435822258194 757.450114727671</t>
  </si>
  <si>
    <t>-628.611215043237 -86.5541965649157 829.300739789902</t>
  </si>
  <si>
    <t>9763-20170724T104709.849870700.bin</t>
  </si>
  <si>
    <t>-807.007802878299 28.0254746234223 -92.4552481029393</t>
  </si>
  <si>
    <t>-821.337506314208 19.940250766598 -207.109119823496</t>
  </si>
  <si>
    <t>-821.149693030077 18.3694381804173 -305.720294157765</t>
  </si>
  <si>
    <t>-816.48906480678 18.7845763875521 -394.694060100412</t>
  </si>
  <si>
    <t>-806.968125887511 21.008846328044 -483.252833641886</t>
  </si>
  <si>
    <t>-788.550810178437 25.9106837335942 -606.368990642113</t>
  </si>
  <si>
    <t>-741.900671215574 35.9068758620122 -674.404799750743</t>
  </si>
  <si>
    <t>-801.574224141105 51.0203796797023 -551.841793330602</t>
  </si>
  <si>
    <t>-823.67355810912 185.294784245881 -532.516803802089</t>
  </si>
  <si>
    <t>-781.784711953829 223.235668971655 -243.731428828428</t>
  </si>
  <si>
    <t>-545.035829329534 267.679592429048 -238.675284734431</t>
  </si>
  <si>
    <t>-832.947159219684 119.311924464636 -96.5919926617919</t>
  </si>
  <si>
    <t>-824.991323522206 141.102240851837 306.293285014977</t>
  </si>
  <si>
    <t>-888.273261797878 191.01490173852 746.599739192477</t>
  </si>
  <si>
    <t>-744.074884863995 172.671589571653 809.509456902113</t>
  </si>
  <si>
    <t>-738.918363759276 -74.1135513931096 310.770663926567</t>
  </si>
  <si>
    <t>-769.700739638809 -83.9487498275831 757.575512788952</t>
  </si>
  <si>
    <t>-628.505248391241 -86.8753918175422 829.287234414377</t>
  </si>
  <si>
    <t>9763-20170724T104709.882957500.bin</t>
  </si>
  <si>
    <t>-807.158861973127 27.9810237095364 -92.4797353213429</t>
  </si>
  <si>
    <t>-821.515685416514 19.9246747961563 -207.132203581684</t>
  </si>
  <si>
    <t>-821.280341385077 18.3766626313998 -305.74364046818</t>
  </si>
  <si>
    <t>-816.549568608482 18.8142825179082 -394.713564117951</t>
  </si>
  <si>
    <t>-806.931593204165 21.0615689543306 -483.261261955723</t>
  </si>
  <si>
    <t>-788.351355359015 25.9966791342408 -606.351546114077</t>
  </si>
  <si>
    <t>-741.635590165506 35.938225181374 -674.350438175197</t>
  </si>
  <si>
    <t>-801.363876545397 51.1062329695969 -551.821915787285</t>
  </si>
  <si>
    <t>-822.947254982176 185.464875567784 -532.4262308595</t>
  </si>
  <si>
    <t>-781.749878590351 221.916795135091 -243.349545082822</t>
  </si>
  <si>
    <t>-544.45560213844 263.422708415115 -238.927759745351</t>
  </si>
  <si>
    <t>-832.831053262522 119.313404231962 -96.6268754682538</t>
  </si>
  <si>
    <t>-825.200996141706 141.273740598699 306.255433030014</t>
  </si>
  <si>
    <t>-888.327518271559 191.112565478871 746.611377340765</t>
  </si>
  <si>
    <t>-744.145748181513 172.61575260893 809.514273594896</t>
  </si>
  <si>
    <t>-739.613706118259 -74.3730832083435 310.781869852794</t>
  </si>
  <si>
    <t>-769.667435545851 -83.9891842803678 757.602345828052</t>
  </si>
  <si>
    <t>-628.461215843707 -86.8586694187283 829.295251069023</t>
  </si>
  <si>
    <t>9763-20170724T104709.947636600.bin</t>
  </si>
  <si>
    <t>-807.484578005039 28.3533956960853 -92.5564345368959</t>
  </si>
  <si>
    <t>-821.958856534718 20.2569325291092 -207.191295779042</t>
  </si>
  <si>
    <t>-821.690841079168 18.7146635305019 -305.802670496716</t>
  </si>
  <si>
    <t>-816.877838752202 19.1765067035249 -394.768239200573</t>
  </si>
  <si>
    <t>-807.125463930878 21.4656497203753 -483.300151214746</t>
  </si>
  <si>
    <t>-788.303763151375 26.4777384810325 -606.350657628606</t>
  </si>
  <si>
    <t>-741.436670043674 36.3906414154167 -674.249306786283</t>
  </si>
  <si>
    <t>-801.340002118603 51.5676709966592 -551.817520283163</t>
  </si>
  <si>
    <t>-822.430506718288 186.039838185987 -532.505729721254</t>
  </si>
  <si>
    <t>-781.208554598976 219.727871133246 -243.097541356338</t>
  </si>
  <si>
    <t>-543.099365686229 256.522055696767 -244.134521463573</t>
  </si>
  <si>
    <t>-832.950933911644 119.544930803313 -96.7270609921671</t>
  </si>
  <si>
    <t>-825.04437702892 141.46230035794 306.15231625746</t>
  </si>
  <si>
    <t>-888.380681204245 191.217451716408 746.551408982487</t>
  </si>
  <si>
    <t>-744.246198654886 172.536873210339 809.508426537313</t>
  </si>
  <si>
    <t>-740.011112292716 -74.6572806035455 310.737143903763</t>
  </si>
  <si>
    <t>-769.563072356543 -84.0846358101727 757.584679935635</t>
  </si>
  <si>
    <t>-628.366486092738 -86.7734570570022 829.303441954277</t>
  </si>
  <si>
    <t>9763-20170724T104709.982864500.bin</t>
  </si>
  <si>
    <t>-807.623404464257 28.4369917297518 -92.550142196853</t>
  </si>
  <si>
    <t>-822.190466853769 20.3026821332728 -207.170635299238</t>
  </si>
  <si>
    <t>-821.923436043822 18.7407753393441 -305.781740571345</t>
  </si>
  <si>
    <t>-817.080317146513 19.1903748975856 -394.745619106005</t>
  </si>
  <si>
    <t>-807.267129511129 21.4728091900313 -483.270939614787</t>
  </si>
  <si>
    <t>-788.328760526172 26.4817020344524 -606.303696439356</t>
  </si>
  <si>
    <t>-741.379927980788 36.422930832337 -674.141870345212</t>
  </si>
  <si>
    <t>-801.42770397943 51.5712088022776 -551.785463012509</t>
  </si>
  <si>
    <t>-822.696921306907 186.055835163041 -532.650392773279</t>
  </si>
  <si>
    <t>-781.116114117836 219.944631580666 -243.317069918377</t>
  </si>
  <si>
    <t>-542.88787704836 255.409125275472 -249.676795211723</t>
  </si>
  <si>
    <t>-833.11814421233 119.493807143767 -96.7325548676808</t>
  </si>
  <si>
    <t>-824.862368986588 141.394131621157 306.14071735902</t>
  </si>
  <si>
    <t>-888.389249977819 191.17538339994 746.503832368266</t>
  </si>
  <si>
    <t>-744.263131726617 172.55314738782 809.497063358229</t>
  </si>
  <si>
    <t>-740.065037197072 -74.7060865423388 310.720792830037</t>
  </si>
  <si>
    <t>-769.573018345467 -83.9557254254228 757.584683016475</t>
  </si>
  <si>
    <t>-628.3882039564 -86.960009205569 829.314134769117</t>
  </si>
  <si>
    <t>9763-20170724T104710.048044100.bin</t>
  </si>
  <si>
    <t>-807.663334094304 27.6925033197431 -92.5305112607675</t>
  </si>
  <si>
    <t>-822.39197721841 19.4401725814264 -207.12188964982</t>
  </si>
  <si>
    <t>-822.166556005915 17.7681902164402 -305.731297414968</t>
  </si>
  <si>
    <t>-817.322891056986 18.1150572685999 -394.695619450628</t>
  </si>
  <si>
    <t>-807.472557937752 20.2951010707263 -483.219493974546</t>
  </si>
  <si>
    <t>-788.44536273131 25.1619683561719 -606.244190037165</t>
  </si>
  <si>
    <t>-741.372312042855 35.2099328187685 -673.98044667346</t>
  </si>
  <si>
    <t>-801.723779140132 50.2898090369711 -551.786965564986</t>
  </si>
  <si>
    <t>-824.210357905965 184.641692994506 -533.157398552848</t>
  </si>
  <si>
    <t>-780.519867762953 221.833209271626 -244.54155289389</t>
  </si>
  <si>
    <t>-543.104041435751 258.434327195399 -263.114111058119</t>
  </si>
  <si>
    <t>-833.27025897238 118.66281187395 -96.7199654656288</t>
  </si>
  <si>
    <t>-824.863038579629 140.955153250357 306.128731491586</t>
  </si>
  <si>
    <t>-888.440836796607 191.202264176857 746.402598545655</t>
  </si>
  <si>
    <t>-744.328745526843 172.666863552555 809.453656236132</t>
  </si>
  <si>
    <t>-740.027295716055 -74.9571317701378 310.77050419311</t>
  </si>
  <si>
    <t>-769.544656117698 -83.9438455096529 757.619292670391</t>
  </si>
  <si>
    <t>-628.358600247924 -87.2771687240111 829.331751392579</t>
  </si>
  <si>
    <t>9763-20170724T104710.080128700.bin</t>
  </si>
  <si>
    <t>-807.855087983573 27.1536272130504 -92.5626438324614</t>
  </si>
  <si>
    <t>-822.612052562034 18.8342537297269 -207.145592333254</t>
  </si>
  <si>
    <t>-822.392415437099 17.1081794632798 -305.753966209977</t>
  </si>
  <si>
    <t>-817.54652685953 17.4066356214705 -394.718528120716</t>
  </si>
  <si>
    <t>-807.687129161991 19.5408355895809 -483.242333321259</t>
  </si>
  <si>
    <t>-788.640319465322 24.3473880755209 -606.266364526583</t>
  </si>
  <si>
    <t>-741.530386617456 34.4904342977525 -673.962856761154</t>
  </si>
  <si>
    <t>-802.033973834302 49.4826859774082 -551.840972299988</t>
  </si>
  <si>
    <t>-825.314355356686 183.728150076447 -533.42848675459</t>
  </si>
  <si>
    <t>-780.065049127099 222.368567226665 -245.243488477452</t>
  </si>
  <si>
    <t>-543.474173816802 261.594122400083 -268.41609939268</t>
  </si>
  <si>
    <t>-833.761918791297 118.281911583286 -96.7437034920699</t>
  </si>
  <si>
    <t>-825.05180164315 140.624309462725 306.095753316117</t>
  </si>
  <si>
    <t>-888.47701657056 191.206101481866 746.367985272652</t>
  </si>
  <si>
    <t>-744.379127876845 172.605222090505 809.432156930843</t>
  </si>
  <si>
    <t>-740.085056971292 -75.1700482208387 310.781813343893</t>
  </si>
  <si>
    <t>-769.481147295397 -84.1227352717176 757.63851542555</t>
  </si>
  <si>
    <t>-628.271368686683 -86.9651411015562 829.325421544674</t>
  </si>
  <si>
    <t>9763-20170724T104710.149359800.bin</t>
  </si>
  <si>
    <t>-808.443916514451 26.2296474991422 -92.6135307213268</t>
  </si>
  <si>
    <t>-823.172756613883 17.86870104062 -207.196996888285</t>
  </si>
  <si>
    <t>-822.903758761629 16.1298673185102 -305.80507352851</t>
  </si>
  <si>
    <t>-818.002565607353 16.4239525049184 -394.766451785698</t>
  </si>
  <si>
    <t>-808.078194878895 18.563348480121 -483.283124020642</t>
  </si>
  <si>
    <t>-788.930904414053 23.3879776061244 -606.290825491437</t>
  </si>
  <si>
    <t>-741.826403964999 33.7732840529868 -673.95418840275</t>
  </si>
  <si>
    <t>-802.552048403849 48.4812802755921 -551.902399132897</t>
  </si>
  <si>
    <t>-826.851144347864 182.534589438643 -533.577061202456</t>
  </si>
  <si>
    <t>-779.730628182059 223.944390793525 -246.077191077991</t>
  </si>
  <si>
    <t>-544.471391073949 270.735211969829 -268.761777653347</t>
  </si>
  <si>
    <t>-834.894409213567 117.540408735711 -96.7744889067866</t>
  </si>
  <si>
    <t>-825.648921148049 140.172437904345 306.036868733099</t>
  </si>
  <si>
    <t>-888.57146704876 191.208570545816 746.337762966339</t>
  </si>
  <si>
    <t>-744.449639917157 172.718319310271 809.379902305772</t>
  </si>
  <si>
    <t>-740.157374793852 -75.4006262493157 310.747633454924</t>
  </si>
  <si>
    <t>-769.332363504937 -84.443208332082 757.636947664706</t>
  </si>
  <si>
    <t>-628.105423098409 -86.556667891119 829.315260140597</t>
  </si>
  <si>
    <t>9763-20170724T104710.182450500.bin</t>
  </si>
  <si>
    <t>-808.536624836134 25.8973785520188 -92.6270437102064</t>
  </si>
  <si>
    <t>-823.276309128022 17.5567842807909 -207.210566705424</t>
  </si>
  <si>
    <t>-823.020181880695 15.8867966526993 -305.819874299904</t>
  </si>
  <si>
    <t>-818.131742332821 16.2637895398486 -394.78173124399</t>
  </si>
  <si>
    <t>-808.221037190845 18.5083801369958 -483.297195111062</t>
  </si>
  <si>
    <t>-789.093815382613 23.5033570259059 -606.30126739088</t>
  </si>
  <si>
    <t>-742.045351733476 34.0134154684829 -673.984533607493</t>
  </si>
  <si>
    <t>-802.752547925602 48.5124811232904 -551.883570204663</t>
  </si>
  <si>
    <t>-827.121449063534 182.514054406894 -533.315910317246</t>
  </si>
  <si>
    <t>-780.366113761326 224.800838269817 -245.884313352114</t>
  </si>
  <si>
    <t>-545.325458618101 274.930460393469 -263.024879943449</t>
  </si>
  <si>
    <t>-834.975976922257 117.156871173969 -96.7689346035874</t>
  </si>
  <si>
    <t>-825.920725905413 140.099028649618 306.029220267536</t>
  </si>
  <si>
    <t>-888.628760863788 191.219160530459 746.342461686176</t>
  </si>
  <si>
    <t>-744.505460772309 172.677368478717 809.366125160744</t>
  </si>
  <si>
    <t>-740.07097913707 -75.3495456202052 310.703475437172</t>
  </si>
  <si>
    <t>-769.334138893366 -84.2230585529234 757.604381324416</t>
  </si>
  <si>
    <t>-628.133540096722 -86.7173600087468 829.322372364667</t>
  </si>
  <si>
    <t>9763-20170724T104710.246120100.bin</t>
  </si>
  <si>
    <t>-808.443858511998 25.550771693953 -92.6068565652175</t>
  </si>
  <si>
    <t>-823.287156463811 17.2469377744749 -207.17977575882</t>
  </si>
  <si>
    <t>-823.123304527352 15.7426214260338 -305.791858325275</t>
  </si>
  <si>
    <t>-818.318028943287 16.324546968875 -394.757156165441</t>
  </si>
  <si>
    <t>-808.489670720289 18.8292905516284 -483.274749542796</t>
  </si>
  <si>
    <t>-789.475649546775 24.2460195936414 -606.278686611234</t>
  </si>
  <si>
    <t>-742.563961395474 34.8718795391696 -674.038440827138</t>
  </si>
  <si>
    <t>-803.097629361306 49.0658522207873 -551.765039315426</t>
  </si>
  <si>
    <t>-827.237754563067 182.990010371127 -532.417492156696</t>
  </si>
  <si>
    <t>-782.663561422023 224.554598073045 -244.534303840814</t>
  </si>
  <si>
    <t>-547.489652394092 276.916731452136 -246.056840494893</t>
  </si>
  <si>
    <t>-834.852634446802 116.786573300826 -96.7307881601708</t>
  </si>
  <si>
    <t>-825.962345233044 139.956290199671 306.057984436628</t>
  </si>
  <si>
    <t>-888.727401224392 191.171202264443 746.368086715086</t>
  </si>
  <si>
    <t>-744.573309470062 172.719821331553 809.34783424598</t>
  </si>
  <si>
    <t>-739.878367578178 -75.3780020844811 310.642091731831</t>
  </si>
  <si>
    <t>-769.28269023621 -84.0261943141056 757.544835066772</t>
  </si>
  <si>
    <t>-628.129362670637 -87.1889861144207 829.32948830668</t>
  </si>
  <si>
    <t>9763-20170724T104710.282730200.bin</t>
  </si>
  <si>
    <t>-808.35015656097 25.403514350651 -92.5943788416422</t>
  </si>
  <si>
    <t>-823.334971982307 17.1381325465827 -207.151501283141</t>
  </si>
  <si>
    <t>-823.289559335669 15.718056026466 -305.765167202047</t>
  </si>
  <si>
    <t>-818.589093486215 16.3965880360831 -394.735270165235</t>
  </si>
  <si>
    <t>-808.86241292262 19.0170943719222 -483.26093374081</t>
  </si>
  <si>
    <t>-789.986463102717 24.6151162678066 -606.277789758828</t>
  </si>
  <si>
    <t>-743.150566073293 35.2334673138259 -674.091404393954</t>
  </si>
  <si>
    <t>-803.507932691438 49.3621059345692 -551.706129695362</t>
  </si>
  <si>
    <t>-827.214613525876 183.305698820003 -531.908814567881</t>
  </si>
  <si>
    <t>-783.934160398061 222.21300014602 -243.457370196875</t>
  </si>
  <si>
    <t>-548.293119556696 272.397383621206 -241.07737622526</t>
  </si>
  <si>
    <t>-834.837802148415 116.693217981329 -96.6729462761053</t>
  </si>
  <si>
    <t>-825.777249097671 139.819547432002 306.114540407628</t>
  </si>
  <si>
    <t>-888.7671840919 191.097708273741 746.393217768311</t>
  </si>
  <si>
    <t>-744.594329623321 172.700989550036 809.345867030116</t>
  </si>
  <si>
    <t>-739.68756211952 -75.4585161095691 310.607394566546</t>
  </si>
  <si>
    <t>-769.197593329115 -84.1378458751858 757.507253250494</t>
  </si>
  <si>
    <t>-628.041644857449 -86.7662030466429 829.308250112455</t>
  </si>
  <si>
    <t>9763-20170724T104710.349907400.bin</t>
  </si>
  <si>
    <t>-808.149557412523 24.9774434540748 -92.5799906380029</t>
  </si>
  <si>
    <t>-823.439775882955 16.7747100819656 -207.10133543358</t>
  </si>
  <si>
    <t>-823.724293500876 15.4587072747352 -305.716032295063</t>
  </si>
  <si>
    <t>-819.348849803989 16.2556339735729 -394.701738142348</t>
  </si>
  <si>
    <t>-809.972722237595 19.019604491619 -483.260685123027</t>
  </si>
  <si>
    <t>-791.612506103968 24.8461145966126 -606.345126687897</t>
  </si>
  <si>
    <t>-744.974198417472 35.4668267647694 -674.294357933003</t>
  </si>
  <si>
    <t>-804.866004846635 49.498858082535 -551.665190418884</t>
  </si>
  <si>
    <t>-828.15526609564 183.490649702465 -531.578551250286</t>
  </si>
  <si>
    <t>-785.503832870206 216.127263861515 -242.257079618578</t>
  </si>
  <si>
    <t>-548.312712338354 258.364696455197 -244.949861448249</t>
  </si>
  <si>
    <t>-834.5690565647 116.35493625531 -96.5600225977194</t>
  </si>
  <si>
    <t>-825.415930364309 139.553515107389 306.221182681119</t>
  </si>
  <si>
    <t>-888.851766297506 191.160800726775 746.430684132475</t>
  </si>
  <si>
    <t>-744.656556067834 172.796819224387 809.341746347499</t>
  </si>
  <si>
    <t>-739.176564412031 -75.4526331970696 310.544921482923</t>
  </si>
  <si>
    <t>-769.151849210475 -83.8557941065774 757.409431995232</t>
  </si>
  <si>
    <t>-628.041562139905 -86.8766542980078 829.284554359667</t>
  </si>
  <si>
    <t>9763-20170724T104710.382994500.bin</t>
  </si>
  <si>
    <t>-807.941717860451 24.4367963865936 -92.5706946972424</t>
  </si>
  <si>
    <t>-823.427268874722 16.171057716502 -207.061377929534</t>
  </si>
  <si>
    <t>-823.924271034711 14.7967745015396 -305.67431380811</t>
  </si>
  <si>
    <t>-819.758586589946 15.5403130156831 -394.670569265575</t>
  </si>
  <si>
    <t>-810.609510829639 18.2517014703776 -483.254876116949</t>
  </si>
  <si>
    <t>-792.584196339095 24.006554563369 -606.392210451533</t>
  </si>
  <si>
    <t>-746.046601765531 34.7035587387904 -674.398431943334</t>
  </si>
  <si>
    <t>-805.724133446446 48.6845740493675 -551.696210734713</t>
  </si>
  <si>
    <t>-829.144515383827 182.662284659907 -531.684186070114</t>
  </si>
  <si>
    <t>-785.070603371024 214.542471859392 -242.491698249774</t>
  </si>
  <si>
    <t>-547.57182173429 254.19981146164 -251.006714878998</t>
  </si>
  <si>
    <t>-834.513810477818 115.883353627129 -96.5156190299036</t>
  </si>
  <si>
    <t>-825.047068370829 139.278355530704 306.247022444702</t>
  </si>
  <si>
    <t>-888.877323978484 191.254053931884 746.394899032098</t>
  </si>
  <si>
    <t>-744.696209057192 172.770095534628 809.303411068804</t>
  </si>
  <si>
    <t>-738.75766344401 -75.5719533626703 310.532524916675</t>
  </si>
  <si>
    <t>-769.110120963786 -83.7784344555622 757.349943144475</t>
  </si>
  <si>
    <t>-628.022943205643 -86.8079319486156 829.270137805302</t>
  </si>
  <si>
    <t>9763-20170724T104710.447669800.bin</t>
  </si>
  <si>
    <t>-807.46932397153 22.6675948644959 -92.5517697006759</t>
  </si>
  <si>
    <t>-823.238586701236 14.255726351091 -206.99286745772</t>
  </si>
  <si>
    <t>-824.084681544647 12.7518803008802 -305.601682924242</t>
  </si>
  <si>
    <t>-820.275642956759 13.3758516247462 -394.614813218138</t>
  </si>
  <si>
    <t>-811.52363354018 15.9689750193718 -483.242838149501</t>
  </si>
  <si>
    <t>-794.094624910187 21.562237742638 -606.473418300785</t>
  </si>
  <si>
    <t>-747.82815344694 32.5735738415883 -674.614315969427</t>
  </si>
  <si>
    <t>-807.147874108075 46.277819608966 -551.773545060894</t>
  </si>
  <si>
    <t>-831.778440887354 180.144024743531 -532.281721483847</t>
  </si>
  <si>
    <t>-784.260527884676 215.319472037982 -244.018097695252</t>
  </si>
  <si>
    <t>-547.987875613057 257.908254258727 -264.322869487494</t>
  </si>
  <si>
    <t>-834.597830458189 113.988791148689 -96.4206758679044</t>
  </si>
  <si>
    <t>-824.402992127357 138.390502269971 306.264457364719</t>
  </si>
  <si>
    <t>-888.915363442528 191.499953146332 746.222485824159</t>
  </si>
  <si>
    <t>-744.73729309482 172.930098210972 809.112548735867</t>
  </si>
  <si>
    <t>-737.363570692059 -76.2396145506887 310.500905120059</t>
  </si>
  <si>
    <t>-768.951805223913 -83.7709372547881 757.208904906916</t>
  </si>
  <si>
    <t>-627.916542462532 -86.6437266519607 829.237282057769</t>
  </si>
  <si>
    <t>9763-20170724T104710.481262900.bin</t>
  </si>
  <si>
    <t>-807.220117677389 21.2861890103027 -92.5659745727423</t>
  </si>
  <si>
    <t>-823.058241353008 12.8538959223556 -206.996103592166</t>
  </si>
  <si>
    <t>-824.046067634453 11.3143915691151 -305.603005910037</t>
  </si>
  <si>
    <t>-820.399261644927 11.9007878225268 -394.623112212942</t>
  </si>
  <si>
    <t>-811.843980103746 14.4556684613979 -483.271431061048</t>
  </si>
  <si>
    <t>-794.726098327406 19.9969134676192 -606.547905851863</t>
  </si>
  <si>
    <t>-748.62318943233 31.1710028520331 -674.773321303951</t>
  </si>
  <si>
    <t>-807.790900857742 44.7058703291495 -551.848078084697</t>
  </si>
  <si>
    <t>-833.466783073686 178.423553138389 -532.598341313896</t>
  </si>
  <si>
    <t>-784.534263132771 215.632950526719 -244.827101760674</t>
  </si>
  <si>
    <t>-549.469745061885 263.145379314597 -268.024298424303</t>
  </si>
  <si>
    <t>-834.695081401617 112.676750257686 -96.390684926466</t>
  </si>
  <si>
    <t>-824.317147429061 137.732203750009 306.24960986308</t>
  </si>
  <si>
    <t>-888.91863135718 191.568423308446 746.120816318313</t>
  </si>
  <si>
    <t>-744.755754227224 172.962941042954 809.035066646623</t>
  </si>
  <si>
    <t>-736.569362312273 -76.6960050991443 310.443975228198</t>
  </si>
  <si>
    <t>-768.902872362029 -83.7509674078811 757.155223477507</t>
  </si>
  <si>
    <t>-627.8857033181 -86.6507691919919 829.218003393768</t>
  </si>
  <si>
    <t>9763-20170724T104710.545973800.bin</t>
  </si>
  <si>
    <t>-806.452082631007 16.6983454322722 -92.4492284045269</t>
  </si>
  <si>
    <t>-822.409120956724 8.32694867876762 -206.867342006501</t>
  </si>
  <si>
    <t>-823.690871761999 6.89116072817342 -305.472492695827</t>
  </si>
  <si>
    <t>-820.389832634508 7.60117772791978 -394.505160967655</t>
  </si>
  <si>
    <t>-812.263076889988 10.3236388223909 -483.188903729944</t>
  </si>
  <si>
    <t>-795.831512677341 16.1538875619358 -606.545341761426</t>
  </si>
  <si>
    <t>-750.215305188871 27.8482728765075 -675.010081462542</t>
  </si>
  <si>
    <t>-809.016742530239 40.6455171645373 -551.776620483721</t>
  </si>
  <si>
    <t>-837.263412844924 173.801091491251 -532.522054070383</t>
  </si>
  <si>
    <t>-792.129760706661 213.684257289044 -244.488221934303</t>
  </si>
  <si>
    <t>-560.010476361872 275.220702682809 -264.103401918053</t>
  </si>
  <si>
    <t>-834.775473942059 108.68192713133 -96.1855830185962</t>
  </si>
  <si>
    <t>-824.29744052065 135.60407031705 306.331663340938</t>
  </si>
  <si>
    <t>-888.89940497112 191.470834587541 746.017893966784</t>
  </si>
  <si>
    <t>-744.686192510508 173.305512381051 808.945386036419</t>
  </si>
  <si>
    <t>-734.645611009408 -77.7930349236121 310.437624050432</t>
  </si>
  <si>
    <t>-768.736992125138 -83.970627701118 757.046773822474</t>
  </si>
  <si>
    <t>-627.727749320487 -85.8904445163521 829.157856535172</t>
  </si>
  <si>
    <t>9763-20170724T104710.579564900.bin</t>
  </si>
  <si>
    <t>-805.972376539331 13.6047949783542 -92.3458129169061</t>
  </si>
  <si>
    <t>-822.103269468508 5.16861295664489 -206.734705082037</t>
  </si>
  <si>
    <t>-823.587463934052 3.95142350961942 -305.339951077245</t>
  </si>
  <si>
    <t>-820.491873505955 4.97793386012722 -394.377076560419</t>
  </si>
  <si>
    <t>-812.59556761979 8.14665695324834 -483.066593421405</t>
  </si>
  <si>
    <t>-796.512959176491 14.7451940875769 -606.430448956588</t>
  </si>
  <si>
    <t>-751.188590784965 27.0649196286076 -674.979308220996</t>
  </si>
  <si>
    <t>-809.974488951596 38.7981667443066 -551.534578157417</t>
  </si>
  <si>
    <t>-840.265122736694 171.448508410637 -532.026058393795</t>
  </si>
  <si>
    <t>-798.644086500115 211.992619046851 -243.555732741888</t>
  </si>
  <si>
    <t>-568.284398731788 281.116400266809 -257.949592511377</t>
  </si>
  <si>
    <t>-835.100251858928 106.083875381937 -96.0318201763606</t>
  </si>
  <si>
    <t>-824.335528700324 133.994641422143 306.410465559996</t>
  </si>
  <si>
    <t>-888.853865753869 191.323270056628 745.987160538909</t>
  </si>
  <si>
    <t>-744.605645209412 173.531186707434 808.941094283864</t>
  </si>
  <si>
    <t>-733.194621882993 -78.3177301834687 310.426917169909</t>
  </si>
  <si>
    <t>-768.686189214637 -83.8705411124078 756.970101881035</t>
  </si>
  <si>
    <t>-627.701662127452 -86.0345238843898 829.122576574657</t>
  </si>
  <si>
    <t>9763-20170724T104710.648771600.bin</t>
  </si>
  <si>
    <t>-806.541995030165 6.49530284112552 -92.0511235500726</t>
  </si>
  <si>
    <t>-814.568264283426 3.00508843045304 -482.673601090042</t>
  </si>
  <si>
    <t>-799.024486986395 11.574062637543 -605.985358594962</t>
  </si>
  <si>
    <t>-754.177447502091 25.7486988010216 -674.489634751851</t>
  </si>
  <si>
    <t>-813.481171781372 34.4300189606354 -550.831713483271</t>
  </si>
  <si>
    <t>-849.136340926042 165.520902913295 -529.723990978476</t>
  </si>
  <si>
    <t>-813.441371067367 207.126623196126 -240.611520595806</t>
  </si>
  <si>
    <t>-584.387831045114 281.688432122656 -245.697374365865</t>
  </si>
  <si>
    <t>-838.901791505694 99.479477379374 -95.5503922165258</t>
  </si>
  <si>
    <t>-823.508690856226 128.430965012 306.667800422902</t>
  </si>
  <si>
    <t>-888.185906514116 190.051146981355 745.518499016437</t>
  </si>
  <si>
    <t>-744.050231173792 173.842975198512 809.154115454528</t>
  </si>
  <si>
    <t>-729.646739203629 -80.4509863278673 310.402612404468</t>
  </si>
  <si>
    <t>-768.614695893623 -84.2357408255255 756.890465340645</t>
  </si>
  <si>
    <t>-627.524775178805 -84.7355366171579 828.867337641738</t>
  </si>
  <si>
    <t>9763-20170724T104710.680879200.bin</t>
  </si>
  <si>
    <t>-807.808005728688 2.46063349036353 -91.7400862671542</t>
  </si>
  <si>
    <t>-800.952563074527 9.04915108718251 -605.626403231143</t>
  </si>
  <si>
    <t>-756.333359742978 24.1781285742914 -674.07527291493</t>
  </si>
  <si>
    <t>-815.910012530584 31.3867412936204 -550.393977598337</t>
  </si>
  <si>
    <t>-854.415775804985 161.535139508127 -528.454256300924</t>
  </si>
  <si>
    <t>-819.593688293543 201.870470079239 -239.055336714455</t>
  </si>
  <si>
    <t>-591.474296780224 279.243836300042 -244.134177570362</t>
  </si>
  <si>
    <t>-841.975390294184 94.9603431985038 -94.9214092336173</t>
  </si>
  <si>
    <t>-822.194490827984 125.141217958063 307.014545134575</t>
  </si>
  <si>
    <t>-887.929954983953 189.733222986224 745.440098169305</t>
  </si>
  <si>
    <t>-743.855152683936 173.989311066489 809.329438090331</t>
  </si>
  <si>
    <t>-728.127205995744 -81.9738579538491 310.464461111737</t>
  </si>
  <si>
    <t>-768.540240371907 -84.690467902925 756.968714740796</t>
  </si>
  <si>
    <t>-627.364804998758 -84.0719420823918 828.776886086648</t>
  </si>
  <si>
    <t>9763-20170724T104710.751095200.bin</t>
  </si>
  <si>
    <t>-803.674875814814 3.77798230947042 -604.924503135505</t>
  </si>
  <si>
    <t>-759.739232331985 20.7161356178351 -673.391942981886</t>
  </si>
  <si>
    <t>-819.41094003288 25.054188492308 -549.489776850743</t>
  </si>
  <si>
    <t>-862.680521409955 153.332299060966 -525.791857702615</t>
  </si>
  <si>
    <t>-823.728691241684 192.180723080695 -236.716226095466</t>
  </si>
  <si>
    <t>-597.108396138754 273.859943700324 -241.470993520896</t>
  </si>
  <si>
    <t>-848.682915019041 84.9265700021328 -93.8181059610752</t>
  </si>
  <si>
    <t>-822.743102338316 119.136086088637 307.444285897599</t>
  </si>
  <si>
    <t>-887.58541440284 188.806976297519 745.267040147525</t>
  </si>
  <si>
    <t>-743.505175177773 174.762841083596 809.539438496256</t>
  </si>
  <si>
    <t>-725.892616587765 -84.5869903698316 310.697343831481</t>
  </si>
  <si>
    <t>-768.259583136956 -85.6587361261119 757.076693664791</t>
  </si>
  <si>
    <t>-626.977400571852 -82.622726536086 828.612807286786</t>
  </si>
  <si>
    <t>9763-20170724T104710.812253100.bin</t>
  </si>
  <si>
    <t>-802.954643588868 0.728652878196499 -603.579497783127</t>
  </si>
  <si>
    <t>-759.461116329921 19.1934993302939 -671.934481847925</t>
  </si>
  <si>
    <t>-819.615911565915 20.8632173169667 -547.988904742922</t>
  </si>
  <si>
    <t>-865.624661939445 147.934809603559 -522.820115179681</t>
  </si>
  <si>
    <t>-824.087542175111 186.686154428298 -234.09147414065</t>
  </si>
  <si>
    <t>-598.07827240039 270.106749806176 -237.510579857211</t>
  </si>
  <si>
    <t>-854.729444972054 76.2494038023483 -92.6864678936877</t>
  </si>
  <si>
    <t>-827.046081448526 114.413810465121 308.10249189077</t>
  </si>
  <si>
    <t>-887.660303711074 187.758376357253 746.161802565371</t>
  </si>
  <si>
    <t>-743.432842963297 174.908798178397 810.353874558221</t>
  </si>
  <si>
    <t>-721.525691887534 -87.3951081684658 310.878987938229</t>
  </si>
  <si>
    <t>-768.126560203625 -85.9139034704481 757.110782536327</t>
  </si>
  <si>
    <t>-626.777708975032 -81.8975754693039 828.466753411419</t>
  </si>
  <si>
    <t>9763-20170724T104710.850365100.bin</t>
  </si>
  <si>
    <t>-758.628002571104 18.3005345267945 -670.815772105783</t>
  </si>
  <si>
    <t>-819.139213767065 18.9596911425738 -546.976878134057</t>
  </si>
  <si>
    <t>-866.060413682219 145.630387787577 -521.451557727446</t>
  </si>
  <si>
    <t>-824.258366823325 183.721588886571 -232.673294927008</t>
  </si>
  <si>
    <t>-598.404958959334 267.591483646367 -235.30753291429</t>
  </si>
  <si>
    <t>-857.697945267252 72.9592938322592 -91.9049564200196</t>
  </si>
  <si>
    <t>-830.065364035547 112.615362961452 308.742637808274</t>
  </si>
  <si>
    <t>-887.800903612279 187.415768922556 747.001207184378</t>
  </si>
  <si>
    <t>-743.477570666681 174.826412366607 811.029223595424</t>
  </si>
  <si>
    <t>-719.182889358411 -88.5165800858513 311.103319618405</t>
  </si>
  <si>
    <t>-768.091728833295 -86.1276476003962 757.092164620797</t>
  </si>
  <si>
    <t>-626.7154982517 -81.2995406962101 828.343518476565</t>
  </si>
  <si>
    <t>9763-20170724T104710.885464600.bin</t>
  </si>
  <si>
    <t>-758.755267255424 17.2755725640586 -669.791626763516</t>
  </si>
  <si>
    <t>-819.587776056821 17.1903298709765 -546.094997955062</t>
  </si>
  <si>
    <t>-867.232374356173 143.543489107501 -520.391497209486</t>
  </si>
  <si>
    <t>-825.599412583235 181.59011742811 -231.582901435654</t>
  </si>
  <si>
    <t>-599.598965831447 265.089324428751 -233.182874306527</t>
  </si>
  <si>
    <t>-860.368399528122 70.3922286027614 -91.1439352998551</t>
  </si>
  <si>
    <t>-832.929680591398 111.025000896367 309.419145478059</t>
  </si>
  <si>
    <t>-887.941576296277 187.267263295896 747.803070251889</t>
  </si>
  <si>
    <t>-743.538463740004 174.62842746272 811.641256243245</t>
  </si>
  <si>
    <t>-719.342591682444 -89.6995302036059 311.376764783709</t>
  </si>
  <si>
    <t>-767.903647921059 -86.5167898297181 757.10879962684</t>
  </si>
  <si>
    <t>-626.546357008492 -80.3847661365611 828.297231966264</t>
  </si>
  <si>
    <t>9763-20170724T104710.949131700.bin</t>
  </si>
  <si>
    <t>-760.042355119471 15.1250827247752 -668.815671986202</t>
  </si>
  <si>
    <t>-821.296013399159 14.4304212069399 -545.363746614049</t>
  </si>
  <si>
    <t>-869.989120224151 140.414415698193 -519.834644521925</t>
  </si>
  <si>
    <t>-829.34356725822 178.194890739637 -230.850649572348</t>
  </si>
  <si>
    <t>-603.203287335028 261.327791517655 -231.42232156214</t>
  </si>
  <si>
    <t>-863.57159270552 66.8969789431262 -90.2041250361476</t>
  </si>
  <si>
    <t>-836.498257187895 109.139873245402 310.217199679602</t>
  </si>
  <si>
    <t>-888.116491783078 187.002531431873 748.892969654453</t>
  </si>
  <si>
    <t>-743.632895140171 174.043846609152 812.484404910346</t>
  </si>
  <si>
    <t>-721.597262241749 -90.5018621075983 311.741245820142</t>
  </si>
  <si>
    <t>-767.917954938386 -85.8699144999027 757.247356883076</t>
  </si>
  <si>
    <t>-626.560965289169 -80.3721328477847 828.488300070429</t>
  </si>
  <si>
    <t>9763-20170724T104710.981603600.bin</t>
  </si>
  <si>
    <t>-760.918702336991 13.1280002391084 -668.7323872533</t>
  </si>
  <si>
    <t>-822.190807489791 12.4905825849239 -545.319946178102</t>
  </si>
  <si>
    <t>-871.088693762414 138.456709427155 -520.022605285964</t>
  </si>
  <si>
    <t>-830.97573813211 175.626881062731 -230.884997132571</t>
  </si>
  <si>
    <t>-604.865917381557 258.84404010043 -231.275123081968</t>
  </si>
  <si>
    <t>-864.056574675456 65.4857407974694 -89.9471573258655</t>
  </si>
  <si>
    <t>-837.491446142749 108.302287963179 310.447314889201</t>
  </si>
  <si>
    <t>-888.196874129453 186.755713885551 749.213526092071</t>
  </si>
  <si>
    <t>-743.677811419129 173.871054525004 812.739350561019</t>
  </si>
  <si>
    <t>-722.370437057858 -90.842882296623 311.817701480716</t>
  </si>
  <si>
    <t>-767.753864856568 -85.9478453195862 757.327525178848</t>
  </si>
  <si>
    <t>-626.445629012722 -79.5492509028353 828.589993800786</t>
  </si>
  <si>
    <t>9763-20170724T104711.046267600.bin</t>
  </si>
  <si>
    <t>-762.042243599268 8.49196782841705 -668.812218535786</t>
  </si>
  <si>
    <t>-823.035568644969 8.45403981754112 -545.281934725047</t>
  </si>
  <si>
    <t>-871.809002349279 134.563430470463 -520.520384687836</t>
  </si>
  <si>
    <t>-832.562320191486 170.914232135008 -231.159862184445</t>
  </si>
  <si>
    <t>-606.234375305455 253.536918962304 -231.307532278815</t>
  </si>
  <si>
    <t>-863.381418206279 63.1952383954726 -89.6234917744653</t>
  </si>
  <si>
    <t>-838.718089671097 107.152956638899 310.768950307914</t>
  </si>
  <si>
    <t>-888.345368856497 186.508842620146 749.603090769789</t>
  </si>
  <si>
    <t>-743.778889587862 173.484552764828 812.992201458639</t>
  </si>
  <si>
    <t>-721.727069347625 -91.1051354814568 311.841514945176</t>
  </si>
  <si>
    <t>-767.665845174108 -85.3912979159674 757.349212613704</t>
  </si>
  <si>
    <t>-626.40142117579 -79.0680699522604 828.705290413815</t>
  </si>
  <si>
    <t>9763-20170724T104711.082608700.bin</t>
  </si>
  <si>
    <t>-762.412976827702 6.94220655861454 -668.924542951732</t>
  </si>
  <si>
    <t>-823.247630782768 7.33233552338356 -545.305788426946</t>
  </si>
  <si>
    <t>-871.77449534837 133.586345446509 -520.798669840555</t>
  </si>
  <si>
    <t>-832.766027619069 169.808335801678 -231.389780256034</t>
  </si>
  <si>
    <t>-606.274501180852 251.981395333328 -231.174810010866</t>
  </si>
  <si>
    <t>-863.191743169408 62.933521345524 -89.5795619107652</t>
  </si>
  <si>
    <t>-838.854032652196 106.937862800936 310.827701690468</t>
  </si>
  <si>
    <t>-888.397013033901 186.422575620349 749.762728836657</t>
  </si>
  <si>
    <t>-743.815340278948 173.247478208551 813.086087635398</t>
  </si>
  <si>
    <t>-721.337667799551 -91.109329002287 311.900525180521</t>
  </si>
  <si>
    <t>-767.72018223328 -84.8903102546376 757.348212656762</t>
  </si>
  <si>
    <t>-626.451794721674 -79.055809800123 828.737918943049</t>
  </si>
  <si>
    <t>9763-20170724T104711.149303700.bin</t>
  </si>
  <si>
    <t>-762.726774408706 4.47869286025298 -669.120281930812</t>
  </si>
  <si>
    <t>-823.359940033242 5.85517613012053 -545.374666754902</t>
  </si>
  <si>
    <t>-871.211575828924 132.485044212435 -521.459052302993</t>
  </si>
  <si>
    <t>-833.091794040381 168.889529393075 -231.95465475608</t>
  </si>
  <si>
    <t>-606.104226974511 249.66993881351 -230.522956394288</t>
  </si>
  <si>
    <t>-862.358465705826 63.002464119583 -89.5127389906858</t>
  </si>
  <si>
    <t>-838.450816852715 107.383142867156 310.878922014104</t>
  </si>
  <si>
    <t>-888.51335768882 186.286539055984 749.944826581118</t>
  </si>
  <si>
    <t>-743.89893179613 172.84312835641 813.136860761296</t>
  </si>
  <si>
    <t>-720.255870562363 -90.7330376125636 312.047806442196</t>
  </si>
  <si>
    <t>-767.738042869835 -84.2410461771258 757.350412870376</t>
  </si>
  <si>
    <t>-626.472748415921 -78.756456942011 828.773997841155</t>
  </si>
  <si>
    <t>9763-20170724T104711.181895100.bin</t>
  </si>
  <si>
    <t>-762.629819665893 3.2688391497968 -669.142151766077</t>
  </si>
  <si>
    <t>-823.19449447598 5.15652515020111 -545.346897764034</t>
  </si>
  <si>
    <t>-870.700461819749 131.98506039673 -521.765271836315</t>
  </si>
  <si>
    <t>-833.482805715137 168.550106911594 -232.163628177176</t>
  </si>
  <si>
    <t>-606.284431458607 248.731513290282 -230.514887905109</t>
  </si>
  <si>
    <t>-861.364580975057 63.0982783738602 -89.4871278903361</t>
  </si>
  <si>
    <t>-838.374796362794 107.717319332651 310.931764068434</t>
  </si>
  <si>
    <t>-888.586858115326 186.228477135051 750.000220010524</t>
  </si>
  <si>
    <t>-743.958394931456 172.63026556857 813.12711745659</t>
  </si>
  <si>
    <t>-719.561950231226 -90.3666992679298 312.120974716624</t>
  </si>
  <si>
    <t>-767.754278304719 -83.8406810764325 757.317342873376</t>
  </si>
  <si>
    <t>-626.494345927123 -78.5900782032973 828.769188393085</t>
  </si>
  <si>
    <t>9763-20170724T104711.247570100.bin</t>
  </si>
  <si>
    <t>-762.386008374093 1.18622392243992 -669.479568944947</t>
  </si>
  <si>
    <t>-822.705134348058 4.12806524324424 -545.499558468042</t>
  </si>
  <si>
    <t>-869.609471720235 131.313212717823 -522.581658708561</t>
  </si>
  <si>
    <t>-834.578189286872 168.32550240274 -232.764375280896</t>
  </si>
  <si>
    <t>-607.035114611372 247.530534860472 -231.519748918844</t>
  </si>
  <si>
    <t>-859.567740491664 63.9927606352783 -89.7340068172578</t>
  </si>
  <si>
    <t>-838.773949759604 108.42983138827 310.825135497223</t>
  </si>
  <si>
    <t>-888.647906522958 186.054366879768 750.039516158549</t>
  </si>
  <si>
    <t>-744.023339874046 172.230258890721 813.1262808183</t>
  </si>
  <si>
    <t>-718.615845837842 -89.9126752273706 312.191559862663</t>
  </si>
  <si>
    <t>-767.764290290634 -83.3844063181839 757.307363493286</t>
  </si>
  <si>
    <t>-626.502831057399 -77.9906720815561 828.74553383576</t>
  </si>
  <si>
    <t>9763-20170724T104711.282191400.bin</t>
  </si>
  <si>
    <t>-762.408902617475 0.294468683181549 -669.743636248644</t>
  </si>
  <si>
    <t>-822.62089955458 3.8669311232552 -545.681353617331</t>
  </si>
  <si>
    <t>-869.391904538583 131.168353117968 -523.141526794827</t>
  </si>
  <si>
    <t>-835.783834839156 168.39208629703 -233.182784928785</t>
  </si>
  <si>
    <t>-608.087038244589 247.162800456809 -232.726249588536</t>
  </si>
  <si>
    <t>-859.117761787742 64.7133538736005 -89.885470640919</t>
  </si>
  <si>
    <t>-839.101810286728 108.922780274072 310.738481160198</t>
  </si>
  <si>
    <t>-888.681776297036 185.917599879749 750.073529913999</t>
  </si>
  <si>
    <t>-744.049375146689 172.008647793165 813.123709982888</t>
  </si>
  <si>
    <t>-718.551511827682 -89.5708373912387 312.227090244296</t>
  </si>
  <si>
    <t>-767.830313618432 -82.9848592048721 757.311821711869</t>
  </si>
  <si>
    <t>-626.547934451784 -78.1651067904266 828.749636660313</t>
  </si>
  <si>
    <t>9763-20170724T104711.345344100.bin</t>
  </si>
  <si>
    <t>-822.383211349472 3.81568149252735 -546.180064899551</t>
  </si>
  <si>
    <t>-869.056234736073 131.286617940255 -524.478631899757</t>
  </si>
  <si>
    <t>-838.69003147728 169.371898918963 -234.274061748751</t>
  </si>
  <si>
    <t>-610.379663538355 246.330256601733 -235.888052287193</t>
  </si>
  <si>
    <t>-858.317026334529 66.6917429278292 -90.2591971977483</t>
  </si>
  <si>
    <t>-839.520810303574 110.148755935852 310.506199549664</t>
  </si>
  <si>
    <t>-888.746711025286 185.549238459646 750.078117263864</t>
  </si>
  <si>
    <t>-744.096916294387 171.526211611994 813.063053283841</t>
  </si>
  <si>
    <t>-718.451565197504 -88.571487805189 312.280390912312</t>
  </si>
  <si>
    <t>-767.810694222831 -82.6473460666127 757.32670677427</t>
  </si>
  <si>
    <t>-626.523736560951 -77.6631344000506 828.744018558976</t>
  </si>
  <si>
    <t>9763-20170724T104711.380987400.bin</t>
  </si>
  <si>
    <t>-822.561062402861 3.86073034595233 -546.488466938566</t>
  </si>
  <si>
    <t>-869.150928496715 131.440546546291 -525.253831530851</t>
  </si>
  <si>
    <t>-840.660810692989 169.905667602921 -234.909284943157</t>
  </si>
  <si>
    <t>-611.868411031284 245.386446527318 -237.667579083184</t>
  </si>
  <si>
    <t>-857.894185588953 67.8840987134274 -90.4903229642352</t>
  </si>
  <si>
    <t>-839.597626593809 110.834422931034 310.352797444859</t>
  </si>
  <si>
    <t>-888.78379908716 185.433606752281 750.01742656939</t>
  </si>
  <si>
    <t>-744.128605449005 171.375651780443 812.982055360276</t>
  </si>
  <si>
    <t>-718.845336153229 -87.9114637258571 312.23735127541</t>
  </si>
  <si>
    <t>-767.829402669172 -82.3589324700035 757.334874511888</t>
  </si>
  <si>
    <t>-626.535813906426 -77.6739405403669 828.7594921115</t>
  </si>
  <si>
    <t>9763-20170724T104711.446668700.bin</t>
  </si>
  <si>
    <t>-823.479581284457 4.34497068945711 -547.283996585245</t>
  </si>
  <si>
    <t>-869.842680712743 132.157677644632 -526.972609072761</t>
  </si>
  <si>
    <t>-844.657620037793 171.008199672847 -236.374144880289</t>
  </si>
  <si>
    <t>-614.833173353192 243.174447317007 -241.231865617724</t>
  </si>
  <si>
    <t>-856.963669338874 70.5937501801025 -91.1739894709068</t>
  </si>
  <si>
    <t>-839.947054494015 112.588863744556 309.826671859538</t>
  </si>
  <si>
    <t>-888.85040323368 185.177767059582 749.739751948525</t>
  </si>
  <si>
    <t>-744.209794426858 171.005974192144 812.712508923203</t>
  </si>
  <si>
    <t>-720.453085599445 -86.7820398523064 312.087695987008</t>
  </si>
  <si>
    <t>-767.903030089127 -81.6656783887696 757.36717366806</t>
  </si>
  <si>
    <t>-626.602387068407 -77.4820396598284 828.808816249045</t>
  </si>
  <si>
    <t>9763-20170724T104711.480413800.bin</t>
  </si>
  <si>
    <t>-824.260429312943 4.54084735835022 -547.812041903072</t>
  </si>
  <si>
    <t>-870.415131632656 132.480234959383 -527.831632217502</t>
  </si>
  <si>
    <t>-845.92829665953 171.542047530325 -237.201710240384</t>
  </si>
  <si>
    <t>-615.636402566226 242.135709623754 -242.951045171778</t>
  </si>
  <si>
    <t>-856.303762415397 71.9933629265438 -91.6233563208385</t>
  </si>
  <si>
    <t>-840.575136723986 113.721516549503 309.457723469586</t>
  </si>
  <si>
    <t>-888.931765944163 185.073925617397 749.561041137234</t>
  </si>
  <si>
    <t>-744.267067247823 170.859011190592 812.468493215556</t>
  </si>
  <si>
    <t>-721.841468104371 -86.4035137174722 312.002038620737</t>
  </si>
  <si>
    <t>-767.839470996359 -81.657233151871 757.420056472286</t>
  </si>
  <si>
    <t>-626.54238534054 -77.3206694327066 828.859787292554</t>
  </si>
  <si>
    <t>9763-20170724T104711.550593100.bin</t>
  </si>
  <si>
    <t>-826.573673077046 5.63813106677867 -549.188984281076</t>
  </si>
  <si>
    <t>-871.902080261575 133.926324848636 -529.626801197428</t>
  </si>
  <si>
    <t>-847.129296861501 173.18122864289 -239.047139467521</t>
  </si>
  <si>
    <t>-616.150865472306 241.327974406315 -246.519282506825</t>
  </si>
  <si>
    <t>-854.698223826072 75.4276333201183 -93.0806531957343</t>
  </si>
  <si>
    <t>-844.368030764619 116.789628253626 308.213639145979</t>
  </si>
  <si>
    <t>-889.185317429989 184.952855630301 748.961545920595</t>
  </si>
  <si>
    <t>-744.432100351877 170.725120227012 811.662076127884</t>
  </si>
  <si>
    <t>-727.419778952989 -85.9838804321364 311.779667927207</t>
  </si>
  <si>
    <t>-767.732620178274 -81.6201296073914 757.622842486638</t>
  </si>
  <si>
    <t>-626.42904931602 -77.7489601459812 829.076407438684</t>
  </si>
  <si>
    <t>9763-20170724T104711.580461600.bin</t>
  </si>
  <si>
    <t>-828.091938688896 6.57319664838451 -550.082937617014</t>
  </si>
  <si>
    <t>-872.769474557524 135.098107457649 -530.620141448221</t>
  </si>
  <si>
    <t>-846.7954828959 174.642828181293 -240.184707107012</t>
  </si>
  <si>
    <t>-615.466053893982 241.510653123762 -248.325529155815</t>
  </si>
  <si>
    <t>-853.710636070702 77.6191019187102 -94.1793430925943</t>
  </si>
  <si>
    <t>-847.838786468348 118.900345560686 307.21332609779</t>
  </si>
  <si>
    <t>-889.322457921383 184.932849122521 748.485234041778</t>
  </si>
  <si>
    <t>-744.535764961992 170.681783699822 811.103337042996</t>
  </si>
  <si>
    <t>-732.12513146965 -85.8374186295305 311.68417308347</t>
  </si>
  <si>
    <t>-767.71130954743 -81.5686624125982 757.7795852833</t>
  </si>
  <si>
    <t>-626.407590970859 -78.119041216407 829.254506755834</t>
  </si>
  <si>
    <t>9763-20170724T104711.650146900.bin</t>
  </si>
  <si>
    <t>-831.746539601768 9.40729131580383 -551.945966392365</t>
  </si>
  <si>
    <t>-874.794718574768 138.492500049193 -532.505276182248</t>
  </si>
  <si>
    <t>-844.143553440921 178.998883137426 -242.658848373811</t>
  </si>
  <si>
    <t>-612.299320604405 243.909445934137 -251.917892025674</t>
  </si>
  <si>
    <t>-851.69867392278 83.7879060203493 -96.7455685982491</t>
  </si>
  <si>
    <t>-857.818406648101 123.514203454057 304.800272428213</t>
  </si>
  <si>
    <t>-889.536853090654 184.332556768619 747.364848711878</t>
  </si>
  <si>
    <t>-744.738184033675 170.264556004357 809.996414309012</t>
  </si>
  <si>
    <t>-744.143178965181 -86.1260932402784 311.648277324735</t>
  </si>
  <si>
    <t>-767.531275053138 -82.1975720889463 758.288635716306</t>
  </si>
  <si>
    <t>-626.196253237474 -78.7225770497452 829.700405912397</t>
  </si>
  <si>
    <t>9763-20170724T104711.685743900.bin</t>
  </si>
  <si>
    <t>-833.639850981657 11.1902144907783 -552.903227382881</t>
  </si>
  <si>
    <t>-875.638479778449 140.610994664406 -533.433850040022</t>
  </si>
  <si>
    <t>-842.091281755086 181.820316172172 -244.007564542145</t>
  </si>
  <si>
    <t>-609.97600996752 245.605869012162 -254.242192175503</t>
  </si>
  <si>
    <t>-850.770221073157 87.3002252531301 -97.897346021378</t>
  </si>
  <si>
    <t>-863.304492583429 125.992010227303 303.600500686221</t>
  </si>
  <si>
    <t>-889.636510117913 184.058314051606 746.893578624998</t>
  </si>
  <si>
    <t>-744.848728774653 169.908495505344 809.532031266879</t>
  </si>
  <si>
    <t>-749.900585639065 -86.2115115272369 311.554029515957</t>
  </si>
  <si>
    <t>-767.492856937746 -82.356032016626 758.534195246453</t>
  </si>
  <si>
    <t>-626.109797376321 -79.1231009275174 829.862214310951</t>
  </si>
  <si>
    <t>9763-20170724T104711.752484100.bin</t>
  </si>
  <si>
    <t>-811.96580374776 5.28181583585274 -95.4671732609263</t>
  </si>
  <si>
    <t>-783.388421757846 1.41175801449276 -682.117572758304</t>
  </si>
  <si>
    <t>-835.69592891969 15.4022000875605 -555.096568937393</t>
  </si>
  <si>
    <t>-875.188601098626 145.673458287082 -535.918178810441</t>
  </si>
  <si>
    <t>-837.023636210742 187.517830874179 -247.155766634306</t>
  </si>
  <si>
    <t>-604.455176885169 249.581654634848 -257.684435374683</t>
  </si>
  <si>
    <t>-848.917692517372 94.3238878586299 -99.8630153731674</t>
  </si>
  <si>
    <t>-868.498499921773 130.373925173001 301.598856622454</t>
  </si>
  <si>
    <t>-889.812203243519 184.829172312335 746.084553178226</t>
  </si>
  <si>
    <t>-745.157382392287 169.423927886895 808.734054182166</t>
  </si>
  <si>
    <t>-752.3217385252 -84.3409826162338 310.656387187901</t>
  </si>
  <si>
    <t>-767.499465757335 -81.9325217203165 758.4571855331</t>
  </si>
  <si>
    <t>-626.055456230748 -79.6038282677954 829.69945113415</t>
  </si>
  <si>
    <t>9763-20170724T104711.783569100.bin</t>
  </si>
  <si>
    <t>-810.699455176922 5.99823355256899 -96.1037743103199</t>
  </si>
  <si>
    <t>-783.293852336076 1.12381562824248 -682.815534335045</t>
  </si>
  <si>
    <t>-835.207558645806 15.6668036939868 -555.763499346688</t>
  </si>
  <si>
    <t>-873.557819787655 146.391163261371 -536.987604292617</t>
  </si>
  <si>
    <t>-833.896920822796 188.25661579724 -248.429971732018</t>
  </si>
  <si>
    <t>-600.921394390778 248.84202346568 -258.564609196461</t>
  </si>
  <si>
    <t>-847.479793422936 95.3218840370687 -100.271787891798</t>
  </si>
  <si>
    <t>-866.918382454939 130.482193838066 301.275928298949</t>
  </si>
  <si>
    <t>-889.85717215656 184.851851928494 745.947315226391</t>
  </si>
  <si>
    <t>-745.239721993401 169.184400562436 808.617978305089</t>
  </si>
  <si>
    <t>-750.216898048598 -83.8177890989936 310.085007333321</t>
  </si>
  <si>
    <t>-767.461893761286 -81.829230647425 758.191539796687</t>
  </si>
  <si>
    <t>-626.021621897581 -79.2818564496755 829.433750129872</t>
  </si>
  <si>
    <t>9763-20170724T104711.848239800.bin</t>
  </si>
  <si>
    <t>-806.761436844059 4.89011057425819 -95.8559082775854</t>
  </si>
  <si>
    <t>-831.876261917226 12.9817119455599 -555.52466257051</t>
  </si>
  <si>
    <t>-868.279550443105 144.282302094455 -537.273040241551</t>
  </si>
  <si>
    <t>-826.138304277324 187.229397533162 -249.22630430608</t>
  </si>
  <si>
    <t>-592.508432772419 245.393758728407 -258.438278813794</t>
  </si>
  <si>
    <t>-842.873775555206 93.2190431282643 -100.120297452079</t>
  </si>
  <si>
    <t>-860.439996596448 129.628621495508 301.4023612279</t>
  </si>
  <si>
    <t>-890.016891667972 184.579226590842 745.593351766005</t>
  </si>
  <si>
    <t>-745.369185223154 169.14847536566 808.252910538109</t>
  </si>
  <si>
    <t>-746.172177891165 -84.1137706469899 310.028851924615</t>
  </si>
  <si>
    <t>-767.428747728927 -81.4136085360025 757.824504894815</t>
  </si>
  <si>
    <t>-626.020085999136 -79.0790839277495 829.136691367326</t>
  </si>
  <si>
    <t>9763-20170724T104711.881340000.bin</t>
  </si>
  <si>
    <t>-804.804307541106 4.52321369641481 -95.3655843407893</t>
  </si>
  <si>
    <t>-830.272928841034 12.2914376592203 -555.009133423137</t>
  </si>
  <si>
    <t>-865.842319307622 143.798914449515 -536.775572206522</t>
  </si>
  <si>
    <t>-822.130615703174 187.443082500514 -249.068061404546</t>
  </si>
  <si>
    <t>-588.297363571476 244.81772687754 -258.071274320392</t>
  </si>
  <si>
    <t>-840.379289515795 92.783934395733 -99.8711040450052</t>
  </si>
  <si>
    <t>-858.098864134439 129.302453012877 301.634949094147</t>
  </si>
  <si>
    <t>-890.138577371449 184.535805727187 745.358936695138</t>
  </si>
  <si>
    <t>-745.472514474423 169.105976521697 807.976354853453</t>
  </si>
  <si>
    <t>-745.06822069781 -84.5382626685632 310.315317285076</t>
  </si>
  <si>
    <t>-767.439996583441 -81.1999993016648 757.81142842027</t>
  </si>
  <si>
    <t>-626.027555063084 -79.0741036365228 829.122747487389</t>
  </si>
  <si>
    <t>9763-20170724T104711.947518200.bin</t>
  </si>
  <si>
    <t>-802.509087080958 5.85580816207516 -94.95293762311</t>
  </si>
  <si>
    <t>-829.512757360888 13.8693276053436 -554.493488427092</t>
  </si>
  <si>
    <t>-863.696307227281 145.766085591009 -536.211190978551</t>
  </si>
  <si>
    <t>-817.380830227007 189.443573086037 -248.916323599491</t>
  </si>
  <si>
    <t>-583.620040942444 246.945602359236 -258.933240400229</t>
  </si>
  <si>
    <t>-837.616368685192 94.6238184473316 -99.7991124951116</t>
  </si>
  <si>
    <t>-856.741962317269 129.9161411446 301.752038221035</t>
  </si>
  <si>
    <t>-890.305062882709 184.662546085353 744.990237012953</t>
  </si>
  <si>
    <t>-745.656540137101 168.878280675161 807.559884945411</t>
  </si>
  <si>
    <t>-745.691651056309 -84.2397925116913 310.640338587747</t>
  </si>
  <si>
    <t>-767.43188076408 -81.0891798063049 757.897333914405</t>
  </si>
  <si>
    <t>-625.983876330743 -79.6833947991666 829.155825734302</t>
  </si>
  <si>
    <t>9763-20170724T104711.979682500.bin</t>
  </si>
  <si>
    <t>-802.160735967258 6.94582959059517 -95.068510561964</t>
  </si>
  <si>
    <t>-829.782368079052 15.1763132662652 -554.579019442727</t>
  </si>
  <si>
    <t>-863.38726402601 147.240262934287 -536.334218680007</t>
  </si>
  <si>
    <t>-816.167496981247 190.492119903078 -249.122260341961</t>
  </si>
  <si>
    <t>-582.50170204353 248.305852017991 -259.549841693658</t>
  </si>
  <si>
    <t>-837.025481277495 96.1638465384078 -99.930847017972</t>
  </si>
  <si>
    <t>-856.922700445352 130.58618891289 301.658302220614</t>
  </si>
  <si>
    <t>-890.342343310067 184.800651009173 744.907948670352</t>
  </si>
  <si>
    <t>-745.724726220596 168.735080793517 807.477384383705</t>
  </si>
  <si>
    <t>-746.162023897392 -83.6658165048175 310.603359136182</t>
  </si>
  <si>
    <t>-767.547028472197 -80.635950877025 757.892278586189</t>
  </si>
  <si>
    <t>-626.088146637794 -79.9016376147168 829.13929930556</t>
  </si>
  <si>
    <t>9763-20170724T104712.045361300.bin</t>
  </si>
  <si>
    <t>-801.749983152955 7.86679511072066 -95.3531905656394</t>
  </si>
  <si>
    <t>-780.011221257023 0.0131608792214593 -682.639701491636</t>
  </si>
  <si>
    <t>-829.39751494337 16.6656530625819 -554.839832098518</t>
  </si>
  <si>
    <t>-862.036842277062 148.952530899834 -536.53781193144</t>
  </si>
  <si>
    <t>-813.397539263058 191.591725140752 -249.470951018125</t>
  </si>
  <si>
    <t>-580.016553815749 250.556883134021 -259.828352289112</t>
  </si>
  <si>
    <t>-835.844769993706 97.2570319982974 -100.139116128599</t>
  </si>
  <si>
    <t>-856.828748256981 131.052052402873 301.447973416167</t>
  </si>
  <si>
    <t>-890.396376128583 184.855830544494 744.886321412733</t>
  </si>
  <si>
    <t>-745.823113249845 168.447134413363 807.468970869892</t>
  </si>
  <si>
    <t>-745.911186015943 -83.6401640050864 310.4515047732</t>
  </si>
  <si>
    <t>-767.47105995889 -80.9330021450241 757.85251633802</t>
  </si>
  <si>
    <t>-625.9869408618 -79.8159527494649 829.044467467626</t>
  </si>
  <si>
    <t>9763-20170724T104712.084499700.bin</t>
  </si>
  <si>
    <t>-801.362094370427 7.60311924792722 -95.3861487668031</t>
  </si>
  <si>
    <t>-828.803491583683 16.6244017755566 -554.864591140108</t>
  </si>
  <si>
    <t>-861.068812126902 148.985478093348 -536.432788554098</t>
  </si>
  <si>
    <t>-811.696680213194 191.513997916992 -249.474726047492</t>
  </si>
  <si>
    <t>-578.51424001722 251.341025310045 -259.351273914486</t>
  </si>
  <si>
    <t>-835.014064384921 96.7288673599337 -100.113768874274</t>
  </si>
  <si>
    <t>-856.018513640875 130.897292047843 301.440728485574</t>
  </si>
  <si>
    <t>-890.444188522028 184.716407246206 744.857582090999</t>
  </si>
  <si>
    <t>-745.854384391327 168.410939070307 807.429298666764</t>
  </si>
  <si>
    <t>-745.908849751451 -83.8467085769383 310.457198434138</t>
  </si>
  <si>
    <t>-767.55056741151 -80.6323089348928 757.842478697453</t>
  </si>
  <si>
    <t>-626.071710016134 -80.2996896796517 829.052839359968</t>
  </si>
  <si>
    <t>9763-20170724T104712.149173300.bin</t>
  </si>
  <si>
    <t>-800.724400285331 6.42000101921644 -95.2059905157887</t>
  </si>
  <si>
    <t>-827.351147911141 15.8428576162951 -554.726062056766</t>
  </si>
  <si>
    <t>-858.960779640568 148.332736672015 -536.100633498978</t>
  </si>
  <si>
    <t>-807.98012409985 190.862070398734 -249.424098722408</t>
  </si>
  <si>
    <t>-575.180365896416 252.405607332028 -257.642101075367</t>
  </si>
  <si>
    <t>-833.99797047878 95.324534090631 -99.8388003303351</t>
  </si>
  <si>
    <t>-854.378461204467 130.101120792392 301.695664431997</t>
  </si>
  <si>
    <t>-890.634769378162 184.134342139123 744.896335219711</t>
  </si>
  <si>
    <t>-745.961164332107 168.130463852769 807.352143133294</t>
  </si>
  <si>
    <t>-745.566322529026 -84.6751601139729 310.556723339914</t>
  </si>
  <si>
    <t>-767.445027690577 -80.9901584146969 757.920629288187</t>
  </si>
  <si>
    <t>-625.955069692094 -79.7338516081702 829.098604776402</t>
  </si>
  <si>
    <t>9763-20170724T104712.182772400.bin</t>
  </si>
  <si>
    <t>-800.794016070723 6.35317992023352 -95.087870605258</t>
  </si>
  <si>
    <t>-827.173884808393 15.7872378780448 -554.625455928352</t>
  </si>
  <si>
    <t>-858.487614988958 148.336880260071 -535.992643417096</t>
  </si>
  <si>
    <t>-806.795274718273 191.257664148759 -249.502037469077</t>
  </si>
  <si>
    <t>-574.098589083442 253.281111871939 -256.999954185191</t>
  </si>
  <si>
    <t>-834.332496718024 95.3255130408922 -99.8439349617888</t>
  </si>
  <si>
    <t>-854.020855640682 129.849156539729 301.74686713631</t>
  </si>
  <si>
    <t>-890.702622458417 183.900631862606 744.881815680156</t>
  </si>
  <si>
    <t>-745.988949965691 168.078891573613 807.291155730112</t>
  </si>
  <si>
    <t>-745.399752124916 -84.9330860194023 310.610470482906</t>
  </si>
  <si>
    <t>-767.416922327442 -81.0100413975513 757.930319458735</t>
  </si>
  <si>
    <t>-625.93237062298 -79.7069172837221 829.118113884341</t>
  </si>
  <si>
    <t>9763-20170724T104712.249019300.bin</t>
  </si>
  <si>
    <t>-800.765705830918 6.87138117595828 -94.9886759713048</t>
  </si>
  <si>
    <t>-826.985046005087 16.3233554094727 -554.559371062968</t>
  </si>
  <si>
    <t>-857.699169558624 149.00388719459 -535.842453086337</t>
  </si>
  <si>
    <t>-804.150801882287 192.646001618087 -249.802075896596</t>
  </si>
  <si>
    <t>-571.523882118122 254.97558052268 -256.915270260964</t>
  </si>
  <si>
    <t>-834.140351118736 96.0401718058572 -99.8733491930337</t>
  </si>
  <si>
    <t>-854.011305245541 130.393204349994 301.72311097783</t>
  </si>
  <si>
    <t>-890.769220459245 183.734139436812 744.801863329244</t>
  </si>
  <si>
    <t>-746.076908524142 167.898190478831 807.256999666544</t>
  </si>
  <si>
    <t>-745.462081730809 -84.9640283448615 310.657389021555</t>
  </si>
  <si>
    <t>-767.387331184452 -81.0405674243581 757.950152388131</t>
  </si>
  <si>
    <t>-625.900745768598 -79.8358524550054 829.135684887287</t>
  </si>
  <si>
    <t>9763-20170724T104712.280610300.bin</t>
  </si>
  <si>
    <t>-800.558279520446 7.08308181796974 -94.9883241096949</t>
  </si>
  <si>
    <t>-826.73137624307 16.541718356068 -554.580407779783</t>
  </si>
  <si>
    <t>-857.104864645339 149.306768225033 -535.873057191164</t>
  </si>
  <si>
    <t>-802.499209268116 193.04664935432 -250.047463100489</t>
  </si>
  <si>
    <t>-569.897148469156 255.425138159829 -257.537422980317</t>
  </si>
  <si>
    <t>-833.717224481344 96.2630480183839 -99.8806239842662</t>
  </si>
  <si>
    <t>-853.976263352228 130.511183295674 301.705383201518</t>
  </si>
  <si>
    <t>-890.801438090789 183.594902797407 744.821408813073</t>
  </si>
  <si>
    <t>-746.09641345599 167.868714369164 807.274891432413</t>
  </si>
  <si>
    <t>-745.510441998981 -85.0577235804165 310.65953343934</t>
  </si>
  <si>
    <t>-767.347444627239 -81.1587726039567 757.95855517405</t>
  </si>
  <si>
    <t>-625.855725080115 -79.4707164346696 829.124033437495</t>
  </si>
  <si>
    <t>9763-20170724T104712.349795900.bin</t>
  </si>
  <si>
    <t>-799.580434025751 7.50256333597622 -95.056558251467</t>
  </si>
  <si>
    <t>-825.604301534836 16.8431383888287 -554.69691433462</t>
  </si>
  <si>
    <t>-855.244776902859 149.769555247972 -536.032556290745</t>
  </si>
  <si>
    <t>-798.182478007686 194.168995824316 -250.789198853306</t>
  </si>
  <si>
    <t>-565.444013935965 255.939506987356 -259.040779125484</t>
  </si>
  <si>
    <t>-832.528916522156 96.6739101608509 -99.9023031690401</t>
  </si>
  <si>
    <t>-853.121019500463 130.759637072122 301.680552041235</t>
  </si>
  <si>
    <t>-890.879529853732 183.575003779267 744.792879119487</t>
  </si>
  <si>
    <t>-746.189869648869 167.708662594811 807.246765340118</t>
  </si>
  <si>
    <t>-744.985497778276 -84.9907388619833 310.635706635375</t>
  </si>
  <si>
    <t>-767.300320363723 -81.1179686038568 757.918586075683</t>
  </si>
  <si>
    <t>-625.821345518855 -79.6450861753278 829.114326676731</t>
  </si>
  <si>
    <t>9763-20170724T104712.380889000.bin</t>
  </si>
  <si>
    <t>-798.801256602413 7.69776399287412 -95.0553166461881</t>
  </si>
  <si>
    <t>-824.926205610451 16.8631412336554 -554.695438957729</t>
  </si>
  <si>
    <t>-854.202330000916 149.889371563131 -536.114425994195</t>
  </si>
  <si>
    <t>-795.780504556549 194.892322035799 -251.240958952038</t>
  </si>
  <si>
    <t>-562.907631631416 256.115536673632 -259.773933158046</t>
  </si>
  <si>
    <t>-831.678208952947 96.7928182384242 -99.8950396610059</t>
  </si>
  <si>
    <t>-852.508666474511 130.826245880761 301.679949082851</t>
  </si>
  <si>
    <t>-890.905756485132 183.595799330965 744.750341200332</t>
  </si>
  <si>
    <t>-746.208211219118 167.771617893237 807.196469992452</t>
  </si>
  <si>
    <t>-744.426734551899 -85.0154351874263 310.63126342197</t>
  </si>
  <si>
    <t>-767.248389159072 -81.2018480831305 757.897254179296</t>
  </si>
  <si>
    <t>-625.774564951747 -79.6347480014107 829.101124549318</t>
  </si>
  <si>
    <t>9763-20170724T104712.451079600.bin</t>
  </si>
  <si>
    <t>-796.900703195355 8.2011551298674 -95.0313834097052</t>
  </si>
  <si>
    <t>-823.61557355276 17.0379981437036 -554.642749979885</t>
  </si>
  <si>
    <t>-852.219812515328 150.230923386866 -536.215374705886</t>
  </si>
  <si>
    <t>-791.005675912649 195.846746407268 -252.026613877863</t>
  </si>
  <si>
    <t>-557.889756829985 256.053539607778 -261.136334974152</t>
  </si>
  <si>
    <t>-829.658084163375 97.2773173709622 -99.8683477481494</t>
  </si>
  <si>
    <t>-851.208023423166 130.871645345524 301.705724334728</t>
  </si>
  <si>
    <t>-890.957613164827 183.64793351834 744.662428967964</t>
  </si>
  <si>
    <t>-746.259807780726 167.760307182625 807.091758872575</t>
  </si>
  <si>
    <t>-743.496885550301 -84.5951368128748 310.68173600567</t>
  </si>
  <si>
    <t>-767.383713434235 -80.6433364023711 757.860406938409</t>
  </si>
  <si>
    <t>-625.917768834622 -80.3765101012192 829.096669374044</t>
  </si>
  <si>
    <t>9763-20170724T104712.486178800.bin</t>
  </si>
  <si>
    <t>-795.817483247451 8.31379625757495 -95.0232333365821</t>
  </si>
  <si>
    <t>-822.882127405342 17.1799954952014 -554.605500506255</t>
  </si>
  <si>
    <t>-851.219490101599 150.435946469645 -536.227842756453</t>
  </si>
  <si>
    <t>-788.79067232147 196.077595411102 -252.307580606489</t>
  </si>
  <si>
    <t>-555.575996884948 255.803455835272 -262.035190303714</t>
  </si>
  <si>
    <t>-828.397783667053 97.3152389358945 -99.8444624383637</t>
  </si>
  <si>
    <t>-850.491932737232 130.800732681135 301.709068977952</t>
  </si>
  <si>
    <t>-890.973780390427 183.683134045124 744.588138603977</t>
  </si>
  <si>
    <t>-746.291270611815 167.697375554457 807.027985283794</t>
  </si>
  <si>
    <t>-743.09360026296 -84.701422401517 310.705121604485</t>
  </si>
  <si>
    <t>-767.338209743601 -80.7454500398376 757.840134223787</t>
  </si>
  <si>
    <t>-625.873607286501 -80.1222149405565 829.076749874138</t>
  </si>
  <si>
    <t>9763-20170724T104712.548857900.bin</t>
  </si>
  <si>
    <t>-793.929111280055 8.43741782299412 -95.0597965127869</t>
  </si>
  <si>
    <t>-822.23884747344 17.2823731690294 -554.549593639803</t>
  </si>
  <si>
    <t>-850.161200647456 150.644774914943 -536.254891694648</t>
  </si>
  <si>
    <t>-786.490181870197 195.793373409118 -252.531798510562</t>
  </si>
  <si>
    <t>-553.121906805218 254.700737158546 -263.489331334352</t>
  </si>
  <si>
    <t>-826.2698583711 97.5439757643837 -99.8310549896614</t>
  </si>
  <si>
    <t>-848.747211061713 130.481162190931 301.746625008171</t>
  </si>
  <si>
    <t>-890.983653371967 183.686002141779 744.441842001062</t>
  </si>
  <si>
    <t>-746.330045629086 167.616549541027 806.927004974126</t>
  </si>
  <si>
    <t>-742.060971373703 -84.927166503654 310.691716355349</t>
  </si>
  <si>
    <t>-767.267480897128 -80.8257183133309 757.76490089322</t>
  </si>
  <si>
    <t>-625.823166766508 -79.9247246750717 829.038994715873</t>
  </si>
  <si>
    <t>9763-20170724T104712.582005300.bin</t>
  </si>
  <si>
    <t>-793.220952185983 8.38260788427829 -95.0777051636476</t>
  </si>
  <si>
    <t>-822.128993422612 17.1904945285503 -554.518078158244</t>
  </si>
  <si>
    <t>-849.985488589924 150.569460900377 -536.200545971993</t>
  </si>
  <si>
    <t>-785.999230388347 195.373959125679 -252.493874258954</t>
  </si>
  <si>
    <t>-552.567155322363 253.934185874557 -263.941706262582</t>
  </si>
  <si>
    <t>-825.475631815481 97.5317138870466 -99.8269240656781</t>
  </si>
  <si>
    <t>-847.792975739339 130.222018420845 301.779782152193</t>
  </si>
  <si>
    <t>-891.002465317615 183.700361555626 744.377049143352</t>
  </si>
  <si>
    <t>-746.365033632638 167.529884736063 806.873632072329</t>
  </si>
  <si>
    <t>-741.592845001245 -85.0444903728087 310.695694899521</t>
  </si>
  <si>
    <t>-767.310205200839 -80.6939061860807 757.751530569667</t>
  </si>
  <si>
    <t>-625.867489220628 -79.9876671332167 829.031005440027</t>
  </si>
  <si>
    <t>9763-20170724T104712.648185600.bin</t>
  </si>
  <si>
    <t>-791.974410495073 7.81934128394028 -95.0276664528009</t>
  </si>
  <si>
    <t>-821.845540771545 16.421161765214 -554.386653883528</t>
  </si>
  <si>
    <t>-849.654499860926 149.785240626125 -535.989413180323</t>
  </si>
  <si>
    <t>-785.535137577912 194.035193956831 -252.225715412491</t>
  </si>
  <si>
    <t>-552.035248672021 252.269742842511 -263.947883519533</t>
  </si>
  <si>
    <t>-823.93116572019 97.0022002170356 -99.7776119760621</t>
  </si>
  <si>
    <t>-845.986565772826 129.576105447175 301.853022674217</t>
  </si>
  <si>
    <t>-891.061785290491 183.625809482608 744.218738786106</t>
  </si>
  <si>
    <t>-746.406781665493 167.516673064147 806.690656375048</t>
  </si>
  <si>
    <t>-741.066824556068 -85.4202284455573 310.826079010661</t>
  </si>
  <si>
    <t>-767.352496243406 -80.7705313457277 757.815541858233</t>
  </si>
  <si>
    <t>-625.887237331991 -80.3427092794143 829.052435876163</t>
  </si>
  <si>
    <t>9763-20170724T104712.683841900.bin</t>
  </si>
  <si>
    <t>-791.472792708794 7.48039694594559 -94.9774787087937</t>
  </si>
  <si>
    <t>-821.788956581815 15.9487076663781 -554.302933464641</t>
  </si>
  <si>
    <t>-849.566165650192 149.315521698314 -535.850909986657</t>
  </si>
  <si>
    <t>-785.49188730321 193.264009135649 -252.030138049877</t>
  </si>
  <si>
    <t>-551.982710997124 251.487770882995 -263.620289511035</t>
  </si>
  <si>
    <t>-823.317787884345 96.6653235886786 -99.7664458752624</t>
  </si>
  <si>
    <t>-845.205815070599 129.268155157799 301.871013033201</t>
  </si>
  <si>
    <t>-891.106953087967 183.576874546734 744.123354382161</t>
  </si>
  <si>
    <t>-746.43907136579 167.475715307726 806.567415202906</t>
  </si>
  <si>
    <t>-740.866547674387 -85.6852574192777 310.906556890408</t>
  </si>
  <si>
    <t>-767.317917856739 -80.9630496519982 757.859093547915</t>
  </si>
  <si>
    <t>-625.838283499683 -80.2287516612986 829.06490553212</t>
  </si>
  <si>
    <t>9763-20170724T104712.749016500.bin</t>
  </si>
  <si>
    <t>-790.893820153262 6.92732773128478 -94.9489585408633</t>
  </si>
  <si>
    <t>-822.049944862017 15.0186415714761 -554.206597269001</t>
  </si>
  <si>
    <t>-849.786024302284 148.385765618128 -535.692117784217</t>
  </si>
  <si>
    <t>-785.808870871068 191.9238110746 -251.786211927135</t>
  </si>
  <si>
    <t>-552.307644062988 250.258907762393 -262.969985386912</t>
  </si>
  <si>
    <t>-822.819872135699 96.1711855304636 -99.8297562453934</t>
  </si>
  <si>
    <t>-843.886238215171 128.692912166063 301.858129139043</t>
  </si>
  <si>
    <t>-891.187141685889 183.368352718512 743.935168997505</t>
  </si>
  <si>
    <t>-746.465517401978 167.44189303962 806.299537878531</t>
  </si>
  <si>
    <t>-740.535690643837 -86.0877783058817 311.002384004072</t>
  </si>
  <si>
    <t>-767.301941917145 -81.1442201587504 757.920070136385</t>
  </si>
  <si>
    <t>-625.804875910289 -80.3528726787044 829.090713854166</t>
  </si>
  <si>
    <t>9763-20170724T104712.797817300.bin</t>
  </si>
  <si>
    <t>-790.728523787671 6.65269797425663 -94.9705725110481</t>
  </si>
  <si>
    <t>-822.217452117271 14.5053286601508 -554.194810831677</t>
  </si>
  <si>
    <t>-849.946495853482 147.866748269314 -535.659056231111</t>
  </si>
  <si>
    <t>-785.82369697101 191.395914809957 -251.784658325935</t>
  </si>
  <si>
    <t>-552.316524557319 249.76847911662 -262.643452693958</t>
  </si>
  <si>
    <t>-822.697588585931 95.9672163660614 -99.8952108959082</t>
  </si>
  <si>
    <t>-843.280102970117 128.478130809741 301.818672684552</t>
  </si>
  <si>
    <t>-891.22372518989 183.389784748733 743.807992802943</t>
  </si>
  <si>
    <t>-746.498842209429 167.393501337473 806.146927423351</t>
  </si>
  <si>
    <t>-740.453709649485 -86.2330306081016 311.042285466164</t>
  </si>
  <si>
    <t>-767.326416846314 -81.1555027846199 757.953601700981</t>
  </si>
  <si>
    <t>-625.816220086241 -80.2145771588009 829.096233375801</t>
  </si>
  <si>
    <t>9763-20170724T104712.851464200.bin</t>
  </si>
  <si>
    <t>-790.350840931803 6.06752661536916 -94.9936151409803</t>
  </si>
  <si>
    <t>-822.323886567844 13.4891098499186 -554.180456618486</t>
  </si>
  <si>
    <t>-850.106518425724 146.843487907862 -535.653653920579</t>
  </si>
  <si>
    <t>-785.502965072153 190.467335237634 -251.902831026555</t>
  </si>
  <si>
    <t>-552.090506107691 249.316244577008 -262.211698790181</t>
  </si>
  <si>
    <t>-822.308573437347 95.2642618049249 -99.9995293407798</t>
  </si>
  <si>
    <t>-842.218628030983 127.986555546302 301.731086892635</t>
  </si>
  <si>
    <t>-891.260729497875 183.365238417041 743.517406269799</t>
  </si>
  <si>
    <t>-746.516606926638 167.451658298318 805.832523755284</t>
  </si>
  <si>
    <t>-740.226611676925 -86.5753613835067 311.106424624093</t>
  </si>
  <si>
    <t>-767.336686094274 -81.263414038442 757.996746669199</t>
  </si>
  <si>
    <t>-625.81055045874 -80.3646637186542 829.108200345086</t>
  </si>
  <si>
    <t>9763-20170724T104712.882715900.bin</t>
  </si>
  <si>
    <t>-790.238649416692 5.97009897930297 -95.006336543108</t>
  </si>
  <si>
    <t>-822.45381698462 13.2336923084192 -554.181410612914</t>
  </si>
  <si>
    <t>-850.274585817247 146.582986838219 -535.686017946166</t>
  </si>
  <si>
    <t>-785.502655742753 190.388400861508 -252.001592147927</t>
  </si>
  <si>
    <t>-552.128758766513 249.435750590936 -262.047601901465</t>
  </si>
  <si>
    <t>-822.193053591651 95.1161513345266 -100.053587715917</t>
  </si>
  <si>
    <t>-841.920751507528 127.901823513633 301.680838706747</t>
  </si>
  <si>
    <t>-891.277794605316 183.397096540582 743.387056087644</t>
  </si>
  <si>
    <t>-746.526563734155 167.515051002955 805.693843584051</t>
  </si>
  <si>
    <t>-740.171233842678 -86.6279264915423 311.121289822746</t>
  </si>
  <si>
    <t>-767.374431704363 -81.1592751416426 757.996393874848</t>
  </si>
  <si>
    <t>-625.850926432376 -80.5922084295032 829.116477588693</t>
  </si>
  <si>
    <t>9763-20170724T104712.949918100.bin</t>
  </si>
  <si>
    <t>-790.257077453437 6.01747010114718 -95.1229822470261</t>
  </si>
  <si>
    <t>-822.607846619572 12.9411440996766 -554.327111288945</t>
  </si>
  <si>
    <t>-850.585638963312 146.273119904659 -535.932961919486</t>
  </si>
  <si>
    <t>-786.111985000654 190.520935006202 -252.249280144549</t>
  </si>
  <si>
    <t>-552.792116293042 249.82283252059 -262.0468232718</t>
  </si>
  <si>
    <t>-822.250867629091 95.2832539001408 -100.227005967958</t>
  </si>
  <si>
    <t>-841.879317763189 127.827584905717 301.532020042184</t>
  </si>
  <si>
    <t>-891.298345689543 183.44353166268 743.182758436999</t>
  </si>
  <si>
    <t>-746.556836259302 167.449764417183 805.483395956944</t>
  </si>
  <si>
    <t>-740.391303699328 -86.7187974537786 311.079148796225</t>
  </si>
  <si>
    <t>-767.405287007206 -81.2014472304787 757.998753548039</t>
  </si>
  <si>
    <t>-625.872204669708 -80.5277080224021 829.098844687333</t>
  </si>
  <si>
    <t>9763-20170724T104712.982547200.bin</t>
  </si>
  <si>
    <t>-790.378446500112 6.09279915042043 -95.185030821301</t>
  </si>
  <si>
    <t>-822.69271099283 12.8613061957919 -554.408334614941</t>
  </si>
  <si>
    <t>-850.767345942775 146.182771271275 -536.081654169107</t>
  </si>
  <si>
    <t>-786.491689576767 190.491954457131 -252.36261761366</t>
  </si>
  <si>
    <t>-553.223443823774 250.013022109046 -262.059364623923</t>
  </si>
  <si>
    <t>-822.372098588978 95.3018839956733 -100.309667829338</t>
  </si>
  <si>
    <t>-842.045916823339 127.921350199288 301.440984191632</t>
  </si>
  <si>
    <t>-891.30499357046 183.490198362113 743.105243906652</t>
  </si>
  <si>
    <t>-746.564594622911 167.48410588859 805.405449847069</t>
  </si>
  <si>
    <t>-740.510529852671 -86.7519329978443 311.044964703958</t>
  </si>
  <si>
    <t>-767.396021889191 -81.3050136754071 757.998323556103</t>
  </si>
  <si>
    <t>-625.85536457214 -80.4349724743263 829.08125427087</t>
  </si>
  <si>
    <t>9763-20170724T104713.047220300.bin</t>
  </si>
  <si>
    <t>-790.567362546448 6.07124479427421 -95.2645909691015</t>
  </si>
  <si>
    <t>-822.774568120539 12.4730008407271 -554.520130990692</t>
  </si>
  <si>
    <t>-851.056430112138 145.763317758529 -536.299077600759</t>
  </si>
  <si>
    <t>-787.02221200302 190.343066283541 -252.567702111401</t>
  </si>
  <si>
    <t>-553.807943733876 250.096164913386 -262.134683396097</t>
  </si>
  <si>
    <t>-822.64110072755 95.3385377157665 -100.450712764395</t>
  </si>
  <si>
    <t>-842.284715650291 128.037067763387 301.294998856505</t>
  </si>
  <si>
    <t>-891.318361451324 183.571833498351 742.990188914077</t>
  </si>
  <si>
    <t>-746.586877738452 167.486658482923 805.290934054384</t>
  </si>
  <si>
    <t>-740.581807765593 -86.9253889738404 310.997991154813</t>
  </si>
  <si>
    <t>-767.299525848543 -81.7825413152268 757.997018027836</t>
  </si>
  <si>
    <t>-625.743950486814 -80.3029430714931 829.040158331611</t>
  </si>
  <si>
    <t>9763-20170724T104713.083318800.bin</t>
  </si>
  <si>
    <t>-790.64958126835 6.15466413635158 -95.3012030185712</t>
  </si>
  <si>
    <t>-822.821035537285 12.3140233217669 -554.567897297125</t>
  </si>
  <si>
    <t>-851.172995284133 145.599450667187 -536.408908985649</t>
  </si>
  <si>
    <t>-787.226154423706 190.307096594306 -252.678091301075</t>
  </si>
  <si>
    <t>-554.025498918814 250.100354790487 -262.324261972046</t>
  </si>
  <si>
    <t>-822.809775551549 95.3916285790681 -100.504517506949</t>
  </si>
  <si>
    <t>-842.358274222335 128.114099909645 301.243883839298</t>
  </si>
  <si>
    <t>-891.317028740448 183.552358212718 742.954811064666</t>
  </si>
  <si>
    <t>-746.564591158902 167.615148393078 805.244537722042</t>
  </si>
  <si>
    <t>-740.707485733937 -86.6854204403937 310.981801663455</t>
  </si>
  <si>
    <t>-767.367795787451 -81.5953674240974 757.985609543483</t>
  </si>
  <si>
    <t>-625.812488128425 -80.8553242229503 829.040824586427</t>
  </si>
  <si>
    <t>9763-20170724T104713.150507200.bin</t>
  </si>
  <si>
    <t>-790.924965891537 6.37360128183286 -95.3956475123961</t>
  </si>
  <si>
    <t>-823.006264562721 12.0104107625382 -554.690978162223</t>
  </si>
  <si>
    <t>-851.393575956357 145.305902173599 -536.687880870696</t>
  </si>
  <si>
    <t>-787.432368325211 190.287153683095 -253.003464664868</t>
  </si>
  <si>
    <t>-554.224601010679 250.031068635946 -262.785766522964</t>
  </si>
  <si>
    <t>-823.204856491719 95.6105516815383 -100.630089526793</t>
  </si>
  <si>
    <t>-842.586162174353 128.302203972369 301.128922321607</t>
  </si>
  <si>
    <t>-891.322505844982 183.613855464154 742.885148442535</t>
  </si>
  <si>
    <t>-746.565308598566 167.6809555208 805.165207077071</t>
  </si>
  <si>
    <t>-740.830876395049 -86.523184929805 310.943054741353</t>
  </si>
  <si>
    <t>-767.393995888046 -81.5759983035023 757.964143587914</t>
  </si>
  <si>
    <t>-625.837234682367 -80.5753267881992 829.013258417179</t>
  </si>
  <si>
    <t>9763-20170724T104713.181575300.bin</t>
  </si>
  <si>
    <t>-791.116801703135 6.54470787893888 -95.4261713866679</t>
  </si>
  <si>
    <t>-823.211690281477 11.9293418497871 -554.735580717119</t>
  </si>
  <si>
    <t>-851.587621038278 145.238726757449 -536.817769626167</t>
  </si>
  <si>
    <t>-787.52964701578 190.448157830118 -253.191299689462</t>
  </si>
  <si>
    <t>-554.317237933176 250.163074563031 -263.040499831632</t>
  </si>
  <si>
    <t>-823.426154007722 95.7341154650135 -100.683898082693</t>
  </si>
  <si>
    <t>-842.698131121245 128.494799579144 301.074739943939</t>
  </si>
  <si>
    <t>-891.321194756949 183.643409632883 742.856836932362</t>
  </si>
  <si>
    <t>-746.552037717438 167.789474613124 805.129055620016</t>
  </si>
  <si>
    <t>-740.959904806308 -86.3532447326901 310.92246062992</t>
  </si>
  <si>
    <t>-767.42559077579 -81.491625629685 757.949625759802</t>
  </si>
  <si>
    <t>-625.873932874553 -80.9705680959787 829.014035055898</t>
  </si>
  <si>
    <t>9763-20170724T104713.247763300.bin</t>
  </si>
  <si>
    <t>-791.540317131896 6.91983721028009 -95.5045910797752</t>
  </si>
  <si>
    <t>-823.910462829066 11.8274267286754 -554.838676651817</t>
  </si>
  <si>
    <t>-852.134787833454 145.19634585666 -537.098181301355</t>
  </si>
  <si>
    <t>-787.924688228298 190.833672750267 -253.574832419727</t>
  </si>
  <si>
    <t>-554.64568009548 250.254281752811 -263.621995720432</t>
  </si>
  <si>
    <t>-823.881607249911 96.2212500265248 -100.795336642132</t>
  </si>
  <si>
    <t>-842.855483358151 128.840235531721 300.989027632052</t>
  </si>
  <si>
    <t>-891.321647252355 183.82819260101 742.802919504798</t>
  </si>
  <si>
    <t>-746.588979169296 167.704204139568 805.090878856032</t>
  </si>
  <si>
    <t>-741.252021896993 -86.1114395538176 310.863047452868</t>
  </si>
  <si>
    <t>-767.437030020183 -81.4665713468884 757.910147875068</t>
  </si>
  <si>
    <t>-625.89836301764 -81.1582595218655 829.001618854855</t>
  </si>
  <si>
    <t>9763-20170724T104713.279696700.bin</t>
  </si>
  <si>
    <t>-791.808763148303 7.09436872397441 -95.5480386204994</t>
  </si>
  <si>
    <t>-824.459161784956 11.7874141334089 -554.899044337815</t>
  </si>
  <si>
    <t>-852.569141600912 145.186338061078 -537.235852583545</t>
  </si>
  <si>
    <t>-788.279562229571 191.004803645995 -253.759778337389</t>
  </si>
  <si>
    <t>-554.956582818491 250.244742517514 -263.853795278621</t>
  </si>
  <si>
    <t>-824.167219784866 96.4703738587166 -100.852712145791</t>
  </si>
  <si>
    <t>-842.892594383129 128.953028107543 300.954337592328</t>
  </si>
  <si>
    <t>-891.303579377688 183.903191498501 742.777823220148</t>
  </si>
  <si>
    <t>-746.591318326449 167.68747369966 805.089192667052</t>
  </si>
  <si>
    <t>-741.402960879161 -86.0051370307599 310.825834407548</t>
  </si>
  <si>
    <t>-767.41267102298 -81.5565075497633 757.889782187837</t>
  </si>
  <si>
    <t>-625.877474491473 -80.89579146645 828.985923125072</t>
  </si>
  <si>
    <t>9763-20170724T104713.349384100.bin</t>
  </si>
  <si>
    <t>-792.267332617534 7.26961275320173 -95.6265239456587</t>
  </si>
  <si>
    <t>-825.485916000475 11.9116840359218 -555.012207187279</t>
  </si>
  <si>
    <t>-853.420173688915 145.356379092373 -537.414309024611</t>
  </si>
  <si>
    <t>-788.825873643797 191.274496833885 -254.023646449512</t>
  </si>
  <si>
    <t>-555.438594102801 250.216168198024 -264.372996878271</t>
  </si>
  <si>
    <t>-824.636083646901 96.9389672607783 -100.924498046912</t>
  </si>
  <si>
    <t>-842.956287325563 129.106183161942 300.926616470164</t>
  </si>
  <si>
    <t>-891.283648960469 184.053857544875 742.795838408608</t>
  </si>
  <si>
    <t>-746.605988396523 167.607360199804 805.127154649696</t>
  </si>
  <si>
    <t>-741.817141779569 -85.5952430407674 310.757541618033</t>
  </si>
  <si>
    <t>-767.438592945919 -81.4919995682711 757.83488765629</t>
  </si>
  <si>
    <t>-625.919451501334 -80.8530183897356 828.963108391503</t>
  </si>
  <si>
    <t>9763-20170724T104713.386559800.bin</t>
  </si>
  <si>
    <t>-792.364692375258 7.24290003571582 -95.6537482146252</t>
  </si>
  <si>
    <t>-825.957214734083 11.9042024755643 -555.037586518245</t>
  </si>
  <si>
    <t>-853.822822315574 145.367270006705 -537.444979296363</t>
  </si>
  <si>
    <t>-789.085018401737 191.218294291841 -254.076020376738</t>
  </si>
  <si>
    <t>-555.677157849167 250.064779269319 -264.504527993352</t>
  </si>
  <si>
    <t>-824.775795404331 97.0401612626717 -100.957396895564</t>
  </si>
  <si>
    <t>-843.013104057012 129.097816887754 300.906263603027</t>
  </si>
  <si>
    <t>-891.274674726756 184.132773379918 742.813055666487</t>
  </si>
  <si>
    <t>-746.613235762488 167.58670885475 805.155418068951</t>
  </si>
  <si>
    <t>-742.004167582503 -85.584106995668 310.714321538495</t>
  </si>
  <si>
    <t>-767.385867907365 -81.7470514985051 757.823594323292</t>
  </si>
  <si>
    <t>-625.868532849339 -80.8099086964226 828.952172717609</t>
  </si>
  <si>
    <t>9763-20170724T104713.448728000.bin</t>
  </si>
  <si>
    <t>-792.83556735907 7.25905444249611 -95.6713499491962</t>
  </si>
  <si>
    <t>-827.28135662561 11.8332260720699 -555.034181149777</t>
  </si>
  <si>
    <t>-855.012759137416 145.330745133678 -537.467997401859</t>
  </si>
  <si>
    <t>-790.053029452138 191.115198502924 -254.139012156984</t>
  </si>
  <si>
    <t>-556.633379527416 249.901595110042 -264.641606246504</t>
  </si>
  <si>
    <t>-825.223725434228 97.1434902563906 -100.973591076641</t>
  </si>
  <si>
    <t>-843.316757933317 129.125735553018 300.902569266898</t>
  </si>
  <si>
    <t>-891.236725230857 184.114342302735 742.861197113984</t>
  </si>
  <si>
    <t>-746.581019220768 167.592824291287 805.22359540434</t>
  </si>
  <si>
    <t>-742.362310387695 -85.5124773220057 310.696435815904</t>
  </si>
  <si>
    <t>-767.437585641469 -81.6947596615537 757.817603490642</t>
  </si>
  <si>
    <t>-625.923766651743 -80.8648179061241 828.954467638421</t>
  </si>
  <si>
    <t>9763-20170724T104713.481820100.bin</t>
  </si>
  <si>
    <t>-793.069355431507 7.203672052397 -95.6672658694788</t>
  </si>
  <si>
    <t>-827.9669063243 11.7297316881863 -555.01503068673</t>
  </si>
  <si>
    <t>-855.637432484372 145.23713884031 -537.462211803899</t>
  </si>
  <si>
    <t>-790.643437636604 191.028295303248 -254.142407100244</t>
  </si>
  <si>
    <t>-557.210824868538 249.775096425761 -264.577898798856</t>
  </si>
  <si>
    <t>-825.410326464077 97.0887514480717 -100.967200652775</t>
  </si>
  <si>
    <t>-843.526034492954 129.167073385865 300.900258989339</t>
  </si>
  <si>
    <t>-891.222626106595 184.137032077179 742.885251139993</t>
  </si>
  <si>
    <t>-746.567299775737 167.635457857725 805.253701062822</t>
  </si>
  <si>
    <t>-742.457111640976 -85.5464946644726 310.689093816216</t>
  </si>
  <si>
    <t>-767.427331045359 -81.7935789355276 757.814839046752</t>
  </si>
  <si>
    <t>-625.914469107227 -80.8155956797002 828.951793778533</t>
  </si>
  <si>
    <t>9763-20170724T104713.550007100.bin</t>
  </si>
  <si>
    <t>-793.552462617884 7.07253440961608 -95.6746132174427</t>
  </si>
  <si>
    <t>-829.338251337396 11.5307819305331 -554.977772696306</t>
  </si>
  <si>
    <t>-856.840394326373 145.07773943911 -537.432047412779</t>
  </si>
  <si>
    <t>-791.810437847655 190.68665996468 -254.09108988587</t>
  </si>
  <si>
    <t>-558.409040290173 249.553426317404 -264.548457173737</t>
  </si>
  <si>
    <t>-825.8717343614 97.0466989710874 -100.966057054854</t>
  </si>
  <si>
    <t>-843.866374197416 129.175803921009 300.902835674493</t>
  </si>
  <si>
    <t>-891.186049979083 184.07966502973 742.933306731569</t>
  </si>
  <si>
    <t>-746.536148157821 167.56966009538 805.312189958411</t>
  </si>
  <si>
    <t>-742.786898975417 -85.4952355568026 310.688430841694</t>
  </si>
  <si>
    <t>-767.476242645253 -81.7834232028354 757.825501984009</t>
  </si>
  <si>
    <t>-625.959659085897 -80.9713762167079 828.957003957906</t>
  </si>
  <si>
    <t>9763-20170724T104713.581626300.bin</t>
  </si>
  <si>
    <t>-793.834438907855 6.98221137726796 -95.682470811066</t>
  </si>
  <si>
    <t>-829.978022988099 11.4629311083179 -554.969155926258</t>
  </si>
  <si>
    <t>-857.428935948383 145.014461979106 -537.412381189973</t>
  </si>
  <si>
    <t>-792.311884558811 190.544879748269 -254.078659607598</t>
  </si>
  <si>
    <t>-558.963853358096 249.614731155616 -264.581272396884</t>
  </si>
  <si>
    <t>-826.126017965109 97.029197704567 -100.966641184591</t>
  </si>
  <si>
    <t>-844.020416015764 129.193115140251 300.903946965988</t>
  </si>
  <si>
    <t>-891.182964177571 184.131281123363 742.958177247131</t>
  </si>
  <si>
    <t>-746.538822947434 167.576604552816 805.338760839793</t>
  </si>
  <si>
    <t>-743.055457151145 -85.4283626951559 310.68139849585</t>
  </si>
  <si>
    <t>-767.534405036186 -81.6577528740602 757.828475501347</t>
  </si>
  <si>
    <t>-626.016240672805 -80.8245678905411 828.956660954948</t>
  </si>
  <si>
    <t>9763-20170724T104713.649809000.bin</t>
  </si>
  <si>
    <t>-794.381137930339 6.63584162387906 -95.6850908878273</t>
  </si>
  <si>
    <t>-831.064459740058 11.333154673481 -554.942198017624</t>
  </si>
  <si>
    <t>-858.43698015559 144.891822186602 -537.305497906648</t>
  </si>
  <si>
    <t>-793.103896172522 190.456396170005 -254.02707643234</t>
  </si>
  <si>
    <t>-559.851893567004 249.891474128921 -264.603671179627</t>
  </si>
  <si>
    <t>-826.596340901514 96.8674807752616 -100.941982727326</t>
  </si>
  <si>
    <t>-844.307099935898 129.140195581052 300.927963136742</t>
  </si>
  <si>
    <t>-891.159791961982 184.168782017619 743.024422978854</t>
  </si>
  <si>
    <t>-746.516745887939 167.57718105044 805.397676107806</t>
  </si>
  <si>
    <t>-743.586355825529 -85.6501217257213 310.65551312639</t>
  </si>
  <si>
    <t>-767.496576187851 -81.9835246243049 757.852127837723</t>
  </si>
  <si>
    <t>-625.967485404386 -80.5146859173175 828.948175145134</t>
  </si>
  <si>
    <t>9763-20170724T104713.684403300.bin</t>
  </si>
  <si>
    <t>-794.787600985407 6.65158917061808 -95.6856287794294</t>
  </si>
  <si>
    <t>-831.647347096756 11.4162966632753 -554.933512479173</t>
  </si>
  <si>
    <t>-858.94889074989 144.98489035381 -537.267034603877</t>
  </si>
  <si>
    <t>-793.546817755874 190.651668052668 -254.020887374535</t>
  </si>
  <si>
    <t>-560.324243303297 250.210532492429 -264.548404005957</t>
  </si>
  <si>
    <t>-826.921623315571 96.9044528262862 -100.93677291246</t>
  </si>
  <si>
    <t>-844.505362963234 129.23661792783 300.93400323011</t>
  </si>
  <si>
    <t>-891.150182956386 184.190426420293 743.057028829962</t>
  </si>
  <si>
    <t>-746.51227720304 167.558648576615 805.431484380466</t>
  </si>
  <si>
    <t>-743.913647109904 -85.5891055820457 310.656174188552</t>
  </si>
  <si>
    <t>-767.55103602672 -81.9155500295623 757.872897824344</t>
  </si>
  <si>
    <t>-626.013354549122 -80.9239470768956 828.960185074529</t>
  </si>
  <si>
    <t>9763-20170724T104713.752087100.bin</t>
  </si>
  <si>
    <t>-795.563887279291 6.6146390442766 -95.651797772378</t>
  </si>
  <si>
    <t>-832.687913101546 11.447664420715 -554.889732141483</t>
  </si>
  <si>
    <t>-859.835841482589 145.046817674624 -537.224847288182</t>
  </si>
  <si>
    <t>-794.32508353458 190.877836105761 -254.030370295439</t>
  </si>
  <si>
    <t>-561.13933425162 250.611678178287 -264.381998537636</t>
  </si>
  <si>
    <t>-827.585472869196 96.8557786647773 -100.921612796869</t>
  </si>
  <si>
    <t>-844.950284716403 129.435189125349 300.938776551922</t>
  </si>
  <si>
    <t>-891.119282393443 184.117994389128 743.133255814938</t>
  </si>
  <si>
    <t>-746.451298129036 167.682078956306 805.489752433931</t>
  </si>
  <si>
    <t>-744.415080470726 -85.7510416329696 310.67331129872</t>
  </si>
  <si>
    <t>-767.537695307497 -82.1421923654083 757.913282497428</t>
  </si>
  <si>
    <t>-625.983435704474 -80.4411433505838 828.954178294547</t>
  </si>
  <si>
    <t>9763-20170724T104713.779667400.bin</t>
  </si>
  <si>
    <t>-795.960181650173 6.68722382227475 -95.6234110343818</t>
  </si>
  <si>
    <t>-833.188413532659 11.5369669707693 -554.856585038596</t>
  </si>
  <si>
    <t>-860.250160308831 145.154422704236 -537.191615134563</t>
  </si>
  <si>
    <t>-794.725013627341 190.943973114125 -253.993940608425</t>
  </si>
  <si>
    <t>-561.526621580037 250.614524129258 -264.424982929502</t>
  </si>
  <si>
    <t>-827.898443846926 96.9638492725901 -100.911360158427</t>
  </si>
  <si>
    <t>-845.187740413284 129.588858893793 300.948515123776</t>
  </si>
  <si>
    <t>-891.120689510568 184.184633985249 743.16459071317</t>
  </si>
  <si>
    <t>-746.477359670445 167.542106624758 805.523506690848</t>
  </si>
  <si>
    <t>-744.644666316242 -85.719368593057 310.684470185685</t>
  </si>
  <si>
    <t>-767.549572208041 -82.1708177753842 757.926935156654</t>
  </si>
  <si>
    <t>-625.992117015026 -80.587290671926 828.964019114798</t>
  </si>
  <si>
    <t>9763-20170724T104713.846347000.bin</t>
  </si>
  <si>
    <t>-796.678408221307 6.9787134139292 -95.6133110062081</t>
  </si>
  <si>
    <t>-834.180137664783 11.8196481636892 -554.826388987134</t>
  </si>
  <si>
    <t>-861.063589824178 145.479362476347 -537.213887793078</t>
  </si>
  <si>
    <t>-795.585994049054 191.19551037658 -253.993210817676</t>
  </si>
  <si>
    <t>-562.31800911765 250.600240258913 -264.384885251201</t>
  </si>
  <si>
    <t>-828.592612707152 97.2806603468343 -100.915853394185</t>
  </si>
  <si>
    <t>-845.697794934858 129.835283322065 300.957572853164</t>
  </si>
  <si>
    <t>-891.10240043855 184.192548696896 743.240595108399</t>
  </si>
  <si>
    <t>-746.464054238539 167.499126868662 805.5971476935</t>
  </si>
  <si>
    <t>-745.163770872659 -85.3123720911984 310.666159991603</t>
  </si>
  <si>
    <t>-767.692157396292 -81.771659926424 757.934437046429</t>
  </si>
  <si>
    <t>-626.133416044156 -80.9516338104254 828.981976396556</t>
  </si>
  <si>
    <t>9763-20170724T104713.883456400.bin</t>
  </si>
  <si>
    <t>-796.970386776864 7.04846168275299 -95.6156242932809</t>
  </si>
  <si>
    <t>-834.59544118796 11.8928143064513 -554.818184102222</t>
  </si>
  <si>
    <t>-861.399235416244 145.57544811137 -537.230896296629</t>
  </si>
  <si>
    <t>-795.987291926538 191.220087804308 -253.983576080024</t>
  </si>
  <si>
    <t>-562.671655180655 250.444146183698 -264.336583735225</t>
  </si>
  <si>
    <t>-828.890393744151 97.3837958014947 -100.91578554467</t>
  </si>
  <si>
    <t>-845.890020151527 129.944002313603 300.961696698891</t>
  </si>
  <si>
    <t>-891.097054201986 184.24728737233 743.279659059496</t>
  </si>
  <si>
    <t>-746.469402846239 167.472686047631 805.639472023858</t>
  </si>
  <si>
    <t>-745.271528464032 -85.3307694220277 310.665731544434</t>
  </si>
  <si>
    <t>-767.652074534321 -81.9545860952675 757.940862065232</t>
  </si>
  <si>
    <t>-626.090857782583 -80.5634492097244 828.974447298536</t>
  </si>
  <si>
    <t>9763-20170724T104713.917548500.bin</t>
  </si>
  <si>
    <t>-797.229840584691 7.13346251089888 -95.6186522467862</t>
  </si>
  <si>
    <t>-834.914944771926 12.0153046900482 -554.812453738595</t>
  </si>
  <si>
    <t>-861.633131749825 145.716332274518 -537.255974874948</t>
  </si>
  <si>
    <t>-796.43794549454 191.344591797164 -253.95608462401</t>
  </si>
  <si>
    <t>-563.059130574399 250.334551736243 -264.222135290107</t>
  </si>
  <si>
    <t>-829.104329764497 97.4946685320167 -100.910100379041</t>
  </si>
  <si>
    <t>-846.043844746657 130.031758809703 300.97177152679</t>
  </si>
  <si>
    <t>-891.080783890461 184.221639155795 743.316088467796</t>
  </si>
  <si>
    <t>-746.4587539792 167.399398100354 805.676229946811</t>
  </si>
  <si>
    <t>-745.402884445224 -85.2845298465609 310.663572304704</t>
  </si>
  <si>
    <t>-767.658926325921 -81.9702702610354 757.945890526967</t>
  </si>
  <si>
    <t>-626.097151835854 -80.3817884486211 828.974342738796</t>
  </si>
  <si>
    <t>9763-20170724T104713.986804700.bin</t>
  </si>
  <si>
    <t>-797.717526807319 7.56588624625147 -95.6223698255203</t>
  </si>
  <si>
    <t>-835.711119187278 12.3081025827739 -554.803266302183</t>
  </si>
  <si>
    <t>-862.261475992152 146.051359210732 -537.322837281023</t>
  </si>
  <si>
    <t>-797.416010227521 191.777641852734 -253.95850491167</t>
  </si>
  <si>
    <t>-563.910851868883 250.346186641828 -263.753172441281</t>
  </si>
  <si>
    <t>-829.541360488519 97.9528635787544 -100.910169153716</t>
  </si>
  <si>
    <t>-846.32837617361 130.321880948676 300.991675510267</t>
  </si>
  <si>
    <t>-891.073514582305 184.270988642215 743.399820543339</t>
  </si>
  <si>
    <t>-746.454059052318 167.39926228865 805.752268253297</t>
  </si>
  <si>
    <t>-745.66362495215 -84.9102933721291 310.643815029029</t>
  </si>
  <si>
    <t>-767.676956355909 -81.9678389849191 757.944208472985</t>
  </si>
  <si>
    <t>-626.117141394864 -80.9467412641129 828.987067069106</t>
  </si>
  <si>
    <t>9763-20170724T104714.044960800.bin</t>
  </si>
  <si>
    <t>-798.138287178106 7.9600840223768 -95.6298753120237</t>
  </si>
  <si>
    <t>-836.741413977097 12.5488111581583 -554.766054968037</t>
  </si>
  <si>
    <t>-863.061550357423 146.345176848107 -537.344083754645</t>
  </si>
  <si>
    <t>-798.276860827953 192.177060099732 -253.982771461231</t>
  </si>
  <si>
    <t>-564.675425167621 250.436966048999 -263.311790365872</t>
  </si>
  <si>
    <t>-829.990601517714 98.396486555393 -100.935480120516</t>
  </si>
  <si>
    <t>-846.60338724284 130.642266603655 300.983567084073</t>
  </si>
  <si>
    <t>-891.066015144314 184.247654594115 743.478201890561</t>
  </si>
  <si>
    <t>-746.422311607528 167.465917717034 805.799152535916</t>
  </si>
  <si>
    <t>-745.852045228909 -84.4751899935898 310.628536400278</t>
  </si>
  <si>
    <t>-767.702580456393 -81.8921808057273 757.932405645273</t>
  </si>
  <si>
    <t>-626.151678244815 -80.9509301260656 828.994030828403</t>
  </si>
  <si>
    <t>9763-20170724T104714.082061700.bin</t>
  </si>
  <si>
    <t>-798.327692829729 8.13087381156629 -95.6517404152654</t>
  </si>
  <si>
    <t>-837.272749878639 12.6599595048108 -554.766207882497</t>
  </si>
  <si>
    <t>-863.477850078158 146.484382557366 -537.372033499674</t>
  </si>
  <si>
    <t>-798.658710335413 192.41480478571 -254.034612608418</t>
  </si>
  <si>
    <t>-565.015808479802 250.532676827412 -263.210841533434</t>
  </si>
  <si>
    <t>-830.220269295212 98.6445659067879 -100.958802623321</t>
  </si>
  <si>
    <t>-846.721331683394 130.811716580031 300.971150319717</t>
  </si>
  <si>
    <t>-891.06489099393 184.273597183911 743.510312026295</t>
  </si>
  <si>
    <t>-746.410109184555 167.534400380275 805.816691143185</t>
  </si>
  <si>
    <t>-745.985469628816 -84.2004826369606 310.616045877665</t>
  </si>
  <si>
    <t>-767.725369681621 -81.815533192932 757.920769785985</t>
  </si>
  <si>
    <t>-626.18123039989 -81.0701486613632 828.998057841092</t>
  </si>
  <si>
    <t>9763-20170724T104714.151253400.bin</t>
  </si>
  <si>
    <t>-798.711860523296 8.52616414728345 -95.6810165565549</t>
  </si>
  <si>
    <t>-838.292454287415 12.9566172894286 -554.754679953358</t>
  </si>
  <si>
    <t>-864.358889693672 146.813647654654 -537.423083298761</t>
  </si>
  <si>
    <t>-799.405266006277 192.823031360328 -254.129187943913</t>
  </si>
  <si>
    <t>-565.694679123521 250.674307948411 -263.264252877019</t>
  </si>
  <si>
    <t>-830.599749981306 99.1043920353882 -100.982548222455</t>
  </si>
  <si>
    <t>-846.917708726568 131.138148234532 300.965522600485</t>
  </si>
  <si>
    <t>-891.040052237651 184.210582384576 743.582557679069</t>
  </si>
  <si>
    <t>-746.384531248127 167.429272514543 805.875735480342</t>
  </si>
  <si>
    <t>-746.141552676127 -83.725221006225 310.575198171853</t>
  </si>
  <si>
    <t>-767.789495145518 -81.61000116445 757.896932020977</t>
  </si>
  <si>
    <t>-626.259052397069 -81.1243654119256 829.003868493814</t>
  </si>
  <si>
    <t>9763-20170724T104714.182339400.bin</t>
  </si>
  <si>
    <t>-798.911375615699 8.71542190132413 -95.6947320264234</t>
  </si>
  <si>
    <t>-838.673773965619 13.1934733328087 -554.758745087218</t>
  </si>
  <si>
    <t>-864.71292788518 147.059499152549 -537.45239100262</t>
  </si>
  <si>
    <t>-799.751670409745 193.134502587535 -254.170871893344</t>
  </si>
  <si>
    <t>-566.030653595443 250.936860185857 -263.349580995466</t>
  </si>
  <si>
    <t>-830.769234612089 99.3228258750523 -100.99393221493</t>
  </si>
  <si>
    <t>-846.998357272763 131.321377555028 300.960507646668</t>
  </si>
  <si>
    <t>-891.015968748355 184.177692639035 743.608749821079</t>
  </si>
  <si>
    <t>-746.360463855184 167.435858987568 805.912789328466</t>
  </si>
  <si>
    <t>-746.265008631081 -83.5140084048118 310.551141443059</t>
  </si>
  <si>
    <t>-767.809450730853 -81.545168018131 757.883813209874</t>
  </si>
  <si>
    <t>-626.283634612674 -81.0973742750559 829.000217928567</t>
  </si>
  <si>
    <t>9763-20170724T104714.248516100.bin</t>
  </si>
  <si>
    <t>-799.201129648285 9.11177541741995 -95.6844475829104</t>
  </si>
  <si>
    <t>-838.88655207349 13.7830543979037 -554.744077002473</t>
  </si>
  <si>
    <t>-864.90497344957 147.658197673178 -537.458096745833</t>
  </si>
  <si>
    <t>-800.076146220651 193.706612539617 -254.142099812761</t>
  </si>
  <si>
    <t>-566.350870463669 251.4587833044 -263.526829625941</t>
  </si>
  <si>
    <t>-830.914961328999 99.746315123989 -100.958431052851</t>
  </si>
  <si>
    <t>-847.032954722249 131.591160963974 301.012677884755</t>
  </si>
  <si>
    <t>-890.996676929542 184.231247075457 743.698648566632</t>
  </si>
  <si>
    <t>-746.351839552605 167.388186335176 806.000366028013</t>
  </si>
  <si>
    <t>-746.29013912979 -83.3088312758454 310.51047857191</t>
  </si>
  <si>
    <t>-767.797906679378 -81.5975672814542 757.853196820042</t>
  </si>
  <si>
    <t>-626.283361693014 -81.0964337798105 828.991653751274</t>
  </si>
  <si>
    <t>9763-20170724T104714.282609600.bin</t>
  </si>
  <si>
    <t>-799.296973471633 9.29232775480023 -95.666262710597</t>
  </si>
  <si>
    <t>-838.805619067831 14.0998400797357 -554.728491672008</t>
  </si>
  <si>
    <t>-864.822836751932 147.972200684645 -537.411329348694</t>
  </si>
  <si>
    <t>-800.186424419335 193.955466436303 -254.040834050301</t>
  </si>
  <si>
    <t>-566.462587558418 251.688360139051 -263.576914169824</t>
  </si>
  <si>
    <t>-830.955612285929 99.9077161398827 -100.917759722958</t>
  </si>
  <si>
    <t>-847.035238520975 131.655108267208 301.062634859452</t>
  </si>
  <si>
    <t>-890.98129749868 184.177137324892 743.753695816838</t>
  </si>
  <si>
    <t>-746.321067668697 167.434082723692 806.046645724763</t>
  </si>
  <si>
    <t>-746.298052271708 -83.1905157944699 310.501024589776</t>
  </si>
  <si>
    <t>-767.832985331386 -81.5172317922455 757.847994139897</t>
  </si>
  <si>
    <t>-626.321169358738 -81.1355799832304 828.992622769863</t>
  </si>
  <si>
    <t>9763-20170724T104714.347283500.bin</t>
  </si>
  <si>
    <t>-799.331888237685 9.34017099013408 -95.6252799728234</t>
  </si>
  <si>
    <t>-838.481011494725 14.3897033967824 -554.684842440032</t>
  </si>
  <si>
    <t>-864.50298410781 148.240581505727 -537.229413547598</t>
  </si>
  <si>
    <t>-800.254035992069 193.816873632047 -253.705199048921</t>
  </si>
  <si>
    <t>-566.528696877954 251.484210791779 -263.594789728888</t>
  </si>
  <si>
    <t>-830.976055331342 100.033662692402 -100.834287761425</t>
  </si>
  <si>
    <t>-847.009813251638 131.686147636332 301.15537364328</t>
  </si>
  <si>
    <t>-890.977045106222 184.208352498816 743.852317023018</t>
  </si>
  <si>
    <t>-746.318968390856 167.384676717483 806.128429499832</t>
  </si>
  <si>
    <t>-746.314101167374 -83.1264842262897 310.514867236893</t>
  </si>
  <si>
    <t>-767.828337609601 -81.6075749859084 757.847891407121</t>
  </si>
  <si>
    <t>-626.313113556022 -80.8489760487435 828.982607023953</t>
  </si>
  <si>
    <t>9763-20170724T104714.378432300.bin</t>
  </si>
  <si>
    <t>-799.326686789354 9.40929191689838 -95.6021019811183</t>
  </si>
  <si>
    <t>-838.264430029299 14.5439535716364 -554.669906971472</t>
  </si>
  <si>
    <t>-864.280466997378 148.383323396951 -537.113727267617</t>
  </si>
  <si>
    <t>-800.05404646505 193.693895346791 -253.54155245742</t>
  </si>
  <si>
    <t>-566.353765332388 251.437986142987 -263.574237962905</t>
  </si>
  <si>
    <t>-830.929832819338 100.094642777005 -100.79841575935</t>
  </si>
  <si>
    <t>-847.062755092626 131.753628074665 301.186793502147</t>
  </si>
  <si>
    <t>-890.980568733153 184.224403570707 743.900500771033</t>
  </si>
  <si>
    <t>-746.314823891661 167.397555876222 806.158091745905</t>
  </si>
  <si>
    <t>-746.30001490156 -83.0758492333916 310.52095851008</t>
  </si>
  <si>
    <t>-767.869967379131 -81.5225484379996 757.851997252379</t>
  </si>
  <si>
    <t>-626.35279448854 -80.7795896170206 828.982990785363</t>
  </si>
  <si>
    <t>9763-20170724T104714.446125300.bin</t>
  </si>
  <si>
    <t>-799.458488808161 9.69668775755122 -95.5676137485581</t>
  </si>
  <si>
    <t>-837.927647834864 14.9004845039481 -554.661666110973</t>
  </si>
  <si>
    <t>-863.873387487315 148.735644058112 -536.958045886747</t>
  </si>
  <si>
    <t>-799.517801086098 193.715860493491 -253.36264857845</t>
  </si>
  <si>
    <t>-565.836875776572 251.527781269315 -263.456548934352</t>
  </si>
  <si>
    <t>-831.031627089067 100.357753449093 -100.760351239136</t>
  </si>
  <si>
    <t>-847.227646991808 132.011144941045 301.222739754823</t>
  </si>
  <si>
    <t>-890.962026406958 184.183965166477 743.972232025315</t>
  </si>
  <si>
    <t>-746.292133366175 167.345476752345 806.216759025989</t>
  </si>
  <si>
    <t>-746.460794017808 -82.8145126942309 310.539379171289</t>
  </si>
  <si>
    <t>-767.949722694321 -81.343386069008 757.868111347392</t>
  </si>
  <si>
    <t>-626.435892525794 -81.5008735498276 829.009483719094</t>
  </si>
  <si>
    <t>9763-20170724T104714.479719500.bin</t>
  </si>
  <si>
    <t>-799.503006827206 9.79192513991939 -95.5627017094014</t>
  </si>
  <si>
    <t>-837.737199547501 14.9858813168078 -554.67480409274</t>
  </si>
  <si>
    <t>-863.63637514842 148.821917239544 -536.935689253699</t>
  </si>
  <si>
    <t>-799.256100525283 193.755554975956 -253.338429169179</t>
  </si>
  <si>
    <t>-565.565187227806 251.520131040227 -263.471964704853</t>
  </si>
  <si>
    <t>-831.052375086589 100.487712309047 -100.760660664978</t>
  </si>
  <si>
    <t>-847.288021237597 132.087194597413 301.225069920408</t>
  </si>
  <si>
    <t>-890.951161672664 184.200202825297 743.994708589283</t>
  </si>
  <si>
    <t>-746.2886446721 167.320479477173 806.245287937004</t>
  </si>
  <si>
    <t>-746.531349852099 -82.7363955092344 310.541098275192</t>
  </si>
  <si>
    <t>-767.984659487488 -81.264927454035 757.873403654401</t>
  </si>
  <si>
    <t>-626.467127692876 -81.201241855872 829.007620822429</t>
  </si>
  <si>
    <t>9763-20170724T104714.549412900.bin</t>
  </si>
  <si>
    <t>-799.504317342628 9.7893457882808 -95.5496417462285</t>
  </si>
  <si>
    <t>-837.411088637434 14.9004762592558 -554.687046638376</t>
  </si>
  <si>
    <t>-863.199797452587 148.754798713291 -536.906053719233</t>
  </si>
  <si>
    <t>-798.707543977912 193.504463157778 -253.305282911517</t>
  </si>
  <si>
    <t>-564.998220714811 251.15956012999 -263.636677486806</t>
  </si>
  <si>
    <t>-831.00795467426 100.574900633451 -100.747602464977</t>
  </si>
  <si>
    <t>-847.273410284316 132.154918334209 301.238484189352</t>
  </si>
  <si>
    <t>-890.926054129425 184.227593462928 744.034215472957</t>
  </si>
  <si>
    <t>-746.275618598739 167.289653194745 806.296855580116</t>
  </si>
  <si>
    <t>-746.5392965819 -82.9139250921085 310.549253096183</t>
  </si>
  <si>
    <t>-767.889639931841 -81.6849230503739 757.883536074099</t>
  </si>
  <si>
    <t>-626.363750368805 -80.674992746438 828.994038644653</t>
  </si>
  <si>
    <t>9763-20170724T104714.578994000.bin</t>
  </si>
  <si>
    <t>-799.53917884978 9.84487834691163 -95.5380498797934</t>
  </si>
  <si>
    <t>-837.291219557475 14.919101051288 -554.68802439875</t>
  </si>
  <si>
    <t>-863.014193317074 148.782370356713 -536.895862548021</t>
  </si>
  <si>
    <t>-798.48210698543 193.524016321691 -253.302763451733</t>
  </si>
  <si>
    <t>-564.756224954256 251.094418401024 -263.731391418599</t>
  </si>
  <si>
    <t>-830.990304695161 100.629935252205 -100.736306059772</t>
  </si>
  <si>
    <t>-847.252926999277 132.178334356099 301.252408370099</t>
  </si>
  <si>
    <t>-890.907849077057 184.180810571685 744.057218022808</t>
  </si>
  <si>
    <t>-746.245863776324 167.340476981095 806.319698652856</t>
  </si>
  <si>
    <t>-746.572181213282 -82.936063144113 310.557601478612</t>
  </si>
  <si>
    <t>-767.877362878957 -81.7792971476358 757.889084034527</t>
  </si>
  <si>
    <t>-626.350338343744 -80.7922150623342 828.997598098944</t>
  </si>
  <si>
    <t>9763-20170724T104714.648690200.bin</t>
  </si>
  <si>
    <t>-799.636174914595 10.0675617552881 -95.5062526092419</t>
  </si>
  <si>
    <t>-837.170163246066 15.0848020418525 -554.672229845004</t>
  </si>
  <si>
    <t>-862.756550062274 148.979949977724 -536.905045712737</t>
  </si>
  <si>
    <t>-798.167032416326 193.668012883626 -253.31667730648</t>
  </si>
  <si>
    <t>-564.389829669305 250.974356284935 -264.04390592778</t>
  </si>
  <si>
    <t>-830.959424069759 100.830430621462 -100.705258748702</t>
  </si>
  <si>
    <t>-847.231549526884 132.352179810556 301.285110324512</t>
  </si>
  <si>
    <t>-890.885783491463 184.172730466613 744.092344057115</t>
  </si>
  <si>
    <t>-746.240504408226 167.227937050165 806.365213045037</t>
  </si>
  <si>
    <t>-746.742147792217 -82.7469601186004 310.571875312933</t>
  </si>
  <si>
    <t>-767.948269877268 -81.6152688792387 757.897560991192</t>
  </si>
  <si>
    <t>-626.421235404231 -81.0270716509209 829.010606305265</t>
  </si>
  <si>
    <t>9763-20170724T104714.679120700.bin</t>
  </si>
  <si>
    <t>-799.660953656002 10.0662916381573 -95.5120146453797</t>
  </si>
  <si>
    <t>-837.068280430666 15.0682677554748 -554.686016005592</t>
  </si>
  <si>
    <t>-862.59544286946 148.978116134716 -536.950950211806</t>
  </si>
  <si>
    <t>-798.057584211312 193.738354174664 -253.362172123271</t>
  </si>
  <si>
    <t>-564.261475526336 250.937021111814 -264.249078418064</t>
  </si>
  <si>
    <t>-830.957347395935 100.892168752859 -100.701218143571</t>
  </si>
  <si>
    <t>-847.219845936903 132.382665744735 301.291960009032</t>
  </si>
  <si>
    <t>-890.87709177751 184.196646073658 744.1076836995</t>
  </si>
  <si>
    <t>-746.251449026454 167.116138355705 806.389190981065</t>
  </si>
  <si>
    <t>-746.823555819577 -82.780150231937 310.573391984894</t>
  </si>
  <si>
    <t>-767.937226241274 -81.6937385333844 757.900854707097</t>
  </si>
  <si>
    <t>-626.409458807276 -80.825075975879 829.00933761954</t>
  </si>
  <si>
    <t>9763-20170724T104714.746802400.bin</t>
  </si>
  <si>
    <t>-799.763207532241 10.1584761240206 -95.5305465064978</t>
  </si>
  <si>
    <t>-837.057815038322 15.0678597914091 -554.718871921325</t>
  </si>
  <si>
    <t>-862.584902603715 148.986419581738 -537.050365777881</t>
  </si>
  <si>
    <t>-797.929924570255 193.726786231731 -253.485110555131</t>
  </si>
  <si>
    <t>-564.156325387771 250.989722400428 -264.519172294302</t>
  </si>
  <si>
    <t>-830.957869976252 100.996833428644 -100.706504055133</t>
  </si>
  <si>
    <t>-847.200698261425 132.474916780194 301.2884279846</t>
  </si>
  <si>
    <t>-890.854972330193 184.209951030449 744.128723686543</t>
  </si>
  <si>
    <t>-746.244364961714 167.043294267086 806.421515201469</t>
  </si>
  <si>
    <t>-747.017610466538 -82.6171235820433 310.557499177752</t>
  </si>
  <si>
    <t>-768.081103139876 -81.2826252259014 757.899557192178</t>
  </si>
  <si>
    <t>-626.557122039315 -80.8129703511437 829.01946514921</t>
  </si>
  <si>
    <t>9763-20170724T104714.782401200.bin</t>
  </si>
  <si>
    <t>-799.765517401643 10.1545418890282 -95.5138142035373</t>
  </si>
  <si>
    <t>-837.026781245335 15.0526880462169 -554.706634740366</t>
  </si>
  <si>
    <t>-862.581765391123 148.966924062762 -537.051099101651</t>
  </si>
  <si>
    <t>-797.931468977447 193.845351910078 -253.506644756925</t>
  </si>
  <si>
    <t>-564.170780662521 251.146945531339 -264.611086695025</t>
  </si>
  <si>
    <t>-830.962302366436 100.98195797054 -100.699082798187</t>
  </si>
  <si>
    <t>-847.23117356526 132.475371249747 301.293635932077</t>
  </si>
  <si>
    <t>-890.835460195724 184.155750107305 744.144225331801</t>
  </si>
  <si>
    <t>-746.218626471999 167.037801503421 806.435911843498</t>
  </si>
  <si>
    <t>-747.101188357427 -82.6205689296975 310.562519694149</t>
  </si>
  <si>
    <t>-768.049041441197 -81.4375674820866 757.90553352331</t>
  </si>
  <si>
    <t>-626.526091352429 -80.9396330008757 829.027372033985</t>
  </si>
  <si>
    <t>9763-20170724T104714.816490500.bin</t>
  </si>
  <si>
    <t>-799.757446058555 10.0822888011439 -95.5010306217317</t>
  </si>
  <si>
    <t>-837.048124155077 14.9621988772003 -554.688040737504</t>
  </si>
  <si>
    <t>-862.623826079844 148.877902809498 -537.047822735109</t>
  </si>
  <si>
    <t>-797.974206910774 193.834076988911 -253.515628083845</t>
  </si>
  <si>
    <t>-564.253667408932 251.271979674432 -264.761525611488</t>
  </si>
  <si>
    <t>-830.941469012909 100.891228741248 -100.683056308566</t>
  </si>
  <si>
    <t>-847.226778549572 132.443683125435 301.304396972577</t>
  </si>
  <si>
    <t>-890.818478011391 184.108452374525 744.160395217276</t>
  </si>
  <si>
    <t>-746.17874585659 167.163473745042 806.446112118202</t>
  </si>
  <si>
    <t>-747.112264155791 -82.624035936733 310.562136079187</t>
  </si>
  <si>
    <t>-768.089644304584 -81.3139838505301 757.90165971474</t>
  </si>
  <si>
    <t>-626.568763632109 -80.7149283006975 829.026733735279</t>
  </si>
  <si>
    <t>9763-20170724T104714.883686300.bin</t>
  </si>
  <si>
    <t>-799.771147662232 9.76161380482176 -95.5097066504068</t>
  </si>
  <si>
    <t>-837.067888954032 14.6032750799641 -554.682619962606</t>
  </si>
  <si>
    <t>-862.778433355007 148.497142365563 -537.054018148952</t>
  </si>
  <si>
    <t>-798.265894561488 193.60213096 -253.514190856375</t>
  </si>
  <si>
    <t>-564.594179250662 251.203431582509 -264.938189937721</t>
  </si>
  <si>
    <t>-831.012022266751 100.707370105355 -100.66944373469</t>
  </si>
  <si>
    <t>-847.113998397033 132.213447450742 301.328985682684</t>
  </si>
  <si>
    <t>-890.789903231684 184.032304586553 744.188967893305</t>
  </si>
  <si>
    <t>-746.137858974596 167.173193026244 806.469615478806</t>
  </si>
  <si>
    <t>-747.037300462149 -82.853558999627 310.557788956865</t>
  </si>
  <si>
    <t>-768.023522683205 -81.6286196271394 757.903387689274</t>
  </si>
  <si>
    <t>-626.503861105223 -80.5992179220351 829.025980474566</t>
  </si>
  <si>
    <t>9763-20170724T104714.951380400.bin</t>
  </si>
  <si>
    <t>-799.74890568615 9.43874290286954 -95.472056559146</t>
  </si>
  <si>
    <t>-837.01601666228 14.3677930058361 -554.62516852432</t>
  </si>
  <si>
    <t>-862.892829845918 148.222470328816 -536.963775566808</t>
  </si>
  <si>
    <t>-798.663316667084 193.115478021414 -253.326044910071</t>
  </si>
  <si>
    <t>-565.11806892321 251.158021059382 -265.098015122687</t>
  </si>
  <si>
    <t>-830.994217110295 100.307888033831 -100.626774923821</t>
  </si>
  <si>
    <t>-846.992918206365 131.993519781353 301.361707590004</t>
  </si>
  <si>
    <t>-890.766222730143 183.961255111121 744.193166167343</t>
  </si>
  <si>
    <t>-746.107599203918 167.141103193622 806.468971149392</t>
  </si>
  <si>
    <t>-747.095257480829 -82.9554243547774 310.606896999958</t>
  </si>
  <si>
    <t>-768.087269823451 -81.5508205567309 757.929152515423</t>
  </si>
  <si>
    <t>-626.567028319267 -81.2185297936121 829.057300024157</t>
  </si>
  <si>
    <t>9763-20170724T104714.986987700.bin</t>
  </si>
  <si>
    <t>-799.775015432863 9.26680315825433 -95.4517352369197</t>
  </si>
  <si>
    <t>-837.151471447414 14.1359839108741 -554.599503781779</t>
  </si>
  <si>
    <t>-863.148187001938 147.969013618196 -536.931071230041</t>
  </si>
  <si>
    <t>-798.980407568705 192.733718089816 -253.259094343699</t>
  </si>
  <si>
    <t>-565.514464584395 251.080949161074 -265.095966870106</t>
  </si>
  <si>
    <t>-831.039518113832 100.139861918022 -100.610765798172</t>
  </si>
  <si>
    <t>-847.002343608416 131.918350430662 301.371813762008</t>
  </si>
  <si>
    <t>-890.773994249278 184.037209891588 744.186986433556</t>
  </si>
  <si>
    <t>-746.130934536658 167.093942489195 806.465489324602</t>
  </si>
  <si>
    <t>-747.123320217471 -83.1486087820949 310.635746969419</t>
  </si>
  <si>
    <t>-768.099174226215 -81.5928045827123 757.953112922366</t>
  </si>
  <si>
    <t>-626.568066159021 -80.7418916808537 829.055142813233</t>
  </si>
  <si>
    <t>9763-20170724T104715.049156600.bin</t>
  </si>
  <si>
    <t>-799.906698777722 8.85893339481959 -95.4261194983405</t>
  </si>
  <si>
    <t>-837.432533515986 13.5693526188427 -554.562898852943</t>
  </si>
  <si>
    <t>-863.7074066651 147.339752731719 -536.856826728212</t>
  </si>
  <si>
    <t>-799.899132423628 191.955502830785 -253.080192375035</t>
  </si>
  <si>
    <t>-566.536417106764 250.678049783298 -265.09575086203</t>
  </si>
  <si>
    <t>-831.224139832383 99.7051845197907 -100.597735201157</t>
  </si>
  <si>
    <t>-847.055648316879 131.483188438158 301.390103230409</t>
  </si>
  <si>
    <t>-890.748310807519 183.932231993726 744.169255473619</t>
  </si>
  <si>
    <t>-746.090680953766 167.126285481016 806.450723814069</t>
  </si>
  <si>
    <t>-747.231502952921 -83.4463749894613 310.676547384945</t>
  </si>
  <si>
    <t>-768.149506831382 -81.6548816387975 758.016599508728</t>
  </si>
  <si>
    <t>-626.595966641505 -81.0833389148626 829.076917593143</t>
  </si>
  <si>
    <t>9763-20170724T104715.081249700.bin</t>
  </si>
  <si>
    <t>-799.962731394274 8.62127353123583 -95.4091351004854</t>
  </si>
  <si>
    <t>-837.522776858836 13.2867225905468 -554.5383063461</t>
  </si>
  <si>
    <t>-864.022937754917 147.009035434977 -536.803639207116</t>
  </si>
  <si>
    <t>-800.463823338365 191.561348302838 -252.961035340575</t>
  </si>
  <si>
    <t>-567.143506583241 250.42988698327 -265.08424081832</t>
  </si>
  <si>
    <t>-831.295634382553 99.3226839649103 -100.582294977367</t>
  </si>
  <si>
    <t>-847.179858613652 131.250563195465 301.391569660619</t>
  </si>
  <si>
    <t>-890.731533153149 183.818121378124 744.160596062252</t>
  </si>
  <si>
    <t>-746.054487747632 167.174085468685 806.440548999562</t>
  </si>
  <si>
    <t>-747.293813608751 -83.6228831597941 310.714250913871</t>
  </si>
  <si>
    <t>-768.195930023957 -81.6133145686347 758.056869964978</t>
  </si>
  <si>
    <t>-626.628248866943 -81.2211427984796 829.090233481657</t>
  </si>
  <si>
    <t>9763-20170724T104715.148933100.bin</t>
  </si>
  <si>
    <t>-800.207305138585 8.06774793355953 -95.382861055958</t>
  </si>
  <si>
    <t>-837.458675288313 13.0788749797323 -554.499673115424</t>
  </si>
  <si>
    <t>-864.520670203182 146.652445902532 -536.485651275048</t>
  </si>
  <si>
    <t>-801.284440475784 190.549776728565 -252.469035887765</t>
  </si>
  <si>
    <t>-568.141803296954 249.949766945919 -265.394283869113</t>
  </si>
  <si>
    <t>-831.742749513761 98.7015444235237 -100.563543123136</t>
  </si>
  <si>
    <t>-847.448265507056 130.956462392958 301.391206022152</t>
  </si>
  <si>
    <t>-890.702955224534 183.667719062311 744.135587462223</t>
  </si>
  <si>
    <t>-746.015316661072 167.179628406353 806.432584620554</t>
  </si>
  <si>
    <t>-747.440639098082 -83.8212752883621 310.749088416083</t>
  </si>
  <si>
    <t>-768.256333685927 -81.5215428891174 758.091981897484</t>
  </si>
  <si>
    <t>-626.676892122327 -81.0667422785707 829.101472141066</t>
  </si>
  <si>
    <t>9763-20170724T104715.181042500.bin</t>
  </si>
  <si>
    <t>-800.426472415342 7.89904731589377 -95.3866625512491</t>
  </si>
  <si>
    <t>-837.285816277347 13.2898905357508 -554.498768658575</t>
  </si>
  <si>
    <t>-864.628129523355 146.77701248982 -536.278328985508</t>
  </si>
  <si>
    <t>-801.668773889661 190.350101969586 -252.1504105351</t>
  </si>
  <si>
    <t>-568.58183553818 249.816147096882 -265.756118225103</t>
  </si>
  <si>
    <t>-832.099016875405 98.5605328771728 -100.573248807906</t>
  </si>
  <si>
    <t>-847.633848120266 130.890327014957 301.382199887089</t>
  </si>
  <si>
    <t>-890.682742016692 183.607778661335 744.132144462766</t>
  </si>
  <si>
    <t>-745.990968142376 167.202974590874 806.441724924975</t>
  </si>
  <si>
    <t>-747.527806580604 -83.7964439030042 310.729657647677</t>
  </si>
  <si>
    <t>-768.249690891856 -81.5577204246243 758.083660276417</t>
  </si>
  <si>
    <t>-626.673798950061 -81.0397912140426 829.099755400847</t>
  </si>
  <si>
    <t>9763-20170724T104715.250738300.bin</t>
  </si>
  <si>
    <t>-800.89140374765 7.83984207783465 -95.4195543669996</t>
  </si>
  <si>
    <t>-836.55091472904 14.0175410357144 -554.561149575138</t>
  </si>
  <si>
    <t>-864.376885564045 147.351247782735 -535.970382026006</t>
  </si>
  <si>
    <t>-802.471272413697 190.386135903522 -251.528959757668</t>
  </si>
  <si>
    <t>-569.452171837648 249.601240411407 -267.230252751431</t>
  </si>
  <si>
    <t>-832.742605623316 98.5621484919948 -100.558741437367</t>
  </si>
  <si>
    <t>-848.045762426945 130.938678107443 301.401766257666</t>
  </si>
  <si>
    <t>-890.671258912176 183.639238421515 744.19230251791</t>
  </si>
  <si>
    <t>-745.997596703622 167.110185106604 806.511051015227</t>
  </si>
  <si>
    <t>-747.661312333458 -83.4138738613784 310.644893540936</t>
  </si>
  <si>
    <t>-768.287975578368 -81.347987132506 758.027393541642</t>
  </si>
  <si>
    <t>-626.737459194007 -81.111254649039 829.095557380942</t>
  </si>
  <si>
    <t>9763-20170724T104715.313908700.bin</t>
  </si>
  <si>
    <t>-801.07975100885 7.64800393610881 -95.4074956767236</t>
  </si>
  <si>
    <t>-834.968471407687 14.5436571658208 -554.622445579375</t>
  </si>
  <si>
    <t>-863.008234300303 147.794273258087 -535.748982107994</t>
  </si>
  <si>
    <t>-802.864322542937 190.231684852254 -250.840191833315</t>
  </si>
  <si>
    <t>-569.859946048868 248.534157398323 -269.830044740451</t>
  </si>
  <si>
    <t>-832.996537607568 98.5909819488879 -100.474331269366</t>
  </si>
  <si>
    <t>-848.239896577274 130.907830801388 301.49330238382</t>
  </si>
  <si>
    <t>-890.664314798315 183.601471158211 744.322997881369</t>
  </si>
  <si>
    <t>-745.988921231777 166.973556528212 806.611473116041</t>
  </si>
  <si>
    <t>-747.851748664878 -83.0835721788786 310.547144621634</t>
  </si>
  <si>
    <t>-768.219866170887 -81.4373432917974 757.943332918164</t>
  </si>
  <si>
    <t>-626.701976537595 -80.7374108422781 829.073396876527</t>
  </si>
  <si>
    <t>9763-20170724T104715.347000700.bin</t>
  </si>
  <si>
    <t>-801.197660221509 7.64275743582857 -95.4121667824359</t>
  </si>
  <si>
    <t>-834.287111957077 14.7662118830897 -554.655108092265</t>
  </si>
  <si>
    <t>-862.390165566698 147.997623126311 -535.756849463785</t>
  </si>
  <si>
    <t>-803.451022121838 190.280570886263 -250.573589845619</t>
  </si>
  <si>
    <t>-570.357848299042 247.639451026595 -271.27176287167</t>
  </si>
  <si>
    <t>-833.15589765124 98.7796061414488 -100.444471723073</t>
  </si>
  <si>
    <t>-848.253598138793 130.839505544185 301.549147740036</t>
  </si>
  <si>
    <t>-890.667742921135 183.627682597702 744.396557753325</t>
  </si>
  <si>
    <t>-745.994275699283 166.919130026254 806.667695499366</t>
  </si>
  <si>
    <t>-747.950900809962 -82.8430948276633 310.502769432433</t>
  </si>
  <si>
    <t>-768.197094386964 -81.46425268704 757.90504306642</t>
  </si>
  <si>
    <t>-626.693743962451 -80.6349342989446 829.06284902775</t>
  </si>
  <si>
    <t>9763-20170724T104715.383001200.bin</t>
  </si>
  <si>
    <t>-801.347593553316 7.6875810689553 -95.4261658859884</t>
  </si>
  <si>
    <t>-833.243337513487 14.870468714957 -554.72332659566</t>
  </si>
  <si>
    <t>-861.418009200149 148.108638320607 -535.905935809779</t>
  </si>
  <si>
    <t>-803.954562142349 190.286707008824 -250.406106241914</t>
  </si>
  <si>
    <t>-570.763051801713 246.544314385507 -272.937495782301</t>
  </si>
  <si>
    <t>-833.308834269957 98.9628425162359 -100.420142160225</t>
  </si>
  <si>
    <t>-848.186248706039 130.752158992061 301.603175140556</t>
  </si>
  <si>
    <t>-890.655774838258 183.578590574592 744.473846317936</t>
  </si>
  <si>
    <t>-745.966002979937 166.94279813668 806.726708735508</t>
  </si>
  <si>
    <t>-748.124922008955 -82.5458555557344 310.455165057545</t>
  </si>
  <si>
    <t>-768.259492045223 -81.2580721287584 757.874256405364</t>
  </si>
  <si>
    <t>-626.767796573643 -80.7114783238013 829.057742633411</t>
  </si>
  <si>
    <t>9763-20170724T104715.451688200.bin</t>
  </si>
  <si>
    <t>-801.524172373004 7.62257882182075 -95.3978825011914</t>
  </si>
  <si>
    <t>-830.823079599876 15.0244823479416 -554.774268786115</t>
  </si>
  <si>
    <t>-859.081724695811 148.289745475839 -536.356336824396</t>
  </si>
  <si>
    <t>-805.08876250194 190.211388894342 -250.142266078477</t>
  </si>
  <si>
    <t>-571.746387840119 244.156189343716 -276.451257448549</t>
  </si>
  <si>
    <t>-833.371869901325 99.0164962475228 -100.319305156953</t>
  </si>
  <si>
    <t>-848.066432138971 130.717378882604 301.717742330241</t>
  </si>
  <si>
    <t>-890.656413092976 183.590964846052 744.611371611507</t>
  </si>
  <si>
    <t>-745.972718048496 166.746363684769 806.82206119692</t>
  </si>
  <si>
    <t>-748.638570461701 -82.2385449602274 310.449544255752</t>
  </si>
  <si>
    <t>-768.344297492773 -81.0781077006782 757.867450418094</t>
  </si>
  <si>
    <t>-626.857286075959 -80.8130859919947 829.062002275033</t>
  </si>
  <si>
    <t>9763-20170724T104715.484296100.bin</t>
  </si>
  <si>
    <t>-801.649408714008 7.55869238587161 -95.3745970994464</t>
  </si>
  <si>
    <t>-829.835673607637 15.0131278350523 -554.780270163264</t>
  </si>
  <si>
    <t>-857.993538282098 148.329758943207 -536.586551086588</t>
  </si>
  <si>
    <t>-805.762927221408 190.174153456867 -250.034105998538</t>
  </si>
  <si>
    <t>-572.367771202791 243.079221486428 -277.937848967183</t>
  </si>
  <si>
    <t>-833.433521976418 98.9764097815246 -100.288314977238</t>
  </si>
  <si>
    <t>-848.06739279016 130.685847185608 301.750251666838</t>
  </si>
  <si>
    <t>-890.643190380355 183.564260734173 744.652133264544</t>
  </si>
  <si>
    <t>-745.952254333849 166.730169212213 806.84897643077</t>
  </si>
  <si>
    <t>-748.859172774434 -82.2142920818319 310.468573244237</t>
  </si>
  <si>
    <t>-768.415367438238 -80.8748645885487 757.873815026642</t>
  </si>
  <si>
    <t>-626.929988478073 -80.9377641850556 829.071919960072</t>
  </si>
  <si>
    <t>9763-20170724T104715.548502100.bin</t>
  </si>
  <si>
    <t>-802.026158561105 7.11628810523939 -95.3791006707845</t>
  </si>
  <si>
    <t>-828.862224165511 14.4221992245309 -554.838346093847</t>
  </si>
  <si>
    <t>-856.952081461683 147.810799344376 -537.079937595922</t>
  </si>
  <si>
    <t>-807.500276310471 189.67944716956 -250.038418152677</t>
  </si>
  <si>
    <t>-573.886134640998 240.509807273266 -279.897559859133</t>
  </si>
  <si>
    <t>-833.902559124125 98.6305573412455 -100.270996776232</t>
  </si>
  <si>
    <t>-848.054603725617 130.319272496767 301.786488805505</t>
  </si>
  <si>
    <t>-890.601154287297 183.454163984362 744.700590414458</t>
  </si>
  <si>
    <t>-745.903452543313 166.672178846334 806.895875502509</t>
  </si>
  <si>
    <t>-749.108211591603 -82.4284624662263 310.472729157044</t>
  </si>
  <si>
    <t>-768.439933176714 -80.9011704006228 757.890175880842</t>
  </si>
  <si>
    <t>-626.942917331865 -80.5888412215953 829.064657469579</t>
  </si>
  <si>
    <t>9763-20170724T104715.581598400.bin</t>
  </si>
  <si>
    <t>-802.19396042969 6.70034388410363 -95.376034343832</t>
  </si>
  <si>
    <t>-828.855279041723 13.9838543254625 -554.838884111551</t>
  </si>
  <si>
    <t>-856.958505345872 147.383346417608 -537.201600255256</t>
  </si>
  <si>
    <t>-808.473986660824 189.198636317138 -249.98740285485</t>
  </si>
  <si>
    <t>-574.79486871888 239.318634016982 -280.53132715771</t>
  </si>
  <si>
    <t>-834.150534673036 98.2311600888345 -100.256980249004</t>
  </si>
  <si>
    <t>-848.04801483575 130.008971876285 301.802386377485</t>
  </si>
  <si>
    <t>-890.568539800785 183.380137180251 744.699845221455</t>
  </si>
  <si>
    <t>-745.890680448151 166.528733898977 806.922294350082</t>
  </si>
  <si>
    <t>-749.122919249465 -82.5742541655839 310.477657444343</t>
  </si>
  <si>
    <t>-768.441721141676 -80.9798230949751 757.905858005079</t>
  </si>
  <si>
    <t>-626.939528960359 -80.7383098982297 829.070343283769</t>
  </si>
  <si>
    <t>9763-20170724T104715.649284000.bin</t>
  </si>
  <si>
    <t>-802.578665388674 5.65390854635166 -95.3368016402391</t>
  </si>
  <si>
    <t>-829.397676890628 13.0050013059342 -554.79823468412</t>
  </si>
  <si>
    <t>-857.716384233749 146.370404506368 -537.204882736996</t>
  </si>
  <si>
    <t>-809.976784773593 187.989934593267 -249.837695923859</t>
  </si>
  <si>
    <t>-576.220671703824 237.551235962341 -280.702515644568</t>
  </si>
  <si>
    <t>-834.621237636696 96.8096530215123 -100.228556291052</t>
  </si>
  <si>
    <t>-848.233146483962 129.249598396163 301.787684442283</t>
  </si>
  <si>
    <t>-890.481800527128 183.073175506068 744.650326784835</t>
  </si>
  <si>
    <t>-745.787011021557 166.541254114039 806.919087869662</t>
  </si>
  <si>
    <t>-749.36228468023 -83.2960107236651 310.571268408016</t>
  </si>
  <si>
    <t>-768.578405525963 -80.8684838919692 758.00467590225</t>
  </si>
  <si>
    <t>-627.037113082261 -80.7619715083628 829.091594563012</t>
  </si>
  <si>
    <t>9763-20170724T104715.681391200.bin</t>
  </si>
  <si>
    <t>-802.736819596194 5.10744462255025 -95.2617316165131</t>
  </si>
  <si>
    <t>-829.539053837038 12.5534131215154 -554.726067025691</t>
  </si>
  <si>
    <t>-857.978295208534 145.885758258898 -537.103870974484</t>
  </si>
  <si>
    <t>-810.33969393273 187.517930213178 -249.721612077833</t>
  </si>
  <si>
    <t>-576.562069627425 237.152203412518 -280.30489366333</t>
  </si>
  <si>
    <t>-834.646339059529 96.0417384108796 -100.206733433751</t>
  </si>
  <si>
    <t>-848.548571982373 128.966805730651 301.760097302679</t>
  </si>
  <si>
    <t>-890.463212691824 182.971386022731 744.598601020175</t>
  </si>
  <si>
    <t>-745.75878529112 166.613178145077 806.890939723579</t>
  </si>
  <si>
    <t>-749.613497434818 -83.7947342411552 310.671639099624</t>
  </si>
  <si>
    <t>-768.601642829308 -80.9875606008305 758.087278007263</t>
  </si>
  <si>
    <t>-627.03246199673 -80.7931413208134 829.118353098046</t>
  </si>
  <si>
    <t>9763-20170724T104715.748569700.bin</t>
  </si>
  <si>
    <t>-803.252091785157 4.26751229435126 -95.1595657429086</t>
  </si>
  <si>
    <t>-829.81826484789 12.0925355413608 -554.63004043017</t>
  </si>
  <si>
    <t>-858.24516931579 145.432337575547 -537.022752695868</t>
  </si>
  <si>
    <t>-811.14700631843 187.187024054634 -249.56913014957</t>
  </si>
  <si>
    <t>-577.29147864267 236.923951224932 -279.380445529933</t>
  </si>
  <si>
    <t>-835.175472615928 95.054973955894 -100.184376078931</t>
  </si>
  <si>
    <t>-849.301006816112 128.488332546585 301.732763998381</t>
  </si>
  <si>
    <t>-890.439256406846 182.749465151638 744.533148793395</t>
  </si>
  <si>
    <t>-745.716837417353 166.646912487456 806.850109911786</t>
  </si>
  <si>
    <t>-750.05709636287 -84.7582287035714 310.789467419899</t>
  </si>
  <si>
    <t>-768.557123237366 -81.3927456074294 758.21708482358</t>
  </si>
  <si>
    <t>-626.94364274805 -80.5736652966028 829.155533938313</t>
  </si>
  <si>
    <t>9763-20170724T104715.782163200.bin</t>
  </si>
  <si>
    <t>-803.626178603022 4.0741395480577 -95.1373750447185</t>
  </si>
  <si>
    <t>-830.122353990208 12.0592058587522 -554.617012795386</t>
  </si>
  <si>
    <t>-858.511759500027 145.419464417877 -537.062239937541</t>
  </si>
  <si>
    <t>-811.602317243777 187.187064638861 -249.579734759163</t>
  </si>
  <si>
    <t>-577.711282247289 237.112022990858 -278.791595648078</t>
  </si>
  <si>
    <t>-835.510159411983 94.8589073193423 -100.181884615808</t>
  </si>
  <si>
    <t>-849.663761020443 128.391845390298 301.725863476117</t>
  </si>
  <si>
    <t>-890.441654964104 182.734171096104 744.525381647322</t>
  </si>
  <si>
    <t>-745.713290265124 166.689676737043 806.843753114682</t>
  </si>
  <si>
    <t>-750.307887921712 -85.0421433677384 310.801740609911</t>
  </si>
  <si>
    <t>-768.537109310861 -81.5307981585404 758.25207257137</t>
  </si>
  <si>
    <t>-626.911201542243 -80.4151034038883 829.161665183576</t>
  </si>
  <si>
    <t>9763-20170724T104715.849846400.bin</t>
  </si>
  <si>
    <t>-804.212824117056 4.05458612655616 -95.0821270386455</t>
  </si>
  <si>
    <t>-830.868065811275 12.1689603396474 -554.583738450648</t>
  </si>
  <si>
    <t>-859.05865607894 145.581738598554 -537.124554340748</t>
  </si>
  <si>
    <t>-812.195940299959 187.525380106924 -249.660108805787</t>
  </si>
  <si>
    <t>-578.236025963997 237.856580602884 -277.596137818185</t>
  </si>
  <si>
    <t>-835.88290147693 94.6486515968027 -100.130616183555</t>
  </si>
  <si>
    <t>-850.052882036195 128.4615805301 301.753091675985</t>
  </si>
  <si>
    <t>-890.457938309664 182.759197401091 744.54209377187</t>
  </si>
  <si>
    <t>-745.741957600017 166.602818411179 806.860452607167</t>
  </si>
  <si>
    <t>-750.578073346522 -85.2131837962735 310.800634203269</t>
  </si>
  <si>
    <t>-768.620659247654 -81.2891545102257 758.280455334775</t>
  </si>
  <si>
    <t>-626.985720744059 -80.608848101182 829.1774579411</t>
  </si>
  <si>
    <t>9763-20170724T104715.882010700.bin</t>
  </si>
  <si>
    <t>-804.328716937198 4.03948332427558 -95.0546165243826</t>
  </si>
  <si>
    <t>-830.932884099953 12.1984883667415 -554.559957412313</t>
  </si>
  <si>
    <t>-858.988032614608 145.644677078526 -537.138577421938</t>
  </si>
  <si>
    <t>-812.238931965245 187.615596859935 -249.659464967714</t>
  </si>
  <si>
    <t>-578.281960848973 238.132393013674 -277.282617466566</t>
  </si>
  <si>
    <t>-835.843599665588 94.5830619844478 -100.101614636159</t>
  </si>
  <si>
    <t>-850.050054166346 128.467934890237 301.774830347856</t>
  </si>
  <si>
    <t>-890.467888342265 182.763183788064 744.552431716111</t>
  </si>
  <si>
    <t>-745.764785688028 166.476993453395 806.86658992985</t>
  </si>
  <si>
    <t>-750.688514491212 -85.2753076031503 310.812668743097</t>
  </si>
  <si>
    <t>-768.648058914603 -81.216197917396 758.298417068811</t>
  </si>
  <si>
    <t>-627.009821613291 -80.809698123502 829.190904508738</t>
  </si>
  <si>
    <t>9763-20170724T104715.948189200.bin</t>
  </si>
  <si>
    <t>-804.156239722461 3.90641704231484 -95.0313091868484</t>
  </si>
  <si>
    <t>-830.878198702581 12.2729663255438 -554.539616738726</t>
  </si>
  <si>
    <t>-858.716781890327 145.767334868318 -537.164245507325</t>
  </si>
  <si>
    <t>-812.137217986989 187.789057896307 -249.665176593345</t>
  </si>
  <si>
    <t>-578.151121536959 238.377226047487 -276.909028667532</t>
  </si>
  <si>
    <t>-835.503538155175 94.5028149184714 -100.029249209955</t>
  </si>
  <si>
    <t>-849.879410676284 128.416405305157 301.838791403441</t>
  </si>
  <si>
    <t>-890.506956358581 182.859808716502 744.572903724069</t>
  </si>
  <si>
    <t>-745.811732117829 166.451284136145 806.87304649854</t>
  </si>
  <si>
    <t>-750.764519534796 -85.3934307426794 310.825844516747</t>
  </si>
  <si>
    <t>-768.629641947461 -81.2900262548297 758.31452012998</t>
  </si>
  <si>
    <t>-626.981555790204 -80.7241164159251 829.186317509667</t>
  </si>
  <si>
    <t>9763-20170724T104715.978272000.bin</t>
  </si>
  <si>
    <t>-804.010015132933 3.92343945187577 -95.0181404738304</t>
  </si>
  <si>
    <t>-830.84677548813 12.3271996531894 -554.530553670035</t>
  </si>
  <si>
    <t>-858.556630321498 145.851931510668 -537.173372964884</t>
  </si>
  <si>
    <t>-811.953747662963 187.85585248944 -249.675295184512</t>
  </si>
  <si>
    <t>-577.938790131337 238.344054316285 -276.856380396049</t>
  </si>
  <si>
    <t>-835.276635366024 94.5465021028206 -100.003178263974</t>
  </si>
  <si>
    <t>-849.76767615995 128.441291830097 301.862320163379</t>
  </si>
  <si>
    <t>-890.516636494328 182.843041203234 744.588641404957</t>
  </si>
  <si>
    <t>-745.815587824509 166.44046792371 806.877179435779</t>
  </si>
  <si>
    <t>-750.700457814878 -85.4286543082155 310.827642636524</t>
  </si>
  <si>
    <t>-768.606764754832 -81.3509357612534 758.310938975389</t>
  </si>
  <si>
    <t>-626.956351595427 -80.6487415586664 829.176657237974</t>
  </si>
  <si>
    <t>9763-20170724T104716.048460500.bin</t>
  </si>
  <si>
    <t>-803.885248148987 4.27550687148255 -95.0338439604296</t>
  </si>
  <si>
    <t>-830.895755199683 12.7485427130584 -554.552568038982</t>
  </si>
  <si>
    <t>-858.378601021777 146.326012625475 -537.217436065547</t>
  </si>
  <si>
    <t>-811.771074525677 188.243550725686 -249.707637262939</t>
  </si>
  <si>
    <t>-577.684604565935 238.38830807633 -276.909228188686</t>
  </si>
  <si>
    <t>-835.002043179925 94.9063932028928 -100.009462997115</t>
  </si>
  <si>
    <t>-849.655666061242 128.623685445305 301.864949926409</t>
  </si>
  <si>
    <t>-890.506467036212 182.765378669477 744.601560093159</t>
  </si>
  <si>
    <t>-745.79480002405 166.451977826702 806.888955280108</t>
  </si>
  <si>
    <t>-750.648685472495 -85.2434801270573 310.796510296793</t>
  </si>
  <si>
    <t>-768.625079800304 -81.1899604055892 758.273278097497</t>
  </si>
  <si>
    <t>-626.988648619087 -80.8010448104571 829.16939453628</t>
  </si>
  <si>
    <t>9763-20170724T104716.083131200.bin</t>
  </si>
  <si>
    <t>-803.774986474789 4.49150291023966 -95.0513391261266</t>
  </si>
  <si>
    <t>-830.825526840848 12.9882033725771 -554.57174676076</t>
  </si>
  <si>
    <t>-858.193078866566 146.589958663153 -537.244168645931</t>
  </si>
  <si>
    <t>-811.584773514085 188.418162388586 -249.721464267252</t>
  </si>
  <si>
    <t>-577.461720435955 238.401491085249 -276.90450911747</t>
  </si>
  <si>
    <t>-834.81447260153 95.1044215379484 -100.013887160857</t>
  </si>
  <si>
    <t>-849.589612131361 128.759516827595 301.861402974192</t>
  </si>
  <si>
    <t>-890.513791438855 182.788047189922 744.613702206578</t>
  </si>
  <si>
    <t>-745.806354344312 166.438707095783 806.901504011666</t>
  </si>
  <si>
    <t>-750.538652113272 -85.1129679491421 310.769380567441</t>
  </si>
  <si>
    <t>-768.662632151685 -81.0281030666263 758.25649650574</t>
  </si>
  <si>
    <t>-627.029163441351 -80.4710186067592 829.157560857345</t>
  </si>
  <si>
    <t>9763-20170724T104716.148810400.bin</t>
  </si>
  <si>
    <t>-803.437208046847 4.8008017261825 -95.065438818809</t>
  </si>
  <si>
    <t>-830.465586312881 13.3496783198807 -554.592659651889</t>
  </si>
  <si>
    <t>-857.640093129204 146.982188721029 -537.219795554784</t>
  </si>
  <si>
    <t>-810.981810590838 188.772019619739 -249.699855636047</t>
  </si>
  <si>
    <t>-576.769772522346 238.423003665833 -276.725292308509</t>
  </si>
  <si>
    <t>-834.395235108922 95.4009177239902 -100.005534647775</t>
  </si>
  <si>
    <t>-849.377699854077 129.042006119585 301.863229959689</t>
  </si>
  <si>
    <t>-890.521406752275 182.787752804139 744.630401220673</t>
  </si>
  <si>
    <t>-745.807911966925 166.464374671798 806.910901055619</t>
  </si>
  <si>
    <t>-750.351127806164 -84.8956552619109 310.747381884682</t>
  </si>
  <si>
    <t>-768.640100255893 -81.0405377806188 758.227865259756</t>
  </si>
  <si>
    <t>-627.021518866285 -80.9427462926773 829.160766694285</t>
  </si>
  <si>
    <t>9763-20170724T104716.181147200.bin</t>
  </si>
  <si>
    <t>-803.243691071313 4.82331428538578 -95.0709176456212</t>
  </si>
  <si>
    <t>-830.06835584107 13.4738927744677 -554.598942457643</t>
  </si>
  <si>
    <t>-857.193784363141 147.109101471002 -537.184240475428</t>
  </si>
  <si>
    <t>-810.557126441476 188.730037970697 -249.636085252566</t>
  </si>
  <si>
    <t>-576.347651435289 238.36436483553 -276.7140523497</t>
  </si>
  <si>
    <t>-834.208955032536 95.5179969879778 -100.005127406035</t>
  </si>
  <si>
    <t>-849.21409405622 129.090382116701 301.868489227916</t>
  </si>
  <si>
    <t>-890.523041961746 182.803721482156 744.637720123351</t>
  </si>
  <si>
    <t>-745.819697991824 166.404295051068 806.921954606098</t>
  </si>
  <si>
    <t>-750.186249134381 -85.0020956302437 310.740736896366</t>
  </si>
  <si>
    <t>-768.570956043161 -81.2689859740591 758.220655988262</t>
  </si>
  <si>
    <t>-626.946660888918 -80.2729455336487 829.13523623699</t>
  </si>
  <si>
    <t>9763-20170724T104716.246823600.bin</t>
  </si>
  <si>
    <t>-802.958347939056 5.13911969500737 -95.0788232564931</t>
  </si>
  <si>
    <t>-829.102380731521 14.0423101429099 -554.610284541346</t>
  </si>
  <si>
    <t>-856.226710487511 147.664438465511 -537.058825277404</t>
  </si>
  <si>
    <t>-809.66543328438 189.024960861418 -249.460870275219</t>
  </si>
  <si>
    <t>-575.48402520735 238.712088495324 -276.68478556903</t>
  </si>
  <si>
    <t>-833.848668329857 95.8537137140686 -99.9961001001899</t>
  </si>
  <si>
    <t>-848.930962493771 129.259151404767 301.888503331074</t>
  </si>
  <si>
    <t>-890.52414935032 182.814793196254 744.659580414078</t>
  </si>
  <si>
    <t>-745.825592416543 166.378228255164 806.94468643819</t>
  </si>
  <si>
    <t>-749.98411313171 -84.8870724563328 310.722068750264</t>
  </si>
  <si>
    <t>-768.57455565732 -81.2293856493882 758.194821353053</t>
  </si>
  <si>
    <t>-626.95703087551 -80.4970304596241 829.126017806131</t>
  </si>
  <si>
    <t>9763-20170724T104716.280456900.bin</t>
  </si>
  <si>
    <t>-802.858454379657 5.35655494035609 -95.0807186238929</t>
  </si>
  <si>
    <t>-828.548195724778 14.3067891040564 -554.624131901141</t>
  </si>
  <si>
    <t>-855.684924723575 147.920410081636 -537.002266252086</t>
  </si>
  <si>
    <t>-809.215685104239 189.070659834893 -249.359307661544</t>
  </si>
  <si>
    <t>-575.066242117121 238.863445798668 -276.664836209153</t>
  </si>
  <si>
    <t>-833.699041569657 96.0365140249394 -99.9833707465577</t>
  </si>
  <si>
    <t>-848.845539067275 129.406279288818 301.901781146707</t>
  </si>
  <si>
    <t>-890.53137904777 182.853839554956 744.672289212032</t>
  </si>
  <si>
    <t>-745.835892975648 166.394778319292 806.959010082331</t>
  </si>
  <si>
    <t>-749.918776145444 -84.7863139035823 310.712255457214</t>
  </si>
  <si>
    <t>-768.594357411527 -81.1437215593627 758.179691918201</t>
  </si>
  <si>
    <t>-626.983006525764 -80.7797030268089 829.126065708326</t>
  </si>
  <si>
    <t>9763-20170724T104716.347631600.bin</t>
  </si>
  <si>
    <t>-802.597049760504 5.65119471311414 -95.0445687488016</t>
  </si>
  <si>
    <t>-827.608754728572 14.6769045246238 -554.600137988455</t>
  </si>
  <si>
    <t>-854.752317026931 148.259709263088 -536.80463929697</t>
  </si>
  <si>
    <t>-808.449769953166 188.966009255765 -249.071587385569</t>
  </si>
  <si>
    <t>-574.368314406678 238.982002113394 -276.551365060027</t>
  </si>
  <si>
    <t>-833.389614769937 96.3357415784105 -99.9477279812075</t>
  </si>
  <si>
    <t>-848.695465021866 129.524287763405 301.946438600807</t>
  </si>
  <si>
    <t>-890.535050624665 182.861281042759 744.703330947843</t>
  </si>
  <si>
    <t>-745.845387375746 166.346852830372 806.988911290304</t>
  </si>
  <si>
    <t>-749.772906939718 -84.7733494694862 310.719182232095</t>
  </si>
  <si>
    <t>-768.587246022152 -81.1689253847336 758.173438018078</t>
  </si>
  <si>
    <t>-626.974506382371 -80.27251532414 829.112195854718</t>
  </si>
  <si>
    <t>9763-20170724T104716.378524700.bin</t>
  </si>
  <si>
    <t>-802.485265813857 5.84470624444884 -95.0370708876526</t>
  </si>
  <si>
    <t>-827.281934440102 14.9452798508632 -554.593551120756</t>
  </si>
  <si>
    <t>-854.443919263323 148.51281934962 -536.694770412344</t>
  </si>
  <si>
    <t>-808.179136163485 188.995435488689 -248.924148665453</t>
  </si>
  <si>
    <t>-574.142880678681 239.165359708858 -276.508736915497</t>
  </si>
  <si>
    <t>-833.23255318754 96.4726215660282 -99.9343206739956</t>
  </si>
  <si>
    <t>-848.684226374165 129.645947635121 301.955538386822</t>
  </si>
  <si>
    <t>-890.539451390584 182.886539103506 744.71376514862</t>
  </si>
  <si>
    <t>-745.865562175227 166.250873850535 807.003742152066</t>
  </si>
  <si>
    <t>-749.75164448882 -84.6345779760345 310.72409295667</t>
  </si>
  <si>
    <t>-768.629592850937 -81.0325307771055 758.170198217184</t>
  </si>
  <si>
    <t>-627.021118153069 -80.713801948041 829.122558467909</t>
  </si>
  <si>
    <t>9763-20170724T104716.449730800.bin</t>
  </si>
  <si>
    <t>-802.383315897951 5.94033162388723 -95.0344150159315</t>
  </si>
  <si>
    <t>-826.772340654375 15.1648835958761 -554.589105661314</t>
  </si>
  <si>
    <t>-853.97837704193 148.697865850522 -536.513345187289</t>
  </si>
  <si>
    <t>-807.924982187384 188.661566148165 -248.636287050633</t>
  </si>
  <si>
    <t>-573.949347847271 238.891437146095 -276.622440855975</t>
  </si>
  <si>
    <t>-833.109846051963 96.6182048052731 -99.9159545151471</t>
  </si>
  <si>
    <t>-848.610094612966 129.681110987367 301.981046558914</t>
  </si>
  <si>
    <t>-890.533527137656 182.819705134949 744.746254264875</t>
  </si>
  <si>
    <t>-745.845671424758 166.294840401306 807.033149085722</t>
  </si>
  <si>
    <t>-749.677079203817 -84.69522497769 310.720707636454</t>
  </si>
  <si>
    <t>-768.559455541022 -81.3139276761541 758.175693686507</t>
  </si>
  <si>
    <t>-626.943755994991 -80.5846208913073 829.110598316878</t>
  </si>
  <si>
    <t>9763-20170724T104716.512903300.bin</t>
  </si>
  <si>
    <t>-802.417619554769 6.08840937857167 -95.0235746101731</t>
  </si>
  <si>
    <t>-826.489328377094 15.5164903609921 -554.559072389052</t>
  </si>
  <si>
    <t>-853.743796825503 149.014220254755 -536.298342520497</t>
  </si>
  <si>
    <t>-807.928943840112 188.51947234556 -248.319896030431</t>
  </si>
  <si>
    <t>-574.009893824285 238.844996447805 -276.605385038514</t>
  </si>
  <si>
    <t>-833.078352828028 96.7142296914421 -99.8912974793249</t>
  </si>
  <si>
    <t>-848.536978823419 129.775184432961 302.007534638776</t>
  </si>
  <si>
    <t>-890.535707071196 182.832764578403 744.778404907086</t>
  </si>
  <si>
    <t>-745.855101582403 166.269358286062 807.071705743313</t>
  </si>
  <si>
    <t>-749.660891901553 -84.5929503305614 310.717767443272</t>
  </si>
  <si>
    <t>-768.611879629327 -81.1601647716201 758.173298370278</t>
  </si>
  <si>
    <t>-626.998340684979 -80.9718404948525 829.116009831255</t>
  </si>
  <si>
    <t>9763-20170724T104716.549666100.bin</t>
  </si>
  <si>
    <t>-802.475796882806 6.1501636272842 -95.0149853511009</t>
  </si>
  <si>
    <t>-826.428413120292 15.6401934390524 -554.543572168456</t>
  </si>
  <si>
    <t>-853.707779156114 149.128973023888 -536.215042906885</t>
  </si>
  <si>
    <t>-807.96764649658 188.399298115767 -248.192695699571</t>
  </si>
  <si>
    <t>-574.078620271134 238.779857793148 -276.629006329653</t>
  </si>
  <si>
    <t>-833.112733491796 96.8413659553901 -99.8779271656217</t>
  </si>
  <si>
    <t>-848.519781986147 129.844736350059 302.027594974928</t>
  </si>
  <si>
    <t>-890.54663997405 182.893450946403 744.79902314264</t>
  </si>
  <si>
    <t>-745.878259170236 166.231769500452 807.094546983598</t>
  </si>
  <si>
    <t>-749.659213103819 -84.6509485782777 310.719552281206</t>
  </si>
  <si>
    <t>-768.57232530626 -81.3177719693014 758.178413587588</t>
  </si>
  <si>
    <t>-626.952182215623 -80.6148373626021 829.104755801403</t>
  </si>
  <si>
    <t>9763-20170724T104716.580430200.bin</t>
  </si>
  <si>
    <t>-802.5888663451 6.26053093716587 -95.0031600631132</t>
  </si>
  <si>
    <t>-826.385023588302 15.8038849253953 -554.529291028997</t>
  </si>
  <si>
    <t>-853.680962890246 149.278942502803 -536.156351179344</t>
  </si>
  <si>
    <t>-808.056146364578 188.371363266615 -248.091542959751</t>
  </si>
  <si>
    <t>-574.178715545484 238.742629695093 -276.639261671622</t>
  </si>
  <si>
    <t>-833.192177134895 96.9402878185804 -99.8640650907008</t>
  </si>
  <si>
    <t>-848.535901836619 129.904514566082 302.047103177827</t>
  </si>
  <si>
    <t>-890.545068902123 182.868745349246 744.823144690999</t>
  </si>
  <si>
    <t>-745.868764273737 166.258096271843 807.114102766641</t>
  </si>
  <si>
    <t>-749.754213167132 -84.5207234742051 310.723358171527</t>
  </si>
  <si>
    <t>-768.643188876857 -81.0957193422537 758.180119462097</t>
  </si>
  <si>
    <t>-627.022030185675 -80.717411310427 829.107001079134</t>
  </si>
  <si>
    <t>9763-20170724T104716.649628500.bin</t>
  </si>
  <si>
    <t>-802.806435744887 6.39498637866245 -94.9850946225324</t>
  </si>
  <si>
    <t>-826.344819543457 16.028605659485 -554.509057569816</t>
  </si>
  <si>
    <t>-853.664224090537 149.494126012068 -536.076051461839</t>
  </si>
  <si>
    <t>-808.462627642804 188.269019905038 -247.901710366482</t>
  </si>
  <si>
    <t>-574.613434349937 238.591637654728 -276.764437056175</t>
  </si>
  <si>
    <t>-833.319565230217 97.0793089683948 -99.8355168871328</t>
  </si>
  <si>
    <t>-848.636197482129 130.017586405994 302.078881437561</t>
  </si>
  <si>
    <t>-890.548505641853 182.859283875579 744.867022792535</t>
  </si>
  <si>
    <t>-745.867015471011 166.273681039691 807.15247662749</t>
  </si>
  <si>
    <t>-749.998091089307 -84.5040091661713 310.728844942743</t>
  </si>
  <si>
    <t>-768.641256195769 -81.1581326469278 758.1935416932</t>
  </si>
  <si>
    <t>-627.012439185579 -80.446331323294 829.102463272001</t>
  </si>
  <si>
    <t>9763-20170724T104716.679519500.bin</t>
  </si>
  <si>
    <t>-802.930604622409 6.48244940250675 -94.9792866753427</t>
  </si>
  <si>
    <t>-826.421503946219 16.143949250418 -554.500641137149</t>
  </si>
  <si>
    <t>-853.757332907095 149.60021949802 -536.044476151866</t>
  </si>
  <si>
    <t>-808.823898738659 188.170569616538 -247.800667733915</t>
  </si>
  <si>
    <t>-575.01267835099 238.546545537998 -276.8773093562</t>
  </si>
  <si>
    <t>-833.422899492961 97.1865689150879 -99.8283544352838</t>
  </si>
  <si>
    <t>-848.706980871173 130.096480690539 302.089508746679</t>
  </si>
  <si>
    <t>-890.551276986814 182.858771365868 744.893240728094</t>
  </si>
  <si>
    <t>-745.86437586308 166.302258565945 807.173896996356</t>
  </si>
  <si>
    <t>-750.087118200407 -84.506920209563 310.724329422723</t>
  </si>
  <si>
    <t>-768.610386597996 -81.2623342482456 758.191150481154</t>
  </si>
  <si>
    <t>-626.98255294623 -80.3082906737543 829.099247998398</t>
  </si>
  <si>
    <t>9763-20170724T104716.748206900.bin</t>
  </si>
  <si>
    <t>-803.206443656049 6.74308585185372 -94.9793708684235</t>
  </si>
  <si>
    <t>-826.799567367678 16.3961401712902 -554.489799584872</t>
  </si>
  <si>
    <t>-854.199825251733 149.833549120512 -535.995979035885</t>
  </si>
  <si>
    <t>-809.894854268786 188.082172907803 -247.612026919648</t>
  </si>
  <si>
    <t>-576.1169081355 238.387885514826 -277.075548471437</t>
  </si>
  <si>
    <t>-833.715598606947 97.4867939231908 -99.8207519829574</t>
  </si>
  <si>
    <t>-848.752442197489 130.309828018934 302.113624122061</t>
  </si>
  <si>
    <t>-890.566862688511 182.955049393834 744.946576856297</t>
  </si>
  <si>
    <t>-745.901018581897 166.214755909396 807.227174884109</t>
  </si>
  <si>
    <t>-750.197586905882 -84.300298337069 310.702191308497</t>
  </si>
  <si>
    <t>-768.600936427046 -81.2946240603427 758.184102029376</t>
  </si>
  <si>
    <t>-626.978238072591 -80.5128674901976 829.104522849838</t>
  </si>
  <si>
    <t>9763-20170724T104716.784339200.bin</t>
  </si>
  <si>
    <t>-803.349749380068 6.81188312808922 -94.9723774696932</t>
  </si>
  <si>
    <t>-827.037399061503 16.4245932550034 -554.476807787377</t>
  </si>
  <si>
    <t>-854.484903200424 149.85142083777 -535.972525341466</t>
  </si>
  <si>
    <t>-810.521882920855 187.93789922011 -247.514752423264</t>
  </si>
  <si>
    <t>-576.762497214609 238.212966221126 -277.176887858027</t>
  </si>
  <si>
    <t>-833.864265536226 97.5785690729799 -99.8121772924867</t>
  </si>
  <si>
    <t>-848.755191090317 130.335156167484 302.132956297513</t>
  </si>
  <si>
    <t>-890.56653304196 182.9509884133 744.979706842299</t>
  </si>
  <si>
    <t>-745.902830466711 166.183921409137 807.25763131959</t>
  </si>
  <si>
    <t>-750.254472400337 -84.2174437577597 310.700873463402</t>
  </si>
  <si>
    <t>-768.617172281853 -81.2523224480226 758.183552675132</t>
  </si>
  <si>
    <t>-626.994361833827 -80.4642858573568 829.103671179479</t>
  </si>
  <si>
    <t>9763-20170724T104716.845503500.bin</t>
  </si>
  <si>
    <t>-803.683505096952 6.97843299352644 -94.9638036179485</t>
  </si>
  <si>
    <t>-827.895897319791 16.5593474929651 -554.446067399752</t>
  </si>
  <si>
    <t>-855.408284638549 149.96855092277 -535.923326160687</t>
  </si>
  <si>
    <t>-812.195423109279 187.664007639637 -247.300894011218</t>
  </si>
  <si>
    <t>-578.494431688735 237.980017664621 -277.351257686833</t>
  </si>
  <si>
    <t>-834.255696298788 97.7002128159977 -99.7962766241011</t>
  </si>
  <si>
    <t>-848.88020813955 130.463911729615 302.158129002895</t>
  </si>
  <si>
    <t>-890.562916476341 182.969957882877 745.027821848394</t>
  </si>
  <si>
    <t>-745.904482867198 166.159657385749 807.306718590123</t>
  </si>
  <si>
    <t>-750.431186902153 -83.926064935632 310.702500910444</t>
  </si>
  <si>
    <t>-768.667866209395 -81.0911109937331 758.177516903775</t>
  </si>
  <si>
    <t>-627.054461998388 -80.8469722603356 829.12017251157</t>
  </si>
  <si>
    <t>9763-20170724T104716.881578000.bin</t>
  </si>
  <si>
    <t>-803.90309221092 6.99415522550203 -94.9725202459374</t>
  </si>
  <si>
    <t>-828.698073157614 16.5347690450642 -554.434909278598</t>
  </si>
  <si>
    <t>-856.241742895691 149.939834472928 -535.915372458201</t>
  </si>
  <si>
    <t>-813.379950729944 187.501304552786 -247.223153730616</t>
  </si>
  <si>
    <t>-579.690946721242 237.788217138284 -277.415217978428</t>
  </si>
  <si>
    <t>-834.56309617835 97.7757854608774 -99.8115720746559</t>
  </si>
  <si>
    <t>-848.925869545625 130.472205031037 302.157811531621</t>
  </si>
  <si>
    <t>-890.550853355688 182.925672219148 745.048435154363</t>
  </si>
  <si>
    <t>-745.880156836129 166.20209117228 807.322125128051</t>
  </si>
  <si>
    <t>-750.517010853825 -83.8918983178888 310.700817023057</t>
  </si>
  <si>
    <t>-768.650330704752 -81.1457129013693 758.173113150487</t>
  </si>
  <si>
    <t>-627.038179508367 -80.6265465791571 829.116920014524</t>
  </si>
  <si>
    <t>9763-20170724T104716.946756200.bin</t>
  </si>
  <si>
    <t>-804.417991819101 6.98800949026418 -95.0160187406901</t>
  </si>
  <si>
    <t>-830.612794481401 16.4497455076125 -554.422620613652</t>
  </si>
  <si>
    <t>-858.251209947227 149.845305244481 -535.938639058576</t>
  </si>
  <si>
    <t>-816.267991768602 187.23934864058 -247.095439240476</t>
  </si>
  <si>
    <t>-582.539648702136 237.071262168747 -277.733506284166</t>
  </si>
  <si>
    <t>-835.301925211981 97.940628851974 -99.850809236228</t>
  </si>
  <si>
    <t>-848.872106544426 130.425660586034 302.163178229634</t>
  </si>
  <si>
    <t>-890.546645057484 182.9445075765 745.081893927724</t>
  </si>
  <si>
    <t>-745.891291085255 166.097308752331 807.357896888438</t>
  </si>
  <si>
    <t>-750.667495845842 -83.5196664971667 310.653858392402</t>
  </si>
  <si>
    <t>-768.663608104036 -81.0396670965404 758.135479384273</t>
  </si>
  <si>
    <t>-627.069405523097 -80.590396915423 829.115588007774</t>
  </si>
  <si>
    <t>9763-20170724T104716.979853900.bin</t>
  </si>
  <si>
    <t>-804.596168733909 6.7668531375657 -95.0307850131619</t>
  </si>
  <si>
    <t>-831.492162242981 16.2300699699981 -554.398015587948</t>
  </si>
  <si>
    <t>-859.242153838651 149.606174145001 -535.964397492251</t>
  </si>
  <si>
    <t>-817.864669534597 186.927953051872 -247.024592456172</t>
  </si>
  <si>
    <t>-584.092622009742 236.332800727386 -278.019082687218</t>
  </si>
  <si>
    <t>-835.678826963526 97.8360440463657 -99.8453494259428</t>
  </si>
  <si>
    <t>-848.785041072344 130.222270951615 302.192103172164</t>
  </si>
  <si>
    <t>-890.541172642477 182.957974875858 745.101900376177</t>
  </si>
  <si>
    <t>-745.888701094369 166.076818025559 807.375522700528</t>
  </si>
  <si>
    <t>-750.578371212565 -83.2891449900458 310.622757465882</t>
  </si>
  <si>
    <t>-768.648432019478 -80.9886925540565 758.095019083713</t>
  </si>
  <si>
    <t>-627.073605365753 -80.5870576532285 829.114129795604</t>
  </si>
  <si>
    <t>9763-20170724T104717.047033800.bin</t>
  </si>
  <si>
    <t>-804.812988047375 5.61202677506526 -95.1030250929708</t>
  </si>
  <si>
    <t>-833.339612557033 15.0369056923948 -554.381796174681</t>
  </si>
  <si>
    <t>-861.505452094621 148.337545172645 -536.013422075244</t>
  </si>
  <si>
    <t>-821.890919783419 185.37637979091 -246.790435534565</t>
  </si>
  <si>
    <t>-588.048747421961 233.76136284919 -278.846958921849</t>
  </si>
  <si>
    <t>-836.425463701514 96.9593028130284 -99.8051266774936</t>
  </si>
  <si>
    <t>-848.509714974485 129.37009296381 302.262238550342</t>
  </si>
  <si>
    <t>-890.479961535484 182.870774227777 745.123073427039</t>
  </si>
  <si>
    <t>-745.804672692236 166.20290487969 807.400996856978</t>
  </si>
  <si>
    <t>-749.507090382391 -82.5703590737979 310.44474067981</t>
  </si>
  <si>
    <t>-768.610763200528 -80.6558916896806 757.886591148178</t>
  </si>
  <si>
    <t>-627.133611470813 -80.7217682730812 829.101109695097</t>
  </si>
  <si>
    <t>9763-20170724T104717.093183300.bin</t>
  </si>
  <si>
    <t>-804.831043373385 4.63311744375028 -95.1082479700137</t>
  </si>
  <si>
    <t>-834.221501857489 14.1108151688418 -554.33533718836</t>
  </si>
  <si>
    <t>-862.663109060044 147.346202829546 -535.973694772392</t>
  </si>
  <si>
    <t>-824.307678415497 184.095057575313 -246.543974252418</t>
  </si>
  <si>
    <t>-590.436267559847 231.829951632559 -279.353191238371</t>
  </si>
  <si>
    <t>-836.855554761003 96.1886021752996 -99.7181960123673</t>
  </si>
  <si>
    <t>-848.223832206225 128.663380011646 302.364925005656</t>
  </si>
  <si>
    <t>-890.444678750279 182.81235053576 745.176736339993</t>
  </si>
  <si>
    <t>-745.774005627242 166.138695424935 807.464022794447</t>
  </si>
  <si>
    <t>-748.179402066826 -82.4021176836276 310.311951803932</t>
  </si>
  <si>
    <t>-768.589195987275 -80.5312435169415 757.778963523132</t>
  </si>
  <si>
    <t>-627.144105546653 -80.1310455583185 829.055983342906</t>
  </si>
  <si>
    <t>9763-20170724T104717.147329100.bin</t>
  </si>
  <si>
    <t>-804.678919612527 1.70039086272482 -94.8546655061513</t>
  </si>
  <si>
    <t>-835.844274346536 11.3166515795292 -553.961905316586</t>
  </si>
  <si>
    <t>-865.147571433575 144.359699104192 -535.519517756551</t>
  </si>
  <si>
    <t>-829.696622310168 180.41817156801 -245.633011885228</t>
  </si>
  <si>
    <t>-595.818245753732 226.613949412946 -280.528896313459</t>
  </si>
  <si>
    <t>-837.61891552673 93.5170292681325 -99.2961698120114</t>
  </si>
  <si>
    <t>-847.13896985449 126.586303211966 302.786419230846</t>
  </si>
  <si>
    <t>-890.372048308981 182.527052588473 745.371971993519</t>
  </si>
  <si>
    <t>-745.648313082416 166.287098257209 807.650707439552</t>
  </si>
  <si>
    <t>-745.399090263276 -82.5304726297541 310.272854674361</t>
  </si>
  <si>
    <t>-768.571256953997 -80.4507301416214 757.622949825616</t>
  </si>
  <si>
    <t>-627.156657096355 -79.724560578132 828.957968934606</t>
  </si>
  <si>
    <t>9763-20170724T104717.185431900.bin</t>
  </si>
  <si>
    <t>-836.590387182646 9.64951095264041 -553.710764333096</t>
  </si>
  <si>
    <t>-866.429388970552 142.56041407097 -535.179598892009</t>
  </si>
  <si>
    <t>-832.528260859377 178.314100773797 -245.069852265431</t>
  </si>
  <si>
    <t>-598.656300255047 223.618386185544 -281.15725247715</t>
  </si>
  <si>
    <t>-837.901059361647 91.809971353036 -99.0158537354249</t>
  </si>
  <si>
    <t>-846.605108947306 125.343137392198 303.046874068103</t>
  </si>
  <si>
    <t>-890.337100224913 182.348827387684 745.469555363504</t>
  </si>
  <si>
    <t>-745.584682782423 166.345743632983 807.74281567753</t>
  </si>
  <si>
    <t>-744.121871426055 -82.9200814188979 310.333099086393</t>
  </si>
  <si>
    <t>-768.576155739829 -80.4577264586533 757.591112334143</t>
  </si>
  <si>
    <t>-627.158633712173 -79.4752998396901 828.917265003044</t>
  </si>
  <si>
    <t>9763-20170724T104717.249111400.bin</t>
  </si>
  <si>
    <t>-838.717606067977 6.98260800958315 -553.122924190705</t>
  </si>
  <si>
    <t>-869.48069540699 139.665752631532 -534.518476215689</t>
  </si>
  <si>
    <t>-839.330287059522 174.494250630936 -243.882676070197</t>
  </si>
  <si>
    <t>-605.482475122846 218.143417659644 -282.103407641805</t>
  </si>
  <si>
    <t>-838.894115159777 88.593252087953 -98.4170787611678</t>
  </si>
  <si>
    <t>-846.057360383542 123.266764471795 303.579304881965</t>
  </si>
  <si>
    <t>-890.275767451578 182.026200286009 745.662958544087</t>
  </si>
  <si>
    <t>-745.485275207686 166.417414610773 807.94756080529</t>
  </si>
  <si>
    <t>-741.718944587382 -83.9704800716806 310.494703500253</t>
  </si>
  <si>
    <t>-768.701139189696 -80.2111750081696 757.589575245543</t>
  </si>
  <si>
    <t>-627.267551565426 -79.4972938830589 828.886980881956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</si>
</sst>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Y4243"/>
  <sheetViews>
    <sheetView tabSelected="1" workbookViewId="0"/>
  </sheetViews>
  <sheetFormatPr defaultRowHeight="14.4" x14ac:dyDescent="0.3"/>
  <sheetData>
    <row r="1" spans="1:25" x14ac:dyDescent="0.3">
      <c r="A1">
        <v>0</v>
      </c>
      <c r="B1" t="s">
        <v>0</v>
      </c>
      <c r="C1">
        <f>-617.891314935963 -38.1136691531026 -98.8572879313607</f>
        <v>-754.8622720204263</v>
      </c>
      <c r="D1">
        <f>-645.739297580443 -46.6188903972661 -210.965943160643</f>
        <v>-903.32413113835219</v>
      </c>
      <c r="E1">
        <f>-659.15450951266 -49.4635561040259 -308.631699595679</f>
        <v>-1017.2497652123648</v>
      </c>
      <c r="F1">
        <f>-667.653888427507 -50.3636232528058 -397.317679910541</f>
        <v>-1115.3351915908538</v>
      </c>
      <c r="G1">
        <f>-672.170572980001 -49.5189400069308 -486.295870416898</f>
        <v>-1207.9853834038299</v>
      </c>
      <c r="H1">
        <f>-674.300243410204 -46.506695511232 -610.823859902601</f>
        <v>-1331.6307988240369</v>
      </c>
      <c r="I1">
        <f>-641.571018267555 -39.9153177227074 -686.918429997098</f>
        <v>-1368.4047659873604</v>
      </c>
      <c r="J1">
        <f>-678.845017437219 -20.681274511262 -555.274715291377</f>
        <v>-1254.8010072398579</v>
      </c>
      <c r="K1" t="s">
        <v>1</v>
      </c>
      <c r="L1" t="s">
        <v>2</v>
      </c>
      <c r="M1" t="s">
        <v>3</v>
      </c>
      <c r="N1">
        <f>-667.88115071433 -74.9832402234881 -556.7758123264</f>
        <v>-1299.6402032642181</v>
      </c>
      <c r="O1">
        <f>-646.168375950964 -208.076419650695 -530.046380857429</f>
        <v>-1384.2911764590881</v>
      </c>
      <c r="P1">
        <f>-673.253609100794 -267.445010828146 -243.109167484548</f>
        <v>-1183.8077874134881</v>
      </c>
      <c r="Q1">
        <f>-500.540800752919 -124.146346738592 -330.782767198589</f>
        <v>-955.46991469010004</v>
      </c>
      <c r="R1" t="s">
        <v>4</v>
      </c>
      <c r="S1" t="s">
        <v>5</v>
      </c>
      <c r="T1" t="s">
        <v>6</v>
      </c>
      <c r="U1" t="s">
        <v>7</v>
      </c>
      <c r="V1">
        <f>-598.887445720526 -131.855899193132 -97.5697900552817</f>
        <v>-828.31313496893972</v>
      </c>
      <c r="W1" t="s">
        <v>8</v>
      </c>
      <c r="X1" t="s">
        <v>9</v>
      </c>
      <c r="Y1" t="s">
        <v>10</v>
      </c>
    </row>
    <row r="2" spans="1:25" x14ac:dyDescent="0.3">
      <c r="A2">
        <v>50</v>
      </c>
      <c r="B2" t="s">
        <v>11</v>
      </c>
      <c r="C2">
        <f>-617.694046671255 -38.3377000486205 -98.8731292617883</f>
        <v>-754.90487598166385</v>
      </c>
      <c r="D2">
        <f>-645.499939979833 -46.8427513703167 -210.992422931929</f>
        <v>-903.33511428207873</v>
      </c>
      <c r="E2">
        <f>-658.859876578011 -49.6735044102451 -308.666192977562</f>
        <v>-1017.1995739658181</v>
      </c>
      <c r="F2">
        <f>-667.301202239675 -50.5561092156895 -397.357804821503</f>
        <v>-1115.2151162768675</v>
      </c>
      <c r="G2">
        <f>-671.75189714971 -49.6892848504956 -486.339086045493</f>
        <v>-1207.7802680456984</v>
      </c>
      <c r="H2">
        <f>-673.78071756081 -46.6412009166835 -610.867808965932</f>
        <v>-1331.2897274434254</v>
      </c>
      <c r="I2">
        <f>-640.979769806278 -40.0178313936312 -686.928767505167</f>
        <v>-1367.9263687050761</v>
      </c>
      <c r="J2">
        <f>-678.369961679181 -20.8317131436836 -555.315010957993</f>
        <v>-1254.5166857808576</v>
      </c>
      <c r="K2" t="s">
        <v>12</v>
      </c>
      <c r="L2" t="s">
        <v>13</v>
      </c>
      <c r="M2" t="s">
        <v>14</v>
      </c>
      <c r="N2">
        <f>-667.405767095588 -75.1333622949386 -556.822724959817</f>
        <v>-1299.3618543503435</v>
      </c>
      <c r="O2">
        <f>-645.70198299036 -208.23497303038 -530.117209739906</f>
        <v>-1384.0541657606459</v>
      </c>
      <c r="P2">
        <f>-672.868448848824 -267.609416576476 -243.188866597956</f>
        <v>-1183.6667320232559</v>
      </c>
      <c r="Q2">
        <f>-500.049272101637 -124.437048949716 -330.859434477433</f>
        <v>-955.34575552878596</v>
      </c>
      <c r="R2" t="s">
        <v>15</v>
      </c>
      <c r="S2" t="s">
        <v>16</v>
      </c>
      <c r="T2" t="s">
        <v>17</v>
      </c>
      <c r="U2" t="s">
        <v>18</v>
      </c>
      <c r="V2">
        <f>-598.673319750362 -132.068297186216 -97.5816171742009</f>
        <v>-828.32323411077891</v>
      </c>
      <c r="W2" t="s">
        <v>19</v>
      </c>
      <c r="X2" t="s">
        <v>20</v>
      </c>
      <c r="Y2" t="s">
        <v>21</v>
      </c>
    </row>
    <row r="3" spans="1:25" x14ac:dyDescent="0.3">
      <c r="A3">
        <v>100</v>
      </c>
      <c r="B3" t="s">
        <v>22</v>
      </c>
      <c r="C3">
        <f>-617.609319263905 -38.4723199999621 -98.8747583758926</f>
        <v>-754.95639763975976</v>
      </c>
      <c r="D3">
        <f>-645.401062298084 -46.978938312986 -210.997318404645</f>
        <v>-903.37731901571487</v>
      </c>
      <c r="E3">
        <f>-658.736260689973 -49.8001076458135 -308.674752628323</f>
        <v>-1017.2111209641096</v>
      </c>
      <c r="F3">
        <f>-667.149938403002 -50.6696183645792 -397.369116389603</f>
        <v>-1115.1886731571842</v>
      </c>
      <c r="G3">
        <f>-671.567431282131 -49.785743718 -486.351974009875</f>
        <v>-1207.7051490100062</v>
      </c>
      <c r="H3">
        <f>-673.544404491145 -46.7098080712668 -610.880867079871</f>
        <v>-1331.1350796422828</v>
      </c>
      <c r="I3">
        <f>-640.71953466381 -40.0653279207249 -686.929614764009</f>
        <v>-1367.7144773485438</v>
      </c>
      <c r="J3">
        <f>-678.15690593031 -20.912734043271 -555.324143189908</f>
        <v>-1254.3937831634889</v>
      </c>
      <c r="K3" t="s">
        <v>23</v>
      </c>
      <c r="L3" t="s">
        <v>24</v>
      </c>
      <c r="M3" t="s">
        <v>25</v>
      </c>
      <c r="N3">
        <f>-667.19199066715 -75.2140987803392 -556.839464549097</f>
        <v>-1299.2455539965863</v>
      </c>
      <c r="O3">
        <f>-645.520660480486 -208.317124328746 -530.139012009202</f>
        <v>-1383.976796818434</v>
      </c>
      <c r="P3">
        <f>-672.703894649332 -267.697615345902 -243.213478562405</f>
        <v>-1183.614988557639</v>
      </c>
      <c r="Q3">
        <f>-499.811807957041 -124.609679294709 -330.877690790133</f>
        <v>-955.29917804188301</v>
      </c>
      <c r="R3" t="s">
        <v>26</v>
      </c>
      <c r="S3" t="s">
        <v>27</v>
      </c>
      <c r="T3" t="s">
        <v>28</v>
      </c>
      <c r="U3" t="s">
        <v>29</v>
      </c>
      <c r="V3">
        <f>-598.566678166929 -132.253628501708 -97.5850954896499</f>
        <v>-828.40540215828696</v>
      </c>
      <c r="W3" t="s">
        <v>30</v>
      </c>
      <c r="X3" t="s">
        <v>31</v>
      </c>
      <c r="Y3" t="s">
        <v>32</v>
      </c>
    </row>
    <row r="4" spans="1:25" x14ac:dyDescent="0.3">
      <c r="A4">
        <v>150</v>
      </c>
      <c r="B4" t="s">
        <v>33</v>
      </c>
      <c r="C4">
        <f>-617.433223267083 -38.6471410766294 -98.882325262208</f>
        <v>-754.96268960592045</v>
      </c>
      <c r="D4">
        <f>-645.208767370838 -47.1701304326491 -211.007678563379</f>
        <v>-903.38657636686617</v>
      </c>
      <c r="E4">
        <f>-658.506357645314 -49.9894431001094 -308.690259849153</f>
        <v>-1017.1860605945764</v>
      </c>
      <c r="F4">
        <f>-666.876106899823 -50.8510840297475 -397.388794321794</f>
        <v>-1115.1159852513645</v>
      </c>
      <c r="G4">
        <f>-671.239842306688 -49.9530103907758 -486.374243533655</f>
        <v>-1207.5670962311187</v>
      </c>
      <c r="H4">
        <f>-673.13118731433 -46.85133140492 -610.903824769227</f>
        <v>-1330.886343488477</v>
      </c>
      <c r="I4">
        <f>-640.285843092678 -40.1684544070124 -686.940296579137</f>
        <v>-1367.3945940788274</v>
      </c>
      <c r="J4">
        <f>-677.784227462323 -21.0662731429711 -555.345024481419</f>
        <v>-1254.1955250867131</v>
      </c>
      <c r="K4" t="s">
        <v>34</v>
      </c>
      <c r="L4" t="s">
        <v>35</v>
      </c>
      <c r="M4" t="s">
        <v>36</v>
      </c>
      <c r="N4">
        <f>-666.813610427212 -75.3663701427665 -556.863997095371</f>
        <v>-1299.0439776653495</v>
      </c>
      <c r="O4">
        <f>-645.133402764896 -208.467841922776 -530.165603223629</f>
        <v>-1383.7668479113008</v>
      </c>
      <c r="P4">
        <f>-672.390540224046 -267.822819152363 -243.241897876422</f>
        <v>-1183.455257252831</v>
      </c>
      <c r="Q4">
        <f>-499.448791516467 -124.790718247019 -330.899273670577</f>
        <v>-955.13878343406304</v>
      </c>
      <c r="R4" t="s">
        <v>37</v>
      </c>
      <c r="S4" t="s">
        <v>38</v>
      </c>
      <c r="T4" t="s">
        <v>39</v>
      </c>
      <c r="U4" t="s">
        <v>40</v>
      </c>
      <c r="V4">
        <f>-598.363281244344 -132.44626162142 -97.5862171806594</f>
        <v>-828.39576004642345</v>
      </c>
      <c r="W4" t="s">
        <v>41</v>
      </c>
      <c r="X4" t="s">
        <v>42</v>
      </c>
      <c r="Y4" t="s">
        <v>43</v>
      </c>
    </row>
    <row r="5" spans="1:25" x14ac:dyDescent="0.3">
      <c r="A5">
        <v>200</v>
      </c>
      <c r="B5" t="s">
        <v>44</v>
      </c>
      <c r="C5">
        <f>-617.33467224559 -38.6652143577812 -98.8820287792771</f>
        <v>-754.88191538264834</v>
      </c>
      <c r="D5">
        <f>-645.104750817372 -47.2017486487935 -211.007731122565</f>
        <v>-903.31423058873042</v>
      </c>
      <c r="E5">
        <f>-658.388561498699 -50.0354001443837 -308.691787851796</f>
        <v>-1017.1157494948787</v>
      </c>
      <c r="F5">
        <f>-666.742096504017 -50.9119125587071 -397.391747656332</f>
        <v>-1115.045756719056</v>
      </c>
      <c r="G5">
        <f>-671.085557397076 -50.0308553704373 -486.378345168969</f>
        <v>-1207.4947579364823</v>
      </c>
      <c r="H5">
        <f>-672.944091251842 -46.9550941414625 -610.908928922563</f>
        <v>-1330.8081143158674</v>
      </c>
      <c r="I5">
        <f>-640.096255964232 -40.2689335252987 -686.944101762956</f>
        <v>-1367.3092912524867</v>
      </c>
      <c r="J5">
        <f>-677.605109733992 -21.1571076498708 -555.356763241181</f>
        <v>-1254.1189806250438</v>
      </c>
      <c r="K5" t="s">
        <v>45</v>
      </c>
      <c r="L5" t="s">
        <v>46</v>
      </c>
      <c r="M5" t="s">
        <v>47</v>
      </c>
      <c r="N5">
        <f>-666.647376614754 -75.4601501358095 -556.861529463548</f>
        <v>-1298.9690562141113</v>
      </c>
      <c r="O5">
        <f>-644.986058567481 -208.56205162052 -530.145604051845</f>
        <v>-1383.693714239846</v>
      </c>
      <c r="P5">
        <f>-672.15786027344 -267.943528421206 -243.219224206906</f>
        <v>-1183.3206129015521</v>
      </c>
      <c r="Q5">
        <f>-499.250217309639 -124.910870932472 -330.943110211296</f>
        <v>-955.10419845340698</v>
      </c>
      <c r="R5" t="s">
        <v>48</v>
      </c>
      <c r="S5" t="s">
        <v>49</v>
      </c>
      <c r="T5" t="s">
        <v>50</v>
      </c>
      <c r="U5" t="s">
        <v>51</v>
      </c>
      <c r="V5">
        <f>-598.248815223559 -132.441657690048 -97.5853809624264</f>
        <v>-828.27585387603335</v>
      </c>
      <c r="W5" t="s">
        <v>52</v>
      </c>
      <c r="X5" t="s">
        <v>53</v>
      </c>
      <c r="Y5" t="s">
        <v>54</v>
      </c>
    </row>
    <row r="6" spans="1:25" x14ac:dyDescent="0.3">
      <c r="A6">
        <v>250</v>
      </c>
      <c r="B6" t="s">
        <v>55</v>
      </c>
      <c r="C6">
        <f>-617.276251905544 -38.6891068061996 -98.8855028525326</f>
        <v>-754.8508615642761</v>
      </c>
      <c r="D6">
        <f>-645.05831752174 -47.2397286580632 -211.007204629602</f>
        <v>-903.30525080940527</v>
      </c>
      <c r="E6">
        <f>-658.350556727574 -50.0822233259764 -308.689773514664</f>
        <v>-1017.1225535682145</v>
      </c>
      <c r="F6">
        <f>-666.710858221389 -50.9654327057826 -397.389089031288</f>
        <v>-1115.0653799584597</v>
      </c>
      <c r="G6">
        <f>-671.06027399253 -50.089629774998 -486.375350197699</f>
        <v>-1207.525253965227</v>
      </c>
      <c r="H6">
        <f>-672.926392452598 -47.0203268640596 -610.906122170376</f>
        <v>-1330.8528414870334</v>
      </c>
      <c r="I6">
        <f>-640.084274830406 -40.3402400959251 -686.944245836618</f>
        <v>-1367.368760762949</v>
      </c>
      <c r="J6">
        <f>-677.581147549751 -21.2188192685603 -555.354994392066</f>
        <v>-1254.1549612103772</v>
      </c>
      <c r="K6" t="s">
        <v>56</v>
      </c>
      <c r="L6" t="s">
        <v>57</v>
      </c>
      <c r="M6" t="s">
        <v>58</v>
      </c>
      <c r="N6">
        <f>-666.629227191226 -75.5231030242327 -556.857572301485</f>
        <v>-1299.0099025169438</v>
      </c>
      <c r="O6">
        <f>-644.976440693018 -208.62752634622 -530.141409393849</f>
        <v>-1383.745376433088</v>
      </c>
      <c r="P6">
        <f>-672.080731883129 -267.947926921685 -243.196031662457</f>
        <v>-1183.2246904672711</v>
      </c>
      <c r="Q6">
        <f>-499.171252694921 -124.945898821074 -330.966273844309</f>
        <v>-955.08342536030409</v>
      </c>
      <c r="R6" t="s">
        <v>59</v>
      </c>
      <c r="S6" t="s">
        <v>60</v>
      </c>
      <c r="T6" t="s">
        <v>61</v>
      </c>
      <c r="U6" t="s">
        <v>62</v>
      </c>
      <c r="V6">
        <f>-598.190902964696 -132.451837549925 -97.5830018880897</f>
        <v>-828.22574240271069</v>
      </c>
      <c r="W6" t="s">
        <v>63</v>
      </c>
      <c r="X6" t="s">
        <v>64</v>
      </c>
      <c r="Y6" t="s">
        <v>65</v>
      </c>
    </row>
    <row r="7" spans="1:25" x14ac:dyDescent="0.3">
      <c r="A7">
        <v>300</v>
      </c>
      <c r="B7" t="s">
        <v>66</v>
      </c>
      <c r="C7">
        <f>-617.217158766655 -38.7076139650653 -98.9026329199148</f>
        <v>-754.8274056516351</v>
      </c>
      <c r="D7">
        <f>-645.056660657522 -47.281189712959 -211.008327448391</f>
        <v>-903.34617781887198</v>
      </c>
      <c r="E7">
        <f>-658.389564061939 -50.1363351562691 -308.685012432777</f>
        <v>-1017.2109116509851</v>
      </c>
      <c r="F7">
        <f>-666.782783725179 -51.0282516361675 -397.381010248869</f>
        <v>-1115.1920456102155</v>
      </c>
      <c r="G7">
        <f>-671.161056764874 -50.1592059958194 -486.365975929234</f>
        <v>-1207.6862386899274</v>
      </c>
      <c r="H7">
        <f>-673.062912516424 -47.0969229268642 -610.896427412932</f>
        <v>-1331.0562628562202</v>
      </c>
      <c r="I7">
        <f>-640.24122479902 -40.450702530313 -686.946328201096</f>
        <v>-1367.638255530429</v>
      </c>
      <c r="J7">
        <f>-677.687995079271 -21.2895007877569 -555.345503404334</f>
        <v>-1254.3229992713618</v>
      </c>
      <c r="K7" t="s">
        <v>67</v>
      </c>
      <c r="L7" t="s">
        <v>68</v>
      </c>
      <c r="M7" t="s">
        <v>69</v>
      </c>
      <c r="N7">
        <f>-666.76397520977 -75.5995505740743 -556.847943089227</f>
        <v>-1299.2114688730712</v>
      </c>
      <c r="O7">
        <f>-645.155518482063 -208.710011149465 -530.127884545955</f>
        <v>-1383.9934141774829</v>
      </c>
      <c r="P7">
        <f>-672.129369496856 -267.941827258132 -243.152084187735</f>
        <v>-1183.223280942723</v>
      </c>
      <c r="Q7">
        <f>-499.177021616698 -125.051230815604 -331.019093304736</f>
        <v>-955.24734573703802</v>
      </c>
      <c r="R7" t="s">
        <v>70</v>
      </c>
      <c r="S7" t="s">
        <v>71</v>
      </c>
      <c r="T7" t="s">
        <v>72</v>
      </c>
      <c r="U7" t="s">
        <v>73</v>
      </c>
      <c r="V7">
        <f>-598.156104754933 -132.478036832463 -97.5864494987437</f>
        <v>-828.22059108613973</v>
      </c>
      <c r="W7" t="s">
        <v>74</v>
      </c>
      <c r="X7" t="s">
        <v>75</v>
      </c>
      <c r="Y7" t="s">
        <v>76</v>
      </c>
    </row>
    <row r="8" spans="1:25" x14ac:dyDescent="0.3">
      <c r="A8">
        <v>350</v>
      </c>
      <c r="B8" t="s">
        <v>77</v>
      </c>
      <c r="C8">
        <f>-617.214964519296 -38.7861508536053 -98.9061683045658</f>
        <v>-754.90728367746703</v>
      </c>
      <c r="D8">
        <f>-645.089070920068 -47.3684949526108 -211.002497835531</f>
        <v>-903.46006370820987</v>
      </c>
      <c r="E8">
        <f>-658.447257554052 -50.222963896141 -308.675872252862</f>
        <v>-1017.346093703055</v>
      </c>
      <c r="F8">
        <f>-666.861418364888 -51.1113898635775 -397.370001732858</f>
        <v>-1115.3428099613234</v>
      </c>
      <c r="G8">
        <f>-671.258525406042 -50.2357397459151 -486.353981811746</f>
        <v>-1207.8482469637031</v>
      </c>
      <c r="H8">
        <f>-673.184373050697 -47.1616313808238 -610.883639278473</f>
        <v>-1331.2296437099938</v>
      </c>
      <c r="I8">
        <f>-640.381650728432 -40.5287241456024 -686.942815582407</f>
        <v>-1367.8531904564413</v>
      </c>
      <c r="J8">
        <f>-677.788886352866 -21.3574449660907 -555.329567403743</f>
        <v>-1254.4758987226996</v>
      </c>
      <c r="K8" t="s">
        <v>78</v>
      </c>
      <c r="L8" t="s">
        <v>79</v>
      </c>
      <c r="M8" t="s">
        <v>80</v>
      </c>
      <c r="N8">
        <f>-666.884907807157 -75.6712633787254 -556.838912207618</f>
        <v>-1299.3950833935005</v>
      </c>
      <c r="O8">
        <f>-645.324767244622 -208.79113140739 -530.11351464859</f>
        <v>-1384.2294133006021</v>
      </c>
      <c r="P8">
        <f>-672.260839529766 -267.948734889772 -243.118609095927</f>
        <v>-1183.3281835154651</v>
      </c>
      <c r="Q8">
        <f>-499.256238111761 -125.17588888771 -331.074128322471</f>
        <v>-955.50625532194192</v>
      </c>
      <c r="R8" t="s">
        <v>81</v>
      </c>
      <c r="S8" t="s">
        <v>82</v>
      </c>
      <c r="T8" t="s">
        <v>83</v>
      </c>
      <c r="U8" t="s">
        <v>84</v>
      </c>
      <c r="V8">
        <f>-598.165325385023 -132.637462457698 -97.582968462644</f>
        <v>-828.38575630536502</v>
      </c>
      <c r="W8" t="s">
        <v>85</v>
      </c>
      <c r="X8" t="s">
        <v>86</v>
      </c>
      <c r="Y8" t="s">
        <v>87</v>
      </c>
    </row>
    <row r="9" spans="1:25" x14ac:dyDescent="0.3">
      <c r="A9">
        <v>400</v>
      </c>
      <c r="B9" t="s">
        <v>88</v>
      </c>
      <c r="C9">
        <f>-617.179896188616 -38.9277390441275 -98.9109015248233</f>
        <v>-755.01853675756684</v>
      </c>
      <c r="D9">
        <f>-645.131052683701 -47.518044146338 -210.987483388859</f>
        <v>-903.63658021889796</v>
      </c>
      <c r="E9">
        <f>-658.51573485434 -50.3456870113693 -308.657898884731</f>
        <v>-1017.5193207504403</v>
      </c>
      <c r="F9">
        <f>-666.938139566 -51.1940125668618 -397.351619611522</f>
        <v>-1115.4837717443838</v>
      </c>
      <c r="G9">
        <f>-671.327920098291 -50.2625582006506 -486.335385284282</f>
        <v>-1207.9258635832234</v>
      </c>
      <c r="H9">
        <f>-673.227462233316 -47.092654997407 -610.863168885489</f>
        <v>-1331.183286116212</v>
      </c>
      <c r="I9">
        <f>-640.449052539753 -40.4355679379091 -686.930760791056</f>
        <v>-1367.8153812687181</v>
      </c>
      <c r="J9">
        <f>-677.83855490973 -21.3302526723608 -555.290252982371</f>
        <v>-1254.4590605644617</v>
      </c>
      <c r="K9" t="s">
        <v>89</v>
      </c>
      <c r="L9" t="s">
        <v>90</v>
      </c>
      <c r="M9" t="s">
        <v>91</v>
      </c>
      <c r="N9">
        <f>-666.944567126304 -75.6449959392064 -556.839057164324</f>
        <v>-1299.4286202298345</v>
      </c>
      <c r="O9">
        <f>-645.469633986351 -208.783739572772 -530.138323118067</f>
        <v>-1384.3916966771899</v>
      </c>
      <c r="P9">
        <f>-672.404734626199 -267.865860434495 -243.127822308736</f>
        <v>-1183.39841736943</v>
      </c>
      <c r="Q9">
        <f>-499.314242739562 -125.272188727806 -331.205005148272</f>
        <v>-955.79143661564001</v>
      </c>
      <c r="R9" t="s">
        <v>92</v>
      </c>
      <c r="S9" t="s">
        <v>93</v>
      </c>
      <c r="T9" t="s">
        <v>94</v>
      </c>
      <c r="U9" t="s">
        <v>95</v>
      </c>
      <c r="V9">
        <f>-598.221613093568 -132.838818171759 -97.5673501402936</f>
        <v>-828.62778140562057</v>
      </c>
      <c r="W9" t="s">
        <v>96</v>
      </c>
      <c r="X9" t="s">
        <v>97</v>
      </c>
      <c r="Y9" t="s">
        <v>98</v>
      </c>
    </row>
    <row r="10" spans="1:25" x14ac:dyDescent="0.3">
      <c r="A10">
        <v>450</v>
      </c>
      <c r="B10" t="s">
        <v>99</v>
      </c>
      <c r="C10">
        <f>-617.199856607812 -38.903803348122 -98.9063287691519</f>
        <v>-755.0099887250858</v>
      </c>
      <c r="D10">
        <f>-645.208000818241 -47.4650223967977 -210.97093854447</f>
        <v>-903.64396175950867</v>
      </c>
      <c r="E10">
        <f>-658.61348720833 -50.266822960793 -308.639303058392</f>
        <v>-1017.5196132275149</v>
      </c>
      <c r="F10">
        <f>-667.043694575787 -51.0901976750263 -397.332504978034</f>
        <v>-1115.4663972288472</v>
      </c>
      <c r="G10">
        <f>-671.430494232695 -50.1315586732405 -486.316060997652</f>
        <v>-1207.8781139035875</v>
      </c>
      <c r="H10">
        <f>-673.314743875733 -46.9212512804183 -610.843043869868</f>
        <v>-1331.0790390260195</v>
      </c>
      <c r="I10">
        <f>-640.551872843023 -40.2440915705281 -686.915592261313</f>
        <v>-1367.7115566748641</v>
      </c>
      <c r="J10">
        <f>-677.933308088986 -21.1769529631842 -555.262216245563</f>
        <v>-1254.3724772977332</v>
      </c>
      <c r="K10" t="s">
        <v>100</v>
      </c>
      <c r="L10" t="s">
        <v>101</v>
      </c>
      <c r="M10" t="s">
        <v>102</v>
      </c>
      <c r="N10">
        <f>-667.037856025101 -75.4909143428503 -556.827462955997</f>
        <v>-1299.3562333239483</v>
      </c>
      <c r="O10">
        <f>-645.578702287593 -208.627581432288 -530.140889970392</f>
        <v>-1384.3471736902729</v>
      </c>
      <c r="P10">
        <f>-672.504697529675 -267.807080141583 -243.149589639712</f>
        <v>-1183.46136731097</v>
      </c>
      <c r="Q10">
        <f>-499.370565345646 -125.267707894576 -331.228926708333</f>
        <v>-955.86719994855503</v>
      </c>
      <c r="R10" t="s">
        <v>103</v>
      </c>
      <c r="S10" t="s">
        <v>104</v>
      </c>
      <c r="T10" t="s">
        <v>105</v>
      </c>
      <c r="U10" t="s">
        <v>106</v>
      </c>
      <c r="V10">
        <f>-598.32356376385 -132.802461743236 -97.5667523514568</f>
        <v>-828.69277785854274</v>
      </c>
      <c r="W10" t="s">
        <v>107</v>
      </c>
      <c r="X10" t="s">
        <v>108</v>
      </c>
      <c r="Y10" t="s">
        <v>109</v>
      </c>
    </row>
    <row r="11" spans="1:25" x14ac:dyDescent="0.3">
      <c r="A11">
        <v>500</v>
      </c>
      <c r="B11" t="s">
        <v>110</v>
      </c>
      <c r="C11">
        <f>-617.268657865117 -38.6193221296787 -98.9315181129077</f>
        <v>-754.81949810770345</v>
      </c>
      <c r="D11">
        <f>-645.377088397258 -47.1623224189617 -210.972419779756</f>
        <v>-903.51183059597577</v>
      </c>
      <c r="E11">
        <f>-658.829328257115 -49.9312381991042 -308.635310517635</f>
        <v>-1017.3958769738542</v>
      </c>
      <c r="F11">
        <f>-667.286139309409 -50.7163237802565 -397.326318299951</f>
        <v>-1115.3287813896166</v>
      </c>
      <c r="G11">
        <f>-671.683891762334 -49.7104339574296 -486.308812381163</f>
        <v>-1207.7031381009267</v>
      </c>
      <c r="H11">
        <f>-673.567495796392 -46.4236346852535 -610.83377535107</f>
        <v>-1330.8249058327156</v>
      </c>
      <c r="I11">
        <f>-640.827782654979 -39.6963532281707 -686.911869739521</f>
        <v>-1367.4360056226706</v>
      </c>
      <c r="J11">
        <f>-678.186798012485 -20.7134932724564 -555.237304173459</f>
        <v>-1254.1375954584005</v>
      </c>
      <c r="K11" t="s">
        <v>111</v>
      </c>
      <c r="L11" t="s">
        <v>112</v>
      </c>
      <c r="M11" t="s">
        <v>113</v>
      </c>
      <c r="N11">
        <f>-667.29045299157 -75.0264095959574 -556.835718692226</f>
        <v>-1299.1525812797533</v>
      </c>
      <c r="O11">
        <f>-645.879020245815 -208.179852201103 -530.17908015313</f>
        <v>-1384.2379526000482</v>
      </c>
      <c r="P11">
        <f>-672.676674250353 -267.459422999519 -243.196541366684</f>
        <v>-1183.3326386165561</v>
      </c>
      <c r="Q11">
        <f>-499.436634907766 -125.031802658121 -331.248382773321</f>
        <v>-955.71682033920797</v>
      </c>
      <c r="R11" t="s">
        <v>114</v>
      </c>
      <c r="S11" t="s">
        <v>115</v>
      </c>
      <c r="T11" t="s">
        <v>116</v>
      </c>
      <c r="U11" t="s">
        <v>117</v>
      </c>
      <c r="V11">
        <f>-598.413046616046 -132.452838849321 -97.5908543825359</f>
        <v>-828.4567398479029</v>
      </c>
      <c r="W11" t="s">
        <v>118</v>
      </c>
      <c r="X11" t="s">
        <v>119</v>
      </c>
      <c r="Y11" t="s">
        <v>120</v>
      </c>
    </row>
    <row r="12" spans="1:25" x14ac:dyDescent="0.3">
      <c r="A12">
        <v>550</v>
      </c>
      <c r="B12" t="s">
        <v>121</v>
      </c>
      <c r="C12">
        <f>-617.327326898634 -38.5187305275472 -98.9379106112195</f>
        <v>-754.78396803740077</v>
      </c>
      <c r="D12">
        <f>-645.45474862681 -47.060282892741 -210.974152047368</f>
        <v>-903.489183566919</v>
      </c>
      <c r="E12">
        <f>-658.911268249116 -49.8144532581816 -308.636642302058</f>
        <v>-1017.3623638093557</v>
      </c>
      <c r="F12">
        <f>-667.367239090776 -50.5808777281603 -397.328012821168</f>
        <v>-1115.2761296401043</v>
      </c>
      <c r="G12">
        <f>-671.759374420504 -49.5499357576533 -486.310581669855</f>
        <v>-1207.6198918480122</v>
      </c>
      <c r="H12">
        <f>-673.630294769407 -46.2219490711466 -610.834671872837</f>
        <v>-1330.6869157133906</v>
      </c>
      <c r="I12">
        <f>-640.888678282002 -39.4631012737157 -686.909082670073</f>
        <v>-1367.2608622257908</v>
      </c>
      <c r="J12">
        <f>-678.263081679633 -20.531747241786 -555.230034048961</f>
        <v>-1254.0248629703801</v>
      </c>
      <c r="K12" t="s">
        <v>122</v>
      </c>
      <c r="L12" t="s">
        <v>123</v>
      </c>
      <c r="M12" t="s">
        <v>124</v>
      </c>
      <c r="N12">
        <f>-667.350942193569 -74.8409878027776 -556.845462474277</f>
        <v>-1299.0373924706237</v>
      </c>
      <c r="O12">
        <f>-645.92314670227 -207.997741782882 -530.213751083898</f>
        <v>-1384.13463956905</v>
      </c>
      <c r="P12">
        <f>-672.750059510872 -267.267130033784 -243.231660312341</f>
        <v>-1183.2488498569971</v>
      </c>
      <c r="Q12">
        <f>-499.446869288988 -124.909476186933 -331.272515301785</f>
        <v>-955.628860777706</v>
      </c>
      <c r="R12" t="s">
        <v>125</v>
      </c>
      <c r="S12" t="s">
        <v>126</v>
      </c>
      <c r="T12" t="s">
        <v>127</v>
      </c>
      <c r="U12" t="s">
        <v>128</v>
      </c>
      <c r="V12">
        <f>-598.457827516069 -132.3429404554 -97.6054124166908</f>
        <v>-828.40618038815978</v>
      </c>
      <c r="W12" t="s">
        <v>129</v>
      </c>
      <c r="X12" t="s">
        <v>130</v>
      </c>
      <c r="Y12" t="s">
        <v>131</v>
      </c>
    </row>
    <row r="13" spans="1:25" x14ac:dyDescent="0.3">
      <c r="A13">
        <v>600</v>
      </c>
      <c r="B13" t="s">
        <v>132</v>
      </c>
      <c r="C13">
        <f>-617.47313215208 -38.4640608093782 -98.9458187233082</f>
        <v>-754.88301168476642</v>
      </c>
      <c r="D13">
        <f>-645.663888621957 -47.0270711384183 -210.964356058319</f>
        <v>-903.65531581869425</v>
      </c>
      <c r="E13">
        <f>-659.137860148701 -49.7612134362109 -308.625259255625</f>
        <v>-1017.5243328405369</v>
      </c>
      <c r="F13">
        <f>-667.594220886787 -50.4940498243552 -397.316825204201</f>
        <v>-1115.4050959153433</v>
      </c>
      <c r="G13">
        <f>-671.971831504508 -49.4136719052714 -486.299397886727</f>
        <v>-1207.6849012965063</v>
      </c>
      <c r="H13">
        <f>-673.806436619622 -45.9994839030496 -610.821729789713</f>
        <v>-1330.6276503123845</v>
      </c>
      <c r="I13">
        <f>-641.044729469282 -39.1565827740947 -686.880078633382</f>
        <v>-1367.0813908767586</v>
      </c>
      <c r="J13">
        <f>-678.481841644992 -20.3533811814691 -555.200475393395</f>
        <v>-1254.0356982198559</v>
      </c>
      <c r="K13" t="s">
        <v>133</v>
      </c>
      <c r="L13" t="s">
        <v>134</v>
      </c>
      <c r="M13" t="s">
        <v>135</v>
      </c>
      <c r="N13">
        <f>-667.516367177698 -74.6505681311219 -556.850806281049</f>
        <v>-1299.0177415898688</v>
      </c>
      <c r="O13">
        <f>-645.990449081452 -207.802371378317 -530.272616490102</f>
        <v>-1384.0654369498711</v>
      </c>
      <c r="P13">
        <f>-672.882319772334 -267.163265692892 -243.315712085727</f>
        <v>-1183.3612975509529</v>
      </c>
      <c r="Q13">
        <f>-499.628374615871 -124.71598056454 -331.308406326629</f>
        <v>-955.65276150703994</v>
      </c>
      <c r="R13" t="s">
        <v>136</v>
      </c>
      <c r="S13" t="s">
        <v>137</v>
      </c>
      <c r="T13" t="s">
        <v>138</v>
      </c>
      <c r="U13" t="s">
        <v>139</v>
      </c>
      <c r="V13">
        <f>-598.55000362592 -132.357684869137 -97.6166155314183</f>
        <v>-828.52430402647531</v>
      </c>
      <c r="W13" t="s">
        <v>140</v>
      </c>
      <c r="X13" t="s">
        <v>141</v>
      </c>
      <c r="Y13" t="s">
        <v>142</v>
      </c>
    </row>
    <row r="14" spans="1:25" x14ac:dyDescent="0.3">
      <c r="A14">
        <v>650</v>
      </c>
      <c r="B14" t="s">
        <v>143</v>
      </c>
      <c r="C14">
        <f>-617.584432804997 -38.3661423583355 -98.95183414931</f>
        <v>-754.90240931264259</v>
      </c>
      <c r="D14">
        <f>-645.813497398748 -46.938198119951 -210.960198312811</f>
        <v>-903.71189383151011</v>
      </c>
      <c r="E14">
        <f>-659.294371865209 -49.661080368664 -308.620402099984</f>
        <v>-1017.575854333857</v>
      </c>
      <c r="F14">
        <f>-667.746603625671 -50.3755639146301 -397.312438177501</f>
        <v>-1115.4346057178022</v>
      </c>
      <c r="G14">
        <f>-672.109773995325 -49.2681089799146 -486.295443360857</f>
        <v>-1207.6733263360966</v>
      </c>
      <c r="H14">
        <f>-673.913610198549 -45.8063519197927 -610.816834961473</f>
        <v>-1330.5367970798147</v>
      </c>
      <c r="I14">
        <f>-641.127353092592 -38.9069682907157 -686.859459873585</f>
        <v>-1366.8937812568927</v>
      </c>
      <c r="J14">
        <f>-678.624821576942 -20.1858622010527 -555.186739806411</f>
        <v>-1253.9974235844056</v>
      </c>
      <c r="K14" t="s">
        <v>144</v>
      </c>
      <c r="L14" t="s">
        <v>145</v>
      </c>
      <c r="M14" t="s">
        <v>146</v>
      </c>
      <c r="N14">
        <f>-667.614840948333 -74.4736537873058 -556.855471848866</f>
        <v>-1298.9439665845048</v>
      </c>
      <c r="O14">
        <f>-645.987458939127 -207.615949939318 -530.307328496961</f>
        <v>-1383.9107373754059</v>
      </c>
      <c r="P14">
        <f>-672.869116799462 -267.074176557264 -243.369420017202</f>
        <v>-1183.3127133739279</v>
      </c>
      <c r="Q14">
        <f>-499.726179176797 -124.467183200009 -331.321936608698</f>
        <v>-955.51529898550405</v>
      </c>
      <c r="R14" t="s">
        <v>147</v>
      </c>
      <c r="S14" t="s">
        <v>148</v>
      </c>
      <c r="T14" t="s">
        <v>149</v>
      </c>
      <c r="U14" t="s">
        <v>150</v>
      </c>
      <c r="V14">
        <f>-598.641791455775 -132.268890859909 -97.62376203245</f>
        <v>-828.534444348134</v>
      </c>
      <c r="W14" t="s">
        <v>151</v>
      </c>
      <c r="X14" t="s">
        <v>152</v>
      </c>
      <c r="Y14" t="s">
        <v>153</v>
      </c>
    </row>
    <row r="15" spans="1:25" x14ac:dyDescent="0.3">
      <c r="A15">
        <v>700</v>
      </c>
      <c r="B15" t="s">
        <v>154</v>
      </c>
      <c r="C15">
        <f>-617.935329154248 -38.1888275229378 -98.9504382993222</f>
        <v>-755.07459497650802</v>
      </c>
      <c r="D15">
        <f>-646.209626647333 -46.7791337259198 -210.945841165889</f>
        <v>-903.9346015391418</v>
      </c>
      <c r="E15">
        <f>-659.674683267414 -49.481618022039 -308.608806163101</f>
        <v>-1017.765107452554</v>
      </c>
      <c r="F15">
        <f>-668.090883613673 -50.1615733842231 -397.304654712966</f>
        <v>-1115.557111710862</v>
      </c>
      <c r="G15">
        <f>-672.396560891692 -49.0026067240462 -486.289826731973</f>
        <v>-1207.6889943477113</v>
      </c>
      <c r="H15">
        <f>-674.098220824369 -45.4497845275195 -610.810047399729</f>
        <v>-1330.3580527516174</v>
      </c>
      <c r="I15">
        <f>-641.225597606187 -38.4267096899023 -686.80409475529</f>
        <v>-1366.4564020513792</v>
      </c>
      <c r="J15">
        <f>-678.904454862394 -19.8800246999497 -555.164763727901</f>
        <v>-1253.9492432902448</v>
      </c>
      <c r="K15" t="s">
        <v>155</v>
      </c>
      <c r="L15" t="s">
        <v>156</v>
      </c>
      <c r="M15" t="s">
        <v>157</v>
      </c>
      <c r="N15">
        <f>-667.794411411762 -74.1463479946597 -556.864884881439</f>
        <v>-1298.8056442878606</v>
      </c>
      <c r="O15">
        <f>-645.957577471726 -207.265549025775 -530.372396935342</f>
        <v>-1383.595523432843</v>
      </c>
      <c r="P15">
        <f>-672.75222984522 -266.999039162596 -243.483591113661</f>
        <v>-1183.2348601214769</v>
      </c>
      <c r="Q15">
        <f>-499.886899362132 -123.998362668909 -331.34303823568</f>
        <v>-955.22830026672091</v>
      </c>
      <c r="R15" t="s">
        <v>158</v>
      </c>
      <c r="S15" t="s">
        <v>159</v>
      </c>
      <c r="T15" t="s">
        <v>160</v>
      </c>
      <c r="U15" t="s">
        <v>161</v>
      </c>
      <c r="V15">
        <f>-598.951092689842 -132.130100193101 -97.6325314704953</f>
        <v>-828.71372435343835</v>
      </c>
      <c r="W15" t="s">
        <v>162</v>
      </c>
      <c r="X15" t="s">
        <v>163</v>
      </c>
      <c r="Y15" t="s">
        <v>164</v>
      </c>
    </row>
    <row r="16" spans="1:25" x14ac:dyDescent="0.3">
      <c r="A16">
        <v>750</v>
      </c>
      <c r="B16" t="s">
        <v>165</v>
      </c>
      <c r="C16">
        <f>-618.16716276953 -38.0768706095153 -98.9489192798467</f>
        <v>-755.19295265889195</v>
      </c>
      <c r="D16">
        <f>-646.452872100077 -46.6759143483023 -210.940838828749</f>
        <v>-904.06962527712835</v>
      </c>
      <c r="E16">
        <f>-659.906388831511 -49.3658385803171 -308.605735488758</f>
        <v>-1017.8779629005861</v>
      </c>
      <c r="F16">
        <f>-668.303638258397 -50.0260429035777 -397.303461484139</f>
        <v>-1115.6331426461138</v>
      </c>
      <c r="G16">
        <f>-672.582266398369 -48.8378041037566 -486.289560177677</f>
        <v>-1207.7096306798026</v>
      </c>
      <c r="H16">
        <f>-674.237635792858 -45.233916639069 -610.808857351586</f>
        <v>-1330.2804097835128</v>
      </c>
      <c r="I16">
        <f>-641.316505278053 -38.1480578238566 -686.776197983882</f>
        <v>-1366.2407610857915</v>
      </c>
      <c r="J16">
        <f>-679.092134793889 -19.6925934481501 -555.154839560952</f>
        <v>-1253.9395678029912</v>
      </c>
      <c r="K16" t="s">
        <v>166</v>
      </c>
      <c r="L16" t="s">
        <v>167</v>
      </c>
      <c r="M16" t="s">
        <v>168</v>
      </c>
      <c r="N16">
        <f>-667.926237416998 -73.9469263060491 -556.873455196327</f>
        <v>-1298.7466189193742</v>
      </c>
      <c r="O16">
        <f>-645.981312016628 -207.050709958254 -530.399293620545</f>
        <v>-1383.4313155954269</v>
      </c>
      <c r="P16">
        <f>-672.7771419576 -266.942616640041 -243.543600245397</f>
        <v>-1183.2633588430381</v>
      </c>
      <c r="Q16">
        <f>-500.037894829706 -123.75401939207 -331.34482666876</f>
        <v>-955.13674089053598</v>
      </c>
      <c r="R16" t="s">
        <v>169</v>
      </c>
      <c r="S16" t="s">
        <v>170</v>
      </c>
      <c r="T16" t="s">
        <v>171</v>
      </c>
      <c r="U16" t="s">
        <v>172</v>
      </c>
      <c r="V16">
        <f>-599.143808645475 -132.03856664919 -97.634690906168</f>
        <v>-828.81706620083298</v>
      </c>
      <c r="W16" t="s">
        <v>173</v>
      </c>
      <c r="X16" t="s">
        <v>174</v>
      </c>
      <c r="Y16" t="s">
        <v>175</v>
      </c>
    </row>
    <row r="17" spans="1:25" x14ac:dyDescent="0.3">
      <c r="A17">
        <v>800</v>
      </c>
      <c r="B17" t="s">
        <v>176</v>
      </c>
      <c r="C17">
        <f>-618.590580183279 -37.844372375469 -98.9632586031223</f>
        <v>-755.39821116187034</v>
      </c>
      <c r="D17">
        <f>-646.921755565699 -46.4644677460122 -210.942079234343</f>
        <v>-904.32830254605415</v>
      </c>
      <c r="E17">
        <f>-660.356709877279 -49.1368609576456 -308.610007380769</f>
        <v>-1018.1035782156935</v>
      </c>
      <c r="F17">
        <f>-668.714038494059 -49.7663997439805 -397.311709639058</f>
        <v>-1115.7921478770975</v>
      </c>
      <c r="G17">
        <f>-672.929773111881 -48.5312736745061 -486.300173160665</f>
        <v>-1207.761219947052</v>
      </c>
      <c r="H17">
        <f>-674.47336266143 -44.8445671260135 -610.81855585123</f>
        <v>-1330.1364856386735</v>
      </c>
      <c r="I17">
        <f>-641.442327348833 -37.6506073614298 -686.727864160502</f>
        <v>-1365.820798870765</v>
      </c>
      <c r="J17">
        <f>-679.429377629271 -19.3510980313984 -555.151514298096</f>
        <v>-1253.9319899587654</v>
      </c>
      <c r="K17" t="s">
        <v>177</v>
      </c>
      <c r="L17" t="s">
        <v>178</v>
      </c>
      <c r="M17" t="s">
        <v>179</v>
      </c>
      <c r="N17">
        <f>-668.158775555209 -73.5828932668559 -556.896820101552</f>
        <v>-1298.6384889236169</v>
      </c>
      <c r="O17">
        <f>-646.012341616421 -206.662080080651 -530.463289109759</f>
        <v>-1383.1377108068309</v>
      </c>
      <c r="P17">
        <f>-672.933620909357 -266.700429140395 -243.650098060198</f>
        <v>-1183.2841481099499</v>
      </c>
      <c r="Q17">
        <f>-500.313577341317 -123.273498080495 -331.296463405382</f>
        <v>-954.88353882719389</v>
      </c>
      <c r="R17" t="s">
        <v>180</v>
      </c>
      <c r="S17" t="s">
        <v>181</v>
      </c>
      <c r="T17" t="s">
        <v>182</v>
      </c>
      <c r="U17" t="s">
        <v>183</v>
      </c>
      <c r="V17">
        <f>-599.471974021451 -131.786022680738 -97.6579184505308</f>
        <v>-828.91591515271989</v>
      </c>
      <c r="W17" t="s">
        <v>184</v>
      </c>
      <c r="X17" t="s">
        <v>185</v>
      </c>
      <c r="Y17" t="s">
        <v>186</v>
      </c>
    </row>
    <row r="18" spans="1:25" x14ac:dyDescent="0.3">
      <c r="A18">
        <v>850</v>
      </c>
      <c r="B18" t="s">
        <v>187</v>
      </c>
      <c r="C18">
        <f>-618.820769285758 -37.7705899675523 -98.9633087462471</f>
        <v>-755.55466799955741</v>
      </c>
      <c r="D18">
        <f>-647.168630185987 -46.4037962485414 -210.936766665542</f>
        <v>-904.50919310007043</v>
      </c>
      <c r="E18">
        <f>-660.582387383334 -49.057376412896 -308.608216201723</f>
        <v>-1018.2479799979531</v>
      </c>
      <c r="F18">
        <f>-668.90603467419 -49.6575864810681 -397.313399702858</f>
        <v>-1115.8770208581161</v>
      </c>
      <c r="G18">
        <f>-673.07378697651 -48.3804055048265 -486.3034668682</f>
        <v>-1207.7576593495364</v>
      </c>
      <c r="H18">
        <f>-674.535592784155 -44.62106003498 -610.820615866245</f>
        <v>-1329.9772686853801</v>
      </c>
      <c r="I18">
        <f>-641.44313396314 -37.366734294078 -686.697500690022</f>
        <v>-1365.5073689472401</v>
      </c>
      <c r="J18">
        <f>-679.553754597546 -19.1653409740002 -555.141806324315</f>
        <v>-1253.8609018958612</v>
      </c>
      <c r="K18" t="s">
        <v>188</v>
      </c>
      <c r="L18" t="s">
        <v>189</v>
      </c>
      <c r="M18" t="s">
        <v>190</v>
      </c>
      <c r="N18">
        <f>-668.230879052535 -73.3854791767884 -556.911826780755</f>
        <v>-1298.5281850100782</v>
      </c>
      <c r="O18">
        <f>-646.011167235287 -206.462246479062 -530.505107234811</f>
        <v>-1382.9785209491599</v>
      </c>
      <c r="P18">
        <f>-673.01615404451 -266.591919090716 -243.718895472426</f>
        <v>-1183.3269686076521</v>
      </c>
      <c r="Q18">
        <f>-500.468113704407 -123.042488036968 -331.306599660585</f>
        <v>-954.81720140196001</v>
      </c>
      <c r="R18" t="s">
        <v>191</v>
      </c>
      <c r="S18" t="s">
        <v>192</v>
      </c>
      <c r="T18" t="s">
        <v>193</v>
      </c>
      <c r="U18" t="s">
        <v>194</v>
      </c>
      <c r="V18">
        <f>-599.663527167601 -131.724537757049 -97.6642722108686</f>
        <v>-829.05233713551866</v>
      </c>
      <c r="W18" t="s">
        <v>195</v>
      </c>
      <c r="X18" t="s">
        <v>196</v>
      </c>
      <c r="Y18" t="s">
        <v>197</v>
      </c>
    </row>
    <row r="19" spans="1:25" x14ac:dyDescent="0.3">
      <c r="A19">
        <v>900</v>
      </c>
      <c r="B19" t="s">
        <v>198</v>
      </c>
      <c r="C19">
        <f>-619.338148084748 -37.5741114645537 -98.9789836567701</f>
        <v>-755.89124320607175</v>
      </c>
      <c r="D19">
        <f>-647.743558167275 -46.2374553921093 -210.935644105199</f>
        <v>-904.91665766458323</v>
      </c>
      <c r="E19">
        <f>-661.127319286687 -48.8766844568424 -308.611546649705</f>
        <v>-1018.6155503932345</v>
      </c>
      <c r="F19">
        <f>-669.39193665797 -49.4469924256364 -397.322332945489</f>
        <v>-1116.1612620290953</v>
      </c>
      <c r="G19">
        <f>-673.468715947801 -48.1218883093494 -486.315893574955</f>
        <v>-1207.9064978321053</v>
      </c>
      <c r="H19">
        <f>-674.770232551441 -44.2757481038501 -610.832331826309</f>
        <v>-1329.8783124816</v>
      </c>
      <c r="I19">
        <f>-641.542504077183 -36.9142364081097 -686.639585822753</f>
        <v>-1365.0963263080457</v>
      </c>
      <c r="J19">
        <f>-679.902238959968 -18.8675725994112 -555.142152389701</f>
        <v>-1253.9119639490802</v>
      </c>
      <c r="K19" t="s">
        <v>199</v>
      </c>
      <c r="L19" t="s">
        <v>200</v>
      </c>
      <c r="M19" t="s">
        <v>201</v>
      </c>
      <c r="N19">
        <f>-668.492758673579 -73.0688446574216 -556.935575123676</f>
        <v>-1298.4971784546765</v>
      </c>
      <c r="O19">
        <f>-646.116293681525 -206.127661737096 -530.582910503497</f>
        <v>-1382.826865922118</v>
      </c>
      <c r="P19">
        <f>-673.227824931213 -266.446075088563 -243.846282105507</f>
        <v>-1183.5201821252831</v>
      </c>
      <c r="Q19">
        <f>-500.839248364379 -122.637590412493 -331.322942544283</f>
        <v>-954.79978132115502</v>
      </c>
      <c r="R19" t="s">
        <v>202</v>
      </c>
      <c r="S19" t="s">
        <v>203</v>
      </c>
      <c r="T19" t="s">
        <v>204</v>
      </c>
      <c r="U19" t="s">
        <v>205</v>
      </c>
      <c r="V19">
        <f>-600.114581818782 -131.533102273001 -97.6685794316971</f>
        <v>-829.31626352348007</v>
      </c>
      <c r="W19" t="s">
        <v>206</v>
      </c>
      <c r="X19" t="s">
        <v>207</v>
      </c>
      <c r="Y19" t="s">
        <v>208</v>
      </c>
    </row>
    <row r="20" spans="1:25" x14ac:dyDescent="0.3">
      <c r="A20">
        <v>950</v>
      </c>
      <c r="B20" t="s">
        <v>209</v>
      </c>
      <c r="C20">
        <f>-619.608774343188 -37.5246116375945 -98.9741567767741</f>
        <v>-756.10754275755653</v>
      </c>
      <c r="D20">
        <f>-648.047761505916 -46.1897990565188 -210.922145904379</f>
        <v>-905.15970646681387</v>
      </c>
      <c r="E20">
        <f>-661.430069148527 -48.822834722753 -308.598372612655</f>
        <v>-1018.851276483935</v>
      </c>
      <c r="F20">
        <f>-669.681052186857 -49.3839036742955 -397.310471776434</f>
        <v>-1116.3754276375864</v>
      </c>
      <c r="G20">
        <f>-673.732194872885 -48.045260281942 -486.305136554854</f>
        <v>-1208.0825917096809</v>
      </c>
      <c r="H20">
        <f>-674.985352936846 -44.17558817069 -610.821273234905</f>
        <v>-1329.982214342441</v>
      </c>
      <c r="I20">
        <f>-641.690048552379 -36.7669726955587 -686.594406611463</f>
        <v>-1365.0514278594007</v>
      </c>
      <c r="J20">
        <f>-680.15767630701 -18.7819775542976 -555.1282298322</f>
        <v>-1254.0678836935076</v>
      </c>
      <c r="K20" t="s">
        <v>210</v>
      </c>
      <c r="L20" t="s">
        <v>211</v>
      </c>
      <c r="M20" t="s">
        <v>212</v>
      </c>
      <c r="N20">
        <f>-668.710123857958 -72.9750094051872 -556.927582585301</f>
        <v>-1298.6127158484462</v>
      </c>
      <c r="O20">
        <f>-646.256513816947 -206.022016837525 -530.599405787939</f>
        <v>-1382.8779364424108</v>
      </c>
      <c r="P20">
        <f>-673.368421926367 -266.509612572483 -243.898465163974</f>
        <v>-1183.7764996628239</v>
      </c>
      <c r="Q20">
        <f>-501.075266760955 -122.565723234942 -331.340397419886</f>
        <v>-954.98138741578305</v>
      </c>
      <c r="R20" t="s">
        <v>213</v>
      </c>
      <c r="S20" t="s">
        <v>214</v>
      </c>
      <c r="T20" t="s">
        <v>215</v>
      </c>
      <c r="U20" t="s">
        <v>216</v>
      </c>
      <c r="V20">
        <f>-600.356634139453 -131.533345778586 -97.6731889629564</f>
        <v>-829.56316888099536</v>
      </c>
      <c r="W20" t="s">
        <v>217</v>
      </c>
      <c r="X20" t="s">
        <v>218</v>
      </c>
      <c r="Y20" t="s">
        <v>219</v>
      </c>
    </row>
    <row r="21" spans="1:25" x14ac:dyDescent="0.3">
      <c r="A21">
        <v>1000</v>
      </c>
      <c r="B21" t="s">
        <v>220</v>
      </c>
      <c r="C21">
        <f>-620.131317384753 -37.4719550520138 -98.9625592617509</f>
        <v>-756.56583169851763</v>
      </c>
      <c r="D21">
        <f>-648.650913951085 -46.1780344793546 -210.886817903843</f>
        <v>-905.71576633428253</v>
      </c>
      <c r="E21">
        <f>-662.059194170881 -48.8115976890468 -308.559558383035</f>
        <v>-1019.4303502429628</v>
      </c>
      <c r="F21">
        <f>-670.316234704041 -49.3583747658432 -397.271183873338</f>
        <v>-1116.9457933432222</v>
      </c>
      <c r="G21">
        <f>-674.356100103757 -47.9897731426746 -486.265752243048</f>
        <v>-1208.6116254894796</v>
      </c>
      <c r="H21">
        <f>-675.575632233507 -44.061581320607 -610.780460513666</f>
        <v>-1330.4176740677799</v>
      </c>
      <c r="I21">
        <f>-642.168306727416 -36.5594246272931 -686.495035719311</f>
        <v>-1365.2227670740201</v>
      </c>
      <c r="J21">
        <f>-680.79753292061 -18.7014621497237 -555.07668101883</f>
        <v>-1254.5756760891636</v>
      </c>
      <c r="K21" t="s">
        <v>221</v>
      </c>
      <c r="L21" t="s">
        <v>222</v>
      </c>
      <c r="M21" t="s">
        <v>223</v>
      </c>
      <c r="N21">
        <f>-669.280395333282 -72.8790154527171 -556.898636462461</f>
        <v>-1299.0580472484601</v>
      </c>
      <c r="O21">
        <f>-646.682544995733 -205.911092897794 -530.615450948135</f>
        <v>-1383.2090888416619</v>
      </c>
      <c r="P21">
        <f>-673.71379089014 -266.525797422941 -243.933774841284</f>
        <v>-1184.173363154365</v>
      </c>
      <c r="Q21">
        <f>-501.596297140363 -122.352505937065 -331.343890887849</f>
        <v>-955.29269396527707</v>
      </c>
      <c r="R21" t="s">
        <v>224</v>
      </c>
      <c r="S21" t="s">
        <v>225</v>
      </c>
      <c r="T21" t="s">
        <v>226</v>
      </c>
      <c r="U21" t="s">
        <v>227</v>
      </c>
      <c r="V21">
        <f>-600.851266069714 -131.525585992464 -97.6681906651427</f>
        <v>-830.04504272732072</v>
      </c>
      <c r="W21" t="s">
        <v>228</v>
      </c>
      <c r="X21" t="s">
        <v>229</v>
      </c>
      <c r="Y21" t="s">
        <v>230</v>
      </c>
    </row>
    <row r="22" spans="1:25" x14ac:dyDescent="0.3">
      <c r="A22">
        <v>1050</v>
      </c>
      <c r="B22" t="s">
        <v>231</v>
      </c>
      <c r="C22">
        <f>-620.403185309632 -37.3764456373226 -98.9648601578018</f>
        <v>-756.74449110475643</v>
      </c>
      <c r="D22">
        <f>-648.969445646634 -46.1029354038429 -210.875688233417</f>
        <v>-905.94806928389391</v>
      </c>
      <c r="E22">
        <f>-662.405704632534 -48.734048513882 -308.544578529676</f>
        <v>-1019.6843316760921</v>
      </c>
      <c r="F22">
        <f>-670.683008049488 -49.2706322149565 -397.254400834628</f>
        <v>-1117.2080410990725</v>
      </c>
      <c r="G22">
        <f>-674.738241389185 -47.883404148559 -486.248153836047</f>
        <v>-1208.869799373791</v>
      </c>
      <c r="H22">
        <f>-675.974135160243 -43.9196983999337 -610.761446827454</f>
        <v>-1330.6552803876307</v>
      </c>
      <c r="I22">
        <f>-642.520822569898 -36.3739354954982 -686.451324880097</f>
        <v>-1365.3460829454932</v>
      </c>
      <c r="J22">
        <f>-681.207019772198 -18.5793265486282 -555.049714944177</f>
        <v>-1254.8360612650031</v>
      </c>
      <c r="K22" t="s">
        <v>232</v>
      </c>
      <c r="L22" t="s">
        <v>233</v>
      </c>
      <c r="M22" t="s">
        <v>234</v>
      </c>
      <c r="N22">
        <f>-669.653599108468 -72.7485811646759 -556.888779986068</f>
        <v>-1299.2909602592119</v>
      </c>
      <c r="O22">
        <f>-646.956421198828 -205.770191544865 -530.637911138737</f>
        <v>-1383.3645238824301</v>
      </c>
      <c r="P22">
        <f>-673.953163843134 -266.457838985693 -243.968366803961</f>
        <v>-1184.379369632788</v>
      </c>
      <c r="Q22">
        <f>-501.924140173423 -122.172717913706 -331.367980457393</f>
        <v>-955.46483854452208</v>
      </c>
      <c r="R22" t="s">
        <v>235</v>
      </c>
      <c r="S22" t="s">
        <v>236</v>
      </c>
      <c r="T22" t="s">
        <v>237</v>
      </c>
      <c r="U22" t="s">
        <v>238</v>
      </c>
      <c r="V22">
        <f>-601.083788235893 -131.444018459213 -97.6712205945641</f>
        <v>-830.1990272896702</v>
      </c>
      <c r="W22" t="s">
        <v>239</v>
      </c>
      <c r="X22" t="s">
        <v>240</v>
      </c>
      <c r="Y22" t="s">
        <v>241</v>
      </c>
    </row>
    <row r="23" spans="1:25" x14ac:dyDescent="0.3">
      <c r="A23">
        <v>1100</v>
      </c>
      <c r="B23" t="s">
        <v>242</v>
      </c>
      <c r="C23">
        <f>-620.881131818047 -37.438622231004 -98.9554386973208</f>
        <v>-757.27519274637189</v>
      </c>
      <c r="D23">
        <f>-649.542193211173 -46.2040608605472 -210.838911122231</f>
        <v>-906.58516519395118</v>
      </c>
      <c r="E23">
        <f>-663.046654854858 -48.8313499512293 -308.498547275215</f>
        <v>-1020.3765520813024</v>
      </c>
      <c r="F23">
        <f>-671.380112465676 -49.3496616954229 -397.203310218588</f>
        <v>-1117.933084379687</v>
      </c>
      <c r="G23">
        <f>-675.48596088418 -47.9290495597945 -486.194032502765</f>
        <v>-1209.6090429467395</v>
      </c>
      <c r="H23">
        <f>-676.786752220928 -43.9023939918598 -610.704761838958</f>
        <v>-1331.3939080517457</v>
      </c>
      <c r="I23">
        <f>-643.25937173403 -36.300624571471 -686.356198388064</f>
        <v>-1365.9161946935649</v>
      </c>
      <c r="J23">
        <f>-682.021427256362 -18.5967718502466 -554.977457337662</f>
        <v>-1255.5956564442706</v>
      </c>
      <c r="K23" t="s">
        <v>243</v>
      </c>
      <c r="L23" t="s">
        <v>244</v>
      </c>
      <c r="M23" t="s">
        <v>245</v>
      </c>
      <c r="N23">
        <f>-670.407255645003 -72.7518197222762 -556.8501481818</f>
        <v>-1300.0092235490793</v>
      </c>
      <c r="O23">
        <f>-647.535257152329 -205.761935849689 -530.705001881399</f>
        <v>-1384.0021948834169</v>
      </c>
      <c r="P23">
        <f>-674.232889681281 -266.693357289535 -244.059140576291</f>
        <v>-1184.9853875471069</v>
      </c>
      <c r="Q23">
        <f>-502.389667161154 -122.162554855459 -331.418428443343</f>
        <v>-955.970650459956</v>
      </c>
      <c r="R23" t="s">
        <v>246</v>
      </c>
      <c r="S23" t="s">
        <v>247</v>
      </c>
      <c r="T23" t="s">
        <v>248</v>
      </c>
      <c r="U23" t="s">
        <v>249</v>
      </c>
      <c r="V23">
        <f>-601.495150848727 -131.589730476188 -97.6658129817821</f>
        <v>-830.75069430669714</v>
      </c>
      <c r="W23" t="s">
        <v>250</v>
      </c>
      <c r="X23" t="s">
        <v>251</v>
      </c>
      <c r="Y23" t="s">
        <v>252</v>
      </c>
    </row>
    <row r="24" spans="1:25" x14ac:dyDescent="0.3">
      <c r="A24">
        <v>1150</v>
      </c>
      <c r="B24" t="s">
        <v>253</v>
      </c>
      <c r="C24">
        <f>-621.072561843624 -37.4108076691964 -98.948023589102</f>
        <v>-757.43139310192248</v>
      </c>
      <c r="D24">
        <f>-649.796011576345 -46.1885808289552 -210.814536430298</f>
        <v>-906.79912883559814</v>
      </c>
      <c r="E24">
        <f>-663.347114860796 -48.8066629610814 -308.468002505688</f>
        <v>-1020.6217803275654</v>
      </c>
      <c r="F24">
        <f>-671.71965118818 -49.3090071094028 -397.168979579412</f>
        <v>-1118.1976378769948</v>
      </c>
      <c r="G24">
        <f>-675.861669067055 -47.863980056279 -486.157812223395</f>
        <v>-1209.8834613467291</v>
      </c>
      <c r="H24">
        <f>-677.209813259991 -43.7945021188291 -610.666588329187</f>
        <v>-1331.6709037080072</v>
      </c>
      <c r="I24">
        <f>-643.651378407802 -36.1721576182426 -686.302384734522</f>
        <v>-1366.1259207605667</v>
      </c>
      <c r="J24">
        <f>-682.438877358829 -18.5114315631502 -554.928543955433</f>
        <v>-1255.8788528774121</v>
      </c>
      <c r="K24" t="s">
        <v>254</v>
      </c>
      <c r="L24" t="s">
        <v>255</v>
      </c>
      <c r="M24" t="s">
        <v>256</v>
      </c>
      <c r="N24">
        <f>-670.794272169782 -72.6591411903942 -556.824469975595</f>
        <v>-1300.2778833357711</v>
      </c>
      <c r="O24">
        <f>-647.844860505475 -205.673561324805 -530.747168351919</f>
        <v>-1384.265590182199</v>
      </c>
      <c r="P24">
        <f>-674.323240416433 -266.707483667586 -244.102800568872</f>
        <v>-1185.1335246528911</v>
      </c>
      <c r="Q24">
        <f>-502.600472256941 -122.054191998374 -331.495935687093</f>
        <v>-956.15059994240801</v>
      </c>
      <c r="R24" t="s">
        <v>257</v>
      </c>
      <c r="S24" t="s">
        <v>258</v>
      </c>
      <c r="T24" t="s">
        <v>259</v>
      </c>
      <c r="U24" t="s">
        <v>260</v>
      </c>
      <c r="V24">
        <f>-601.667938060344 -131.519089449897 -97.668097654137</f>
        <v>-830.85512516437802</v>
      </c>
      <c r="W24" t="s">
        <v>261</v>
      </c>
      <c r="X24" t="s">
        <v>262</v>
      </c>
      <c r="Y24" t="s">
        <v>263</v>
      </c>
    </row>
    <row r="25" spans="1:25" x14ac:dyDescent="0.3">
      <c r="A25">
        <v>1200</v>
      </c>
      <c r="B25" t="s">
        <v>264</v>
      </c>
      <c r="C25">
        <f>-621.43507687845 -37.5383387550905 -98.921552248265</f>
        <v>-757.89496788180554</v>
      </c>
      <c r="D25">
        <f>-650.290398546153 -46.319638356265 -210.753986500139</f>
        <v>-907.36402340255711</v>
      </c>
      <c r="E25">
        <f>-663.944910447519 -48.9085786320417 -308.393676515944</f>
        <v>-1021.2471655955046</v>
      </c>
      <c r="F25">
        <f>-672.406687690699 -49.371808101493 -397.086625470813</f>
        <v>-1118.865121263005</v>
      </c>
      <c r="G25">
        <f>-676.633457919389 -47.8745141893606 -486.070473715649</f>
        <v>-1210.5784458243986</v>
      </c>
      <c r="H25">
        <f>-678.095398274412 -43.7184179938288 -610.57506660222</f>
        <v>-1332.3888828704607</v>
      </c>
      <c r="I25">
        <f>-644.498611162279 -36.0663611672503 -686.190691503136</f>
        <v>-1366.7556638326653</v>
      </c>
      <c r="J25">
        <f>-683.29111208501 -18.4780321852186 -554.814664208096</f>
        <v>-1256.5838084783245</v>
      </c>
      <c r="K25" t="s">
        <v>265</v>
      </c>
      <c r="L25" t="s">
        <v>266</v>
      </c>
      <c r="M25" t="s">
        <v>267</v>
      </c>
      <c r="N25">
        <f>-671.613056116353 -72.616706682076 -556.758897213946</f>
        <v>-1300.988660012375</v>
      </c>
      <c r="O25">
        <f>-648.548669868203 -205.635216340173 -530.815269643803</f>
        <v>-1384.999155852179</v>
      </c>
      <c r="P25">
        <f>-674.625915650123 -266.889132796545 -244.181014113866</f>
        <v>-1185.6960625605341</v>
      </c>
      <c r="Q25">
        <f>-503.115534824102 -122.057671648086 -331.696313090193</f>
        <v>-956.8695195623809</v>
      </c>
      <c r="R25" t="s">
        <v>268</v>
      </c>
      <c r="S25" t="s">
        <v>269</v>
      </c>
      <c r="T25" t="s">
        <v>270</v>
      </c>
      <c r="U25" t="s">
        <v>271</v>
      </c>
      <c r="V25">
        <f>-602.000562698046 -131.729458046476 -97.6597087722182</f>
        <v>-831.3897295167402</v>
      </c>
      <c r="W25" t="s">
        <v>272</v>
      </c>
      <c r="X25" t="s">
        <v>273</v>
      </c>
      <c r="Y25" t="s">
        <v>274</v>
      </c>
    </row>
    <row r="26" spans="1:25" x14ac:dyDescent="0.3">
      <c r="A26">
        <v>1250</v>
      </c>
      <c r="B26" t="s">
        <v>264</v>
      </c>
      <c r="C26">
        <f>-621.43507687845 -37.5383387550905 -98.921552248265</f>
        <v>-757.89496788180554</v>
      </c>
      <c r="D26">
        <f>-650.290398546153 -46.319638356265 -210.753986500139</f>
        <v>-907.36402340255711</v>
      </c>
      <c r="E26">
        <f>-663.944910447519 -48.9085786320417 -308.393676515944</f>
        <v>-1021.2471655955046</v>
      </c>
      <c r="F26">
        <f>-672.406687690699 -49.371808101493 -397.086625470813</f>
        <v>-1118.865121263005</v>
      </c>
      <c r="G26">
        <f>-676.633457919389 -47.8745141893606 -486.070473715649</f>
        <v>-1210.5784458243986</v>
      </c>
      <c r="H26">
        <f>-678.095398274412 -43.7184179938288 -610.57506660222</f>
        <v>-1332.3888828704607</v>
      </c>
      <c r="I26">
        <f>-644.498611162279 -36.0663611672503 -686.190691503136</f>
        <v>-1366.7556638326653</v>
      </c>
      <c r="J26">
        <f>-683.29111208501 -18.4780321852186 -554.814664208096</f>
        <v>-1256.5838084783245</v>
      </c>
      <c r="K26" t="s">
        <v>265</v>
      </c>
      <c r="L26" t="s">
        <v>266</v>
      </c>
      <c r="M26" t="s">
        <v>267</v>
      </c>
      <c r="N26">
        <f>-671.613056116353 -72.616706682076 -556.758897213946</f>
        <v>-1300.988660012375</v>
      </c>
      <c r="O26">
        <f>-648.548669868203 -205.635216340173 -530.815269643803</f>
        <v>-1384.999155852179</v>
      </c>
      <c r="P26">
        <f>-674.625915650123 -266.889132796545 -244.181014113866</f>
        <v>-1185.6960625605341</v>
      </c>
      <c r="Q26">
        <f>-503.115534824102 -122.057671648086 -331.696313090193</f>
        <v>-956.8695195623809</v>
      </c>
      <c r="R26" t="s">
        <v>268</v>
      </c>
      <c r="S26" t="s">
        <v>269</v>
      </c>
      <c r="T26" t="s">
        <v>270</v>
      </c>
      <c r="U26" t="s">
        <v>271</v>
      </c>
      <c r="V26">
        <f>-602.000562698046 -131.729458046476 -97.6597087722182</f>
        <v>-831.3897295167402</v>
      </c>
      <c r="W26" t="s">
        <v>272</v>
      </c>
      <c r="X26" t="s">
        <v>273</v>
      </c>
      <c r="Y26" t="s">
        <v>274</v>
      </c>
    </row>
    <row r="27" spans="1:25" x14ac:dyDescent="0.3">
      <c r="A27">
        <v>1300</v>
      </c>
      <c r="B27" t="s">
        <v>275</v>
      </c>
      <c r="C27">
        <f>-622.283613150028 -37.7082993964029 -98.8493271981805</f>
        <v>-758.84123974461147</v>
      </c>
      <c r="D27">
        <f>-651.329628745332 -46.4449584035077 -210.635929214964</f>
        <v>-908.41051636380371</v>
      </c>
      <c r="E27">
        <f>-665.120220441514 -48.9669289941509 -308.25820394756</f>
        <v>-1022.3453533832248</v>
      </c>
      <c r="F27">
        <f>-673.693346443237 -49.3577153841425 -396.940600096212</f>
        <v>-1119.9916619235914</v>
      </c>
      <c r="G27">
        <f>-678.01948889706 -47.776711667666 -485.918376686152</f>
        <v>-1211.7145772508779</v>
      </c>
      <c r="H27">
        <f>-679.607413191857 -43.4917143209293 -610.417071259052</f>
        <v>-1333.5161987718384</v>
      </c>
      <c r="I27">
        <f>-646.063852695721 -35.7416686189656 -686.046301798757</f>
        <v>-1367.8518231134435</v>
      </c>
      <c r="J27">
        <f>-684.730353875523 -18.3053942913198 -554.625391685148</f>
        <v>-1257.6611398519908</v>
      </c>
      <c r="K27" t="s">
        <v>276</v>
      </c>
      <c r="L27" t="s">
        <v>277</v>
      </c>
      <c r="M27" t="s">
        <v>278</v>
      </c>
      <c r="N27">
        <f>-673.086927630967 -72.4492753012916 -556.637442076063</f>
        <v>-1302.1736450083217</v>
      </c>
      <c r="O27">
        <f>-650.0931872996 -205.503924036369 -530.821441930184</f>
        <v>-1386.4185532661531</v>
      </c>
      <c r="P27">
        <f>-675.863093992766 -266.855974521345 -244.1803794581</f>
        <v>-1186.899447972211</v>
      </c>
      <c r="Q27">
        <f>-504.380740695755 -122.103563586546 -331.881050458822</f>
        <v>-958.36535474112293</v>
      </c>
      <c r="R27" t="s">
        <v>279</v>
      </c>
      <c r="S27" t="s">
        <v>280</v>
      </c>
      <c r="T27" t="s">
        <v>281</v>
      </c>
      <c r="U27" t="s">
        <v>282</v>
      </c>
      <c r="V27">
        <f>-602.878392661272 -131.9922433027 -97.638747961664</f>
        <v>-832.50938392563592</v>
      </c>
      <c r="W27" t="s">
        <v>283</v>
      </c>
      <c r="X27" t="s">
        <v>284</v>
      </c>
      <c r="Y27" t="s">
        <v>285</v>
      </c>
    </row>
    <row r="28" spans="1:25" x14ac:dyDescent="0.3">
      <c r="A28">
        <v>1350</v>
      </c>
      <c r="B28" t="s">
        <v>286</v>
      </c>
      <c r="C28">
        <f>-622.428928985689 -37.7191037271703 -98.8378766870729</f>
        <v>-758.98590939993221</v>
      </c>
      <c r="D28">
        <f>-651.499210545226 -46.4443040154783 -210.619023277158</f>
        <v>-908.56253783786235</v>
      </c>
      <c r="E28">
        <f>-665.298535811004 -48.9587564339241 -308.240198923083</f>
        <v>-1022.497491168011</v>
      </c>
      <c r="F28">
        <f>-673.874539013684 -49.3437470405671 -396.922513841905</f>
        <v>-1120.1407998961561</v>
      </c>
      <c r="G28">
        <f>-678.198503831396 -47.7576533680621 -485.900246418592</f>
        <v>-1211.8564036180501</v>
      </c>
      <c r="H28">
        <f>-679.77823819711 -43.4664536225505 -610.398767676369</f>
        <v>-1333.6434594960294</v>
      </c>
      <c r="I28">
        <f>-646.245282409333 -35.7055550576131 -686.031680219535</f>
        <v>-1367.9825176864811</v>
      </c>
      <c r="J28">
        <f>-684.899712939663 -18.2818464800878 -554.606120061455</f>
        <v>-1257.7876794812059</v>
      </c>
      <c r="K28" t="s">
        <v>287</v>
      </c>
      <c r="L28" t="s">
        <v>288</v>
      </c>
      <c r="M28" t="s">
        <v>289</v>
      </c>
      <c r="N28">
        <f>-673.266531373986 -72.4277217464869 -556.620085235708</f>
        <v>-1302.314338356181</v>
      </c>
      <c r="O28">
        <f>-650.303007810553 -205.487575922991 -530.807667229921</f>
        <v>-1386.598250963465</v>
      </c>
      <c r="P28">
        <f>-676.103678825968 -266.821502145624 -244.165605685909</f>
        <v>-1187.090786657501</v>
      </c>
      <c r="Q28">
        <f>-504.579340668092 -122.127448129879 -331.880492135013</f>
        <v>-958.58728093298407</v>
      </c>
      <c r="R28" t="s">
        <v>290</v>
      </c>
      <c r="S28" t="s">
        <v>291</v>
      </c>
      <c r="T28" t="s">
        <v>292</v>
      </c>
      <c r="U28" t="s">
        <v>293</v>
      </c>
      <c r="V28">
        <f>-603.033659554102 -132.042216841868 -97.6333243986561</f>
        <v>-832.7092007946261</v>
      </c>
      <c r="W28" t="s">
        <v>294</v>
      </c>
      <c r="X28" t="s">
        <v>295</v>
      </c>
      <c r="Y28" t="s">
        <v>296</v>
      </c>
    </row>
    <row r="29" spans="1:25" x14ac:dyDescent="0.3">
      <c r="A29">
        <v>1400</v>
      </c>
      <c r="B29" t="s">
        <v>297</v>
      </c>
      <c r="C29">
        <f>-623.049092168306 -37.8217330419041 -98.7989173194977</f>
        <v>-759.66974252970772</v>
      </c>
      <c r="D29">
        <f>-652.157520461437 -46.500384429591 -210.573636090423</f>
        <v>-909.23154098145096</v>
      </c>
      <c r="E29">
        <f>-665.957474161292 -48.9861446823788 -308.195612397552</f>
        <v>-1023.1392312412229</v>
      </c>
      <c r="F29">
        <f>-674.520935384705 -49.3491720420657 -396.879146097877</f>
        <v>-1120.7492535246477</v>
      </c>
      <c r="G29">
        <f>-678.819125842972 -47.7458740047337 -485.857832747629</f>
        <v>-1212.4228325953345</v>
      </c>
      <c r="H29">
        <f>-680.348583765497 -43.4355829363835 -610.356377589454</f>
        <v>-1334.1405442913347</v>
      </c>
      <c r="I29">
        <f>-646.832377691675 -35.6614568499997 -685.995381189343</f>
        <v>-1368.4892157310178</v>
      </c>
      <c r="J29">
        <f>-685.460627844604 -18.2526975215205 -554.56206257559</f>
        <v>-1258.2753879417146</v>
      </c>
      <c r="K29" t="s">
        <v>298</v>
      </c>
      <c r="L29" t="s">
        <v>299</v>
      </c>
      <c r="M29" t="s">
        <v>300</v>
      </c>
      <c r="N29">
        <f>-673.890371444605 -72.4119556568393 -556.579366978796</f>
        <v>-1302.8816940802403</v>
      </c>
      <c r="O29">
        <f>-651.097369445083 -205.502842484027 -530.77000744399</f>
        <v>-1387.3702193731001</v>
      </c>
      <c r="P29">
        <f>-677.134913760703 -266.749925884249 -244.13083039028</f>
        <v>-1188.015670035232</v>
      </c>
      <c r="Q29">
        <f>-505.379317329662 -122.333192153306 -331.850082105596</f>
        <v>-959.56259158856403</v>
      </c>
      <c r="R29" t="s">
        <v>301</v>
      </c>
      <c r="S29" t="s">
        <v>302</v>
      </c>
      <c r="T29" t="s">
        <v>303</v>
      </c>
      <c r="U29" t="s">
        <v>304</v>
      </c>
      <c r="V29">
        <f>-603.745109058695 -132.241184357093 -97.6150923817256</f>
        <v>-833.60138579751356</v>
      </c>
      <c r="W29" t="s">
        <v>305</v>
      </c>
      <c r="X29" t="s">
        <v>306</v>
      </c>
      <c r="Y29" t="s">
        <v>307</v>
      </c>
    </row>
    <row r="30" spans="1:25" x14ac:dyDescent="0.3">
      <c r="A30">
        <v>1450</v>
      </c>
      <c r="B30" t="s">
        <v>308</v>
      </c>
      <c r="C30">
        <f>-623.387270646537 -37.8523376973033 -98.7804887021598</f>
        <v>-760.02009704600005</v>
      </c>
      <c r="D30">
        <f>-652.492756969142 -46.5142426496088 -210.557307445344</f>
        <v>-909.56430706409481</v>
      </c>
      <c r="E30">
        <f>-666.283810457702 -48.9922643680818 -308.180638930738</f>
        <v>-1023.4567137565218</v>
      </c>
      <c r="F30">
        <f>-674.836592472113 -49.3507552125827 -396.865267441247</f>
        <v>-1121.0526151259428</v>
      </c>
      <c r="G30">
        <f>-679.121277140817 -47.7460149398252 -485.844583406082</f>
        <v>-1212.7118754867242</v>
      </c>
      <c r="H30">
        <f>-680.628846020246 -43.4371181521858 -610.343492524399</f>
        <v>-1334.4094566968308</v>
      </c>
      <c r="I30">
        <f>-647.104329261928 -35.6789723999661 -685.98044150644</f>
        <v>-1368.7637431683343</v>
      </c>
      <c r="J30">
        <f>-685.729044730053 -18.2488707067262 -554.550577584222</f>
        <v>-1258.5284930210012</v>
      </c>
      <c r="K30" t="s">
        <v>309</v>
      </c>
      <c r="L30" t="s">
        <v>310</v>
      </c>
      <c r="M30" t="s">
        <v>311</v>
      </c>
      <c r="N30">
        <f>-674.201745655887 -72.4175097824946 -556.564807949744</f>
        <v>-1303.1840633881257</v>
      </c>
      <c r="O30">
        <f>-651.508522793878 -205.526738417262 -530.747726504544</f>
        <v>-1387.7829877156839</v>
      </c>
      <c r="P30">
        <f>-677.691870286264 -266.745331444844 -244.115757449304</f>
        <v>-1188.552959180412</v>
      </c>
      <c r="Q30">
        <f>-505.797552302566 -122.493869204616 -331.835333073131</f>
        <v>-960.12675458031299</v>
      </c>
      <c r="R30" t="s">
        <v>312</v>
      </c>
      <c r="S30" t="s">
        <v>313</v>
      </c>
      <c r="T30" t="s">
        <v>314</v>
      </c>
      <c r="U30" t="s">
        <v>315</v>
      </c>
      <c r="V30">
        <f>-604.138369335603 -132.293612946864 -97.606913139895</f>
        <v>-834.03889542236197</v>
      </c>
      <c r="W30" t="s">
        <v>316</v>
      </c>
      <c r="X30" t="s">
        <v>317</v>
      </c>
      <c r="Y30" t="s">
        <v>318</v>
      </c>
    </row>
    <row r="31" spans="1:25" x14ac:dyDescent="0.3">
      <c r="A31">
        <v>1500</v>
      </c>
      <c r="B31" t="s">
        <v>319</v>
      </c>
      <c r="C31">
        <f>-624.149376367396 -37.6250956631279 -98.7789553037009</f>
        <v>-760.55342733422481</v>
      </c>
      <c r="D31">
        <f>-653.234954323569 -46.2259439399801 -210.565657635788</f>
        <v>-910.02655589933715</v>
      </c>
      <c r="E31">
        <f>-667.032540856577 -48.6988186446797 -308.188275584582</f>
        <v>-1023.9196350858388</v>
      </c>
      <c r="F31">
        <f>-675.600934543629 -49.0713890782594 -396.871281783742</f>
        <v>-1121.5436054056304</v>
      </c>
      <c r="G31">
        <f>-679.910630747017 -47.500485918391 -485.849997375365</f>
        <v>-1213.261114040773</v>
      </c>
      <c r="H31">
        <f>-681.462962924851 -43.2599245771373 -610.350683561497</f>
        <v>-1335.0735710634854</v>
      </c>
      <c r="I31">
        <f>-647.911261683495 -35.585980853544 -685.984205437399</f>
        <v>-1369.4814479744382</v>
      </c>
      <c r="J31">
        <f>-686.49400507263 -18.0307714172156 -554.569980765283</f>
        <v>-1259.0947572551286</v>
      </c>
      <c r="K31" t="s">
        <v>320</v>
      </c>
      <c r="L31" t="s">
        <v>321</v>
      </c>
      <c r="M31" t="s">
        <v>322</v>
      </c>
      <c r="N31">
        <f>-675.065679007551 -72.2212177871205 -556.55822779568</f>
        <v>-1303.8451245903516</v>
      </c>
      <c r="O31">
        <f>-652.586332899576 -205.354700075563 -530.683841874128</f>
        <v>-1388.6248748492669</v>
      </c>
      <c r="P31">
        <f>-679.035544746082 -266.422744735156 -244.044058816232</f>
        <v>-1189.50234829747</v>
      </c>
      <c r="Q31">
        <f>-506.864623791525 -122.492827762803 -331.749444272197</f>
        <v>-961.10689582652503</v>
      </c>
      <c r="R31" t="s">
        <v>323</v>
      </c>
      <c r="S31" t="s">
        <v>324</v>
      </c>
      <c r="T31" t="s">
        <v>325</v>
      </c>
      <c r="U31" t="s">
        <v>326</v>
      </c>
      <c r="V31">
        <f>-604.974227531653 -132.109386759837 -97.6101219447077</f>
        <v>-834.69373623619765</v>
      </c>
      <c r="W31" t="s">
        <v>327</v>
      </c>
      <c r="X31" t="s">
        <v>328</v>
      </c>
      <c r="Y31" t="s">
        <v>329</v>
      </c>
    </row>
    <row r="32" spans="1:25" x14ac:dyDescent="0.3">
      <c r="A32">
        <v>1550</v>
      </c>
      <c r="B32" t="s">
        <v>330</v>
      </c>
      <c r="C32">
        <f>-624.520331260756 -37.5536846356563 -98.778549553322</f>
        <v>-760.85256544973436</v>
      </c>
      <c r="D32">
        <f>-653.590388960537 -46.1279823816189 -210.571268514486</f>
        <v>-910.289639856642</v>
      </c>
      <c r="E32">
        <f>-667.400808753704 -48.6044788305092 -308.192005629832</f>
        <v>-1024.1972932140452</v>
      </c>
      <c r="F32">
        <f>-675.991216086068 -48.9913640054542 -396.872915713942</f>
        <v>-1121.8554958054642</v>
      </c>
      <c r="G32">
        <f>-680.333328168734 -47.4465738487577 -485.850472044124</f>
        <v>-1213.6303740616158</v>
      </c>
      <c r="H32">
        <f>-681.941570097179 -43.2553125840697 -610.352155240671</f>
        <v>-1335.5490379219195</v>
      </c>
      <c r="I32">
        <f>-648.379866121784 -35.6471933197533 -685.987840789021</f>
        <v>-1370.0149002305584</v>
      </c>
      <c r="J32">
        <f>-686.919558739378 -17.9981548259709 -554.579243709369</f>
        <v>-1259.4969572747179</v>
      </c>
      <c r="K32" t="s">
        <v>331</v>
      </c>
      <c r="L32" t="s">
        <v>332</v>
      </c>
      <c r="M32" t="s">
        <v>333</v>
      </c>
      <c r="N32">
        <f>-675.548202944742 -72.2012290974751 -556.550896586716</f>
        <v>-1304.3003286289331</v>
      </c>
      <c r="O32">
        <f>-653.207412250084 -205.344537387337 -530.630742995173</f>
        <v>-1389.1826926325939</v>
      </c>
      <c r="P32">
        <f>-679.700375464011 -266.282757059083 -243.967431151764</f>
        <v>-1189.9505636748581</v>
      </c>
      <c r="Q32">
        <f>-507.370051354595 -122.560137850833 -331.699717083581</f>
        <v>-961.62990628900889</v>
      </c>
      <c r="R32" t="s">
        <v>334</v>
      </c>
      <c r="S32" t="s">
        <v>335</v>
      </c>
      <c r="T32" t="s">
        <v>336</v>
      </c>
      <c r="U32" t="s">
        <v>337</v>
      </c>
      <c r="V32">
        <f>-605.383886137803 -132.085854456783 -97.619168718882</f>
        <v>-835.08890931346798</v>
      </c>
      <c r="W32" t="s">
        <v>338</v>
      </c>
      <c r="X32" t="s">
        <v>339</v>
      </c>
      <c r="Y32" t="s">
        <v>340</v>
      </c>
    </row>
    <row r="33" spans="1:25" x14ac:dyDescent="0.3">
      <c r="A33">
        <v>1600</v>
      </c>
      <c r="B33" t="s">
        <v>341</v>
      </c>
      <c r="C33">
        <f>-625.089957548672 -37.3609135152672 -98.7519885191933</f>
        <v>-761.20285958313252</v>
      </c>
      <c r="D33">
        <f>-654.159345987138 -45.9059739213805 -210.547155150227</f>
        <v>-910.61247505874542</v>
      </c>
      <c r="E33">
        <f>-667.99471879637 -48.3937586592356 -308.164178968937</f>
        <v>-1024.5526564245424</v>
      </c>
      <c r="F33">
        <f>-676.617641725387 -48.8065746885133 -396.841609311868</f>
        <v>-1122.2658257257683</v>
      </c>
      <c r="G33">
        <f>-681.001596587082 -47.3048166579028 -485.81787485402</f>
        <v>-1214.1242880990048</v>
      </c>
      <c r="H33">
        <f>-682.677771883931 -43.1924482775139 -610.321245217599</f>
        <v>-1336.1914653790438</v>
      </c>
      <c r="I33">
        <f>-649.092212873775 -35.7346145987669 -685.961304205553</f>
        <v>-1370.7881316780949</v>
      </c>
      <c r="J33">
        <f>-687.57814615707 -17.8900643662728 -554.562168650042</f>
        <v>-1260.030379173385</v>
      </c>
      <c r="K33" t="s">
        <v>342</v>
      </c>
      <c r="L33" t="s">
        <v>343</v>
      </c>
      <c r="M33" t="s">
        <v>344</v>
      </c>
      <c r="N33">
        <f>-676.302160368136 -72.1140822631751 -556.504808464062</f>
        <v>-1304.9210510953731</v>
      </c>
      <c r="O33">
        <f>-654.177936545255 -205.284196463306 -530.511799264539</f>
        <v>-1389.9739322731</v>
      </c>
      <c r="P33">
        <f>-680.856674525614 -265.961893523212 -243.810479762848</f>
        <v>-1190.6290478116739</v>
      </c>
      <c r="Q33">
        <f>-508.269629209893 -122.577280046152 -331.591013175066</f>
        <v>-962.43792243111102</v>
      </c>
      <c r="R33" t="s">
        <v>345</v>
      </c>
      <c r="S33" t="s">
        <v>346</v>
      </c>
      <c r="T33" t="s">
        <v>347</v>
      </c>
      <c r="U33" t="s">
        <v>348</v>
      </c>
      <c r="V33">
        <f>-606.018237752899 -131.903158550549 -97.5968811174461</f>
        <v>-835.51827742089415</v>
      </c>
      <c r="W33" t="s">
        <v>349</v>
      </c>
      <c r="X33" t="s">
        <v>350</v>
      </c>
      <c r="Y33" t="s">
        <v>351</v>
      </c>
    </row>
    <row r="34" spans="1:25" x14ac:dyDescent="0.3">
      <c r="A34">
        <v>1650</v>
      </c>
      <c r="B34" t="s">
        <v>352</v>
      </c>
      <c r="C34">
        <f>-625.268343495712 -37.2711004107914 -98.7219843117344</f>
        <v>-761.26142821823782</v>
      </c>
      <c r="D34">
        <f>-654.35599850645 -45.8077805955875 -210.513112898951</f>
        <v>-910.67689200098846</v>
      </c>
      <c r="E34">
        <f>-668.199614891421 -48.3045311085604 -308.128530161896</f>
        <v>-1024.6326761618773</v>
      </c>
      <c r="F34">
        <f>-676.826903489633 -48.7320337072606 -396.805571607106</f>
        <v>-1122.3645088039996</v>
      </c>
      <c r="G34">
        <f>-681.211961689543 -47.2518793414747 -485.782126470859</f>
        <v>-1214.2459675018767</v>
      </c>
      <c r="H34">
        <f>-682.885989227167 -43.1773229977284 -610.286848068063</f>
        <v>-1336.3501602929584</v>
      </c>
      <c r="I34">
        <f>-649.284828657621 -35.7901280664526 -685.926949577044</f>
        <v>-1371.0019063011175</v>
      </c>
      <c r="J34">
        <f>-687.769491532015 -17.8541989554271 -554.535587325027</f>
        <v>-1260.1592778124691</v>
      </c>
      <c r="K34" t="s">
        <v>353</v>
      </c>
      <c r="L34" t="s">
        <v>354</v>
      </c>
      <c r="M34" t="s">
        <v>355</v>
      </c>
      <c r="N34">
        <f>-676.529123069562 -72.0863515651172 -556.461389169029</f>
        <v>-1305.0768638037082</v>
      </c>
      <c r="O34">
        <f>-654.492825853208 -205.259905203733 -530.437121965023</f>
        <v>-1390.1898530219642</v>
      </c>
      <c r="P34">
        <f>-681.260105710298 -265.855238601744 -243.726655312903</f>
        <v>-1190.8419996249449</v>
      </c>
      <c r="Q34">
        <f>-508.575040544324 -122.597312297516 -331.52108317687</f>
        <v>-962.69343601870992</v>
      </c>
      <c r="R34" t="s">
        <v>356</v>
      </c>
      <c r="S34" t="s">
        <v>357</v>
      </c>
      <c r="T34" t="s">
        <v>358</v>
      </c>
      <c r="U34" t="s">
        <v>359</v>
      </c>
      <c r="V34">
        <f>-606.215138485538 -131.862519666383 -97.5764534445846</f>
        <v>-835.65411159650557</v>
      </c>
      <c r="W34" t="s">
        <v>360</v>
      </c>
      <c r="X34" t="s">
        <v>361</v>
      </c>
      <c r="Y34" t="s">
        <v>362</v>
      </c>
    </row>
    <row r="35" spans="1:25" x14ac:dyDescent="0.3">
      <c r="A35">
        <v>1700</v>
      </c>
      <c r="B35" t="s">
        <v>363</v>
      </c>
      <c r="C35">
        <f>-625.48333904858 -36.7802486038152 -98.6962758637428</f>
        <v>-760.95986351613794</v>
      </c>
      <c r="D35">
        <f>-654.599180721001 -45.3046398290805 -210.480977025267</f>
        <v>-910.38479757534856</v>
      </c>
      <c r="E35">
        <f>-668.484068396074 -47.8405091263522 -308.089598669422</f>
        <v>-1024.4141761918481</v>
      </c>
      <c r="F35">
        <f>-677.155529335189 -48.3233776429238 -396.7621566642</f>
        <v>-1122.2410636423128</v>
      </c>
      <c r="G35">
        <f>-681.591377153676 -46.9190633059786 -485.737406832281</f>
        <v>-1214.2478472919356</v>
      </c>
      <c r="H35">
        <f>-683.343193726029 -42.9723441488752 -610.24508654331</f>
        <v>-1336.560624418214</v>
      </c>
      <c r="I35">
        <f>-649.739318913225 -35.6927824699414 -685.894384720695</f>
        <v>-1371.3264861038615</v>
      </c>
      <c r="J35">
        <f>-688.152129749399 -17.5838998033216 -554.517086204596</f>
        <v>-1260.2531157573167</v>
      </c>
      <c r="K35" t="s">
        <v>364</v>
      </c>
      <c r="L35" t="s">
        <v>365</v>
      </c>
      <c r="M35" t="s">
        <v>366</v>
      </c>
      <c r="N35">
        <f>-676.992459338375 -71.834262919795 -556.393805765328</f>
        <v>-1305.220528023498</v>
      </c>
      <c r="O35">
        <f>-655.120862991809 -205.020753809617 -530.272442714295</f>
        <v>-1390.414059515721</v>
      </c>
      <c r="P35">
        <f>-681.962348227745 -265.360532199049 -243.514916623076</f>
        <v>-1190.83779704987</v>
      </c>
      <c r="Q35">
        <f>-509.143168738925 -122.316451197502 -331.394581511781</f>
        <v>-962.85420144820796</v>
      </c>
      <c r="R35" t="s">
        <v>367</v>
      </c>
      <c r="S35" t="s">
        <v>368</v>
      </c>
      <c r="T35" t="s">
        <v>369</v>
      </c>
      <c r="U35" t="s">
        <v>370</v>
      </c>
      <c r="V35">
        <f>-606.511965054091 -131.307819721969 -97.5419912412663</f>
        <v>-835.36177601732629</v>
      </c>
      <c r="W35" t="s">
        <v>371</v>
      </c>
      <c r="X35" t="s">
        <v>372</v>
      </c>
      <c r="Y35" t="s">
        <v>373</v>
      </c>
    </row>
    <row r="36" spans="1:25" x14ac:dyDescent="0.3">
      <c r="A36">
        <v>1750</v>
      </c>
      <c r="B36" t="s">
        <v>374</v>
      </c>
      <c r="C36">
        <f>-625.519226772293 -36.4977698826619 -98.6745492071256</f>
        <v>-760.69154586208049</v>
      </c>
      <c r="D36">
        <f>-654.647040619686 -45.0104023357299 -210.457042009052</f>
        <v>-910.11448496446781</v>
      </c>
      <c r="E36">
        <f>-668.565363852973 -47.5629814351259 -308.060421973983</f>
        <v>-1024.1887672620819</v>
      </c>
      <c r="F36">
        <f>-677.276530647229 -48.0717564697553 -396.729005213908</f>
        <v>-1122.0772923308923</v>
      </c>
      <c r="G36">
        <f>-681.761291801112 -46.7047064832358 -485.702247429528</f>
        <v>-1214.1682457138756</v>
      </c>
      <c r="H36">
        <f>-683.591294002625 -42.8220152212928 -610.210885868416</f>
        <v>-1336.6241950923336</v>
      </c>
      <c r="I36">
        <f>-650.001947724803 -35.5883780849445 -685.871139922695</f>
        <v>-1371.4614657324423</v>
      </c>
      <c r="J36">
        <f>-688.344169305512 -17.4005537140777 -554.493103502759</f>
        <v>-1260.2378265223488</v>
      </c>
      <c r="K36" t="s">
        <v>375</v>
      </c>
      <c r="L36" t="s">
        <v>376</v>
      </c>
      <c r="M36" t="s">
        <v>377</v>
      </c>
      <c r="N36">
        <f>-677.227934942536 -71.6606868127552 -556.348517808015</f>
        <v>-1305.2371395633063</v>
      </c>
      <c r="O36">
        <f>-655.437347667693 -204.849572936125 -530.178325510458</f>
        <v>-1390.4652461142759</v>
      </c>
      <c r="P36">
        <f>-682.246741329772 -265.114496866196 -243.402244256987</f>
        <v>-1190.763482452955</v>
      </c>
      <c r="Q36">
        <f>-509.362558264154 -122.177130854416 -331.327515499173</f>
        <v>-962.86720461774303</v>
      </c>
      <c r="R36" t="s">
        <v>378</v>
      </c>
      <c r="S36" t="s">
        <v>379</v>
      </c>
      <c r="T36" t="s">
        <v>380</v>
      </c>
      <c r="U36" t="s">
        <v>381</v>
      </c>
      <c r="V36">
        <f>-606.605195582409 -130.996919061598 -97.5253081474087</f>
        <v>-835.12742279141571</v>
      </c>
      <c r="W36" t="s">
        <v>382</v>
      </c>
      <c r="X36" t="s">
        <v>383</v>
      </c>
      <c r="Y36" t="s">
        <v>384</v>
      </c>
    </row>
    <row r="37" spans="1:25" x14ac:dyDescent="0.3">
      <c r="A37">
        <v>1800</v>
      </c>
      <c r="B37" t="s">
        <v>385</v>
      </c>
      <c r="C37">
        <f>-625.498416277111 -36.3499374959479 -98.6471181909365</f>
        <v>-760.49547196399533</v>
      </c>
      <c r="D37">
        <f>-654.64333295537 -44.8536067452312 -210.425811116683</f>
        <v>-909.92275081728428</v>
      </c>
      <c r="E37">
        <f>-668.602822944546 -47.4233367365575 -308.022935400246</f>
        <v>-1024.0490950813496</v>
      </c>
      <c r="F37">
        <f>-677.361828679815 -47.9571089319118 -396.686548807597</f>
        <v>-1122.0054864193237</v>
      </c>
      <c r="G37">
        <f>-681.90528573433 -46.6251795706236 -485.657493576735</f>
        <v>-1214.1879588816887</v>
      </c>
      <c r="H37">
        <f>-683.828266334858 -42.8019495682574 -610.166440966762</f>
        <v>-1336.7966568698776</v>
      </c>
      <c r="I37">
        <f>-650.268486548449 -35.6158298856496 -685.844173055192</f>
        <v>-1371.7284894892905</v>
      </c>
      <c r="J37">
        <f>-688.519823827061 -17.349852719537 -554.457413769374</f>
        <v>-1260.3270903159721</v>
      </c>
      <c r="K37" t="s">
        <v>386</v>
      </c>
      <c r="L37" t="s">
        <v>387</v>
      </c>
      <c r="M37" t="s">
        <v>388</v>
      </c>
      <c r="N37">
        <f>-677.444314683065 -71.618792819669 -556.29493994202</f>
        <v>-1305.358047444754</v>
      </c>
      <c r="O37">
        <f>-655.725085802365 -204.816256659722 -530.093698775371</f>
        <v>-1390.6350412374579</v>
      </c>
      <c r="P37">
        <f>-682.495062334605 -264.939279458241 -243.283971908889</f>
        <v>-1190.718313701735</v>
      </c>
      <c r="Q37">
        <f>-509.536098227361 -122.12142758749 -331.256344871797</f>
        <v>-962.9138706866479</v>
      </c>
      <c r="R37" t="s">
        <v>389</v>
      </c>
      <c r="S37" t="s">
        <v>390</v>
      </c>
      <c r="T37" t="s">
        <v>391</v>
      </c>
      <c r="U37" t="s">
        <v>392</v>
      </c>
      <c r="V37">
        <f>-606.64207895954 -130.904493685078 -97.5099644734729</f>
        <v>-835.05653711809089</v>
      </c>
      <c r="W37" t="s">
        <v>393</v>
      </c>
      <c r="X37" t="s">
        <v>394</v>
      </c>
      <c r="Y37" t="s">
        <v>395</v>
      </c>
    </row>
    <row r="38" spans="1:25" x14ac:dyDescent="0.3">
      <c r="A38">
        <v>1850</v>
      </c>
      <c r="B38" t="s">
        <v>396</v>
      </c>
      <c r="C38">
        <f>-625.385338018488 -36.0367859202097 -98.6307957519571</f>
        <v>-760.05291969065479</v>
      </c>
      <c r="D38">
        <f>-654.559465647839 -44.5313120111731 -210.402643211952</f>
        <v>-909.4934208709642</v>
      </c>
      <c r="E38">
        <f>-668.61279458766 -47.1205549818021 -307.985626776509</f>
        <v>-1023.7189763459711</v>
      </c>
      <c r="F38">
        <f>-677.484611235523 -47.6833262707147 -396.637870395247</f>
        <v>-1121.8058079014845</v>
      </c>
      <c r="G38">
        <f>-682.168752984436 -46.3918415431361 -485.602178862616</f>
        <v>-1214.162773390188</v>
      </c>
      <c r="H38">
        <f>-684.317390822019 -42.6378885297456 -610.109613981567</f>
        <v>-1337.0648933333316</v>
      </c>
      <c r="I38">
        <f>-650.850196204521 -35.5498628647733 -685.837675193961</f>
        <v>-1372.2377342632553</v>
      </c>
      <c r="J38">
        <f>-688.876554070561 -17.1484777430421 -554.406734788692</f>
        <v>-1260.4317666022953</v>
      </c>
      <c r="K38" t="s">
        <v>397</v>
      </c>
      <c r="L38" t="s">
        <v>398</v>
      </c>
      <c r="M38" t="s">
        <v>399</v>
      </c>
      <c r="N38">
        <f>-677.867213039538 -71.4312978502519 -556.233301722995</f>
        <v>-1305.531812612785</v>
      </c>
      <c r="O38">
        <f>-656.260771221205 -204.64147624566 -530.023899309294</f>
        <v>-1390.9261467761589</v>
      </c>
      <c r="P38">
        <f>-682.927896324586 -264.65378771943 -243.181493244832</f>
        <v>-1190.7631772888478</v>
      </c>
      <c r="Q38">
        <f>-509.858273613576 -121.969761553495 -331.15324410132</f>
        <v>-962.98127926839106</v>
      </c>
      <c r="R38" t="s">
        <v>400</v>
      </c>
      <c r="S38" t="s">
        <v>401</v>
      </c>
      <c r="T38" t="s">
        <v>402</v>
      </c>
      <c r="U38" t="s">
        <v>403</v>
      </c>
      <c r="V38">
        <f>-606.615837973091 -130.58409687666 -97.4811322854594</f>
        <v>-834.68106713521024</v>
      </c>
      <c r="W38" t="s">
        <v>404</v>
      </c>
      <c r="X38" t="s">
        <v>405</v>
      </c>
      <c r="Y38" t="s">
        <v>406</v>
      </c>
    </row>
    <row r="39" spans="1:25" x14ac:dyDescent="0.3">
      <c r="A39">
        <v>1900</v>
      </c>
      <c r="B39" t="s">
        <v>407</v>
      </c>
      <c r="C39">
        <f>-625.163724547037 -35.7948678645098 -98.6080963350119</f>
        <v>-759.56668874655861</v>
      </c>
      <c r="D39">
        <f>-654.366987048297 -44.2724468709563 -210.373535861031</f>
        <v>-909.01296978028427</v>
      </c>
      <c r="E39">
        <f>-668.503310032994 -46.8498388225527 -307.944989492808</f>
        <v>-1023.2981383483548</v>
      </c>
      <c r="F39">
        <f>-677.473855691249 -47.4029483195499 -396.587299177053</f>
        <v>-1121.4641031878518</v>
      </c>
      <c r="G39">
        <f>-682.280376783338 -46.1030281312233 -485.544849349457</f>
        <v>-1213.9282542640183</v>
      </c>
      <c r="H39">
        <f>-684.624748089256 -42.3383668519866 -610.048394453614</f>
        <v>-1337.0115093948566</v>
      </c>
      <c r="I39">
        <f>-651.271016279106 -35.3127696336599 -685.832424100978</f>
        <v>-1372.4162100137437</v>
      </c>
      <c r="J39">
        <f>-689.080643181647 -16.8504113281842 -554.336503520612</f>
        <v>-1260.2675580304433</v>
      </c>
      <c r="K39" t="s">
        <v>408</v>
      </c>
      <c r="L39" t="s">
        <v>409</v>
      </c>
      <c r="M39" t="s">
        <v>410</v>
      </c>
      <c r="N39">
        <f>-678.10551957064 -71.1394251116665 -556.184693669994</f>
        <v>-1305.4296383523006</v>
      </c>
      <c r="O39">
        <f>-656.558537830936 -204.376106166073 -530.039033135784</f>
        <v>-1390.973677132793</v>
      </c>
      <c r="P39">
        <f>-683.017978955444 -264.46101166373 -243.192703934902</f>
        <v>-1190.6716945540761</v>
      </c>
      <c r="Q39">
        <f>-509.950554446825 -121.748283930607 -331.12219306256</f>
        <v>-962.821031439992</v>
      </c>
      <c r="R39" t="s">
        <v>411</v>
      </c>
      <c r="S39" t="s">
        <v>412</v>
      </c>
      <c r="T39" t="s">
        <v>413</v>
      </c>
      <c r="U39" t="s">
        <v>414</v>
      </c>
      <c r="V39">
        <f>-606.450023324816 -130.329334902964 -97.4577130263602</f>
        <v>-834.23707125414023</v>
      </c>
      <c r="W39" t="s">
        <v>415</v>
      </c>
      <c r="X39" t="s">
        <v>416</v>
      </c>
      <c r="Y39" t="s">
        <v>417</v>
      </c>
    </row>
    <row r="40" spans="1:25" x14ac:dyDescent="0.3">
      <c r="A40">
        <v>1950</v>
      </c>
      <c r="B40" t="s">
        <v>418</v>
      </c>
      <c r="C40">
        <f>-624.998812398097 -35.6862332499741 -98.5901807453387</f>
        <v>-759.27522639340975</v>
      </c>
      <c r="D40">
        <f>-654.218485387499 -44.1529203878684 -210.352319304369</f>
        <v>-908.72372507973637</v>
      </c>
      <c r="E40">
        <f>-668.39271402107 -46.7195792755889 -307.918434096005</f>
        <v>-1023.0307273926639</v>
      </c>
      <c r="F40">
        <f>-677.407311228141 -47.2621105266592 -396.556408219267</f>
        <v>-1121.2258299740672</v>
      </c>
      <c r="G40">
        <f>-682.26756418398 -45.9510938045046 -485.510763402942</f>
        <v>-1213.7294213914265</v>
      </c>
      <c r="H40">
        <f>-684.697375587463 -42.1703785154984 -610.012325837852</f>
        <v>-1336.8800799408134</v>
      </c>
      <c r="I40">
        <f>-651.400535286543 -35.1538895175252 -685.822002507302</f>
        <v>-1372.3764273113702</v>
      </c>
      <c r="J40">
        <f>-689.110043241089 -16.6885629055153 -554.29397589572</f>
        <v>-1260.0925820423242</v>
      </c>
      <c r="K40" t="s">
        <v>419</v>
      </c>
      <c r="L40" t="s">
        <v>420</v>
      </c>
      <c r="M40" t="s">
        <v>421</v>
      </c>
      <c r="N40">
        <f>-678.146327136848 -70.9794362925603 -556.156628142895</f>
        <v>-1305.2823915723034</v>
      </c>
      <c r="O40">
        <f>-656.592406991312 -204.219065570377 -530.045470986812</f>
        <v>-1390.856943548501</v>
      </c>
      <c r="P40">
        <f>-682.950765079876 -264.350868343101 -243.199451932144</f>
        <v>-1190.5010853551209</v>
      </c>
      <c r="Q40">
        <f>-509.917043685032 -121.581738632346 -331.103726605138</f>
        <v>-962.60250892251611</v>
      </c>
      <c r="R40" t="s">
        <v>422</v>
      </c>
      <c r="S40" t="s">
        <v>423</v>
      </c>
      <c r="T40" t="s">
        <v>424</v>
      </c>
      <c r="U40" t="s">
        <v>425</v>
      </c>
      <c r="V40">
        <f>-606.289816755091 -130.202727225561 -97.4376281510356</f>
        <v>-833.93017213168764</v>
      </c>
      <c r="W40" t="s">
        <v>426</v>
      </c>
      <c r="X40" t="s">
        <v>427</v>
      </c>
      <c r="Y40" t="s">
        <v>428</v>
      </c>
    </row>
    <row r="41" spans="1:25" x14ac:dyDescent="0.3">
      <c r="A41">
        <v>2000</v>
      </c>
      <c r="B41" t="s">
        <v>429</v>
      </c>
      <c r="C41">
        <f>-624.666464115072 -35.4651648370905 -98.5665653509094</f>
        <v>-758.69819430307189</v>
      </c>
      <c r="D41">
        <f>-653.889852413032 -43.9406543279872 -210.326954119655</f>
        <v>-908.15746086067429</v>
      </c>
      <c r="E41">
        <f>-668.123407539097 -46.5009893841841 -307.884674673807</f>
        <v>-1022.5090715970881</v>
      </c>
      <c r="F41">
        <f>-677.214251280049 -47.0329884987968 -396.514865695829</f>
        <v>-1120.7621054746749</v>
      </c>
      <c r="G41">
        <f>-682.173395183659 -45.7065552924945 -485.463698111819</f>
        <v>-1213.3436485879724</v>
      </c>
      <c r="H41">
        <f>-684.764910838433 -41.899638404057 -609.961105106236</f>
        <v>-1336.6256543487261</v>
      </c>
      <c r="I41">
        <f>-651.570752610525 -34.8660789299418 -685.814161559017</f>
        <v>-1372.2509930994838</v>
      </c>
      <c r="J41">
        <f>-689.100756849236 -16.4287522891109 -554.231854943357</f>
        <v>-1259.761364081704</v>
      </c>
      <c r="K41" t="s">
        <v>430</v>
      </c>
      <c r="L41" t="s">
        <v>431</v>
      </c>
      <c r="M41" t="s">
        <v>432</v>
      </c>
      <c r="N41">
        <f>-678.148329107814 -70.7209696848663 -556.119982342625</f>
        <v>-1304.9892811353052</v>
      </c>
      <c r="O41">
        <f>-656.56063356417 -203.97593621934 -530.108353342838</f>
        <v>-1390.644923126348</v>
      </c>
      <c r="P41">
        <f>-682.793947287626 -264.302734865902 -243.291755571459</f>
        <v>-1190.3884377249869</v>
      </c>
      <c r="Q41">
        <f>-509.822279850598 -121.387909280614 -331.081590944486</f>
        <v>-962.29178007569794</v>
      </c>
      <c r="R41" t="s">
        <v>433</v>
      </c>
      <c r="S41" t="s">
        <v>434</v>
      </c>
      <c r="T41" t="s">
        <v>435</v>
      </c>
      <c r="U41" t="s">
        <v>436</v>
      </c>
      <c r="V41">
        <f>-605.956802039758 -129.871560225962 -97.4233215754841</f>
        <v>-833.25168384120411</v>
      </c>
      <c r="W41" t="s">
        <v>437</v>
      </c>
      <c r="X41" t="s">
        <v>438</v>
      </c>
      <c r="Y41" t="s">
        <v>439</v>
      </c>
    </row>
    <row r="42" spans="1:25" x14ac:dyDescent="0.3">
      <c r="A42">
        <v>2050</v>
      </c>
      <c r="B42" t="s">
        <v>440</v>
      </c>
      <c r="C42">
        <f>-624.572254750347 -35.4345769895863 -98.5673661758549</f>
        <v>-758.5741979157882</v>
      </c>
      <c r="D42">
        <f>-653.801615497159 -43.9269810739631 -210.32487297843</f>
        <v>-908.05346954955212</v>
      </c>
      <c r="E42">
        <f>-668.067049903606 -46.4890465666048 -307.877894094101</f>
        <v>-1022.4339905643117</v>
      </c>
      <c r="F42">
        <f>-677.197576855139 -47.0176410361817 -396.504093615755</f>
        <v>-1120.7193115070756</v>
      </c>
      <c r="G42">
        <f>-682.207107274923 -45.6834781691194 -485.45001010727</f>
        <v>-1213.3405955513124</v>
      </c>
      <c r="H42">
        <f>-684.880208327883 -41.8608143385998 -609.945072904358</f>
        <v>-1336.6860955708407</v>
      </c>
      <c r="I42">
        <f>-651.730421196635 -34.8013326677064 -685.815294550566</f>
        <v>-1372.3470484149075</v>
      </c>
      <c r="J42">
        <f>-689.179825500291 -16.3970484650613 -554.209828338894</f>
        <v>-1259.7867023042463</v>
      </c>
      <c r="K42" t="s">
        <v>441</v>
      </c>
      <c r="L42" t="s">
        <v>442</v>
      </c>
      <c r="M42" t="s">
        <v>443</v>
      </c>
      <c r="N42">
        <f>-678.227996165039 -70.6888738062512 -556.111995232562</f>
        <v>-1305.0288652038521</v>
      </c>
      <c r="O42">
        <f>-656.614891597687 -203.948742459591 -530.145486176221</f>
        <v>-1390.7091202334991</v>
      </c>
      <c r="P42">
        <f>-682.753979880242 -264.381084436019 -243.342555532597</f>
        <v>-1190.477619848858</v>
      </c>
      <c r="Q42">
        <f>-509.831289433784 -121.366412379509 -331.066283906926</f>
        <v>-962.2639857202189</v>
      </c>
      <c r="R42" t="s">
        <v>444</v>
      </c>
      <c r="S42" t="s">
        <v>445</v>
      </c>
      <c r="T42" t="s">
        <v>446</v>
      </c>
      <c r="U42" t="s">
        <v>447</v>
      </c>
      <c r="V42">
        <f>-605.834023051584 -129.830797871286 -97.4232919963835</f>
        <v>-833.08811291925349</v>
      </c>
      <c r="W42" t="s">
        <v>448</v>
      </c>
      <c r="X42" t="s">
        <v>449</v>
      </c>
      <c r="Y42" t="s">
        <v>450</v>
      </c>
    </row>
    <row r="43" spans="1:25" x14ac:dyDescent="0.3">
      <c r="A43">
        <v>2100</v>
      </c>
      <c r="B43" t="s">
        <v>451</v>
      </c>
      <c r="C43">
        <f>-624.451962735593 -35.3817745691872 -98.5931405731133</f>
        <v>-758.4268778778935</v>
      </c>
      <c r="D43">
        <f>-653.672854469433 -43.9252225163427 -210.348964123698</f>
        <v>-907.94704110947373</v>
      </c>
      <c r="E43">
        <f>-667.988183098254 -46.5000912219137 -307.894431104692</f>
        <v>-1022.3827054248598</v>
      </c>
      <c r="F43">
        <f>-677.186456886879 -47.0290755283519 -396.513488801907</f>
        <v>-1120.7290212171379</v>
      </c>
      <c r="G43">
        <f>-682.286478646004 -45.6840509661153 -485.453942655271</f>
        <v>-1213.4244722673902</v>
      </c>
      <c r="H43">
        <f>-685.10968981817 -41.8352866037339 -609.945130491146</f>
        <v>-1336.8901069130497</v>
      </c>
      <c r="I43">
        <f>-652.009851033927 -34.7231475417443 -685.832242025972</f>
        <v>-1372.5652406016434</v>
      </c>
      <c r="J43">
        <f>-689.346271454097 -16.3840335308064 -554.199320600328</f>
        <v>-1259.9296255852314</v>
      </c>
      <c r="K43" t="s">
        <v>452</v>
      </c>
      <c r="L43" t="s">
        <v>453</v>
      </c>
      <c r="M43" t="s">
        <v>454</v>
      </c>
      <c r="N43">
        <f>-678.388349404008 -70.6737215223308 -556.126188797771</f>
        <v>-1305.1882597241097</v>
      </c>
      <c r="O43">
        <f>-656.688443989641 -203.939574943282 -530.260800328648</f>
        <v>-1390.8888192615709</v>
      </c>
      <c r="P43">
        <f>-682.696823996689 -264.547246926175 -243.482959539096</f>
        <v>-1190.7270304619601</v>
      </c>
      <c r="Q43">
        <f>-509.890164626898 -121.311407605361 -331.074122130764</f>
        <v>-962.27569436302292</v>
      </c>
      <c r="R43" t="s">
        <v>455</v>
      </c>
      <c r="S43" t="s">
        <v>456</v>
      </c>
      <c r="T43" t="s">
        <v>457</v>
      </c>
      <c r="U43" t="s">
        <v>458</v>
      </c>
      <c r="V43">
        <f>-605.640978584327 -129.659177320967 -97.4223144221273</f>
        <v>-832.72247032742121</v>
      </c>
      <c r="W43" t="s">
        <v>459</v>
      </c>
      <c r="X43" t="s">
        <v>460</v>
      </c>
      <c r="Y43" t="s">
        <v>461</v>
      </c>
    </row>
    <row r="44" spans="1:25" x14ac:dyDescent="0.3">
      <c r="A44">
        <v>2150</v>
      </c>
      <c r="B44" t="s">
        <v>462</v>
      </c>
      <c r="C44">
        <f>-624.384709171868 -35.4944988343505 -98.596648528364</f>
        <v>-758.47585653458248</v>
      </c>
      <c r="D44">
        <f>-653.604203357207 -44.0522422592954 -210.351683203959</f>
        <v>-908.00812882046148</v>
      </c>
      <c r="E44">
        <f>-667.942430894109 -46.629892403477 -307.893594153775</f>
        <v>-1022.465917451361</v>
      </c>
      <c r="F44">
        <f>-677.171182058447 -47.1577449567835 -396.509659625965</f>
        <v>-1120.8385866411954</v>
      </c>
      <c r="G44">
        <f>-682.31153154036 -45.8080034153036 -485.447842031307</f>
        <v>-1213.5673769869704</v>
      </c>
      <c r="H44">
        <f>-685.201355229874 -41.9486664151063 -609.937082543247</f>
        <v>-1337.0871041882274</v>
      </c>
      <c r="I44">
        <f>-652.11425371755 -34.8081483926567 -685.827007603608</f>
        <v>-1372.7494097138147</v>
      </c>
      <c r="J44">
        <f>-689.41241545165 -16.5030249378765 -554.186651471489</f>
        <v>-1260.1020918610154</v>
      </c>
      <c r="K44" t="s">
        <v>463</v>
      </c>
      <c r="L44" t="s">
        <v>464</v>
      </c>
      <c r="M44" t="s">
        <v>465</v>
      </c>
      <c r="N44">
        <f>-678.446950444446 -70.7908652575393 -556.124335923972</f>
        <v>-1305.3621516259573</v>
      </c>
      <c r="O44">
        <f>-656.714316745713 -204.060482186397 -530.306794570594</f>
        <v>-1391.081593502704</v>
      </c>
      <c r="P44">
        <f>-682.659763916497 -264.752313166505 -243.54107205709</f>
        <v>-1190.9531491400921</v>
      </c>
      <c r="Q44">
        <f>-509.924901845486 -121.402571604456 -331.087543811728</f>
        <v>-962.41501726166996</v>
      </c>
      <c r="R44" t="s">
        <v>466</v>
      </c>
      <c r="S44" t="s">
        <v>467</v>
      </c>
      <c r="T44" t="s">
        <v>468</v>
      </c>
      <c r="U44" t="s">
        <v>469</v>
      </c>
      <c r="V44">
        <f>-605.55952187555 -129.82614352483 -97.420779255059</f>
        <v>-832.80644465543901</v>
      </c>
      <c r="W44" t="s">
        <v>470</v>
      </c>
      <c r="X44" t="s">
        <v>471</v>
      </c>
      <c r="Y44" t="s">
        <v>472</v>
      </c>
    </row>
    <row r="45" spans="1:25" x14ac:dyDescent="0.3">
      <c r="A45">
        <v>2200</v>
      </c>
      <c r="B45" t="s">
        <v>473</v>
      </c>
      <c r="C45">
        <f>-624.271703580571 -35.8077776618115 -98.5911777695025</f>
        <v>-758.67065901188505</v>
      </c>
      <c r="D45">
        <f>-653.457215802407 -44.3643034209969 -210.35518808866</f>
        <v>-908.17670731206385</v>
      </c>
      <c r="E45">
        <f>-667.818888137259 -46.9410657595018 -307.893735688064</f>
        <v>-1022.6536895848249</v>
      </c>
      <c r="F45">
        <f>-677.090646266067 -47.4677586936161 -396.505272170172</f>
        <v>-1121.063677129855</v>
      </c>
      <c r="G45">
        <f>-682.295767621183 -46.1165917144299 -485.43963772868</f>
        <v>-1213.8519970642928</v>
      </c>
      <c r="H45">
        <f>-685.29924454013 -42.254820953033 -609.926065958901</f>
        <v>-1337.4801314520639</v>
      </c>
      <c r="I45">
        <f>-652.224373939631 -35.0747870416965 -685.81750576021</f>
        <v>-1373.1166667415375</v>
      </c>
      <c r="J45">
        <f>-689.466961824815 -16.8118340701683 -554.171342077853</f>
        <v>-1260.4501379728363</v>
      </c>
      <c r="K45" t="s">
        <v>474</v>
      </c>
      <c r="L45" t="s">
        <v>475</v>
      </c>
      <c r="M45" t="s">
        <v>476</v>
      </c>
      <c r="N45">
        <f>-678.488201425768 -71.0966604199663 -556.120194442777</f>
        <v>-1305.7050562885113</v>
      </c>
      <c r="O45">
        <f>-656.693982795743 -204.360716791477 -530.344405279412</f>
        <v>-1391.3991048666319</v>
      </c>
      <c r="P45">
        <f>-682.484684028047 -265.237924985717 -243.60424509985</f>
        <v>-1191.326854113614</v>
      </c>
      <c r="Q45">
        <f>-509.930397172778 -121.644861850853 -331.108072444351</f>
        <v>-962.68333146798204</v>
      </c>
      <c r="R45" t="s">
        <v>477</v>
      </c>
      <c r="S45" t="s">
        <v>478</v>
      </c>
      <c r="T45" t="s">
        <v>479</v>
      </c>
      <c r="U45" t="s">
        <v>480</v>
      </c>
      <c r="V45">
        <f>-605.454623499856 -130.143218744797 -97.4144438070271</f>
        <v>-833.01228605168001</v>
      </c>
      <c r="W45" t="s">
        <v>481</v>
      </c>
      <c r="X45" t="s">
        <v>482</v>
      </c>
      <c r="Y45" t="s">
        <v>483</v>
      </c>
    </row>
    <row r="46" spans="1:25" x14ac:dyDescent="0.3">
      <c r="A46">
        <v>2250</v>
      </c>
      <c r="B46" t="s">
        <v>484</v>
      </c>
      <c r="C46">
        <f>-624.226400643316 -35.8949896549045 -98.5920368125493</f>
        <v>-758.71342711076977</v>
      </c>
      <c r="D46">
        <f>-653.377332370095 -44.4432455267245 -210.365826755536</f>
        <v>-908.18640465235546</v>
      </c>
      <c r="E46">
        <f>-667.736711199525 -47.0176176252528 -307.904757209057</f>
        <v>-1022.6590860338347</v>
      </c>
      <c r="F46">
        <f>-677.01765512295 -47.5442350515825 -396.515241473083</f>
        <v>-1121.0771316476155</v>
      </c>
      <c r="G46">
        <f>-682.243481625472 -46.194974014736 -485.448470470668</f>
        <v>-1213.8869261108759</v>
      </c>
      <c r="H46">
        <f>-685.287882466148 -42.3376716275329 -609.934092721672</f>
        <v>-1337.5596468153528</v>
      </c>
      <c r="I46">
        <f>-652.206651930571 -35.1453240399126 -685.821656837175</f>
        <v>-1373.1736328076586</v>
      </c>
      <c r="J46">
        <f>-689.441875208052 -16.8935823379129 -554.178775691929</f>
        <v>-1260.5142332378939</v>
      </c>
      <c r="K46" t="s">
        <v>485</v>
      </c>
      <c r="L46" t="s">
        <v>486</v>
      </c>
      <c r="M46" t="s">
        <v>487</v>
      </c>
      <c r="N46">
        <f>-678.45446820992 -71.1766001840483 -556.129440513938</f>
        <v>-1305.7605089079063</v>
      </c>
      <c r="O46">
        <f>-656.632666032751 -204.439370503744 -530.362221815319</f>
        <v>-1391.4342583518142</v>
      </c>
      <c r="P46">
        <f>-682.385612044014 -265.329847140064 -243.621468629771</f>
        <v>-1191.3369278138489</v>
      </c>
      <c r="Q46">
        <f>-509.886239332715 -121.658874473917 -331.105607914945</f>
        <v>-962.65072172157693</v>
      </c>
      <c r="R46" t="s">
        <v>488</v>
      </c>
      <c r="S46" t="s">
        <v>489</v>
      </c>
      <c r="T46" t="s">
        <v>490</v>
      </c>
      <c r="U46" t="s">
        <v>491</v>
      </c>
      <c r="V46">
        <f>-605.424754146336 -130.167036851997 -97.4240085600746</f>
        <v>-833.01579955840759</v>
      </c>
      <c r="W46" t="s">
        <v>492</v>
      </c>
      <c r="X46" t="s">
        <v>493</v>
      </c>
      <c r="Y46" t="s">
        <v>494</v>
      </c>
    </row>
    <row r="47" spans="1:25" x14ac:dyDescent="0.3">
      <c r="A47">
        <v>2300</v>
      </c>
      <c r="B47" t="s">
        <v>495</v>
      </c>
      <c r="C47">
        <f>-624.165197931317 -35.9381109250032 -98.5907401690808</f>
        <v>-758.69404902540111</v>
      </c>
      <c r="D47">
        <f>-653.28095221721 -44.4753043463196 -210.374520948451</f>
        <v>-908.13077751198057</v>
      </c>
      <c r="E47">
        <f>-667.636419879572 -47.0484223803526 -307.914107406965</f>
        <v>-1022.5989496668897</v>
      </c>
      <c r="F47">
        <f>-676.924652022463 -47.5774485419846 -396.523789475352</f>
        <v>-1121.0258900397996</v>
      </c>
      <c r="G47">
        <f>-682.168575010746 -46.2339311092342 -485.456001560485</f>
        <v>-1213.8585076804652</v>
      </c>
      <c r="H47">
        <f>-685.249705585707 -42.3880201289185 -609.941039743391</f>
        <v>-1337.5787654580165</v>
      </c>
      <c r="I47">
        <f>-652.154065020676 -35.1919893818515 -685.821988606726</f>
        <v>-1373.1680430092533</v>
      </c>
      <c r="J47">
        <f>-689.391433735729 -16.9396663023385 -554.186744100293</f>
        <v>-1260.5178441383605</v>
      </c>
      <c r="K47" t="s">
        <v>496</v>
      </c>
      <c r="L47" t="s">
        <v>497</v>
      </c>
      <c r="M47" t="s">
        <v>498</v>
      </c>
      <c r="N47">
        <f>-678.396247698177 -71.2211422537775 -556.135885664895</f>
        <v>-1305.7532756168496</v>
      </c>
      <c r="O47">
        <f>-656.536017515764 -204.478248225479 -530.369903652978</f>
        <v>-1391.3841693942209</v>
      </c>
      <c r="P47">
        <f>-682.260874860774 -265.345300502207 -243.62141802731</f>
        <v>-1191.2275933902911</v>
      </c>
      <c r="Q47">
        <f>-509.780081123671 -121.650658790742 -331.103286669835</f>
        <v>-962.53402658424784</v>
      </c>
      <c r="R47" t="s">
        <v>499</v>
      </c>
      <c r="S47" t="s">
        <v>500</v>
      </c>
      <c r="T47" t="s">
        <v>501</v>
      </c>
      <c r="U47" t="s">
        <v>502</v>
      </c>
      <c r="V47">
        <f>-605.349107044288 -130.16458253939 -97.4281779464778</f>
        <v>-832.94186753015583</v>
      </c>
      <c r="W47" t="s">
        <v>503</v>
      </c>
      <c r="X47" t="s">
        <v>504</v>
      </c>
      <c r="Y47" t="s">
        <v>505</v>
      </c>
    </row>
    <row r="48" spans="1:25" x14ac:dyDescent="0.3">
      <c r="A48">
        <v>2350</v>
      </c>
      <c r="B48" t="s">
        <v>506</v>
      </c>
      <c r="C48">
        <f>-623.861995837791 -36.2706841063036 -98.6191183623283</f>
        <v>-758.75179830642298</v>
      </c>
      <c r="D48">
        <f>-652.90656255648 -44.8556177340705 -210.417661095481</f>
        <v>-908.17984138603151</v>
      </c>
      <c r="E48">
        <f>-667.260821774586 -47.4651348458031 -307.95652337937</f>
        <v>-1022.6824799997592</v>
      </c>
      <c r="F48">
        <f>-676.571776987485 -48.0268922406103 -396.563634956437</f>
        <v>-1121.1623041845323</v>
      </c>
      <c r="G48">
        <f>-681.862564762368 -46.716153899408 -485.493653622074</f>
        <v>-1214.0723722838502</v>
      </c>
      <c r="H48">
        <f>-685.034000971409 -42.9169007409123 -609.977818354261</f>
        <v>-1337.9287200665822</v>
      </c>
      <c r="I48">
        <f>-651.849563946934 -35.7266972219161 -685.820552679991</f>
        <v>-1373.3968138488412</v>
      </c>
      <c r="J48">
        <f>-689.155150057912 -17.4517420223269 -554.229661466687</f>
        <v>-1260.8365535469261</v>
      </c>
      <c r="K48" t="s">
        <v>507</v>
      </c>
      <c r="L48" t="s">
        <v>508</v>
      </c>
      <c r="M48" t="s">
        <v>509</v>
      </c>
      <c r="N48">
        <f>-678.121733250461 -71.7258247974378 -556.167246008925</f>
        <v>-1306.0148040568238</v>
      </c>
      <c r="O48">
        <f>-656.178287275237 -204.968429565585 -530.389375305812</f>
        <v>-1391.536092146634</v>
      </c>
      <c r="P48">
        <f>-681.838701817952 -265.835932875532 -243.63531086655</f>
        <v>-1191.3099455600341</v>
      </c>
      <c r="Q48">
        <f>-509.416584932363 -122.072485420244 -331.119985604595</f>
        <v>-962.60905595720192</v>
      </c>
      <c r="R48" t="s">
        <v>510</v>
      </c>
      <c r="S48" t="s">
        <v>511</v>
      </c>
      <c r="T48" t="s">
        <v>512</v>
      </c>
      <c r="U48" t="s">
        <v>513</v>
      </c>
      <c r="V48">
        <f>-604.915032525937 -130.472508973897 -97.4429760203277</f>
        <v>-832.83051752016172</v>
      </c>
      <c r="W48" t="s">
        <v>514</v>
      </c>
      <c r="X48" t="s">
        <v>515</v>
      </c>
      <c r="Y48" t="s">
        <v>516</v>
      </c>
    </row>
    <row r="49" spans="1:25" x14ac:dyDescent="0.3">
      <c r="A49">
        <v>2400</v>
      </c>
      <c r="B49" t="s">
        <v>506</v>
      </c>
      <c r="C49">
        <f>-623.861995837791 -36.2706841063036 -98.6191183623283</f>
        <v>-758.75179830642298</v>
      </c>
      <c r="D49">
        <f>-652.90656255648 -44.8556177340705 -210.417661095481</f>
        <v>-908.17984138603151</v>
      </c>
      <c r="E49">
        <f>-667.260821774586 -47.4651348458031 -307.95652337937</f>
        <v>-1022.6824799997592</v>
      </c>
      <c r="F49">
        <f>-676.571776987485 -48.0268922406103 -396.563634956437</f>
        <v>-1121.1623041845323</v>
      </c>
      <c r="G49">
        <f>-681.862564762368 -46.716153899408 -485.493653622074</f>
        <v>-1214.0723722838502</v>
      </c>
      <c r="H49">
        <f>-685.034000971409 -42.9169007409123 -609.977818354261</f>
        <v>-1337.9287200665822</v>
      </c>
      <c r="I49">
        <f>-651.849563946934 -35.7266972219161 -685.820552679991</f>
        <v>-1373.3968138488412</v>
      </c>
      <c r="J49">
        <f>-689.155150057912 -17.4517420223269 -554.229661466687</f>
        <v>-1260.8365535469261</v>
      </c>
      <c r="K49" t="s">
        <v>507</v>
      </c>
      <c r="L49" t="s">
        <v>508</v>
      </c>
      <c r="M49" t="s">
        <v>509</v>
      </c>
      <c r="N49">
        <f>-678.121733250461 -71.7258247974378 -556.167246008925</f>
        <v>-1306.0148040568238</v>
      </c>
      <c r="O49">
        <f>-656.178287275237 -204.968429565585 -530.389375305812</f>
        <v>-1391.536092146634</v>
      </c>
      <c r="P49">
        <f>-681.838701817952 -265.835932875532 -243.63531086655</f>
        <v>-1191.3099455600341</v>
      </c>
      <c r="Q49">
        <f>-509.416584932363 -122.072485420244 -331.119985604595</f>
        <v>-962.60905595720192</v>
      </c>
      <c r="R49" t="s">
        <v>510</v>
      </c>
      <c r="S49" t="s">
        <v>511</v>
      </c>
      <c r="T49" t="s">
        <v>512</v>
      </c>
      <c r="U49" t="s">
        <v>513</v>
      </c>
      <c r="V49">
        <f>-604.915032525937 -130.472508973897 -97.4429760203277</f>
        <v>-832.83051752016172</v>
      </c>
      <c r="W49" t="s">
        <v>514</v>
      </c>
      <c r="X49" t="s">
        <v>515</v>
      </c>
      <c r="Y49" t="s">
        <v>516</v>
      </c>
    </row>
    <row r="50" spans="1:25" x14ac:dyDescent="0.3">
      <c r="A50">
        <v>2450</v>
      </c>
      <c r="B50" t="s">
        <v>517</v>
      </c>
      <c r="C50">
        <f>-623.704102116214 -36.3744388225828 -98.6261346570752</f>
        <v>-758.704675595872</v>
      </c>
      <c r="D50">
        <f>-652.736239154607 -45.0051537561308 -210.424482815995</f>
        <v>-908.16587572673279</v>
      </c>
      <c r="E50">
        <f>-667.056517141201 -47.6376365826977 -307.967515098191</f>
        <v>-1022.6616688220897</v>
      </c>
      <c r="F50">
        <f>-676.327161652107 -48.2140521818457 -396.578854102146</f>
        <v>-1121.1200679360986</v>
      </c>
      <c r="G50">
        <f>-681.567766058292 -46.9118969849873 -485.511882939523</f>
        <v>-1213.9915459828023</v>
      </c>
      <c r="H50">
        <f>-684.65881343211 -43.117983554253 -609.998237577756</f>
        <v>-1337.7750345641189</v>
      </c>
      <c r="I50">
        <f>-651.396942816468 -35.9046295372359 -685.805022627884</f>
        <v>-1373.1065949815879</v>
      </c>
      <c r="J50">
        <f>-688.835700545417 -17.6544383533335 -554.253591827952</f>
        <v>-1260.7437307267026</v>
      </c>
      <c r="K50" t="s">
        <v>518</v>
      </c>
      <c r="L50" t="s">
        <v>519</v>
      </c>
      <c r="M50" t="s">
        <v>520</v>
      </c>
      <c r="N50">
        <f>-677.761510617705 -71.9205125479472 -556.182411192722</f>
        <v>-1305.8644343583742</v>
      </c>
      <c r="O50">
        <f>-655.746700460592 -205.147528889448 -530.370271606647</f>
        <v>-1391.264500956687</v>
      </c>
      <c r="P50">
        <f>-681.450518726944 -265.965756556928 -243.609662221745</f>
        <v>-1191.0259375056171</v>
      </c>
      <c r="Q50">
        <f>-509.100182432389 -122.144101654824 -331.139922942926</f>
        <v>-962.3842070301389</v>
      </c>
      <c r="R50" t="s">
        <v>521</v>
      </c>
      <c r="S50" t="s">
        <v>522</v>
      </c>
      <c r="T50" t="s">
        <v>523</v>
      </c>
      <c r="U50" t="s">
        <v>524</v>
      </c>
      <c r="V50">
        <f>-604.664915916532 -130.521659811563 -97.4369537257403</f>
        <v>-832.62352945383532</v>
      </c>
      <c r="W50" t="s">
        <v>525</v>
      </c>
      <c r="X50" t="s">
        <v>526</v>
      </c>
      <c r="Y50" t="s">
        <v>527</v>
      </c>
    </row>
    <row r="51" spans="1:25" x14ac:dyDescent="0.3">
      <c r="A51">
        <v>2500</v>
      </c>
      <c r="B51" t="s">
        <v>528</v>
      </c>
      <c r="C51">
        <f>-623.47734673042 -36.6004683113961 -98.641308104906</f>
        <v>-758.71912314672204</v>
      </c>
      <c r="D51">
        <f>-652.459470955987 -45.2598646352988 -210.450417061605</f>
        <v>-908.16975265289068</v>
      </c>
      <c r="E51">
        <f>-666.698406575837 -47.9271156927816 -308.004484284288</f>
        <v>-1022.6300065529067</v>
      </c>
      <c r="F51">
        <f>-675.88001343132 -48.5388797181287 -396.62479151533</f>
        <v>-1121.0436846647785</v>
      </c>
      <c r="G51">
        <f>-681.016479424134 -47.2753515891263 -485.564548213341</f>
        <v>-1213.8563792266013</v>
      </c>
      <c r="H51">
        <f>-683.946287277356 -43.5383216287145 -610.0564923019</f>
        <v>-1337.5411012079703</v>
      </c>
      <c r="I51">
        <f>-650.554236538881 -36.287886242136 -685.802387037059</f>
        <v>-1372.6445098180761</v>
      </c>
      <c r="J51">
        <f>-688.219732862051 -18.054216671829 -554.328401272987</f>
        <v>-1260.602350806867</v>
      </c>
      <c r="K51" t="s">
        <v>529</v>
      </c>
      <c r="L51" t="s">
        <v>530</v>
      </c>
      <c r="M51" t="s">
        <v>531</v>
      </c>
      <c r="N51">
        <f>-677.09426359158 -72.3112492175534 -556.218913409289</f>
        <v>-1305.6244262184223</v>
      </c>
      <c r="O51">
        <f>-654.970084327209 -205.50255645611 -530.335714870467</f>
        <v>-1390.8083556537858</v>
      </c>
      <c r="P51">
        <f>-680.747346492881 -266.249523003307 -243.566459220674</f>
        <v>-1190.5633287168621</v>
      </c>
      <c r="Q51">
        <f>-508.527385087974 -122.296648134352 -331.138008913429</f>
        <v>-961.96204213575493</v>
      </c>
      <c r="R51" t="s">
        <v>532</v>
      </c>
      <c r="S51" t="s">
        <v>533</v>
      </c>
      <c r="T51" t="s">
        <v>534</v>
      </c>
      <c r="U51" t="s">
        <v>535</v>
      </c>
      <c r="V51">
        <f>-604.364573466218 -130.754156392172 -97.4312651012972</f>
        <v>-832.54999495968718</v>
      </c>
      <c r="W51" t="s">
        <v>536</v>
      </c>
      <c r="X51" t="s">
        <v>537</v>
      </c>
      <c r="Y51" t="s">
        <v>538</v>
      </c>
    </row>
    <row r="52" spans="1:25" x14ac:dyDescent="0.3">
      <c r="A52">
        <v>2550</v>
      </c>
      <c r="B52" t="s">
        <v>539</v>
      </c>
      <c r="C52">
        <f>-623.342253199232 -36.6788005725668 -98.6401454567965</f>
        <v>-758.66119922859536</v>
      </c>
      <c r="D52">
        <f>-652.297250295245 -45.3487518230826 -210.45550387634</f>
        <v>-908.1015059946676</v>
      </c>
      <c r="E52">
        <f>-666.495104231648 -48.0293671834257 -308.015201045655</f>
        <v>-1022.5396724607288</v>
      </c>
      <c r="F52">
        <f>-675.632485532714 -48.6550144599011 -396.640013597713</f>
        <v>-1120.9275135903281</v>
      </c>
      <c r="G52">
        <f>-680.717555812917 -47.4068092212694 -485.582780478849</f>
        <v>-1213.7071455130354</v>
      </c>
      <c r="H52">
        <f>-683.568314572596 -43.6928153363957 -610.077413101924</f>
        <v>-1337.3385430109156</v>
      </c>
      <c r="I52">
        <f>-650.103490822888 -36.4232183795141 -685.789175410434</f>
        <v>-1372.3158846128363</v>
      </c>
      <c r="J52">
        <f>-687.88379782305 -18.1998017094281 -554.356501153005</f>
        <v>-1260.4401006854832</v>
      </c>
      <c r="K52" t="s">
        <v>540</v>
      </c>
      <c r="L52" t="s">
        <v>541</v>
      </c>
      <c r="M52" t="s">
        <v>542</v>
      </c>
      <c r="N52">
        <f>-676.743836060289 -72.4543633501263 -556.230230288596</f>
        <v>-1305.4284296990113</v>
      </c>
      <c r="O52">
        <f>-654.588656857348 -205.628893802007 -530.295375718738</f>
        <v>-1390.5129263780932</v>
      </c>
      <c r="P52">
        <f>-680.370331509439 -266.386966981863 -243.529115820764</f>
        <v>-1190.286414312066</v>
      </c>
      <c r="Q52">
        <f>-508.197305074221 -122.404881309024 -331.144456893673</f>
        <v>-961.74664327691801</v>
      </c>
      <c r="R52" t="s">
        <v>543</v>
      </c>
      <c r="S52" t="s">
        <v>544</v>
      </c>
      <c r="T52" t="s">
        <v>545</v>
      </c>
      <c r="U52" t="s">
        <v>546</v>
      </c>
      <c r="V52">
        <f>-604.2292222472 -130.783346216894 -97.425629708883</f>
        <v>-832.43819817297697</v>
      </c>
      <c r="W52" t="s">
        <v>547</v>
      </c>
      <c r="X52" t="s">
        <v>548</v>
      </c>
      <c r="Y52" t="s">
        <v>549</v>
      </c>
    </row>
    <row r="53" spans="1:25" x14ac:dyDescent="0.3">
      <c r="A53">
        <v>2600</v>
      </c>
      <c r="B53" t="s">
        <v>550</v>
      </c>
      <c r="C53">
        <f>-623.077505853411 -36.8817080885208 -98.6595934288983</f>
        <v>-758.61880737083015</v>
      </c>
      <c r="D53">
        <f>-652.015737223422 -45.5702399627039 -210.477772075943</f>
        <v>-908.06374926206888</v>
      </c>
      <c r="E53">
        <f>-666.152740453812 -48.2799142127255 -308.045483910752</f>
        <v>-1022.4781385772897</v>
      </c>
      <c r="F53">
        <f>-675.216283049097 -48.9368021535238 -396.677734250014</f>
        <v>-1120.8308194526348</v>
      </c>
      <c r="G53">
        <f>-680.208487496034 -47.724544606384 -485.626167422423</f>
        <v>-1213.559199524841</v>
      </c>
      <c r="H53">
        <f>-682.909750570983 -44.06622252588 -610.125764354202</f>
        <v>-1337.101737451065</v>
      </c>
      <c r="I53">
        <f>-649.314993475662 -36.7759406853572 -685.77806016771</f>
        <v>-1371.8689943287293</v>
      </c>
      <c r="J53">
        <f>-687.303982720293 -18.5507842841857 -554.421464056319</f>
        <v>-1260.2762310607977</v>
      </c>
      <c r="K53" t="s">
        <v>551</v>
      </c>
      <c r="L53" t="s">
        <v>552</v>
      </c>
      <c r="M53" t="s">
        <v>553</v>
      </c>
      <c r="N53">
        <f>-676.138164052881 -72.8012918072116 -556.25795296348</f>
        <v>-1305.1974088235725</v>
      </c>
      <c r="O53">
        <f>-653.928592702772 -205.943980978242 -530.21092601664</f>
        <v>-1390.0834996976541</v>
      </c>
      <c r="P53">
        <f>-679.810129452052 -266.47387365776 -243.40520548497</f>
        <v>-1189.689208594782</v>
      </c>
      <c r="Q53">
        <f>-507.616243437932 -122.595762402238 -331.150448487623</f>
        <v>-961.36245432779288</v>
      </c>
      <c r="R53" t="s">
        <v>554</v>
      </c>
      <c r="S53" t="s">
        <v>555</v>
      </c>
      <c r="T53" t="s">
        <v>556</v>
      </c>
      <c r="U53" t="s">
        <v>557</v>
      </c>
      <c r="V53">
        <f>-603.939026174081 -131.006366691032 -97.4343574354513</f>
        <v>-832.3797503005643</v>
      </c>
      <c r="W53" t="s">
        <v>558</v>
      </c>
      <c r="X53" t="s">
        <v>559</v>
      </c>
      <c r="Y53" t="s">
        <v>560</v>
      </c>
    </row>
    <row r="54" spans="1:25" x14ac:dyDescent="0.3">
      <c r="A54">
        <v>2650</v>
      </c>
      <c r="B54" t="s">
        <v>561</v>
      </c>
      <c r="C54">
        <f>-622.958496939032 -36.9690313886829 -98.6734106227949</f>
        <v>-758.60093895050977</v>
      </c>
      <c r="D54">
        <f>-651.890596289601 -45.6635706114809 -210.492817606174</f>
        <v>-908.04698450725584</v>
      </c>
      <c r="E54">
        <f>-666.000374808764 -48.3899607063202 -308.064005017046</f>
        <v>-1022.4543405321301</v>
      </c>
      <c r="F54">
        <f>-675.030267858866 -49.0667289679308 -396.699389455518</f>
        <v>-1120.7963862823146</v>
      </c>
      <c r="G54">
        <f>-679.979929293231 -47.8792731491959 -485.650658619883</f>
        <v>-1213.5098610623099</v>
      </c>
      <c r="H54">
        <f>-682.612055510207 -44.2605336939206 -610.152926877247</f>
        <v>-1337.0255160813745</v>
      </c>
      <c r="I54">
        <f>-648.960589296015 -36.9723936345908 -685.780272107401</f>
        <v>-1371.7132550380068</v>
      </c>
      <c r="J54">
        <f>-687.03843632878 -18.727659057814 -554.459047371484</f>
        <v>-1260.2251427580779</v>
      </c>
      <c r="K54" t="s">
        <v>562</v>
      </c>
      <c r="L54" t="s">
        <v>563</v>
      </c>
      <c r="M54" t="s">
        <v>564</v>
      </c>
      <c r="N54">
        <f>-675.869123109408 -72.978254365237 -556.272075280268</f>
        <v>-1305.119452754913</v>
      </c>
      <c r="O54">
        <f>-653.652994906129 -206.111803693591 -530.174673207745</f>
        <v>-1389.939471807465</v>
      </c>
      <c r="P54">
        <f>-679.609662536536 -266.511851496187 -243.348482057491</f>
        <v>-1189.469996090214</v>
      </c>
      <c r="Q54">
        <f>-507.379697516054 -122.711111144533 -331.149789013306</f>
        <v>-961.24059767389303</v>
      </c>
      <c r="R54" t="s">
        <v>565</v>
      </c>
      <c r="S54" t="s">
        <v>566</v>
      </c>
      <c r="T54" t="s">
        <v>567</v>
      </c>
      <c r="U54" t="s">
        <v>568</v>
      </c>
      <c r="V54">
        <f>-603.810005512368 -131.078234335717 -97.4429148944968</f>
        <v>-832.33115474258182</v>
      </c>
      <c r="W54" t="s">
        <v>569</v>
      </c>
      <c r="X54" t="s">
        <v>570</v>
      </c>
      <c r="Y54" t="s">
        <v>571</v>
      </c>
    </row>
    <row r="55" spans="1:25" x14ac:dyDescent="0.3">
      <c r="A55">
        <v>2700</v>
      </c>
      <c r="B55" t="s">
        <v>572</v>
      </c>
      <c r="C55">
        <f>-622.684391572303 -37.2943411796946 -98.6870207675324</f>
        <v>-758.66575351952997</v>
      </c>
      <c r="D55">
        <f>-651.615752715793 -45.999498301857 -210.505583433545</f>
        <v>-908.12083445119492</v>
      </c>
      <c r="E55">
        <f>-665.682366306188 -48.7383230198488 -308.082740642656</f>
        <v>-1022.5034299686929</v>
      </c>
      <c r="F55">
        <f>-674.655958853624 -49.4278858514318 -396.723811994839</f>
        <v>-1120.8076566998948</v>
      </c>
      <c r="G55">
        <f>-679.53194484307 -48.2542469243559 -485.679395340806</f>
        <v>-1213.4655871082321</v>
      </c>
      <c r="H55">
        <f>-682.042904473514 -44.6564052617007 -610.184654210934</f>
        <v>-1336.8839639461487</v>
      </c>
      <c r="I55">
        <f>-648.302895471262 -37.3434635119411 -685.770125237355</f>
        <v>-1371.4164842205582</v>
      </c>
      <c r="J55">
        <f>-686.521192195012 -19.1137429978253 -554.49946310423</f>
        <v>-1260.1343982970673</v>
      </c>
      <c r="K55" t="s">
        <v>573</v>
      </c>
      <c r="L55" t="s">
        <v>574</v>
      </c>
      <c r="M55" t="s">
        <v>575</v>
      </c>
      <c r="N55">
        <f>-675.354759989985 -73.3656171377866 -556.292565776355</f>
        <v>-1305.0129429041267</v>
      </c>
      <c r="O55">
        <f>-653.161969368548 -206.491016456354 -530.123682118397</f>
        <v>-1389.7766679432989</v>
      </c>
      <c r="P55">
        <f>-679.193118004843 -266.741705929986 -243.272754359043</f>
        <v>-1189.2075782938718</v>
      </c>
      <c r="Q55">
        <f>-506.904280387703 -123.079687788721 -331.185505163737</f>
        <v>-961.16947334016095</v>
      </c>
      <c r="R55" t="s">
        <v>576</v>
      </c>
      <c r="S55" t="s">
        <v>577</v>
      </c>
      <c r="T55" t="s">
        <v>578</v>
      </c>
      <c r="U55" t="s">
        <v>579</v>
      </c>
      <c r="V55">
        <f>-603.557301273186 -131.42110932661 -97.4472233784082</f>
        <v>-832.42563397820425</v>
      </c>
      <c r="W55" t="s">
        <v>580</v>
      </c>
      <c r="X55" t="s">
        <v>581</v>
      </c>
      <c r="Y55" t="s">
        <v>582</v>
      </c>
    </row>
    <row r="56" spans="1:25" x14ac:dyDescent="0.3">
      <c r="A56">
        <v>2750</v>
      </c>
      <c r="B56" t="s">
        <v>583</v>
      </c>
      <c r="C56">
        <f>-622.554733100021 -37.4090603788411 -98.6847188289447</f>
        <v>-758.64851230780687</v>
      </c>
      <c r="D56">
        <f>-651.484117915601 -46.1190223287746 -210.503477618622</f>
        <v>-908.10661786299761</v>
      </c>
      <c r="E56">
        <f>-665.52888021306 -48.8628475207835 -308.0835977355</f>
        <v>-1022.4753254693435</v>
      </c>
      <c r="F56">
        <f>-674.474378874237 -49.5570352074893 -396.727492753348</f>
        <v>-1120.7589068350744</v>
      </c>
      <c r="G56">
        <f>-679.313881906618 -48.3884013594461 -485.685083987379</f>
        <v>-1213.3873672534432</v>
      </c>
      <c r="H56">
        <f>-681.765288058969 -44.7975678976708 -610.191763993404</f>
        <v>-1336.7546199500439</v>
      </c>
      <c r="I56">
        <f>-647.985505075761 -37.433383335519 -685.754584271583</f>
        <v>-1371.1734726828631</v>
      </c>
      <c r="J56">
        <f>-686.261695007427 -19.2500242354354 -554.510457443415</f>
        <v>-1260.0221766862774</v>
      </c>
      <c r="K56" t="s">
        <v>584</v>
      </c>
      <c r="L56" t="s">
        <v>585</v>
      </c>
      <c r="M56" t="s">
        <v>586</v>
      </c>
      <c r="N56">
        <f>-675.111459080311 -73.5054662106267 -556.29472094105</f>
        <v>-1304.9116462319876</v>
      </c>
      <c r="O56">
        <f>-652.948206532866 -206.631693989996 -530.098027251183</f>
        <v>-1389.6779277740452</v>
      </c>
      <c r="P56">
        <f>-678.974970522356 -266.807992652472 -243.231108115781</f>
        <v>-1189.0140712906091</v>
      </c>
      <c r="Q56">
        <f>-506.641175044214 -123.241583699454 -331.212006001952</f>
        <v>-961.09476474561995</v>
      </c>
      <c r="R56" t="s">
        <v>587</v>
      </c>
      <c r="S56" t="s">
        <v>588</v>
      </c>
      <c r="T56" t="s">
        <v>589</v>
      </c>
      <c r="U56" t="s">
        <v>590</v>
      </c>
      <c r="V56">
        <f>-603.462139665942 -131.526414648229 -97.4409524089565</f>
        <v>-832.42950672312747</v>
      </c>
      <c r="W56" t="s">
        <v>591</v>
      </c>
      <c r="X56" t="s">
        <v>592</v>
      </c>
      <c r="Y56" t="s">
        <v>593</v>
      </c>
    </row>
    <row r="57" spans="1:25" x14ac:dyDescent="0.3">
      <c r="A57">
        <v>2800</v>
      </c>
      <c r="B57" t="s">
        <v>594</v>
      </c>
      <c r="C57">
        <f>-622.307451935987 -37.5762292635986 -98.6994806112765</f>
        <v>-758.58316181086218</v>
      </c>
      <c r="D57">
        <f>-651.243362071486 -46.2634791166547 -210.51838257077</f>
        <v>-908.02522375891067</v>
      </c>
      <c r="E57">
        <f>-665.277355867292 -49.0033951135094 -308.100196209467</f>
        <v>-1022.3809471902684</v>
      </c>
      <c r="F57">
        <f>-674.206699821549 -49.699512214238 -396.745708242006</f>
        <v>-1120.6519202777931</v>
      </c>
      <c r="G57">
        <f>-679.023555646381 -48.5386618505913 -485.704633900541</f>
        <v>-1213.2668513975134</v>
      </c>
      <c r="H57">
        <f>-681.436480373876 -44.9645744494904 -610.212494096981</f>
        <v>-1336.6135489203475</v>
      </c>
      <c r="I57">
        <f>-647.600444041611 -37.3773655286452 -685.727987364272</f>
        <v>-1370.7057969345283</v>
      </c>
      <c r="J57">
        <f>-685.931251742901 -19.4055868102196 -554.536289136127</f>
        <v>-1259.8731276892477</v>
      </c>
      <c r="K57" t="s">
        <v>595</v>
      </c>
      <c r="L57" t="s">
        <v>596</v>
      </c>
      <c r="M57" t="s">
        <v>597</v>
      </c>
      <c r="N57">
        <f>-674.8181022349 -73.6690894755004 -556.309163289215</f>
        <v>-1304.7963549996155</v>
      </c>
      <c r="O57">
        <f>-652.76366288834 -206.800449899008 -530.057103829226</f>
        <v>-1389.621216616574</v>
      </c>
      <c r="P57">
        <f>-678.791503563253 -266.852360339879 -243.164226728118</f>
        <v>-1188.8080906312498</v>
      </c>
      <c r="Q57">
        <f>-506.2834067597 -123.520945325261 -331.186653464649</f>
        <v>-960.99100554961001</v>
      </c>
      <c r="R57" t="s">
        <v>598</v>
      </c>
      <c r="S57" t="s">
        <v>599</v>
      </c>
      <c r="T57" t="s">
        <v>600</v>
      </c>
      <c r="U57" t="s">
        <v>601</v>
      </c>
      <c r="V57">
        <f>-603.305312399508 -131.680478762566 -97.4362567865835</f>
        <v>-832.42204794865756</v>
      </c>
      <c r="W57" t="s">
        <v>602</v>
      </c>
      <c r="X57" t="s">
        <v>603</v>
      </c>
      <c r="Y57" t="s">
        <v>604</v>
      </c>
    </row>
    <row r="58" spans="1:25" x14ac:dyDescent="0.3">
      <c r="A58">
        <v>2850</v>
      </c>
      <c r="B58" t="s">
        <v>605</v>
      </c>
      <c r="C58">
        <f>-622.139582525949 -37.6116226418781 -98.7003281948021</f>
        <v>-758.45153336262911</v>
      </c>
      <c r="D58">
        <f>-651.070512575924 -46.301557290732 -210.520316078312</f>
        <v>-907.89238594496805</v>
      </c>
      <c r="E58">
        <f>-665.098157877312 -49.0567442202431 -308.102467476611</f>
        <v>-1022.2573695741662</v>
      </c>
      <c r="F58">
        <f>-674.021103581078 -49.7715568900938 -396.748479766734</f>
        <v>-1120.5411402379059</v>
      </c>
      <c r="G58">
        <f>-678.830745861916 -48.6343063285707 -485.708058810398</f>
        <v>-1213.1731110008845</v>
      </c>
      <c r="H58">
        <f>-681.232860928478 -45.0985599887684 -610.217315631807</f>
        <v>-1336.5487365490535</v>
      </c>
      <c r="I58">
        <f>-647.344120605619 -37.3667702741054 -685.694439188582</f>
        <v>-1370.4053300683063</v>
      </c>
      <c r="J58">
        <f>-685.723884385996 -19.5206756103423 -554.549400356398</f>
        <v>-1259.7939603527363</v>
      </c>
      <c r="K58" t="s">
        <v>606</v>
      </c>
      <c r="L58" t="s">
        <v>607</v>
      </c>
      <c r="M58" t="s">
        <v>608</v>
      </c>
      <c r="N58">
        <f>-674.627730345156 -73.788178411378 -556.304477631329</f>
        <v>-1304.7203863878631</v>
      </c>
      <c r="O58">
        <f>-652.637954537314 -206.917917105939 -530.006579583206</f>
        <v>-1389.562451226459</v>
      </c>
      <c r="P58">
        <f>-678.69088003691 -266.854009530637 -243.091828003528</f>
        <v>-1188.636717571075</v>
      </c>
      <c r="Q58">
        <f>-506.063869457875 -123.70272571276 -331.174003431181</f>
        <v>-960.94059860181596</v>
      </c>
      <c r="R58" t="s">
        <v>609</v>
      </c>
      <c r="S58" t="s">
        <v>610</v>
      </c>
      <c r="T58" t="s">
        <v>611</v>
      </c>
      <c r="U58" t="s">
        <v>612</v>
      </c>
      <c r="V58">
        <f>-603.146503365982 -131.710875737997 -97.4369708418895</f>
        <v>-832.29434994586848</v>
      </c>
      <c r="W58" t="s">
        <v>613</v>
      </c>
      <c r="X58" t="s">
        <v>614</v>
      </c>
      <c r="Y58" t="s">
        <v>615</v>
      </c>
    </row>
    <row r="59" spans="1:25" x14ac:dyDescent="0.3">
      <c r="A59">
        <v>2900</v>
      </c>
      <c r="B59" t="s">
        <v>616</v>
      </c>
      <c r="C59">
        <f>-621.955701465884 -37.5894803496226 -98.7033842001007</f>
        <v>-758.24856601560725</v>
      </c>
      <c r="D59">
        <f>-650.878971640192 -46.2739988594655 -210.525726857109</f>
        <v>-907.67869735676652</v>
      </c>
      <c r="E59">
        <f>-664.900633073617 -49.0404309688583 -308.108668095043</f>
        <v>-1022.0497321375183</v>
      </c>
      <c r="F59">
        <f>-673.818289816227 -49.7717144533065 -396.754951830283</f>
        <v>-1120.3449560998165</v>
      </c>
      <c r="G59">
        <f>-678.622972810022 -48.6578976617418 -485.715109542959</f>
        <v>-1212.9959800147228</v>
      </c>
      <c r="H59">
        <f>-681.018089003984 -45.1620047580703 -610.225592910538</f>
        <v>-1336.4056866725923</v>
      </c>
      <c r="I59">
        <f>-647.067833345777 -37.2858180243766 -685.660251638958</f>
        <v>-1370.0139030091116</v>
      </c>
      <c r="J59">
        <f>-685.503102892315 -19.5645415516756 -554.566307362111</f>
        <v>-1259.6339518061018</v>
      </c>
      <c r="K59" t="s">
        <v>617</v>
      </c>
      <c r="L59" t="s">
        <v>618</v>
      </c>
      <c r="M59" t="s">
        <v>619</v>
      </c>
      <c r="N59">
        <f>-674.425093705751 -73.836195967189 -556.303177355042</f>
        <v>-1304.5644670279821</v>
      </c>
      <c r="O59">
        <f>-652.491559558521 -206.967894231698 -529.952316703143</f>
        <v>-1389.4117704933619</v>
      </c>
      <c r="P59">
        <f>-678.604213018193 -266.715958387095 -243.003658280127</f>
        <v>-1188.3238296854149</v>
      </c>
      <c r="Q59">
        <f>-505.863055352445 -123.769072527584 -331.193940259664</f>
        <v>-960.82606813969301</v>
      </c>
      <c r="R59" t="s">
        <v>620</v>
      </c>
      <c r="S59" t="s">
        <v>621</v>
      </c>
      <c r="T59" t="s">
        <v>622</v>
      </c>
      <c r="U59" t="s">
        <v>623</v>
      </c>
      <c r="V59">
        <f>-602.963323758622 -131.611600601992 -97.4402358739994</f>
        <v>-832.0151602346134</v>
      </c>
      <c r="W59" t="s">
        <v>624</v>
      </c>
      <c r="X59" t="s">
        <v>625</v>
      </c>
      <c r="Y59" t="s">
        <v>626</v>
      </c>
    </row>
    <row r="60" spans="1:25" x14ac:dyDescent="0.3">
      <c r="A60">
        <v>2950</v>
      </c>
      <c r="B60" t="s">
        <v>627</v>
      </c>
      <c r="C60">
        <f>-621.578823207795 -37.6199814536426 -98.7092719696155</f>
        <v>-757.90807663105318</v>
      </c>
      <c r="D60">
        <f>-650.439715296559 -46.2994854833461 -210.548272972299</f>
        <v>-907.28747375220405</v>
      </c>
      <c r="E60">
        <f>-664.420685738019 -49.0880500047377 -308.136127731604</f>
        <v>-1021.6448634743607</v>
      </c>
      <c r="F60">
        <f>-673.306686201273 -49.8507762871232 -396.785438013137</f>
        <v>-1119.9429005015331</v>
      </c>
      <c r="G60">
        <f>-678.084614829228 -48.7802558304004 -485.74767289146</f>
        <v>-1212.6125435510885</v>
      </c>
      <c r="H60">
        <f>-680.44741262501 -45.3576988690921 -610.260794143084</f>
        <v>-1336.065905637186</v>
      </c>
      <c r="I60">
        <f>-646.378834580274 -37.2525285183287 -685.617573453576</f>
        <v>-1369.2489365521787</v>
      </c>
      <c r="J60">
        <f>-684.929532039318 -19.7238170814544 -554.61789361873</f>
        <v>-1259.2712427395024</v>
      </c>
      <c r="K60" t="s">
        <v>628</v>
      </c>
      <c r="L60" t="s">
        <v>629</v>
      </c>
      <c r="M60" t="s">
        <v>630</v>
      </c>
      <c r="N60">
        <f>-673.885831796619 -74.0037157958435 -556.319397148378</f>
        <v>-1304.2089447408405</v>
      </c>
      <c r="O60">
        <f>-652.047596784565 -207.130734649936 -529.872218700026</f>
        <v>-1389.0505501345269</v>
      </c>
      <c r="P60">
        <f>-678.270112377273 -266.645019308728 -242.884986531555</f>
        <v>-1187.800118217556</v>
      </c>
      <c r="Q60">
        <f>-505.406531585369 -123.92930288142 -331.209890552519</f>
        <v>-960.54572501930807</v>
      </c>
      <c r="R60" t="s">
        <v>631</v>
      </c>
      <c r="S60" t="s">
        <v>632</v>
      </c>
      <c r="T60" t="s">
        <v>633</v>
      </c>
      <c r="U60" t="s">
        <v>634</v>
      </c>
      <c r="V60">
        <f>-602.569063202695 -131.676464764701 -97.4398441786269</f>
        <v>-831.68537214602293</v>
      </c>
      <c r="W60" t="s">
        <v>635</v>
      </c>
      <c r="X60" t="s">
        <v>636</v>
      </c>
      <c r="Y60" t="s">
        <v>637</v>
      </c>
    </row>
    <row r="61" spans="1:25" x14ac:dyDescent="0.3">
      <c r="A61">
        <v>3000</v>
      </c>
      <c r="B61" t="s">
        <v>638</v>
      </c>
      <c r="C61">
        <f>-621.211161483405 -37.6396563326757 -98.7334902470585</f>
        <v>-757.58430806313925</v>
      </c>
      <c r="D61">
        <f>-650.010037325474 -46.3219304617439 -210.588152735571</f>
        <v>-906.92012052278892</v>
      </c>
      <c r="E61">
        <f>-663.937657200016 -49.1177854281898 -308.183558415739</f>
        <v>-1021.2390010439449</v>
      </c>
      <c r="F61">
        <f>-672.775361302079 -49.8889788333521 -396.837526300858</f>
        <v>-1119.501866436289</v>
      </c>
      <c r="G61">
        <f>-677.504855442217 -48.8294454461521 -485.802529374408</f>
        <v>-1212.136830262777</v>
      </c>
      <c r="H61">
        <f>-679.800135876412 -45.4245579749432 -610.317456317641</f>
        <v>-1335.5421501689962</v>
      </c>
      <c r="I61">
        <f>-645.6430806512 -37.1672035072838 -685.617752550034</f>
        <v>-1368.4280367085178</v>
      </c>
      <c r="J61">
        <f>-684.309548417013 -19.7822625449619 -554.680771825421</f>
        <v>-1258.772582787396</v>
      </c>
      <c r="K61" t="s">
        <v>639</v>
      </c>
      <c r="L61" t="s">
        <v>640</v>
      </c>
      <c r="M61" t="s">
        <v>641</v>
      </c>
      <c r="N61">
        <f>-673.270654174389 -74.0635586208342 -556.36851120019</f>
        <v>-1303.7027239954132</v>
      </c>
      <c r="O61">
        <f>-651.466014354717 -207.187841007259 -529.878561880534</f>
        <v>-1388.5324172425098</v>
      </c>
      <c r="P61">
        <f>-677.74239110879 -266.635561170134 -242.882519974671</f>
        <v>-1187.260472253595</v>
      </c>
      <c r="Q61">
        <f>-504.821370592465 -123.980072402696 -331.192199422417</f>
        <v>-959.99364241757803</v>
      </c>
      <c r="R61" t="s">
        <v>642</v>
      </c>
      <c r="S61" t="s">
        <v>643</v>
      </c>
      <c r="T61" t="s">
        <v>644</v>
      </c>
      <c r="U61" t="s">
        <v>645</v>
      </c>
      <c r="V61">
        <f>-602.179863546986 -131.672003308245 -97.4376691429317</f>
        <v>-831.28953599816271</v>
      </c>
      <c r="W61" t="s">
        <v>646</v>
      </c>
      <c r="X61" t="s">
        <v>647</v>
      </c>
      <c r="Y61" t="s">
        <v>648</v>
      </c>
    </row>
    <row r="62" spans="1:25" x14ac:dyDescent="0.3">
      <c r="A62">
        <v>3050</v>
      </c>
      <c r="B62" t="s">
        <v>649</v>
      </c>
      <c r="C62">
        <f>-621.062209732137 -37.5561501417044 -98.74085574215</f>
        <v>-757.35921561599139</v>
      </c>
      <c r="D62">
        <f>-649.823059351703 -46.230845651955 -210.605951196576</f>
        <v>-906.659856200234</v>
      </c>
      <c r="E62">
        <f>-663.717744528982 -49.0207188403135 -308.20619697874</f>
        <v>-1020.9446603480355</v>
      </c>
      <c r="F62">
        <f>-672.525713611083 -49.7870488128003 -396.863277504852</f>
        <v>-1119.1760399287355</v>
      </c>
      <c r="G62">
        <f>-677.225530494298 -48.7223639095656 -485.829687697536</f>
        <v>-1211.7775821013997</v>
      </c>
      <c r="H62">
        <f>-679.479399827132 -45.3106862781705 -610.345005598534</f>
        <v>-1335.1350917038367</v>
      </c>
      <c r="I62">
        <f>-645.282255633145 -36.9955741912515 -685.620744050252</f>
        <v>-1367.8985738746487</v>
      </c>
      <c r="J62">
        <f>-684.011798609105 -19.6723608928087 -554.708398441768</f>
        <v>-1258.3925579436818</v>
      </c>
      <c r="K62" t="s">
        <v>650</v>
      </c>
      <c r="L62" t="s">
        <v>651</v>
      </c>
      <c r="M62" t="s">
        <v>652</v>
      </c>
      <c r="N62">
        <f>-672.963439550436 -73.9517421907761 -556.39553783536</f>
        <v>-1303.310719576572</v>
      </c>
      <c r="O62">
        <f>-651.156100373396 -207.075907121128 -529.915948922656</f>
        <v>-1388.14795641718</v>
      </c>
      <c r="P62">
        <f>-677.452077533054 -266.573822566422 -242.932047585674</f>
        <v>-1186.95794768515</v>
      </c>
      <c r="Q62">
        <f>-504.482284677171 -123.925247390578 -331.157246947965</f>
        <v>-959.56477901571407</v>
      </c>
      <c r="R62" t="s">
        <v>653</v>
      </c>
      <c r="S62" t="s">
        <v>654</v>
      </c>
      <c r="T62" t="s">
        <v>655</v>
      </c>
      <c r="U62" t="s">
        <v>656</v>
      </c>
      <c r="V62">
        <f>-602.023303757491 -131.496495591654 -97.4500511557953</f>
        <v>-830.96985050494038</v>
      </c>
      <c r="W62" t="s">
        <v>657</v>
      </c>
      <c r="X62" t="s">
        <v>658</v>
      </c>
      <c r="Y62" t="s">
        <v>659</v>
      </c>
    </row>
    <row r="63" spans="1:25" x14ac:dyDescent="0.3">
      <c r="A63">
        <v>3100</v>
      </c>
      <c r="B63" t="s">
        <v>660</v>
      </c>
      <c r="C63">
        <f>-620.956042587978 -37.5374187196012 -98.7477718368336</f>
        <v>-757.24123314441283</v>
      </c>
      <c r="D63">
        <f>-649.684168372833 -46.2068380783065 -210.62165368696</f>
        <v>-906.51266013809959</v>
      </c>
      <c r="E63">
        <f>-663.548178235692 -48.9912895665933 -308.226402587625</f>
        <v>-1020.7658703899103</v>
      </c>
      <c r="F63">
        <f>-672.327435721784 -49.7522448598787 -396.886450293256</f>
        <v>-1118.9661308749187</v>
      </c>
      <c r="G63">
        <f>-676.997688223413 -48.6819180178865 -485.85427563323</f>
        <v>-1211.5338818745295</v>
      </c>
      <c r="H63">
        <f>-679.209445733077 -45.2616361290794 -610.370175444227</f>
        <v>-1334.8412573063833</v>
      </c>
      <c r="I63">
        <f>-644.969116039925 -36.8944199463344 -685.620471032622</f>
        <v>-1367.4840070188816</v>
      </c>
      <c r="J63">
        <f>-683.767953349566 -19.6285532971019 -554.733138903544</f>
        <v>-1258.129645550212</v>
      </c>
      <c r="K63" t="s">
        <v>661</v>
      </c>
      <c r="L63" t="s">
        <v>662</v>
      </c>
      <c r="M63" t="s">
        <v>663</v>
      </c>
      <c r="N63">
        <f>-672.70439834797 -73.9048684056723 -556.420639771191</f>
        <v>-1303.0299065248332</v>
      </c>
      <c r="O63">
        <f>-650.881178654716 -207.033042788627 -529.960079419671</f>
        <v>-1387.874300863014</v>
      </c>
      <c r="P63">
        <f>-677.241100647754 -266.557287146888 -242.987596140385</f>
        <v>-1186.7859839350269</v>
      </c>
      <c r="Q63">
        <f>-504.215959803765 -123.933053281597 -331.143881107106</f>
        <v>-959.29289419246788</v>
      </c>
      <c r="R63" t="s">
        <v>664</v>
      </c>
      <c r="S63" t="s">
        <v>665</v>
      </c>
      <c r="T63" t="s">
        <v>666</v>
      </c>
      <c r="U63" t="s">
        <v>667</v>
      </c>
      <c r="V63">
        <f>-601.919566993927 -131.47925927878 -97.4575178244131</f>
        <v>-830.85634409712009</v>
      </c>
      <c r="W63" t="s">
        <v>668</v>
      </c>
      <c r="X63" t="s">
        <v>669</v>
      </c>
      <c r="Y63" t="s">
        <v>670</v>
      </c>
    </row>
    <row r="64" spans="1:25" x14ac:dyDescent="0.3">
      <c r="A64">
        <v>3150</v>
      </c>
      <c r="B64" t="s">
        <v>671</v>
      </c>
      <c r="C64">
        <f>-620.822742288206 -37.5800341272663 -98.7603696588443</f>
        <v>-757.16314607431661</v>
      </c>
      <c r="D64">
        <f>-649.496524563948 -46.2365530021643 -210.649233266313</f>
        <v>-906.38231083242533</v>
      </c>
      <c r="E64">
        <f>-663.315805204168 -48.9918518759529 -308.261144042939</f>
        <v>-1020.5688011230599</v>
      </c>
      <c r="F64">
        <f>-672.055521019964 -49.7195710772002 -396.925217516317</f>
        <v>-1118.7003096134811</v>
      </c>
      <c r="G64">
        <f>-676.687223340097 -48.6084791658477 -485.894651973578</f>
        <v>-1211.1903544795227</v>
      </c>
      <c r="H64">
        <f>-678.846206585364 -45.1238232454587 -610.409813201008</f>
        <v>-1334.3798430318307</v>
      </c>
      <c r="I64">
        <f>-644.519973319102 -36.6512912557503 -685.609233769095</f>
        <v>-1366.7804983439473</v>
      </c>
      <c r="J64">
        <f>-683.437226752058 -19.5213546057676 -554.761240919649</f>
        <v>-1257.7198222774746</v>
      </c>
      <c r="K64" t="s">
        <v>672</v>
      </c>
      <c r="L64" t="s">
        <v>673</v>
      </c>
      <c r="M64" t="s">
        <v>674</v>
      </c>
      <c r="N64">
        <f>-672.354973457748 -73.7931753351677 -556.472352746443</f>
        <v>-1302.6205015393587</v>
      </c>
      <c r="O64">
        <f>-650.531138864033 -206.926985271798 -530.051018637947</f>
        <v>-1387.509142773778</v>
      </c>
      <c r="P64">
        <f>-676.975538300754 -266.58329001321 -243.113656853625</f>
        <v>-1186.672485167589</v>
      </c>
      <c r="Q64">
        <f>-503.927098489176 -123.947297203893 -331.204942998829</f>
        <v>-959.07933869189799</v>
      </c>
      <c r="R64" t="s">
        <v>675</v>
      </c>
      <c r="S64" t="s">
        <v>676</v>
      </c>
      <c r="T64" t="s">
        <v>677</v>
      </c>
      <c r="U64" t="s">
        <v>678</v>
      </c>
      <c r="V64">
        <f>-601.737374101698 -131.613678689236 -97.4687887589712</f>
        <v>-830.81984154990528</v>
      </c>
      <c r="W64" t="s">
        <v>679</v>
      </c>
      <c r="X64" t="s">
        <v>680</v>
      </c>
      <c r="Y64" t="s">
        <v>681</v>
      </c>
    </row>
    <row r="65" spans="1:25" x14ac:dyDescent="0.3">
      <c r="A65">
        <v>3200</v>
      </c>
      <c r="B65" t="s">
        <v>682</v>
      </c>
      <c r="C65">
        <f>-620.66461192935 -37.5447224797231 -98.7736603963903</f>
        <v>-756.98299480546336</v>
      </c>
      <c r="D65">
        <f>-649.320946899785 -46.2044792759472 -210.666658955349</f>
        <v>-906.19208513108117</v>
      </c>
      <c r="E65">
        <f>-663.088566491592 -48.9302939665647 -308.286837185553</f>
        <v>-1020.3056976437097</v>
      </c>
      <c r="F65">
        <f>-671.766397467391 -49.6182894754833 -396.957219521815</f>
        <v>-1118.3419064646891</v>
      </c>
      <c r="G65">
        <f>-676.321200193342 -48.4544899533156 -485.930016844879</f>
        <v>-1210.7057069915365</v>
      </c>
      <c r="H65">
        <f>-678.356966967101 -44.8824748473229 -610.444651865801</f>
        <v>-1333.684093680225</v>
      </c>
      <c r="I65">
        <f>-643.91348644506 -36.3180715853296 -685.580035776684</f>
        <v>-1365.8115938070737</v>
      </c>
      <c r="J65">
        <f>-683.012222092472 -19.3209773304065 -554.782816005153</f>
        <v>-1257.1160154280315</v>
      </c>
      <c r="K65" t="s">
        <v>683</v>
      </c>
      <c r="L65" t="s">
        <v>684</v>
      </c>
      <c r="M65" t="s">
        <v>685</v>
      </c>
      <c r="N65">
        <f>-671.910096583527 -73.5877409708119 -556.521014620275</f>
        <v>-1302.0188521746138</v>
      </c>
      <c r="O65">
        <f>-650.079566092445 -206.72904752904 -530.140417799885</f>
        <v>-1386.9490314213699</v>
      </c>
      <c r="P65">
        <f>-676.646085798767 -266.522265839293 -243.242974938989</f>
        <v>-1186.4113265770491</v>
      </c>
      <c r="Q65">
        <f>-503.667153647554 -123.757305983872 -331.261794170226</f>
        <v>-958.6862538016519</v>
      </c>
      <c r="R65" t="s">
        <v>686</v>
      </c>
      <c r="S65" t="s">
        <v>687</v>
      </c>
      <c r="T65" t="s">
        <v>688</v>
      </c>
      <c r="U65" t="s">
        <v>689</v>
      </c>
      <c r="V65">
        <f>-601.565545716563 -131.540100209165 -97.4873410238652</f>
        <v>-830.59298694959307</v>
      </c>
      <c r="W65" t="s">
        <v>690</v>
      </c>
      <c r="X65" t="s">
        <v>691</v>
      </c>
      <c r="Y65" t="s">
        <v>692</v>
      </c>
    </row>
    <row r="66" spans="1:25" x14ac:dyDescent="0.3">
      <c r="A66">
        <v>3250</v>
      </c>
      <c r="B66" t="s">
        <v>693</v>
      </c>
      <c r="C66">
        <f>-620.614696314363 -37.5267042516482 -98.772912088641</f>
        <v>-756.91431265465212</v>
      </c>
      <c r="D66">
        <f>-649.256584131226 -46.177070288081 -210.670310150907</f>
        <v>-906.10396457021398</v>
      </c>
      <c r="E66">
        <f>-662.98742108406 -48.8763601244548 -308.296330985038</f>
        <v>-1020.1601121935528</v>
      </c>
      <c r="F66">
        <f>-671.622339442546 -49.5326622070468 -396.971307943055</f>
        <v>-1118.1263095926479</v>
      </c>
      <c r="G66">
        <f>-676.124459134782 -48.3294687612631 -485.94605256645</f>
        <v>-1210.399980462495</v>
      </c>
      <c r="H66">
        <f>-678.076383515781 -44.6936673511152 -610.460287166565</f>
        <v>-1333.2303380334611</v>
      </c>
      <c r="I66">
        <f>-643.571265888017 -36.071770395198 -685.560741313641</f>
        <v>-1365.2037775968561</v>
      </c>
      <c r="J66">
        <f>-682.774259828229 -19.161656288137 -554.788422592371</f>
        <v>-1256.7243387087369</v>
      </c>
      <c r="K66" t="s">
        <v>694</v>
      </c>
      <c r="L66" t="s">
        <v>695</v>
      </c>
      <c r="M66" t="s">
        <v>696</v>
      </c>
      <c r="N66">
        <f>-671.66063275133 -73.4254876230511 -556.54725457607</f>
        <v>-1301.6333749504511</v>
      </c>
      <c r="O66">
        <f>-649.833319370824 -206.574515246382 -530.204233012893</f>
        <v>-1386.6120676300991</v>
      </c>
      <c r="P66">
        <f>-676.475798078651 -266.465134066725 -243.334136201848</f>
        <v>-1186.2750683472241</v>
      </c>
      <c r="Q66">
        <f>-503.527439889969 -123.635138367542 -331.30741247459</f>
        <v>-958.469990732101</v>
      </c>
      <c r="R66" t="s">
        <v>697</v>
      </c>
      <c r="S66" t="s">
        <v>698</v>
      </c>
      <c r="T66" t="s">
        <v>699</v>
      </c>
      <c r="U66" t="s">
        <v>700</v>
      </c>
      <c r="V66">
        <f>-601.511794023613 -131.506013761449 -97.4907233630854</f>
        <v>-830.50853114814743</v>
      </c>
      <c r="W66" t="s">
        <v>701</v>
      </c>
      <c r="X66" t="s">
        <v>702</v>
      </c>
      <c r="Y66" t="s">
        <v>703</v>
      </c>
    </row>
    <row r="67" spans="1:25" x14ac:dyDescent="0.3">
      <c r="A67">
        <v>3300</v>
      </c>
      <c r="B67" t="s">
        <v>704</v>
      </c>
      <c r="C67">
        <f>-620.62787204318 -37.5492524445351 -98.7613936651844</f>
        <v>-756.93851815289952</v>
      </c>
      <c r="D67">
        <f>-649.228051519254 -46.1601944471382 -210.672574395751</f>
        <v>-906.0608203621432</v>
      </c>
      <c r="E67">
        <f>-662.892815858702 -48.8137154080861 -308.3091077973</f>
        <v>-1020.015639064088</v>
      </c>
      <c r="F67">
        <f>-671.456091657702 -49.4230510320511 -396.99140011366</f>
        <v>-1117.8705428034132</v>
      </c>
      <c r="G67">
        <f>-675.874772748847 -48.1667862599953 -485.969622789912</f>
        <v>-1210.0111817987545</v>
      </c>
      <c r="H67">
        <f>-677.698182450369 -44.450686168931 -610.483343953539</f>
        <v>-1332.6322125728391</v>
      </c>
      <c r="I67">
        <f>-643.079679205889 -35.7382249988946 -685.521182955058</f>
        <v>-1364.3390871598415</v>
      </c>
      <c r="J67">
        <f>-682.461568435519 -18.9563656570251 -554.799839699449</f>
        <v>-1256.2177737919931</v>
      </c>
      <c r="K67" t="s">
        <v>705</v>
      </c>
      <c r="L67" t="s">
        <v>706</v>
      </c>
      <c r="M67" t="s">
        <v>707</v>
      </c>
      <c r="N67">
        <f>-671.330035901399 -73.215687145802 -556.582255316239</f>
        <v>-1301.12797836344</v>
      </c>
      <c r="O67">
        <f>-649.515005845811 -206.37419817802 -530.297830894381</f>
        <v>-1386.187034918212</v>
      </c>
      <c r="P67">
        <f>-676.318628937467 -266.46284963168 -243.484224160466</f>
        <v>-1186.2657027296129</v>
      </c>
      <c r="Q67">
        <f>-503.301663402979 -123.639257402793 -331.33303955931</f>
        <v>-958.27396036508196</v>
      </c>
      <c r="R67" t="s">
        <v>708</v>
      </c>
      <c r="S67" t="s">
        <v>709</v>
      </c>
      <c r="T67" t="s">
        <v>710</v>
      </c>
      <c r="U67" t="s">
        <v>711</v>
      </c>
      <c r="V67">
        <f>-601.567669772254 -131.506442658475 -97.5006731185613</f>
        <v>-830.57478554929025</v>
      </c>
      <c r="W67" t="s">
        <v>712</v>
      </c>
      <c r="X67" t="s">
        <v>713</v>
      </c>
      <c r="Y67" t="s">
        <v>714</v>
      </c>
    </row>
    <row r="68" spans="1:25" x14ac:dyDescent="0.3">
      <c r="A68">
        <v>3350</v>
      </c>
      <c r="B68" t="s">
        <v>715</v>
      </c>
      <c r="C68">
        <f>-620.651310009056 -37.5217028237425 -98.7516560106139</f>
        <v>-756.92466884341252</v>
      </c>
      <c r="D68">
        <f>-649.236705946961 -46.1142392574034 -210.667895704044</f>
        <v>-906.01884090840838</v>
      </c>
      <c r="E68">
        <f>-662.876797582586 -48.7448773401027 -308.308660019257</f>
        <v>-1019.9303349419457</v>
      </c>
      <c r="F68">
        <f>-671.412887872929 -49.3306039294711 -396.993578243767</f>
        <v>-1117.737070046167</v>
      </c>
      <c r="G68">
        <f>-675.799875545482 -48.0474827895611 -485.973075265224</f>
        <v>-1209.8204336002671</v>
      </c>
      <c r="H68">
        <f>-677.573968237376 -44.2905192933641 -610.486218362062</f>
        <v>-1332.3507058928021</v>
      </c>
      <c r="I68">
        <f>-642.913714167856 -35.534750737208 -685.499815795996</f>
        <v>-1363.94828070106</v>
      </c>
      <c r="J68">
        <f>-682.361256463719 -18.8147666107222 -554.796294014032</f>
        <v>-1255.9723170884731</v>
      </c>
      <c r="K68" t="s">
        <v>716</v>
      </c>
      <c r="L68" t="s">
        <v>717</v>
      </c>
      <c r="M68" t="s">
        <v>718</v>
      </c>
      <c r="N68">
        <f>-671.225274481148 -73.0728576837055 -556.592090707914</f>
        <v>-1300.8902228727675</v>
      </c>
      <c r="O68">
        <f>-649.420185997512 -206.247032782846 -530.347989377843</f>
        <v>-1386.0152081582009</v>
      </c>
      <c r="P68">
        <f>-676.311809001489 -266.431785015707 -243.562683676548</f>
        <v>-1186.3062776937441</v>
      </c>
      <c r="Q68">
        <f>-503.246362345385 -123.610071407934 -331.318823409994</f>
        <v>-958.17525716331306</v>
      </c>
      <c r="R68" t="s">
        <v>719</v>
      </c>
      <c r="S68" t="s">
        <v>720</v>
      </c>
      <c r="T68" t="s">
        <v>721</v>
      </c>
      <c r="U68" t="s">
        <v>722</v>
      </c>
      <c r="V68">
        <f>-601.606712339919 -131.437765307783 -97.5061781394047</f>
        <v>-830.55065578710673</v>
      </c>
      <c r="W68" t="s">
        <v>723</v>
      </c>
      <c r="X68" t="s">
        <v>724</v>
      </c>
      <c r="Y68" t="s">
        <v>725</v>
      </c>
    </row>
    <row r="69" spans="1:25" x14ac:dyDescent="0.3">
      <c r="A69">
        <v>3400</v>
      </c>
      <c r="B69" t="s">
        <v>726</v>
      </c>
      <c r="C69">
        <f>-620.659515096974 -37.4882094506702 -98.7516982270213</f>
        <v>-756.89942277466548</v>
      </c>
      <c r="D69">
        <f>-649.231648240312 -46.0731567263296 -210.672007695925</f>
        <v>-905.97681266256654</v>
      </c>
      <c r="E69">
        <f>-662.848636663413 -48.6874600502321 -308.316299504201</f>
        <v>-1019.852396217846</v>
      </c>
      <c r="F69">
        <f>-671.359285345276 -49.2543098570072 -397.003911538266</f>
        <v>-1117.6175067405493</v>
      </c>
      <c r="G69">
        <f>-675.715998665353 -47.948454541488 -485.984532687429</f>
        <v>-1209.64898589427</v>
      </c>
      <c r="H69">
        <f>-677.443125558304 -44.1549849394052 -610.497275732533</f>
        <v>-1332.0953862302422</v>
      </c>
      <c r="I69">
        <f>-642.739620169027 -35.3583640707341 -685.486013190327</f>
        <v>-1363.5839974300879</v>
      </c>
      <c r="J69">
        <f>-682.252342804803 -18.6957758842136 -554.801538379667</f>
        <v>-1255.7496570686835</v>
      </c>
      <c r="K69" t="s">
        <v>727</v>
      </c>
      <c r="L69" t="s">
        <v>728</v>
      </c>
      <c r="M69" t="s">
        <v>729</v>
      </c>
      <c r="N69">
        <f>-671.113874242878 -72.9528636011678 -556.609053665033</f>
        <v>-1300.6757915090789</v>
      </c>
      <c r="O69">
        <f>-649.314801478213 -206.135242175523 -530.401929300527</f>
        <v>-1385.8519729542629</v>
      </c>
      <c r="P69">
        <f>-676.266305306045 -266.391264726522 -243.637105399641</f>
        <v>-1186.2946754322081</v>
      </c>
      <c r="Q69">
        <f>-503.15209531853 -123.588808859053 -331.328623276176</f>
        <v>-958.06952745375895</v>
      </c>
      <c r="R69" t="s">
        <v>730</v>
      </c>
      <c r="S69" t="s">
        <v>731</v>
      </c>
      <c r="T69" t="s">
        <v>732</v>
      </c>
      <c r="U69" t="s">
        <v>733</v>
      </c>
      <c r="V69">
        <f>-601.606438384225 -131.401409102522 -97.5099465045424</f>
        <v>-830.51779399128952</v>
      </c>
      <c r="W69" t="s">
        <v>734</v>
      </c>
      <c r="X69" t="s">
        <v>735</v>
      </c>
      <c r="Y69" t="s">
        <v>736</v>
      </c>
    </row>
    <row r="70" spans="1:25" x14ac:dyDescent="0.3">
      <c r="A70">
        <v>3450</v>
      </c>
      <c r="B70" t="s">
        <v>737</v>
      </c>
      <c r="C70">
        <f>-620.659868129644 -37.4330072479447 -98.7471077125795</f>
        <v>-756.83998309016818</v>
      </c>
      <c r="D70">
        <f>-649.233352715073 -45.9901286531635 -210.669209970667</f>
        <v>-905.89269133890355</v>
      </c>
      <c r="E70">
        <f>-662.834168416979 -48.565000340075 -308.316740043433</f>
        <v>-1019.715908800487</v>
      </c>
      <c r="F70">
        <f>-671.323010678293 -49.0900597669591 -397.006745149103</f>
        <v>-1117.4198155943552</v>
      </c>
      <c r="G70">
        <f>-675.65071329478 -47.7361557191141 -485.988086805875</f>
        <v>-1209.3749558197692</v>
      </c>
      <c r="H70">
        <f>-677.329692579118 -43.8695344861495 -610.499288613047</f>
        <v>-1331.6985156783146</v>
      </c>
      <c r="I70">
        <f>-642.552061814201 -34.999942191027 -685.445113480317</f>
        <v>-1362.997117485545</v>
      </c>
      <c r="J70">
        <f>-682.156920663331 -18.4422720582895 -554.790534819074</f>
        <v>-1255.3897275406944</v>
      </c>
      <c r="K70" t="s">
        <v>738</v>
      </c>
      <c r="L70" t="s">
        <v>739</v>
      </c>
      <c r="M70" t="s">
        <v>740</v>
      </c>
      <c r="N70">
        <f>-671.024845076642 -72.6998077228099 -556.625550905725</f>
        <v>-1300.3502037051769</v>
      </c>
      <c r="O70">
        <f>-649.266846049737 -205.904560234154 -530.498673045769</f>
        <v>-1385.67007932966</v>
      </c>
      <c r="P70">
        <f>-676.270970333612 -266.344806140381 -243.777485250993</f>
        <v>-1186.3932617249861</v>
      </c>
      <c r="Q70">
        <f>-503.136091978578 -123.536402806035 -331.418554435572</f>
        <v>-958.09104922018503</v>
      </c>
      <c r="R70" t="s">
        <v>741</v>
      </c>
      <c r="S70" t="s">
        <v>742</v>
      </c>
      <c r="T70" t="s">
        <v>743</v>
      </c>
      <c r="U70" t="s">
        <v>744</v>
      </c>
      <c r="V70">
        <f>-601.615653235827 -131.389021663236 -97.5220228542483</f>
        <v>-830.5266977533114</v>
      </c>
      <c r="W70" t="s">
        <v>745</v>
      </c>
      <c r="X70" t="s">
        <v>746</v>
      </c>
      <c r="Y70" t="s">
        <v>747</v>
      </c>
    </row>
    <row r="71" spans="1:25" x14ac:dyDescent="0.3">
      <c r="A71">
        <v>3500</v>
      </c>
      <c r="B71" t="s">
        <v>748</v>
      </c>
      <c r="C71">
        <f>-620.649662174334 -37.5076665712895 -98.7312854489256</f>
        <v>-756.88861419454918</v>
      </c>
      <c r="D71">
        <f>-649.257967421979 -46.0505096963108 -210.645616315591</f>
        <v>-905.95409343388076</v>
      </c>
      <c r="E71">
        <f>-662.862444420624 -48.5835579056314 -308.293672913491</f>
        <v>-1019.7396752397465</v>
      </c>
      <c r="F71">
        <f>-671.34392219447 -49.0583369121723 -396.984551902851</f>
        <v>-1117.3868110094934</v>
      </c>
      <c r="G71">
        <f>-675.653839890816 -47.6413780957982 -485.965855054034</f>
        <v>-1209.2610730406482</v>
      </c>
      <c r="H71">
        <f>-677.297023969173 -43.6728917352934 -610.474440966778</f>
        <v>-1331.4443566712443</v>
      </c>
      <c r="I71">
        <f>-642.472974071729 -34.7238779199379 -685.389127239089</f>
        <v>-1362.585979230756</v>
      </c>
      <c r="J71">
        <f>-682.14121137199 -18.2913577163611 -554.746261972728</f>
        <v>-1255.1788310610791</v>
      </c>
      <c r="K71" t="s">
        <v>749</v>
      </c>
      <c r="L71" t="s">
        <v>750</v>
      </c>
      <c r="M71" t="s">
        <v>751</v>
      </c>
      <c r="N71">
        <f>-671.006669736382 -72.5469794451828 -556.622463822043</f>
        <v>-1300.176113003608</v>
      </c>
      <c r="O71">
        <f>-649.260391102277 -205.77109644699 -530.580108322654</f>
        <v>-1385.6115958719211</v>
      </c>
      <c r="P71">
        <f>-676.239687588311 -266.390829639631 -243.894748725071</f>
        <v>-1186.5252659530129</v>
      </c>
      <c r="Q71">
        <f>-503.130941643694 -123.529784164806 -331.50149044013</f>
        <v>-958.16221624862987</v>
      </c>
      <c r="R71" t="s">
        <v>752</v>
      </c>
      <c r="S71" t="s">
        <v>753</v>
      </c>
      <c r="T71" t="s">
        <v>754</v>
      </c>
      <c r="U71" t="s">
        <v>755</v>
      </c>
      <c r="V71">
        <f>-601.659865651793 -131.488281923906 -97.5098075725459</f>
        <v>-830.65795514824492</v>
      </c>
      <c r="W71" t="s">
        <v>756</v>
      </c>
      <c r="X71" t="s">
        <v>757</v>
      </c>
      <c r="Y71" t="s">
        <v>758</v>
      </c>
    </row>
    <row r="72" spans="1:25" x14ac:dyDescent="0.3">
      <c r="A72">
        <v>3550</v>
      </c>
      <c r="B72" t="s">
        <v>759</v>
      </c>
      <c r="C72">
        <f>-620.675688705115 -37.4149486663011 -98.725430777727</f>
        <v>-756.81606814914312</v>
      </c>
      <c r="D72">
        <f>-649.301539985365 -45.9317536398148 -210.637218386918</f>
        <v>-905.87051201209783</v>
      </c>
      <c r="E72">
        <f>-662.910724344724 -48.4400426286804 -308.285226200543</f>
        <v>-1019.6359931739474</v>
      </c>
      <c r="F72">
        <f>-671.392414326306 -48.8908854995876 -396.976315565261</f>
        <v>-1117.2596153911547</v>
      </c>
      <c r="G72">
        <f>-675.698524910601 -47.4484638782342 -485.957273719217</f>
        <v>-1209.1042625080522</v>
      </c>
      <c r="H72">
        <f>-677.332204191697 -43.4426307935133 -610.46465984593</f>
        <v>-1331.2394948311403</v>
      </c>
      <c r="I72">
        <f>-642.493982588527 -34.4589329132145 -685.368836454934</f>
        <v>-1362.3217519566756</v>
      </c>
      <c r="J72">
        <f>-682.180810048693 -18.0779330384667 -554.729317667192</f>
        <v>-1254.9880607543519</v>
      </c>
      <c r="K72" t="s">
        <v>760</v>
      </c>
      <c r="L72" t="s">
        <v>761</v>
      </c>
      <c r="M72" t="s">
        <v>762</v>
      </c>
      <c r="N72">
        <f>-671.045752374007 -72.3328550135242 -556.621071637912</f>
        <v>-1299.9996790254431</v>
      </c>
      <c r="O72">
        <f>-649.295511493154 -205.55954137608 -530.607626618993</f>
        <v>-1385.462679488227</v>
      </c>
      <c r="P72">
        <f>-676.253667765026 -266.245551956402 -243.934216757286</f>
        <v>-1186.4334364787139</v>
      </c>
      <c r="Q72">
        <f>-503.128103263009 -123.392113599967 -331.520100926234</f>
        <v>-958.04031778921001</v>
      </c>
      <c r="R72" t="s">
        <v>763</v>
      </c>
      <c r="S72" t="s">
        <v>764</v>
      </c>
      <c r="T72" t="s">
        <v>765</v>
      </c>
      <c r="U72" t="s">
        <v>766</v>
      </c>
      <c r="V72">
        <f>-601.731315783513 -131.35229179016 -97.5118525586814</f>
        <v>-830.59546013235433</v>
      </c>
      <c r="W72" t="s">
        <v>767</v>
      </c>
      <c r="X72" t="s">
        <v>768</v>
      </c>
      <c r="Y72" t="s">
        <v>769</v>
      </c>
    </row>
    <row r="73" spans="1:25" x14ac:dyDescent="0.3">
      <c r="A73">
        <v>3600</v>
      </c>
      <c r="B73" t="s">
        <v>770</v>
      </c>
      <c r="C73">
        <f>-620.766733813429 -37.2868653867076 -98.7066825141268</f>
        <v>-756.76028171426344</v>
      </c>
      <c r="D73">
        <f>-649.414189178369 -45.7848457487027 -210.61438715742</f>
        <v>-905.81342208449166</v>
      </c>
      <c r="E73">
        <f>-663.031601950246 -48.2613435610554 -308.26215045574</f>
        <v>-1019.5550959670413</v>
      </c>
      <c r="F73">
        <f>-671.516682013411 -48.6765777571289 -396.953013199675</f>
        <v>-1117.146272970215</v>
      </c>
      <c r="G73">
        <f>-675.822004554096 -47.1917755170742 -485.933322958042</f>
        <v>-1208.9471030292123</v>
      </c>
      <c r="H73">
        <f>-677.450472011581 -43.119551217491 -610.438724338952</f>
        <v>-1331.0087475680241</v>
      </c>
      <c r="I73">
        <f>-642.601814128702 -34.0866785870417 -685.332003603417</f>
        <v>-1362.0204963191607</v>
      </c>
      <c r="J73">
        <f>-682.295200813357 -17.7832907179413 -554.689994396277</f>
        <v>-1254.7684859275755</v>
      </c>
      <c r="K73" t="s">
        <v>771</v>
      </c>
      <c r="L73" t="s">
        <v>772</v>
      </c>
      <c r="M73" t="s">
        <v>773</v>
      </c>
      <c r="N73">
        <f>-671.172512988949 -72.0397921368908 -556.610112329558</f>
        <v>-1299.822417455398</v>
      </c>
      <c r="O73">
        <f>-649.457977326918 -205.281632045339 -530.652841438446</f>
        <v>-1385.3924508107029</v>
      </c>
      <c r="P73">
        <f>-676.365649011982 -266.075286810731 -243.997383699717</f>
        <v>-1186.43831952243</v>
      </c>
      <c r="Q73">
        <f>-503.203929214922 -123.255135129727 -331.566368898535</f>
        <v>-958.02543324318412</v>
      </c>
      <c r="R73" t="s">
        <v>774</v>
      </c>
      <c r="S73" t="s">
        <v>775</v>
      </c>
      <c r="T73" t="s">
        <v>776</v>
      </c>
      <c r="U73" t="s">
        <v>777</v>
      </c>
      <c r="V73">
        <f>-601.853378702524 -131.253433932521 -97.5151934153899</f>
        <v>-830.62200605043495</v>
      </c>
      <c r="W73" t="s">
        <v>778</v>
      </c>
      <c r="X73" t="s">
        <v>779</v>
      </c>
      <c r="Y73" t="s">
        <v>780</v>
      </c>
    </row>
    <row r="74" spans="1:25" x14ac:dyDescent="0.3">
      <c r="A74">
        <v>3650</v>
      </c>
      <c r="B74" t="s">
        <v>781</v>
      </c>
      <c r="C74">
        <f>-620.807364015721 -37.2451055058439 -98.6933921327087</f>
        <v>-756.74586165427354</v>
      </c>
      <c r="D74">
        <f>-649.473963821776 -45.7399277119366 -210.596534031652</f>
        <v>-905.81042556536465</v>
      </c>
      <c r="E74">
        <f>-663.102895250524 -48.2049411329361 -308.242953387292</f>
        <v>-1019.5507897707522</v>
      </c>
      <c r="F74">
        <f>-671.596481689806 -48.6065649510786 -396.933118069764</f>
        <v>-1117.1361647106485</v>
      </c>
      <c r="G74">
        <f>-675.908352041844 -47.10476993623 -485.912758594392</f>
        <v>-1208.925880572466</v>
      </c>
      <c r="H74">
        <f>-677.543755690496 -43.0047891275024 -610.417129031326</f>
        <v>-1330.9656738493245</v>
      </c>
      <c r="I74">
        <f>-642.698545368669 -33.9475143540001 -685.309050822245</f>
        <v>-1361.9551105449141</v>
      </c>
      <c r="J74">
        <f>-682.383018271567 -17.6804528318976 -554.66255648135</f>
        <v>-1254.7260275848146</v>
      </c>
      <c r="K74" t="s">
        <v>782</v>
      </c>
      <c r="L74" t="s">
        <v>783</v>
      </c>
      <c r="M74" t="s">
        <v>784</v>
      </c>
      <c r="N74">
        <f>-671.265235675303 -71.9374850416036 -556.595319077713</f>
        <v>-1299.7980397946196</v>
      </c>
      <c r="O74">
        <f>-649.569687888492 -205.189227335896 -530.66231228281</f>
        <v>-1385.4212275071982</v>
      </c>
      <c r="P74">
        <f>-676.46569331707 -266.002473980707 -244.009960621123</f>
        <v>-1186.4781279189001</v>
      </c>
      <c r="Q74">
        <f>-503.26837466974 -123.214536167271 -331.561076146588</f>
        <v>-958.04398698359898</v>
      </c>
      <c r="R74" t="s">
        <v>785</v>
      </c>
      <c r="S74" t="s">
        <v>786</v>
      </c>
      <c r="T74" t="s">
        <v>787</v>
      </c>
      <c r="U74" t="s">
        <v>788</v>
      </c>
      <c r="V74">
        <f>-601.900408896046 -131.232456190447 -97.5074643942199</f>
        <v>-830.64032948071292</v>
      </c>
      <c r="W74" t="s">
        <v>789</v>
      </c>
      <c r="X74" t="s">
        <v>790</v>
      </c>
      <c r="Y74" t="s">
        <v>791</v>
      </c>
    </row>
    <row r="75" spans="1:25" x14ac:dyDescent="0.3">
      <c r="A75">
        <v>3700</v>
      </c>
      <c r="B75" t="s">
        <v>792</v>
      </c>
      <c r="C75">
        <f>-620.870077982388 -37.0254285796066 -98.6878275969657</f>
        <v>-756.58333415896027</v>
      </c>
      <c r="D75">
        <f>-649.580195719708 -45.5195246803246 -210.579753195189</f>
        <v>-905.67947359522157</v>
      </c>
      <c r="E75">
        <f>-663.236458922283 -47.9766112009892 -308.22260085736</f>
        <v>-1019.4356709806322</v>
      </c>
      <c r="F75">
        <f>-671.750421696912 -48.3680333092717 -396.910714231341</f>
        <v>-1117.0291692375247</v>
      </c>
      <c r="G75">
        <f>-676.078202340903 -46.8533439849103 -485.889624864838</f>
        <v>-1208.8211711906513</v>
      </c>
      <c r="H75">
        <f>-677.731011389979 -42.7329851524205 -610.393029318349</f>
        <v>-1330.8570258607485</v>
      </c>
      <c r="I75">
        <f>-642.89374899095 -33.6447851814248 -685.284939616828</f>
        <v>-1361.8234737892028</v>
      </c>
      <c r="J75">
        <f>-682.553634106169 -17.4159210756084 -554.633606885763</f>
        <v>-1254.6031620675403</v>
      </c>
      <c r="K75" t="s">
        <v>793</v>
      </c>
      <c r="L75" t="s">
        <v>794</v>
      </c>
      <c r="M75" t="s">
        <v>795</v>
      </c>
      <c r="N75">
        <f>-671.45380751385 -71.6763600645037 -556.576777373292</f>
        <v>-1299.7069449516457</v>
      </c>
      <c r="O75">
        <f>-649.800965494497 -204.935621740963 -530.653946340691</f>
        <v>-1385.390533576151</v>
      </c>
      <c r="P75">
        <f>-676.687798924947 -265.758598225063 -244.002899456098</f>
        <v>-1186.449296606108</v>
      </c>
      <c r="Q75">
        <f>-503.426945296085 -123.064169463815 -331.580587781654</f>
        <v>-958.07170254155403</v>
      </c>
      <c r="R75" t="s">
        <v>796</v>
      </c>
      <c r="S75" t="s">
        <v>797</v>
      </c>
      <c r="T75" t="s">
        <v>798</v>
      </c>
      <c r="U75" t="s">
        <v>799</v>
      </c>
      <c r="V75">
        <f>-601.989133965451 -131.015151018079 -97.5038043235428</f>
        <v>-830.50808930707274</v>
      </c>
      <c r="W75" t="s">
        <v>800</v>
      </c>
      <c r="X75" t="s">
        <v>801</v>
      </c>
      <c r="Y75" t="s">
        <v>802</v>
      </c>
    </row>
    <row r="76" spans="1:25" x14ac:dyDescent="0.3">
      <c r="A76">
        <v>3750</v>
      </c>
      <c r="B76" t="s">
        <v>803</v>
      </c>
      <c r="C76">
        <f>-620.905478935485 -36.9086715848896 -98.6751457002256</f>
        <v>-756.48929622060018</v>
      </c>
      <c r="D76">
        <f>-649.627861144984 -45.3940484696748 -210.564534160666</f>
        <v>-905.58644377532471</v>
      </c>
      <c r="E76">
        <f>-663.297829195969 -47.8524206828787 -308.205527562113</f>
        <v>-1019.3557774409608</v>
      </c>
      <c r="F76">
        <f>-671.825459559538 -48.2483210077801 -396.892443127702</f>
        <v>-1116.9662236950201</v>
      </c>
      <c r="G76">
        <f>-676.168205718194 -46.7411512611504 -485.870647259522</f>
        <v>-1208.7800042388665</v>
      </c>
      <c r="H76">
        <f>-677.843468481965 -42.6347905677751 -610.374269391846</f>
        <v>-1330.8525284415862</v>
      </c>
      <c r="I76">
        <f>-643.014770366899 -33.5415049512117 -685.269425657292</f>
        <v>-1361.8257009754027</v>
      </c>
      <c r="J76">
        <f>-682.651294823554 -17.3104783283152 -554.616762736513</f>
        <v>-1254.5785358883822</v>
      </c>
      <c r="K76" t="s">
        <v>804</v>
      </c>
      <c r="L76" t="s">
        <v>805</v>
      </c>
      <c r="M76" t="s">
        <v>806</v>
      </c>
      <c r="N76">
        <f>-671.561257307776 -71.5730695172863 -556.555628832396</f>
        <v>-1299.6899556574583</v>
      </c>
      <c r="O76">
        <f>-649.932545944537 -204.833351018189 -530.611036740494</f>
        <v>-1385.3769337032199</v>
      </c>
      <c r="P76">
        <f>-676.799763235264 -265.565112081649 -243.938710192726</f>
        <v>-1186.3035855096389</v>
      </c>
      <c r="Q76">
        <f>-503.499616790588 -122.9454918284 -331.560419207759</f>
        <v>-958.00552782674708</v>
      </c>
      <c r="R76" t="s">
        <v>807</v>
      </c>
      <c r="S76" t="s">
        <v>808</v>
      </c>
      <c r="T76" t="s">
        <v>809</v>
      </c>
      <c r="U76" t="s">
        <v>810</v>
      </c>
      <c r="V76">
        <f>-602.050454418972 -130.924966804873 -97.4961658175301</f>
        <v>-830.47158704137507</v>
      </c>
      <c r="W76" t="s">
        <v>811</v>
      </c>
      <c r="X76" t="s">
        <v>812</v>
      </c>
      <c r="Y76" t="s">
        <v>813</v>
      </c>
    </row>
    <row r="77" spans="1:25" x14ac:dyDescent="0.3">
      <c r="A77">
        <v>3800</v>
      </c>
      <c r="B77" t="s">
        <v>814</v>
      </c>
      <c r="C77">
        <f>-620.90987769151 -36.9226477687034 -98.6708021007834</f>
        <v>-756.50332756099681</v>
      </c>
      <c r="D77">
        <f>-649.640586775782 -45.4061121209434 -210.558296843068</f>
        <v>-905.60499573979337</v>
      </c>
      <c r="E77">
        <f>-663.315654469225 -47.8644885407305 -308.198378860718</f>
        <v>-1019.3785218706735</v>
      </c>
      <c r="F77">
        <f>-671.847075723794 -48.2612852318728 -396.88489571858</f>
        <v>-1116.9932566742468</v>
      </c>
      <c r="G77">
        <f>-676.192842110127 -46.7557653378392 -485.862954039613</f>
        <v>-1208.8115614875792</v>
      </c>
      <c r="H77">
        <f>-677.871404872161 -42.6525198221675 -610.36662917577</f>
        <v>-1330.8905538700983</v>
      </c>
      <c r="I77">
        <f>-643.04418620432 -33.5610667759536 -685.262910820165</f>
        <v>-1361.8681638004387</v>
      </c>
      <c r="J77">
        <f>-682.674696524193 -17.3262333510941 -554.60981789372</f>
        <v>-1254.610747769007</v>
      </c>
      <c r="K77" t="s">
        <v>815</v>
      </c>
      <c r="L77" t="s">
        <v>816</v>
      </c>
      <c r="M77" t="s">
        <v>817</v>
      </c>
      <c r="N77">
        <f>-671.590819321553 -71.5900896339878 -556.5477047623</f>
        <v>-1299.7286137178407</v>
      </c>
      <c r="O77">
        <f>-649.971697457567 -204.849942646639 -530.598022984663</f>
        <v>-1385.4196630888689</v>
      </c>
      <c r="P77">
        <f>-676.812518612666 -265.566238066681 -243.920032007751</f>
        <v>-1186.2987886870981</v>
      </c>
      <c r="Q77">
        <f>-503.504540850791 -122.968012700581 -331.561163538599</f>
        <v>-958.03371708997099</v>
      </c>
      <c r="R77" t="s">
        <v>818</v>
      </c>
      <c r="S77" t="s">
        <v>819</v>
      </c>
      <c r="T77" t="s">
        <v>820</v>
      </c>
      <c r="U77" t="s">
        <v>821</v>
      </c>
      <c r="V77">
        <f>-602.07142871998 -130.97921980442 -97.4909317778565</f>
        <v>-830.54158030225653</v>
      </c>
      <c r="W77" t="s">
        <v>822</v>
      </c>
      <c r="X77" t="s">
        <v>823</v>
      </c>
      <c r="Y77" t="s">
        <v>824</v>
      </c>
    </row>
    <row r="78" spans="1:25" x14ac:dyDescent="0.3">
      <c r="A78">
        <v>3850</v>
      </c>
      <c r="B78" t="s">
        <v>825</v>
      </c>
      <c r="C78">
        <f>-620.947308476929 -36.6836792594713 -98.6709904939222</f>
        <v>-756.30197823032256</v>
      </c>
      <c r="D78">
        <f>-649.706854754192 -45.1538639897167 -210.551998173016</f>
        <v>-905.41271691692464</v>
      </c>
      <c r="E78">
        <f>-663.409449424283 -47.61151095645 -308.188325970753</f>
        <v>-1019.2092863514861</v>
      </c>
      <c r="F78">
        <f>-671.966866407698 -48.0115444367784 -396.87226710116</f>
        <v>-1116.8506779456366</v>
      </c>
      <c r="G78">
        <f>-676.339560927803 -46.5137989693969 -485.849194695519</f>
        <v>-1208.7025545927188</v>
      </c>
      <c r="H78">
        <f>-678.056716159827 -42.4258295894069 -610.352736745966</f>
        <v>-1330.8352824951999</v>
      </c>
      <c r="I78">
        <f>-643.254468359735 -33.3659301530265 -685.264480915323</f>
        <v>-1361.8848794280846</v>
      </c>
      <c r="J78">
        <f>-682.827745616631 -17.089684938936 -554.597659988403</f>
        <v>-1254.51509054397</v>
      </c>
      <c r="K78" t="s">
        <v>826</v>
      </c>
      <c r="L78" t="s">
        <v>827</v>
      </c>
      <c r="M78" t="s">
        <v>828</v>
      </c>
      <c r="N78">
        <f>-671.77441390695 -71.3597863571046 -556.532127803327</f>
        <v>-1299.6663280673815</v>
      </c>
      <c r="O78">
        <f>-650.224183636887 -204.632230573259 -530.573255802094</f>
        <v>-1385.42967001224</v>
      </c>
      <c r="P78">
        <f>-676.998063465123 -265.29541203624 -243.877641028382</f>
        <v>-1186.1711165297449</v>
      </c>
      <c r="Q78">
        <f>-503.639520581551 -122.797155392893 -331.581266631969</f>
        <v>-958.01794260641304</v>
      </c>
      <c r="R78" t="s">
        <v>829</v>
      </c>
      <c r="S78" t="s">
        <v>830</v>
      </c>
      <c r="T78" t="s">
        <v>831</v>
      </c>
      <c r="U78" t="s">
        <v>832</v>
      </c>
      <c r="V78">
        <f>-602.139455913055 -130.704439153705 -97.5005776216201</f>
        <v>-830.34447268838016</v>
      </c>
      <c r="W78" t="s">
        <v>833</v>
      </c>
      <c r="X78" t="s">
        <v>834</v>
      </c>
      <c r="Y78" t="s">
        <v>835</v>
      </c>
    </row>
    <row r="79" spans="1:25" x14ac:dyDescent="0.3">
      <c r="A79">
        <v>3900</v>
      </c>
      <c r="B79" t="s">
        <v>836</v>
      </c>
      <c r="C79">
        <f>-620.982210099968 -36.4455934157304 -98.6752776926979</f>
        <v>-756.10308120839636</v>
      </c>
      <c r="D79">
        <f>-649.757344424688 -44.8956414307646 -210.553849735826</f>
        <v>-905.2068355912786</v>
      </c>
      <c r="E79">
        <f>-663.477808267357 -47.3399560429681 -308.188045895183</f>
        <v>-1019.0058102055081</v>
      </c>
      <c r="F79">
        <f>-672.053166065754 -47.7295973371132 -396.870269832484</f>
        <v>-1116.6530332353511</v>
      </c>
      <c r="G79">
        <f>-676.445446763824 -46.2232767753895 -485.846111468406</f>
        <v>-1208.5148350076195</v>
      </c>
      <c r="H79">
        <f>-678.191646308264 -42.1254676538588 -610.34900102953</f>
        <v>-1330.6661149916526</v>
      </c>
      <c r="I79">
        <f>-643.415378143599 -33.0979687758354 -685.276640523758</f>
        <v>-1361.7899874431923</v>
      </c>
      <c r="J79">
        <f>-682.929961354273 -16.7897350997223 -554.590903175009</f>
        <v>-1254.3105996290042</v>
      </c>
      <c r="K79" t="s">
        <v>837</v>
      </c>
      <c r="L79" t="s">
        <v>838</v>
      </c>
      <c r="M79" t="s">
        <v>839</v>
      </c>
      <c r="N79">
        <f>-671.916527822117 -71.0677429912148 -556.531847790711</f>
        <v>-1299.5161186040427</v>
      </c>
      <c r="O79">
        <f>-650.460464760873 -204.355775070465 -530.590075616598</f>
        <v>-1385.4063154479361</v>
      </c>
      <c r="P79">
        <f>-677.247782489384 -264.957961843995 -243.882895644951</f>
        <v>-1186.0886399783301</v>
      </c>
      <c r="Q79">
        <f>-503.765203542055 -122.615677023866 -331.594622991554</f>
        <v>-957.97550355747489</v>
      </c>
      <c r="R79" t="s">
        <v>840</v>
      </c>
      <c r="S79" t="s">
        <v>841</v>
      </c>
      <c r="T79" t="s">
        <v>842</v>
      </c>
      <c r="U79" t="s">
        <v>843</v>
      </c>
      <c r="V79">
        <f>-602.220373957636 -130.468412470512 -97.5043062543089</f>
        <v>-830.19309268245684</v>
      </c>
      <c r="W79" t="s">
        <v>844</v>
      </c>
      <c r="X79" t="s">
        <v>845</v>
      </c>
      <c r="Y79" t="s">
        <v>846</v>
      </c>
    </row>
    <row r="80" spans="1:25" x14ac:dyDescent="0.3">
      <c r="A80">
        <v>3950</v>
      </c>
      <c r="B80" t="s">
        <v>847</v>
      </c>
      <c r="C80">
        <f>-621.003401763679 -36.3065953477524 -98.6758533733406</f>
        <v>-755.98585048477196</v>
      </c>
      <c r="D80">
        <f>-649.790963049067 -44.7468224803768 -210.551909495046</f>
        <v>-905.08969502448986</v>
      </c>
      <c r="E80">
        <f>-663.533663715703 -47.1806366145456 -308.183263542463</f>
        <v>-1018.8975638727117</v>
      </c>
      <c r="F80">
        <f>-672.133956264609 -47.5593739350408 -396.863171851594</f>
        <v>-1116.5565020512438</v>
      </c>
      <c r="G80">
        <f>-676.555875109514 -46.0410995650668 -485.83729222675</f>
        <v>-1208.4342669013308</v>
      </c>
      <c r="H80">
        <f>-678.348653458645 -41.9254130348158 -610.338868454794</f>
        <v>-1330.6129349482549</v>
      </c>
      <c r="I80">
        <f>-643.595878318909 -32.9043620497077 -685.278114296556</f>
        <v>-1361.7783546651726</v>
      </c>
      <c r="J80">
        <f>-683.060039285682 -16.5963996743747 -554.575438485658</f>
        <v>-1254.2318774457146</v>
      </c>
      <c r="K80" t="s">
        <v>848</v>
      </c>
      <c r="L80" t="s">
        <v>849</v>
      </c>
      <c r="M80" t="s">
        <v>850</v>
      </c>
      <c r="N80">
        <f>-672.059461811896 -70.8766659224084 -556.528341225549</f>
        <v>-1299.4644689598533</v>
      </c>
      <c r="O80">
        <f>-650.634134395088 -204.176418419959 -530.606835015668</f>
        <v>-1385.4173878307151</v>
      </c>
      <c r="P80">
        <f>-677.420654855863 -264.785492562037 -243.900980940572</f>
        <v>-1186.107128358472</v>
      </c>
      <c r="Q80">
        <f>-503.867080760831 -122.518511006709 -331.594412635135</f>
        <v>-957.98000440267504</v>
      </c>
      <c r="R80" t="s">
        <v>851</v>
      </c>
      <c r="S80" t="s">
        <v>852</v>
      </c>
      <c r="T80" t="s">
        <v>853</v>
      </c>
      <c r="U80" t="s">
        <v>854</v>
      </c>
      <c r="V80">
        <f>-602.268835643546 -130.289631138112 -97.5069162391732</f>
        <v>-830.06538302083118</v>
      </c>
      <c r="W80" t="s">
        <v>855</v>
      </c>
      <c r="X80" t="s">
        <v>856</v>
      </c>
      <c r="Y80" t="s">
        <v>857</v>
      </c>
    </row>
    <row r="81" spans="1:25" x14ac:dyDescent="0.3">
      <c r="A81">
        <v>4000</v>
      </c>
      <c r="B81" t="s">
        <v>858</v>
      </c>
      <c r="C81">
        <f>-621.069296409796 -36.1790952518111 -98.6714096199327</f>
        <v>-755.91980128153978</v>
      </c>
      <c r="D81">
        <f>-649.905864050862 -44.6063919741882 -210.535805780563</f>
        <v>-905.0480618056132</v>
      </c>
      <c r="E81">
        <f>-663.725076451218 -47.0261808632542 -308.156642567836</f>
        <v>-1018.9078998823082</v>
      </c>
      <c r="F81">
        <f>-672.408624095786 -47.3907097212322 -396.828612626434</f>
        <v>-1116.6279464434522</v>
      </c>
      <c r="G81">
        <f>-676.928202479249 -45.8561915641643 -485.797395639846</f>
        <v>-1208.5817896832593</v>
      </c>
      <c r="H81">
        <f>-678.872308822935 -41.7157478336737 -610.295999006675</f>
        <v>-1330.8840556632836</v>
      </c>
      <c r="I81">
        <f>-644.171613899201 -32.6971491697027 -685.259756300321</f>
        <v>-1362.1285193692247</v>
      </c>
      <c r="J81">
        <f>-683.501028874754 -16.3948517142687 -554.522063859755</f>
        <v>-1254.4179444487777</v>
      </c>
      <c r="K81" t="s">
        <v>859</v>
      </c>
      <c r="L81" t="s">
        <v>860</v>
      </c>
      <c r="M81" t="s">
        <v>861</v>
      </c>
      <c r="N81">
        <f>-672.532528950041 -70.6807310476245 -556.498633659171</f>
        <v>-1299.7118936568363</v>
      </c>
      <c r="O81">
        <f>-651.166546519842 -203.999341094753 -530.632996027886</f>
        <v>-1385.7988836424811</v>
      </c>
      <c r="P81">
        <f>-677.869533598921 -264.653618538827 -243.928957303893</f>
        <v>-1186.4521094416409</v>
      </c>
      <c r="Q81">
        <f>-504.217818062196 -122.455397979111 -331.53971251527</f>
        <v>-958.21292855657703</v>
      </c>
      <c r="R81" t="s">
        <v>862</v>
      </c>
      <c r="S81" t="s">
        <v>863</v>
      </c>
      <c r="T81" t="s">
        <v>864</v>
      </c>
      <c r="U81" t="s">
        <v>865</v>
      </c>
      <c r="V81">
        <f>-602.396930273894 -130.209283784287 -97.502874486938</f>
        <v>-830.10908854511899</v>
      </c>
      <c r="W81" t="s">
        <v>866</v>
      </c>
      <c r="X81" t="s">
        <v>867</v>
      </c>
      <c r="Y81" t="s">
        <v>868</v>
      </c>
    </row>
    <row r="82" spans="1:25" x14ac:dyDescent="0.3">
      <c r="A82">
        <v>4050</v>
      </c>
      <c r="B82" t="s">
        <v>869</v>
      </c>
      <c r="C82">
        <f>-621.131158342149 -36.0534200502079 -98.6783028964669</f>
        <v>-755.86288128882381</v>
      </c>
      <c r="D82">
        <f>-649.998955074768 -44.4726220285839 -210.535329844351</f>
        <v>-905.00690694770287</v>
      </c>
      <c r="E82">
        <f>-663.859924280942 -46.8790365046589 -308.150635522512</f>
        <v>-1018.8895963081129</v>
      </c>
      <c r="F82">
        <f>-672.587433056997 -47.2285887733981 -396.818136190483</f>
        <v>-1116.6341580208782</v>
      </c>
      <c r="G82">
        <f>-677.157152707365 -45.6764592707466 -485.784253082774</f>
        <v>-1208.6178650608856</v>
      </c>
      <c r="H82">
        <f>-679.17766875535 -41.5083989792213 -610.28061632397</f>
        <v>-1330.9666840585414</v>
      </c>
      <c r="I82">
        <f>-644.503413565717 -32.4845893599388 -685.255917255724</f>
        <v>-1362.2439201813797</v>
      </c>
      <c r="J82">
        <f>-683.765813169103 -16.1985493968293 -554.498177008543</f>
        <v>-1254.4625395744754</v>
      </c>
      <c r="K82" t="s">
        <v>870</v>
      </c>
      <c r="L82" t="s">
        <v>871</v>
      </c>
      <c r="M82" t="s">
        <v>872</v>
      </c>
      <c r="N82">
        <f>-672.811257223823 -70.4865931373212 -556.493511355902</f>
        <v>-1299.7913617170461</v>
      </c>
      <c r="O82">
        <f>-651.470083716683 -203.819396084432 -530.664414337434</f>
        <v>-1385.953894138549</v>
      </c>
      <c r="P82">
        <f>-678.072449745552 -264.528425349678 -243.962554949624</f>
        <v>-1186.5634300448542</v>
      </c>
      <c r="Q82">
        <f>-504.40376763429 -122.332010329455 -331.542580561289</f>
        <v>-958.27835852503404</v>
      </c>
      <c r="R82" t="s">
        <v>873</v>
      </c>
      <c r="S82" t="s">
        <v>874</v>
      </c>
      <c r="T82" t="s">
        <v>875</v>
      </c>
      <c r="U82" t="s">
        <v>876</v>
      </c>
      <c r="V82">
        <f>-602.482214210028 -130.070098860142 -97.5022537260917</f>
        <v>-830.05456679626172</v>
      </c>
      <c r="W82" t="s">
        <v>877</v>
      </c>
      <c r="X82" t="s">
        <v>878</v>
      </c>
      <c r="Y82" t="s">
        <v>879</v>
      </c>
    </row>
    <row r="83" spans="1:25" x14ac:dyDescent="0.3">
      <c r="A83">
        <v>4100</v>
      </c>
      <c r="B83" t="s">
        <v>880</v>
      </c>
      <c r="C83">
        <f>-621.197350524485 -36.0082336207954 -98.6837519511306</f>
        <v>-755.88933609641106</v>
      </c>
      <c r="D83">
        <f>-650.089480633326 -44.4236543298215 -210.534706059232</f>
        <v>-905.04784102237954</v>
      </c>
      <c r="E83">
        <f>-663.990829826183 -46.8246548389042 -308.1443344057</f>
        <v>-1018.9598190707873</v>
      </c>
      <c r="F83">
        <f>-672.76272906744 -47.1682664675558 -396.807618818233</f>
        <v>-1116.7386143532287</v>
      </c>
      <c r="G83">
        <f>-677.384691864306 -45.6095946964206 -485.770848105076</f>
        <v>-1208.7651346658026</v>
      </c>
      <c r="H83">
        <f>-679.486378897928 -41.4314315085098 -610.265599114045</f>
        <v>-1331.1834095204829</v>
      </c>
      <c r="I83">
        <f>-644.844059042494 -32.4089865161079 -685.255756564307</f>
        <v>-1362.5088021229089</v>
      </c>
      <c r="J83">
        <f>-684.029636657939 -16.124373388936 -554.47830668356</f>
        <v>-1254.6323167304349</v>
      </c>
      <c r="K83" t="s">
        <v>881</v>
      </c>
      <c r="L83" t="s">
        <v>882</v>
      </c>
      <c r="M83" t="s">
        <v>883</v>
      </c>
      <c r="N83">
        <f>-673.093368072061 -70.4156557847026 -556.484896716093</f>
        <v>-1299.9939205728565</v>
      </c>
      <c r="O83">
        <f>-651.776201548596 -203.750443396141 -530.691933275215</f>
        <v>-1386.218578219952</v>
      </c>
      <c r="P83">
        <f>-678.283486538161 -264.549250658482 -244.000245981372</f>
        <v>-1186.832983178015</v>
      </c>
      <c r="Q83">
        <f>-504.644065257827 -122.298848189829 -331.550632715883</f>
        <v>-958.49354616353901</v>
      </c>
      <c r="R83" t="s">
        <v>884</v>
      </c>
      <c r="S83" t="s">
        <v>885</v>
      </c>
      <c r="T83" t="s">
        <v>886</v>
      </c>
      <c r="U83" t="s">
        <v>887</v>
      </c>
      <c r="V83">
        <f>-602.569986754583 -130.05480378057 -97.5054859086164</f>
        <v>-830.1302764437695</v>
      </c>
      <c r="W83" t="s">
        <v>888</v>
      </c>
      <c r="X83" t="s">
        <v>889</v>
      </c>
      <c r="Y83" t="s">
        <v>890</v>
      </c>
    </row>
    <row r="84" spans="1:25" x14ac:dyDescent="0.3">
      <c r="A84">
        <v>4150</v>
      </c>
      <c r="B84" t="s">
        <v>891</v>
      </c>
      <c r="C84">
        <f>-621.342293530868 -35.899297217911 -98.6796361249095</f>
        <v>-755.92122687368851</v>
      </c>
      <c r="D84">
        <f>-650.257305416366 -44.3180457064215 -210.524455658724</f>
        <v>-905.09980678151146</v>
      </c>
      <c r="E84">
        <f>-664.250322031406 -46.7420344050129 -308.120545233019</f>
        <v>-1019.1129016694379</v>
      </c>
      <c r="F84">
        <f>-673.134248449117 -47.1151486373793 -396.772474950829</f>
        <v>-1117.0218720373252</v>
      </c>
      <c r="G84">
        <f>-677.897094969209 -45.5949586135241 -485.728864537413</f>
        <v>-1209.2209181201461</v>
      </c>
      <c r="H84">
        <f>-680.225792333414 -41.4807884639929 -610.221818444282</f>
        <v>-1331.928399241689</v>
      </c>
      <c r="I84">
        <f>-645.663166318202 -32.4944033889392 -685.253029196176</f>
        <v>-1363.4105989033174</v>
      </c>
      <c r="J84">
        <f>-684.646474699518 -16.1408445902559 -554.439489734661</f>
        <v>-1255.2268090244349</v>
      </c>
      <c r="K84" t="s">
        <v>892</v>
      </c>
      <c r="L84" t="s">
        <v>893</v>
      </c>
      <c r="M84" t="s">
        <v>894</v>
      </c>
      <c r="N84">
        <f>-673.755546210173 -70.4415739538723 -556.437667067884</f>
        <v>-1300.6347872319293</v>
      </c>
      <c r="O84">
        <f>-652.449769798284 -203.78587228572 -530.672052935989</f>
        <v>-1386.9076950199928</v>
      </c>
      <c r="P84">
        <f>-678.745831771413 -264.607366233384 -243.96581076318</f>
        <v>-1187.319008767977</v>
      </c>
      <c r="Q84">
        <f>-505.20838876863 -122.231930470703 -331.515197737853</f>
        <v>-958.95551697718599</v>
      </c>
      <c r="R84" t="s">
        <v>895</v>
      </c>
      <c r="S84" t="s">
        <v>896</v>
      </c>
      <c r="T84" t="s">
        <v>897</v>
      </c>
      <c r="U84" t="s">
        <v>898</v>
      </c>
      <c r="V84">
        <f>-602.742876510431 -129.928730871522 -97.5084482160478</f>
        <v>-830.18005559800076</v>
      </c>
      <c r="W84" t="s">
        <v>899</v>
      </c>
      <c r="X84" t="s">
        <v>900</v>
      </c>
      <c r="Y84" t="s">
        <v>901</v>
      </c>
    </row>
    <row r="85" spans="1:25" x14ac:dyDescent="0.3">
      <c r="A85">
        <v>4200</v>
      </c>
      <c r="B85" t="s">
        <v>902</v>
      </c>
      <c r="C85">
        <f>-621.439894826066 -35.8140219154541 -98.6585141042511</f>
        <v>-755.91243084577127</v>
      </c>
      <c r="D85">
        <f>-650.393513234624 -44.2387509847489 -210.492919406648</f>
        <v>-905.125183626021</v>
      </c>
      <c r="E85">
        <f>-664.498936744792 -46.6902632715261 -308.072068996732</f>
        <v>-1019.2612690130501</v>
      </c>
      <c r="F85">
        <f>-673.516406550588 -47.0975530129037 -396.710434121356</f>
        <v>-1117.3243936848478</v>
      </c>
      <c r="G85">
        <f>-678.44480911502 -45.6213318802205 -485.658499217682</f>
        <v>-1209.7246402129226</v>
      </c>
      <c r="H85">
        <f>-681.038318025495 -41.578970370754 -610.148510901638</f>
        <v>-1332.765799297887</v>
      </c>
      <c r="I85">
        <f>-646.598460507495 -32.6495264068935 -685.24295193329</f>
        <v>-1364.4909388476785</v>
      </c>
      <c r="J85">
        <f>-685.331782270583 -16.2051419998511 -554.371699066274</f>
        <v>-1255.9086233367079</v>
      </c>
      <c r="K85" t="s">
        <v>903</v>
      </c>
      <c r="L85" t="s">
        <v>904</v>
      </c>
      <c r="M85" t="s">
        <v>905</v>
      </c>
      <c r="N85">
        <f>-674.462402001187 -70.5104516499861 -556.361558585667</f>
        <v>-1301.3344122368401</v>
      </c>
      <c r="O85">
        <f>-653.121742745933 -203.857128833515 -530.621052780942</f>
        <v>-1387.5999243603901</v>
      </c>
      <c r="P85">
        <f>-679.174224636669 -264.612213033344 -243.878514268272</f>
        <v>-1187.664951938285</v>
      </c>
      <c r="Q85">
        <f>-505.728077808981 -122.144421399772 -331.458244115558</f>
        <v>-959.33074332431102</v>
      </c>
      <c r="R85" t="s">
        <v>906</v>
      </c>
      <c r="S85" t="s">
        <v>907</v>
      </c>
      <c r="T85" t="s">
        <v>908</v>
      </c>
      <c r="U85" t="s">
        <v>909</v>
      </c>
      <c r="V85">
        <f>-602.861294325629 -129.885873744091 -97.5019355685935</f>
        <v>-830.2491036383135</v>
      </c>
      <c r="W85" t="s">
        <v>910</v>
      </c>
      <c r="X85" t="s">
        <v>911</v>
      </c>
      <c r="Y85" t="s">
        <v>912</v>
      </c>
    </row>
    <row r="86" spans="1:25" x14ac:dyDescent="0.3">
      <c r="A86">
        <v>4250</v>
      </c>
      <c r="B86" t="s">
        <v>913</v>
      </c>
      <c r="C86">
        <f>-621.481190906028 -35.8576355593227 -98.6605271144017</f>
        <v>-755.99935357975244</v>
      </c>
      <c r="D86">
        <f>-650.452592571193 -44.2848460351457 -210.490218470865</f>
        <v>-905.22765707720373</v>
      </c>
      <c r="E86">
        <f>-664.622565924185 -46.7432182426375 -308.05973637521</f>
        <v>-1019.4255205420325</v>
      </c>
      <c r="F86">
        <f>-673.718362118742 -47.1592291719887 -396.690142250642</f>
        <v>-1117.5677335413727</v>
      </c>
      <c r="G86">
        <f>-678.745029153579 -45.6943583437769 -485.63303048284</f>
        <v>-1210.072417980196</v>
      </c>
      <c r="H86">
        <f>-681.496643100608 -41.6708368425025 -610.120112187599</f>
        <v>-1333.2875921307095</v>
      </c>
      <c r="I86">
        <f>-647.136769585849 -32.7716891190296 -685.254881817829</f>
        <v>-1365.1633405227076</v>
      </c>
      <c r="J86">
        <f>-685.714312396802 -16.287636079931 -554.341779094723</f>
        <v>-1256.3437275714559</v>
      </c>
      <c r="K86" t="s">
        <v>914</v>
      </c>
      <c r="L86" t="s">
        <v>915</v>
      </c>
      <c r="M86" t="s">
        <v>916</v>
      </c>
      <c r="N86">
        <f>-674.857318661308 -70.5952920929501 -556.337013213642</f>
        <v>-1301.7896239679001</v>
      </c>
      <c r="O86">
        <f>-653.499194812022 -203.945085761542 -530.625021070255</f>
        <v>-1388.069301643819</v>
      </c>
      <c r="P86">
        <f>-679.447519271663 -264.682360552892 -243.869207118877</f>
        <v>-1187.9990869434321</v>
      </c>
      <c r="Q86">
        <f>-506.049101927234 -122.160471065261 -331.455431972592</f>
        <v>-959.66500496508706</v>
      </c>
      <c r="R86" t="s">
        <v>917</v>
      </c>
      <c r="S86" t="s">
        <v>918</v>
      </c>
      <c r="T86" t="s">
        <v>919</v>
      </c>
      <c r="U86" t="s">
        <v>920</v>
      </c>
      <c r="V86">
        <f>-602.909889748198 -130.014633650976 -97.4956280366224</f>
        <v>-830.42015143579636</v>
      </c>
      <c r="W86" t="s">
        <v>921</v>
      </c>
      <c r="X86" t="s">
        <v>922</v>
      </c>
      <c r="Y86" t="s">
        <v>923</v>
      </c>
    </row>
    <row r="87" spans="1:25" x14ac:dyDescent="0.3">
      <c r="A87">
        <v>4300</v>
      </c>
      <c r="B87" t="s">
        <v>924</v>
      </c>
      <c r="C87">
        <f>-621.475899144405 -35.8594020214784 -98.663723427407</f>
        <v>-755.99902459329053</v>
      </c>
      <c r="D87">
        <f>-650.474635734283 -44.3031115105043 -210.48497034928</f>
        <v>-905.26271759406723</v>
      </c>
      <c r="E87">
        <f>-664.765658270351 -46.7763676577946 -308.036699580048</f>
        <v>-1019.5787255081935</v>
      </c>
      <c r="F87">
        <f>-674.010474579681 -47.2064272037345 -396.651414329252</f>
        <v>-1117.8683161126676</v>
      </c>
      <c r="G87">
        <f>-679.225873703194 -45.7564571396546 -485.583678599014</f>
        <v>-1210.5660094418627</v>
      </c>
      <c r="H87">
        <f>-682.282677781884 -41.7546856883507 -610.064330302346</f>
        <v>-1334.1016937725808</v>
      </c>
      <c r="I87">
        <f>-648.100511984855 -32.9140273571968 -685.287008195441</f>
        <v>-1366.3015475374928</v>
      </c>
      <c r="J87">
        <f>-686.355048469585 -16.3600138080469 -554.280602396425</f>
        <v>-1256.995664674057</v>
      </c>
      <c r="K87" t="s">
        <v>925</v>
      </c>
      <c r="L87" t="s">
        <v>926</v>
      </c>
      <c r="M87" t="s">
        <v>927</v>
      </c>
      <c r="N87">
        <f>-675.520021228917 -70.6713436479337 -556.292573352216</f>
        <v>-1302.4839382290666</v>
      </c>
      <c r="O87">
        <f>-654.148464109649 -204.030512864379 -530.649854077577</f>
        <v>-1388.828831051605</v>
      </c>
      <c r="P87">
        <f>-679.797461411006 -264.863028324095 -243.887390404124</f>
        <v>-1188.5478801392251</v>
      </c>
      <c r="Q87">
        <f>-506.515724506816 -122.195618232503 -331.467714662078</f>
        <v>-960.1790574013969</v>
      </c>
      <c r="R87" t="s">
        <v>928</v>
      </c>
      <c r="S87" t="s">
        <v>929</v>
      </c>
      <c r="T87" t="s">
        <v>930</v>
      </c>
      <c r="U87" t="s">
        <v>931</v>
      </c>
      <c r="V87">
        <f>-602.892415099691 -129.962009533742 -97.4880542751973</f>
        <v>-830.34247890863026</v>
      </c>
      <c r="W87" t="s">
        <v>932</v>
      </c>
      <c r="X87" t="s">
        <v>933</v>
      </c>
      <c r="Y87" t="s">
        <v>934</v>
      </c>
    </row>
    <row r="88" spans="1:25" x14ac:dyDescent="0.3">
      <c r="A88">
        <v>4350</v>
      </c>
      <c r="B88" t="s">
        <v>935</v>
      </c>
      <c r="C88">
        <f>-621.460959522356 -35.7912079120642 -98.6605342525701</f>
        <v>-755.91270168699032</v>
      </c>
      <c r="D88">
        <f>-650.466966017824 -44.2351019565524 -210.479934285444</f>
        <v>-905.18200225982036</v>
      </c>
      <c r="E88">
        <f>-664.825672506971 -46.7142871945968 -308.021334134709</f>
        <v>-1019.5612938362767</v>
      </c>
      <c r="F88">
        <f>-674.157106517855 -47.1510539273985 -396.626993813794</f>
        <v>-1117.9351542590475</v>
      </c>
      <c r="G88">
        <f>-679.484715049001 -45.7093334319976 -485.552814376436</f>
        <v>-1210.7468628574347</v>
      </c>
      <c r="H88">
        <f>-682.725476260133 -41.7199047099982 -610.029302652525</f>
        <v>-1334.4746836226561</v>
      </c>
      <c r="I88">
        <f>-648.675309917698 -32.8954300023536 -685.313683992207</f>
        <v>-1366.8844239122586</v>
      </c>
      <c r="J88">
        <f>-686.715029991091 -16.3196039936768 -554.242008206139</f>
        <v>-1257.2766421909068</v>
      </c>
      <c r="K88" t="s">
        <v>936</v>
      </c>
      <c r="L88" t="s">
        <v>937</v>
      </c>
      <c r="M88" t="s">
        <v>938</v>
      </c>
      <c r="N88">
        <f>-675.883672222637 -70.6311925941545 -556.264596566543</f>
        <v>-1302.7794613833344</v>
      </c>
      <c r="O88">
        <f>-654.499247012211 -203.999798152567 -530.67206866699</f>
        <v>-1389.1711138317678</v>
      </c>
      <c r="P88">
        <f>-679.914842682241 -264.863543515635 -243.89537216924</f>
        <v>-1188.6737583671161</v>
      </c>
      <c r="Q88">
        <f>-506.731408247293 -122.071406224701 -331.467120223752</f>
        <v>-960.26993469574597</v>
      </c>
      <c r="R88" t="s">
        <v>939</v>
      </c>
      <c r="S88" t="s">
        <v>940</v>
      </c>
      <c r="T88" t="s">
        <v>941</v>
      </c>
      <c r="U88" t="s">
        <v>942</v>
      </c>
      <c r="V88">
        <f>-602.931972870131 -129.852009596382 -97.4751843554282</f>
        <v>-830.25916682194111</v>
      </c>
      <c r="W88" t="s">
        <v>943</v>
      </c>
      <c r="X88" t="s">
        <v>944</v>
      </c>
      <c r="Y88" t="s">
        <v>945</v>
      </c>
    </row>
    <row r="89" spans="1:25" x14ac:dyDescent="0.3">
      <c r="A89">
        <v>4400</v>
      </c>
      <c r="B89" t="s">
        <v>946</v>
      </c>
      <c r="C89">
        <f>-621.458392940352 -35.6709200351363 -98.6541524786301</f>
        <v>-755.78346545411841</v>
      </c>
      <c r="D89">
        <f>-650.473043885708 -44.10691617829 -210.471854903128</f>
        <v>-905.05181496712601</v>
      </c>
      <c r="E89">
        <f>-664.90725666434 -46.6004064657952 -308.001836657628</f>
        <v>-1019.5094997877633</v>
      </c>
      <c r="F89">
        <f>-674.335017061596 -47.0580843138124 -396.597388728356</f>
        <v>-1117.9904901037644</v>
      </c>
      <c r="G89">
        <f>-679.787360191451 -45.6449994255871 -485.515952435615</f>
        <v>-1210.9483120526531</v>
      </c>
      <c r="H89">
        <f>-683.232203250298 -41.7035699545568 -609.988414158844</f>
        <v>-1334.9241873636988</v>
      </c>
      <c r="I89">
        <f>-649.314446776058 -32.8998022076034 -685.334985085395</f>
        <v>-1367.5492340690566</v>
      </c>
      <c r="J89">
        <f>-687.129214260743 -16.2815087701135 -554.204518062144</f>
        <v>-1257.6152410930003</v>
      </c>
      <c r="K89" t="s">
        <v>947</v>
      </c>
      <c r="L89" t="s">
        <v>948</v>
      </c>
      <c r="M89" t="s">
        <v>949</v>
      </c>
      <c r="N89">
        <f>-676.303454473247 -70.5944404020049 -556.223945681037</f>
        <v>-1303.121840556289</v>
      </c>
      <c r="O89">
        <f>-654.884794961518 -203.955504972773 -530.62424542388</f>
        <v>-1389.4645453581711</v>
      </c>
      <c r="P89">
        <f>-680.12213679006 -264.802489117695 -243.828284329954</f>
        <v>-1188.7529102377091</v>
      </c>
      <c r="Q89">
        <f>-506.997024923398 -121.958557382204 -331.430781605036</f>
        <v>-960.38636391063801</v>
      </c>
      <c r="R89" t="s">
        <v>950</v>
      </c>
      <c r="S89" t="s">
        <v>951</v>
      </c>
      <c r="T89" t="s">
        <v>952</v>
      </c>
      <c r="U89" t="s">
        <v>953</v>
      </c>
      <c r="V89">
        <f>-602.950641854375 -129.745038654425 -97.4677354623769</f>
        <v>-830.16341597117696</v>
      </c>
      <c r="W89" t="s">
        <v>954</v>
      </c>
      <c r="X89" t="s">
        <v>955</v>
      </c>
      <c r="Y89" t="s">
        <v>956</v>
      </c>
    </row>
    <row r="90" spans="1:25" x14ac:dyDescent="0.3">
      <c r="A90">
        <v>4450</v>
      </c>
      <c r="B90" t="s">
        <v>957</v>
      </c>
      <c r="C90">
        <f>-621.428686315157 -35.593440145205 -98.6495678156122</f>
        <v>-755.67169427597423</v>
      </c>
      <c r="D90">
        <f>-650.454093151531 -44.0352634172966 -210.464125254613</f>
        <v>-904.9534818234406</v>
      </c>
      <c r="E90">
        <f>-664.93752120189 -46.5448595318574 -307.986251612237</f>
        <v>-1019.4686323459844</v>
      </c>
      <c r="F90">
        <f>-674.426077038068 -47.0216305164557 -396.575059074583</f>
        <v>-1118.0227666291066</v>
      </c>
      <c r="G90">
        <f>-679.955513510777 -45.632038486567 -485.4893779875</f>
        <v>-1211.0769299848439</v>
      </c>
      <c r="H90">
        <f>-683.525255530273 -41.7284020377135 -609.959485168095</f>
        <v>-1335.2131427360814</v>
      </c>
      <c r="I90">
        <f>-649.685271098004 -32.9414527400636 -685.343003391336</f>
        <v>-1367.9697272294036</v>
      </c>
      <c r="J90">
        <f>-687.364833585717 -16.2893117834603 -554.179477812331</f>
        <v>-1257.8336231815083</v>
      </c>
      <c r="K90" t="s">
        <v>958</v>
      </c>
      <c r="L90" t="s">
        <v>959</v>
      </c>
      <c r="M90" t="s">
        <v>960</v>
      </c>
      <c r="N90">
        <f>-676.543967863082 -70.6032917994914 -556.19321067494</f>
        <v>-1303.3404703375136</v>
      </c>
      <c r="O90">
        <f>-655.119551988576 -203.960379275845 -530.586477779486</f>
        <v>-1389.6664090439072</v>
      </c>
      <c r="P90">
        <f>-680.220466489488 -264.72612455317 -243.76122357282</f>
        <v>-1188.7078146154779</v>
      </c>
      <c r="Q90">
        <f>-507.136913281552 -121.84997646346 -331.393233903895</f>
        <v>-960.38012364890687</v>
      </c>
      <c r="R90" t="s">
        <v>961</v>
      </c>
      <c r="S90" t="s">
        <v>962</v>
      </c>
      <c r="T90" t="s">
        <v>963</v>
      </c>
      <c r="U90" t="s">
        <v>964</v>
      </c>
      <c r="V90">
        <f>-602.910203206687 -129.656241747441 -97.4665511522745</f>
        <v>-830.03299610640249</v>
      </c>
      <c r="W90" t="s">
        <v>965</v>
      </c>
      <c r="X90" t="s">
        <v>966</v>
      </c>
      <c r="Y90" t="s">
        <v>967</v>
      </c>
    </row>
    <row r="91" spans="1:25" x14ac:dyDescent="0.3">
      <c r="A91">
        <v>4500</v>
      </c>
      <c r="B91" t="s">
        <v>968</v>
      </c>
      <c r="C91">
        <f>-621.348003696813 -35.4973875519304 -98.6651784112319</f>
        <v>-755.5105696599752</v>
      </c>
      <c r="D91">
        <f>-650.398443031734 -43.9664940791807 -210.471047510394</f>
        <v>-904.83598462130874</v>
      </c>
      <c r="E91">
        <f>-664.961302945907 -46.5153277307634 -307.980521222268</f>
        <v>-1019.4571518989385</v>
      </c>
      <c r="F91">
        <f>-674.545006405465 -47.0346396529557 -396.558856414615</f>
        <v>-1118.1385024730357</v>
      </c>
      <c r="G91">
        <f>-680.192951247531 -45.6950606573746 -485.466347248814</f>
        <v>-1211.3543591537195</v>
      </c>
      <c r="H91">
        <f>-683.952600204363 -41.868779725834 -609.933428343401</f>
        <v>-1335.754808273598</v>
      </c>
      <c r="I91">
        <f>-650.245558987126 -33.1306945481829 -685.382217754574</f>
        <v>-1368.7584712898829</v>
      </c>
      <c r="J91">
        <f>-687.708958158002 -16.3953376540392 -554.163276565964</f>
        <v>-1258.2675723780053</v>
      </c>
      <c r="K91" t="s">
        <v>969</v>
      </c>
      <c r="L91" t="s">
        <v>970</v>
      </c>
      <c r="M91" t="s">
        <v>971</v>
      </c>
      <c r="N91">
        <f>-676.887329914868 -70.7098194980438 -556.159918459949</f>
        <v>-1303.7570678728607</v>
      </c>
      <c r="O91">
        <f>-655.422187933224 -204.055542932736 -530.52996110057</f>
        <v>-1390.0076919665298</v>
      </c>
      <c r="P91">
        <f>-680.383684285109 -264.712666153593 -243.669711170533</f>
        <v>-1188.7660616092348</v>
      </c>
      <c r="Q91">
        <f>-507.394160714792 -121.768486619906 -331.376337713808</f>
        <v>-960.53898504850599</v>
      </c>
      <c r="R91" t="s">
        <v>972</v>
      </c>
      <c r="S91" t="s">
        <v>973</v>
      </c>
      <c r="T91" t="s">
        <v>974</v>
      </c>
      <c r="U91" t="s">
        <v>975</v>
      </c>
      <c r="V91">
        <f>-602.786899850832 -129.549105559808 -97.4711536660293</f>
        <v>-829.80715907666934</v>
      </c>
      <c r="W91" t="s">
        <v>976</v>
      </c>
      <c r="X91" t="s">
        <v>977</v>
      </c>
      <c r="Y91" t="s">
        <v>978</v>
      </c>
    </row>
    <row r="92" spans="1:25" x14ac:dyDescent="0.3">
      <c r="A92">
        <v>4550</v>
      </c>
      <c r="B92" t="s">
        <v>979</v>
      </c>
      <c r="C92">
        <f>-621.301126495205 -35.5241976421576 -98.6669561009443</f>
        <v>-755.49228023830688</v>
      </c>
      <c r="D92">
        <f>-650.355812803307 -43.9972231247529 -210.471542590133</f>
        <v>-904.82457851819288</v>
      </c>
      <c r="E92">
        <f>-664.948335438214 -46.5597918615941 -307.976101255642</f>
        <v>-1019.4842285554502</v>
      </c>
      <c r="F92">
        <f>-674.569307098361 -47.0960165922959 -396.550399883653</f>
        <v>-1118.2157235743098</v>
      </c>
      <c r="G92">
        <f>-680.265097069697 -45.777706014159 -485.45521095676</f>
        <v>-1211.498014040616</v>
      </c>
      <c r="H92">
        <f>-684.102584091923 -41.9860900050105 -609.920925209944</f>
        <v>-1336.0095993068776</v>
      </c>
      <c r="I92">
        <f>-650.450364766677 -33.27858040811 -685.397597880611</f>
        <v>-1369.1265430553981</v>
      </c>
      <c r="J92">
        <f>-687.825453476947 -16.4972695304205 -554.155495737013</f>
        <v>-1258.4782187443805</v>
      </c>
      <c r="K92" t="s">
        <v>980</v>
      </c>
      <c r="L92" t="s">
        <v>981</v>
      </c>
      <c r="M92" t="s">
        <v>982</v>
      </c>
      <c r="N92">
        <f>-677.002199412569 -70.8118801197367 -556.143882979458</f>
        <v>-1303.9579625117635</v>
      </c>
      <c r="O92">
        <f>-655.51374747084 -204.1516064649 -530.498514254773</f>
        <v>-1390.1638681905131</v>
      </c>
      <c r="P92">
        <f>-680.397261014451 -264.777236874091 -243.624774865358</f>
        <v>-1188.7992727538999</v>
      </c>
      <c r="Q92">
        <f>-507.469875251418 -121.765399234432 -331.343588683802</f>
        <v>-960.5788631696521</v>
      </c>
      <c r="R92" t="s">
        <v>983</v>
      </c>
      <c r="S92" t="s">
        <v>984</v>
      </c>
      <c r="T92" t="s">
        <v>985</v>
      </c>
      <c r="U92" t="s">
        <v>986</v>
      </c>
      <c r="V92">
        <f>-602.708451235459 -129.582342588855 -97.4695402123143</f>
        <v>-829.76033403662836</v>
      </c>
      <c r="W92" t="s">
        <v>987</v>
      </c>
      <c r="X92" t="s">
        <v>988</v>
      </c>
      <c r="Y92" t="s">
        <v>989</v>
      </c>
    </row>
    <row r="93" spans="1:25" x14ac:dyDescent="0.3">
      <c r="A93">
        <v>4600</v>
      </c>
      <c r="B93" t="s">
        <v>990</v>
      </c>
      <c r="C93">
        <f>-621.278871813943 -35.6718570764315 -98.6749420745675</f>
        <v>-755.62567096494206</v>
      </c>
      <c r="D93">
        <f>-650.335402865408 -44.1573922403916 -210.478120175066</f>
        <v>-904.9709152808656</v>
      </c>
      <c r="E93">
        <f>-664.967259962258 -46.7472720730447 -307.975994788782</f>
        <v>-1019.6905268240846</v>
      </c>
      <c r="F93">
        <f>-674.638868900984 -47.3155063317789 -396.544565891367</f>
        <v>-1118.4989411241299</v>
      </c>
      <c r="G93">
        <f>-680.400592544964 -46.0364195685952 -485.445626813944</f>
        <v>-1211.8826389275032</v>
      </c>
      <c r="H93">
        <f>-684.346201632875 -42.3072342753951 -609.909826558433</f>
        <v>-1336.5632624667032</v>
      </c>
      <c r="I93">
        <f>-650.804868247835 -33.6816897401206 -685.445257484438</f>
        <v>-1369.9318154723937</v>
      </c>
      <c r="J93">
        <f>-688.030713418121 -16.7924966449823 -554.153823140814</f>
        <v>-1258.9770332039172</v>
      </c>
      <c r="K93" t="s">
        <v>991</v>
      </c>
      <c r="L93" t="s">
        <v>992</v>
      </c>
      <c r="M93" t="s">
        <v>993</v>
      </c>
      <c r="N93">
        <f>-677.189270677103 -71.1040797974723 -556.12483703561</f>
        <v>-1304.4181875101854</v>
      </c>
      <c r="O93">
        <f>-655.633159110105 -204.431265242111 -530.462345309301</f>
        <v>-1390.5267696615169</v>
      </c>
      <c r="P93">
        <f>-680.384460474203 -265.056754936058 -243.577223444598</f>
        <v>-1189.0184388548591</v>
      </c>
      <c r="Q93">
        <f>-507.555137231481 -121.927412060397 -331.297678538457</f>
        <v>-960.78022783033498</v>
      </c>
      <c r="R93" t="s">
        <v>994</v>
      </c>
      <c r="S93" t="s">
        <v>995</v>
      </c>
      <c r="T93" t="s">
        <v>996</v>
      </c>
      <c r="U93" t="s">
        <v>997</v>
      </c>
      <c r="V93">
        <f>-602.669326487721 -129.772659793986 -97.4760968482816</f>
        <v>-829.91808312998864</v>
      </c>
      <c r="W93" t="s">
        <v>998</v>
      </c>
      <c r="X93" t="s">
        <v>999</v>
      </c>
      <c r="Y93" t="s">
        <v>1000</v>
      </c>
    </row>
    <row r="94" spans="1:25" x14ac:dyDescent="0.3">
      <c r="A94">
        <v>4650</v>
      </c>
      <c r="B94" t="s">
        <v>1001</v>
      </c>
      <c r="C94">
        <f>-621.310698699988 -35.7093709567739 -98.6750523379227</f>
        <v>-755.69512199468465</v>
      </c>
      <c r="D94">
        <f>-650.35688202922 -44.1952866617244 -210.480843075088</f>
        <v>-905.03301176603236</v>
      </c>
      <c r="E94">
        <f>-664.99834190072 -46.7915456554186 -307.977248965376</f>
        <v>-1019.7671365215147</v>
      </c>
      <c r="F94">
        <f>-674.686351083742 -47.3679732292467 -396.543825174268</f>
        <v>-1118.5981494872567</v>
      </c>
      <c r="G94">
        <f>-680.472004116873 -46.0998867071776 -485.443537042175</f>
        <v>-1212.0154278662255</v>
      </c>
      <c r="H94">
        <f>-684.459046367684 -42.388717159524 -609.90694883554</f>
        <v>-1336.754712362748</v>
      </c>
      <c r="I94">
        <f>-650.99259387011 -33.8182143825763 -685.481916039457</f>
        <v>-1370.2927242921432</v>
      </c>
      <c r="J94">
        <f>-688.130186083236 -16.8669599326327 -554.15329457126</f>
        <v>-1259.1504405871287</v>
      </c>
      <c r="K94" t="s">
        <v>1002</v>
      </c>
      <c r="L94" t="s">
        <v>1003</v>
      </c>
      <c r="M94" t="s">
        <v>1004</v>
      </c>
      <c r="N94">
        <f>-677.278978515023 -71.176670522854 -556.120296864985</f>
        <v>-1304.575945902862</v>
      </c>
      <c r="O94">
        <f>-655.689832809134 -204.497503661763 -530.45996977531</f>
        <v>-1390.6473062462069</v>
      </c>
      <c r="P94">
        <f>-680.413345601873 -265.133272336924 -243.574468349142</f>
        <v>-1189.1210862879391</v>
      </c>
      <c r="Q94">
        <f>-507.611745002593 -121.95229412922 -331.265403074738</f>
        <v>-960.82944220655099</v>
      </c>
      <c r="R94" t="s">
        <v>1005</v>
      </c>
      <c r="S94" t="s">
        <v>1006</v>
      </c>
      <c r="T94" t="s">
        <v>1007</v>
      </c>
      <c r="U94" t="s">
        <v>1008</v>
      </c>
      <c r="V94">
        <f>-602.680831679461 -129.794533815978 -97.480292443877</f>
        <v>-829.9556579393161</v>
      </c>
      <c r="W94" t="s">
        <v>1009</v>
      </c>
      <c r="X94" t="s">
        <v>1010</v>
      </c>
      <c r="Y94" t="s">
        <v>1011</v>
      </c>
    </row>
    <row r="95" spans="1:25" x14ac:dyDescent="0.3">
      <c r="A95">
        <v>4700</v>
      </c>
      <c r="B95" t="s">
        <v>1012</v>
      </c>
      <c r="C95">
        <f>-621.340243495785 -35.7820085219685 -98.6812270414026</f>
        <v>-755.80347905915607</v>
      </c>
      <c r="D95">
        <f>-650.373747969177 -44.2811599172343 -210.489153685937</f>
        <v>-905.14406157234828</v>
      </c>
      <c r="E95">
        <f>-665.034578729519 -46.8896796659161 -307.982384136389</f>
        <v>-1019.9066425318241</v>
      </c>
      <c r="F95">
        <f>-674.752222009841 -47.4784210674311 -396.54579153135</f>
        <v>-1118.7764346086221</v>
      </c>
      <c r="G95">
        <f>-680.579587024721 -46.2237829035045 -485.442984488134</f>
        <v>-1212.2463544163595</v>
      </c>
      <c r="H95">
        <f>-684.637273247359 -42.5329916293647 -609.904652138924</f>
        <v>-1337.0749170156478</v>
      </c>
      <c r="I95">
        <f>-651.346519258606 -34.1105699398292 -685.573719000242</f>
        <v>-1371.0308081986773</v>
      </c>
      <c r="J95">
        <f>-688.283344280497 -17.0034451239367 -554.152919258156</f>
        <v>-1259.4397086625895</v>
      </c>
      <c r="K95" t="s">
        <v>1013</v>
      </c>
      <c r="L95" t="s">
        <v>1014</v>
      </c>
      <c r="M95" t="s">
        <v>1015</v>
      </c>
      <c r="N95">
        <f>-677.42003854224 -71.3108192091297 -556.117591164528</f>
        <v>-1304.8484489158977</v>
      </c>
      <c r="O95">
        <f>-655.772419174342 -204.629682662781 -530.486235228919</f>
        <v>-1390.8883370660419</v>
      </c>
      <c r="P95">
        <f>-680.468952082788 -265.323850913584 -243.610758463939</f>
        <v>-1189.403561460311</v>
      </c>
      <c r="Q95">
        <f>-507.709878094807 -122.030129235453 -331.201060434679</f>
        <v>-960.94106776493902</v>
      </c>
      <c r="R95" t="s">
        <v>1016</v>
      </c>
      <c r="S95" t="s">
        <v>1017</v>
      </c>
      <c r="T95" t="s">
        <v>1018</v>
      </c>
      <c r="U95" t="s">
        <v>1019</v>
      </c>
      <c r="V95">
        <f>-602.660875567239 -129.835632676894 -97.4947703662473</f>
        <v>-829.99127861038028</v>
      </c>
      <c r="W95" t="s">
        <v>1020</v>
      </c>
      <c r="X95" t="s">
        <v>1021</v>
      </c>
      <c r="Y95" t="s">
        <v>1022</v>
      </c>
    </row>
    <row r="96" spans="1:25" x14ac:dyDescent="0.3">
      <c r="A96">
        <v>4750</v>
      </c>
      <c r="B96" t="s">
        <v>1023</v>
      </c>
      <c r="C96">
        <f>-621.333759351026 -35.8035451704043 -98.6829438454988</f>
        <v>-755.82024836692904</v>
      </c>
      <c r="D96">
        <f>-650.373332648522 -44.3177845722597 -210.488274109608</f>
        <v>-905.17939133038976</v>
      </c>
      <c r="E96">
        <f>-665.045960605549 -46.9334828167554 -307.979450919924</f>
        <v>-1019.9588943422284</v>
      </c>
      <c r="F96">
        <f>-674.776716628507 -47.5270702432748 -396.541304371707</f>
        <v>-1118.8450912434887</v>
      </c>
      <c r="G96">
        <f>-680.619560077773 -46.275416428002 -485.437517075602</f>
        <v>-1212.3324935813771</v>
      </c>
      <c r="H96">
        <f>-684.701467233077 -42.5874542523916 -609.898513684728</f>
        <v>-1337.1874351701965</v>
      </c>
      <c r="I96">
        <f>-651.483758124735 -34.2347751225202 -685.607555186544</f>
        <v>-1371.3260884337992</v>
      </c>
      <c r="J96">
        <f>-688.338840543305 -17.0569666874464 -554.146618972669</f>
        <v>-1259.5424262034203</v>
      </c>
      <c r="K96" t="s">
        <v>1024</v>
      </c>
      <c r="L96" t="s">
        <v>1025</v>
      </c>
      <c r="M96" t="s">
        <v>1026</v>
      </c>
      <c r="N96">
        <f>-677.471580273127 -71.3635818957049 -556.112180673006</f>
        <v>-1304.9473428418378</v>
      </c>
      <c r="O96">
        <f>-655.802852648826 -204.68274301562 -530.506235639628</f>
        <v>-1390.9918313040739</v>
      </c>
      <c r="P96">
        <f>-680.462828009348 -265.429825000711 -243.638930682626</f>
        <v>-1189.531583692685</v>
      </c>
      <c r="Q96">
        <f>-507.737661292891 -122.07281564098 -331.192571950056</f>
        <v>-961.00304888392702</v>
      </c>
      <c r="R96" t="s">
        <v>1027</v>
      </c>
      <c r="S96" t="s">
        <v>1028</v>
      </c>
      <c r="T96" t="s">
        <v>1029</v>
      </c>
      <c r="U96" t="s">
        <v>1030</v>
      </c>
      <c r="V96">
        <f>-602.631870344115 -129.815525653994 -97.4993292664403</f>
        <v>-829.94672526454929</v>
      </c>
      <c r="W96" t="s">
        <v>1031</v>
      </c>
      <c r="X96" t="s">
        <v>1032</v>
      </c>
      <c r="Y96" t="s">
        <v>1033</v>
      </c>
    </row>
    <row r="97" spans="1:25" x14ac:dyDescent="0.3">
      <c r="A97">
        <v>4800</v>
      </c>
      <c r="B97" t="s">
        <v>1034</v>
      </c>
      <c r="C97">
        <f>-621.293519705092 -35.9259319701596 -98.6778800235711</f>
        <v>-755.89733169882265</v>
      </c>
      <c r="D97">
        <f>-650.383551156105 -44.4779126119231 -210.467269151979</f>
        <v>-905.32873292000704</v>
      </c>
      <c r="E97">
        <f>-665.10086738641 -47.1146994468472 -307.951115834353</f>
        <v>-1020.1666826676102</v>
      </c>
      <c r="F97">
        <f>-674.872079594937 -47.7236605854641 -396.508370173805</f>
        <v>-1119.1041103542061</v>
      </c>
      <c r="G97">
        <f>-680.755261744715 -46.4840141963294 -485.402024947601</f>
        <v>-1212.6413008886454</v>
      </c>
      <c r="H97">
        <f>-684.893157419799 -42.8096308778486 -609.861711138425</f>
        <v>-1337.5644994360725</v>
      </c>
      <c r="I97">
        <f>-651.77353944515 -34.5584538319094 -685.62471597081</f>
        <v>-1371.9567092478696</v>
      </c>
      <c r="J97">
        <f>-688.50933100226 -17.2740674635929 -554.110803291261</f>
        <v>-1259.8942017571139</v>
      </c>
      <c r="K97" t="s">
        <v>1035</v>
      </c>
      <c r="L97" t="s">
        <v>1036</v>
      </c>
      <c r="M97" t="s">
        <v>1037</v>
      </c>
      <c r="N97">
        <f>-677.635233209685 -71.5792017998665 -556.075540432506</f>
        <v>-1305.2899754420575</v>
      </c>
      <c r="O97">
        <f>-655.915878910512 -204.894911760357 -530.484277692783</f>
        <v>-1391.295068363652</v>
      </c>
      <c r="P97">
        <f>-680.474744799081 -265.682282194108 -243.616712054818</f>
        <v>-1189.773739048007</v>
      </c>
      <c r="Q97">
        <f>-507.833717023123 -122.225328395425 -331.172785511204</f>
        <v>-961.23183092975194</v>
      </c>
      <c r="R97" t="s">
        <v>1038</v>
      </c>
      <c r="S97" t="s">
        <v>1039</v>
      </c>
      <c r="T97" t="s">
        <v>1040</v>
      </c>
      <c r="U97" t="s">
        <v>1041</v>
      </c>
      <c r="V97">
        <f>-602.564086735944 -129.899246584582 -97.4879245898228</f>
        <v>-829.95125791034877</v>
      </c>
      <c r="W97" t="s">
        <v>1042</v>
      </c>
      <c r="X97" t="s">
        <v>1043</v>
      </c>
      <c r="Y97" t="s">
        <v>1044</v>
      </c>
    </row>
    <row r="98" spans="1:25" x14ac:dyDescent="0.3">
      <c r="A98">
        <v>4850</v>
      </c>
      <c r="B98" t="s">
        <v>1045</v>
      </c>
      <c r="C98">
        <f>-621.269827953657 -36.034304343885 -98.6717248321376</f>
        <v>-755.97585712967953</v>
      </c>
      <c r="D98">
        <f>-650.394769603862 -44.6033241719189 -210.450620013461</f>
        <v>-905.44871378924176</v>
      </c>
      <c r="E98">
        <f>-665.147557154201 -47.2554293062224 -307.928821308222</f>
        <v>-1020.3318077686454</v>
      </c>
      <c r="F98">
        <f>-674.952813900055 -47.8785588728754 -396.482218722509</f>
        <v>-1119.3135914954394</v>
      </c>
      <c r="G98">
        <f>-680.872065493228 -46.653816586258 -485.373638392689</f>
        <v>-1212.899520472175</v>
      </c>
      <c r="H98">
        <f>-685.062257048446 -43.0006577042514 -609.832200912048</f>
        <v>-1337.8951156647454</v>
      </c>
      <c r="I98">
        <f>-651.971244156793 -34.7737529336573 -685.610352490872</f>
        <v>-1372.3553495813221</v>
      </c>
      <c r="J98">
        <f>-688.656845021691 -17.4557968836066 -554.084107007184</f>
        <v>-1260.1967489124816</v>
      </c>
      <c r="K98" t="s">
        <v>1046</v>
      </c>
      <c r="L98" t="s">
        <v>1047</v>
      </c>
      <c r="M98" t="s">
        <v>1048</v>
      </c>
      <c r="N98">
        <f>-677.779833185087 -71.760685628399 -556.044186902585</f>
        <v>-1305.5847057160709</v>
      </c>
      <c r="O98">
        <f>-656.035319057328 -205.065855001392 -530.444897041738</f>
        <v>-1391.546071100458</v>
      </c>
      <c r="P98">
        <f>-680.523424015404 -265.832546459878 -243.566991039234</f>
        <v>-1189.9229615145159</v>
      </c>
      <c r="Q98">
        <f>-507.932209031718 -122.338019299146 -331.159384234164</f>
        <v>-961.42961256502804</v>
      </c>
      <c r="R98" t="s">
        <v>1049</v>
      </c>
      <c r="S98" t="s">
        <v>1050</v>
      </c>
      <c r="T98" t="s">
        <v>1051</v>
      </c>
      <c r="U98" t="s">
        <v>1052</v>
      </c>
      <c r="V98">
        <f>-602.521793287793 -130.014380201045 -97.4770005411019</f>
        <v>-830.01317402993993</v>
      </c>
      <c r="W98" t="s">
        <v>1053</v>
      </c>
      <c r="X98" t="s">
        <v>1054</v>
      </c>
      <c r="Y98" t="s">
        <v>1055</v>
      </c>
    </row>
    <row r="99" spans="1:25" x14ac:dyDescent="0.3">
      <c r="A99">
        <v>4900</v>
      </c>
      <c r="B99" t="s">
        <v>1056</v>
      </c>
      <c r="C99">
        <f>-621.210598573546 -36.1521299861658 -98.6800816564775</f>
        <v>-756.04281021618931</v>
      </c>
      <c r="D99">
        <f>-650.391065915034 -44.7616863236362 -210.441385307739</f>
        <v>-905.59413754640923</v>
      </c>
      <c r="E99">
        <f>-665.191110787645 -47.4522746391252 -307.911375521789</f>
        <v>-1020.5547609485593</v>
      </c>
      <c r="F99">
        <f>-675.038759572273 -48.1123500394561 -396.459823919452</f>
        <v>-1119.6109335311812</v>
      </c>
      <c r="G99">
        <f>-680.999923194606 -46.926342113298 -485.349077850504</f>
        <v>-1213.2753431584081</v>
      </c>
      <c r="H99">
        <f>-685.248011257606 -43.3298593107102 -609.807166081958</f>
        <v>-1338.3850366502743</v>
      </c>
      <c r="I99">
        <f>-652.166755481093 -35.119535082719 -685.591414100249</f>
        <v>-1372.8777046640612</v>
      </c>
      <c r="J99">
        <f>-688.821085627837 -17.7606111060863 -554.068971946719</f>
        <v>-1260.6506686806424</v>
      </c>
      <c r="K99" t="s">
        <v>1057</v>
      </c>
      <c r="L99" t="s">
        <v>1058</v>
      </c>
      <c r="M99" t="s">
        <v>1059</v>
      </c>
      <c r="N99">
        <f>-677.936181784269 -72.0644318102113 -556.009804696209</f>
        <v>-1306.0104182906894</v>
      </c>
      <c r="O99">
        <f>-656.15230225013 -205.354463591515 -530.347381706889</f>
        <v>-1391.854147548534</v>
      </c>
      <c r="P99">
        <f>-680.513498186646 -265.960512357393 -243.424560877638</f>
        <v>-1189.8985714216769</v>
      </c>
      <c r="Q99">
        <f>-508.009709938476 -122.45153304648 -331.165634430476</f>
        <v>-961.62687741543209</v>
      </c>
      <c r="R99" t="s">
        <v>1060</v>
      </c>
      <c r="S99" t="s">
        <v>1061</v>
      </c>
      <c r="T99" t="s">
        <v>1062</v>
      </c>
      <c r="U99" t="s">
        <v>1063</v>
      </c>
      <c r="V99">
        <f>-602.424931600718 -130.130501846599 -97.4649045930036</f>
        <v>-830.02033804032055</v>
      </c>
      <c r="W99" t="s">
        <v>1064</v>
      </c>
      <c r="X99" t="s">
        <v>1065</v>
      </c>
      <c r="Y99" t="s">
        <v>1066</v>
      </c>
    </row>
    <row r="100" spans="1:25" x14ac:dyDescent="0.3">
      <c r="A100">
        <v>4950</v>
      </c>
      <c r="B100" t="s">
        <v>1067</v>
      </c>
      <c r="C100">
        <f>-621.167573365299 -36.2498004103738 -98.6808501589571</f>
        <v>-756.09822393462991</v>
      </c>
      <c r="D100">
        <f>-650.35990151494 -44.8734437109266 -210.438035488443</f>
        <v>-905.67138071430963</v>
      </c>
      <c r="E100">
        <f>-665.165429899241 -47.5783061394612 -307.906630364282</f>
        <v>-1020.6503664029842</v>
      </c>
      <c r="F100">
        <f>-675.016263133218 -48.2521116510997 -396.454632307069</f>
        <v>-1119.7230070913865</v>
      </c>
      <c r="G100">
        <f>-680.978627042964 -47.0804950617452 -485.343981697445</f>
        <v>-1213.4031038021542</v>
      </c>
      <c r="H100">
        <f>-685.226593283266 -43.5046725648434 -609.802791633614</f>
        <v>-1338.5340574817233</v>
      </c>
      <c r="I100">
        <f>-652.136299692191 -35.2978442612116 -685.583360315239</f>
        <v>-1373.0175042686415</v>
      </c>
      <c r="J100">
        <f>-688.802632876858 -17.9266795352103 -554.068739344843</f>
        <v>-1260.7980517569113</v>
      </c>
      <c r="K100" t="s">
        <v>1068</v>
      </c>
      <c r="L100" t="s">
        <v>1069</v>
      </c>
      <c r="M100" t="s">
        <v>1070</v>
      </c>
      <c r="N100">
        <f>-677.911971305027 -72.2298337823167 -556.0006259664</f>
        <v>-1306.1424310537436</v>
      </c>
      <c r="O100">
        <f>-656.107188670651 -205.510256530524 -530.309600120471</f>
        <v>-1391.9270453216459</v>
      </c>
      <c r="P100">
        <f>-680.454788846208 -266.057107147342 -243.373182511106</f>
        <v>-1189.8850785046559</v>
      </c>
      <c r="Q100">
        <f>-507.976664484264 -122.545445865704 -331.160342341986</f>
        <v>-961.68245269195404</v>
      </c>
      <c r="R100" t="s">
        <v>1071</v>
      </c>
      <c r="S100" t="s">
        <v>1072</v>
      </c>
      <c r="T100" t="s">
        <v>1073</v>
      </c>
      <c r="U100" t="s">
        <v>1074</v>
      </c>
      <c r="V100">
        <f>-602.379859716868 -130.250974763778 -97.4554134595077</f>
        <v>-830.08624794015373</v>
      </c>
      <c r="W100" t="s">
        <v>1075</v>
      </c>
      <c r="X100" t="s">
        <v>1076</v>
      </c>
      <c r="Y100" t="s">
        <v>1077</v>
      </c>
    </row>
    <row r="101" spans="1:25" x14ac:dyDescent="0.3">
      <c r="A101">
        <v>5000</v>
      </c>
      <c r="B101" t="s">
        <v>1078</v>
      </c>
      <c r="C101">
        <f>-621.112362799162 -36.3299714901777 -98.690657783323</f>
        <v>-756.13299207266277</v>
      </c>
      <c r="D101">
        <f>-650.301155271882 -44.9667452002396 -210.44770720643</f>
        <v>-905.71560767855158</v>
      </c>
      <c r="E101">
        <f>-665.102172473241 -47.6937998634165 -307.916406677395</f>
        <v>-1020.7123790140525</v>
      </c>
      <c r="F101">
        <f>-674.948236782943 -48.3918836966913 -396.464715657759</f>
        <v>-1119.8048361373933</v>
      </c>
      <c r="G101">
        <f>-680.905268659325 -47.2492098132198 -485.35488880002</f>
        <v>-1213.5093672725648</v>
      </c>
      <c r="H101">
        <f>-685.145007183027 -43.7186443343081 -609.815202851333</f>
        <v>-1338.678854368668</v>
      </c>
      <c r="I101">
        <f>-652.03678464715 -35.5298358902292 -685.589971233412</f>
        <v>-1373.1565917707912</v>
      </c>
      <c r="J101">
        <f>-688.723780828119 -18.1200750602095 -554.090598745326</f>
        <v>-1260.9344546336545</v>
      </c>
      <c r="K101" t="s">
        <v>1079</v>
      </c>
      <c r="L101" t="s">
        <v>1080</v>
      </c>
      <c r="M101" t="s">
        <v>1081</v>
      </c>
      <c r="N101">
        <f>-677.834817928378 -72.4243938481128 -556.001993328514</f>
        <v>-1306.2612051050048</v>
      </c>
      <c r="O101">
        <f>-656.030232589772 -205.700942076355 -530.290528739463</f>
        <v>-1392.02170340559</v>
      </c>
      <c r="P101">
        <f>-680.360373416804 -266.17251254561 -243.336765609825</f>
        <v>-1189.869651572239</v>
      </c>
      <c r="Q101">
        <f>-507.894807381332 -122.663739214726 -331.15347268549</f>
        <v>-961.71201928154801</v>
      </c>
      <c r="R101" t="s">
        <v>1082</v>
      </c>
      <c r="S101" t="s">
        <v>1083</v>
      </c>
      <c r="T101" t="s">
        <v>1084</v>
      </c>
      <c r="U101" t="s">
        <v>1085</v>
      </c>
      <c r="V101">
        <f>-602.320022936946 -130.35223957075 -97.4555209321587</f>
        <v>-830.12778343985462</v>
      </c>
      <c r="W101" t="s">
        <v>1086</v>
      </c>
      <c r="X101" t="s">
        <v>1087</v>
      </c>
      <c r="Y101" t="s">
        <v>1088</v>
      </c>
    </row>
    <row r="102" spans="1:25" x14ac:dyDescent="0.3">
      <c r="A102">
        <v>5050</v>
      </c>
      <c r="B102" t="s">
        <v>1089</v>
      </c>
      <c r="C102">
        <f>-620.989273663107 -36.257567881574 -98.6924500142524</f>
        <v>-755.93929155893341</v>
      </c>
      <c r="D102">
        <f>-650.159472810745 -44.9263808777839 -210.451932788889</f>
        <v>-905.53778647741797</v>
      </c>
      <c r="E102">
        <f>-664.927516029393 -47.6942047220869 -307.924454621643</f>
        <v>-1020.5461753731229</v>
      </c>
      <c r="F102">
        <f>-674.736604228063 -48.4345974133554 -396.476566040014</f>
        <v>-1119.6477676814325</v>
      </c>
      <c r="G102">
        <f>-680.649431383066 -47.3400977581487 -485.37016229458</f>
        <v>-1213.3596914357947</v>
      </c>
      <c r="H102">
        <f>-684.8197765864 -43.8827524106709 -609.83502345264</f>
        <v>-1338.537552449711</v>
      </c>
      <c r="I102">
        <f>-651.664795880078 -35.7573687305908 -685.596070871695</f>
        <v>-1373.0182354823637</v>
      </c>
      <c r="J102">
        <f>-688.424689103502 -18.2505395569863 -554.127554847078</f>
        <v>-1260.8027835075663</v>
      </c>
      <c r="K102" t="s">
        <v>1090</v>
      </c>
      <c r="L102" t="s">
        <v>1091</v>
      </c>
      <c r="M102" t="s">
        <v>1092</v>
      </c>
      <c r="N102">
        <f>-677.544541961458 -72.5577044206229 -556.000695747571</f>
        <v>-1306.1029421296519</v>
      </c>
      <c r="O102">
        <f>-655.768555246285 -205.822004761382 -530.204348031159</f>
        <v>-1391.7949080388262</v>
      </c>
      <c r="P102">
        <f>-680.097361143834 -266.234604870962 -243.23814249178</f>
        <v>-1189.5701085065759</v>
      </c>
      <c r="Q102">
        <f>-507.62895650029 -122.781257522365 -331.13961122079</f>
        <v>-961.54982524344496</v>
      </c>
      <c r="R102" t="s">
        <v>1093</v>
      </c>
      <c r="S102" t="s">
        <v>1094</v>
      </c>
      <c r="T102" t="s">
        <v>1095</v>
      </c>
      <c r="U102" t="s">
        <v>1096</v>
      </c>
      <c r="V102">
        <f>-602.181173186413 -130.140971895202 -97.4454924868887</f>
        <v>-829.7676375685038</v>
      </c>
      <c r="W102" t="s">
        <v>1097</v>
      </c>
      <c r="X102" t="s">
        <v>1098</v>
      </c>
      <c r="Y102" t="s">
        <v>1099</v>
      </c>
    </row>
    <row r="103" spans="1:25" x14ac:dyDescent="0.3">
      <c r="A103">
        <v>5100</v>
      </c>
      <c r="B103" t="s">
        <v>1100</v>
      </c>
      <c r="C103">
        <f>-620.801536889305 -36.3778626067951 -98.7085969116615</f>
        <v>-755.88799640776165</v>
      </c>
      <c r="D103">
        <f>-649.971138324795 -45.069116341626 -210.466392022874</f>
        <v>-905.50664668929494</v>
      </c>
      <c r="E103">
        <f>-664.694891871592 -47.8734508020127 -307.944701750532</f>
        <v>-1020.5130444241366</v>
      </c>
      <c r="F103">
        <f>-674.445971241878 -48.6542803432546 -396.502862415958</f>
        <v>-1119.6031140010907</v>
      </c>
      <c r="G103">
        <f>-680.282593199605 -47.607508242363 -485.402110493529</f>
        <v>-1213.2922119354971</v>
      </c>
      <c r="H103">
        <f>-684.327193639495 -44.2252055036089 -609.873076783306</f>
        <v>-1338.4254759264099</v>
      </c>
      <c r="I103">
        <f>-651.096267608636 -36.1824560351004 -685.609835680393</f>
        <v>-1372.8885593241293</v>
      </c>
      <c r="J103">
        <f>-687.983229567096 -18.5584530122003 -554.185069241356</f>
        <v>-1260.7267518206522</v>
      </c>
      <c r="K103" t="s">
        <v>1101</v>
      </c>
      <c r="L103" t="s">
        <v>1102</v>
      </c>
      <c r="M103" t="s">
        <v>1103</v>
      </c>
      <c r="N103">
        <f>-677.111458777378 -72.8688138433216 -556.014098575807</f>
        <v>-1305.9943711965066</v>
      </c>
      <c r="O103">
        <f>-655.34745939589 -206.109109753715 -530.089994319944</f>
        <v>-1391.546563469549</v>
      </c>
      <c r="P103">
        <f>-679.78103750867 -266.25741145167 -243.077096517769</f>
        <v>-1189.115545478109</v>
      </c>
      <c r="Q103">
        <f>-507.21398236256 -123.015608374659 -331.129941069532</f>
        <v>-961.35953180675097</v>
      </c>
      <c r="R103" t="s">
        <v>1104</v>
      </c>
      <c r="S103" t="s">
        <v>1105</v>
      </c>
      <c r="T103" t="s">
        <v>1106</v>
      </c>
      <c r="U103" t="s">
        <v>1107</v>
      </c>
      <c r="V103">
        <f>-601.968234242788 -130.315926732611 -97.4456075388559</f>
        <v>-829.72976851425483</v>
      </c>
      <c r="W103" t="s">
        <v>1108</v>
      </c>
      <c r="X103" t="s">
        <v>1109</v>
      </c>
      <c r="Y103" t="s">
        <v>1110</v>
      </c>
    </row>
    <row r="104" spans="1:25" x14ac:dyDescent="0.3">
      <c r="A104">
        <v>5150</v>
      </c>
      <c r="B104" t="s">
        <v>1111</v>
      </c>
      <c r="C104">
        <f>-620.697140926974 -36.3987282010169 -98.7179055387492</f>
        <v>-755.81377466674007</v>
      </c>
      <c r="D104">
        <f>-649.854299412211 -45.080666481298 -210.479722830172</f>
        <v>-905.41468872368102</v>
      </c>
      <c r="E104">
        <f>-664.547770470257 -47.8971505839763 -307.962215175938</f>
        <v>-1020.4071362301713</v>
      </c>
      <c r="F104">
        <f>-674.263504858175 -48.6974206028193 -396.524190826692</f>
        <v>-1119.4851162876862</v>
      </c>
      <c r="G104">
        <f>-680.056555686782 -47.6785308479748 -485.426602159961</f>
        <v>-1213.1616886947177</v>
      </c>
      <c r="H104">
        <f>-684.031663713844 -44.344386016586 -609.901020306998</f>
        <v>-1338.2770700374281</v>
      </c>
      <c r="I104">
        <f>-650.756452691113 -36.3518127426414 -685.623562161938</f>
        <v>-1372.7318275956925</v>
      </c>
      <c r="J104">
        <f>-687.710753332155 -18.6544244601823 -554.225114093489</f>
        <v>-1260.5902918858264</v>
      </c>
      <c r="K104" t="s">
        <v>1112</v>
      </c>
      <c r="L104" t="s">
        <v>1113</v>
      </c>
      <c r="M104" t="s">
        <v>1114</v>
      </c>
      <c r="N104">
        <f>-676.854054825296 -72.9687611930127 -556.026639849502</f>
        <v>-1305.8494558678108</v>
      </c>
      <c r="O104">
        <f>-655.125154902296 -206.202581734985 -530.031090862015</f>
        <v>-1391.358827499296</v>
      </c>
      <c r="P104">
        <f>-679.603082565308 -266.126638526686 -242.975077943485</f>
        <v>-1188.704799035479</v>
      </c>
      <c r="Q104">
        <f>-506.96582710427 -123.042127070398 -331.145784443824</f>
        <v>-961.15373861849196</v>
      </c>
      <c r="R104" t="s">
        <v>1115</v>
      </c>
      <c r="S104" t="s">
        <v>1116</v>
      </c>
      <c r="T104" t="s">
        <v>1117</v>
      </c>
      <c r="U104" t="s">
        <v>1118</v>
      </c>
      <c r="V104">
        <f>-601.857998552818 -130.293931936039 -97.4532952800066</f>
        <v>-829.60522576886365</v>
      </c>
      <c r="W104" t="s">
        <v>1119</v>
      </c>
      <c r="X104" t="s">
        <v>1120</v>
      </c>
      <c r="Y104" t="s">
        <v>1121</v>
      </c>
    </row>
    <row r="105" spans="1:25" x14ac:dyDescent="0.3">
      <c r="A105">
        <v>5200</v>
      </c>
      <c r="B105" t="s">
        <v>1122</v>
      </c>
      <c r="C105">
        <f>-620.493306575761 -36.6483546816025 -98.7219275214351</f>
        <v>-755.86358877879866</v>
      </c>
      <c r="D105">
        <f>-649.612354048337 -45.3464876823253 -210.492439660858</f>
        <v>-905.4512813915203</v>
      </c>
      <c r="E105">
        <f>-664.235087418357 -48.1793224306847 -307.985068557976</f>
        <v>-1020.3994784070177</v>
      </c>
      <c r="F105">
        <f>-673.871401081632 -48.9954501841858 -396.555419120255</f>
        <v>-1119.4222703860728</v>
      </c>
      <c r="G105">
        <f>-679.569166443653 -47.9937618874004 -485.464161110875</f>
        <v>-1213.0270894419284</v>
      </c>
      <c r="H105">
        <f>-683.394644388495 -44.6856259536378 -609.944028037503</f>
        <v>-1338.0242983796356</v>
      </c>
      <c r="I105">
        <f>-650.044675101564 -36.7633024960014 -685.641198229317</f>
        <v>-1372.4491758268823</v>
      </c>
      <c r="J105">
        <f>-687.127988660861 -18.9814737074839 -554.278301849175</f>
        <v>-1260.3877642175198</v>
      </c>
      <c r="K105" t="s">
        <v>1123</v>
      </c>
      <c r="L105" t="s">
        <v>1124</v>
      </c>
      <c r="M105" t="s">
        <v>1125</v>
      </c>
      <c r="N105">
        <f>-676.294545754481 -73.3013478938396 -556.054932308231</f>
        <v>-1305.6508259565517</v>
      </c>
      <c r="O105">
        <f>-654.647000966534 -206.532960923209 -529.961170975728</f>
        <v>-1391.141132865471</v>
      </c>
      <c r="P105">
        <f>-679.225649145579 -266.14578189455 -242.849001274573</f>
        <v>-1188.2204323147021</v>
      </c>
      <c r="Q105">
        <f>-506.439813612781 -123.350429158559 -331.197324650949</f>
        <v>-960.98756742228898</v>
      </c>
      <c r="R105" t="s">
        <v>1126</v>
      </c>
      <c r="S105" t="s">
        <v>1127</v>
      </c>
      <c r="T105" t="s">
        <v>1128</v>
      </c>
      <c r="U105" t="s">
        <v>1129</v>
      </c>
      <c r="V105">
        <f>-601.66813920822 -130.574782404529 -97.4392667854979</f>
        <v>-829.68218839824704</v>
      </c>
      <c r="W105" t="s">
        <v>1130</v>
      </c>
      <c r="X105" t="s">
        <v>1131</v>
      </c>
      <c r="Y105" t="s">
        <v>1132</v>
      </c>
    </row>
    <row r="106" spans="1:25" x14ac:dyDescent="0.3">
      <c r="A106">
        <v>5250</v>
      </c>
      <c r="B106" t="s">
        <v>1133</v>
      </c>
      <c r="C106">
        <f>-620.401426969288 -36.696464167452 -98.7262850059848</f>
        <v>-755.8241761427247</v>
      </c>
      <c r="D106">
        <f>-649.496863059608 -45.3837315034277 -210.503752136134</f>
        <v>-905.38434669916978</v>
      </c>
      <c r="E106">
        <f>-664.081921334654 -48.213261533129 -308.002176691682</f>
        <v>-1020.2973595594649</v>
      </c>
      <c r="F106">
        <f>-673.676962543906 -49.0286842406272 -396.577041156539</f>
        <v>-1119.2826879410723</v>
      </c>
      <c r="G106">
        <f>-679.326443089601 -48.0291982417217 -485.489004930476</f>
        <v>-1212.8446462617987</v>
      </c>
      <c r="H106">
        <f>-683.076789895658 -44.7263086476929 -609.971246869486</f>
        <v>-1337.7743454128367</v>
      </c>
      <c r="I106">
        <f>-649.695392733816 -36.8287124708338 -685.657060009256</f>
        <v>-1372.1811652139058</v>
      </c>
      <c r="J106">
        <f>-686.837855706317 -19.0185523393793 -554.30903852671</f>
        <v>-1260.1654465724064</v>
      </c>
      <c r="K106" t="s">
        <v>1134</v>
      </c>
      <c r="L106" t="s">
        <v>1135</v>
      </c>
      <c r="M106" t="s">
        <v>1136</v>
      </c>
      <c r="N106">
        <f>-676.015076160504 -73.3408664454805 -556.076439774238</f>
        <v>-1305.4323823802224</v>
      </c>
      <c r="O106">
        <f>-654.397751493973 -206.568250400884 -529.950936064739</f>
        <v>-1390.916937959596</v>
      </c>
      <c r="P106">
        <f>-679.04811475768 -266.141209641712 -242.836622667737</f>
        <v>-1188.025947067129</v>
      </c>
      <c r="Q106">
        <f>-506.182764182065 -123.46533755927 -331.222317326202</f>
        <v>-960.87041906753711</v>
      </c>
      <c r="R106" t="s">
        <v>1137</v>
      </c>
      <c r="S106" t="s">
        <v>1138</v>
      </c>
      <c r="T106" t="s">
        <v>1139</v>
      </c>
      <c r="U106" t="s">
        <v>1140</v>
      </c>
      <c r="V106">
        <f>-601.571423598134 -130.596513307219 -97.4352125339384</f>
        <v>-829.60314943929131</v>
      </c>
      <c r="W106" t="s">
        <v>1141</v>
      </c>
      <c r="X106" t="s">
        <v>1142</v>
      </c>
      <c r="Y106" t="s">
        <v>1143</v>
      </c>
    </row>
    <row r="107" spans="1:25" x14ac:dyDescent="0.3">
      <c r="A107">
        <v>5300</v>
      </c>
      <c r="B107" t="s">
        <v>1144</v>
      </c>
      <c r="C107">
        <f>-620.235830583636 -36.8587387061941 -98.7283542369617</f>
        <v>-755.82292352679178</v>
      </c>
      <c r="D107">
        <f>-649.283098839513 -45.5327118961962 -210.51943622022</f>
        <v>-905.33524695592916</v>
      </c>
      <c r="E107">
        <f>-663.794722841392 -48.3513109391615 -308.029001919668</f>
        <v>-1020.1750357002215</v>
      </c>
      <c r="F107">
        <f>-673.310283998184 -49.1569548308895 -396.612624851571</f>
        <v>-1119.0798636806444</v>
      </c>
      <c r="G107">
        <f>-678.867172876112 -48.1479791055498 -485.530254933983</f>
        <v>-1212.5454069156449</v>
      </c>
      <c r="H107">
        <f>-682.474417073869 -44.8325906553169 -610.016458364859</f>
        <v>-1337.3234660940448</v>
      </c>
      <c r="I107">
        <f>-649.049498636992 -36.9651995716652 -685.686071691803</f>
        <v>-1371.7007699004603</v>
      </c>
      <c r="J107">
        <f>-686.28735515589 -19.1281922662054 -554.356265299174</f>
        <v>-1259.7718127212693</v>
      </c>
      <c r="K107" t="s">
        <v>1145</v>
      </c>
      <c r="L107" t="s">
        <v>1146</v>
      </c>
      <c r="M107" t="s">
        <v>1147</v>
      </c>
      <c r="N107">
        <f>-675.486759272899 -73.4550926249715 -556.116059470229</f>
        <v>-1305.0579113680994</v>
      </c>
      <c r="O107">
        <f>-653.963107742174 -206.69083320244 -529.96728523777</f>
        <v>-1390.6212261823839</v>
      </c>
      <c r="P107">
        <f>-678.719178412296 -266.218828045765 -242.852819465254</f>
        <v>-1187.790825923315</v>
      </c>
      <c r="Q107">
        <f>-505.667139575361 -123.768109556585 -331.236364268178</f>
        <v>-960.67161340012399</v>
      </c>
      <c r="R107" t="s">
        <v>1148</v>
      </c>
      <c r="S107" t="s">
        <v>1149</v>
      </c>
      <c r="T107" t="s">
        <v>1150</v>
      </c>
      <c r="U107" t="s">
        <v>1151</v>
      </c>
      <c r="V107">
        <f>-601.439656094504 -130.774475096883 -97.4280804170485</f>
        <v>-829.64221160843545</v>
      </c>
      <c r="W107" t="s">
        <v>1152</v>
      </c>
      <c r="X107" t="s">
        <v>1153</v>
      </c>
      <c r="Y107" t="s">
        <v>1154</v>
      </c>
    </row>
    <row r="108" spans="1:25" x14ac:dyDescent="0.3">
      <c r="A108">
        <v>5350</v>
      </c>
      <c r="B108" t="s">
        <v>1155</v>
      </c>
      <c r="C108">
        <f>-620.153566175514 -36.882867868891 -98.7381538545101</f>
        <v>-755.77458789891512</v>
      </c>
      <c r="D108">
        <f>-649.176741830832 -45.5462304225255 -210.536262508229</f>
        <v>-905.25923476158653</v>
      </c>
      <c r="E108">
        <f>-663.649338473973 -48.3539898273306 -308.052099423889</f>
        <v>-1020.0554277251925</v>
      </c>
      <c r="F108">
        <f>-673.122092958182 -49.14930706302 -396.640158209031</f>
        <v>-1118.9115582302329</v>
      </c>
      <c r="G108">
        <f>-678.628606945409 -48.129502264028 -485.560912507045</f>
        <v>-1212.319021716482</v>
      </c>
      <c r="H108">
        <f>-682.157541685898 -44.7983980628516 -610.048891927939</f>
        <v>-1337.0048316766886</v>
      </c>
      <c r="I108">
        <f>-648.70599556991 -36.9326820009198 -685.707054503983</f>
        <v>-1371.345732074813</v>
      </c>
      <c r="J108">
        <f>-686.001117589883 -19.1000082599719 -554.388092523734</f>
        <v>-1259.489218373589</v>
      </c>
      <c r="K108" t="s">
        <v>1156</v>
      </c>
      <c r="L108" t="s">
        <v>1157</v>
      </c>
      <c r="M108" t="s">
        <v>1158</v>
      </c>
      <c r="N108">
        <f>-675.208184358561 -73.4284129982725 -556.147826579834</f>
        <v>-1304.7844239366675</v>
      </c>
      <c r="O108">
        <f>-653.719282810355 -206.667856315994 -529.982597241054</f>
        <v>-1390.369736367403</v>
      </c>
      <c r="P108">
        <f>-678.565570312746 -266.18121795451 -242.872789348252</f>
        <v>-1187.619577615508</v>
      </c>
      <c r="Q108">
        <f>-505.431850501326 -123.824951893796 -331.248574175897</f>
        <v>-960.50537657101904</v>
      </c>
      <c r="R108" t="s">
        <v>1159</v>
      </c>
      <c r="S108" t="s">
        <v>1160</v>
      </c>
      <c r="T108" t="s">
        <v>1161</v>
      </c>
      <c r="U108" t="s">
        <v>1162</v>
      </c>
      <c r="V108">
        <f>-601.36133947553 -130.789637109465 -97.4387551745145</f>
        <v>-829.58973175950962</v>
      </c>
      <c r="W108" t="s">
        <v>1163</v>
      </c>
      <c r="X108" t="s">
        <v>1164</v>
      </c>
      <c r="Y108" t="s">
        <v>1165</v>
      </c>
    </row>
    <row r="109" spans="1:25" x14ac:dyDescent="0.3">
      <c r="A109">
        <v>5400</v>
      </c>
      <c r="B109" t="s">
        <v>1166</v>
      </c>
      <c r="C109">
        <f>-620.047266020031 -36.8467356487101 -98.7475153779478</f>
        <v>-755.64151704668893</v>
      </c>
      <c r="D109">
        <f>-649.045746603199 -45.5032814994795 -210.552518045109</f>
        <v>-905.10154614778742</v>
      </c>
      <c r="E109">
        <f>-663.481820662633 -48.307829636252 -308.073863703944</f>
        <v>-1019.8635140028291</v>
      </c>
      <c r="F109">
        <f>-672.915417064477 -49.1015431312209 -396.666262268239</f>
        <v>-1118.6832224639368</v>
      </c>
      <c r="G109">
        <f>-678.376328122884 -48.0814349654509 -485.589717081939</f>
        <v>-1212.047480170274</v>
      </c>
      <c r="H109">
        <f>-681.834929394268 -44.7515716225521 -610.079757293065</f>
        <v>-1336.6662583098851</v>
      </c>
      <c r="I109">
        <f>-648.355408350668 -36.8912093389895 -685.726059844366</f>
        <v>-1370.9726775340234</v>
      </c>
      <c r="J109">
        <f>-685.70543659402 -19.0517626231133 -554.421350379623</f>
        <v>-1259.1785495967563</v>
      </c>
      <c r="K109" t="s">
        <v>1167</v>
      </c>
      <c r="L109" t="s">
        <v>1168</v>
      </c>
      <c r="M109" t="s">
        <v>1169</v>
      </c>
      <c r="N109">
        <f>-674.920551738266 -73.3820451402494 -556.174281763375</f>
        <v>-1304.4768786418904</v>
      </c>
      <c r="O109">
        <f>-653.463570914286 -206.620915950716 -529.985591859424</f>
        <v>-1390.0700787244259</v>
      </c>
      <c r="P109">
        <f>-678.403106052473 -266.102225698124 -242.877217917515</f>
        <v>-1187.382549668112</v>
      </c>
      <c r="Q109">
        <f>-505.193206118582 -123.832370985331 -331.242803233817</f>
        <v>-960.26838033772992</v>
      </c>
      <c r="R109" t="s">
        <v>1170</v>
      </c>
      <c r="S109" t="s">
        <v>1171</v>
      </c>
      <c r="T109" t="s">
        <v>1172</v>
      </c>
      <c r="U109" t="s">
        <v>1173</v>
      </c>
      <c r="V109">
        <f>-601.253234508483 -130.693264915436 -97.4528881539709</f>
        <v>-829.39938757788991</v>
      </c>
      <c r="W109" t="s">
        <v>1174</v>
      </c>
      <c r="X109" t="s">
        <v>1175</v>
      </c>
      <c r="Y109" t="s">
        <v>1176</v>
      </c>
    </row>
    <row r="110" spans="1:25" x14ac:dyDescent="0.3">
      <c r="A110">
        <v>5450</v>
      </c>
      <c r="B110" t="s">
        <v>1177</v>
      </c>
      <c r="C110">
        <f>-619.851913331974 -36.8625268030023 -98.7595763216173</f>
        <v>-755.47401645659352</v>
      </c>
      <c r="D110">
        <f>-648.801741178176 -45.5094465623181 -210.577999059119</f>
        <v>-904.88918679961307</v>
      </c>
      <c r="E110">
        <f>-663.163182124372 -48.3074810861624 -308.110419914454</f>
        <v>-1019.5810831249885</v>
      </c>
      <c r="F110">
        <f>-672.515742808965 -49.096328320958 -396.711511378255</f>
        <v>-1118.3235825081781</v>
      </c>
      <c r="G110">
        <f>-677.882160796179 -48.0725071758353 -485.640680098193</f>
        <v>-1211.5953480702074</v>
      </c>
      <c r="H110">
        <f>-681.194166281738 -44.7391231509447 -610.134584684422</f>
        <v>-1336.0678741171046</v>
      </c>
      <c r="I110">
        <f>-647.637452871807 -36.8855887529523 -685.747374402751</f>
        <v>-1370.2704160275102</v>
      </c>
      <c r="J110">
        <f>-685.124866693668 -19.0398796163358 -554.480169724604</f>
        <v>-1258.6449160346078</v>
      </c>
      <c r="K110" t="s">
        <v>1178</v>
      </c>
      <c r="L110" t="s">
        <v>1179</v>
      </c>
      <c r="M110" t="s">
        <v>1180</v>
      </c>
      <c r="N110">
        <f>-674.34860580908 -73.3722175246173 -556.221631103322</f>
        <v>-1303.9424544370195</v>
      </c>
      <c r="O110">
        <f>-652.961913045353 -206.618228753426 -530.007096426699</f>
        <v>-1389.5872382254779</v>
      </c>
      <c r="P110">
        <f>-678.109563313968 -266.002674086244 -242.896991810403</f>
        <v>-1187.0092292106151</v>
      </c>
      <c r="Q110">
        <f>-504.768024446331 -123.900312252259 -331.273962169747</f>
        <v>-959.94229886833705</v>
      </c>
      <c r="R110" t="s">
        <v>1181</v>
      </c>
      <c r="S110" t="s">
        <v>1182</v>
      </c>
      <c r="T110" t="s">
        <v>1183</v>
      </c>
      <c r="U110" t="s">
        <v>1184</v>
      </c>
      <c r="V110">
        <f>-601.054256294187 -130.734970541887 -97.4656038740659</f>
        <v>-829.25483071013991</v>
      </c>
      <c r="W110" t="s">
        <v>1185</v>
      </c>
      <c r="X110" t="s">
        <v>1186</v>
      </c>
      <c r="Y110" t="s">
        <v>1187</v>
      </c>
    </row>
    <row r="111" spans="1:25" x14ac:dyDescent="0.3">
      <c r="A111">
        <v>5500</v>
      </c>
      <c r="B111" t="s">
        <v>1188</v>
      </c>
      <c r="C111">
        <f>-619.704491273256 -36.9187274765361 -98.7676930625361</f>
        <v>-755.39091181232823</v>
      </c>
      <c r="D111">
        <f>-648.639536014583 -45.5505371482066 -210.591094297789</f>
        <v>-904.78116746057856</v>
      </c>
      <c r="E111">
        <f>-662.927853328715 -48.3447107649629 -308.134350665047</f>
        <v>-1019.4069147587248</v>
      </c>
      <c r="F111">
        <f>-672.18961064745 -49.1337798001949 -396.74496302922</f>
        <v>-1118.068353476865</v>
      </c>
      <c r="G111">
        <f>-677.440356601895 -48.1142446273105 -485.681123515717</f>
        <v>-1211.2357247449227</v>
      </c>
      <c r="H111">
        <f>-680.564664262453 -44.7909636705703 -610.180240460715</f>
        <v>-1335.5358683937384</v>
      </c>
      <c r="I111">
        <f>-646.907032097291 -36.9881468192261 -685.753410265805</f>
        <v>-1369.6485891823222</v>
      </c>
      <c r="J111">
        <f>-684.57795644948 -19.0869667955801 -554.534051883328</f>
        <v>-1258.1989751283882</v>
      </c>
      <c r="K111" t="s">
        <v>1189</v>
      </c>
      <c r="L111" t="s">
        <v>1190</v>
      </c>
      <c r="M111" t="s">
        <v>1191</v>
      </c>
      <c r="N111">
        <f>-673.801598320905 -73.419942790095 -556.254608104719</f>
        <v>-1303.476149215719</v>
      </c>
      <c r="O111">
        <f>-652.470127198146 -206.668279498578 -530.00338762781</f>
        <v>-1389.1417943245337</v>
      </c>
      <c r="P111">
        <f>-677.853071639298 -266.035329813843 -242.910288675764</f>
        <v>-1186.798690128905</v>
      </c>
      <c r="Q111">
        <f>-504.403161796525 -124.028208756249 -331.22775234981</f>
        <v>-959.65912290258404</v>
      </c>
      <c r="R111" t="s">
        <v>1192</v>
      </c>
      <c r="S111" t="s">
        <v>1193</v>
      </c>
      <c r="T111" t="s">
        <v>1194</v>
      </c>
      <c r="U111" t="s">
        <v>1195</v>
      </c>
      <c r="V111">
        <f>-600.890232910884 -130.838428537779 -97.4757128552264</f>
        <v>-829.20437430388949</v>
      </c>
      <c r="W111" t="s">
        <v>1196</v>
      </c>
      <c r="X111" t="s">
        <v>1197</v>
      </c>
      <c r="Y111" t="s">
        <v>1198</v>
      </c>
    </row>
    <row r="112" spans="1:25" x14ac:dyDescent="0.3">
      <c r="A112">
        <v>5550</v>
      </c>
      <c r="B112" t="s">
        <v>1199</v>
      </c>
      <c r="C112">
        <f>-619.641458766058 -36.9512652803694 -98.7618314760608</f>
        <v>-755.35455552248823</v>
      </c>
      <c r="D112">
        <f>-648.559126079011 -45.5683969432649 -210.590902218957</f>
        <v>-904.71842524123292</v>
      </c>
      <c r="E112">
        <f>-662.805126979309 -48.3517981465639 -308.140665270222</f>
        <v>-1019.2975903960948</v>
      </c>
      <c r="F112">
        <f>-672.017417623347 -49.1321504161725 -396.756517809437</f>
        <v>-1117.9060858489565</v>
      </c>
      <c r="G112">
        <f>-677.207531872123 -48.1046714777474 -485.696090473343</f>
        <v>-1211.0082938232135</v>
      </c>
      <c r="H112">
        <f>-680.235451965836 -44.7716358626111 -610.197225216589</f>
        <v>-1335.2043130450361</v>
      </c>
      <c r="I112">
        <f>-646.521310526251 -36.9954475004006 -685.748016390812</f>
        <v>-1369.2647744174637</v>
      </c>
      <c r="J112">
        <f>-684.291005907881 -19.071761003855 -554.552025085519</f>
        <v>-1257.914791997255</v>
      </c>
      <c r="K112" t="s">
        <v>1200</v>
      </c>
      <c r="L112" t="s">
        <v>1201</v>
      </c>
      <c r="M112" t="s">
        <v>1202</v>
      </c>
      <c r="N112">
        <f>-673.515009256508 -73.4049402108619 -556.268776099209</f>
        <v>-1303.188725566579</v>
      </c>
      <c r="O112">
        <f>-652.213917312975 -206.658267297372 -530.002932344828</f>
        <v>-1388.8751169551749</v>
      </c>
      <c r="P112">
        <f>-677.731683809643 -266.037823738816 -242.924366059168</f>
        <v>-1186.693873607627</v>
      </c>
      <c r="Q112">
        <f>-504.216588557411 -124.084616650671 -331.200394451903</f>
        <v>-959.501599659985</v>
      </c>
      <c r="R112" t="s">
        <v>1203</v>
      </c>
      <c r="S112" t="s">
        <v>1204</v>
      </c>
      <c r="T112" t="s">
        <v>1205</v>
      </c>
      <c r="U112" t="s">
        <v>1206</v>
      </c>
      <c r="V112">
        <f>-600.831103815442 -130.864365736896 -97.4822773968283</f>
        <v>-829.17774694916625</v>
      </c>
      <c r="W112" t="s">
        <v>1207</v>
      </c>
      <c r="X112" t="s">
        <v>1208</v>
      </c>
      <c r="Y112" t="s">
        <v>1209</v>
      </c>
    </row>
    <row r="113" spans="1:25" x14ac:dyDescent="0.3">
      <c r="A113">
        <v>5600</v>
      </c>
      <c r="B113" t="s">
        <v>1210</v>
      </c>
      <c r="C113">
        <f>-619.593316613491 -36.7670337892735 -98.7577479621959</f>
        <v>-755.11809836496036</v>
      </c>
      <c r="D113">
        <f>-648.453738816552 -45.3532987238913 -210.603989892885</f>
        <v>-904.41102743332829</v>
      </c>
      <c r="E113">
        <f>-662.60654476224 -48.1190052121819 -308.167826772494</f>
        <v>-1018.8933767469159</v>
      </c>
      <c r="F113">
        <f>-671.717053995535 -48.8860103929605 -396.7942816022</f>
        <v>-1117.3973459906956</v>
      </c>
      <c r="G113">
        <f>-676.78778435687 -47.8481058607097 -485.740723970073</f>
        <v>-1210.3766141876526</v>
      </c>
      <c r="H113">
        <f>-679.630702010125 -44.5027417876977 -610.245813955501</f>
        <v>-1334.3792577533236</v>
      </c>
      <c r="I113">
        <f>-645.797029130777 -36.7723819184341 -685.747858268549</f>
        <v>-1368.3172693177601</v>
      </c>
      <c r="J113">
        <f>-683.770484429111 -18.8087153992228 -554.604247862283</f>
        <v>-1257.183447690617</v>
      </c>
      <c r="K113" t="s">
        <v>1211</v>
      </c>
      <c r="L113" t="s">
        <v>1212</v>
      </c>
      <c r="M113" t="s">
        <v>1213</v>
      </c>
      <c r="N113">
        <f>-672.988847950549 -73.1411189149796 -556.310218577548</f>
        <v>-1302.4401854430766</v>
      </c>
      <c r="O113">
        <f>-651.72810702792 -206.389487860477 -530.005698462977</f>
        <v>-1388.1232933513738</v>
      </c>
      <c r="P113">
        <f>-677.521352768818 -265.79672568678 -242.957394630559</f>
        <v>-1186.275473086157</v>
      </c>
      <c r="Q113">
        <f>-503.908021095146 -123.912601887286 -331.151352896847</f>
        <v>-958.97197587927906</v>
      </c>
      <c r="R113" t="s">
        <v>1214</v>
      </c>
      <c r="S113" t="s">
        <v>1215</v>
      </c>
      <c r="T113" t="s">
        <v>1216</v>
      </c>
      <c r="U113" t="s">
        <v>1217</v>
      </c>
      <c r="V113">
        <f>-600.816886692492 -130.61162081821 -97.4839959027091</f>
        <v>-828.91250341341106</v>
      </c>
      <c r="W113" t="s">
        <v>1218</v>
      </c>
      <c r="X113" t="s">
        <v>1219</v>
      </c>
      <c r="Y113" t="s">
        <v>1220</v>
      </c>
    </row>
    <row r="114" spans="1:25" x14ac:dyDescent="0.3">
      <c r="A114">
        <v>5650</v>
      </c>
      <c r="B114" t="s">
        <v>1221</v>
      </c>
      <c r="C114">
        <f>-619.600685359429 -36.671081314252 -98.7600161633703</f>
        <v>-755.03178283705131</v>
      </c>
      <c r="D114">
        <f>-648.437592987648 -45.2450155636717 -210.613306557057</f>
        <v>-904.29591510837668</v>
      </c>
      <c r="E114">
        <f>-662.554403063569 -48.0067620566409 -308.182407690917</f>
        <v>-1018.7435728111269</v>
      </c>
      <c r="F114">
        <f>-671.626122989626 -48.7727604574816 -396.812930478411</f>
        <v>-1117.2118139255185</v>
      </c>
      <c r="G114">
        <f>-676.651937783029 -47.7358756351864 -485.761772682335</f>
        <v>-1210.1495861005503</v>
      </c>
      <c r="H114">
        <f>-679.425604536934 -44.3944134546596 -610.268698487447</f>
        <v>-1334.0887164790406</v>
      </c>
      <c r="I114">
        <f>-645.536495155377 -36.6735213943534 -685.746668534683</f>
        <v>-1367.9566850844135</v>
      </c>
      <c r="J114">
        <f>-683.600899960099 -18.6995542081902 -554.630065973116</f>
        <v>-1256.9305201414052</v>
      </c>
      <c r="K114" t="s">
        <v>1222</v>
      </c>
      <c r="L114" t="s">
        <v>1223</v>
      </c>
      <c r="M114" t="s">
        <v>1224</v>
      </c>
      <c r="N114">
        <f>-672.809199780613 -73.0301883827128 -556.328611938396</f>
        <v>-1302.1680001017216</v>
      </c>
      <c r="O114">
        <f>-651.558750597669 -206.280015089787 -530.00463635695</f>
        <v>-1387.843402044406</v>
      </c>
      <c r="P114">
        <f>-677.479728919873 -265.706882035677 -242.972038657164</f>
        <v>-1186.1586496127138</v>
      </c>
      <c r="Q114">
        <f>-503.836465078937 -123.841715416062 -331.137500925162</f>
        <v>-958.8156814201609</v>
      </c>
      <c r="R114" t="s">
        <v>1225</v>
      </c>
      <c r="S114" t="s">
        <v>1226</v>
      </c>
      <c r="T114" t="s">
        <v>1227</v>
      </c>
      <c r="U114" t="s">
        <v>1228</v>
      </c>
      <c r="V114">
        <f>-600.825881760199 -130.534292876691 -97.4874631464253</f>
        <v>-828.84763778331524</v>
      </c>
      <c r="W114" t="s">
        <v>1229</v>
      </c>
      <c r="X114" t="s">
        <v>1230</v>
      </c>
      <c r="Y114" t="s">
        <v>1231</v>
      </c>
    </row>
    <row r="115" spans="1:25" x14ac:dyDescent="0.3">
      <c r="A115">
        <v>5700</v>
      </c>
      <c r="B115" t="s">
        <v>1232</v>
      </c>
      <c r="C115">
        <f>-619.60999989034 -36.5844795849009 -98.7567343118191</f>
        <v>-754.95121378705994</v>
      </c>
      <c r="D115">
        <f>-648.421985830278 -45.1489209291655 -210.61717524122</f>
        <v>-904.18808200066348</v>
      </c>
      <c r="E115">
        <f>-662.501351687792 -47.9071079682102 -308.191825822442</f>
        <v>-1018.6002854784442</v>
      </c>
      <c r="F115">
        <f>-671.532805249391 -48.6716371230215 -396.826357288425</f>
        <v>-1117.0307996608376</v>
      </c>
      <c r="G115">
        <f>-676.511815565769 -47.6354488156612 -485.777917583789</f>
        <v>-1209.9251819652193</v>
      </c>
      <c r="H115">
        <f>-679.213381658082 -44.2964672181092 -610.28632475901</f>
        <v>-1333.7961736352013</v>
      </c>
      <c r="I115">
        <f>-645.270275424609 -36.5797756902111 -685.740665364806</f>
        <v>-1367.5907164796263</v>
      </c>
      <c r="J115">
        <f>-683.420704707369 -18.6003548871565 -554.650757869974</f>
        <v>-1256.6718174644996</v>
      </c>
      <c r="K115" t="s">
        <v>1233</v>
      </c>
      <c r="L115" t="s">
        <v>1234</v>
      </c>
      <c r="M115" t="s">
        <v>1235</v>
      </c>
      <c r="N115">
        <f>-672.628389734146 -72.9311835945396 -556.341989699158</f>
        <v>-1301.9015630278436</v>
      </c>
      <c r="O115">
        <f>-651.39480364443 -206.174638329822 -530.000475071066</f>
        <v>-1387.5699170453181</v>
      </c>
      <c r="P115">
        <f>-677.407126259193 -265.589684888929 -242.973526818071</f>
        <v>-1185.970337966193</v>
      </c>
      <c r="Q115">
        <f>-503.757623172739 -123.720247611749 -331.119884552682</f>
        <v>-958.59775533716993</v>
      </c>
      <c r="R115" t="s">
        <v>1236</v>
      </c>
      <c r="S115" t="s">
        <v>1237</v>
      </c>
      <c r="T115" t="s">
        <v>1238</v>
      </c>
      <c r="U115" t="s">
        <v>1239</v>
      </c>
      <c r="V115">
        <f>-600.822592145936 -130.477690328968 -97.4949467636083</f>
        <v>-828.79522923851232</v>
      </c>
      <c r="W115" t="s">
        <v>1240</v>
      </c>
      <c r="X115" t="s">
        <v>1241</v>
      </c>
      <c r="Y115" t="s">
        <v>1242</v>
      </c>
    </row>
    <row r="116" spans="1:25" x14ac:dyDescent="0.3">
      <c r="A116">
        <v>5750</v>
      </c>
      <c r="B116" t="s">
        <v>1243</v>
      </c>
      <c r="C116">
        <f>-619.563398644734 -36.4306526180926 -98.7535652495267</f>
        <v>-754.74761651235326</v>
      </c>
      <c r="D116">
        <f>-648.327152798932 -44.9858166430228 -210.627036482414</f>
        <v>-903.94000592436885</v>
      </c>
      <c r="E116">
        <f>-662.312349637487 -47.7395099285136 -308.215472663598</f>
        <v>-1018.2673322295987</v>
      </c>
      <c r="F116">
        <f>-671.237285972599 -48.5012872487787 -396.860757609992</f>
        <v>-1116.5993308313696</v>
      </c>
      <c r="G116">
        <f>-676.088535398572 -47.4632616372514 -485.81939284463</f>
        <v>-1209.3711898804536</v>
      </c>
      <c r="H116">
        <f>-678.589083426788 -44.1233710423255 -610.3320361134</f>
        <v>-1333.0444905825134</v>
      </c>
      <c r="I116">
        <f>-644.520098965475 -36.4047885299094 -685.729364256741</f>
        <v>-1366.6542517521252</v>
      </c>
      <c r="J116">
        <f>-682.890047099625 -18.4283619798387 -554.702944748298</f>
        <v>-1256.0213538277617</v>
      </c>
      <c r="K116" t="s">
        <v>1244</v>
      </c>
      <c r="L116" t="s">
        <v>1245</v>
      </c>
      <c r="M116" t="s">
        <v>1246</v>
      </c>
      <c r="N116">
        <f>-672.087349383969 -72.757680136908 -556.377348708702</f>
        <v>-1301.2223782295791</v>
      </c>
      <c r="O116">
        <f>-650.887572795632 -205.998378377943 -529.985114434379</f>
        <v>-1386.8710656079541</v>
      </c>
      <c r="P116">
        <f>-677.169127946702 -265.403719977475 -242.980762549828</f>
        <v>-1185.5536104740049</v>
      </c>
      <c r="Q116">
        <f>-503.463649038879 -123.578115414985 -331.087442020349</f>
        <v>-958.12920647421311</v>
      </c>
      <c r="R116" t="s">
        <v>1247</v>
      </c>
      <c r="S116" t="s">
        <v>1248</v>
      </c>
      <c r="T116" t="s">
        <v>1249</v>
      </c>
      <c r="U116" t="s">
        <v>1250</v>
      </c>
      <c r="V116">
        <f>-600.763129176671 -130.360015690556 -97.4969038064355</f>
        <v>-828.6200486736625</v>
      </c>
      <c r="W116" t="s">
        <v>1251</v>
      </c>
      <c r="X116" t="s">
        <v>1252</v>
      </c>
      <c r="Y116" t="s">
        <v>1253</v>
      </c>
    </row>
    <row r="117" spans="1:25" x14ac:dyDescent="0.3">
      <c r="A117">
        <v>5800</v>
      </c>
      <c r="B117" t="s">
        <v>1254</v>
      </c>
      <c r="C117">
        <f>-619.492206930989 -36.1758683399285 -98.7533534864754</f>
        <v>-754.42142875739285</v>
      </c>
      <c r="D117">
        <f>-648.209044555021 -44.7133137007062 -210.640259498734</f>
        <v>-903.56261775446114</v>
      </c>
      <c r="E117">
        <f>-662.101055860986 -47.4635833616467 -308.24205424674</f>
        <v>-1017.8066934693727</v>
      </c>
      <c r="F117">
        <f>-670.920338325099 -48.2263757151187 -396.897970548208</f>
        <v>-1116.0446845884258</v>
      </c>
      <c r="G117">
        <f>-675.644573224438 -47.1938215496026 -485.863476219597</f>
        <v>-1208.7018709936376</v>
      </c>
      <c r="H117">
        <f>-677.945448053859 -43.8655765855435 -610.38036864628</f>
        <v>-1332.1913932856824</v>
      </c>
      <c r="I117">
        <f>-643.732192325469 -36.1365358529431 -685.711150772182</f>
        <v>-1365.5798789505941</v>
      </c>
      <c r="J117">
        <f>-682.337656131208 -18.1658041639976 -554.760667737769</f>
        <v>-1255.2641280329744</v>
      </c>
      <c r="K117" t="s">
        <v>1255</v>
      </c>
      <c r="L117" t="s">
        <v>1256</v>
      </c>
      <c r="M117" t="s">
        <v>1257</v>
      </c>
      <c r="N117">
        <f>-671.528179055056 -72.4943771356975 -556.412478900734</f>
        <v>-1300.4350350914874</v>
      </c>
      <c r="O117">
        <f>-650.375885159369 -205.731901997463 -529.960626882093</f>
        <v>-1386.0684140389251</v>
      </c>
      <c r="P117">
        <f>-676.951308048069 -265.035677053048 -242.962292464624</f>
        <v>-1184.9492775657409</v>
      </c>
      <c r="Q117">
        <f>-503.141588240677 -123.304207830837 -331.014723891895</f>
        <v>-957.46051996340907</v>
      </c>
      <c r="R117" t="s">
        <v>1258</v>
      </c>
      <c r="S117" t="s">
        <v>1259</v>
      </c>
      <c r="T117" t="s">
        <v>1260</v>
      </c>
      <c r="U117" t="s">
        <v>1261</v>
      </c>
      <c r="V117">
        <f>-600.697294797032 -130.057225014569 -97.500303681889</f>
        <v>-828.25482349348999</v>
      </c>
      <c r="W117" t="s">
        <v>1262</v>
      </c>
      <c r="X117" t="s">
        <v>1263</v>
      </c>
      <c r="Y117" t="s">
        <v>1264</v>
      </c>
    </row>
    <row r="118" spans="1:25" x14ac:dyDescent="0.3">
      <c r="A118">
        <v>5850</v>
      </c>
      <c r="B118" t="s">
        <v>1265</v>
      </c>
      <c r="C118">
        <f>-619.459120055478 -36.026992799239 -98.7531345769534</f>
        <v>-754.23924743167038</v>
      </c>
      <c r="D118">
        <f>-648.16002137539 -44.5563061842734 -210.644827940912</f>
        <v>-903.36115550057536</v>
      </c>
      <c r="E118">
        <f>-662.020707846271 -47.3088562923463 -308.250960476868</f>
        <v>-1017.5805246154853</v>
      </c>
      <c r="F118">
        <f>-670.804611200901 -48.0775233020257 -396.910291040838</f>
        <v>-1115.7924255437647</v>
      </c>
      <c r="G118">
        <f>-675.486171863899 -47.054495104822 -485.878154936373</f>
        <v>-1208.4188219050939</v>
      </c>
      <c r="H118">
        <f>-677.719949706743 -43.7437863143962 -610.39671943911</f>
        <v>-1331.8604554602493</v>
      </c>
      <c r="I118">
        <f>-643.436151016469 -36.0205254549271 -685.696103411679</f>
        <v>-1365.1527798830753</v>
      </c>
      <c r="J118">
        <f>-682.137608217199 -18.0353859673075 -554.78305981981</f>
        <v>-1254.9560540043167</v>
      </c>
      <c r="K118" t="s">
        <v>1266</v>
      </c>
      <c r="L118" t="s">
        <v>1267</v>
      </c>
      <c r="M118" t="s">
        <v>1268</v>
      </c>
      <c r="N118">
        <f>-671.336319865606 -72.3659128265192 -556.421463765722</f>
        <v>-1300.1236964578472</v>
      </c>
      <c r="O118">
        <f>-650.22549981364 -205.601497142789 -529.935221008232</f>
        <v>-1385.762217964661</v>
      </c>
      <c r="P118">
        <f>-676.885598537895 -264.881968117114 -242.939872682172</f>
        <v>-1184.7074393371809</v>
      </c>
      <c r="Q118">
        <f>-503.004964898124 -123.229603008828 -330.979533162238</f>
        <v>-957.21410106918995</v>
      </c>
      <c r="R118" t="s">
        <v>1269</v>
      </c>
      <c r="S118" t="s">
        <v>1270</v>
      </c>
      <c r="T118" t="s">
        <v>1271</v>
      </c>
      <c r="U118" t="s">
        <v>1272</v>
      </c>
      <c r="V118">
        <f>-600.676763010316 -129.918493187063 -97.5023918744024</f>
        <v>-828.09764807178146</v>
      </c>
      <c r="W118" t="s">
        <v>1273</v>
      </c>
      <c r="X118" t="s">
        <v>1274</v>
      </c>
      <c r="Y118" t="s">
        <v>1275</v>
      </c>
    </row>
    <row r="119" spans="1:25" x14ac:dyDescent="0.3">
      <c r="A119">
        <v>5900</v>
      </c>
      <c r="B119" t="s">
        <v>1276</v>
      </c>
      <c r="C119">
        <f>-619.419603329845 -35.9300928288635 -98.7460678989021</f>
        <v>-754.09576405761061</v>
      </c>
      <c r="D119">
        <f>-648.115408083016 -44.4478327193287 -210.63999351089</f>
        <v>-903.2032343132347</v>
      </c>
      <c r="E119">
        <f>-661.955489294158 -47.1971782360564 -308.249123537719</f>
        <v>-1017.4017910679335</v>
      </c>
      <c r="F119">
        <f>-670.714120102032 -47.9654016174569 -396.910936372147</f>
        <v>-1115.5904580916358</v>
      </c>
      <c r="G119">
        <f>-675.363896251339 -46.9445955053372 -485.880467557191</f>
        <v>-1208.1889593138674</v>
      </c>
      <c r="H119">
        <f>-677.546453134062 -43.6395118097826 -610.400195801658</f>
        <v>-1331.5861607455026</v>
      </c>
      <c r="I119">
        <f>-643.20543839541 -35.9243772036421 -685.674256447756</f>
        <v>-1364.804072046808</v>
      </c>
      <c r="J119">
        <f>-681.979779745372 -17.9272329002649 -554.789626637944</f>
        <v>-1254.6966392835809</v>
      </c>
      <c r="K119" t="s">
        <v>1277</v>
      </c>
      <c r="L119" t="s">
        <v>1278</v>
      </c>
      <c r="M119" t="s">
        <v>1279</v>
      </c>
      <c r="N119">
        <f>-671.192224680321 -72.260680037982 -556.420759454588</f>
        <v>-1299.873664172891</v>
      </c>
      <c r="O119">
        <f>-650.129643948034 -205.502892132077 -529.910798869526</f>
        <v>-1385.543334949637</v>
      </c>
      <c r="P119">
        <f>-676.860381121905 -264.750412557084 -242.915375011591</f>
        <v>-1184.5261686905801</v>
      </c>
      <c r="Q119">
        <f>-502.918598484392 -123.173840565051 -330.956299361277</f>
        <v>-957.04873841072003</v>
      </c>
      <c r="R119" t="s">
        <v>1280</v>
      </c>
      <c r="S119" t="s">
        <v>1281</v>
      </c>
      <c r="T119" t="s">
        <v>1282</v>
      </c>
      <c r="U119" t="s">
        <v>1283</v>
      </c>
      <c r="V119">
        <f>-600.664095705809 -129.828420462625 -97.4977635964732</f>
        <v>-827.9902797649072</v>
      </c>
      <c r="W119" t="s">
        <v>1284</v>
      </c>
      <c r="X119" t="s">
        <v>1285</v>
      </c>
      <c r="Y119" t="s">
        <v>1286</v>
      </c>
    </row>
    <row r="120" spans="1:25" x14ac:dyDescent="0.3">
      <c r="A120">
        <v>5950</v>
      </c>
      <c r="B120" t="s">
        <v>1287</v>
      </c>
      <c r="C120">
        <f>-619.315452050627 -35.7032027032847 -98.7573842618451</f>
        <v>-753.77603901575674</v>
      </c>
      <c r="D120">
        <f>-648.008189462469 -44.2078526083357 -210.653019511948</f>
        <v>-902.86906158275269</v>
      </c>
      <c r="E120">
        <f>-661.824809518495 -46.953936373861 -308.265614760591</f>
        <v>-1017.044360652947</v>
      </c>
      <c r="F120">
        <f>-670.553800849626 -47.7224207760773 -396.930411798274</f>
        <v>-1115.2066334239773</v>
      </c>
      <c r="G120">
        <f>-675.165472261572 -46.7049395484585 -485.901926376505</f>
        <v>-1207.7723381865353</v>
      </c>
      <c r="H120">
        <f>-677.285862885907 -43.4078853455258 -610.422897759587</f>
        <v>-1331.1166459910198</v>
      </c>
      <c r="I120">
        <f>-642.857004315003 -35.7233824904977 -685.659937765157</f>
        <v>-1364.2403245706578</v>
      </c>
      <c r="J120">
        <f>-681.733071024426 -17.6892209911823 -554.816397945418</f>
        <v>-1254.2386899610262</v>
      </c>
      <c r="K120" t="s">
        <v>1288</v>
      </c>
      <c r="L120" t="s">
        <v>1289</v>
      </c>
      <c r="M120" t="s">
        <v>1290</v>
      </c>
      <c r="N120">
        <f>-670.972432506279 -72.0283489374132 -556.438387593611</f>
        <v>-1299.4391690373031</v>
      </c>
      <c r="O120">
        <f>-649.991801520487 -205.27377214544 -529.895795069215</f>
        <v>-1385.1613687351419</v>
      </c>
      <c r="P120">
        <f>-676.821104540147 -264.494876764363 -242.904047545792</f>
        <v>-1184.220028850302</v>
      </c>
      <c r="Q120">
        <f>-502.779421829658 -123.042983385803 -330.947984775932</f>
        <v>-956.77038999139302</v>
      </c>
      <c r="R120" t="s">
        <v>1291</v>
      </c>
      <c r="S120" t="s">
        <v>1292</v>
      </c>
      <c r="T120" t="s">
        <v>1293</v>
      </c>
      <c r="U120" t="s">
        <v>1294</v>
      </c>
      <c r="V120">
        <f>-600.577314984169 -129.578719540591 -97.5084800357366</f>
        <v>-827.66451456049663</v>
      </c>
      <c r="W120" t="s">
        <v>1295</v>
      </c>
      <c r="X120" t="s">
        <v>1296</v>
      </c>
      <c r="Y120" t="s">
        <v>1297</v>
      </c>
    </row>
    <row r="121" spans="1:25" x14ac:dyDescent="0.3">
      <c r="A121">
        <v>6000</v>
      </c>
      <c r="B121" t="s">
        <v>1298</v>
      </c>
      <c r="C121">
        <f>-619.251867890198 -35.5999792013192 -98.7627368693634</f>
        <v>-753.61458396088062</v>
      </c>
      <c r="D121">
        <f>-647.959389173234 -44.0945058922566 -210.655292497695</f>
        <v>-902.70918756318554</v>
      </c>
      <c r="E121">
        <f>-661.780198034994 -46.8403736438747 -308.26725792782</f>
        <v>-1016.8878296066887</v>
      </c>
      <c r="F121">
        <f>-670.509612161163 -47.6119011774266 -396.931965902443</f>
        <v>-1115.0534792410326</v>
      </c>
      <c r="G121">
        <f>-675.11801044415 -46.6012090798084 -485.903917838904</f>
        <v>-1207.6231373628625</v>
      </c>
      <c r="H121">
        <f>-677.229816370636 -43.317513491072 -610.425229622835</f>
        <v>-1330.9725594845429</v>
      </c>
      <c r="I121">
        <f>-642.775565887893 -35.6642968365088 -685.653962619591</f>
        <v>-1364.0938253439926</v>
      </c>
      <c r="J121">
        <f>-681.669339868349 -17.5905255796952 -554.822011692123</f>
        <v>-1254.0818771401673</v>
      </c>
      <c r="K121" t="s">
        <v>1299</v>
      </c>
      <c r="L121" t="s">
        <v>1300</v>
      </c>
      <c r="M121" t="s">
        <v>1301</v>
      </c>
      <c r="N121">
        <f>-670.931707967615 -71.9344861970317 -556.437092579104</f>
        <v>-1299.3032867437507</v>
      </c>
      <c r="O121">
        <f>-650.001699259266 -205.186745798669 -529.895496643177</f>
        <v>-1385.0839417011121</v>
      </c>
      <c r="P121">
        <f>-676.842750139223 -264.386542052873 -242.900437732149</f>
        <v>-1184.1297299242449</v>
      </c>
      <c r="Q121">
        <f>-502.746240739283 -123.003697049627 -330.946804380383</f>
        <v>-956.69674216929297</v>
      </c>
      <c r="R121" t="s">
        <v>1302</v>
      </c>
      <c r="S121" t="s">
        <v>1303</v>
      </c>
      <c r="T121" t="s">
        <v>1304</v>
      </c>
      <c r="U121" t="s">
        <v>1305</v>
      </c>
      <c r="V121">
        <f>-600.528088847767 -129.472552507852 -97.5191453108486</f>
        <v>-827.51978666646755</v>
      </c>
      <c r="W121" t="s">
        <v>1306</v>
      </c>
      <c r="X121" t="s">
        <v>1307</v>
      </c>
      <c r="Y121" t="s">
        <v>1308</v>
      </c>
    </row>
    <row r="122" spans="1:25" x14ac:dyDescent="0.3">
      <c r="A122">
        <v>6050</v>
      </c>
      <c r="B122" t="s">
        <v>1309</v>
      </c>
      <c r="C122">
        <f>-619.104913504586 -35.6068926755586 -98.7538354852566</f>
        <v>-753.46564166540111</v>
      </c>
      <c r="D122">
        <f>-647.853713023609 -44.0823464081731 -210.637289315613</f>
        <v>-902.57334874739502</v>
      </c>
      <c r="E122">
        <f>-661.693160566572 -46.8072963120194 -308.247159216292</f>
        <v>-1016.7476160948834</v>
      </c>
      <c r="F122">
        <f>-670.432460739047 -47.5578571210239 -396.911056142696</f>
        <v>-1114.9013740027667</v>
      </c>
      <c r="G122">
        <f>-675.043868988854 -46.5238913367778 -485.882493616239</f>
        <v>-1207.4502539418709</v>
      </c>
      <c r="H122">
        <f>-677.152834642116 -43.2055446411779 -610.403040020129</f>
        <v>-1330.7614193034228</v>
      </c>
      <c r="I122">
        <f>-642.674797790369 -35.5941285776255 -685.625108125487</f>
        <v>-1363.8940344934815</v>
      </c>
      <c r="J122">
        <f>-681.580087108789 -17.4914313458028 -554.792727883498</f>
        <v>-1253.8642463380897</v>
      </c>
      <c r="K122" t="s">
        <v>1310</v>
      </c>
      <c r="L122" t="s">
        <v>1311</v>
      </c>
      <c r="M122" t="s">
        <v>1312</v>
      </c>
      <c r="N122">
        <f>-670.86944361483 -71.8402034932124 -556.422509638065</f>
        <v>-1299.1321567461073</v>
      </c>
      <c r="O122">
        <f>-650.023349385928 -205.117595220247 -529.910601266749</f>
        <v>-1385.0515458729242</v>
      </c>
      <c r="P122">
        <f>-676.840713076906 -264.320846805117 -242.913964250567</f>
        <v>-1184.0755241325901</v>
      </c>
      <c r="Q122">
        <f>-502.661189721083 -123.074853393761 -331.015727552486</f>
        <v>-956.75177066732999</v>
      </c>
      <c r="R122" t="s">
        <v>1313</v>
      </c>
      <c r="S122" t="s">
        <v>1314</v>
      </c>
      <c r="T122" t="s">
        <v>1315</v>
      </c>
      <c r="U122" t="s">
        <v>1316</v>
      </c>
      <c r="V122">
        <f>-600.439715511831 -129.481576526792 -97.5162093930539</f>
        <v>-827.43750143167688</v>
      </c>
      <c r="W122" t="s">
        <v>1317</v>
      </c>
      <c r="X122" t="s">
        <v>1318</v>
      </c>
      <c r="Y122" t="s">
        <v>1319</v>
      </c>
    </row>
    <row r="123" spans="1:25" x14ac:dyDescent="0.3">
      <c r="A123">
        <v>6100</v>
      </c>
      <c r="B123" t="s">
        <v>1320</v>
      </c>
      <c r="C123">
        <f>-619.061532529077 -35.67441709637 -98.7453945851499</f>
        <v>-753.48134421059694</v>
      </c>
      <c r="D123">
        <f>-647.826284098613 -44.1481282700461 -210.62479029741</f>
        <v>-902.599202666069</v>
      </c>
      <c r="E123">
        <f>-661.677891731535 -46.8630489917433 -308.233380498436</f>
        <v>-1016.7743212217144</v>
      </c>
      <c r="F123">
        <f>-670.427724799674 -47.6009332695936 -396.896363573341</f>
        <v>-1114.9250216426085</v>
      </c>
      <c r="G123">
        <f>-675.049116337631 -46.5507651365039 -485.867114654184</f>
        <v>-1207.4669961283189</v>
      </c>
      <c r="H123">
        <f>-677.171274712521 -43.2060106597314 -610.386622932303</f>
        <v>-1330.7639083045556</v>
      </c>
      <c r="I123">
        <f>-642.692296331009 -35.5994982314116 -685.608726409645</f>
        <v>-1363.9005209720656</v>
      </c>
      <c r="J123">
        <f>-681.58840544667 -17.5028138933922 -554.770655463064</f>
        <v>-1253.8618748031263</v>
      </c>
      <c r="K123" t="s">
        <v>1321</v>
      </c>
      <c r="L123" t="s">
        <v>1322</v>
      </c>
      <c r="M123" t="s">
        <v>1323</v>
      </c>
      <c r="N123">
        <f>-670.886403332811 -71.8528983313728 -556.412932252165</f>
        <v>-1299.1522339163489</v>
      </c>
      <c r="O123">
        <f>-650.064981915207 -205.137064006751 -529.928953319287</f>
        <v>-1385.1309992412448</v>
      </c>
      <c r="P123">
        <f>-676.837179041312 -264.402011345435 -242.940941086479</f>
        <v>-1184.1801314732259</v>
      </c>
      <c r="Q123">
        <f>-502.646277459342 -123.178427490464 -331.056117013743</f>
        <v>-956.88082196354901</v>
      </c>
      <c r="R123" t="s">
        <v>1324</v>
      </c>
      <c r="S123" t="s">
        <v>1325</v>
      </c>
      <c r="T123" t="s">
        <v>1326</v>
      </c>
      <c r="U123" t="s">
        <v>1327</v>
      </c>
      <c r="V123">
        <f>-600.420662765439 -129.603496264776 -97.5058348568726</f>
        <v>-827.5299938870877</v>
      </c>
      <c r="W123" t="s">
        <v>1328</v>
      </c>
      <c r="X123" t="s">
        <v>1329</v>
      </c>
      <c r="Y123" t="s">
        <v>1330</v>
      </c>
    </row>
    <row r="124" spans="1:25" x14ac:dyDescent="0.3">
      <c r="A124">
        <v>6150</v>
      </c>
      <c r="B124" t="s">
        <v>1331</v>
      </c>
      <c r="C124">
        <f>-619.066652068343 -35.7293037032978 -98.7317187672253</f>
        <v>-753.52767453886611</v>
      </c>
      <c r="D124">
        <f>-647.872732496529 -44.1871082447794 -210.601689253303</f>
        <v>-902.66152999461144</v>
      </c>
      <c r="E124">
        <f>-661.753645919524 -46.8697653948817 -308.20686635222</f>
        <v>-1016.8302776666258</v>
      </c>
      <c r="F124">
        <f>-670.527425951139 -47.570394930369 -396.867967232787</f>
        <v>-1114.965788114295</v>
      </c>
      <c r="G124">
        <f>-675.170229558445 -46.4750817993801 -485.836872951014</f>
        <v>-1207.4821843088391</v>
      </c>
      <c r="H124">
        <f>-677.319745740048 -43.0588030468804 -610.35411681599</f>
        <v>-1330.7326656029184</v>
      </c>
      <c r="I124">
        <f>-642.85153328552 -35.432255988763 -685.579143361337</f>
        <v>-1363.8629326356199</v>
      </c>
      <c r="J124">
        <f>-681.722592411806 -17.3871085548633 -554.722362420078</f>
        <v>-1253.8320633867472</v>
      </c>
      <c r="K124" t="s">
        <v>1332</v>
      </c>
      <c r="L124" t="s">
        <v>1333</v>
      </c>
      <c r="M124" t="s">
        <v>1334</v>
      </c>
      <c r="N124">
        <f>-671.025101747162 -71.7371532435969 -556.398082357034</f>
        <v>-1299.1603373477928</v>
      </c>
      <c r="O124">
        <f>-650.223747416132 -205.037339573705 -529.978622413209</f>
        <v>-1385.2397094030462</v>
      </c>
      <c r="P124">
        <f>-676.893394912617 -264.431891327357 -243.007890588844</f>
        <v>-1184.3331768288181</v>
      </c>
      <c r="Q124">
        <f>-502.725353974177 -123.170551130949 -331.107672416981</f>
        <v>-957.00357752210698</v>
      </c>
      <c r="R124" t="s">
        <v>1335</v>
      </c>
      <c r="S124" t="s">
        <v>1336</v>
      </c>
      <c r="T124" t="s">
        <v>1337</v>
      </c>
      <c r="U124" t="s">
        <v>1338</v>
      </c>
      <c r="V124">
        <f>-600.439364788149 -129.636188477708 -97.5035890952236</f>
        <v>-827.57914236108059</v>
      </c>
      <c r="W124" t="s">
        <v>1339</v>
      </c>
      <c r="X124" t="s">
        <v>1340</v>
      </c>
      <c r="Y124" t="s">
        <v>1341</v>
      </c>
    </row>
    <row r="125" spans="1:25" x14ac:dyDescent="0.3">
      <c r="A125">
        <v>6200</v>
      </c>
      <c r="B125" t="s">
        <v>1342</v>
      </c>
      <c r="C125">
        <f>-619.081914288489 -35.7400957877403 -98.7253627660796</f>
        <v>-753.54737284230885</v>
      </c>
      <c r="D125">
        <f>-647.900941023977 -44.1970906866636 -210.592151565166</f>
        <v>-902.69018327580659</v>
      </c>
      <c r="E125">
        <f>-661.792857907013 -46.8668088339768 -308.196038233932</f>
        <v>-1016.8557049749228</v>
      </c>
      <c r="F125">
        <f>-670.576486179271 -47.5509884239543 -396.856219122758</f>
        <v>-1114.9836937259834</v>
      </c>
      <c r="G125">
        <f>-675.229231694337 -46.4339812684714 -485.824573958142</f>
        <v>-1207.4877869209504</v>
      </c>
      <c r="H125">
        <f>-677.392538949376 -42.9817505164251 -610.34050306025</f>
        <v>-1330.714792526051</v>
      </c>
      <c r="I125">
        <f>-642.934584913841 -35.3348033823447 -685.56811278506</f>
        <v>-1363.8375010812456</v>
      </c>
      <c r="J125">
        <f>-681.791830541733 -17.3266541298503 -554.700770278226</f>
        <v>-1253.8192549498094</v>
      </c>
      <c r="K125" t="s">
        <v>1343</v>
      </c>
      <c r="L125" t="s">
        <v>1344</v>
      </c>
      <c r="M125" t="s">
        <v>1345</v>
      </c>
      <c r="N125">
        <f>-671.089334054 -71.6750797887975 -556.393443473919</f>
        <v>-1299.1578573167164</v>
      </c>
      <c r="O125">
        <f>-650.28226201617 -204.978464880775 -530.004772703005</f>
        <v>-1385.2654995999501</v>
      </c>
      <c r="P125">
        <f>-676.917344218779 -264.427847446243 -243.042218453386</f>
        <v>-1184.3874101184078</v>
      </c>
      <c r="Q125">
        <f>-502.777752463624 -123.137843741455 -331.152457878011</f>
        <v>-957.06805408308992</v>
      </c>
      <c r="R125" t="s">
        <v>1346</v>
      </c>
      <c r="S125" t="s">
        <v>1347</v>
      </c>
      <c r="T125" t="s">
        <v>1348</v>
      </c>
      <c r="U125" t="s">
        <v>1349</v>
      </c>
      <c r="V125">
        <f>-600.458330298083 -129.636299060205 -97.5026182408225</f>
        <v>-827.59724759911046</v>
      </c>
      <c r="W125" t="s">
        <v>1350</v>
      </c>
      <c r="X125" t="s">
        <v>1351</v>
      </c>
      <c r="Y125" t="s">
        <v>1352</v>
      </c>
    </row>
    <row r="126" spans="1:25" x14ac:dyDescent="0.3">
      <c r="A126">
        <v>6250</v>
      </c>
      <c r="B126" t="s">
        <v>1353</v>
      </c>
      <c r="C126">
        <f>-619.166810493885 -35.7424804650493 -98.713113389431</f>
        <v>-753.62240434836531</v>
      </c>
      <c r="D126">
        <f>-648.005333256418 -44.1997156523561 -210.574755470721</f>
        <v>-902.77980437949509</v>
      </c>
      <c r="E126">
        <f>-661.91971567578 -46.8480690095998 -308.176179438765</f>
        <v>-1016.9439641241449</v>
      </c>
      <c r="F126">
        <f>-670.726006639356 -47.5044202203179 -396.834415071739</f>
        <v>-1115.064841931413</v>
      </c>
      <c r="G126">
        <f>-675.403557778522 -46.3506267316257 -485.800724092993</f>
        <v>-1207.5549086031406</v>
      </c>
      <c r="H126">
        <f>-677.604035271055 -42.8382908227493 -610.314378051199</f>
        <v>-1330.7567041450034</v>
      </c>
      <c r="I126">
        <f>-643.169336797419 -35.1375461390448 -685.547131369976</f>
        <v>-1363.8540143064397</v>
      </c>
      <c r="J126">
        <f>-681.995836783358 -17.211811989494 -554.66089062718</f>
        <v>-1253.868539400032</v>
      </c>
      <c r="K126" t="s">
        <v>1354</v>
      </c>
      <c r="L126" t="s">
        <v>1355</v>
      </c>
      <c r="M126" t="s">
        <v>1356</v>
      </c>
      <c r="N126">
        <f>-671.275592328529 -71.5559418398813 -556.383367966845</f>
        <v>-1299.2149021352552</v>
      </c>
      <c r="O126">
        <f>-650.43529984335 -204.862987529599 -530.04781781117</f>
        <v>-1385.3461051841191</v>
      </c>
      <c r="P126">
        <f>-677.0168605375 -264.43970028786 -243.106751020292</f>
        <v>-1184.5633118456519</v>
      </c>
      <c r="Q126">
        <f>-502.934638760409 -123.063359637795 -331.191801971122</f>
        <v>-957.18980036932601</v>
      </c>
      <c r="R126" t="s">
        <v>1357</v>
      </c>
      <c r="S126" t="s">
        <v>1358</v>
      </c>
      <c r="T126" t="s">
        <v>1359</v>
      </c>
      <c r="U126" t="s">
        <v>1360</v>
      </c>
      <c r="V126">
        <f>-600.538691490495 -129.634443216068 -97.502971146313</f>
        <v>-827.67610585287605</v>
      </c>
      <c r="W126" t="s">
        <v>1361</v>
      </c>
      <c r="X126" t="s">
        <v>1362</v>
      </c>
      <c r="Y126" t="s">
        <v>1363</v>
      </c>
    </row>
    <row r="127" spans="1:25" x14ac:dyDescent="0.3">
      <c r="A127">
        <v>6300</v>
      </c>
      <c r="B127" t="s">
        <v>1364</v>
      </c>
      <c r="C127">
        <f>-619.272627053305 -35.7468119874609 -98.7112650529999</f>
        <v>-753.73070409376578</v>
      </c>
      <c r="D127">
        <f>-648.127228280089 -44.2130338238619 -210.568216131859</f>
        <v>-902.90847823580987</v>
      </c>
      <c r="E127">
        <f>-662.061066407339 -46.8487470255202 -308.167069582464</f>
        <v>-1017.0768830153232</v>
      </c>
      <c r="F127">
        <f>-670.88718608321 -47.4853838454778 -396.82338308663</f>
        <v>-1115.1959530153179</v>
      </c>
      <c r="G127">
        <f>-675.587111735138 -46.3035387912757 -485.788373275969</f>
        <v>-1207.6790238023827</v>
      </c>
      <c r="H127">
        <f>-677.821446543812 -42.742522668103 -610.299955487371</f>
        <v>-1330.8639246992861</v>
      </c>
      <c r="I127">
        <f>-643.404742162868 -34.9832433544523 -685.534975181349</f>
        <v>-1363.9229606986692</v>
      </c>
      <c r="J127">
        <f>-682.214502689134 -17.1410154617529 -554.63506266885</f>
        <v>-1253.9905808197368</v>
      </c>
      <c r="K127" t="s">
        <v>1365</v>
      </c>
      <c r="L127" t="s">
        <v>1366</v>
      </c>
      <c r="M127" t="s">
        <v>1367</v>
      </c>
      <c r="N127">
        <f>-671.461978939436 -71.4779957339413 -556.382056884295</f>
        <v>-1299.3220315576723</v>
      </c>
      <c r="O127">
        <f>-650.537971679358 -204.78240931954 -530.098490830629</f>
        <v>-1385.4188718295268</v>
      </c>
      <c r="P127">
        <f>-677.039900658626 -264.461158486741 -243.171155562851</f>
        <v>-1184.672214708218</v>
      </c>
      <c r="Q127">
        <f>-503.062677214967 -122.94516630826 -331.239452357146</f>
        <v>-957.24729588037292</v>
      </c>
      <c r="R127" t="s">
        <v>1368</v>
      </c>
      <c r="S127" t="s">
        <v>1369</v>
      </c>
      <c r="T127" t="s">
        <v>1370</v>
      </c>
      <c r="U127" t="s">
        <v>1371</v>
      </c>
      <c r="V127">
        <f>-600.610445976373 -129.626487977424 -97.5069504012841</f>
        <v>-827.74388435508115</v>
      </c>
      <c r="W127" t="s">
        <v>1372</v>
      </c>
      <c r="X127" t="s">
        <v>1373</v>
      </c>
      <c r="Y127" t="s">
        <v>1374</v>
      </c>
    </row>
    <row r="128" spans="1:25" x14ac:dyDescent="0.3">
      <c r="A128">
        <v>6350</v>
      </c>
      <c r="B128" t="s">
        <v>1375</v>
      </c>
      <c r="C128">
        <f>-619.350186352555 -35.8465289379608 -98.7128405916778</f>
        <v>-753.90955588219367</v>
      </c>
      <c r="D128">
        <f>-648.212192597017 -44.3285312730088 -210.566581879721</f>
        <v>-903.10730574974673</v>
      </c>
      <c r="E128">
        <f>-662.154001609755 -46.9646778281041 -308.164290960597</f>
        <v>-1017.2829703984561</v>
      </c>
      <c r="F128">
        <f>-670.988007137764 -47.5965104691161 -396.819957469512</f>
        <v>-1115.4044750763921</v>
      </c>
      <c r="G128">
        <f>-675.696263461584 -46.4047201199721 -485.784166264166</f>
        <v>-1207.885149845722</v>
      </c>
      <c r="H128">
        <f>-677.942902905817 -42.8241639328267 -610.295184631386</f>
        <v>-1331.0622514700297</v>
      </c>
      <c r="I128">
        <f>-643.529798755925 -35.0412240705834 -685.529312137828</f>
        <v>-1364.1003349643365</v>
      </c>
      <c r="J128">
        <f>-682.338693525204 -17.233237121339 -554.625661632207</f>
        <v>-1254.1975922787501</v>
      </c>
      <c r="K128" t="s">
        <v>1376</v>
      </c>
      <c r="L128" t="s">
        <v>1377</v>
      </c>
      <c r="M128" t="s">
        <v>1378</v>
      </c>
      <c r="N128">
        <f>-671.569818091707 -71.5665519579156 -556.382358103163</f>
        <v>-1299.5187281527856</v>
      </c>
      <c r="O128">
        <f>-650.60151536371 -204.866326221681 -530.117069736676</f>
        <v>-1385.584911322067</v>
      </c>
      <c r="P128">
        <f>-677.047045940244 -264.599221210605 -243.195759320907</f>
        <v>-1184.8420264717558</v>
      </c>
      <c r="Q128">
        <f>-503.142576286646 -122.999224816758 -331.27272823261</f>
        <v>-957.41452933601397</v>
      </c>
      <c r="R128" t="s">
        <v>1379</v>
      </c>
      <c r="S128" t="s">
        <v>1380</v>
      </c>
      <c r="T128" t="s">
        <v>1381</v>
      </c>
      <c r="U128" t="s">
        <v>1382</v>
      </c>
      <c r="V128">
        <f>-600.670846015638 -129.813151053687 -97.5002219259036</f>
        <v>-827.9842189952285</v>
      </c>
      <c r="W128" t="s">
        <v>1383</v>
      </c>
      <c r="X128" t="s">
        <v>1384</v>
      </c>
      <c r="Y128" t="s">
        <v>1385</v>
      </c>
    </row>
    <row r="129" spans="1:25" x14ac:dyDescent="0.3">
      <c r="A129">
        <v>6400</v>
      </c>
      <c r="B129" t="s">
        <v>1386</v>
      </c>
      <c r="C129">
        <f>-619.496388381621 -35.9422147178504 -98.7020971379186</f>
        <v>-754.14070023739009</v>
      </c>
      <c r="D129">
        <f>-648.385158317304 -44.435127974065 -210.54816127514</f>
        <v>-903.36844756650908</v>
      </c>
      <c r="E129">
        <f>-662.349275540595 -47.0711473484391 -308.14277251457</f>
        <v>-1017.5631954036041</v>
      </c>
      <c r="F129">
        <f>-671.203099996969 -47.698650862603 -396.796386010622</f>
        <v>-1115.698136870194</v>
      </c>
      <c r="G129">
        <f>-675.930942498754 -46.498285419117 -485.759508846839</f>
        <v>-1208.18873676471</v>
      </c>
      <c r="H129">
        <f>-678.204892173714 -42.9013139774906 -610.26936275368</f>
        <v>-1331.3755689048846</v>
      </c>
      <c r="I129">
        <f>-643.802523827174 -35.0863419406094 -685.505241093362</f>
        <v>-1364.3941068611452</v>
      </c>
      <c r="J129">
        <f>-682.607708265426 -17.3213812522933 -554.595416080081</f>
        <v>-1254.5245055978003</v>
      </c>
      <c r="K129" t="s">
        <v>1387</v>
      </c>
      <c r="L129" t="s">
        <v>1388</v>
      </c>
      <c r="M129" t="s">
        <v>1389</v>
      </c>
      <c r="N129">
        <f>-671.80078501347 -71.6468615392488 -556.362063794766</f>
        <v>-1299.8097103474847</v>
      </c>
      <c r="O129">
        <f>-650.736554477081 -204.936162354587 -530.114311715864</f>
        <v>-1385.7870285475319</v>
      </c>
      <c r="P129">
        <f>-677.073770711932 -264.71343783881 -243.192281573461</f>
        <v>-1184.979490124203</v>
      </c>
      <c r="Q129">
        <f>-503.299581984427 -122.992654538528 -331.332036292317</f>
        <v>-957.62427281527198</v>
      </c>
      <c r="R129" t="s">
        <v>1390</v>
      </c>
      <c r="S129" t="s">
        <v>1391</v>
      </c>
      <c r="T129" t="s">
        <v>1392</v>
      </c>
      <c r="U129" t="s">
        <v>1393</v>
      </c>
      <c r="V129">
        <f>-600.780606210696 -129.929591181087 -97.4961709669598</f>
        <v>-828.20636835874268</v>
      </c>
      <c r="W129" t="s">
        <v>1394</v>
      </c>
      <c r="X129" t="s">
        <v>1395</v>
      </c>
      <c r="Y129" t="s">
        <v>1396</v>
      </c>
    </row>
    <row r="130" spans="1:25" x14ac:dyDescent="0.3">
      <c r="A130">
        <v>6450</v>
      </c>
      <c r="B130" t="s">
        <v>1397</v>
      </c>
      <c r="C130">
        <f>-619.586722495764 -35.8469807682852 -98.6972946232237</f>
        <v>-754.13099788727288</v>
      </c>
      <c r="D130">
        <f>-648.490343458812 -44.344881388799 -210.538991550809</f>
        <v>-903.37421639842</v>
      </c>
      <c r="E130">
        <f>-662.467982568477 -46.9821900250125 -308.131754835527</f>
        <v>-1017.5819274290166</v>
      </c>
      <c r="F130">
        <f>-671.334464836602 -47.6095472373891 -396.784074339689</f>
        <v>-1115.7280864136801</v>
      </c>
      <c r="G130">
        <f>-676.075503496356 -46.4073315195629 -485.746536876389</f>
        <v>-1208.2293718923079</v>
      </c>
      <c r="H130">
        <f>-678.368284178803 -42.8059648939511 -610.25584007728</f>
        <v>-1331.4300891500343</v>
      </c>
      <c r="I130">
        <f>-643.970854334435 -34.982017091246 -685.492986783295</f>
        <v>-1364.445858208976</v>
      </c>
      <c r="J130">
        <f>-682.771605563708 -17.2298882912089 -554.580193255959</f>
        <v>-1254.5816871108759</v>
      </c>
      <c r="K130" t="s">
        <v>1398</v>
      </c>
      <c r="L130" t="s">
        <v>1399</v>
      </c>
      <c r="M130" t="s">
        <v>1400</v>
      </c>
      <c r="N130">
        <f>-671.947090425154 -71.5516414634799 -556.350723372007</f>
        <v>-1299.8494552606408</v>
      </c>
      <c r="O130">
        <f>-650.840731855885 -204.837110731247 -530.103925981765</f>
        <v>-1385.781768568897</v>
      </c>
      <c r="P130">
        <f>-677.138016230352 -264.631306929348 -243.181656274013</f>
        <v>-1184.950979433713</v>
      </c>
      <c r="Q130">
        <f>-503.425877840219 -122.856581886008 -331.356969622598</f>
        <v>-957.63942934882493</v>
      </c>
      <c r="R130" t="s">
        <v>1401</v>
      </c>
      <c r="S130" t="s">
        <v>1402</v>
      </c>
      <c r="T130" t="s">
        <v>1403</v>
      </c>
      <c r="U130" t="s">
        <v>1404</v>
      </c>
      <c r="V130">
        <f>-600.862078488388 -129.742021832277 -97.499186007524</f>
        <v>-828.10328632818903</v>
      </c>
      <c r="W130" t="s">
        <v>1405</v>
      </c>
      <c r="X130" t="s">
        <v>1406</v>
      </c>
      <c r="Y130" t="s">
        <v>1407</v>
      </c>
    </row>
    <row r="131" spans="1:25" x14ac:dyDescent="0.3">
      <c r="A131">
        <v>6500</v>
      </c>
      <c r="B131" t="s">
        <v>1408</v>
      </c>
      <c r="C131">
        <f>-619.821194276546 -35.8575731279082 -98.7047265656302</f>
        <v>-754.38349397008426</v>
      </c>
      <c r="D131">
        <f>-648.757998265625 -44.3628112892035 -210.537387457432</f>
        <v>-903.65819701226053</v>
      </c>
      <c r="E131">
        <f>-662.772582754035 -47.0063743247849 -308.124552935916</f>
        <v>-1017.903510014736</v>
      </c>
      <c r="F131">
        <f>-671.675760288366 -47.6395485017059 -396.77312676953</f>
        <v>-1116.0884355596017</v>
      </c>
      <c r="G131">
        <f>-676.456912441883 -46.4431289707895 -485.733557418948</f>
        <v>-1208.6335988316205</v>
      </c>
      <c r="H131">
        <f>-678.809368438731 -42.8493008169078 -610.242057559567</f>
        <v>-1331.9007268152059</v>
      </c>
      <c r="I131">
        <f>-644.412978610352 -35.0432231709092 -685.481541841534</f>
        <v>-1364.9377436227951</v>
      </c>
      <c r="J131">
        <f>-683.19559335435 -17.271693246784 -554.565701512816</f>
        <v>-1255.0329881139501</v>
      </c>
      <c r="K131" t="s">
        <v>1409</v>
      </c>
      <c r="L131" t="s">
        <v>1410</v>
      </c>
      <c r="M131" t="s">
        <v>1411</v>
      </c>
      <c r="N131">
        <f>-672.352758081258 -71.5898127203703 -556.338426660301</f>
        <v>-1300.2809974619295</v>
      </c>
      <c r="O131">
        <f>-651.191591107306 -204.864514378267 -530.086598584358</f>
        <v>-1386.1427040699309</v>
      </c>
      <c r="P131">
        <f>-677.371699839864 -264.625775818059 -243.146990323275</f>
        <v>-1185.1444659811982</v>
      </c>
      <c r="Q131">
        <f>-503.744639237183 -122.802421804946 -331.411542946916</f>
        <v>-957.95860398904483</v>
      </c>
      <c r="R131" t="s">
        <v>1412</v>
      </c>
      <c r="S131" t="s">
        <v>1413</v>
      </c>
      <c r="T131" t="s">
        <v>1414</v>
      </c>
      <c r="U131" t="s">
        <v>1415</v>
      </c>
      <c r="V131">
        <f>-601.069207846185 -129.83522799374 -97.5030518629876</f>
        <v>-828.40748770291259</v>
      </c>
      <c r="W131" t="s">
        <v>1416</v>
      </c>
      <c r="X131" t="s">
        <v>1417</v>
      </c>
      <c r="Y131" t="s">
        <v>1418</v>
      </c>
    </row>
    <row r="132" spans="1:25" x14ac:dyDescent="0.3">
      <c r="A132">
        <v>6550</v>
      </c>
      <c r="B132" t="s">
        <v>1419</v>
      </c>
      <c r="C132">
        <f>-619.921312961405 -35.8844284150032 -98.7055820012298</f>
        <v>-754.51132337763795</v>
      </c>
      <c r="D132">
        <f>-648.884341398874 -44.3938841638803 -210.531114527214</f>
        <v>-903.80934008996826</v>
      </c>
      <c r="E132">
        <f>-662.928803095129 -47.0391038193155 -308.114018870098</f>
        <v>-1018.0819257845425</v>
      </c>
      <c r="F132">
        <f>-671.861821266947 -47.6729894925001 -396.759577730112</f>
        <v>-1116.294388489559</v>
      </c>
      <c r="G132">
        <f>-676.675887842225 -46.4762756561557 -485.718132365717</f>
        <v>-1208.8702958640979</v>
      </c>
      <c r="H132">
        <f>-679.077333147709 -42.8810219402537 -610.225688586494</f>
        <v>-1332.1840436744569</v>
      </c>
      <c r="I132">
        <f>-644.695202782949 -35.0848827489233 -685.472740306642</f>
        <v>-1365.2528258385141</v>
      </c>
      <c r="J132">
        <f>-683.443654795646 -17.3043455976399 -554.54731729045</f>
        <v>-1255.2953176837359</v>
      </c>
      <c r="K132" t="s">
        <v>1420</v>
      </c>
      <c r="L132" t="s">
        <v>1421</v>
      </c>
      <c r="M132" t="s">
        <v>1422</v>
      </c>
      <c r="N132">
        <f>-672.597425997443 -71.6216711287975 -556.324823282043</f>
        <v>-1300.5439204082836</v>
      </c>
      <c r="O132">
        <f>-651.434686731087 -204.897907363889 -530.067270169008</f>
        <v>-1386.399864263984</v>
      </c>
      <c r="P132">
        <f>-677.519666940248 -264.64900720969 -243.11681662458</f>
        <v>-1185.2854907745182</v>
      </c>
      <c r="Q132">
        <f>-503.915655125895 -122.827028821197 -331.429036204477</f>
        <v>-958.17172015156893</v>
      </c>
      <c r="R132" t="s">
        <v>1423</v>
      </c>
      <c r="S132" t="s">
        <v>1424</v>
      </c>
      <c r="T132" t="s">
        <v>1425</v>
      </c>
      <c r="U132" t="s">
        <v>1426</v>
      </c>
      <c r="V132">
        <f>-601.16176650066 -129.852768428502 -97.5042766797386</f>
        <v>-828.51881160890059</v>
      </c>
      <c r="W132" t="s">
        <v>1427</v>
      </c>
      <c r="X132" t="s">
        <v>1428</v>
      </c>
      <c r="Y132" t="s">
        <v>1429</v>
      </c>
    </row>
    <row r="133" spans="1:25" x14ac:dyDescent="0.3">
      <c r="A133">
        <v>6600</v>
      </c>
      <c r="B133" t="s">
        <v>1430</v>
      </c>
      <c r="C133">
        <f>-620.113649908769 -35.8635092916238 -98.7010824895974</f>
        <v>-754.67824168999027</v>
      </c>
      <c r="D133">
        <f>-649.143950252051 -44.3843208396621 -210.50834795993</f>
        <v>-904.03661905164313</v>
      </c>
      <c r="E133">
        <f>-663.241896622338 -47.0458040827781 -308.083121689991</f>
        <v>-1018.3708223951071</v>
      </c>
      <c r="F133">
        <f>-672.221626099669 -47.6970133181128 -396.723693086972</f>
        <v>-1116.6423325047538</v>
      </c>
      <c r="G133">
        <f>-677.080358485296 -46.5202995575173 -485.680198742426</f>
        <v>-1209.2808567852394</v>
      </c>
      <c r="H133">
        <f>-679.542139465188 -42.956155623667 -610.187453031037</f>
        <v>-1332.685748119892</v>
      </c>
      <c r="I133">
        <f>-645.197174897199 -35.1809302668573 -685.453588511416</f>
        <v>-1365.8316936754723</v>
      </c>
      <c r="J133">
        <f>-683.877537152189 -17.3648960517328 -554.513328470331</f>
        <v>-1255.7557616742529</v>
      </c>
      <c r="K133" t="s">
        <v>1431</v>
      </c>
      <c r="L133" t="s">
        <v>1432</v>
      </c>
      <c r="M133" t="s">
        <v>1433</v>
      </c>
      <c r="N133">
        <f>-673.040161688397 -71.6841689881635 -556.282535788677</f>
        <v>-1301.0068664652376</v>
      </c>
      <c r="O133">
        <f>-651.881281103212 -204.954430062855 -530.00385637011</f>
        <v>-1386.8395675361771</v>
      </c>
      <c r="P133">
        <f>-677.879783155699 -264.59265321861 -243.022037083705</f>
        <v>-1185.494473458014</v>
      </c>
      <c r="Q133">
        <f>-504.288552763052 -122.83049793238 -331.455019518658</f>
        <v>-958.57407021408994</v>
      </c>
      <c r="R133" t="s">
        <v>1434</v>
      </c>
      <c r="S133" t="s">
        <v>1435</v>
      </c>
      <c r="T133" t="s">
        <v>1436</v>
      </c>
      <c r="U133" t="s">
        <v>1437</v>
      </c>
      <c r="V133">
        <f>-601.365749016127 -129.855496328335 -97.5017253148695</f>
        <v>-828.72297065933151</v>
      </c>
      <c r="W133" t="s">
        <v>1438</v>
      </c>
      <c r="X133" t="s">
        <v>1439</v>
      </c>
      <c r="Y133" t="s">
        <v>1440</v>
      </c>
    </row>
    <row r="134" spans="1:25" x14ac:dyDescent="0.3">
      <c r="A134">
        <v>6650</v>
      </c>
      <c r="B134" t="s">
        <v>1441</v>
      </c>
      <c r="C134">
        <f>-620.217596117297 -35.9016865853537 -98.6984732578858</f>
        <v>-754.81775596053649</v>
      </c>
      <c r="D134">
        <f>-649.288234274315 -44.4380628148213 -210.494052582891</f>
        <v>-904.22034967202717</v>
      </c>
      <c r="E134">
        <f>-663.410190973935 -47.103038145532 -308.065214097451</f>
        <v>-1018.578443216918</v>
      </c>
      <c r="F134">
        <f>-672.407069154426 -47.7532750169562 -396.704110383342</f>
        <v>-1116.8644545547243</v>
      </c>
      <c r="G134">
        <f>-677.27838540454 -46.5715464318854 -485.659932206826</f>
        <v>-1209.5098640432514</v>
      </c>
      <c r="H134">
        <f>-679.753119856079 -42.9960335939609 -610.166644865584</f>
        <v>-1332.9157983156238</v>
      </c>
      <c r="I134">
        <f>-645.434736751294 -35.2190243036091 -685.444724095176</f>
        <v>-1366.0984851500791</v>
      </c>
      <c r="J134">
        <f>-684.079956944472 -17.4093805563114 -554.489652448778</f>
        <v>-1255.9789899495613</v>
      </c>
      <c r="K134" t="s">
        <v>1442</v>
      </c>
      <c r="L134" t="s">
        <v>1443</v>
      </c>
      <c r="M134" t="s">
        <v>1444</v>
      </c>
      <c r="N134">
        <f>-673.248242618366 -71.7295535215013 -556.264871220354</f>
        <v>-1301.2426673602213</v>
      </c>
      <c r="O134">
        <f>-652.109914345593 -205.002314346235 -529.969651259113</f>
        <v>-1387.0818799509411</v>
      </c>
      <c r="P134">
        <f>-678.059354670407 -264.586162570026 -242.972180005899</f>
        <v>-1185.617697246332</v>
      </c>
      <c r="Q134">
        <f>-504.460207977399 -122.872240866244 -331.467184864668</f>
        <v>-958.79963370831115</v>
      </c>
      <c r="R134" t="s">
        <v>1445</v>
      </c>
      <c r="S134" t="s">
        <v>1446</v>
      </c>
      <c r="T134" t="s">
        <v>1447</v>
      </c>
      <c r="U134" t="s">
        <v>1448</v>
      </c>
      <c r="V134">
        <f>-601.484067481611 -129.929510319038 -97.4899805244044</f>
        <v>-828.90355832505327</v>
      </c>
      <c r="W134" t="s">
        <v>1449</v>
      </c>
      <c r="X134" t="s">
        <v>1450</v>
      </c>
      <c r="Y134" t="s">
        <v>1451</v>
      </c>
    </row>
    <row r="135" spans="1:25" x14ac:dyDescent="0.3">
      <c r="A135">
        <v>6700</v>
      </c>
      <c r="B135" t="s">
        <v>1452</v>
      </c>
      <c r="C135">
        <f>-620.472488588648 -35.8069750518177 -98.719980467072</f>
        <v>-754.99944410753778</v>
      </c>
      <c r="D135">
        <f>-649.621130417019 -44.3705233116088 -210.493110560368</f>
        <v>-904.48476428899585</v>
      </c>
      <c r="E135">
        <f>-663.82428772184 -47.0583462804204 -308.051957738574</f>
        <v>-1018.9345917408345</v>
      </c>
      <c r="F135">
        <f>-672.900322535782 -47.7288864452082 -396.682705200869</f>
        <v>-1117.3119141818593</v>
      </c>
      <c r="G135">
        <f>-677.856592526638 -46.5670767691761 -485.633972635051</f>
        <v>-1210.057641930865</v>
      </c>
      <c r="H135">
        <f>-680.455555476761 -43.0191235191826 -610.138848361816</f>
        <v>-1333.6135273577597</v>
      </c>
      <c r="I135">
        <f>-646.214242281621 -35.25771970299 -685.453684671424</f>
        <v>-1366.925646656035</v>
      </c>
      <c r="J135">
        <f>-684.716564609174 -17.4179850796627 -554.463532308366</f>
        <v>-1256.5980819972028</v>
      </c>
      <c r="K135" t="s">
        <v>1453</v>
      </c>
      <c r="L135" t="s">
        <v>1454</v>
      </c>
      <c r="M135" t="s">
        <v>1455</v>
      </c>
      <c r="N135">
        <f>-673.907184899608 -71.7428333469954 -556.237245612825</f>
        <v>-1301.8872638594285</v>
      </c>
      <c r="O135">
        <f>-652.781769489065 -205.016715292342 -529.940325263542</f>
        <v>-1387.7388100449491</v>
      </c>
      <c r="P135">
        <f>-678.609333141355 -264.442297418695 -242.899049315644</f>
        <v>-1185.9506798756938</v>
      </c>
      <c r="Q135">
        <f>-505.011765542145 -122.795541557736 -331.504643815569</f>
        <v>-959.31195091544998</v>
      </c>
      <c r="R135" t="s">
        <v>1456</v>
      </c>
      <c r="S135" t="s">
        <v>1457</v>
      </c>
      <c r="T135" t="s">
        <v>1458</v>
      </c>
      <c r="U135" t="s">
        <v>1459</v>
      </c>
      <c r="V135">
        <f>-601.754939958867 -129.828220448138 -97.4826217342624</f>
        <v>-829.06578214126739</v>
      </c>
      <c r="W135" t="s">
        <v>1460</v>
      </c>
      <c r="X135" t="s">
        <v>1461</v>
      </c>
      <c r="Y135" t="s">
        <v>1462</v>
      </c>
    </row>
    <row r="136" spans="1:25" x14ac:dyDescent="0.3">
      <c r="A136">
        <v>6750</v>
      </c>
      <c r="B136" t="s">
        <v>1463</v>
      </c>
      <c r="C136">
        <f>-620.622725785593 -35.8118460685007 -98.7288459996554</f>
        <v>-755.16341785374914</v>
      </c>
      <c r="D136">
        <f>-649.827925152068 -44.3836012814542 -210.486542826753</f>
        <v>-904.69806926027513</v>
      </c>
      <c r="E136">
        <f>-664.097233062535 -47.0860583530102 -308.035268237339</f>
        <v>-1019.2185596528842</v>
      </c>
      <c r="F136">
        <f>-673.240046754602 -47.7728866526326 -396.659008310175</f>
        <v>-1117.6719417174095</v>
      </c>
      <c r="G136">
        <f>-678.269930525261 -46.6307380709582 -485.606490438709</f>
        <v>-1210.507159034928</v>
      </c>
      <c r="H136">
        <f>-680.979093042922 -43.1137915257319 -610.109935287386</f>
        <v>-1334.2028198560399</v>
      </c>
      <c r="I136">
        <f>-646.786092534209 -35.3750556936864 -685.44904336791</f>
        <v>-1367.6101915958054</v>
      </c>
      <c r="J136">
        <f>-685.184496883992 -17.4975137004403 -554.437298349983</f>
        <v>-1257.1193089344154</v>
      </c>
      <c r="K136" t="s">
        <v>1464</v>
      </c>
      <c r="L136" t="s">
        <v>1465</v>
      </c>
      <c r="M136" t="s">
        <v>1466</v>
      </c>
      <c r="N136">
        <f>-674.389322924284 -71.8253495402331 -556.206776902313</f>
        <v>-1302.4214493668301</v>
      </c>
      <c r="O136">
        <f>-653.264766763322 -205.095217325375 -529.908702711641</f>
        <v>-1388.2686868003379</v>
      </c>
      <c r="P136">
        <f>-678.930520451938 -264.551026967879 -242.859147319522</f>
        <v>-1186.3406947393391</v>
      </c>
      <c r="Q136">
        <f>-505.362531146481 -122.886758129902 -331.494558919524</f>
        <v>-959.74384819590705</v>
      </c>
      <c r="R136" t="s">
        <v>1467</v>
      </c>
      <c r="S136" t="s">
        <v>1468</v>
      </c>
      <c r="T136" t="s">
        <v>1469</v>
      </c>
      <c r="U136" t="s">
        <v>1470</v>
      </c>
      <c r="V136">
        <f>-601.916555991818 -129.90493982148 -97.486769880804</f>
        <v>-829.30826569410203</v>
      </c>
      <c r="W136" t="s">
        <v>1471</v>
      </c>
      <c r="X136" t="s">
        <v>1472</v>
      </c>
      <c r="Y136" t="s">
        <v>1473</v>
      </c>
    </row>
    <row r="137" spans="1:25" x14ac:dyDescent="0.3">
      <c r="A137">
        <v>6800</v>
      </c>
      <c r="B137" t="s">
        <v>1474</v>
      </c>
      <c r="C137">
        <f>-620.917984343705 -35.7041898618579 -98.7219512367008</f>
        <v>-755.3441254422637</v>
      </c>
      <c r="D137">
        <f>-650.230045435316 -44.320066974105 -210.448384716311</f>
        <v>-904.998497125732</v>
      </c>
      <c r="E137">
        <f>-664.661304207264 -47.0711451899251 -307.971937038965</f>
        <v>-1019.7043864361542</v>
      </c>
      <c r="F137">
        <f>-673.978942875352 -47.8068840907265 -396.577011430164</f>
        <v>-1118.3628383962425</v>
      </c>
      <c r="G137">
        <f>-679.211622841453 -46.7188102100315 -485.513399288513</f>
        <v>-1211.4438323399977</v>
      </c>
      <c r="H137">
        <f>-682.23329287253 -43.282991406307 -610.011885617933</f>
        <v>-1335.5281698967701</v>
      </c>
      <c r="I137">
        <f>-648.167400898496 -35.6063848742608 -685.414923120678</f>
        <v>-1369.188708893435</v>
      </c>
      <c r="J137">
        <f>-686.285641551708 -17.6277216460096 -554.345915230047</f>
        <v>-1258.2592784277645</v>
      </c>
      <c r="K137" t="s">
        <v>1475</v>
      </c>
      <c r="L137" t="s">
        <v>1476</v>
      </c>
      <c r="M137" t="s">
        <v>1477</v>
      </c>
      <c r="N137">
        <f>-675.521627222636 -71.9619031517108 -556.106697025218</f>
        <v>-1303.5902273995648</v>
      </c>
      <c r="O137">
        <f>-654.375822073315 -205.231625430455 -529.828429139813</f>
        <v>-1389.435876643583</v>
      </c>
      <c r="P137">
        <f>-679.633115445787 -264.61272439561 -242.727281854365</f>
        <v>-1186.9731216957618</v>
      </c>
      <c r="Q137">
        <f>-506.168231443066 -122.904268735944 -331.493957766331</f>
        <v>-960.56645794534097</v>
      </c>
      <c r="R137" t="s">
        <v>1478</v>
      </c>
      <c r="S137" t="s">
        <v>1479</v>
      </c>
      <c r="T137" t="s">
        <v>1480</v>
      </c>
      <c r="U137" t="s">
        <v>1481</v>
      </c>
      <c r="V137">
        <f>-602.205034837757 -129.77261266186 -97.4796757503642</f>
        <v>-829.45732324998119</v>
      </c>
      <c r="W137" t="s">
        <v>1482</v>
      </c>
      <c r="X137" t="s">
        <v>1483</v>
      </c>
      <c r="Y137" t="s">
        <v>1484</v>
      </c>
    </row>
    <row r="138" spans="1:25" x14ac:dyDescent="0.3">
      <c r="A138">
        <v>6850</v>
      </c>
      <c r="B138" t="s">
        <v>1485</v>
      </c>
      <c r="C138">
        <f>-621.075927676387 -35.6771238084493 -98.7243628261031</f>
        <v>-755.47741431093937</v>
      </c>
      <c r="D138">
        <f>-650.448049657071 -44.3118436592378 -210.433514806843</f>
        <v>-905.19340812315181</v>
      </c>
      <c r="E138">
        <f>-664.975831143271 -47.0902977221795 -307.941907596227</f>
        <v>-1020.0080364616774</v>
      </c>
      <c r="F138">
        <f>-674.398720856035 -47.8555463026976 -396.535741713648</f>
        <v>-1118.7900088723804</v>
      </c>
      <c r="G138">
        <f>-679.75461301431 -46.8021276138583 -485.465145505401</f>
        <v>-1212.0218861335693</v>
      </c>
      <c r="H138">
        <f>-682.967376577473 -43.4203102776266 -609.960401323196</f>
        <v>-1336.3480881782957</v>
      </c>
      <c r="I138">
        <f>-648.98008171097 -35.7853689921544 -685.403171800084</f>
        <v>-1370.1686225032086</v>
      </c>
      <c r="J138">
        <f>-686.92863793736 -17.739873897408 -554.299449936418</f>
        <v>-1258.9679617711859</v>
      </c>
      <c r="K138" t="s">
        <v>1486</v>
      </c>
      <c r="L138" t="s">
        <v>1487</v>
      </c>
      <c r="M138" t="s">
        <v>1488</v>
      </c>
      <c r="N138">
        <f>-676.178601981633 -72.0770319279463 -556.052950665283</f>
        <v>-1304.3085845748624</v>
      </c>
      <c r="O138">
        <f>-655.010120698593 -205.346213838733 -529.772800346292</f>
        <v>-1390.129134883618</v>
      </c>
      <c r="P138">
        <f>-680.055414453737 -264.637694521815 -242.634331068139</f>
        <v>-1187.327440043691</v>
      </c>
      <c r="Q138">
        <f>-506.667348432833 -122.886565044984 -331.482936444135</f>
        <v>-961.03684992195201</v>
      </c>
      <c r="R138" t="s">
        <v>1489</v>
      </c>
      <c r="S138" t="s">
        <v>1490</v>
      </c>
      <c r="T138" t="s">
        <v>1491</v>
      </c>
      <c r="U138" t="s">
        <v>1492</v>
      </c>
      <c r="V138">
        <f>-602.364711347805 -129.786146096577 -97.4757207747268</f>
        <v>-829.62657821910886</v>
      </c>
      <c r="W138" t="s">
        <v>1493</v>
      </c>
      <c r="X138" t="s">
        <v>1494</v>
      </c>
      <c r="Y138" t="s">
        <v>1495</v>
      </c>
    </row>
    <row r="139" spans="1:25" x14ac:dyDescent="0.3">
      <c r="A139">
        <v>6900</v>
      </c>
      <c r="B139" t="s">
        <v>1496</v>
      </c>
      <c r="C139">
        <f>-621.349900161852 -35.6573627557354 -98.7147221438573</f>
        <v>-755.7219850614448</v>
      </c>
      <c r="D139">
        <f>-650.833188653347 -44.3228012098872 -210.392176655466</f>
        <v>-905.5481665187001</v>
      </c>
      <c r="E139">
        <f>-665.549542153946 -47.1542725899848 -307.870815573937</f>
        <v>-1020.5746303178678</v>
      </c>
      <c r="F139">
        <f>-675.180479690797 -47.9786982221918 -396.441762327664</f>
        <v>-1119.6009402406528</v>
      </c>
      <c r="G139">
        <f>-680.782205422993 -46.9963010339883 -485.356810314989</f>
        <v>-1213.1353167719703</v>
      </c>
      <c r="H139">
        <f>-684.377370890127 -43.7259975581497 -609.844534443791</f>
        <v>-1337.9479028920678</v>
      </c>
      <c r="I139">
        <f>-650.577759842695 -36.1683920168491 -685.379291759141</f>
        <v>-1372.125443618685</v>
      </c>
      <c r="J139">
        <f>-688.158309085846 -17.9938828766408 -554.194933192789</f>
        <v>-1260.3471251552758</v>
      </c>
      <c r="K139" t="s">
        <v>1497</v>
      </c>
      <c r="L139" t="s">
        <v>1498</v>
      </c>
      <c r="M139" t="s">
        <v>1499</v>
      </c>
      <c r="N139">
        <f>-677.432253375677 -72.3362963549058 -555.932317231629</f>
        <v>-1305.7008669622119</v>
      </c>
      <c r="O139">
        <f>-656.225466568546 -205.595996669887 -529.644939825862</f>
        <v>-1391.466403064295</v>
      </c>
      <c r="P139">
        <f>-680.810953054028 -264.712545914348 -242.430773425349</f>
        <v>-1187.9542723937252</v>
      </c>
      <c r="Q139">
        <f>-507.585525981445 -122.908773930852 -331.512256723682</f>
        <v>-962.006556635979</v>
      </c>
      <c r="R139" t="s">
        <v>1500</v>
      </c>
      <c r="S139" t="s">
        <v>1501</v>
      </c>
      <c r="T139" t="s">
        <v>1502</v>
      </c>
      <c r="U139" t="s">
        <v>1503</v>
      </c>
      <c r="V139">
        <f>-602.639598243432 -129.84239686823 -97.4637648902701</f>
        <v>-829.94576000193217</v>
      </c>
      <c r="W139" t="s">
        <v>1504</v>
      </c>
      <c r="X139" t="s">
        <v>1505</v>
      </c>
      <c r="Y139" t="s">
        <v>1506</v>
      </c>
    </row>
    <row r="140" spans="1:25" x14ac:dyDescent="0.3">
      <c r="A140">
        <v>6950</v>
      </c>
      <c r="B140" t="s">
        <v>1507</v>
      </c>
      <c r="C140">
        <f>-621.46460884968 -35.6216087642561 -98.7135416702779</f>
        <v>-755.79975928421391</v>
      </c>
      <c r="D140">
        <f>-651.003827672569 -44.2979470305938 -210.375335821476</f>
        <v>-905.67711052463881</v>
      </c>
      <c r="E140">
        <f>-665.806491239314 -47.1504269944386 -307.840304950145</f>
        <v>-1020.7972231838976</v>
      </c>
      <c r="F140">
        <f>-675.530982744807 -47.9984907994624 -396.400685672534</f>
        <v>-1119.9301592168035</v>
      </c>
      <c r="G140">
        <f>-681.241881626996 -47.0440624771627 -485.309281199021</f>
        <v>-1213.5952253031796</v>
      </c>
      <c r="H140">
        <f>-685.005993145868 -43.8177749950439 -609.793081935303</f>
        <v>-1338.6168500762151</v>
      </c>
      <c r="I140">
        <f>-651.307655287468 -36.2878204425292 -685.375919028692</f>
        <v>-1372.9713947586893</v>
      </c>
      <c r="J140">
        <f>-688.709655758098 -18.0657075500881 -554.147523243895</f>
        <v>-1260.9228865520811</v>
      </c>
      <c r="K140" t="s">
        <v>1508</v>
      </c>
      <c r="L140" t="s">
        <v>1509</v>
      </c>
      <c r="M140" t="s">
        <v>1510</v>
      </c>
      <c r="N140">
        <f>-677.989511676706 -72.4093601881418 -555.880271943421</f>
        <v>-1306.2791438082688</v>
      </c>
      <c r="O140">
        <f>-656.758835880943 -205.667339090038 -529.599025091475</f>
        <v>-1392.025200062456</v>
      </c>
      <c r="P140">
        <f>-681.118284040056 -264.690534286083 -242.346407907635</f>
        <v>-1188.1552262337741</v>
      </c>
      <c r="Q140">
        <f>-507.971837190066 -122.845987488139 -331.516540901997</f>
        <v>-962.33436558020207</v>
      </c>
      <c r="R140" t="s">
        <v>1511</v>
      </c>
      <c r="S140" t="s">
        <v>1512</v>
      </c>
      <c r="T140" t="s">
        <v>1513</v>
      </c>
      <c r="U140" t="s">
        <v>1514</v>
      </c>
      <c r="V140">
        <f>-602.753060844453 -129.81438807188 -97.4539472901993</f>
        <v>-830.02139620653224</v>
      </c>
      <c r="W140" t="s">
        <v>1515</v>
      </c>
      <c r="X140" t="s">
        <v>1516</v>
      </c>
      <c r="Y140" t="s">
        <v>1517</v>
      </c>
    </row>
    <row r="141" spans="1:25" x14ac:dyDescent="0.3">
      <c r="A141">
        <v>7000</v>
      </c>
      <c r="B141" t="s">
        <v>1518</v>
      </c>
      <c r="C141">
        <f>-621.699194738768 -35.4684961684254 -98.7141529921621</f>
        <v>-755.88184389935554</v>
      </c>
      <c r="D141">
        <f>-651.357508932236 -44.1429286213756 -210.344646873067</f>
        <v>-905.84508442667857</v>
      </c>
      <c r="E141">
        <f>-666.331248737143 -47.0268340109042 -307.782466756258</f>
        <v>-1021.1405495043052</v>
      </c>
      <c r="F141">
        <f>-676.23847839661 -47.9164068815583 -396.322253261388</f>
        <v>-1120.4771385395563</v>
      </c>
      <c r="G141">
        <f>-682.160291242479 -47.0165782594524 -485.217503147807</f>
        <v>-1214.3943726497384</v>
      </c>
      <c r="H141">
        <f>-686.248582675728 -43.8798016383432 -609.693533590891</f>
        <v>-1339.8219179049622</v>
      </c>
      <c r="I141">
        <f>-652.764885893136 -36.4036898651448 -685.376908309079</f>
        <v>-1374.5454840673597</v>
      </c>
      <c r="J141">
        <f>-689.804377244733 -18.0871216782621 -554.057187745646</f>
        <v>-1261.9486866686411</v>
      </c>
      <c r="K141" t="s">
        <v>1519</v>
      </c>
      <c r="L141" t="s">
        <v>1520</v>
      </c>
      <c r="M141" t="s">
        <v>1521</v>
      </c>
      <c r="N141">
        <f>-679.094629467897 -72.4332192647164 -555.778272819304</f>
        <v>-1307.3061215519174</v>
      </c>
      <c r="O141">
        <f>-657.799014243085 -205.679227260552 -529.487613594684</f>
        <v>-1392.9658550983211</v>
      </c>
      <c r="P141">
        <f>-681.787982873868 -264.579372013591 -242.178492389787</f>
        <v>-1188.5458472772459</v>
      </c>
      <c r="Q141">
        <f>-508.763220260552 -122.699384924409 -331.528388168199</f>
        <v>-962.99099335315987</v>
      </c>
      <c r="R141" t="s">
        <v>1522</v>
      </c>
      <c r="S141" t="s">
        <v>1523</v>
      </c>
      <c r="T141" t="s">
        <v>1524</v>
      </c>
      <c r="U141" t="s">
        <v>1525</v>
      </c>
      <c r="V141">
        <f>-603.014847356383 -129.636720844765 -97.4477319861983</f>
        <v>-830.09930018734633</v>
      </c>
      <c r="W141" t="s">
        <v>1526</v>
      </c>
      <c r="X141" t="s">
        <v>1527</v>
      </c>
      <c r="Y141" t="s">
        <v>1528</v>
      </c>
    </row>
    <row r="142" spans="1:25" x14ac:dyDescent="0.3">
      <c r="A142">
        <v>7050</v>
      </c>
      <c r="B142" t="s">
        <v>1529</v>
      </c>
      <c r="C142">
        <f>-621.824610242486 -35.3543602053446 -98.7170776771478</f>
        <v>-755.89604812497839</v>
      </c>
      <c r="D142">
        <f>-651.530959497727 -44.0419612184005 -210.333720047861</f>
        <v>-905.90664076398855</v>
      </c>
      <c r="E142">
        <f>-666.581226340226 -46.9439170920298 -307.759261647537</f>
        <v>-1021.2844050797928</v>
      </c>
      <c r="F142">
        <f>-676.572056071073 -47.8524523550151 -396.289432805936</f>
        <v>-1120.7139412320241</v>
      </c>
      <c r="G142">
        <f>-682.591924457154 -46.9742062645458 -485.178285888247</f>
        <v>-1214.7444166099469</v>
      </c>
      <c r="H142">
        <f>-686.832502170474 -43.8703889072116 -609.650023180133</f>
        <v>-1340.3529142578186</v>
      </c>
      <c r="I142">
        <f>-653.450471105401 -36.4157871020059 -685.380392064723</f>
        <v>-1375.24665027213</v>
      </c>
      <c r="J142">
        <f>-690.31900670002 -18.062699171787 -554.016220560093</f>
        <v>-1262.3979264319</v>
      </c>
      <c r="K142" t="s">
        <v>1530</v>
      </c>
      <c r="L142" t="s">
        <v>1531</v>
      </c>
      <c r="M142" t="s">
        <v>1532</v>
      </c>
      <c r="N142">
        <f>-679.613942467209 -72.4098404303646 -555.736139051499</f>
        <v>-1307.7599219490726</v>
      </c>
      <c r="O142">
        <f>-658.302095497115 -205.649124761456 -529.435581382972</f>
        <v>-1393.3868016415431</v>
      </c>
      <c r="P142">
        <f>-682.091080797385 -264.492692876041 -242.098297085579</f>
        <v>-1188.682070759005</v>
      </c>
      <c r="Q142">
        <f>-509.123356000966 -122.604997276598 -331.546087828695</f>
        <v>-963.27444110625902</v>
      </c>
      <c r="R142" t="s">
        <v>1533</v>
      </c>
      <c r="S142" t="s">
        <v>1534</v>
      </c>
      <c r="T142" t="s">
        <v>1535</v>
      </c>
      <c r="U142" t="s">
        <v>1536</v>
      </c>
      <c r="V142">
        <f>-603.130786567438 -129.513847298388 -97.4482687522237</f>
        <v>-830.09290261804972</v>
      </c>
      <c r="W142" t="s">
        <v>1537</v>
      </c>
      <c r="X142" t="s">
        <v>1538</v>
      </c>
      <c r="Y142" t="s">
        <v>1539</v>
      </c>
    </row>
    <row r="143" spans="1:25" x14ac:dyDescent="0.3">
      <c r="A143">
        <v>7100</v>
      </c>
      <c r="B143" t="s">
        <v>1540</v>
      </c>
      <c r="C143">
        <f>-622.112218950536 -35.2577379312795 -98.7159233707451</f>
        <v>-756.08588025256063</v>
      </c>
      <c r="D143">
        <f>-651.905618711953 -43.9789725391446 -210.306649211465</f>
        <v>-906.19124046256263</v>
      </c>
      <c r="E143">
        <f>-667.095065901517 -46.9197748038175 -307.70939599749</f>
        <v>-1021.7242367028246</v>
      </c>
      <c r="F143">
        <f>-677.237903216702 -47.8674131644368 -396.221938193299</f>
        <v>-1121.3272545744378</v>
      </c>
      <c r="G143">
        <f>-683.435960638611 -47.0324468389571 -485.098987651422</f>
        <v>-1215.56739512899</v>
      </c>
      <c r="H143">
        <f>-687.95282061544 -43.9933758334697 -609.56254488362</f>
        <v>-1341.5087413325298</v>
      </c>
      <c r="I143">
        <f>-654.753994707852 -36.5890393238421 -685.378387082073</f>
        <v>-1376.7214211137671</v>
      </c>
      <c r="J143">
        <f>-691.314534569657 -18.1565296973558 -553.934669795897</f>
        <v>-1263.4057340629097</v>
      </c>
      <c r="K143" t="s">
        <v>1541</v>
      </c>
      <c r="L143" t="s">
        <v>1542</v>
      </c>
      <c r="M143" t="s">
        <v>1543</v>
      </c>
      <c r="N143">
        <f>-680.615872139227 -72.5050226083862 -555.649933073914</f>
        <v>-1308.7708278215273</v>
      </c>
      <c r="O143">
        <f>-659.274401103499 -205.73714532794 -529.333968736819</f>
        <v>-1394.3455151682579</v>
      </c>
      <c r="P143">
        <f>-682.787704824444 -264.480900308821 -241.953528212389</f>
        <v>-1189.2221333456539</v>
      </c>
      <c r="Q143">
        <f>-509.932949405427 -122.591810520805 -331.617331646679</f>
        <v>-964.14209157291111</v>
      </c>
      <c r="R143" t="s">
        <v>1544</v>
      </c>
      <c r="S143" t="s">
        <v>1545</v>
      </c>
      <c r="T143" t="s">
        <v>1546</v>
      </c>
      <c r="U143" t="s">
        <v>1547</v>
      </c>
      <c r="V143">
        <f>-603.434779000382 -129.474402029374 -97.4381818149037</f>
        <v>-830.34736284465976</v>
      </c>
      <c r="W143" t="s">
        <v>1548</v>
      </c>
      <c r="X143" t="s">
        <v>1549</v>
      </c>
      <c r="Y143" t="s">
        <v>1550</v>
      </c>
    </row>
    <row r="144" spans="1:25" x14ac:dyDescent="0.3">
      <c r="A144">
        <v>7150</v>
      </c>
      <c r="B144" t="s">
        <v>1551</v>
      </c>
      <c r="C144">
        <f>-622.242671682286 -35.246326185428 -98.7182413973336</f>
        <v>-756.20723926504752</v>
      </c>
      <c r="D144">
        <f>-652.075965700747 -43.9787432019172 -210.297525753806</f>
        <v>-906.35223465647016</v>
      </c>
      <c r="E144">
        <f>-667.326506384052 -46.9347633858566 -307.690191046831</f>
        <v>-1021.9514608167397</v>
      </c>
      <c r="F144">
        <f>-677.535423872303 -47.8985630941332 -396.195020275869</f>
        <v>-1121.6290072423053</v>
      </c>
      <c r="G144">
        <f>-683.810380040482 -47.082180611838 -485.066729767643</f>
        <v>-1215.9592904199631</v>
      </c>
      <c r="H144">
        <f>-688.446117180093 -44.0719451751224 -609.526651008737</f>
        <v>-1342.0447133639523</v>
      </c>
      <c r="I144">
        <f>-655.328442616228 -36.6956331122906 -685.380759395791</f>
        <v>-1377.4048351243096</v>
      </c>
      <c r="J144">
        <f>-691.753549222945 -18.2217707847024 -553.901608943485</f>
        <v>-1263.8769289511324</v>
      </c>
      <c r="K144" t="s">
        <v>1552</v>
      </c>
      <c r="L144" t="s">
        <v>1553</v>
      </c>
      <c r="M144" t="s">
        <v>1554</v>
      </c>
      <c r="N144">
        <f>-681.058795872696 -72.5712918720346 -555.614511267633</f>
        <v>-1309.2445990123638</v>
      </c>
      <c r="O144">
        <f>-659.708992549712 -205.801535505801 -529.295340700337</f>
        <v>-1394.80586875585</v>
      </c>
      <c r="P144">
        <f>-683.070744860584 -264.517316457859 -241.896931158569</f>
        <v>-1189.4849924770119</v>
      </c>
      <c r="Q144">
        <f>-510.276495045193 -122.604975595667 -331.640438457784</f>
        <v>-964.52190909864407</v>
      </c>
      <c r="R144" t="s">
        <v>1555</v>
      </c>
      <c r="S144" t="s">
        <v>1556</v>
      </c>
      <c r="T144" t="s">
        <v>1557</v>
      </c>
      <c r="U144" t="s">
        <v>1558</v>
      </c>
      <c r="V144">
        <f>-603.56270854874 -129.467462386156 -97.4391959317115</f>
        <v>-830.46936686660752</v>
      </c>
      <c r="W144" t="s">
        <v>1559</v>
      </c>
      <c r="X144" t="s">
        <v>1560</v>
      </c>
      <c r="Y144" t="s">
        <v>1561</v>
      </c>
    </row>
    <row r="145" spans="1:25" x14ac:dyDescent="0.3">
      <c r="A145">
        <v>7200</v>
      </c>
      <c r="B145" t="s">
        <v>1562</v>
      </c>
      <c r="C145">
        <f>-622.510094262431 -35.28317530256 -98.7257747796731</f>
        <v>-756.51904434466417</v>
      </c>
      <c r="D145">
        <f>-652.429911174248 -44.0357095052941 -210.28034627573</f>
        <v>-906.74596695527214</v>
      </c>
      <c r="E145">
        <f>-667.799710300013 -47.0212584593962 -307.653461781555</f>
        <v>-1022.4744305409642</v>
      </c>
      <c r="F145">
        <f>-678.134619025021 -48.0167719419399 -396.143217687294</f>
        <v>-1122.2946086542549</v>
      </c>
      <c r="G145">
        <f>-684.55368819438 -47.23751420653 -485.005075419391</f>
        <v>-1216.7962778203009</v>
      </c>
      <c r="H145">
        <f>-689.409760746216 -44.2841789844756 -609.457863433595</f>
        <v>-1343.1518031642865</v>
      </c>
      <c r="I145">
        <f>-656.436632114536 -36.9718748241987 -685.3809885906</f>
        <v>-1378.7894955293348</v>
      </c>
      <c r="J145">
        <f>-692.616483376279 -18.4081927228033 -553.839047609376</f>
        <v>-1264.8637237084583</v>
      </c>
      <c r="K145" t="s">
        <v>1563</v>
      </c>
      <c r="L145" t="s">
        <v>1564</v>
      </c>
      <c r="M145" t="s">
        <v>1565</v>
      </c>
      <c r="N145">
        <f>-681.929179887324 -72.7593103688528 -555.545663764589</f>
        <v>-1310.2341540207658</v>
      </c>
      <c r="O145">
        <f>-660.542300715136 -205.984992920726 -529.236208384275</f>
        <v>-1395.7635020201369</v>
      </c>
      <c r="P145">
        <f>-683.639478157948 -264.612632564974 -241.798368106133</f>
        <v>-1190.050478829055</v>
      </c>
      <c r="Q145">
        <f>-510.989477944085 -122.597910717576 -331.657483493123</f>
        <v>-965.24487215478405</v>
      </c>
      <c r="R145" t="s">
        <v>1566</v>
      </c>
      <c r="S145" t="s">
        <v>1567</v>
      </c>
      <c r="T145" t="s">
        <v>1568</v>
      </c>
      <c r="U145" t="s">
        <v>1569</v>
      </c>
      <c r="V145">
        <f>-603.856131265471 -129.582256685685 -97.4427572698697</f>
        <v>-830.8811452210258</v>
      </c>
      <c r="W145" t="s">
        <v>1570</v>
      </c>
      <c r="X145" t="s">
        <v>1571</v>
      </c>
      <c r="Y145" t="s">
        <v>1572</v>
      </c>
    </row>
    <row r="146" spans="1:25" x14ac:dyDescent="0.3">
      <c r="A146">
        <v>7250</v>
      </c>
      <c r="B146" t="s">
        <v>1573</v>
      </c>
      <c r="C146">
        <f>-622.655345829188 -35.2416826803774 -98.7278824047991</f>
        <v>-756.62491091436448</v>
      </c>
      <c r="D146">
        <f>-652.617184584309 -43.9990032656476 -210.270788761685</f>
        <v>-906.88697661164167</v>
      </c>
      <c r="E146">
        <f>-668.038724914958 -46.9935112070076 -307.635401991447</f>
        <v>-1022.6676381134126</v>
      </c>
      <c r="F146">
        <f>-678.426698598078 -47.9994776024849 -396.11877215674</f>
        <v>-1122.5449483573029</v>
      </c>
      <c r="G146">
        <f>-684.905122887519 -47.2328113312733 -484.976537952117</f>
        <v>-1217.1144721709093</v>
      </c>
      <c r="H146">
        <f>-689.850661206413 -44.2995908918131 -609.426197488992</f>
        <v>-1343.5764495872181</v>
      </c>
      <c r="I146">
        <f>-656.94072856313 -37.0167928955893 -685.379749567277</f>
        <v>-1379.3372710259964</v>
      </c>
      <c r="J146">
        <f>-693.016285588748 -18.4145260435962 -553.809283730102</f>
        <v>-1265.2400953624463</v>
      </c>
      <c r="K146" t="s">
        <v>1574</v>
      </c>
      <c r="L146" t="s">
        <v>1575</v>
      </c>
      <c r="M146" t="s">
        <v>1576</v>
      </c>
      <c r="N146">
        <f>-682.332498922315 -72.7662829295454 -555.514783944288</f>
        <v>-1310.6135657961484</v>
      </c>
      <c r="O146">
        <f>-660.938867504155 -205.993253670793 -529.205410875485</f>
        <v>-1396.137532050433</v>
      </c>
      <c r="P146">
        <f>-683.907199687285 -264.587508788179 -241.750406426917</f>
        <v>-1190.2451149023809</v>
      </c>
      <c r="Q146">
        <f>-511.305326712578 -122.560151495319 -331.682068189116</f>
        <v>-965.54754639701309</v>
      </c>
      <c r="R146" t="s">
        <v>1577</v>
      </c>
      <c r="S146" t="s">
        <v>1578</v>
      </c>
      <c r="T146" t="s">
        <v>1579</v>
      </c>
      <c r="U146" t="s">
        <v>1580</v>
      </c>
      <c r="V146">
        <f>-604.014550435013 -129.524404901302 -97.4427270698592</f>
        <v>-830.98168240617417</v>
      </c>
      <c r="W146" t="s">
        <v>1581</v>
      </c>
      <c r="X146" t="s">
        <v>1582</v>
      </c>
      <c r="Y146" t="s">
        <v>1583</v>
      </c>
    </row>
    <row r="147" spans="1:25" x14ac:dyDescent="0.3">
      <c r="A147">
        <v>7300</v>
      </c>
      <c r="B147" t="s">
        <v>1584</v>
      </c>
      <c r="C147">
        <f>-622.891328900027 -35.2296294297882 -98.7246347922661</f>
        <v>-756.84559312208137</v>
      </c>
      <c r="D147">
        <f>-652.907060670153 -43.9997219299235 -210.251967366048</f>
        <v>-907.15874996612445</v>
      </c>
      <c r="E147">
        <f>-668.410999065577 -47.0150676012016 -307.602929490796</f>
        <v>-1023.0289961575746</v>
      </c>
      <c r="F147">
        <f>-678.888052757042 -48.0442620473672 -396.075533424527</f>
        <v>-1123.0078482289362</v>
      </c>
      <c r="G147">
        <f>-685.4700506197 -47.3050360611204 -484.925955695559</f>
        <v>-1217.7010423763795</v>
      </c>
      <c r="H147">
        <f>-690.575548715611 -44.4149845754027 -609.370193803365</f>
        <v>-1344.3607270943789</v>
      </c>
      <c r="I147">
        <f>-657.74629044404 -37.1968035812672 -685.364678685408</f>
        <v>-1380.3077727107152</v>
      </c>
      <c r="J147">
        <f>-693.665456002549 -18.5097199936963 -553.758373806145</f>
        <v>-1265.9335498023902</v>
      </c>
      <c r="K147" t="s">
        <v>1585</v>
      </c>
      <c r="L147" t="s">
        <v>1586</v>
      </c>
      <c r="M147" t="s">
        <v>1587</v>
      </c>
      <c r="N147">
        <f>-682.9923981309 -72.8637052585326 -555.458435302476</f>
        <v>-1311.3145386919086</v>
      </c>
      <c r="O147">
        <f>-661.557085844204 -206.086122303874 -529.158082883028</f>
        <v>-1396.8012910311058</v>
      </c>
      <c r="P147">
        <f>-684.319854580034 -264.654787084687 -241.68156256944</f>
        <v>-1190.6562042341609</v>
      </c>
      <c r="Q147">
        <f>-511.80036072276 -122.57418980153 -331.687031281759</f>
        <v>-966.06158180604905</v>
      </c>
      <c r="R147" t="s">
        <v>1588</v>
      </c>
      <c r="S147" t="s">
        <v>1589</v>
      </c>
      <c r="T147" t="s">
        <v>1590</v>
      </c>
      <c r="U147" t="s">
        <v>1591</v>
      </c>
      <c r="V147">
        <f>-604.219772155492 -129.546997680189 -97.4418467194146</f>
        <v>-831.20861655509566</v>
      </c>
      <c r="W147" t="s">
        <v>1592</v>
      </c>
      <c r="X147" t="s">
        <v>1593</v>
      </c>
      <c r="Y147" t="s">
        <v>1594</v>
      </c>
    </row>
    <row r="148" spans="1:25" x14ac:dyDescent="0.3">
      <c r="A148">
        <v>7350</v>
      </c>
      <c r="B148" t="s">
        <v>1595</v>
      </c>
      <c r="C148">
        <f>-622.999127794965 -35.2688557116394 -98.718016623517</f>
        <v>-756.9860001301214</v>
      </c>
      <c r="D148">
        <f>-653.027862807936 -44.056537185671 -210.240494558415</f>
        <v>-907.32489455202199</v>
      </c>
      <c r="E148">
        <f>-668.572759282607 -47.0859650173616 -307.58442793987</f>
        <v>-1023.2431522398385</v>
      </c>
      <c r="F148">
        <f>-679.098718987458 -48.1276555750264 -396.051108121485</f>
        <v>-1123.2774826839695</v>
      </c>
      <c r="G148">
        <f>-685.741708118662 -47.4011020081683 -484.897012764941</f>
        <v>-1218.0398228917713</v>
      </c>
      <c r="H148">
        <f>-690.944797090556 -44.5289257381493 -609.33764879442</f>
        <v>-1344.8113716231253</v>
      </c>
      <c r="I148">
        <f>-658.134218865672 -37.3461037937957 -685.343691140878</f>
        <v>-1380.8240138003466</v>
      </c>
      <c r="J148">
        <f>-693.987612611719 -18.6149283021171 -553.727320945029</f>
        <v>-1266.3298618588651</v>
      </c>
      <c r="K148" t="s">
        <v>1596</v>
      </c>
      <c r="L148" t="s">
        <v>1597</v>
      </c>
      <c r="M148" t="s">
        <v>1598</v>
      </c>
      <c r="N148">
        <f>-683.322724611621 -72.9705423483605 -555.427790290596</f>
        <v>-1311.7210572505774</v>
      </c>
      <c r="O148">
        <f>-661.869769218376 -206.195978547971 -529.154371791149</f>
        <v>-1397.2201195574958</v>
      </c>
      <c r="P148">
        <f>-684.52940016344 -264.758083071807 -241.668297771722</f>
        <v>-1190.9557810069691</v>
      </c>
      <c r="Q148">
        <f>-512.061484458713 -122.648288820898 -331.726436687864</f>
        <v>-966.43620996747495</v>
      </c>
      <c r="R148" t="s">
        <v>1599</v>
      </c>
      <c r="S148" t="s">
        <v>1600</v>
      </c>
      <c r="T148" t="s">
        <v>1601</v>
      </c>
      <c r="U148" t="s">
        <v>1602</v>
      </c>
      <c r="V148">
        <f>-604.315977086483 -129.610820042391 -97.4358274054387</f>
        <v>-831.36262453431266</v>
      </c>
      <c r="W148" t="s">
        <v>1603</v>
      </c>
      <c r="X148" t="s">
        <v>1604</v>
      </c>
      <c r="Y148" t="s">
        <v>1605</v>
      </c>
    </row>
    <row r="149" spans="1:25" x14ac:dyDescent="0.3">
      <c r="A149">
        <v>7400</v>
      </c>
      <c r="B149" t="s">
        <v>1606</v>
      </c>
      <c r="C149">
        <f>-623.183646562304 -35.201762061788 -98.7219429372204</f>
        <v>-757.1073515613125</v>
      </c>
      <c r="D149">
        <f>-653.222004760257 -44.0474650477046 -210.237353300598</f>
        <v>-907.50682310855962</v>
      </c>
      <c r="E149">
        <f>-668.835244596277 -47.1003605679598 -307.569528654037</f>
        <v>-1023.5051338182739</v>
      </c>
      <c r="F149">
        <f>-679.446896857835 -48.1537500184256 -396.025842422239</f>
        <v>-1123.6264892984996</v>
      </c>
      <c r="G149">
        <f>-686.19929812639 -47.4299560801926 -484.863458043987</f>
        <v>-1218.4927122505696</v>
      </c>
      <c r="H149">
        <f>-691.579908361654 -44.5530593740018 -609.296540102729</f>
        <v>-1345.4295078383848</v>
      </c>
      <c r="I149">
        <f>-658.810884410782 -37.4164290073709 -685.324805576727</f>
        <v>-1381.5521189948799</v>
      </c>
      <c r="J149">
        <f>-694.529267458879 -18.6383610272917 -553.681308825637</f>
        <v>-1266.8489373118077</v>
      </c>
      <c r="K149" t="s">
        <v>1607</v>
      </c>
      <c r="L149" t="s">
        <v>1608</v>
      </c>
      <c r="M149" t="s">
        <v>1609</v>
      </c>
      <c r="N149">
        <f>-683.895040567377 -72.999551159788 -555.398042577204</f>
        <v>-1312.2926343043691</v>
      </c>
      <c r="O149">
        <f>-662.466295362296 -206.237087122117 -529.169789391082</f>
        <v>-1397.873171875495</v>
      </c>
      <c r="P149">
        <f>-684.864306186644 -264.899571203834 -241.683564395891</f>
        <v>-1191.4474417863689</v>
      </c>
      <c r="Q149">
        <f>-512.544488165445 -122.664598098143 -331.827676919494</f>
        <v>-967.03676318308203</v>
      </c>
      <c r="R149" t="s">
        <v>1610</v>
      </c>
      <c r="S149" t="s">
        <v>1611</v>
      </c>
      <c r="T149" t="s">
        <v>1612</v>
      </c>
      <c r="U149" t="s">
        <v>1613</v>
      </c>
      <c r="V149">
        <f>-604.439960994183 -129.493456202987 -97.4185377505597</f>
        <v>-831.35195494772972</v>
      </c>
      <c r="W149" t="s">
        <v>1614</v>
      </c>
      <c r="X149" t="s">
        <v>1615</v>
      </c>
      <c r="Y149" t="s">
        <v>1616</v>
      </c>
    </row>
    <row r="150" spans="1:25" x14ac:dyDescent="0.3">
      <c r="A150">
        <v>7450</v>
      </c>
      <c r="B150" t="s">
        <v>1617</v>
      </c>
      <c r="C150">
        <f>-623.235025060986 -35.2078622643842 -98.7258023307273</f>
        <v>-757.16868965609751</v>
      </c>
      <c r="D150">
        <f>-653.282690033863 -44.0820923075369 -210.236342377378</f>
        <v>-907.6011247187779</v>
      </c>
      <c r="E150">
        <f>-668.929076701077 -47.1469308689086 -307.562913782952</f>
        <v>-1023.6389213529376</v>
      </c>
      <c r="F150">
        <f>-679.580868689826 -48.2061676595979 -396.01438333179</f>
        <v>-1123.8014196812139</v>
      </c>
      <c r="G150">
        <f>-686.383378868178 -47.4837883122675 -484.848258592159</f>
        <v>-1218.7154257726047</v>
      </c>
      <c r="H150">
        <f>-691.844552983799 -44.6038307865396 -609.277622821256</f>
        <v>-1345.7260065915946</v>
      </c>
      <c r="I150">
        <f>-659.113668401091 -37.4622467458723 -685.321781903535</f>
        <v>-1381.8976970504982</v>
      </c>
      <c r="J150">
        <f>-694.757388437601 -18.6904854762558 -553.65996930545</f>
        <v>-1267.1078432193067</v>
      </c>
      <c r="K150" t="s">
        <v>1618</v>
      </c>
      <c r="L150" t="s">
        <v>1619</v>
      </c>
      <c r="M150" t="s">
        <v>1620</v>
      </c>
      <c r="N150">
        <f>-684.125276691636 -73.0518393949986 -555.384811287853</f>
        <v>-1312.5619273744878</v>
      </c>
      <c r="O150">
        <f>-662.69525359275 -206.289566637818 -529.177857606587</f>
        <v>-1398.1626778371551</v>
      </c>
      <c r="P150">
        <f>-685.045006481419 -264.993496473699 -241.696461240392</f>
        <v>-1191.73496419551</v>
      </c>
      <c r="Q150">
        <f>-512.773922404175 -122.708318348572 -331.854513871247</f>
        <v>-967.33675462399401</v>
      </c>
      <c r="R150" t="s">
        <v>1621</v>
      </c>
      <c r="S150" t="s">
        <v>1622</v>
      </c>
      <c r="T150" t="s">
        <v>1623</v>
      </c>
      <c r="U150" t="s">
        <v>1624</v>
      </c>
      <c r="V150">
        <f>-604.469569861524 -129.480376200659 -97.4059708826289</f>
        <v>-831.35591694481195</v>
      </c>
      <c r="W150" t="s">
        <v>1625</v>
      </c>
      <c r="X150" t="s">
        <v>1626</v>
      </c>
      <c r="Y150" t="s">
        <v>1627</v>
      </c>
    </row>
    <row r="151" spans="1:25" x14ac:dyDescent="0.3">
      <c r="A151">
        <v>7500</v>
      </c>
      <c r="B151" t="s">
        <v>1628</v>
      </c>
      <c r="C151">
        <f>-623.389177376752 -35.2469310113277 -98.7473805070812</f>
        <v>-757.38348889516078</v>
      </c>
      <c r="D151">
        <f>-653.469390033056 -44.1603168934687 -210.246113974387</f>
        <v>-907.87582090091166</v>
      </c>
      <c r="E151">
        <f>-669.150958064783 -47.2587723849881 -307.565992508356</f>
        <v>-1023.9757229581271</v>
      </c>
      <c r="F151">
        <f>-679.837211172155 -48.3488787942176 -396.012694138088</f>
        <v>-1124.1987841044606</v>
      </c>
      <c r="G151">
        <f>-686.677077956208 -47.6578589480913 -484.844009786758</f>
        <v>-1219.1789466910573</v>
      </c>
      <c r="H151">
        <f>-692.193018899327 -44.8227686004446 -609.272075556493</f>
        <v>-1346.2878630562645</v>
      </c>
      <c r="I151">
        <f>-659.515486794711 -37.6637473094338 -685.337521748234</f>
        <v>-1382.516755852379</v>
      </c>
      <c r="J151">
        <f>-695.087799035341 -18.8906591271937 -553.662230976632</f>
        <v>-1267.6406891391666</v>
      </c>
      <c r="K151" t="s">
        <v>1629</v>
      </c>
      <c r="L151" t="s">
        <v>1630</v>
      </c>
      <c r="M151" t="s">
        <v>1631</v>
      </c>
      <c r="N151">
        <f>-684.443606646969 -73.2500445190101 -555.37263704133</f>
        <v>-1313.0662882073091</v>
      </c>
      <c r="O151">
        <f>-662.987316818405 -206.480470116334 -529.132568709503</f>
        <v>-1398.600355644242</v>
      </c>
      <c r="P151">
        <f>-685.325245839299 -265.05300399629 -241.623514787159</f>
        <v>-1192.0017646227479</v>
      </c>
      <c r="Q151">
        <f>-513.031471462351 -122.821618896381 -331.822955204393</f>
        <v>-967.67604556312494</v>
      </c>
      <c r="R151" t="s">
        <v>1632</v>
      </c>
      <c r="S151" t="s">
        <v>1633</v>
      </c>
      <c r="T151" t="s">
        <v>1634</v>
      </c>
      <c r="U151" t="s">
        <v>1635</v>
      </c>
      <c r="V151">
        <f>-604.601428255933 -129.53871262629 -97.4025051068284</f>
        <v>-831.54264598905138</v>
      </c>
      <c r="W151" t="s">
        <v>1636</v>
      </c>
      <c r="X151" t="s">
        <v>1637</v>
      </c>
      <c r="Y151" t="s">
        <v>1638</v>
      </c>
    </row>
    <row r="152" spans="1:25" x14ac:dyDescent="0.3">
      <c r="A152">
        <v>7550</v>
      </c>
      <c r="B152" t="s">
        <v>1639</v>
      </c>
      <c r="C152">
        <f>-623.444063327508 -35.2969500892109 -98.7519389928019</f>
        <v>-757.49295240952085</v>
      </c>
      <c r="D152">
        <f>-653.524871984709 -44.2246993111276 -210.249201363103</f>
        <v>-907.99877265893952</v>
      </c>
      <c r="E152">
        <f>-669.203468284039 -47.3334715321016 -307.569176244952</f>
        <v>-1024.1061160610925</v>
      </c>
      <c r="F152">
        <f>-679.885643909846 -48.4325858770231 -396.016533535363</f>
        <v>-1124.334763322232</v>
      </c>
      <c r="G152">
        <f>-686.719694583239 -47.7496222617704 -484.84822228646</f>
        <v>-1219.3175391314694</v>
      </c>
      <c r="H152">
        <f>-692.226096769854 -44.9253521026791 -609.27696812511</f>
        <v>-1346.4284169976431</v>
      </c>
      <c r="I152">
        <f>-659.57174042524 -37.7602740572024 -685.35189339327</f>
        <v>-1382.6839078757125</v>
      </c>
      <c r="J152">
        <f>-695.128876409872 -18.9891199597218 -553.66938828939</f>
        <v>-1267.7873846589837</v>
      </c>
      <c r="K152" t="s">
        <v>1640</v>
      </c>
      <c r="L152" t="s">
        <v>1641</v>
      </c>
      <c r="M152" t="s">
        <v>1642</v>
      </c>
      <c r="N152">
        <f>-684.477088896234 -73.3472342213349 -555.374592625538</f>
        <v>-1313.1989157431069</v>
      </c>
      <c r="O152">
        <f>-663.011895399591 -206.572540665768 -529.111257234934</f>
        <v>-1398.695693300293</v>
      </c>
      <c r="P152">
        <f>-685.34457405772 -265.021423091142 -241.576570624686</f>
        <v>-1191.942567773548</v>
      </c>
      <c r="Q152">
        <f>-513.035712496783 -122.829950940838 -331.810141130327</f>
        <v>-967.67580456794803</v>
      </c>
      <c r="R152" t="s">
        <v>1643</v>
      </c>
      <c r="S152" t="s">
        <v>1644</v>
      </c>
      <c r="T152" t="s">
        <v>1645</v>
      </c>
      <c r="U152" t="s">
        <v>1646</v>
      </c>
      <c r="V152">
        <f>-604.629300963878 -129.593990935368 -97.4018922360013</f>
        <v>-831.62518413524731</v>
      </c>
      <c r="W152" t="s">
        <v>1647</v>
      </c>
      <c r="X152" t="s">
        <v>1648</v>
      </c>
      <c r="Y152" t="s">
        <v>1649</v>
      </c>
    </row>
    <row r="153" spans="1:25" x14ac:dyDescent="0.3">
      <c r="A153">
        <v>7600</v>
      </c>
      <c r="B153" t="s">
        <v>1650</v>
      </c>
      <c r="C153">
        <f>-623.553542269992 -35.2681074795537 -98.7741091387659</f>
        <v>-757.59575888831159</v>
      </c>
      <c r="D153">
        <f>-653.610788425194 -44.2202211828466 -210.275754209949</f>
        <v>-908.10676381798953</v>
      </c>
      <c r="E153">
        <f>-669.274538234209 -47.3606940617242 -307.59718451818</f>
        <v>-1024.2324168141131</v>
      </c>
      <c r="F153">
        <f>-679.945238461905 -48.4930208358421 -396.045475991503</f>
        <v>-1124.48373528925</v>
      </c>
      <c r="G153">
        <f>-686.769747423914 -47.848364364881 -484.878151346781</f>
        <v>-1219.4962631355761</v>
      </c>
      <c r="H153">
        <f>-692.264839130007 -45.0828527351745 -609.308790324093</f>
        <v>-1346.6564821892744</v>
      </c>
      <c r="I153">
        <f>-659.650695243583 -37.9410793735067 -685.403001072148</f>
        <v>-1382.9947756892375</v>
      </c>
      <c r="J153">
        <f>-695.172791937181 -19.1203366821608 -553.713767308076</f>
        <v>-1268.0068959274176</v>
      </c>
      <c r="K153" t="s">
        <v>1651</v>
      </c>
      <c r="L153" t="s">
        <v>1652</v>
      </c>
      <c r="M153" t="s">
        <v>1653</v>
      </c>
      <c r="N153">
        <f>-684.520712572879 -73.4792541237974 -555.392326742162</f>
        <v>-1313.3922934388384</v>
      </c>
      <c r="O153">
        <f>-663.030492597801 -206.688622810686 -529.083581711887</f>
        <v>-1398.802697120374</v>
      </c>
      <c r="P153">
        <f>-685.348200199251 -265.081046674664 -241.536379128816</f>
        <v>-1191.9656260027309</v>
      </c>
      <c r="Q153">
        <f>-513.078743630353 -122.876024592273 -331.823885031606</f>
        <v>-967.77865325423193</v>
      </c>
      <c r="R153" t="s">
        <v>1654</v>
      </c>
      <c r="S153" t="s">
        <v>1655</v>
      </c>
      <c r="T153" t="s">
        <v>1656</v>
      </c>
      <c r="U153" t="s">
        <v>1657</v>
      </c>
      <c r="V153">
        <f>-604.722600023366 -129.484697007559 -97.4060042161501</f>
        <v>-831.61330124707513</v>
      </c>
      <c r="W153" t="s">
        <v>1658</v>
      </c>
      <c r="X153" t="s">
        <v>1659</v>
      </c>
      <c r="Y153" t="s">
        <v>1660</v>
      </c>
    </row>
    <row r="154" spans="1:25" x14ac:dyDescent="0.3">
      <c r="A154">
        <v>7650</v>
      </c>
      <c r="B154" t="s">
        <v>1661</v>
      </c>
      <c r="C154">
        <f>-623.56473902598 -35.24149875445 -98.7684416878484</f>
        <v>-757.57467946827842</v>
      </c>
      <c r="D154">
        <f>-653.608714763491 -44.2032163958488 -210.273065083079</f>
        <v>-908.08499624241881</v>
      </c>
      <c r="E154">
        <f>-669.260731105858 -47.3534690842163 -307.595888452583</f>
        <v>-1024.2100886426572</v>
      </c>
      <c r="F154">
        <f>-679.92078910272 -48.4954292639238 -396.045416249576</f>
        <v>-1124.46163461622</v>
      </c>
      <c r="G154">
        <f>-686.734597985712 -47.8612525319949 -484.87894274554</f>
        <v>-1219.4747932632467</v>
      </c>
      <c r="H154">
        <f>-692.214574079158 -45.1113141040508 -609.310584991721</f>
        <v>-1346.63647317493</v>
      </c>
      <c r="I154">
        <f>-659.608496044845 -37.9803748394434 -685.40938102336</f>
        <v>-1382.9982519076484</v>
      </c>
      <c r="J154">
        <f>-695.12917070157 -19.1419221035774 -553.71904093499</f>
        <v>-1267.9901337401375</v>
      </c>
      <c r="K154" t="s">
        <v>1662</v>
      </c>
      <c r="L154" t="s">
        <v>1663</v>
      </c>
      <c r="M154" t="s">
        <v>1664</v>
      </c>
      <c r="N154">
        <f>-684.477065109139 -73.5010072938968 -555.389655415105</f>
        <v>-1313.3677278181408</v>
      </c>
      <c r="O154">
        <f>-662.990788132477 -206.706320729174 -529.048737959529</f>
        <v>-1398.7458468211798</v>
      </c>
      <c r="P154">
        <f>-685.251397669862 -265.134995255755 -241.50447828309</f>
        <v>-1191.890871208707</v>
      </c>
      <c r="Q154">
        <f>-513.021814962171 -122.905113540992 -331.828707388593</f>
        <v>-967.75563589175601</v>
      </c>
      <c r="R154" t="s">
        <v>1665</v>
      </c>
      <c r="S154" t="s">
        <v>1666</v>
      </c>
      <c r="T154" t="s">
        <v>1667</v>
      </c>
      <c r="U154" t="s">
        <v>1668</v>
      </c>
      <c r="V154">
        <f>-604.73666286042 -129.447073780012 -97.406431291777</f>
        <v>-831.59016793220906</v>
      </c>
      <c r="W154" t="s">
        <v>1669</v>
      </c>
      <c r="X154" t="s">
        <v>1670</v>
      </c>
      <c r="Y154" t="s">
        <v>1671</v>
      </c>
    </row>
    <row r="155" spans="1:25" x14ac:dyDescent="0.3">
      <c r="A155">
        <v>7700</v>
      </c>
      <c r="B155" t="s">
        <v>1672</v>
      </c>
      <c r="C155">
        <f>-623.530398668902 -35.3290333479179 -98.7610902016032</f>
        <v>-757.62052221842305</v>
      </c>
      <c r="D155">
        <f>-653.572219344612 -44.284954275572 -210.266724588146</f>
        <v>-908.12389820832993</v>
      </c>
      <c r="E155">
        <f>-669.216722152403 -47.4429423850963 -307.590476928587</f>
        <v>-1024.2501414660865</v>
      </c>
      <c r="F155">
        <f>-679.867812451042 -48.5964500648479 -396.040891447341</f>
        <v>-1124.5051539632309</v>
      </c>
      <c r="G155">
        <f>-686.670611770879 -47.9783828289051 -484.875509006818</f>
        <v>-1219.5245036066021</v>
      </c>
      <c r="H155">
        <f>-692.133132564908 -45.2550604539006 -609.308455420593</f>
        <v>-1346.6966484394015</v>
      </c>
      <c r="I155">
        <f>-659.530661684918 -38.1354754013053 -685.409780575756</f>
        <v>-1383.0759176619792</v>
      </c>
      <c r="J155">
        <f>-695.060603873537 -19.274704339495 -553.722716025411</f>
        <v>-1268.0580242384431</v>
      </c>
      <c r="K155" t="s">
        <v>1673</v>
      </c>
      <c r="L155" t="s">
        <v>1674</v>
      </c>
      <c r="M155" t="s">
        <v>1675</v>
      </c>
      <c r="N155">
        <f>-684.398064397189 -73.6321338008762 -555.380417764973</f>
        <v>-1313.4106159630383</v>
      </c>
      <c r="O155">
        <f>-662.897506895671 -206.824888409168 -528.995587590854</f>
        <v>-1398.717982895693</v>
      </c>
      <c r="P155">
        <f>-685.119253691334 -265.215546239035 -241.440540562434</f>
        <v>-1191.775340492803</v>
      </c>
      <c r="Q155">
        <f>-512.917320166192 -122.98803126117 -331.821293085537</f>
        <v>-967.72664451289893</v>
      </c>
      <c r="R155" t="s">
        <v>1676</v>
      </c>
      <c r="S155" t="s">
        <v>1677</v>
      </c>
      <c r="T155" t="s">
        <v>1678</v>
      </c>
      <c r="U155" t="s">
        <v>1679</v>
      </c>
      <c r="V155">
        <f>-604.712225983924 -129.551477245505 -97.402170653475</f>
        <v>-831.66587388290395</v>
      </c>
      <c r="W155" t="s">
        <v>1680</v>
      </c>
      <c r="X155" t="s">
        <v>1681</v>
      </c>
      <c r="Y155" t="s">
        <v>1682</v>
      </c>
    </row>
    <row r="156" spans="1:25" x14ac:dyDescent="0.3">
      <c r="A156">
        <v>7750</v>
      </c>
      <c r="B156" t="s">
        <v>1683</v>
      </c>
      <c r="C156">
        <f>-623.405641945659 -35.4228841453894 -98.7728107172952</f>
        <v>-757.6013368083436</v>
      </c>
      <c r="D156">
        <f>-653.470969904976 -44.3768661564346 -210.272172882145</f>
        <v>-908.1200089435556</v>
      </c>
      <c r="E156">
        <f>-669.115231508344 -47.5576863498117 -307.595498450466</f>
        <v>-1024.2684163086217</v>
      </c>
      <c r="F156">
        <f>-679.757652545907 -48.7420204253659 -396.046318622453</f>
        <v>-1124.5459915937258</v>
      </c>
      <c r="G156">
        <f>-686.543466704216 -48.1646147785785 -484.882614126155</f>
        <v>-1219.5906956089495</v>
      </c>
      <c r="H156">
        <f>-691.973318233271 -45.5088985975256 -609.318350559935</f>
        <v>-1346.8005673907314</v>
      </c>
      <c r="I156">
        <f>-659.371299241493 -38.4222416265434 -685.42301023726</f>
        <v>-1383.2165511052963</v>
      </c>
      <c r="J156">
        <f>-694.920338443373 -19.4993602409984 -553.747424400835</f>
        <v>-1268.1671230852064</v>
      </c>
      <c r="K156" t="s">
        <v>1684</v>
      </c>
      <c r="L156" t="s">
        <v>1685</v>
      </c>
      <c r="M156" t="s">
        <v>1686</v>
      </c>
      <c r="N156">
        <f>-684.247456861506 -73.855756311578 -555.373256920595</f>
        <v>-1313.4764700936789</v>
      </c>
      <c r="O156">
        <f>-662.72254270498 -207.020724851183 -528.875228039405</f>
        <v>-1398.618495595568</v>
      </c>
      <c r="P156">
        <f>-684.930057571467 -265.101607378314 -241.256275906096</f>
        <v>-1191.287940855877</v>
      </c>
      <c r="Q156">
        <f>-512.664817139064 -123.074389602562 -331.83130686095</f>
        <v>-967.57051360257594</v>
      </c>
      <c r="R156" t="s">
        <v>1687</v>
      </c>
      <c r="S156" t="s">
        <v>1688</v>
      </c>
      <c r="T156" t="s">
        <v>1689</v>
      </c>
      <c r="U156" t="s">
        <v>1690</v>
      </c>
      <c r="V156">
        <f>-604.581046655513 -129.674450442259 -97.4113275691723</f>
        <v>-831.66682466694419</v>
      </c>
      <c r="W156" t="s">
        <v>1691</v>
      </c>
      <c r="X156" t="s">
        <v>1692</v>
      </c>
      <c r="Y156" t="s">
        <v>1693</v>
      </c>
    </row>
    <row r="157" spans="1:25" x14ac:dyDescent="0.3">
      <c r="A157">
        <v>7800</v>
      </c>
      <c r="B157" t="s">
        <v>1694</v>
      </c>
      <c r="C157">
        <f>-623.317979036972 -35.5052158009205 -98.766716381458</f>
        <v>-757.58991121935048</v>
      </c>
      <c r="D157">
        <f>-653.39428365501 -44.4605045925657 -210.26303619832</f>
        <v>-908.11782444589574</v>
      </c>
      <c r="E157">
        <f>-669.033663998154 -47.6471657861958 -307.586756281746</f>
        <v>-1024.2675860660959</v>
      </c>
      <c r="F157">
        <f>-679.665943919385 -48.8385603326941 -396.038858078233</f>
        <v>-1124.543362330312</v>
      </c>
      <c r="G157">
        <f>-686.435543826233 -48.2701583408757 -484.876355617106</f>
        <v>-1219.5820577842146</v>
      </c>
      <c r="H157">
        <f>-691.836536828211 -45.6289439176187 -609.313723868733</f>
        <v>-1346.7792046145628</v>
      </c>
      <c r="I157">
        <f>-659.234534168114 -38.5563658194037 -685.419749815257</f>
        <v>-1383.2106498027747</v>
      </c>
      <c r="J157">
        <f>-694.795835560148 -19.6127980966983 -553.746561948671</f>
        <v>-1268.1551956055173</v>
      </c>
      <c r="K157" t="s">
        <v>1695</v>
      </c>
      <c r="L157" t="s">
        <v>1696</v>
      </c>
      <c r="M157" t="s">
        <v>1697</v>
      </c>
      <c r="N157">
        <f>-684.123876279641 -73.9696850936685 -555.363431031735</f>
        <v>-1313.4569924050445</v>
      </c>
      <c r="O157">
        <f>-662.606267380415 -207.130385163509 -528.817478256362</f>
        <v>-1398.5541308002862</v>
      </c>
      <c r="P157">
        <f>-684.804102261272 -265.019390269884 -241.159196756383</f>
        <v>-1190.982689287539</v>
      </c>
      <c r="Q157">
        <f>-512.476120205904 -123.152676212021 -331.866412359315</f>
        <v>-967.4952087772399</v>
      </c>
      <c r="R157" t="s">
        <v>1698</v>
      </c>
      <c r="S157" t="s">
        <v>1699</v>
      </c>
      <c r="T157" t="s">
        <v>1700</v>
      </c>
      <c r="U157" t="s">
        <v>1701</v>
      </c>
      <c r="V157">
        <f>-604.47914762319 -129.763899683747 -97.4081838177277</f>
        <v>-831.65123112466472</v>
      </c>
      <c r="W157" t="s">
        <v>1702</v>
      </c>
      <c r="X157" t="s">
        <v>1703</v>
      </c>
      <c r="Y157" t="s">
        <v>1704</v>
      </c>
    </row>
    <row r="158" spans="1:25" x14ac:dyDescent="0.3">
      <c r="A158">
        <v>7850</v>
      </c>
      <c r="B158" t="s">
        <v>1705</v>
      </c>
      <c r="C158">
        <f>-623.161711985056 -35.6484774524531 -98.7578052834582</f>
        <v>-757.56799472096725</v>
      </c>
      <c r="D158">
        <f>-653.255605634102 -44.5951535999686 -210.25005531485</f>
        <v>-908.10081454892065</v>
      </c>
      <c r="E158">
        <f>-668.855216698322 -47.7861336522584 -307.580069030131</f>
        <v>-1024.2214193807115</v>
      </c>
      <c r="F158">
        <f>-679.428719907515 -48.9863707988012 -396.039140371963</f>
        <v>-1124.4542310782792</v>
      </c>
      <c r="G158">
        <f>-686.116895664442 -48.4320987045028 -484.882803565305</f>
        <v>-1219.4317979342497</v>
      </c>
      <c r="H158">
        <f>-691.379953756382 -45.8164576394673 -609.326688744594</f>
        <v>-1346.5231001404431</v>
      </c>
      <c r="I158">
        <f>-658.776794042146 -38.7611455581796 -685.433677612626</f>
        <v>-1382.9716172129515</v>
      </c>
      <c r="J158">
        <f>-694.38871433823 -19.7865501899682 -553.768642036253</f>
        <v>-1267.9439065644513</v>
      </c>
      <c r="K158" t="s">
        <v>1706</v>
      </c>
      <c r="L158" t="s">
        <v>1707</v>
      </c>
      <c r="M158" t="s">
        <v>1708</v>
      </c>
      <c r="N158">
        <f>-683.739119703801 -74.148467256793 -555.361636790143</f>
        <v>-1313.249223750737</v>
      </c>
      <c r="O158">
        <f>-662.270895793231 -207.302390759924 -528.728230457031</f>
        <v>-1398.3015170101862</v>
      </c>
      <c r="P158">
        <f>-684.517894877863 -264.901988477318 -241.015549524256</f>
        <v>-1190.435432879437</v>
      </c>
      <c r="Q158">
        <f>-512.074777537633 -123.263192512035 -331.859777690084</f>
        <v>-967.197747739752</v>
      </c>
      <c r="R158" t="s">
        <v>1709</v>
      </c>
      <c r="S158" t="s">
        <v>1710</v>
      </c>
      <c r="T158" t="s">
        <v>1711</v>
      </c>
      <c r="U158" t="s">
        <v>1712</v>
      </c>
      <c r="V158">
        <f>-604.337416291558 -129.900652590018 -97.3940364520998</f>
        <v>-831.6321053336759</v>
      </c>
      <c r="W158" t="s">
        <v>1713</v>
      </c>
      <c r="X158" t="s">
        <v>1714</v>
      </c>
      <c r="Y158" t="s">
        <v>1715</v>
      </c>
    </row>
    <row r="159" spans="1:25" x14ac:dyDescent="0.3">
      <c r="A159">
        <v>7900</v>
      </c>
      <c r="B159" t="s">
        <v>1716</v>
      </c>
      <c r="C159">
        <f>-623.102979618723 -35.7246886914622 -98.7580581439928</f>
        <v>-757.58572645417803</v>
      </c>
      <c r="D159">
        <f>-653.196211329978 -44.6640712741948 -210.25118135352</f>
        <v>-908.11146395769288</v>
      </c>
      <c r="E159">
        <f>-668.755850221347 -47.8452157428771 -307.58784133145</f>
        <v>-1024.1889072956742</v>
      </c>
      <c r="F159">
        <f>-679.277332081819 -49.0353457828453 -396.053253505531</f>
        <v>-1124.3659313701953</v>
      </c>
      <c r="G159">
        <f>-685.897170359631 -48.4696522600098 -484.902027025291</f>
        <v>-1219.2688496449318</v>
      </c>
      <c r="H159">
        <f>-691.047708748715 -45.8366774483115 -609.350267076996</f>
        <v>-1346.2346532740225</v>
      </c>
      <c r="I159">
        <f>-658.443043006057 -38.7698695332626 -685.455512128368</f>
        <v>-1382.6684246676878</v>
      </c>
      <c r="J159">
        <f>-694.100790490129 -19.8132500966969 -553.79136875207</f>
        <v>-1267.7054093388961</v>
      </c>
      <c r="K159" t="s">
        <v>1717</v>
      </c>
      <c r="L159" t="s">
        <v>1718</v>
      </c>
      <c r="M159" t="s">
        <v>1719</v>
      </c>
      <c r="N159">
        <f>-683.461599728628 -74.1772342817353 -555.381994607383</f>
        <v>-1313.0208286177462</v>
      </c>
      <c r="O159">
        <f>-662.040819090679 -207.332549478121 -528.722460282599</f>
        <v>-1398.0958288513989</v>
      </c>
      <c r="P159">
        <f>-684.403106802801 -264.895906092567 -241.011522850995</f>
        <v>-1190.3105357463628</v>
      </c>
      <c r="Q159">
        <f>-511.873251593771 -123.359607217137 -331.850903701846</f>
        <v>-967.08376251275399</v>
      </c>
      <c r="R159" t="s">
        <v>1720</v>
      </c>
      <c r="S159" t="s">
        <v>1721</v>
      </c>
      <c r="T159" t="s">
        <v>1722</v>
      </c>
      <c r="U159" t="s">
        <v>1723</v>
      </c>
      <c r="V159">
        <f>-604.2867764593 -130.054906417799 -97.3881915505051</f>
        <v>-831.72987442760405</v>
      </c>
      <c r="W159" t="s">
        <v>1724</v>
      </c>
      <c r="X159" t="s">
        <v>1725</v>
      </c>
      <c r="Y159" t="s">
        <v>1726</v>
      </c>
    </row>
    <row r="160" spans="1:25" x14ac:dyDescent="0.3">
      <c r="A160">
        <v>7950</v>
      </c>
      <c r="B160" t="s">
        <v>1727</v>
      </c>
      <c r="C160">
        <f>-623.005166746013 -35.7886656076309 -98.7478793064053</f>
        <v>-757.54171166004915</v>
      </c>
      <c r="D160">
        <f>-653.076143211968 -44.6926551137751 -210.249791790297</f>
        <v>-908.01859011604006</v>
      </c>
      <c r="E160">
        <f>-668.524825338349 -47.8390892952875 -307.605227060703</f>
        <v>-1023.9691416943396</v>
      </c>
      <c r="F160">
        <f>-678.908603510621 -48.9953235532648 -396.087396899392</f>
        <v>-1123.9913239632779</v>
      </c>
      <c r="G160">
        <f>-685.353228465268 -48.3933989581427 -484.948797620844</f>
        <v>-1218.6954250442548</v>
      </c>
      <c r="H160">
        <f>-690.21947886818 -45.7074812427577 -609.407286403518</f>
        <v>-1345.3342465144556</v>
      </c>
      <c r="I160">
        <f>-657.58598939767 -38.6003854853468 -685.496561512193</f>
        <v>-1381.6829363952097</v>
      </c>
      <c r="J160">
        <f>-693.385491848462 -19.7050688086147 -553.845028591013</f>
        <v>-1266.9355892480899</v>
      </c>
      <c r="K160" t="s">
        <v>1728</v>
      </c>
      <c r="L160" t="s">
        <v>1729</v>
      </c>
      <c r="M160" t="s">
        <v>1730</v>
      </c>
      <c r="N160">
        <f>-682.770630390318 -74.0738571631804 -555.433465228173</f>
        <v>-1312.2779527816715</v>
      </c>
      <c r="O160">
        <f>-661.468807500505 -207.240312845943 -528.748975826157</f>
        <v>-1397.4580961726051</v>
      </c>
      <c r="P160">
        <f>-684.114922512702 -264.836103678555 -241.066793488445</f>
        <v>-1190.0178196797019</v>
      </c>
      <c r="Q160">
        <f>-511.406352283812 -123.478313662019 -331.844527087323</f>
        <v>-966.72919303315393</v>
      </c>
      <c r="R160" t="s">
        <v>1731</v>
      </c>
      <c r="S160" t="s">
        <v>1732</v>
      </c>
      <c r="T160" t="s">
        <v>1733</v>
      </c>
      <c r="U160" t="s">
        <v>1734</v>
      </c>
      <c r="V160">
        <f>-604.243748456153 -130.10085367018 -97.3791654325422</f>
        <v>-831.72376755887512</v>
      </c>
      <c r="W160" t="s">
        <v>1735</v>
      </c>
      <c r="X160" t="s">
        <v>1736</v>
      </c>
      <c r="Y160" t="s">
        <v>1737</v>
      </c>
    </row>
    <row r="161" spans="1:25" x14ac:dyDescent="0.3">
      <c r="A161">
        <v>8000</v>
      </c>
      <c r="B161" t="s">
        <v>1738</v>
      </c>
      <c r="C161">
        <f>-623.003680030617 -35.8254833539163 -98.7441611962458</f>
        <v>-757.57332458077917</v>
      </c>
      <c r="D161">
        <f>-653.01710090566 -44.6640143182466 -210.26672707434</f>
        <v>-907.94784229824654</v>
      </c>
      <c r="E161">
        <f>-668.340823850357 -47.7676324166016 -307.643335332975</f>
        <v>-1023.7517915999335</v>
      </c>
      <c r="F161">
        <f>-678.581176321912 -48.8902106960572 -396.142701285762</f>
        <v>-1123.6140883037313</v>
      </c>
      <c r="G161">
        <f>-684.851522405094 -48.2600863197069 -485.01625613299</f>
        <v>-1218.1278648577909</v>
      </c>
      <c r="H161">
        <f>-689.442027060516 -45.5402308990015 -609.484597744273</f>
        <v>-1344.4668557037903</v>
      </c>
      <c r="I161">
        <f>-656.686275431562 -38.4147543128618 -685.519458031573</f>
        <v>-1380.6204877759967</v>
      </c>
      <c r="J161">
        <f>-692.708453260877 -19.5484254863238 -553.923215188125</f>
        <v>-1266.1800939353259</v>
      </c>
      <c r="K161" t="s">
        <v>1739</v>
      </c>
      <c r="L161" t="s">
        <v>1740</v>
      </c>
      <c r="M161" t="s">
        <v>1741</v>
      </c>
      <c r="N161">
        <f>-682.135549074627 -73.9257593610218 -555.501302256882</f>
        <v>-1311.5626106925308</v>
      </c>
      <c r="O161">
        <f>-660.98321041359 -207.105071484773 -528.770955868723</f>
        <v>-1396.8592377670861</v>
      </c>
      <c r="P161">
        <f>-684.014304672861 -264.701719082342 -241.11940788444</f>
        <v>-1189.835431639643</v>
      </c>
      <c r="Q161">
        <f>-511.050448940029 -123.585291219158 -331.786541131105</f>
        <v>-966.42228129029195</v>
      </c>
      <c r="R161" t="s">
        <v>1742</v>
      </c>
      <c r="S161" t="s">
        <v>1743</v>
      </c>
      <c r="T161" t="s">
        <v>1744</v>
      </c>
      <c r="U161" t="s">
        <v>1745</v>
      </c>
      <c r="V161">
        <f>-604.304310242347 -130.213039416561 -97.3856123091043</f>
        <v>-831.90296196801228</v>
      </c>
      <c r="W161" t="s">
        <v>1746</v>
      </c>
      <c r="X161" t="s">
        <v>1747</v>
      </c>
      <c r="Y161" t="s">
        <v>1748</v>
      </c>
    </row>
    <row r="162" spans="1:25" x14ac:dyDescent="0.3">
      <c r="A162">
        <v>8050</v>
      </c>
      <c r="B162" t="s">
        <v>1749</v>
      </c>
      <c r="C162">
        <f>-623.018276432223 -35.8347484221958 -98.7299850535334</f>
        <v>-757.58300990795226</v>
      </c>
      <c r="D162">
        <f>-652.980276109771 -44.6308258563898 -210.269801476888</f>
        <v>-907.88090344304885</v>
      </c>
      <c r="E162">
        <f>-668.231968578101 -47.7091014340264 -307.658586731589</f>
        <v>-1023.5996567437164</v>
      </c>
      <c r="F162">
        <f>-678.395846275957 -48.8129322416331 -396.166825084218</f>
        <v>-1123.3756036018081</v>
      </c>
      <c r="G162">
        <f>-684.578410281438 -48.1685984564214 -485.04648212342</f>
        <v>-1217.7934908612792</v>
      </c>
      <c r="H162">
        <f>-689.034276466771 -45.4340224822002 -609.519276792082</f>
        <v>-1343.9875757410532</v>
      </c>
      <c r="I162">
        <f>-656.189118071622 -38.3110895405011 -685.516024026933</f>
        <v>-1380.0162316390561</v>
      </c>
      <c r="J162">
        <f>-692.345460065537 -19.4458052394348 -553.958930691811</f>
        <v>-1265.7501959967828</v>
      </c>
      <c r="K162" t="s">
        <v>1750</v>
      </c>
      <c r="L162" t="s">
        <v>1751</v>
      </c>
      <c r="M162" t="s">
        <v>1752</v>
      </c>
      <c r="N162">
        <f>-681.801356121597 -73.8288658065723 -555.531106542292</f>
        <v>-1311.1613284704613</v>
      </c>
      <c r="O162">
        <f>-660.752133370418 -207.019862576137 -528.778422425579</f>
        <v>-1396.5504183721341</v>
      </c>
      <c r="P162">
        <f>-684.031593386113 -264.571735994846 -241.138104860961</f>
        <v>-1189.7414342419199</v>
      </c>
      <c r="Q162">
        <f>-510.922561343854 -123.617948309844 -331.781049022225</f>
        <v>-966.32155867592292</v>
      </c>
      <c r="R162" t="s">
        <v>1753</v>
      </c>
      <c r="S162" t="s">
        <v>1754</v>
      </c>
      <c r="T162" t="s">
        <v>1755</v>
      </c>
      <c r="U162" t="s">
        <v>1756</v>
      </c>
      <c r="V162">
        <f>-604.358653709971 -130.183524116592 -97.3910928203811</f>
        <v>-831.93327064694415</v>
      </c>
      <c r="W162" t="s">
        <v>1757</v>
      </c>
      <c r="X162" t="s">
        <v>1758</v>
      </c>
      <c r="Y162" t="s">
        <v>1759</v>
      </c>
    </row>
    <row r="163" spans="1:25" x14ac:dyDescent="0.3">
      <c r="A163">
        <v>8100</v>
      </c>
      <c r="B163" t="s">
        <v>1760</v>
      </c>
      <c r="C163">
        <f>-622.957145858482 -35.9161264420479 -98.686088182478</f>
        <v>-757.55936048300794</v>
      </c>
      <c r="D163">
        <f>-652.844133541591 -44.652429127422 -210.250816832052</f>
        <v>-907.74737950106498</v>
      </c>
      <c r="E163">
        <f>-667.959797395606 -47.6914214818489 -307.661930891609</f>
        <v>-1023.3131497690639</v>
      </c>
      <c r="F163">
        <f>-677.971412621113 -48.7647072079142 -396.187964736662</f>
        <v>-1122.9240845656891</v>
      </c>
      <c r="G163">
        <f>-683.972074770216 -48.0956178436059 -485.079958187058</f>
        <v>-1217.1476508008798</v>
      </c>
      <c r="H163">
        <f>-688.142697281213 -45.3330046237961 -609.561938254085</f>
        <v>-1343.0376401590943</v>
      </c>
      <c r="I163">
        <f>-655.113672713103 -38.2341485483255 -685.481072727901</f>
        <v>-1378.8288939893296</v>
      </c>
      <c r="J163">
        <f>-691.550251252707 -19.3513662422154 -554.004417549789</f>
        <v>-1264.9060350447112</v>
      </c>
      <c r="K163" t="s">
        <v>1761</v>
      </c>
      <c r="L163" t="s">
        <v>1762</v>
      </c>
      <c r="M163" t="s">
        <v>1763</v>
      </c>
      <c r="N163">
        <f>-681.064666491889 -73.7461825308239 -555.562898764028</f>
        <v>-1310.373747786741</v>
      </c>
      <c r="O163">
        <f>-660.218138499987 -206.961526343857 -528.758063682933</f>
        <v>-1395.9377285267769</v>
      </c>
      <c r="P163">
        <f>-683.94929368434 -264.520407216736 -241.155917955161</f>
        <v>-1189.625618856237</v>
      </c>
      <c r="Q163">
        <f>-510.563273350502 -123.836743296041 -331.689173247132</f>
        <v>-966.08918989367498</v>
      </c>
      <c r="R163" t="s">
        <v>1764</v>
      </c>
      <c r="S163" t="s">
        <v>1765</v>
      </c>
      <c r="T163" t="s">
        <v>1766</v>
      </c>
      <c r="U163" t="s">
        <v>1767</v>
      </c>
      <c r="V163">
        <f>-604.369580084076 -130.210801462397 -97.3984756255315</f>
        <v>-831.97885717200461</v>
      </c>
      <c r="W163" t="s">
        <v>1768</v>
      </c>
      <c r="X163" t="s">
        <v>1769</v>
      </c>
      <c r="Y163" t="s">
        <v>1770</v>
      </c>
    </row>
    <row r="164" spans="1:25" x14ac:dyDescent="0.3">
      <c r="A164">
        <v>8150</v>
      </c>
      <c r="B164" t="s">
        <v>1771</v>
      </c>
      <c r="C164">
        <f>-622.88599218074 -35.9913901345637 -98.66853212287</f>
        <v>-757.54591443817378</v>
      </c>
      <c r="D164">
        <f>-652.731475569418 -44.7033874055455 -210.246178507355</f>
        <v>-907.68104148231851</v>
      </c>
      <c r="E164">
        <f>-667.779138981956 -47.7251179538005 -307.668398388534</f>
        <v>-1023.1726553242904</v>
      </c>
      <c r="F164">
        <f>-677.716188961591 -48.7841319372184 -396.203006466208</f>
        <v>-1122.7033273650175</v>
      </c>
      <c r="G164">
        <f>-683.629031370247 -48.1025365503749 -485.10081747887</f>
        <v>-1216.8323853994921</v>
      </c>
      <c r="H164">
        <f>-687.66297412017 -45.3243790318616 -609.586975497005</f>
        <v>-1342.5743286490365</v>
      </c>
      <c r="I164">
        <f>-654.541669447741 -38.2441118831603 -685.467705619175</f>
        <v>-1378.2534869500764</v>
      </c>
      <c r="J164">
        <f>-691.118712443727 -19.347113291539 -554.030230170491</f>
        <v>-1264.496055905757</v>
      </c>
      <c r="K164" t="s">
        <v>1772</v>
      </c>
      <c r="L164" t="s">
        <v>1773</v>
      </c>
      <c r="M164" t="s">
        <v>1774</v>
      </c>
      <c r="N164">
        <f>-680.656919274035 -73.7466646681844 -555.583365931875</f>
        <v>-1309.9869498740945</v>
      </c>
      <c r="O164">
        <f>-659.890862782897 -206.973284463782 -528.76933464745</f>
        <v>-1395.6334818941291</v>
      </c>
      <c r="P164">
        <f>-683.871695119657 -264.566428173634 -241.194771221761</f>
        <v>-1189.6328945150519</v>
      </c>
      <c r="Q164">
        <f>-510.355874722065 -123.990175287262 -331.646001453184</f>
        <v>-965.99205146251097</v>
      </c>
      <c r="R164" t="s">
        <v>1775</v>
      </c>
      <c r="S164" t="s">
        <v>1776</v>
      </c>
      <c r="T164" t="s">
        <v>1777</v>
      </c>
      <c r="U164" t="s">
        <v>1778</v>
      </c>
      <c r="V164">
        <f>-604.329094676103 -130.335238920404 -97.3922096090349</f>
        <v>-832.05654320554186</v>
      </c>
      <c r="W164" t="s">
        <v>1779</v>
      </c>
      <c r="X164" t="s">
        <v>1780</v>
      </c>
      <c r="Y164" t="s">
        <v>1781</v>
      </c>
    </row>
    <row r="165" spans="1:25" x14ac:dyDescent="0.3">
      <c r="A165">
        <v>8200</v>
      </c>
      <c r="B165" t="s">
        <v>1782</v>
      </c>
      <c r="C165">
        <f>-622.619792720034 -35.952209624975 -98.6517271480603</f>
        <v>-757.2237294930693</v>
      </c>
      <c r="D165">
        <f>-652.355018639132 -44.6110460710929 -210.262931094429</f>
        <v>-907.22899580465401</v>
      </c>
      <c r="E165">
        <f>-667.276120586014 -47.593275042212 -307.705810312569</f>
        <v>-1022.5752059407951</v>
      </c>
      <c r="F165">
        <f>-677.08603067592 -48.6189956402854 -396.254959506323</f>
        <v>-1121.9599858225286</v>
      </c>
      <c r="G165">
        <f>-682.858762532115 -47.9066510472414 -485.161715876364</f>
        <v>-1215.9271294557204</v>
      </c>
      <c r="H165">
        <f>-686.683527048462 -45.0884511380273 -609.653717000581</f>
        <v>-1341.4256951870702</v>
      </c>
      <c r="I165">
        <f>-653.436632344517 -38.0592172075042 -685.484196549896</f>
        <v>-1376.9800461019172</v>
      </c>
      <c r="J165">
        <f>-690.204257558681 -19.1236091056837 -554.095252663902</f>
        <v>-1263.4231193282667</v>
      </c>
      <c r="K165" t="s">
        <v>1783</v>
      </c>
      <c r="L165" t="s">
        <v>1784</v>
      </c>
      <c r="M165" t="s">
        <v>1785</v>
      </c>
      <c r="N165">
        <f>-679.796606946245 -73.5335286473517 -555.646732164936</f>
        <v>-1308.9768677585325</v>
      </c>
      <c r="O165">
        <f>-659.217377664645 -206.788437557317 -528.840754719733</f>
        <v>-1394.8465699416952</v>
      </c>
      <c r="P165">
        <f>-683.585004108475 -264.469298361687 -241.316267844546</f>
        <v>-1189.3705703147079</v>
      </c>
      <c r="Q165">
        <f>-509.802386920543 -124.121544365802 -331.61020768761</f>
        <v>-965.53413897395501</v>
      </c>
      <c r="R165" t="s">
        <v>1786</v>
      </c>
      <c r="S165" t="s">
        <v>1787</v>
      </c>
      <c r="T165" t="s">
        <v>1788</v>
      </c>
      <c r="U165" t="s">
        <v>1789</v>
      </c>
      <c r="V165">
        <f>-604.135683812461 -130.266728114355 -97.3824964620425</f>
        <v>-831.78490838885853</v>
      </c>
      <c r="W165" t="s">
        <v>1790</v>
      </c>
      <c r="X165" t="s">
        <v>1791</v>
      </c>
      <c r="Y165" t="s">
        <v>1792</v>
      </c>
    </row>
    <row r="166" spans="1:25" x14ac:dyDescent="0.3">
      <c r="A166">
        <v>8250</v>
      </c>
      <c r="B166" t="s">
        <v>1793</v>
      </c>
      <c r="C166">
        <f>-622.436588022117 -35.7844461790055 -98.6487232323701</f>
        <v>-756.86975743349262</v>
      </c>
      <c r="D166">
        <f>-652.091019048319 -44.4185070487511 -210.283331798611</f>
        <v>-906.7928578956811</v>
      </c>
      <c r="E166">
        <f>-666.946510144021 -47.3779289927762 -307.737124348929</f>
        <v>-1022.0615634857262</v>
      </c>
      <c r="F166">
        <f>-676.698868353332 -48.382049013617 -396.292843844096</f>
        <v>-1121.3737612110451</v>
      </c>
      <c r="G166">
        <f>-682.415941011172 -47.6474991279937 -485.202942432845</f>
        <v>-1215.2663825720106</v>
      </c>
      <c r="H166">
        <f>-686.164940888959 -44.7974072370318 -609.696414616506</f>
        <v>-1340.6587627424969</v>
      </c>
      <c r="I166">
        <f>-652.882753990661 -37.7841145508535 -685.512954281407</f>
        <v>-1376.1798228229213</v>
      </c>
      <c r="J166">
        <f>-689.712776048642 -18.8456301045719 -554.133629704155</f>
        <v>-1262.6920358573689</v>
      </c>
      <c r="K166" t="s">
        <v>1794</v>
      </c>
      <c r="L166" t="s">
        <v>1795</v>
      </c>
      <c r="M166" t="s">
        <v>1796</v>
      </c>
      <c r="N166">
        <f>-679.317573330707 -73.2575776135673 -555.692444331906</f>
        <v>-1308.2675952761801</v>
      </c>
      <c r="O166">
        <f>-658.800632027874 -206.529272367495 -528.895976545523</f>
        <v>-1394.225880940892</v>
      </c>
      <c r="P166">
        <f>-683.37846213878 -264.279924617681 -241.403371558039</f>
        <v>-1189.0617583144999</v>
      </c>
      <c r="Q166">
        <f>-509.485904765457 -124.020529504252 -331.622754905255</f>
        <v>-965.12918917496404</v>
      </c>
      <c r="R166" t="s">
        <v>1797</v>
      </c>
      <c r="S166" t="s">
        <v>1798</v>
      </c>
      <c r="T166" t="s">
        <v>1799</v>
      </c>
      <c r="U166" t="s">
        <v>1800</v>
      </c>
      <c r="V166">
        <f>-603.957525450704 -130.010804761954 -97.3790858601465</f>
        <v>-831.34741607280444</v>
      </c>
      <c r="W166" t="s">
        <v>1801</v>
      </c>
      <c r="X166" t="s">
        <v>1802</v>
      </c>
      <c r="Y166" t="s">
        <v>1803</v>
      </c>
    </row>
    <row r="167" spans="1:25" x14ac:dyDescent="0.3">
      <c r="A167">
        <v>8300</v>
      </c>
      <c r="B167" t="s">
        <v>1804</v>
      </c>
      <c r="C167">
        <f>-621.945115406529 -35.6545044296727 -98.6390121039286</f>
        <v>-756.23863194013029</v>
      </c>
      <c r="D167">
        <f>-651.480204274344 -44.2534277718811 -210.30809422499</f>
        <v>-906.04172627121511</v>
      </c>
      <c r="E167">
        <f>-666.234115368679 -47.1811969047585 -307.778060519815</f>
        <v>-1021.1933727932526</v>
      </c>
      <c r="F167">
        <f>-675.895065250264 -48.1561382909271 -396.344161964891</f>
        <v>-1120.395365506082</v>
      </c>
      <c r="G167">
        <f>-681.52129522731 -47.3922793786453 -485.259860856399</f>
        <v>-1214.1734354623543</v>
      </c>
      <c r="H167">
        <f>-685.143942524726 -44.5010144597197 -609.756187432649</f>
        <v>-1339.4011444170947</v>
      </c>
      <c r="I167">
        <f>-651.846198338107 -37.5152585156891 -685.568322134562</f>
        <v>-1374.9297789883581</v>
      </c>
      <c r="J167">
        <f>-688.740320020807 -18.5659240743287 -554.188733166044</f>
        <v>-1261.4949772611797</v>
      </c>
      <c r="K167" t="s">
        <v>1805</v>
      </c>
      <c r="L167" t="s">
        <v>1806</v>
      </c>
      <c r="M167" t="s">
        <v>1807</v>
      </c>
      <c r="N167">
        <f>-678.359268308386 -72.9805253873614 -555.754319406898</f>
        <v>-1307.0941131026455</v>
      </c>
      <c r="O167">
        <f>-657.912014069814 -206.264053427843 -528.977486857149</f>
        <v>-1393.1535543548059</v>
      </c>
      <c r="P167">
        <f>-682.801574274402 -264.112281053575 -241.531353803727</f>
        <v>-1188.4452091317039</v>
      </c>
      <c r="Q167">
        <f>-508.754674170294 -123.937334827821 -331.58460341745</f>
        <v>-964.27661241556495</v>
      </c>
      <c r="R167" t="s">
        <v>1808</v>
      </c>
      <c r="S167" t="s">
        <v>1809</v>
      </c>
      <c r="T167" t="s">
        <v>1810</v>
      </c>
      <c r="U167" t="s">
        <v>1811</v>
      </c>
      <c r="V167">
        <f>-603.458751439532 -129.852028964486 -97.3829795132747</f>
        <v>-830.69375991729271</v>
      </c>
      <c r="W167" t="s">
        <v>1812</v>
      </c>
      <c r="X167" t="s">
        <v>1813</v>
      </c>
      <c r="Y167" t="s">
        <v>1814</v>
      </c>
    </row>
    <row r="168" spans="1:25" x14ac:dyDescent="0.3">
      <c r="A168">
        <v>8350</v>
      </c>
      <c r="B168" t="s">
        <v>1815</v>
      </c>
      <c r="C168">
        <f>-621.695668280718 -35.683372047439 -98.6355386537908</f>
        <v>-756.01457898194781</v>
      </c>
      <c r="D168">
        <f>-651.176360775344 -44.276714657032 -210.319242416375</f>
        <v>-905.77231784875107</v>
      </c>
      <c r="E168">
        <f>-665.881287043491 -47.1906955760074 -307.797121658845</f>
        <v>-1020.8691042783435</v>
      </c>
      <c r="F168">
        <f>-675.49709522376 -48.1502417832221 -396.36835300732</f>
        <v>-1120.015690014302</v>
      </c>
      <c r="G168">
        <f>-681.077239462287 -47.367405299784 -485.28685862015</f>
        <v>-1213.731503382221</v>
      </c>
      <c r="H168">
        <f>-684.634663977778 -44.44660896329 -609.784352451813</f>
        <v>-1338.8656253928812</v>
      </c>
      <c r="I168">
        <f>-651.351157227796 -37.4731078915429 -685.603876631559</f>
        <v>-1374.4281417508978</v>
      </c>
      <c r="J168">
        <f>-688.260531454319 -18.5249031092744 -554.212486457247</f>
        <v>-1260.9979210208403</v>
      </c>
      <c r="K168" t="s">
        <v>1816</v>
      </c>
      <c r="L168" t="s">
        <v>1817</v>
      </c>
      <c r="M168" t="s">
        <v>1818</v>
      </c>
      <c r="N168">
        <f>-677.877904951385 -72.9389956205612 -555.785837559174</f>
        <v>-1306.6027381311201</v>
      </c>
      <c r="O168">
        <f>-657.448819615618 -206.220753157014 -529.005481017008</f>
        <v>-1392.6750537896401</v>
      </c>
      <c r="P168">
        <f>-682.423965662824 -264.110404185749 -241.575139493097</f>
        <v>-1188.10950934167</v>
      </c>
      <c r="Q168">
        <f>-508.33047377419 -123.940736355429 -331.546072006974</f>
        <v>-963.81728213659301</v>
      </c>
      <c r="R168" t="s">
        <v>1819</v>
      </c>
      <c r="S168" t="s">
        <v>1820</v>
      </c>
      <c r="T168" t="s">
        <v>1821</v>
      </c>
      <c r="U168" t="s">
        <v>1822</v>
      </c>
      <c r="V168">
        <f>-603.201365111468 -129.9294367971 -97.3733447149375</f>
        <v>-830.50414662350556</v>
      </c>
      <c r="W168" t="s">
        <v>1823</v>
      </c>
      <c r="X168" t="s">
        <v>1824</v>
      </c>
      <c r="Y168" t="s">
        <v>1825</v>
      </c>
    </row>
    <row r="169" spans="1:25" x14ac:dyDescent="0.3">
      <c r="A169">
        <v>8400</v>
      </c>
      <c r="B169" t="s">
        <v>1826</v>
      </c>
      <c r="C169">
        <f>-621.270318605716 -35.6994145110068 -98.6522090549839</f>
        <v>-755.62194217170679</v>
      </c>
      <c r="D169">
        <f>-650.609277580957 -44.2804812630254 -210.374153931848</f>
        <v>-905.26391277583048</v>
      </c>
      <c r="E169">
        <f>-665.187725176517 -47.1736181294252 -307.871623241136</f>
        <v>-1020.2329665470781</v>
      </c>
      <c r="F169">
        <f>-674.6872212597 -48.1100068641874 -396.455670285335</f>
        <v>-1119.2528984092223</v>
      </c>
      <c r="G169">
        <f>-680.149375616852 -47.3001150277053 -485.38128068007</f>
        <v>-1212.8307713246272</v>
      </c>
      <c r="H169">
        <f>-683.540208285264 -44.3374507034093 -609.88244102378</f>
        <v>-1337.7601000124532</v>
      </c>
      <c r="I169">
        <f>-650.278967423907 -37.398912347513 -685.714995400185</f>
        <v>-1373.3928751716051</v>
      </c>
      <c r="J169">
        <f>-687.251489384115 -18.4365214148561 -554.306472357859</f>
        <v>-1259.99448315683</v>
      </c>
      <c r="K169" t="s">
        <v>1827</v>
      </c>
      <c r="L169" t="s">
        <v>1828</v>
      </c>
      <c r="M169" t="s">
        <v>1829</v>
      </c>
      <c r="N169">
        <f>-676.844627332356 -72.8458752572637 -555.884695788405</f>
        <v>-1305.5751983780247</v>
      </c>
      <c r="O169">
        <f>-656.382896973165 -206.126473208434 -529.116626737799</f>
        <v>-1391.6259969193979</v>
      </c>
      <c r="P169">
        <f>-681.605857746614 -264.071008429278 -241.719049514279</f>
        <v>-1187.395915690171</v>
      </c>
      <c r="Q169">
        <f>-507.476252756622 -123.827327268626 -331.50464739111</f>
        <v>-962.80822741635802</v>
      </c>
      <c r="R169" t="s">
        <v>1830</v>
      </c>
      <c r="S169" t="s">
        <v>1831</v>
      </c>
      <c r="T169" t="s">
        <v>1832</v>
      </c>
      <c r="U169" t="s">
        <v>1833</v>
      </c>
      <c r="V169">
        <f>-602.728446824596 -129.906307795041 -97.375405999892</f>
        <v>-830.01016061952896</v>
      </c>
      <c r="W169" t="s">
        <v>1834</v>
      </c>
      <c r="X169" t="s">
        <v>1835</v>
      </c>
      <c r="Y169" t="s">
        <v>1836</v>
      </c>
    </row>
    <row r="170" spans="1:25" x14ac:dyDescent="0.3">
      <c r="A170">
        <v>8450</v>
      </c>
      <c r="B170" t="s">
        <v>1837</v>
      </c>
      <c r="C170">
        <f>-621.087489786926 -35.6555102053094 -98.6502613989893</f>
        <v>-755.39326139122466</v>
      </c>
      <c r="D170">
        <f>-650.36568790611 -44.2300647352681 -210.388783584128</f>
        <v>-904.98453622550608</v>
      </c>
      <c r="E170">
        <f>-664.882631052668 -47.1165202596102 -307.895529443726</f>
        <v>-1019.8946807560042</v>
      </c>
      <c r="F170">
        <f>-674.322921375938 -48.0470888598426 -396.485941525707</f>
        <v>-1118.8559517614876</v>
      </c>
      <c r="G170">
        <f>-679.72222559167 -47.2308893741582 -485.415246036603</f>
        <v>-1212.3683610024314</v>
      </c>
      <c r="H170">
        <f>-683.021390877756 -44.2589977653254 -609.918612912727</f>
        <v>-1337.1990015558083</v>
      </c>
      <c r="I170">
        <f>-649.778689627064 -37.3446743921845 -685.761413356935</f>
        <v>-1372.8847773761836</v>
      </c>
      <c r="J170">
        <f>-686.782841758203 -18.3639921631652 -554.343434565482</f>
        <v>-1259.4902684868503</v>
      </c>
      <c r="K170" t="s">
        <v>1838</v>
      </c>
      <c r="L170" t="s">
        <v>1839</v>
      </c>
      <c r="M170" t="s">
        <v>1840</v>
      </c>
      <c r="N170">
        <f>-676.35636576748 -72.7695967667877 -555.918280723476</f>
        <v>-1305.0442432577438</v>
      </c>
      <c r="O170">
        <f>-655.870095486589 -206.045150365724 -529.149970490762</f>
        <v>-1391.065216343075</v>
      </c>
      <c r="P170">
        <f>-681.228560162879 -264.099821121953 -241.786389186289</f>
        <v>-1187.1147704711211</v>
      </c>
      <c r="Q170">
        <f>-507.085423789089 -123.800555178494 -331.458966541039</f>
        <v>-962.344945508622</v>
      </c>
      <c r="R170" t="s">
        <v>1841</v>
      </c>
      <c r="S170" t="s">
        <v>1842</v>
      </c>
      <c r="T170" t="s">
        <v>1843</v>
      </c>
      <c r="U170" t="s">
        <v>1844</v>
      </c>
      <c r="V170">
        <f>-602.524243598972 -129.842886415587 -97.3828678111643</f>
        <v>-829.74999782572331</v>
      </c>
      <c r="W170" t="s">
        <v>1845</v>
      </c>
      <c r="X170" t="s">
        <v>1846</v>
      </c>
      <c r="Y170" t="s">
        <v>1847</v>
      </c>
    </row>
    <row r="171" spans="1:25" x14ac:dyDescent="0.3">
      <c r="A171">
        <v>8500</v>
      </c>
      <c r="B171" t="s">
        <v>1848</v>
      </c>
      <c r="C171">
        <f>-620.684722522462 -35.4876452728192 -98.6552985647538</f>
        <v>-754.8276663600351</v>
      </c>
      <c r="D171">
        <f>-649.873378963419 -44.0475058151162 -210.418262339571</f>
        <v>-904.33914711810621</v>
      </c>
      <c r="E171">
        <f>-664.27998965346 -46.9188560915153 -307.941939081734</f>
        <v>-1019.1407848267093</v>
      </c>
      <c r="F171">
        <f>-673.607333013922 -47.8340039207893 -396.544493859867</f>
        <v>-1117.9858307945783</v>
      </c>
      <c r="G171">
        <f>-678.880715167337 -47.0000640854398 -485.481197285265</f>
        <v>-1211.3619765380417</v>
      </c>
      <c r="H171">
        <f>-681.990684219722 -44.0007848703151 -609.988789209839</f>
        <v>-1335.9802582998759</v>
      </c>
      <c r="I171">
        <f>-648.757652476001 -37.1425777464892 -685.841122522623</f>
        <v>-1371.7413527451131</v>
      </c>
      <c r="J171">
        <f>-685.857622107447 -18.1219994178134 -554.413194350126</f>
        <v>-1258.3928158753865</v>
      </c>
      <c r="K171" t="s">
        <v>1849</v>
      </c>
      <c r="L171" t="s">
        <v>1850</v>
      </c>
      <c r="M171" t="s">
        <v>1851</v>
      </c>
      <c r="N171">
        <f>-675.386597738575 -72.5192026549889 -555.985159350765</f>
        <v>-1303.8909597443289</v>
      </c>
      <c r="O171">
        <f>-654.826551327136 -205.784434822989 -529.210637602124</f>
        <v>-1389.821623752249</v>
      </c>
      <c r="P171">
        <f>-680.481186611908 -263.951692325602 -241.896149081189</f>
        <v>-1186.3290280186989</v>
      </c>
      <c r="Q171">
        <f>-506.273041057455 -123.572011489964 -331.316014145636</f>
        <v>-961.16106669305498</v>
      </c>
      <c r="R171" t="s">
        <v>1852</v>
      </c>
      <c r="S171" t="s">
        <v>1853</v>
      </c>
      <c r="T171" t="s">
        <v>1854</v>
      </c>
      <c r="U171" t="s">
        <v>1855</v>
      </c>
      <c r="V171">
        <f>-602.113019469156 -129.581611459159 -97.3921302712653</f>
        <v>-829.08676119958034</v>
      </c>
      <c r="W171" t="s">
        <v>1856</v>
      </c>
      <c r="X171" t="s">
        <v>1857</v>
      </c>
      <c r="Y171" t="s">
        <v>1858</v>
      </c>
    </row>
    <row r="172" spans="1:25" x14ac:dyDescent="0.3">
      <c r="A172">
        <v>8550</v>
      </c>
      <c r="B172" t="s">
        <v>1859</v>
      </c>
      <c r="C172">
        <f>-620.509992854038 -35.4209349852031 -98.6655373117143</f>
        <v>-754.5964651509554</v>
      </c>
      <c r="D172">
        <f>-649.649691733065 -43.9636217337664 -210.442665879498</f>
        <v>-904.05597934632942</v>
      </c>
      <c r="E172">
        <f>-664.004726988793 -46.8229431073939 -307.974303142909</f>
        <v>-1018.8019732390959</v>
      </c>
      <c r="F172">
        <f>-673.281729378172 -47.7282927306015 -396.582155046517</f>
        <v>-1117.5921771552905</v>
      </c>
      <c r="G172">
        <f>-678.50129477287 -46.8856628445542 -485.521928555488</f>
        <v>-1210.9088861729122</v>
      </c>
      <c r="H172">
        <f>-681.532358576856 -43.8747073222344 -610.031218676762</f>
        <v>-1335.4382845758523</v>
      </c>
      <c r="I172">
        <f>-648.280950079145 -37.0536061267178 -685.878767578408</f>
        <v>-1371.2133237842709</v>
      </c>
      <c r="J172">
        <f>-685.43844590826 -18.002029941106 -554.455572900823</f>
        <v>-1257.896048750189</v>
      </c>
      <c r="K172" t="s">
        <v>1860</v>
      </c>
      <c r="L172" t="s">
        <v>1861</v>
      </c>
      <c r="M172" t="s">
        <v>1862</v>
      </c>
      <c r="N172">
        <f>-674.958663290179 -72.3975273036558 -556.026052863186</f>
        <v>-1303.3822434570206</v>
      </c>
      <c r="O172">
        <f>-654.381757176079 -205.662078090378 -529.248349252451</f>
        <v>-1389.292184518908</v>
      </c>
      <c r="P172">
        <f>-680.155941376873 -263.889479444338 -241.956805543016</f>
        <v>-1186.002226364227</v>
      </c>
      <c r="Q172">
        <f>-505.916855261254 -123.492685445179 -331.2897103584</f>
        <v>-960.69925106483311</v>
      </c>
      <c r="R172" t="s">
        <v>1863</v>
      </c>
      <c r="S172" t="s">
        <v>1864</v>
      </c>
      <c r="T172" t="s">
        <v>1865</v>
      </c>
      <c r="U172" t="s">
        <v>1866</v>
      </c>
      <c r="V172">
        <f>-601.955208712907 -129.493931543834 -97.4018010197431</f>
        <v>-828.85094127648415</v>
      </c>
      <c r="W172" t="s">
        <v>1867</v>
      </c>
      <c r="X172" t="s">
        <v>1868</v>
      </c>
      <c r="Y172" t="s">
        <v>1869</v>
      </c>
    </row>
    <row r="173" spans="1:25" x14ac:dyDescent="0.3">
      <c r="A173">
        <v>8600</v>
      </c>
      <c r="B173" t="s">
        <v>1870</v>
      </c>
      <c r="C173">
        <f>-620.245525913865 -35.4543748356805 -98.657895279379</f>
        <v>-754.35779602892444</v>
      </c>
      <c r="D173">
        <f>-649.293917157483 -43.9781454186505 -210.460241122241</f>
        <v>-903.73230369837438</v>
      </c>
      <c r="E173">
        <f>-663.557355045439 -46.8072912829325 -308.006201074086</f>
        <v>-1018.3708474024575</v>
      </c>
      <c r="F173">
        <f>-672.746381760589 -47.6795871118625 -396.623432134105</f>
        <v>-1117.0494010065563</v>
      </c>
      <c r="G173">
        <f>-677.87258622337 -46.7982807150765 -485.568389533781</f>
        <v>-1210.2392564722277</v>
      </c>
      <c r="H173">
        <f>-680.767852809574 -43.7274909506237 -610.079364729574</f>
        <v>-1334.5747084897716</v>
      </c>
      <c r="I173">
        <f>-647.475145542525 -36.9635015634831 -685.913889103318</f>
        <v>-1370.352536209326</v>
      </c>
      <c r="J173">
        <f>-684.734840540601 -17.881566590594 -554.495684052547</f>
        <v>-1257.112091183742</v>
      </c>
      <c r="K173" t="s">
        <v>1871</v>
      </c>
      <c r="L173" t="s">
        <v>1872</v>
      </c>
      <c r="M173" t="s">
        <v>1873</v>
      </c>
      <c r="N173">
        <f>-674.252861981864 -72.2761924657686 -556.080923760525</f>
        <v>-1302.6099782081578</v>
      </c>
      <c r="O173">
        <f>-653.703340675951 -205.544589151809 -529.321107449439</f>
        <v>-1388.569037277199</v>
      </c>
      <c r="P173">
        <f>-679.701549515683 -263.924685378024 -242.080564898202</f>
        <v>-1185.7067997919091</v>
      </c>
      <c r="Q173">
        <f>-505.381828006378 -123.505322632726 -331.220493144652</f>
        <v>-960.10764378375598</v>
      </c>
      <c r="R173" t="s">
        <v>1874</v>
      </c>
      <c r="S173" t="s">
        <v>1875</v>
      </c>
      <c r="T173" t="s">
        <v>1876</v>
      </c>
      <c r="U173" t="s">
        <v>1877</v>
      </c>
      <c r="V173">
        <f>-601.697228781129 -129.590400302372 -97.4066888360917</f>
        <v>-828.69431791959266</v>
      </c>
      <c r="W173" t="s">
        <v>1878</v>
      </c>
      <c r="X173" t="s">
        <v>1879</v>
      </c>
      <c r="Y173" t="s">
        <v>1880</v>
      </c>
    </row>
    <row r="174" spans="1:25" x14ac:dyDescent="0.3">
      <c r="A174">
        <v>8650</v>
      </c>
      <c r="B174" t="s">
        <v>1881</v>
      </c>
      <c r="C174">
        <f>-620.132639694088 -35.3867990374449 -98.6552422499437</f>
        <v>-754.17468098147663</v>
      </c>
      <c r="D174">
        <f>-649.140650479387 -43.8961027372779 -210.469187837983</f>
        <v>-903.50594105464791</v>
      </c>
      <c r="E174">
        <f>-663.353048999875 -46.6996580560062 -308.023298468043</f>
        <v>-1018.0760055239242</v>
      </c>
      <c r="F174">
        <f>-672.489369561558 -47.54328326757 -396.646370016086</f>
        <v>-1116.6790228452139</v>
      </c>
      <c r="G174">
        <f>-677.556490430737 -46.627614502517 -485.594352985425</f>
        <v>-1209.7784579186789</v>
      </c>
      <c r="H174">
        <f>-680.362465128976 -43.5028177082282 -610.106101257206</f>
        <v>-1333.9713840944103</v>
      </c>
      <c r="I174">
        <f>-647.045959731867 -36.7451290856059 -685.930673620224</f>
        <v>-1369.7217624376967</v>
      </c>
      <c r="J174">
        <f>-684.373312939901 -17.6816291462615 -554.51380854339</f>
        <v>-1256.5687506295526</v>
      </c>
      <c r="K174" t="s">
        <v>1882</v>
      </c>
      <c r="L174" t="s">
        <v>1883</v>
      </c>
      <c r="M174" t="s">
        <v>1884</v>
      </c>
      <c r="N174">
        <f>-673.88214333754 -72.0740279725848 -556.11542950822</f>
        <v>-1302.0716008183449</v>
      </c>
      <c r="O174">
        <f>-653.3368623531 -205.353909291769 -529.390617200641</f>
        <v>-1388.08138884551</v>
      </c>
      <c r="P174">
        <f>-679.503271219858 -263.791513276063 -242.177126337782</f>
        <v>-1185.4719108337031</v>
      </c>
      <c r="Q174">
        <f>-505.132794022049 -123.365647389204 -331.207435471755</f>
        <v>-959.70587688300793</v>
      </c>
      <c r="R174" t="s">
        <v>1885</v>
      </c>
      <c r="S174" t="s">
        <v>1886</v>
      </c>
      <c r="T174" t="s">
        <v>1887</v>
      </c>
      <c r="U174" t="s">
        <v>1888</v>
      </c>
      <c r="V174">
        <f>-601.576208039632 -129.465547235391 -97.4077953912616</f>
        <v>-828.44955066628461</v>
      </c>
      <c r="W174" t="s">
        <v>1889</v>
      </c>
      <c r="X174" t="s">
        <v>1890</v>
      </c>
      <c r="Y174" t="s">
        <v>1891</v>
      </c>
    </row>
    <row r="175" spans="1:25" x14ac:dyDescent="0.3">
      <c r="A175">
        <v>8700</v>
      </c>
      <c r="B175" t="s">
        <v>1892</v>
      </c>
      <c r="C175">
        <f>-619.985206896832 -35.369075075042 -98.657038982544</f>
        <v>-754.01132095441801</v>
      </c>
      <c r="D175">
        <f>-648.935739098169 -43.8338617237978 -210.489108056841</f>
        <v>-903.25870887880785</v>
      </c>
      <c r="E175">
        <f>-663.053482003239 -46.5799700166659 -308.058680539476</f>
        <v>-1017.6921325593809</v>
      </c>
      <c r="F175">
        <f>-672.08608497377 -47.3631573111196 -396.69296071821</f>
        <v>-1116.1422030030994</v>
      </c>
      <c r="G175">
        <f>-677.031601192216 -46.3780924170774 -485.646886968229</f>
        <v>-1209.0565805775225</v>
      </c>
      <c r="H175">
        <f>-679.649178565871 -43.1464402700244 -610.160129471635</f>
        <v>-1332.9557483075305</v>
      </c>
      <c r="I175">
        <f>-646.312149571371 -36.3700586706912 -685.974023744434</f>
        <v>-1368.6562319864961</v>
      </c>
      <c r="J175">
        <f>-683.755486918768 -17.3750941870953 -554.551677154775</f>
        <v>-1255.6822582606383</v>
      </c>
      <c r="K175" t="s">
        <v>1893</v>
      </c>
      <c r="L175" t="s">
        <v>1894</v>
      </c>
      <c r="M175" t="s">
        <v>1895</v>
      </c>
      <c r="N175">
        <f>-673.239134550216 -71.7618410398434 -556.184372610145</f>
        <v>-1301.1853482002043</v>
      </c>
      <c r="O175">
        <f>-652.682847365804 -205.049930457743 -529.525477972189</f>
        <v>-1387.2582557957362</v>
      </c>
      <c r="P175">
        <f>-679.178935817162 -263.796376708142 -242.40521225094</f>
        <v>-1185.3805247762441</v>
      </c>
      <c r="Q175">
        <f>-504.696241395023 -123.321924004758 -331.138474638322</f>
        <v>-959.15664003810298</v>
      </c>
      <c r="R175" t="s">
        <v>1896</v>
      </c>
      <c r="S175" t="s">
        <v>1897</v>
      </c>
      <c r="T175" t="s">
        <v>1898</v>
      </c>
      <c r="U175" t="s">
        <v>1899</v>
      </c>
      <c r="V175">
        <f>-601.470614471288 -129.450955043269 -97.4219212655815</f>
        <v>-828.3434907801385</v>
      </c>
      <c r="W175" t="s">
        <v>1900</v>
      </c>
      <c r="X175" t="s">
        <v>1901</v>
      </c>
      <c r="Y175" t="s">
        <v>1902</v>
      </c>
    </row>
    <row r="176" spans="1:25" x14ac:dyDescent="0.3">
      <c r="A176">
        <v>8750</v>
      </c>
      <c r="B176" t="s">
        <v>1903</v>
      </c>
      <c r="C176">
        <f>-619.956703890433 -35.3557011690079 -98.6528632826702</f>
        <v>-753.96526834211113</v>
      </c>
      <c r="D176">
        <f>-648.87591240193 -43.8118873316361 -210.493689891899</f>
        <v>-903.18148962546502</v>
      </c>
      <c r="E176">
        <f>-662.947039883401 -46.5319373070796 -308.070658982732</f>
        <v>-1017.5496361732125</v>
      </c>
      <c r="F176">
        <f>-671.929500874849 -47.2839536763452 -396.710384545434</f>
        <v>-1115.9238390966282</v>
      </c>
      <c r="G176">
        <f>-676.816871055995 -46.2598608457936 -485.667050957916</f>
        <v>-1208.7437828597044</v>
      </c>
      <c r="H176">
        <f>-679.345030446076 -42.965519848708 -610.180549798841</f>
        <v>-1332.4911000936249</v>
      </c>
      <c r="I176">
        <f>-646.005744539728 -36.1718959873845 -685.991889326433</f>
        <v>-1368.1695298535456</v>
      </c>
      <c r="J176">
        <f>-683.497433989914 -17.2234703922193 -554.561952012236</f>
        <v>-1255.2828563943694</v>
      </c>
      <c r="K176" t="s">
        <v>1904</v>
      </c>
      <c r="L176" t="s">
        <v>1905</v>
      </c>
      <c r="M176" t="s">
        <v>1906</v>
      </c>
      <c r="N176">
        <f>-672.967597201833 -71.6070001212031 -556.214623988022</f>
        <v>-1300.7892213110581</v>
      </c>
      <c r="O176">
        <f>-652.410041650587 -204.904603820801 -529.593295383447</f>
        <v>-1386.907940854835</v>
      </c>
      <c r="P176">
        <f>-679.037539822442 -263.77392591345 -242.510400876728</f>
        <v>-1185.3218666126199</v>
      </c>
      <c r="Q176">
        <f>-504.515500092598 -123.256247194194 -331.097765402205</f>
        <v>-958.86951268899702</v>
      </c>
      <c r="R176" t="s">
        <v>1907</v>
      </c>
      <c r="S176" t="s">
        <v>1908</v>
      </c>
      <c r="T176" t="s">
        <v>1909</v>
      </c>
      <c r="U176" t="s">
        <v>1910</v>
      </c>
      <c r="V176">
        <f>-601.434205265596 -129.44039511838 -97.4242454621092</f>
        <v>-828.29884584608521</v>
      </c>
      <c r="W176" t="s">
        <v>1911</v>
      </c>
      <c r="X176" t="s">
        <v>1912</v>
      </c>
      <c r="Y176" t="s">
        <v>1913</v>
      </c>
    </row>
    <row r="177" spans="1:25" x14ac:dyDescent="0.3">
      <c r="A177">
        <v>8800</v>
      </c>
      <c r="B177" t="s">
        <v>1914</v>
      </c>
      <c r="C177">
        <f>-619.968600563111 -35.2136371033996 -98.6655069017943</f>
        <v>-753.84774456830485</v>
      </c>
      <c r="D177">
        <f>-648.846685283317 -43.6652481720755 -210.517351206215</f>
        <v>-903.02928466160756</v>
      </c>
      <c r="E177">
        <f>-662.850947751473 -46.348708050073 -308.105003022131</f>
        <v>-1017.304658823677</v>
      </c>
      <c r="F177">
        <f>-671.76002824572 -47.0545364379382 -396.752574391319</f>
        <v>-1115.5671390749771</v>
      </c>
      <c r="G177">
        <f>-676.561406013804 -45.9708372433259 -485.713211990193</f>
        <v>-1208.245455247323</v>
      </c>
      <c r="H177">
        <f>-678.95596671091 -42.5792029008821 -610.226545557617</f>
        <v>-1331.7617151694092</v>
      </c>
      <c r="I177">
        <f>-645.631930473505 -35.744701438261 -686.040915940771</f>
        <v>-1367.4175478525372</v>
      </c>
      <c r="J177">
        <f>-683.179826803481 -16.8829389805583 -554.59235942246</f>
        <v>-1254.6551252064992</v>
      </c>
      <c r="K177" t="s">
        <v>1915</v>
      </c>
      <c r="L177" t="s">
        <v>1916</v>
      </c>
      <c r="M177" t="s">
        <v>1917</v>
      </c>
      <c r="N177">
        <f>-672.624632522204 -71.2605852155789 -556.276484189581</f>
        <v>-1300.161701927364</v>
      </c>
      <c r="O177">
        <f>-652.040580009908 -204.568286656177 -529.731342902607</f>
        <v>-1386.340209568692</v>
      </c>
      <c r="P177">
        <f>-678.954944931281 -263.672477013891 -242.723471508765</f>
        <v>-1185.350893453937</v>
      </c>
      <c r="Q177">
        <f>-504.396400085259 -123.054538125227 -331.079360454561</f>
        <v>-958.53029866504698</v>
      </c>
      <c r="R177" t="s">
        <v>1918</v>
      </c>
      <c r="S177" t="s">
        <v>1919</v>
      </c>
      <c r="T177" t="s">
        <v>1920</v>
      </c>
      <c r="U177" t="s">
        <v>1921</v>
      </c>
      <c r="V177">
        <f>-601.417789321669 -129.193060562968 -97.4477180582101</f>
        <v>-828.05856794284705</v>
      </c>
      <c r="W177" t="s">
        <v>1922</v>
      </c>
      <c r="X177" t="s">
        <v>1923</v>
      </c>
      <c r="Y177" t="s">
        <v>1924</v>
      </c>
    </row>
    <row r="178" spans="1:25" x14ac:dyDescent="0.3">
      <c r="A178">
        <v>8850</v>
      </c>
      <c r="B178" t="s">
        <v>1925</v>
      </c>
      <c r="C178">
        <f>-620.021819045711 -35.2136001822421 -98.6695129130163</f>
        <v>-753.90493214096944</v>
      </c>
      <c r="D178">
        <f>-648.865036965002 -43.6582849652045 -210.530930773481</f>
        <v>-903.05425270368755</v>
      </c>
      <c r="E178">
        <f>-662.836838119038 -46.328430519603 -308.123585153833</f>
        <v>-1017.288853792474</v>
      </c>
      <c r="F178">
        <f>-671.715738047632 -47.0192644057671 -396.774165510763</f>
        <v>-1115.5091679641621</v>
      </c>
      <c r="G178">
        <f>-676.485851730839 -45.9177447924513 -485.736330590032</f>
        <v>-1208.1399271133223</v>
      </c>
      <c r="H178">
        <f>-678.835774805465 -42.498368320817 -610.249824073562</f>
        <v>-1331.583967199844</v>
      </c>
      <c r="I178">
        <f>-645.519985702264 -35.6475246587083 -686.066382310258</f>
        <v>-1367.2338926712303</v>
      </c>
      <c r="J178">
        <f>-683.083988868643 -16.8153388960702 -554.61116497575</f>
        <v>-1254.5104927404632</v>
      </c>
      <c r="K178" t="s">
        <v>1926</v>
      </c>
      <c r="L178" t="s">
        <v>1927</v>
      </c>
      <c r="M178" t="s">
        <v>1928</v>
      </c>
      <c r="N178">
        <f>-672.519396340306 -71.1908103667278 -556.303857369373</f>
        <v>-1300.0140640764066</v>
      </c>
      <c r="O178">
        <f>-651.922594611114 -204.497718565186 -529.780929182731</f>
        <v>-1386.2012423590311</v>
      </c>
      <c r="P178">
        <f>-678.933995294455 -263.713139472158 -242.805072257161</f>
        <v>-1185.452207023774</v>
      </c>
      <c r="Q178">
        <f>-504.363331631045 -123.051752545872 -331.067877109952</f>
        <v>-958.48296128686911</v>
      </c>
      <c r="R178" t="s">
        <v>1929</v>
      </c>
      <c r="S178" t="s">
        <v>1930</v>
      </c>
      <c r="T178" t="s">
        <v>1931</v>
      </c>
      <c r="U178" t="s">
        <v>1932</v>
      </c>
      <c r="V178">
        <f>-601.48101033935 -129.212610990354 -97.4561501754816</f>
        <v>-828.14977150518564</v>
      </c>
      <c r="W178" t="s">
        <v>1933</v>
      </c>
      <c r="X178" t="s">
        <v>1934</v>
      </c>
      <c r="Y178" t="s">
        <v>1935</v>
      </c>
    </row>
    <row r="179" spans="1:25" x14ac:dyDescent="0.3">
      <c r="A179">
        <v>8900</v>
      </c>
      <c r="B179" t="s">
        <v>1936</v>
      </c>
      <c r="C179">
        <f>-620.112721999253 -35.2569749826921 -98.6647889391847</f>
        <v>-754.03448592112989</v>
      </c>
      <c r="D179">
        <f>-648.914148662565 -43.6934436887021 -210.53764215504</f>
        <v>-903.14523450630713</v>
      </c>
      <c r="E179">
        <f>-662.847398834979 -46.3432077660989 -308.136295318516</f>
        <v>-1017.3269019195939</v>
      </c>
      <c r="F179">
        <f>-671.690365457804 -47.0108688067788 -396.790651873089</f>
        <v>-1115.4918861376718</v>
      </c>
      <c r="G179">
        <f>-676.423339073732 -45.8811405398784 -485.75455899157</f>
        <v>-1208.0590386051804</v>
      </c>
      <c r="H179">
        <f>-678.720330528169 -42.416821302467 -610.267700297964</f>
        <v>-1331.4048521285999</v>
      </c>
      <c r="I179">
        <f>-645.458611378505 -35.5383896927242 -686.105524012357</f>
        <v>-1367.1025250835862</v>
      </c>
      <c r="J179">
        <f>-682.999188728842 -16.7551422052766 -554.621706694919</f>
        <v>-1254.3760376290375</v>
      </c>
      <c r="K179" t="s">
        <v>1937</v>
      </c>
      <c r="L179" t="s">
        <v>1938</v>
      </c>
      <c r="M179" t="s">
        <v>1939</v>
      </c>
      <c r="N179">
        <f>-672.419905670734 -71.1273586915142 -556.329531431345</f>
        <v>-1299.8767957935934</v>
      </c>
      <c r="O179">
        <f>-651.785860752054 -204.441291911113 -529.854528501692</f>
        <v>-1386.081681164859</v>
      </c>
      <c r="P179">
        <f>-678.961311077279 -263.741437940746 -242.911679454732</f>
        <v>-1185.614428472757</v>
      </c>
      <c r="Q179">
        <f>-504.378607312918 -123.020384472395 -331.055646625445</f>
        <v>-958.45463841075798</v>
      </c>
      <c r="R179" t="s">
        <v>1940</v>
      </c>
      <c r="S179" t="s">
        <v>1941</v>
      </c>
      <c r="T179" t="s">
        <v>1942</v>
      </c>
      <c r="U179" t="s">
        <v>1943</v>
      </c>
      <c r="V179">
        <f>-601.56529223677 -129.236220688206 -97.4619145602605</f>
        <v>-828.26342748523655</v>
      </c>
      <c r="W179" t="s">
        <v>1944</v>
      </c>
      <c r="X179" t="s">
        <v>1945</v>
      </c>
      <c r="Y179" t="s">
        <v>1946</v>
      </c>
    </row>
    <row r="180" spans="1:25" x14ac:dyDescent="0.3">
      <c r="A180">
        <v>8950</v>
      </c>
      <c r="B180" t="s">
        <v>1947</v>
      </c>
      <c r="C180">
        <f>-620.147761983565 -35.2997109160256 -98.6612383746303</f>
        <v>-754.10871127422092</v>
      </c>
      <c r="D180">
        <f>-648.947311689326 -43.7398824844453 -210.534250052731</f>
        <v>-903.2214442265024</v>
      </c>
      <c r="E180">
        <f>-662.87344833699 -46.3797951736686 -308.134125361481</f>
        <v>-1017.3873688721396</v>
      </c>
      <c r="F180">
        <f>-671.707564647513 -47.0334796508563 -396.789498910149</f>
        <v>-1115.5305432085183</v>
      </c>
      <c r="G180">
        <f>-676.429432569509 -45.8849151892856 -485.75376519756</f>
        <v>-1208.0681129563545</v>
      </c>
      <c r="H180">
        <f>-678.708380712452 -42.3890425804168 -610.26635237089</f>
        <v>-1331.3637756637588</v>
      </c>
      <c r="I180">
        <f>-645.498829829328 -35.5002943852601 -686.126063829838</f>
        <v>-1367.1251880444261</v>
      </c>
      <c r="J180">
        <f>-682.999664013952 -16.7424904976351 -554.614301530372</f>
        <v>-1254.3564560419591</v>
      </c>
      <c r="K180" t="s">
        <v>1948</v>
      </c>
      <c r="L180" t="s">
        <v>1949</v>
      </c>
      <c r="M180" t="s">
        <v>1950</v>
      </c>
      <c r="N180">
        <f>-672.411358478719 -71.1123787125177 -556.334594307497</f>
        <v>-1299.8583314987336</v>
      </c>
      <c r="O180">
        <f>-651.756488373961 -204.427119297221 -529.878748706917</f>
        <v>-1386.0623563780991</v>
      </c>
      <c r="P180">
        <f>-679.001527306712 -263.792606607775 -242.95606480606</f>
        <v>-1185.7501987205469</v>
      </c>
      <c r="Q180">
        <f>-504.419043979706 -123.035043872107 -331.042024227328</f>
        <v>-958.49611207914108</v>
      </c>
      <c r="R180" t="s">
        <v>1951</v>
      </c>
      <c r="S180" t="s">
        <v>1952</v>
      </c>
      <c r="T180" t="s">
        <v>1953</v>
      </c>
      <c r="U180" t="s">
        <v>1954</v>
      </c>
      <c r="V180">
        <f>-601.574531124132 -129.302863144058 -97.4671735295746</f>
        <v>-828.34456779776463</v>
      </c>
      <c r="W180" t="s">
        <v>1955</v>
      </c>
      <c r="X180" t="s">
        <v>1956</v>
      </c>
      <c r="Y180" t="s">
        <v>1957</v>
      </c>
    </row>
    <row r="181" spans="1:25" x14ac:dyDescent="0.3">
      <c r="A181">
        <v>9000</v>
      </c>
      <c r="B181" t="s">
        <v>1958</v>
      </c>
      <c r="C181">
        <f>-620.217366297228 -35.4069534406992 -98.6599147259595</f>
        <v>-754.28423446388672</v>
      </c>
      <c r="D181">
        <f>-649.02518470918 -43.8381435924631 -210.531573828998</f>
        <v>-903.39490213064119</v>
      </c>
      <c r="E181">
        <f>-662.948098057762 -46.4515233765591 -308.13269821922</f>
        <v>-1017.532319653541</v>
      </c>
      <c r="F181">
        <f>-671.774908053935 -47.0737319769457 -396.788851101931</f>
        <v>-1115.6374911328116</v>
      </c>
      <c r="G181">
        <f>-676.485081852505 -45.8859412230228 -485.753261799793</f>
        <v>-1208.1242848753209</v>
      </c>
      <c r="H181">
        <f>-678.743219205565 -42.3277684813506 -610.264431602694</f>
        <v>-1331.3354192896095</v>
      </c>
      <c r="I181">
        <f>-645.605509645614 -35.4454450851881 -686.156175353302</f>
        <v>-1367.2071300841042</v>
      </c>
      <c r="J181">
        <f>-683.049798600023 -16.7101829695118 -554.600265017689</f>
        <v>-1254.3602465872239</v>
      </c>
      <c r="K181" t="s">
        <v>1959</v>
      </c>
      <c r="L181" t="s">
        <v>1960</v>
      </c>
      <c r="M181" t="s">
        <v>1961</v>
      </c>
      <c r="N181">
        <f>-672.449244586492 -71.0769127624015 -556.346232209809</f>
        <v>-1299.8723895587027</v>
      </c>
      <c r="O181">
        <f>-651.753889064085 -204.39584992596 -529.952178496029</f>
        <v>-1386.1019174860739</v>
      </c>
      <c r="P181">
        <f>-679.073917342636 -263.8866223308 -243.062547223219</f>
        <v>-1186.0230868966551</v>
      </c>
      <c r="Q181">
        <f>-504.508676974646 -123.054553049204 -331.063585284917</f>
        <v>-958.62681530876694</v>
      </c>
      <c r="R181" t="s">
        <v>1962</v>
      </c>
      <c r="S181" t="s">
        <v>1963</v>
      </c>
      <c r="T181" t="s">
        <v>1964</v>
      </c>
      <c r="U181" t="s">
        <v>1965</v>
      </c>
      <c r="V181">
        <f>-601.646438322588 -129.461404656231 -97.4628676452478</f>
        <v>-828.57071062406681</v>
      </c>
      <c r="W181" t="s">
        <v>1966</v>
      </c>
      <c r="X181" t="s">
        <v>1967</v>
      </c>
      <c r="Y181" t="s">
        <v>1968</v>
      </c>
    </row>
    <row r="182" spans="1:25" x14ac:dyDescent="0.3">
      <c r="A182">
        <v>9050</v>
      </c>
      <c r="B182" t="s">
        <v>1969</v>
      </c>
      <c r="C182">
        <f>-620.236163558038 -35.4005203399602 -98.655993876797</f>
        <v>-754.29267777479515</v>
      </c>
      <c r="D182">
        <f>-649.058890556298 -43.8326765634312 -210.523687380472</f>
        <v>-903.41525450020117</v>
      </c>
      <c r="E182">
        <f>-662.997288324944 -46.4387542798065 -308.122738430028</f>
        <v>-1017.5587810347785</v>
      </c>
      <c r="F182">
        <f>-671.839140452086 -47.0514908102997 -396.777619488247</f>
        <v>-1115.6682507506328</v>
      </c>
      <c r="G182">
        <f>-676.565528068821 -45.8514009201109 -485.74090861605</f>
        <v>-1208.157837604982</v>
      </c>
      <c r="H182">
        <f>-678.847112542989 -42.2724943007847 -610.251154372324</f>
        <v>-1331.3707612160977</v>
      </c>
      <c r="I182">
        <f>-645.71717783556 -35.4019840595936 -686.147347492638</f>
        <v>-1367.2665093877918</v>
      </c>
      <c r="J182">
        <f>-683.143801627684 -16.6642463277572 -554.581851639498</f>
        <v>-1254.3898995949392</v>
      </c>
      <c r="K182" t="s">
        <v>1970</v>
      </c>
      <c r="L182" t="s">
        <v>1971</v>
      </c>
      <c r="M182" t="s">
        <v>1972</v>
      </c>
      <c r="N182">
        <f>-672.542393497907 -71.0305328310915 -556.338733621381</f>
        <v>-1299.9116599503795</v>
      </c>
      <c r="O182">
        <f>-651.832294893345 -204.352429332404 -529.968948149474</f>
        <v>-1386.1536723752229</v>
      </c>
      <c r="P182">
        <f>-679.115893507889 -263.91561462329 -243.090795814657</f>
        <v>-1186.1223039458362</v>
      </c>
      <c r="Q182">
        <f>-504.576301403247 -123.046137871366 -331.082687274431</f>
        <v>-958.70512654904405</v>
      </c>
      <c r="R182" t="s">
        <v>1973</v>
      </c>
      <c r="S182" t="s">
        <v>1974</v>
      </c>
      <c r="T182" t="s">
        <v>1975</v>
      </c>
      <c r="U182" t="s">
        <v>1976</v>
      </c>
      <c r="V182">
        <f>-601.655973837392 -129.412047229931 -97.4644113708034</f>
        <v>-828.53243243812642</v>
      </c>
      <c r="W182" t="s">
        <v>1977</v>
      </c>
      <c r="X182" t="s">
        <v>1978</v>
      </c>
      <c r="Y182" t="s">
        <v>1979</v>
      </c>
    </row>
    <row r="183" spans="1:25" x14ac:dyDescent="0.3">
      <c r="A183">
        <v>9100</v>
      </c>
      <c r="B183" t="s">
        <v>1980</v>
      </c>
      <c r="C183">
        <f>-620.267153729539 -35.5647683801301 -98.6345290708996</f>
        <v>-754.4664511805687</v>
      </c>
      <c r="D183">
        <f>-649.146295818799 -44.0069697539778 -210.486932683119</f>
        <v>-903.64019825589583</v>
      </c>
      <c r="E183">
        <f>-663.140548353181 -46.6129033068421 -308.077926490074</f>
        <v>-1017.8313781500971</v>
      </c>
      <c r="F183">
        <f>-672.035838986767 -47.2218264304187 -396.727612295609</f>
        <v>-1115.9852777127946</v>
      </c>
      <c r="G183">
        <f>-676.818409192354 -46.0140158624334 -485.687782750492</f>
        <v>-1208.5202078052794</v>
      </c>
      <c r="H183">
        <f>-679.181614597802 -42.4205913409053 -610.196019607724</f>
        <v>-1331.7982255464312</v>
      </c>
      <c r="I183">
        <f>-646.07906482545 -35.5787558623556 -686.106683729244</f>
        <v>-1367.7645044170495</v>
      </c>
      <c r="J183">
        <f>-683.444583848415 -16.8194207834563 -554.520880209271</f>
        <v>-1254.7848848411422</v>
      </c>
      <c r="K183" t="s">
        <v>1981</v>
      </c>
      <c r="L183" t="s">
        <v>1982</v>
      </c>
      <c r="M183" t="s">
        <v>1983</v>
      </c>
      <c r="N183">
        <f>-672.838789244263 -71.1843566477347 -556.29126618385</f>
        <v>-1300.3144120758477</v>
      </c>
      <c r="O183">
        <f>-652.107047714484 -204.507447323586 -529.962771961746</f>
        <v>-1386.5772669998159</v>
      </c>
      <c r="P183">
        <f>-679.226232959779 -264.107575167792 -243.076755947913</f>
        <v>-1186.410564075484</v>
      </c>
      <c r="Q183">
        <f>-504.748048026982 -123.198420883005 -331.12709471056</f>
        <v>-959.07356362054702</v>
      </c>
      <c r="R183" t="s">
        <v>1984</v>
      </c>
      <c r="S183" t="s">
        <v>1985</v>
      </c>
      <c r="T183" t="s">
        <v>1986</v>
      </c>
      <c r="U183" t="s">
        <v>1987</v>
      </c>
      <c r="V183">
        <f>-601.699362541372 -129.62848275683 -97.4488145495618</f>
        <v>-828.77665984776377</v>
      </c>
      <c r="W183" t="s">
        <v>1988</v>
      </c>
      <c r="X183" t="s">
        <v>1989</v>
      </c>
      <c r="Y183" t="s">
        <v>1990</v>
      </c>
    </row>
    <row r="184" spans="1:25" x14ac:dyDescent="0.3">
      <c r="A184">
        <v>9150</v>
      </c>
      <c r="B184" t="s">
        <v>1991</v>
      </c>
      <c r="C184">
        <f>-620.258943352395 -35.5475385682901 -98.6329151375486</f>
        <v>-754.43939705823368</v>
      </c>
      <c r="D184">
        <f>-649.163975092307 -43.9921362938936 -210.478368724159</f>
        <v>-903.63448011035962</v>
      </c>
      <c r="E184">
        <f>-663.173542878935 -46.5945578501262 -308.06732475875</f>
        <v>-1017.8354254878111</v>
      </c>
      <c r="F184">
        <f>-672.079983972748 -47.1977495398681 -396.715905588394</f>
        <v>-1115.9936391010101</v>
      </c>
      <c r="G184">
        <f>-676.870866508598 -45.9818309832734 -485.675494799109</f>
        <v>-1208.5281922909805</v>
      </c>
      <c r="H184">
        <f>-679.242817113654 -42.3740652145677 -610.183287454243</f>
        <v>-1331.8001697824648</v>
      </c>
      <c r="I184">
        <f>-646.154785553497 -35.537991843858 -686.100756658359</f>
        <v>-1367.7935340557142</v>
      </c>
      <c r="J184">
        <f>-683.504217283428 -16.7796807858504 -554.504860508854</f>
        <v>-1254.7887585781323</v>
      </c>
      <c r="K184" t="s">
        <v>1992</v>
      </c>
      <c r="L184" t="s">
        <v>1993</v>
      </c>
      <c r="M184" t="s">
        <v>1994</v>
      </c>
      <c r="N184">
        <f>-672.893815179493 -71.1435932799445 -556.282152427366</f>
        <v>-1300.3195608868036</v>
      </c>
      <c r="O184">
        <f>-652.163905987931 -204.470750024665 -529.963758134458</f>
        <v>-1386.598414147054</v>
      </c>
      <c r="P184">
        <f>-679.278341697934 -264.087960858943 -243.080912120123</f>
        <v>-1186.4472146769999</v>
      </c>
      <c r="Q184">
        <f>-504.786730265177 -123.207694952617 -331.150685975483</f>
        <v>-959.14511119327699</v>
      </c>
      <c r="R184" t="s">
        <v>1995</v>
      </c>
      <c r="S184" t="s">
        <v>1996</v>
      </c>
      <c r="T184" t="s">
        <v>1997</v>
      </c>
      <c r="U184" t="s">
        <v>1998</v>
      </c>
      <c r="V184">
        <f>-601.666626577536 -129.556763543914 -97.4452336481579</f>
        <v>-828.66862376960796</v>
      </c>
      <c r="W184" t="s">
        <v>1999</v>
      </c>
      <c r="X184" t="s">
        <v>2000</v>
      </c>
      <c r="Y184" t="s">
        <v>2001</v>
      </c>
    </row>
    <row r="185" spans="1:25" x14ac:dyDescent="0.3">
      <c r="A185">
        <v>9200</v>
      </c>
      <c r="B185" t="s">
        <v>2002</v>
      </c>
      <c r="C185">
        <f>-620.256796609105 -35.6124900426803 -98.6402015846835</f>
        <v>-754.50948823646877</v>
      </c>
      <c r="D185">
        <f>-649.206507202924 -44.0640147192527 -210.473661661847</f>
        <v>-903.74418358402363</v>
      </c>
      <c r="E185">
        <f>-663.224793393509 -46.6810103859866 -308.060979818311</f>
        <v>-1017.9667835978066</v>
      </c>
      <c r="F185">
        <f>-672.127206074985 -47.2997908523417 -396.709687397706</f>
        <v>-1116.1366843250328</v>
      </c>
      <c r="G185">
        <f>-676.902412594964 -46.1016595441341 -485.670489771722</f>
        <v>-1208.6745619108201</v>
      </c>
      <c r="H185">
        <f>-679.240421996156 -42.5206971453649 -610.17966935537</f>
        <v>-1331.9407884968909</v>
      </c>
      <c r="I185">
        <f>-646.104014579336 -35.6788802085425 -686.075632543629</f>
        <v>-1367.8585273315075</v>
      </c>
      <c r="J185">
        <f>-683.525979338155 -16.9161355450481 -554.507855434085</f>
        <v>-1254.949970317288</v>
      </c>
      <c r="K185" t="s">
        <v>2003</v>
      </c>
      <c r="L185" t="s">
        <v>2004</v>
      </c>
      <c r="M185" t="s">
        <v>2005</v>
      </c>
      <c r="N185">
        <f>-672.897247735181 -71.2769167777418 -556.270835989192</f>
        <v>-1300.4450005021149</v>
      </c>
      <c r="O185">
        <f>-652.144240324283 -204.597474449268 -529.939969975795</f>
        <v>-1386.681684749346</v>
      </c>
      <c r="P185">
        <f>-679.354046476981 -264.130501057733 -243.048637916102</f>
        <v>-1186.5331854508161</v>
      </c>
      <c r="Q185">
        <f>-504.840040396973 -123.29798913428 -331.150528704124</f>
        <v>-959.28855823537697</v>
      </c>
      <c r="R185" t="s">
        <v>2006</v>
      </c>
      <c r="S185" t="s">
        <v>2007</v>
      </c>
      <c r="T185" t="s">
        <v>2008</v>
      </c>
      <c r="U185" t="s">
        <v>2009</v>
      </c>
      <c r="V185">
        <f>-601.65743847299 -129.617650480689 -97.4507882825455</f>
        <v>-828.72587723622451</v>
      </c>
      <c r="W185" t="s">
        <v>2010</v>
      </c>
      <c r="X185" t="s">
        <v>2011</v>
      </c>
      <c r="Y185" t="s">
        <v>2012</v>
      </c>
    </row>
    <row r="186" spans="1:25" x14ac:dyDescent="0.3">
      <c r="A186">
        <v>9250</v>
      </c>
      <c r="B186" t="s">
        <v>2013</v>
      </c>
      <c r="C186">
        <f>-620.277931336588 -35.5982858650577 -98.6446970865861</f>
        <v>-754.52091428823189</v>
      </c>
      <c r="D186">
        <f>-649.224976976283 -44.0569478517524 -210.478320408679</f>
        <v>-903.76024523671435</v>
      </c>
      <c r="E186">
        <f>-663.23571341462 -46.6963232068643 -308.066089121574</f>
        <v>-1017.9981257430584</v>
      </c>
      <c r="F186">
        <f>-672.12915316362 -47.3422804587706 -396.71554642259</f>
        <v>-1116.1869800449806</v>
      </c>
      <c r="G186">
        <f>-676.89319832157 -46.1778436741153 -485.677260237332</f>
        <v>-1208.7483022330173</v>
      </c>
      <c r="H186">
        <f>-679.213039504381 -42.6514955363189 -610.188429394426</f>
        <v>-1332.0529644351259</v>
      </c>
      <c r="I186">
        <f>-646.007929654656 -35.8050631790575 -686.05379479456</f>
        <v>-1367.8667876282734</v>
      </c>
      <c r="J186">
        <f>-683.507564331806 -17.0226325801539 -554.528258224479</f>
        <v>-1255.0584551364389</v>
      </c>
      <c r="K186" t="s">
        <v>2014</v>
      </c>
      <c r="L186" t="s">
        <v>2015</v>
      </c>
      <c r="M186" t="s">
        <v>2016</v>
      </c>
      <c r="N186">
        <f>-672.876811160474 -71.383857208638 -556.266007094025</f>
        <v>-1300.5266754631371</v>
      </c>
      <c r="O186">
        <f>-652.113937182461 -204.694457493408 -529.881358309004</f>
        <v>-1386.6897529848729</v>
      </c>
      <c r="P186">
        <f>-679.295525622085 -264.194428901014 -242.980456348796</f>
        <v>-1186.4704108718952</v>
      </c>
      <c r="Q186">
        <f>-504.797900283481 -123.370901534604 -331.128961709902</f>
        <v>-959.29776352798706</v>
      </c>
      <c r="R186" t="s">
        <v>2017</v>
      </c>
      <c r="S186" t="s">
        <v>2018</v>
      </c>
      <c r="T186" t="s">
        <v>2019</v>
      </c>
      <c r="U186" t="s">
        <v>2020</v>
      </c>
      <c r="V186">
        <f>-601.65505861592 -129.590431348093 -97.4520857349688</f>
        <v>-828.69757569898184</v>
      </c>
      <c r="W186" t="s">
        <v>2021</v>
      </c>
      <c r="X186" t="s">
        <v>2022</v>
      </c>
      <c r="Y186" t="s">
        <v>2023</v>
      </c>
    </row>
    <row r="187" spans="1:25" x14ac:dyDescent="0.3">
      <c r="A187">
        <v>9300</v>
      </c>
      <c r="B187" t="s">
        <v>2024</v>
      </c>
      <c r="C187">
        <f>-620.360317830633 -35.6410761144787 -98.6395518821926</f>
        <v>-754.64094582730422</v>
      </c>
      <c r="D187">
        <f>-649.311458883289 -44.1385172962935 -210.469030885687</f>
        <v>-903.9190070652694</v>
      </c>
      <c r="E187">
        <f>-663.326739652043 -46.8360120758646 -308.054733260349</f>
        <v>-1018.2174849882565</v>
      </c>
      <c r="F187">
        <f>-672.224608553531 -47.5445186503271 -396.703364096894</f>
        <v>-1116.4724913007522</v>
      </c>
      <c r="G187">
        <f>-676.993575286927 -46.4527950075779 -485.665696655648</f>
        <v>-1209.1120669501529</v>
      </c>
      <c r="H187">
        <f>-679.320881877066 -43.0378845081614 -610.179749209825</f>
        <v>-1332.5385155950523</v>
      </c>
      <c r="I187">
        <f>-645.910251134561 -36.1787051880697 -685.953762643439</f>
        <v>-1368.0427189660695</v>
      </c>
      <c r="J187">
        <f>-683.623197332434 -17.3613245879362 -554.542218450477</f>
        <v>-1255.5267403708472</v>
      </c>
      <c r="K187" t="s">
        <v>2025</v>
      </c>
      <c r="L187" t="s">
        <v>2026</v>
      </c>
      <c r="M187" t="s">
        <v>2027</v>
      </c>
      <c r="N187">
        <f>-672.970284022315 -71.7197526211294 -556.232304001179</f>
        <v>-1300.9223406446235</v>
      </c>
      <c r="O187">
        <f>-652.134491375422 -204.998592756134 -529.74199291682</f>
        <v>-1386.8750770483762</v>
      </c>
      <c r="P187">
        <f>-679.237789109062 -264.293350158662 -242.79116684776</f>
        <v>-1186.322306115484</v>
      </c>
      <c r="Q187">
        <f>-504.793618508294 -123.469321893107 -331.044725109919</f>
        <v>-959.30766551132001</v>
      </c>
      <c r="R187" t="s">
        <v>2028</v>
      </c>
      <c r="S187" t="s">
        <v>2029</v>
      </c>
      <c r="T187" t="s">
        <v>2030</v>
      </c>
      <c r="U187" t="s">
        <v>2031</v>
      </c>
      <c r="V187">
        <f>-601.699914416281 -129.637314145257 -97.4385608169677</f>
        <v>-828.77578937850569</v>
      </c>
      <c r="W187" t="s">
        <v>2032</v>
      </c>
      <c r="X187" t="s">
        <v>2033</v>
      </c>
      <c r="Y187" t="s">
        <v>2034</v>
      </c>
    </row>
    <row r="188" spans="1:25" x14ac:dyDescent="0.3">
      <c r="A188">
        <v>9350</v>
      </c>
      <c r="B188" t="s">
        <v>2035</v>
      </c>
      <c r="C188">
        <f>-620.423315372479 -35.6617293981078 -98.647964885109</f>
        <v>-754.73300965569581</v>
      </c>
      <c r="D188">
        <f>-649.390006221005 -44.1766991630607 -210.472074107058</f>
        <v>-904.03877949112371</v>
      </c>
      <c r="E188">
        <f>-663.413136946892 -46.8978170781759 -308.055948042605</f>
        <v>-1018.3669020676729</v>
      </c>
      <c r="F188">
        <f>-672.316111778232 -47.6314894654363 -396.703786112268</f>
        <v>-1116.6513873559363</v>
      </c>
      <c r="G188">
        <f>-677.087960160704 -46.5681729457694 -485.666301947759</f>
        <v>-1209.3224350542325</v>
      </c>
      <c r="H188">
        <f>-679.416950398687 -43.1967393920081 -610.181555744926</f>
        <v>-1332.7952455356212</v>
      </c>
      <c r="I188">
        <f>-645.911222838491 -36.3316735560172 -685.913095684219</f>
        <v>-1368.1559920787272</v>
      </c>
      <c r="J188">
        <f>-683.724167174716 -17.5019928695251 -554.552972558667</f>
        <v>-1255.779132602908</v>
      </c>
      <c r="K188" t="s">
        <v>2036</v>
      </c>
      <c r="L188" t="s">
        <v>2037</v>
      </c>
      <c r="M188" t="s">
        <v>2038</v>
      </c>
      <c r="N188">
        <f>-673.060063415075 -71.8586909992714 -556.224186739069</f>
        <v>-1301.1429411534154</v>
      </c>
      <c r="O188">
        <f>-652.193955424209 -205.126673453586 -529.689870797974</f>
        <v>-1387.0104996757691</v>
      </c>
      <c r="P188">
        <f>-679.252322073648 -264.331444500322 -242.716298186461</f>
        <v>-1186.300064760431</v>
      </c>
      <c r="Q188">
        <f>-504.861518707894 -123.495326472344 -331.055890693855</f>
        <v>-959.41273587409296</v>
      </c>
      <c r="R188" t="s">
        <v>2039</v>
      </c>
      <c r="S188" t="s">
        <v>2040</v>
      </c>
      <c r="T188" t="s">
        <v>2041</v>
      </c>
      <c r="U188" t="s">
        <v>2042</v>
      </c>
      <c r="V188">
        <f>-601.742535879246 -129.617739909679 -97.4421311611268</f>
        <v>-828.80240695005182</v>
      </c>
      <c r="W188" t="s">
        <v>2043</v>
      </c>
      <c r="X188" t="s">
        <v>2044</v>
      </c>
      <c r="Y188" t="s">
        <v>2045</v>
      </c>
    </row>
    <row r="189" spans="1:25" x14ac:dyDescent="0.3">
      <c r="A189">
        <v>9400</v>
      </c>
      <c r="B189" t="s">
        <v>2046</v>
      </c>
      <c r="C189">
        <f>-620.565254779735 -35.7465775576545 -98.6596886473463</f>
        <v>-754.97152098473589</v>
      </c>
      <c r="D189">
        <f>-649.588839506044 -44.3075389122696 -210.4655977268</f>
        <v>-904.36197614511366</v>
      </c>
      <c r="E189">
        <f>-663.621076801247 -47.0710458246264 -308.046896835669</f>
        <v>-1018.7390194615423</v>
      </c>
      <c r="F189">
        <f>-672.515861606486 -47.844210357379 -396.695278806306</f>
        <v>-1117.0553507701711</v>
      </c>
      <c r="G189">
        <f>-677.263024786114 -46.8210923061802 -485.659630769197</f>
        <v>-1209.7437478614911</v>
      </c>
      <c r="H189">
        <f>-679.540258155928 -43.5071069053724 -610.177245542003</f>
        <v>-1333.2246106033035</v>
      </c>
      <c r="I189">
        <f>-645.909899765175 -36.6629381886285 -685.855571645501</f>
        <v>-1368.4284095993044</v>
      </c>
      <c r="J189">
        <f>-683.884691997255 -17.7895311953109 -554.562092224497</f>
        <v>-1256.236315417063</v>
      </c>
      <c r="K189" t="s">
        <v>2047</v>
      </c>
      <c r="L189" t="s">
        <v>2048</v>
      </c>
      <c r="M189" t="s">
        <v>2049</v>
      </c>
      <c r="N189">
        <f>-673.191643217989 -72.1414030320216 -556.204379071016</f>
        <v>-1301.5374253210266</v>
      </c>
      <c r="O189">
        <f>-652.28381734511 -205.387787775768 -529.600816488274</f>
        <v>-1387.2724216091519</v>
      </c>
      <c r="P189">
        <f>-679.432565937322 -264.48893966348 -242.614397164056</f>
        <v>-1186.5359027648581</v>
      </c>
      <c r="Q189">
        <f>-505.071192840838 -123.687227881549 -331.067093843035</f>
        <v>-959.82551456542205</v>
      </c>
      <c r="R189" t="s">
        <v>2050</v>
      </c>
      <c r="S189" t="s">
        <v>2051</v>
      </c>
      <c r="T189" t="s">
        <v>2052</v>
      </c>
      <c r="U189" t="s">
        <v>2053</v>
      </c>
      <c r="V189">
        <f>-601.82590319591 -129.703888411424 -97.4426742680464</f>
        <v>-828.97246587538041</v>
      </c>
      <c r="W189" t="s">
        <v>2054</v>
      </c>
      <c r="X189" t="s">
        <v>2055</v>
      </c>
      <c r="Y189" t="s">
        <v>2056</v>
      </c>
    </row>
    <row r="190" spans="1:25" x14ac:dyDescent="0.3">
      <c r="A190">
        <v>9450</v>
      </c>
      <c r="B190" t="s">
        <v>2057</v>
      </c>
      <c r="C190">
        <f>-620.65960830969 -35.9080114190817 -98.6705335557356</f>
        <v>-755.23815328450735</v>
      </c>
      <c r="D190">
        <f>-649.705825225744 -44.4864454600025 -210.46923838674</f>
        <v>-904.66150907248652</v>
      </c>
      <c r="E190">
        <f>-663.726934666188 -47.2597173068798 -308.051787577272</f>
        <v>-1019.0384395503397</v>
      </c>
      <c r="F190">
        <f>-672.59907707164 -48.0393440463727 -396.702391327835</f>
        <v>-1117.3408124458476</v>
      </c>
      <c r="G190">
        <f>-677.311205066629 -47.0203484442243 -485.668722136978</f>
        <v>-1210.0002756478311</v>
      </c>
      <c r="H190">
        <f>-679.526350785627 -43.7090175143501 -610.18758633664</f>
        <v>-1333.4229546366171</v>
      </c>
      <c r="I190">
        <f>-645.838550162526 -36.8706604150839 -685.840653522465</f>
        <v>-1368.549864100075</v>
      </c>
      <c r="J190">
        <f>-683.907721389846 -17.9921617674229 -554.575034578252</f>
        <v>-1256.4749177355209</v>
      </c>
      <c r="K190" t="s">
        <v>2058</v>
      </c>
      <c r="L190" t="s">
        <v>2059</v>
      </c>
      <c r="M190" t="s">
        <v>2060</v>
      </c>
      <c r="N190">
        <f>-673.195381318634 -72.340323615224 -556.210877390984</f>
        <v>-1301.7465823248419</v>
      </c>
      <c r="O190">
        <f>-652.273420935027 -205.585171817104 -529.611022923603</f>
        <v>-1387.4696156757341</v>
      </c>
      <c r="P190">
        <f>-679.462730020993 -264.669946096464 -242.625052302639</f>
        <v>-1186.7577284200961</v>
      </c>
      <c r="Q190">
        <f>-505.116994237721 -123.852324917764 -331.083211291923</f>
        <v>-960.052530447408</v>
      </c>
      <c r="R190" t="s">
        <v>2061</v>
      </c>
      <c r="S190" t="s">
        <v>2062</v>
      </c>
      <c r="T190" t="s">
        <v>2063</v>
      </c>
      <c r="U190" t="s">
        <v>2064</v>
      </c>
      <c r="V190">
        <f>-601.900790768435 -129.962365393492 -97.4346027850855</f>
        <v>-829.29775894701254</v>
      </c>
      <c r="W190" t="s">
        <v>2065</v>
      </c>
      <c r="X190" t="s">
        <v>2066</v>
      </c>
      <c r="Y190" t="s">
        <v>2067</v>
      </c>
    </row>
    <row r="191" spans="1:25" x14ac:dyDescent="0.3">
      <c r="A191">
        <v>9500</v>
      </c>
      <c r="B191" t="s">
        <v>2068</v>
      </c>
      <c r="C191">
        <f>-620.897362983768 -36.0041960113097 -98.6893233990473</f>
        <v>-755.59088239412495</v>
      </c>
      <c r="D191">
        <f>-649.966009453727 -44.5843829970174 -210.482070083899</f>
        <v>-905.0324625346434</v>
      </c>
      <c r="E191">
        <f>-663.96934692661 -47.3563417414368 -308.067227225314</f>
        <v>-1019.3929158933609</v>
      </c>
      <c r="F191">
        <f>-672.810749374964 -48.1328334254514 -396.720936538363</f>
        <v>-1117.6645193387783</v>
      </c>
      <c r="G191">
        <f>-677.477521239301 -47.1082659671249 -485.689476949111</f>
        <v>-1210.2752641555369</v>
      </c>
      <c r="H191">
        <f>-679.614124524834 -43.7862127913237 -610.209392471284</f>
        <v>-1333.6097297874417</v>
      </c>
      <c r="I191">
        <f>-645.857250589534 -36.9356464211551 -685.830716218328</f>
        <v>-1368.6236132290171</v>
      </c>
      <c r="J191">
        <f>-684.054698295618 -18.0787661590102 -554.597230295709</f>
        <v>-1256.7306947503371</v>
      </c>
      <c r="K191" t="s">
        <v>2069</v>
      </c>
      <c r="L191" t="s">
        <v>2070</v>
      </c>
      <c r="M191" t="s">
        <v>2071</v>
      </c>
      <c r="N191">
        <f>-673.293071563186 -72.4173681018144 -556.231607612517</f>
        <v>-1301.9420472775173</v>
      </c>
      <c r="O191">
        <f>-652.289574221063 -205.646364406497 -529.623259837171</f>
        <v>-1387.559198464731</v>
      </c>
      <c r="P191">
        <f>-679.390166571333 -264.851181747374 -242.653708776984</f>
        <v>-1186.8950570956908</v>
      </c>
      <c r="Q191">
        <f>-505.160981209417 -123.911672439189 -331.147302930348</f>
        <v>-960.219956578954</v>
      </c>
      <c r="R191" t="s">
        <v>2072</v>
      </c>
      <c r="S191" t="s">
        <v>2073</v>
      </c>
      <c r="T191" t="s">
        <v>2074</v>
      </c>
      <c r="U191" t="s">
        <v>2075</v>
      </c>
      <c r="V191">
        <f>-602.13216182399 -129.968345132817 -97.4432942186126</f>
        <v>-829.54380117541973</v>
      </c>
      <c r="W191" t="s">
        <v>2076</v>
      </c>
      <c r="X191" t="s">
        <v>2077</v>
      </c>
      <c r="Y191" t="s">
        <v>2078</v>
      </c>
    </row>
    <row r="192" spans="1:25" x14ac:dyDescent="0.3">
      <c r="A192">
        <v>9550</v>
      </c>
      <c r="B192" t="s">
        <v>2079</v>
      </c>
      <c r="C192">
        <f>-621.049485797214 -36.1223873664205 -98.6940737417785</f>
        <v>-755.86594690541301</v>
      </c>
      <c r="D192">
        <f>-650.114899108089 -44.7154562798603 -210.486741106096</f>
        <v>-905.31709649404536</v>
      </c>
      <c r="E192">
        <f>-664.108761197281 -47.4878684678938 -308.073195720624</f>
        <v>-1019.6698253857987</v>
      </c>
      <c r="F192">
        <f>-672.938643974717 -48.2603313139476 -396.728138999317</f>
        <v>-1117.9271142879816</v>
      </c>
      <c r="G192">
        <f>-677.591163973828 -47.2272539143105 -485.697385152023</f>
        <v>-1210.5158030401615</v>
      </c>
      <c r="H192">
        <f>-679.705136685743 -43.8880356754972 -610.217288668032</f>
        <v>-1333.8104610292721</v>
      </c>
      <c r="I192">
        <f>-645.922881561042 -37.0184375973781 -685.825424344846</f>
        <v>-1368.7667435032663</v>
      </c>
      <c r="J192">
        <f>-684.171597027679 -18.1915113170689 -554.602122597281</f>
        <v>-1256.9652309420289</v>
      </c>
      <c r="K192" t="s">
        <v>2080</v>
      </c>
      <c r="L192" t="s">
        <v>2081</v>
      </c>
      <c r="M192" t="s">
        <v>2082</v>
      </c>
      <c r="N192">
        <f>-673.378217075917 -72.5235226406495 -556.242291044745</f>
        <v>-1302.1440307613116</v>
      </c>
      <c r="O192">
        <f>-652.321923590358 -205.745313613044 -529.640973423136</f>
        <v>-1387.7082106265379</v>
      </c>
      <c r="P192">
        <f>-679.361734937969 -264.985068011755 -242.672815492354</f>
        <v>-1187.0196184420779</v>
      </c>
      <c r="Q192">
        <f>-505.199949369859 -123.962231943264 -331.166455263412</f>
        <v>-960.32863657653502</v>
      </c>
      <c r="R192" t="s">
        <v>2083</v>
      </c>
      <c r="S192" t="s">
        <v>2084</v>
      </c>
      <c r="T192" t="s">
        <v>2085</v>
      </c>
      <c r="U192" t="s">
        <v>2086</v>
      </c>
      <c r="V192">
        <f>-602.25115291899 -130.160929994165 -97.4459810727275</f>
        <v>-829.8580639858825</v>
      </c>
      <c r="W192" t="s">
        <v>2087</v>
      </c>
      <c r="X192" t="s">
        <v>2088</v>
      </c>
      <c r="Y192" t="s">
        <v>2089</v>
      </c>
    </row>
    <row r="193" spans="1:25" x14ac:dyDescent="0.3">
      <c r="A193">
        <v>9600</v>
      </c>
      <c r="B193" t="s">
        <v>2090</v>
      </c>
      <c r="C193">
        <f>-621.311588813533 -36.3808846192069 -98.6823312494039</f>
        <v>-756.3748046821438</v>
      </c>
      <c r="D193">
        <f>-650.380422061176 -44.9942195322286 -210.47236838575</f>
        <v>-905.84700997915456</v>
      </c>
      <c r="E193">
        <f>-664.361580413088 -47.7727779842363 -308.060705211554</f>
        <v>-1020.1950636088783</v>
      </c>
      <c r="F193">
        <f>-673.174007563906 -48.5463381765294 -396.71720909375</f>
        <v>-1118.4375548341854</v>
      </c>
      <c r="G193">
        <f>-677.803027938608 -47.5087241365093 -485.687753674479</f>
        <v>-1210.9995057495962</v>
      </c>
      <c r="H193">
        <f>-679.878101114152 -44.1571681370544 -610.207851454799</f>
        <v>-1334.2431207060054</v>
      </c>
      <c r="I193">
        <f>-646.05394487761 -37.227287693466 -685.791676487496</f>
        <v>-1369.0729090585719</v>
      </c>
      <c r="J193">
        <f>-684.399612993514 -18.4735024628667 -554.591180924924</f>
        <v>-1257.4642963813046</v>
      </c>
      <c r="K193" t="s">
        <v>2091</v>
      </c>
      <c r="L193" t="s">
        <v>2092</v>
      </c>
      <c r="M193" t="s">
        <v>2093</v>
      </c>
      <c r="N193">
        <f>-673.530358355691 -72.7905134724099 -556.234244631659</f>
        <v>-1302.5551164597598</v>
      </c>
      <c r="O193">
        <f>-652.308212279119 -205.98311541121 -529.631370923044</f>
        <v>-1387.9226986133729</v>
      </c>
      <c r="P193">
        <f>-679.249345112722 -265.268069371253 -242.663358382298</f>
        <v>-1187.1807728662729</v>
      </c>
      <c r="Q193">
        <f>-505.258028271631 -124.082558251466 -331.232720027494</f>
        <v>-960.57330655059104</v>
      </c>
      <c r="R193" t="s">
        <v>2094</v>
      </c>
      <c r="S193" t="s">
        <v>2095</v>
      </c>
      <c r="T193" t="s">
        <v>2096</v>
      </c>
      <c r="U193" t="s">
        <v>2097</v>
      </c>
      <c r="V193">
        <f>-602.452540199216 -130.475587766104 -97.4467796183284</f>
        <v>-830.37490758364834</v>
      </c>
      <c r="W193" t="s">
        <v>2098</v>
      </c>
      <c r="X193" t="s">
        <v>2099</v>
      </c>
      <c r="Y193" t="s">
        <v>2100</v>
      </c>
    </row>
    <row r="194" spans="1:25" x14ac:dyDescent="0.3">
      <c r="A194">
        <v>9650</v>
      </c>
      <c r="B194" t="s">
        <v>2101</v>
      </c>
      <c r="C194">
        <f>-621.420734467942 -36.3583009501274 -98.6859719823049</f>
        <v>-756.46500740037425</v>
      </c>
      <c r="D194">
        <f>-650.510456296666 -44.9934190863178 -210.468943838232</f>
        <v>-905.97281922121579</v>
      </c>
      <c r="E194">
        <f>-664.497272854983 -47.7788089984994 -308.056305275459</f>
        <v>-1020.3323871289413</v>
      </c>
      <c r="F194">
        <f>-673.309673141034 -48.5542005425203 -396.712765389039</f>
        <v>-1118.5766390725933</v>
      </c>
      <c r="G194">
        <f>-677.933690133364 -47.5135076155664 -485.68343778162</f>
        <v>-1211.1306355305505</v>
      </c>
      <c r="H194">
        <f>-679.99654323204 -44.1522882390457 -610.203587560292</f>
        <v>-1334.3524190313778</v>
      </c>
      <c r="I194">
        <f>-646.157146080942 -37.185553716798 -685.777237627633</f>
        <v>-1369.1199374253729</v>
      </c>
      <c r="J194">
        <f>-684.543137154739 -18.4769028638868 -554.585105374305</f>
        <v>-1257.6051453929308</v>
      </c>
      <c r="K194" t="s">
        <v>2102</v>
      </c>
      <c r="L194" t="s">
        <v>2103</v>
      </c>
      <c r="M194" t="s">
        <v>2104</v>
      </c>
      <c r="N194">
        <f>-673.634509925624 -72.7858819371938 -556.231695832836</f>
        <v>-1302.6520876956538</v>
      </c>
      <c r="O194">
        <f>-652.331153986691 -205.968328707296 -529.62127794742</f>
        <v>-1387.920760641407</v>
      </c>
      <c r="P194">
        <f>-679.190976805864 -265.274317972708 -242.64997272864</f>
        <v>-1187.1152675072119</v>
      </c>
      <c r="Q194">
        <f>-505.305565252149 -123.972663695551 -331.242172236152</f>
        <v>-960.52040118385196</v>
      </c>
      <c r="R194" t="s">
        <v>2105</v>
      </c>
      <c r="S194" t="s">
        <v>2106</v>
      </c>
      <c r="T194" t="s">
        <v>2107</v>
      </c>
      <c r="U194" t="s">
        <v>2108</v>
      </c>
      <c r="V194">
        <f>-602.520924602818 -130.363943540621 -97.4506588332719</f>
        <v>-830.33552697671087</v>
      </c>
      <c r="W194" t="s">
        <v>2109</v>
      </c>
      <c r="X194" t="s">
        <v>2110</v>
      </c>
      <c r="Y194" t="s">
        <v>2111</v>
      </c>
    </row>
    <row r="195" spans="1:25" x14ac:dyDescent="0.3">
      <c r="A195">
        <v>9700</v>
      </c>
      <c r="B195" t="s">
        <v>2112</v>
      </c>
      <c r="C195">
        <f>-621.652695855905 -36.5511990106197 -98.6804273878349</f>
        <v>-756.88432225435963</v>
      </c>
      <c r="D195">
        <f>-650.77765895242 -45.237360422396 -210.450353077225</f>
        <v>-906.46537245204104</v>
      </c>
      <c r="E195">
        <f>-664.782014649559 -48.0379792087726 -308.034652803322</f>
        <v>-1020.8546466616535</v>
      </c>
      <c r="F195">
        <f>-673.604637372183 -48.8160884116874 -396.690200650934</f>
        <v>-1119.1109264348042</v>
      </c>
      <c r="G195">
        <f>-678.233474492204 -47.7665012372427 -485.660433019879</f>
        <v>-1211.6604087493256</v>
      </c>
      <c r="H195">
        <f>-680.297295978606 -44.3809433846136 -610.179921305012</f>
        <v>-1334.8581606682317</v>
      </c>
      <c r="I195">
        <f>-646.437272646192 -37.3482607483818 -685.738307954395</f>
        <v>-1369.5238413489687</v>
      </c>
      <c r="J195">
        <f>-684.881628984402 -18.7242557341656 -554.555876353235</f>
        <v>-1258.1617610718026</v>
      </c>
      <c r="K195" t="s">
        <v>2113</v>
      </c>
      <c r="L195" t="s">
        <v>2114</v>
      </c>
      <c r="M195" t="s">
        <v>2115</v>
      </c>
      <c r="N195">
        <f>-673.896560743275 -73.0174284241488 -556.214198581244</f>
        <v>-1303.1281877486676</v>
      </c>
      <c r="O195">
        <f>-652.408657413225 -206.171109558538 -529.61251982697</f>
        <v>-1388.192286798733</v>
      </c>
      <c r="P195">
        <f>-679.124571062863 -265.510699987963 -242.634670930827</f>
        <v>-1187.2699419816529</v>
      </c>
      <c r="Q195">
        <f>-505.45304151832 -123.985190846925 -331.288884589209</f>
        <v>-960.727116954454</v>
      </c>
      <c r="R195" t="s">
        <v>2116</v>
      </c>
      <c r="S195" t="s">
        <v>2117</v>
      </c>
      <c r="T195" t="s">
        <v>2118</v>
      </c>
      <c r="U195" t="s">
        <v>2119</v>
      </c>
      <c r="V195">
        <f>-602.644004301123 -130.664561800516 -97.4470222341442</f>
        <v>-830.75558833578327</v>
      </c>
      <c r="W195" t="s">
        <v>2120</v>
      </c>
      <c r="X195" t="s">
        <v>2121</v>
      </c>
      <c r="Y195" t="s">
        <v>2122</v>
      </c>
    </row>
    <row r="196" spans="1:25" x14ac:dyDescent="0.3">
      <c r="A196">
        <v>9750</v>
      </c>
      <c r="B196" t="s">
        <v>2123</v>
      </c>
      <c r="C196">
        <f>-621.775886960728 -36.576380941457 -98.6852825313928</f>
        <v>-757.03755043357785</v>
      </c>
      <c r="D196">
        <f>-650.918518373443 -45.2837949552113 -210.448940414411</f>
        <v>-906.65125374306535</v>
      </c>
      <c r="E196">
        <f>-664.929813587461 -48.0917023052472 -308.031964458544</f>
        <v>-1021.0534803512521</v>
      </c>
      <c r="F196">
        <f>-673.755219989111 -48.8723142408024 -396.687109577964</f>
        <v>-1119.3146438078775</v>
      </c>
      <c r="G196">
        <f>-678.383474100442 -47.8209076122968 -485.657406735567</f>
        <v>-1211.8617884483058</v>
      </c>
      <c r="H196">
        <f>-680.442689974019 -44.4281040555815 -610.176744111224</f>
        <v>-1335.0475381408246</v>
      </c>
      <c r="I196">
        <f>-646.57645770112 -37.3684122697096 -685.729775830231</f>
        <v>-1369.6746458010607</v>
      </c>
      <c r="J196">
        <f>-685.046961036354 -18.7782164588016 -554.551347745362</f>
        <v>-1258.3765252405176</v>
      </c>
      <c r="K196" t="s">
        <v>2124</v>
      </c>
      <c r="L196" t="s">
        <v>2125</v>
      </c>
      <c r="M196" t="s">
        <v>2126</v>
      </c>
      <c r="N196">
        <f>-674.026118184231 -73.0639491437938 -556.21269000899</f>
        <v>-1303.3027573370148</v>
      </c>
      <c r="O196">
        <f>-652.445383393526 -206.201826085715 -529.620383345811</f>
        <v>-1388.2675928250519</v>
      </c>
      <c r="P196">
        <f>-679.048937366238 -265.585921653928 -242.64134212846</f>
        <v>-1187.2762011486261</v>
      </c>
      <c r="Q196">
        <f>-505.485228779743 -123.948065204843 -331.327519813895</f>
        <v>-960.76081379848097</v>
      </c>
      <c r="R196" t="s">
        <v>2127</v>
      </c>
      <c r="S196" t="s">
        <v>2128</v>
      </c>
      <c r="T196" t="s">
        <v>2129</v>
      </c>
      <c r="U196" t="s">
        <v>2130</v>
      </c>
      <c r="V196">
        <f>-602.713927403429 -130.641653986142 -97.4524079568448</f>
        <v>-830.80798934641575</v>
      </c>
      <c r="W196" t="s">
        <v>2131</v>
      </c>
      <c r="X196" t="s">
        <v>2132</v>
      </c>
      <c r="Y196" t="s">
        <v>2133</v>
      </c>
    </row>
    <row r="197" spans="1:25" x14ac:dyDescent="0.3">
      <c r="A197">
        <v>9800</v>
      </c>
      <c r="B197" t="s">
        <v>2134</v>
      </c>
      <c r="C197">
        <f>-621.984809106296 -36.6526775474301 -98.6833894840292</f>
        <v>-757.32087613775536</v>
      </c>
      <c r="D197">
        <f>-651.168988356905 -45.3975643131378 -210.433256851634</f>
        <v>-906.99980952167675</v>
      </c>
      <c r="E197">
        <f>-665.203898294921 -48.2237401446889 -308.012321779309</f>
        <v>-1021.4399602189189</v>
      </c>
      <c r="F197">
        <f>-674.045837570616 -49.0154843739186 -396.665884348306</f>
        <v>-1119.7272062928405</v>
      </c>
      <c r="G197">
        <f>-678.685476708632 -47.9693481244609 -485.635655023263</f>
        <v>-1212.2904798563559</v>
      </c>
      <c r="H197">
        <f>-680.755706125631 -44.5778004939167 -610.154821260793</f>
        <v>-1335.4883278803409</v>
      </c>
      <c r="I197">
        <f>-646.887238440353 -37.4723414783609 -685.702572768315</f>
        <v>-1370.0621526870291</v>
      </c>
      <c r="J197">
        <f>-685.39160900617 -18.9348785334805 -554.528760460012</f>
        <v>-1258.8552479996624</v>
      </c>
      <c r="K197" t="s">
        <v>2135</v>
      </c>
      <c r="L197" t="s">
        <v>2136</v>
      </c>
      <c r="M197" t="s">
        <v>2137</v>
      </c>
      <c r="N197">
        <f>-674.297769996583 -73.2056400788059 -556.191430513867</f>
        <v>-1303.6948405892558</v>
      </c>
      <c r="O197">
        <f>-652.542887228455 -206.316235133546 -529.596833618127</f>
        <v>-1388.455955980128</v>
      </c>
      <c r="P197">
        <f>-678.955609191467 -265.764049047621 -242.6133749085</f>
        <v>-1187.3330331475879</v>
      </c>
      <c r="Q197">
        <f>-505.593089440096 -123.905650409331 -331.340547703263</f>
        <v>-960.83928755268994</v>
      </c>
      <c r="R197" t="s">
        <v>2138</v>
      </c>
      <c r="S197" t="s">
        <v>2139</v>
      </c>
      <c r="T197" t="s">
        <v>2140</v>
      </c>
      <c r="U197" t="s">
        <v>2141</v>
      </c>
      <c r="V197">
        <f>-602.825682235734 -130.743777806179 -97.4487589741486</f>
        <v>-831.01821901606161</v>
      </c>
      <c r="W197" t="s">
        <v>2142</v>
      </c>
      <c r="X197" t="s">
        <v>2143</v>
      </c>
      <c r="Y197" t="s">
        <v>2144</v>
      </c>
    </row>
    <row r="198" spans="1:25" x14ac:dyDescent="0.3">
      <c r="A198">
        <v>9850</v>
      </c>
      <c r="B198" t="s">
        <v>2145</v>
      </c>
      <c r="C198">
        <f>-622.072886691368 -36.7094818706166 -98.6812465579433</f>
        <v>-757.46361511992791</v>
      </c>
      <c r="D198">
        <f>-651.28510797972 -45.4697522978474 -210.422549829712</f>
        <v>-907.17741010727946</v>
      </c>
      <c r="E198">
        <f>-665.331267638825 -48.3025162110321 -307.999961204196</f>
        <v>-1021.6337450540531</v>
      </c>
      <c r="F198">
        <f>-674.177888601993 -49.097574411113 -396.652790557446</f>
        <v>-1119.928253570552</v>
      </c>
      <c r="G198">
        <f>-678.817057751844 -48.0521827218752 -485.622681659755</f>
        <v>-1212.4919221334742</v>
      </c>
      <c r="H198">
        <f>-680.880827202799 -44.6581918354823 -610.141888907467</f>
        <v>-1335.6809079457482</v>
      </c>
      <c r="I198">
        <f>-647.006244967827 -37.5298839466079 -685.684669349472</f>
        <v>-1370.220798263907</v>
      </c>
      <c r="J198">
        <f>-685.535365203427 -19.0195505508818 -554.515316810957</f>
        <v>-1259.0702325652658</v>
      </c>
      <c r="K198" t="s">
        <v>2146</v>
      </c>
      <c r="L198" t="s">
        <v>2147</v>
      </c>
      <c r="M198" t="s">
        <v>2148</v>
      </c>
      <c r="N198">
        <f>-674.409974122893 -73.2839002732893 -556.178879355675</f>
        <v>-1303.8727537518573</v>
      </c>
      <c r="O198">
        <f>-652.580919063232 -206.382561605826 -529.581667400052</f>
        <v>-1388.5451480691099</v>
      </c>
      <c r="P198">
        <f>-678.931072005245 -265.844106435726 -242.595172558836</f>
        <v>-1187.3703509998072</v>
      </c>
      <c r="Q198">
        <f>-505.645010657569 -123.914012722998 -331.357100840816</f>
        <v>-960.91612422138292</v>
      </c>
      <c r="R198" t="s">
        <v>2149</v>
      </c>
      <c r="S198" t="s">
        <v>2150</v>
      </c>
      <c r="T198" t="s">
        <v>2151</v>
      </c>
      <c r="U198" t="s">
        <v>2152</v>
      </c>
      <c r="V198">
        <f>-602.872723279673 -130.820650391592 -97.4444444364314</f>
        <v>-831.13781810769638</v>
      </c>
      <c r="W198" t="s">
        <v>2153</v>
      </c>
      <c r="X198" t="s">
        <v>2154</v>
      </c>
      <c r="Y198" t="s">
        <v>2155</v>
      </c>
    </row>
    <row r="199" spans="1:25" x14ac:dyDescent="0.3">
      <c r="A199">
        <v>9900</v>
      </c>
      <c r="B199" t="s">
        <v>2156</v>
      </c>
      <c r="C199">
        <f>-622.213145014268 -36.656531645822 -98.6707960713298</f>
        <v>-757.54047273141987</v>
      </c>
      <c r="D199">
        <f>-651.474615040483 -45.4407915042822 -210.397208175755</f>
        <v>-907.31261472052006</v>
      </c>
      <c r="E199">
        <f>-665.533616625806 -48.27436972355 -307.972806949738</f>
        <v>-1021.7807932990939</v>
      </c>
      <c r="F199">
        <f>-674.379498049719 -49.0624852058445 -396.625831631387</f>
        <v>-1120.0678148869506</v>
      </c>
      <c r="G199">
        <f>-679.005564992289 -48.0022050968233 -485.596177473015</f>
        <v>-1212.6039475621274</v>
      </c>
      <c r="H199">
        <f>-681.03815455061 -44.5791110456271 -610.115107616268</f>
        <v>-1335.7323732125051</v>
      </c>
      <c r="I199">
        <f>-647.145741108818 -37.4118879473451 -685.646387746994</f>
        <v>-1370.2040168031572</v>
      </c>
      <c r="J199">
        <f>-685.728354349206 -18.9578807055439 -554.483687658401</f>
        <v>-1259.1699227131508</v>
      </c>
      <c r="K199" t="s">
        <v>2157</v>
      </c>
      <c r="L199" t="s">
        <v>2158</v>
      </c>
      <c r="M199" t="s">
        <v>2159</v>
      </c>
      <c r="N199">
        <f>-674.559148805249 -73.2129185987294 -556.157316830217</f>
        <v>-1303.9293842341954</v>
      </c>
      <c r="O199">
        <f>-652.639101613543 -206.298625972115 -529.562745331918</f>
        <v>-1388.500472917576</v>
      </c>
      <c r="P199">
        <f>-678.881203191623 -265.741015360853 -242.562410888338</f>
        <v>-1187.184629440814</v>
      </c>
      <c r="Q199">
        <f>-505.694436519071 -123.734273871294 -331.395316317986</f>
        <v>-960.82402670835108</v>
      </c>
      <c r="R199" t="s">
        <v>2160</v>
      </c>
      <c r="S199" t="s">
        <v>2161</v>
      </c>
      <c r="T199" t="s">
        <v>2162</v>
      </c>
      <c r="U199" t="s">
        <v>2163</v>
      </c>
      <c r="V199">
        <f>-602.936021307372 -130.755296975284 -97.4446833356442</f>
        <v>-831.13600161830027</v>
      </c>
      <c r="W199" t="s">
        <v>2164</v>
      </c>
      <c r="X199" t="s">
        <v>2165</v>
      </c>
      <c r="Y199" t="s">
        <v>2166</v>
      </c>
    </row>
    <row r="200" spans="1:25" x14ac:dyDescent="0.3">
      <c r="A200">
        <v>9950</v>
      </c>
      <c r="B200" t="s">
        <v>2167</v>
      </c>
      <c r="C200">
        <f>-622.294762918152 -36.6336149488318 -98.6699086698816</f>
        <v>-757.59828653686532</v>
      </c>
      <c r="D200">
        <f>-651.5795658225 -45.4265535027052 -210.389612175691</f>
        <v>-907.3957315008962</v>
      </c>
      <c r="E200">
        <f>-665.64003850485 -48.2609512885501 -307.96489517615</f>
        <v>-1021.8658849695502</v>
      </c>
      <c r="F200">
        <f>-674.479740855712 -49.0472466737295 -396.618668927156</f>
        <v>-1120.1456564565974</v>
      </c>
      <c r="G200">
        <f>-679.092114351817 -47.9822294399839 -485.589608895425</f>
        <v>-1212.6639526872259</v>
      </c>
      <c r="H200">
        <f>-681.097766273738 -44.5493837811927 -610.108740915476</f>
        <v>-1335.7558909704067</v>
      </c>
      <c r="I200">
        <f>-647.190588421014 -37.3663520074515 -685.631759289066</f>
        <v>-1370.1886997175316</v>
      </c>
      <c r="J200">
        <f>-685.80452025196 -18.9334327915783 -554.476124908295</f>
        <v>-1259.2140779518331</v>
      </c>
      <c r="K200" t="s">
        <v>2168</v>
      </c>
      <c r="L200" t="s">
        <v>2169</v>
      </c>
      <c r="M200" t="s">
        <v>2170</v>
      </c>
      <c r="N200">
        <f>-674.625884645875 -73.1865035637786 -556.151964329012</f>
        <v>-1303.9643525386655</v>
      </c>
      <c r="O200">
        <f>-652.677796921924 -206.267622464905 -529.558118107693</f>
        <v>-1388.5035374945219</v>
      </c>
      <c r="P200">
        <f>-678.896531254063 -265.72758298024 -242.559270854074</f>
        <v>-1187.183385088377</v>
      </c>
      <c r="Q200">
        <f>-505.752645522527 -123.692865875847 -331.431069740482</f>
        <v>-960.87658113885595</v>
      </c>
      <c r="R200" t="s">
        <v>2171</v>
      </c>
      <c r="S200" t="s">
        <v>2172</v>
      </c>
      <c r="T200" t="s">
        <v>2173</v>
      </c>
      <c r="U200" t="s">
        <v>2174</v>
      </c>
      <c r="V200">
        <f>-603.022267873202 -130.704643134038 -97.4466938547795</f>
        <v>-831.17360486201949</v>
      </c>
      <c r="W200" t="s">
        <v>2175</v>
      </c>
      <c r="X200" t="s">
        <v>2176</v>
      </c>
      <c r="Y200" t="s">
        <v>2177</v>
      </c>
    </row>
    <row r="201" spans="1:25" x14ac:dyDescent="0.3">
      <c r="A201">
        <v>10000</v>
      </c>
      <c r="B201" t="s">
        <v>2178</v>
      </c>
      <c r="C201">
        <f>-622.440995981677 -36.5100343018098 -98.667204894616</f>
        <v>-757.61823517810285</v>
      </c>
      <c r="D201">
        <f>-651.760023933455 -45.3005287146399 -210.378196927432</f>
        <v>-907.43874957552691</v>
      </c>
      <c r="E201">
        <f>-665.839555996953 -48.133526213231 -307.950771050257</f>
        <v>-1021.923853260441</v>
      </c>
      <c r="F201">
        <f>-674.692322885545 -48.918809915372 -396.603135542067</f>
        <v>-1120.2142683429838</v>
      </c>
      <c r="G201">
        <f>-679.313395111803 -47.8526434813097 -485.573677428494</f>
        <v>-1212.7397160216067</v>
      </c>
      <c r="H201">
        <f>-681.326708690893 -44.4184278039427 -610.092575176423</f>
        <v>-1335.8377116712586</v>
      </c>
      <c r="I201">
        <f>-647.406544560622 -37.2156622027353 -685.607976387905</f>
        <v>-1370.2301831512623</v>
      </c>
      <c r="J201">
        <f>-686.025806856973 -18.8022416389579 -554.459499336497</f>
        <v>-1259.2875478324277</v>
      </c>
      <c r="K201" t="s">
        <v>2179</v>
      </c>
      <c r="L201" t="s">
        <v>2180</v>
      </c>
      <c r="M201" t="s">
        <v>2181</v>
      </c>
      <c r="N201">
        <f>-674.855734890769 -73.057073928576 -556.136462693783</f>
        <v>-1304.0492715131279</v>
      </c>
      <c r="O201">
        <f>-652.90627320656 -206.135815436426 -529.546632316545</f>
        <v>-1388.588720959531</v>
      </c>
      <c r="P201">
        <f>-679.077818617476 -265.616133729171 -242.547715170968</f>
        <v>-1187.241667517615</v>
      </c>
      <c r="Q201">
        <f>-505.920788677509 -123.6037749404 -331.429568568971</f>
        <v>-960.95413218688009</v>
      </c>
      <c r="R201" t="s">
        <v>2182</v>
      </c>
      <c r="S201" t="s">
        <v>2183</v>
      </c>
      <c r="T201" t="s">
        <v>2184</v>
      </c>
      <c r="U201" t="s">
        <v>2185</v>
      </c>
      <c r="V201">
        <f>-603.166977255676 -130.535786969253 -97.4466758605097</f>
        <v>-831.14944008543864</v>
      </c>
      <c r="W201" t="s">
        <v>2186</v>
      </c>
      <c r="X201" t="s">
        <v>2187</v>
      </c>
      <c r="Y201" t="s">
        <v>2188</v>
      </c>
    </row>
    <row r="202" spans="1:25" x14ac:dyDescent="0.3">
      <c r="A202">
        <v>10050</v>
      </c>
      <c r="B202" t="s">
        <v>2189</v>
      </c>
      <c r="C202">
        <f>-622.516367914806 -36.462863251322 -98.6636456821425</f>
        <v>-757.64287684827048</v>
      </c>
      <c r="D202">
        <f>-651.861788362651 -45.2604951767338 -210.367187833007</f>
        <v>-907.48947137239179</v>
      </c>
      <c r="E202">
        <f>-665.971326721308 -48.0957539923303 -307.93535936645</f>
        <v>-1022.0024400800883</v>
      </c>
      <c r="F202">
        <f>-674.854345234939 -48.8808867867862 -396.58471557692</f>
        <v>-1120.3199475986453</v>
      </c>
      <c r="G202">
        <f>-679.508785659143 -47.8125863672012 -485.553410504119</f>
        <v>-1212.8747825304631</v>
      </c>
      <c r="H202">
        <f>-681.571928287382 -44.3729009249988 -610.071433717508</f>
        <v>-1336.0162629298889</v>
      </c>
      <c r="I202">
        <f>-647.67007604905 -37.1679173804521 -685.594801892101</f>
        <v>-1370.432795321603</v>
      </c>
      <c r="J202">
        <f>-686.244198099377 -18.7582387013265 -554.435348326936</f>
        <v>-1259.4377851276395</v>
      </c>
      <c r="K202" t="s">
        <v>2190</v>
      </c>
      <c r="L202" t="s">
        <v>2191</v>
      </c>
      <c r="M202" t="s">
        <v>2192</v>
      </c>
      <c r="N202">
        <f>-675.083859327951 -73.0148284171989 -556.119015186829</f>
        <v>-1304.2177029319789</v>
      </c>
      <c r="O202">
        <f>-653.139271630001 -206.100439375488 -529.54619652655</f>
        <v>-1388.7859075320389</v>
      </c>
      <c r="P202">
        <f>-679.287720559938 -265.57628913057 -242.544285719065</f>
        <v>-1187.4082954095729</v>
      </c>
      <c r="Q202">
        <f>-506.091204381076 -123.624399328149 -331.446080392809</f>
        <v>-961.16168410203397</v>
      </c>
      <c r="R202" t="s">
        <v>2193</v>
      </c>
      <c r="S202" t="s">
        <v>2194</v>
      </c>
      <c r="T202" t="s">
        <v>2195</v>
      </c>
      <c r="U202" t="s">
        <v>2196</v>
      </c>
      <c r="V202">
        <f>-603.268423024812 -130.499203750112 -97.4439630803488</f>
        <v>-831.21158985527279</v>
      </c>
      <c r="W202" t="s">
        <v>2197</v>
      </c>
      <c r="X202" t="s">
        <v>2198</v>
      </c>
      <c r="Y202" t="s">
        <v>2199</v>
      </c>
    </row>
    <row r="203" spans="1:25" x14ac:dyDescent="0.3">
      <c r="A203">
        <v>10100</v>
      </c>
      <c r="B203" t="s">
        <v>2200</v>
      </c>
      <c r="C203">
        <f>-622.716499442095 -36.4901495149761 -98.6878757549305</f>
        <v>-757.89452471200161</v>
      </c>
      <c r="D203">
        <f>-652.14834847425 -45.2943783556544 -210.368076940277</f>
        <v>-907.81080377018145</v>
      </c>
      <c r="E203">
        <f>-666.368861121251 -48.1359511067199 -307.919876322777</f>
        <v>-1022.4246885507479</v>
      </c>
      <c r="F203">
        <f>-675.367160151324 -48.9268259706108 -396.557611118887</f>
        <v>-1120.8515972408218</v>
      </c>
      <c r="G203">
        <f>-680.151646851489 -47.8642362783182 -485.519545415602</f>
        <v>-1213.5354285454091</v>
      </c>
      <c r="H203">
        <f>-682.412190086749 -44.432512032894 -610.034264227882</f>
        <v>-1336.878966347525</v>
      </c>
      <c r="I203">
        <f>-648.573698164577 -37.2468916857085 -685.587934650462</f>
        <v>-1371.4085245007475</v>
      </c>
      <c r="J203">
        <f>-686.98280986037 -18.8114256110518 -554.392723983621</f>
        <v>-1260.1869594550428</v>
      </c>
      <c r="K203" t="s">
        <v>2201</v>
      </c>
      <c r="L203" t="s">
        <v>2202</v>
      </c>
      <c r="M203" t="s">
        <v>2203</v>
      </c>
      <c r="N203">
        <f>-675.852074580874 -73.0737339195962 -556.090245103188</f>
        <v>-1305.0160536036583</v>
      </c>
      <c r="O203">
        <f>-653.93078715911 -206.169801861362 -529.554844060509</f>
        <v>-1389.6554330809809</v>
      </c>
      <c r="P203">
        <f>-679.971272698713 -265.597585201438 -242.533198574741</f>
        <v>-1188.1020564748919</v>
      </c>
      <c r="Q203">
        <f>-506.670982883633 -123.78694684045 -331.458018973921</f>
        <v>-961.91594869800406</v>
      </c>
      <c r="R203" t="s">
        <v>2204</v>
      </c>
      <c r="S203" t="s">
        <v>2205</v>
      </c>
      <c r="T203" t="s">
        <v>2206</v>
      </c>
      <c r="U203" t="s">
        <v>2207</v>
      </c>
      <c r="V203">
        <f>-603.516667480725 -130.581066880719 -97.4473411771338</f>
        <v>-831.54507553857786</v>
      </c>
      <c r="W203" t="s">
        <v>2208</v>
      </c>
      <c r="X203" t="s">
        <v>2209</v>
      </c>
      <c r="Y203" t="s">
        <v>2210</v>
      </c>
    </row>
    <row r="204" spans="1:25" x14ac:dyDescent="0.3">
      <c r="A204">
        <v>10150</v>
      </c>
      <c r="B204" t="s">
        <v>2211</v>
      </c>
      <c r="C204">
        <f>-622.832740537332 -36.4834476198691 -98.6969899043286</f>
        <v>-758.01317806152974</v>
      </c>
      <c r="D204">
        <f>-652.311933553862 -45.2952607968006 -210.364172047044</f>
        <v>-907.97136639770656</v>
      </c>
      <c r="E204">
        <f>-666.597390674071 -48.1386815077527 -307.906448307467</f>
        <v>-1022.6425204892907</v>
      </c>
      <c r="F204">
        <f>-675.663921877056 -48.9295736352815 -396.537155596794</f>
        <v>-1121.1306511091316</v>
      </c>
      <c r="G204">
        <f>-680.526301829098 -47.8657907486362 -485.494808883598</f>
        <v>-1213.8869014613322</v>
      </c>
      <c r="H204">
        <f>-682.905346413193 -44.4318006358529 -610.00727499714</f>
        <v>-1337.3444220461861</v>
      </c>
      <c r="I204">
        <f>-649.103514792019 -37.2566803276388 -685.578346168416</f>
        <v>-1371.9385412880738</v>
      </c>
      <c r="J204">
        <f>-687.412932887964 -18.8096975714448 -554.361119966216</f>
        <v>-1260.5837504256247</v>
      </c>
      <c r="K204" t="s">
        <v>2212</v>
      </c>
      <c r="L204" t="s">
        <v>2213</v>
      </c>
      <c r="M204" t="s">
        <v>2214</v>
      </c>
      <c r="N204">
        <f>-676.303986831002 -73.0760977541484 -556.069997940537</f>
        <v>-1305.4500825256873</v>
      </c>
      <c r="O204">
        <f>-654.395737489507 -206.180698248854 -529.560690690366</f>
        <v>-1390.137126428727</v>
      </c>
      <c r="P204">
        <f>-680.312044756081 -265.62298972761 -242.53093419093</f>
        <v>-1188.4659686746209</v>
      </c>
      <c r="Q204">
        <f>-507.009418430857 -123.820862145078 -331.464669872443</f>
        <v>-962.29495044837802</v>
      </c>
      <c r="R204" t="s">
        <v>2215</v>
      </c>
      <c r="S204" t="s">
        <v>2216</v>
      </c>
      <c r="T204" t="s">
        <v>2217</v>
      </c>
      <c r="U204" t="s">
        <v>2218</v>
      </c>
      <c r="V204">
        <f>-603.64328722989 -130.586135801108 -97.4514067973231</f>
        <v>-831.68082982832107</v>
      </c>
      <c r="W204" t="s">
        <v>2219</v>
      </c>
      <c r="X204" t="s">
        <v>2220</v>
      </c>
      <c r="Y204" t="s">
        <v>2221</v>
      </c>
    </row>
    <row r="205" spans="1:25" x14ac:dyDescent="0.3">
      <c r="A205">
        <v>10200</v>
      </c>
      <c r="B205" t="s">
        <v>2222</v>
      </c>
      <c r="C205">
        <f>-623.10880508602 -36.5511837989545 -98.6861175689372</f>
        <v>-758.34610645391172</v>
      </c>
      <c r="D205">
        <f>-652.698913661985 -45.3826256956597 -210.322370464554</f>
        <v>-908.40390982219878</v>
      </c>
      <c r="E205">
        <f>-667.130780281262 -48.2459675129936 -307.842550039434</f>
        <v>-1023.2192978336896</v>
      </c>
      <c r="F205">
        <f>-676.350102018742 -49.0565743558909 -396.457418313904</f>
        <v>-1121.8640946885369</v>
      </c>
      <c r="G205">
        <f>-681.385160021651 -48.0154722110725 -485.405673947843</f>
        <v>-1214.8063061805665</v>
      </c>
      <c r="H205">
        <f>-684.026045811989 -44.6160637079998 -609.913888981472</f>
        <v>-1338.5559985014609</v>
      </c>
      <c r="I205">
        <f>-650.311501558215 -37.4732210680961 -685.526940081189</f>
        <v>-1373.3116627075001</v>
      </c>
      <c r="J205">
        <f>-688.39022517314 -18.9731370090842 -554.26580025085</f>
        <v>-1261.6291624330743</v>
      </c>
      <c r="K205" t="s">
        <v>2223</v>
      </c>
      <c r="L205" t="s">
        <v>2224</v>
      </c>
      <c r="M205" t="s">
        <v>2225</v>
      </c>
      <c r="N205">
        <f>-677.337645547905 -73.2508238364923 -555.982085421938</f>
        <v>-1306.5705548063352</v>
      </c>
      <c r="O205">
        <f>-655.447289775523 -206.369171399912 -529.537550793321</f>
        <v>-1391.3540119687559</v>
      </c>
      <c r="P205">
        <f>-681.063387575711 -265.787373106701 -242.475742492386</f>
        <v>-1189.3265031747981</v>
      </c>
      <c r="Q205">
        <f>-507.807911095771 -124.008349754536 -331.538000456215</f>
        <v>-963.35426130652195</v>
      </c>
      <c r="R205" t="s">
        <v>2226</v>
      </c>
      <c r="S205" t="s">
        <v>2227</v>
      </c>
      <c r="T205" t="s">
        <v>2228</v>
      </c>
      <c r="U205" t="s">
        <v>2229</v>
      </c>
      <c r="V205">
        <f>-603.940893046322 -130.744970535143 -97.4415287275046</f>
        <v>-832.12739230896966</v>
      </c>
      <c r="W205" t="s">
        <v>2230</v>
      </c>
      <c r="X205" t="s">
        <v>2231</v>
      </c>
      <c r="Y205" t="s">
        <v>2232</v>
      </c>
    </row>
    <row r="206" spans="1:25" x14ac:dyDescent="0.3">
      <c r="A206">
        <v>10250</v>
      </c>
      <c r="B206" t="s">
        <v>2233</v>
      </c>
      <c r="C206">
        <f>-623.249077305448 -36.4767534846894 -98.6811393100743</f>
        <v>-758.40697010021177</v>
      </c>
      <c r="D206">
        <f>-652.900013971983 -45.3116564426366 -210.300948124226</f>
        <v>-908.51261853884557</v>
      </c>
      <c r="E206">
        <f>-667.409323271071 -48.1860798571892 -307.80923190901</f>
        <v>-1023.4046350372702</v>
      </c>
      <c r="F206">
        <f>-676.708355075523 -49.0113554774292 -396.415703029038</f>
        <v>-1122.1354135819902</v>
      </c>
      <c r="G206">
        <f>-681.832566134778 -47.989843148851 -485.359143391899</f>
        <v>-1215.1815526755281</v>
      </c>
      <c r="H206">
        <f>-684.607562650806 -44.6237913320213 -609.86540120753</f>
        <v>-1339.0967551903573</v>
      </c>
      <c r="I206">
        <f>-650.949973142962 -37.5001070493902 -685.505562309888</f>
        <v>-1373.9556425022402</v>
      </c>
      <c r="J206">
        <f>-688.890456238057 -18.9616795870463 -554.219765884595</f>
        <v>-1262.0719017096983</v>
      </c>
      <c r="K206" t="s">
        <v>2234</v>
      </c>
      <c r="L206" t="s">
        <v>2235</v>
      </c>
      <c r="M206" t="s">
        <v>2236</v>
      </c>
      <c r="N206">
        <f>-677.882344412061 -73.2484066291396 -555.932688193864</f>
        <v>-1307.0634392350646</v>
      </c>
      <c r="O206">
        <f>-656.010680377057 -206.37611580536 -529.507676145511</f>
        <v>-1391.894472327928</v>
      </c>
      <c r="P206">
        <f>-681.49960819706 -265.756454289442 -242.426677390879</f>
        <v>-1189.682739877381</v>
      </c>
      <c r="Q206">
        <f>-508.252348835492 -124.048478190394 -331.618014191512</f>
        <v>-963.91884121739793</v>
      </c>
      <c r="R206" t="s">
        <v>2237</v>
      </c>
      <c r="S206" t="s">
        <v>2238</v>
      </c>
      <c r="T206" t="s">
        <v>2239</v>
      </c>
      <c r="U206" t="s">
        <v>2240</v>
      </c>
      <c r="V206">
        <f>-604.078481491822 -130.604792776673 -97.4402041851226</f>
        <v>-832.12347845361762</v>
      </c>
      <c r="W206" t="s">
        <v>2241</v>
      </c>
      <c r="X206" t="s">
        <v>2242</v>
      </c>
      <c r="Y206" t="s">
        <v>2243</v>
      </c>
    </row>
    <row r="207" spans="1:25" x14ac:dyDescent="0.3">
      <c r="A207">
        <v>10300</v>
      </c>
      <c r="B207" t="s">
        <v>2244</v>
      </c>
      <c r="C207">
        <f>-623.524008223435 -36.3775047410415 -98.6680907273767</f>
        <v>-758.56960369185322</v>
      </c>
      <c r="D207">
        <f>-653.260691882347 -45.2401059125225 -210.262967632829</f>
        <v>-908.76376542769856</v>
      </c>
      <c r="E207">
        <f>-667.906370341644 -48.1310060723852 -307.750444918972</f>
        <v>-1023.7878213330011</v>
      </c>
      <c r="F207">
        <f>-677.353189441139 -48.9701041283478 -396.341029149808</f>
        <v>-1122.6643227192947</v>
      </c>
      <c r="G207">
        <f>-682.648983482636 -47.9629757900594 -485.27457957928</f>
        <v>-1215.8865388519755</v>
      </c>
      <c r="H207">
        <f>-685.68803652698 -44.6190950070384 -609.775223520635</f>
        <v>-1340.0823550546534</v>
      </c>
      <c r="I207">
        <f>-652.146363002164 -37.4917223756659 -685.466527974556</f>
        <v>-1375.104613352386</v>
      </c>
      <c r="J207">
        <f>-689.808511075594 -18.9381842047178 -554.126070136543</f>
        <v>-1262.8727654168547</v>
      </c>
      <c r="K207" t="s">
        <v>2245</v>
      </c>
      <c r="L207" t="s">
        <v>2246</v>
      </c>
      <c r="M207" t="s">
        <v>2247</v>
      </c>
      <c r="N207">
        <f>-678.892800521165 -73.243157384461 -555.851201838451</f>
        <v>-1307.987159744077</v>
      </c>
      <c r="O207">
        <f>-657.131596804892 -206.399083439461 -529.481754326595</f>
        <v>-1393.012434570948</v>
      </c>
      <c r="P207">
        <f>-682.39115544465 -265.626562720978 -242.348967727684</f>
        <v>-1190.366685893312</v>
      </c>
      <c r="Q207">
        <f>-508.972331900402 -124.363117662054 -331.911276667357</f>
        <v>-965.24672622981302</v>
      </c>
      <c r="R207" t="s">
        <v>2248</v>
      </c>
      <c r="S207" t="s">
        <v>2249</v>
      </c>
      <c r="T207" t="s">
        <v>2250</v>
      </c>
      <c r="U207" t="s">
        <v>2251</v>
      </c>
      <c r="V207">
        <f>-604.323580436979 -130.536328905179 -97.4320893628885</f>
        <v>-832.29199870504658</v>
      </c>
      <c r="W207" t="s">
        <v>2252</v>
      </c>
      <c r="X207" t="s">
        <v>2253</v>
      </c>
      <c r="Y207" t="s">
        <v>2254</v>
      </c>
    </row>
    <row r="208" spans="1:25" x14ac:dyDescent="0.3">
      <c r="A208">
        <v>10350</v>
      </c>
      <c r="B208" t="s">
        <v>2255</v>
      </c>
      <c r="C208">
        <f>-623.672657499515 -36.4266217567254 -98.662552766458</f>
        <v>-758.7618320226984</v>
      </c>
      <c r="D208">
        <f>-653.424709833802 -45.3035816101449 -210.252143603449</f>
        <v>-908.98043504739587</v>
      </c>
      <c r="E208">
        <f>-668.128793906852 -48.2048882811574 -307.730483861828</f>
        <v>-1024.0641660498375</v>
      </c>
      <c r="F208">
        <f>-677.646439938323 -49.0527348329005 -396.3134924076</f>
        <v>-1123.0126671788234</v>
      </c>
      <c r="G208">
        <f>-683.031052667189 -48.0549348968916 -485.241878847643</f>
        <v>-1216.3278664117236</v>
      </c>
      <c r="H208">
        <f>-686.212757652785 -44.7244314503014 -609.739166504708</f>
        <v>-1340.6763556077944</v>
      </c>
      <c r="I208">
        <f>-652.73362692222 -37.5896099472852 -685.457546517554</f>
        <v>-1375.7807833870593</v>
      </c>
      <c r="J208">
        <f>-690.250832708571 -19.0335417090264 -554.088615268244</f>
        <v>-1263.3729896858413</v>
      </c>
      <c r="K208" t="s">
        <v>2256</v>
      </c>
      <c r="L208" t="s">
        <v>2257</v>
      </c>
      <c r="M208" t="s">
        <v>2258</v>
      </c>
      <c r="N208">
        <f>-679.374382613954 -73.3462933851494 -555.819516091615</f>
        <v>-1308.5401920907184</v>
      </c>
      <c r="O208">
        <f>-657.673922442806 -206.516070994755 -529.480230272101</f>
        <v>-1393.670223709662</v>
      </c>
      <c r="P208">
        <f>-682.826258949274 -265.720463711187 -242.333304519385</f>
        <v>-1190.8800271798459</v>
      </c>
      <c r="Q208">
        <f>-509.308080068728 -124.588580601713 -331.910535202375</f>
        <v>-965.80719587281601</v>
      </c>
      <c r="R208" t="s">
        <v>2259</v>
      </c>
      <c r="S208" t="s">
        <v>2260</v>
      </c>
      <c r="T208" t="s">
        <v>2261</v>
      </c>
      <c r="U208" t="s">
        <v>2262</v>
      </c>
      <c r="V208">
        <f>-604.485590823939 -130.611166992251 -97.4150712249964</f>
        <v>-832.51182904118639</v>
      </c>
      <c r="W208" t="s">
        <v>2263</v>
      </c>
      <c r="X208" t="s">
        <v>2264</v>
      </c>
      <c r="Y208" t="s">
        <v>2265</v>
      </c>
    </row>
    <row r="209" spans="1:25" x14ac:dyDescent="0.3">
      <c r="A209">
        <v>10400</v>
      </c>
      <c r="B209" t="s">
        <v>2266</v>
      </c>
      <c r="C209">
        <f>-624.024714095221 -36.439497110448 -98.6633766477827</f>
        <v>-759.1275878534517</v>
      </c>
      <c r="D209">
        <f>-653.822173667469 -45.3028736169765 -210.241815768897</f>
        <v>-909.36686305334251</v>
      </c>
      <c r="E209">
        <f>-668.633728740204 -48.209338954882 -307.703812311422</f>
        <v>-1024.546880006508</v>
      </c>
      <c r="F209">
        <f>-678.27618457882 -49.069540039254 -396.273238867062</f>
        <v>-1123.618963485136</v>
      </c>
      <c r="G209">
        <f>-683.813027406287 -48.0917530706963 -485.192396376858</f>
        <v>-1217.0971768538413</v>
      </c>
      <c r="H209">
        <f>-687.236250646813 -44.7986259598389 -609.684364326663</f>
        <v>-1341.7192409333147</v>
      </c>
      <c r="I209">
        <f>-653.885771428409 -37.669559346333 -685.46005429472</f>
        <v>-1377.0153850694619</v>
      </c>
      <c r="J209">
        <f>-691.140205508838 -19.0859443543541 -554.034266504615</f>
        <v>-1264.260416367807</v>
      </c>
      <c r="K209" t="s">
        <v>2267</v>
      </c>
      <c r="L209" t="s">
        <v>2268</v>
      </c>
      <c r="M209" t="s">
        <v>2269</v>
      </c>
      <c r="N209">
        <f>-680.319498426266 -73.4097168807508 -555.768815181283</f>
        <v>-1309.4980304882997</v>
      </c>
      <c r="O209">
        <f>-658.673286703998 -206.596921265704 -529.465939787797</f>
        <v>-1394.7361477574989</v>
      </c>
      <c r="P209">
        <f>-683.681560739208 -265.841814435448 -242.31475091076</f>
        <v>-1191.838126085416</v>
      </c>
      <c r="Q209">
        <f>-510.112155426396 -124.721753939374 -331.811499398568</f>
        <v>-966.64540876433796</v>
      </c>
      <c r="R209" t="s">
        <v>2270</v>
      </c>
      <c r="S209" t="s">
        <v>2271</v>
      </c>
      <c r="T209" t="s">
        <v>2272</v>
      </c>
      <c r="U209" t="s">
        <v>2273</v>
      </c>
      <c r="V209">
        <f>-604.904331338323 -130.661983898626 -97.4151434815818</f>
        <v>-832.9814587185308</v>
      </c>
      <c r="W209" t="s">
        <v>2274</v>
      </c>
      <c r="X209" t="s">
        <v>2275</v>
      </c>
      <c r="Y209" t="s">
        <v>2276</v>
      </c>
    </row>
    <row r="210" spans="1:25" x14ac:dyDescent="0.3">
      <c r="A210">
        <v>10450</v>
      </c>
      <c r="B210" t="s">
        <v>2277</v>
      </c>
      <c r="C210">
        <f>-624.190899300101 -36.4157796292313 -98.6690839344658</f>
        <v>-759.27576286379815</v>
      </c>
      <c r="D210">
        <f>-654.010404159418 -45.2798196106213 -210.241666023608</f>
        <v>-909.53188979364734</v>
      </c>
      <c r="E210">
        <f>-668.868141459204 -48.1930578178197 -307.696385351773</f>
        <v>-1024.7575846287968</v>
      </c>
      <c r="F210">
        <f>-678.563460230865 -49.0620161651676 -396.259841164259</f>
        <v>-1123.8853175602917</v>
      </c>
      <c r="G210">
        <f>-684.164233351747 -48.0958892619342 -485.175258331573</f>
        <v>-1217.4353809452541</v>
      </c>
      <c r="H210">
        <f>-687.688231710108 -44.8218325242749 -609.66494993522</f>
        <v>-1342.1750141696029</v>
      </c>
      <c r="I210">
        <f>-654.396116337804 -37.7089674545039 -685.467772850809</f>
        <v>-1377.5728566431167</v>
      </c>
      <c r="J210">
        <f>-691.537777620227 -19.0987116209249 -554.015908512726</f>
        <v>-1264.6523977538777</v>
      </c>
      <c r="K210" t="s">
        <v>2278</v>
      </c>
      <c r="L210" t="s">
        <v>2279</v>
      </c>
      <c r="M210" t="s">
        <v>2280</v>
      </c>
      <c r="N210">
        <f>-680.73718611221 -73.4265071336729 -555.750511359481</f>
        <v>-1309.9142046053639</v>
      </c>
      <c r="O210">
        <f>-659.115647434604 -206.617332726172 -529.466723137038</f>
        <v>-1395.199703297814</v>
      </c>
      <c r="P210">
        <f>-684.084150753384 -265.859690605393 -242.311487687327</f>
        <v>-1192.255329046104</v>
      </c>
      <c r="Q210">
        <f>-510.522100200671 -124.687791189377 -331.740823235019</f>
        <v>-966.95071462506701</v>
      </c>
      <c r="R210" t="s">
        <v>2281</v>
      </c>
      <c r="S210" t="s">
        <v>2282</v>
      </c>
      <c r="T210" t="s">
        <v>2283</v>
      </c>
      <c r="U210" t="s">
        <v>2284</v>
      </c>
      <c r="V210">
        <f>-605.087623280303 -130.613607349117 -97.4242760711874</f>
        <v>-833.12550670060739</v>
      </c>
      <c r="W210" t="s">
        <v>2285</v>
      </c>
      <c r="X210" t="s">
        <v>2286</v>
      </c>
      <c r="Y210" t="s">
        <v>2287</v>
      </c>
    </row>
    <row r="211" spans="1:25" x14ac:dyDescent="0.3">
      <c r="A211">
        <v>10500</v>
      </c>
      <c r="B211" t="s">
        <v>2288</v>
      </c>
      <c r="C211">
        <f>-624.347500098275 -36.5142844077038 -98.6713482314375</f>
        <v>-759.53313273741628</v>
      </c>
      <c r="D211">
        <f>-654.180321193586 -45.3820097993465 -210.240076157987</f>
        <v>-909.80240715091952</v>
      </c>
      <c r="E211">
        <f>-669.075869933471 -48.302818936044 -307.688768734705</f>
        <v>-1025.06745760422</v>
      </c>
      <c r="F211">
        <f>-678.815843915928 -49.1807130286829 -396.247269332008</f>
        <v>-1124.2438262766188</v>
      </c>
      <c r="G211">
        <f>-684.471638628082 -48.2261758751138 -485.159259165542</f>
        <v>-1217.8570736687377</v>
      </c>
      <c r="H211">
        <f>-688.083171601966 -44.9715637462158 -609.646883580777</f>
        <v>-1342.7016189289589</v>
      </c>
      <c r="I211">
        <f>-654.839156554093 -37.8787770403574 -685.472827094493</f>
        <v>-1378.1907606889436</v>
      </c>
      <c r="J211">
        <f>-691.881372122687 -19.2373518664922 -553.999540505232</f>
        <v>-1265.1182644944111</v>
      </c>
      <c r="K211" t="s">
        <v>2289</v>
      </c>
      <c r="L211" t="s">
        <v>2290</v>
      </c>
      <c r="M211" t="s">
        <v>2291</v>
      </c>
      <c r="N211">
        <f>-681.106481758727 -73.5701872593086 -555.732633531058</f>
        <v>-1310.4093025490936</v>
      </c>
      <c r="O211">
        <f>-659.489894582182 -206.770914169192 -529.469934461854</f>
        <v>-1395.7307432132279</v>
      </c>
      <c r="P211">
        <f>-684.401791740927 -266.011019284195 -242.309401097136</f>
        <v>-1192.722212122258</v>
      </c>
      <c r="Q211">
        <f>-510.874562873474 -124.75151058945 -331.667938284361</f>
        <v>-967.29401174728514</v>
      </c>
      <c r="R211" t="s">
        <v>2292</v>
      </c>
      <c r="S211" t="s">
        <v>2293</v>
      </c>
      <c r="T211" t="s">
        <v>2294</v>
      </c>
      <c r="U211" t="s">
        <v>2295</v>
      </c>
      <c r="V211">
        <f>-605.258131027877 -130.759780965185 -97.4237910929007</f>
        <v>-833.44170308596267</v>
      </c>
      <c r="W211" t="s">
        <v>2296</v>
      </c>
      <c r="X211" t="s">
        <v>2297</v>
      </c>
      <c r="Y211" t="s">
        <v>2298</v>
      </c>
    </row>
    <row r="212" spans="1:25" x14ac:dyDescent="0.3">
      <c r="A212">
        <v>10550</v>
      </c>
      <c r="B212" t="s">
        <v>2299</v>
      </c>
      <c r="C212">
        <f>-624.613917476925 -36.4623482693719 -98.6733867690374</f>
        <v>-759.74965251533433</v>
      </c>
      <c r="D212">
        <f>-654.473391196238 -45.3276934462865 -210.235193525748</f>
        <v>-910.03627816827247</v>
      </c>
      <c r="E212">
        <f>-669.445199808095 -48.2485002339048 -307.6723022262</f>
        <v>-1025.3660022681997</v>
      </c>
      <c r="F212">
        <f>-679.275398008284 -49.1287347413111 -396.220750886039</f>
        <v>-1124.624883635634</v>
      </c>
      <c r="G212">
        <f>-685.042348439836 -48.179642080534 -485.125669222074</f>
        <v>-1218.347659742444</v>
      </c>
      <c r="H212">
        <f>-688.83070944796 -44.9363887782806 -609.608425888396</f>
        <v>-1343.3755241146366</v>
      </c>
      <c r="I212">
        <f>-655.664093297 -37.876175979329 -685.47106729308</f>
        <v>-1379.011336569409</v>
      </c>
      <c r="J212">
        <f>-692.528337860322 -19.1927506823688 -553.958473746156</f>
        <v>-1265.6795622888467</v>
      </c>
      <c r="K212" t="s">
        <v>2300</v>
      </c>
      <c r="L212" t="s">
        <v>2301</v>
      </c>
      <c r="M212" t="s">
        <v>2302</v>
      </c>
      <c r="N212">
        <f>-681.798897148182 -73.5343761728099 -555.700882548238</f>
        <v>-1311.0341558692298</v>
      </c>
      <c r="O212">
        <f>-660.219132035423 -206.752618701819 -529.504157591962</f>
        <v>-1396.4759083292038</v>
      </c>
      <c r="P212">
        <f>-684.998375627406 -266.159852867283 -242.366538634873</f>
        <v>-1193.524767129562</v>
      </c>
      <c r="Q212">
        <f>-511.683885645911 -124.520115602013 -331.535833083956</f>
        <v>-967.73983433188005</v>
      </c>
      <c r="R212" t="s">
        <v>2303</v>
      </c>
      <c r="S212" t="s">
        <v>2304</v>
      </c>
      <c r="T212" t="s">
        <v>2305</v>
      </c>
      <c r="U212" t="s">
        <v>2306</v>
      </c>
      <c r="V212">
        <f>-605.514440122377 -130.624365549303 -97.4279152995242</f>
        <v>-833.56672097120418</v>
      </c>
      <c r="W212" t="s">
        <v>2307</v>
      </c>
      <c r="X212" t="s">
        <v>2308</v>
      </c>
      <c r="Y212" t="s">
        <v>2309</v>
      </c>
    </row>
    <row r="213" spans="1:25" x14ac:dyDescent="0.3">
      <c r="A213">
        <v>10600</v>
      </c>
      <c r="B213" t="s">
        <v>2310</v>
      </c>
      <c r="C213">
        <f>-624.725408103405 -36.5249095812067 -98.66497031202</f>
        <v>-759.91528799663172</v>
      </c>
      <c r="D213">
        <f>-654.58522514246 -45.3891480336935 -210.226730999294</f>
        <v>-910.20110417544743</v>
      </c>
      <c r="E213">
        <f>-669.604471222282 -48.2926552727439 -307.656984103847</f>
        <v>-1025.5541105988727</v>
      </c>
      <c r="F213">
        <f>-679.496324167499 -49.1513003563756 -396.198796011993</f>
        <v>-1124.8464205358675</v>
      </c>
      <c r="G213">
        <f>-685.343616866062 -48.175411286485 -485.098140077051</f>
        <v>-1218.6171682295981</v>
      </c>
      <c r="H213">
        <f>-689.263814992319 -44.8892649963251 -609.575626603861</f>
        <v>-1343.7287065925052</v>
      </c>
      <c r="I213">
        <f>-656.150687899445 -37.8301130042228 -685.461908933816</f>
        <v>-1379.4427098374836</v>
      </c>
      <c r="J213">
        <f>-692.893677925235 -19.1630682751886 -553.913321377445</f>
        <v>-1265.9700675778686</v>
      </c>
      <c r="K213" t="s">
        <v>2311</v>
      </c>
      <c r="L213" t="s">
        <v>2312</v>
      </c>
      <c r="M213" t="s">
        <v>2313</v>
      </c>
      <c r="N213">
        <f>-682.183877745492 -73.507629696947 -555.685150964323</f>
        <v>-1311.3766584067621</v>
      </c>
      <c r="O213">
        <f>-660.621944316744 -206.748498314453 -529.571189028233</f>
        <v>-1396.94163165943</v>
      </c>
      <c r="P213">
        <f>-685.241560140718 -266.415760488539 -242.473730691802</f>
        <v>-1194.131051321059</v>
      </c>
      <c r="Q213">
        <f>-512.040249667207 -124.49482583182 -331.41562353259</f>
        <v>-967.95069903161698</v>
      </c>
      <c r="R213" t="s">
        <v>2314</v>
      </c>
      <c r="S213" t="s">
        <v>2315</v>
      </c>
      <c r="T213" t="s">
        <v>2316</v>
      </c>
      <c r="U213" t="s">
        <v>2317</v>
      </c>
      <c r="V213">
        <f>-605.593134360084 -130.769606470047 -97.4242467712254</f>
        <v>-833.78698760135649</v>
      </c>
      <c r="W213" t="s">
        <v>2318</v>
      </c>
      <c r="X213" t="s">
        <v>2319</v>
      </c>
      <c r="Y213" t="s">
        <v>2320</v>
      </c>
    </row>
    <row r="214" spans="1:25" x14ac:dyDescent="0.3">
      <c r="A214">
        <v>10650</v>
      </c>
      <c r="B214" t="s">
        <v>2321</v>
      </c>
      <c r="C214">
        <f>-624.756015881062 -36.5724098622716 -98.6630466665786</f>
        <v>-759.99147240991215</v>
      </c>
      <c r="D214">
        <f>-654.609756151357 -45.4279042718656 -210.227126960569</f>
        <v>-910.2647873837916</v>
      </c>
      <c r="E214">
        <f>-669.639855985171 -48.3137152767943 -307.656211000589</f>
        <v>-1025.6097822625543</v>
      </c>
      <c r="F214">
        <f>-679.548011174612 -49.1528429415347 -396.196463557265</f>
        <v>-1124.8973176734116</v>
      </c>
      <c r="G214">
        <f>-685.418122230737 -48.1535256232319 -485.094116053678</f>
        <v>-1218.665763907647</v>
      </c>
      <c r="H214">
        <f>-689.376867743095 -44.8307002666585 -609.569440519981</f>
        <v>-1343.7770085297343</v>
      </c>
      <c r="I214">
        <f>-656.28649349775 -37.7553324655789 -685.463998535</f>
        <v>-1379.5058244983288</v>
      </c>
      <c r="J214">
        <f>-692.988419394845 -19.1207455804229 -553.898337225448</f>
        <v>-1266.0075022007159</v>
      </c>
      <c r="K214" t="s">
        <v>2322</v>
      </c>
      <c r="L214" t="s">
        <v>2323</v>
      </c>
      <c r="M214" t="s">
        <v>2324</v>
      </c>
      <c r="N214">
        <f>-682.281180299769 -73.4651364337781 -555.689630471061</f>
        <v>-1311.4359472046081</v>
      </c>
      <c r="O214">
        <f>-660.706295547942 -206.710298155767 -529.622811666032</f>
        <v>-1397.039405369741</v>
      </c>
      <c r="P214">
        <f>-685.319245282294 -266.480862293871 -242.546401031722</f>
        <v>-1194.346508607887</v>
      </c>
      <c r="Q214">
        <f>-512.127390285066 -124.523514191865 -331.448288262522</f>
        <v>-968.09919273945297</v>
      </c>
      <c r="R214" t="s">
        <v>2325</v>
      </c>
      <c r="S214" t="s">
        <v>2326</v>
      </c>
      <c r="T214" t="s">
        <v>2327</v>
      </c>
      <c r="U214" t="s">
        <v>2328</v>
      </c>
      <c r="V214">
        <f>-605.641728356896 -130.835105641912 -97.4253483188661</f>
        <v>-833.90218231767415</v>
      </c>
      <c r="W214" t="s">
        <v>2329</v>
      </c>
      <c r="X214" t="s">
        <v>2330</v>
      </c>
      <c r="Y214" t="s">
        <v>2331</v>
      </c>
    </row>
    <row r="215" spans="1:25" x14ac:dyDescent="0.3">
      <c r="A215">
        <v>10700</v>
      </c>
      <c r="B215" t="s">
        <v>2332</v>
      </c>
      <c r="C215">
        <f>-624.813791774012 -36.490702651816 -98.65233163556</f>
        <v>-759.95682606138803</v>
      </c>
      <c r="D215">
        <f>-654.641382599877 -45.3277235687663 -210.224924232501</f>
        <v>-910.19403040114435</v>
      </c>
      <c r="E215">
        <f>-669.6957325592 -48.2006635292333 -307.650664956956</f>
        <v>-1025.5470610453895</v>
      </c>
      <c r="F215">
        <f>-679.644994570478 -49.029017103346 -396.186323086236</f>
        <v>-1124.8603347600599</v>
      </c>
      <c r="G215">
        <f>-685.575308427316 -48.0201674232973 -485.079783211491</f>
        <v>-1218.6752590621043</v>
      </c>
      <c r="H215">
        <f>-689.63851345305 -44.6855306314015 -609.551379403124</f>
        <v>-1343.8754234875755</v>
      </c>
      <c r="I215">
        <f>-656.590139083449 -37.5838870619614 -685.461850106622</f>
        <v>-1379.6358762520324</v>
      </c>
      <c r="J215">
        <f>-693.199765378755 -18.9801695391736 -553.875079421065</f>
        <v>-1266.0550143389937</v>
      </c>
      <c r="K215" t="s">
        <v>2333</v>
      </c>
      <c r="L215" t="s">
        <v>2334</v>
      </c>
      <c r="M215" t="s">
        <v>2335</v>
      </c>
      <c r="N215">
        <f>-682.501212266206 -73.3257834226265 -555.680212314486</f>
        <v>-1311.5072080033185</v>
      </c>
      <c r="O215">
        <f>-660.895653212614 -206.575771226705 -529.675926834409</f>
        <v>-1397.147351273728</v>
      </c>
      <c r="P215">
        <f>-685.433943208215 -266.43633767344 -242.611901595067</f>
        <v>-1194.4821824767221</v>
      </c>
      <c r="Q215">
        <f>-512.252238733443 -124.485543484959 -331.544063798004</f>
        <v>-968.28184601640601</v>
      </c>
      <c r="R215" t="s">
        <v>2336</v>
      </c>
      <c r="S215" t="s">
        <v>2337</v>
      </c>
      <c r="T215" t="s">
        <v>2338</v>
      </c>
      <c r="U215" t="s">
        <v>2339</v>
      </c>
      <c r="V215">
        <f>-605.686488203383 -130.700374645361 -97.4285395537447</f>
        <v>-833.81540240248864</v>
      </c>
      <c r="W215" t="s">
        <v>2340</v>
      </c>
      <c r="X215" t="s">
        <v>2341</v>
      </c>
      <c r="Y215" t="s">
        <v>2342</v>
      </c>
    </row>
    <row r="216" spans="1:25" x14ac:dyDescent="0.3">
      <c r="A216">
        <v>10750</v>
      </c>
      <c r="B216" t="s">
        <v>2343</v>
      </c>
      <c r="C216">
        <f>-624.817281868875 -36.5241982894768 -98.6318429951182</f>
        <v>-759.97332315347001</v>
      </c>
      <c r="D216">
        <f>-654.640482553051 -45.3556019227066 -210.206070117537</f>
        <v>-910.20215459329461</v>
      </c>
      <c r="E216">
        <f>-669.708910107106 -48.2243186397895 -307.629711498394</f>
        <v>-1025.5629402452896</v>
      </c>
      <c r="F216">
        <f>-679.678009245457 -49.0493191734333 -396.16329215048</f>
        <v>-1124.8906205693704</v>
      </c>
      <c r="G216">
        <f>-685.635805243533 -48.0372236628847 -485.054893770195</f>
        <v>-1218.7279226766127</v>
      </c>
      <c r="H216">
        <f>-689.745044195867 -44.6980241061548 -609.524870628294</f>
        <v>-1343.9679389303158</v>
      </c>
      <c r="I216">
        <f>-656.710946672971 -37.5808454833912 -685.440108954666</f>
        <v>-1379.731901111028</v>
      </c>
      <c r="J216">
        <f>-693.290875079239 -18.9955756174206 -553.846106044796</f>
        <v>-1266.1325567414556</v>
      </c>
      <c r="K216" t="s">
        <v>2344</v>
      </c>
      <c r="L216" t="s">
        <v>2345</v>
      </c>
      <c r="M216" t="s">
        <v>2346</v>
      </c>
      <c r="N216">
        <f>-682.582725324793 -73.3392045688965 -555.657487420879</f>
        <v>-1311.5794173145687</v>
      </c>
      <c r="O216">
        <f>-660.942219747369 -206.589058094101 -529.677885119554</f>
        <v>-1397.209162961024</v>
      </c>
      <c r="P216">
        <f>-685.403340110101 -266.548875858307 -242.627939905768</f>
        <v>-1194.5801558741759</v>
      </c>
      <c r="Q216">
        <f>-512.3000575155 -124.511626951128 -331.57511159261</f>
        <v>-968.38679605923812</v>
      </c>
      <c r="R216" t="s">
        <v>2347</v>
      </c>
      <c r="S216" t="s">
        <v>2348</v>
      </c>
      <c r="T216" t="s">
        <v>2349</v>
      </c>
      <c r="U216" t="s">
        <v>2350</v>
      </c>
      <c r="V216">
        <f>-605.683968092153 -130.753192779481 -97.426544027919</f>
        <v>-833.863704899553</v>
      </c>
      <c r="W216" t="s">
        <v>2351</v>
      </c>
      <c r="X216" t="s">
        <v>2352</v>
      </c>
      <c r="Y216" t="s">
        <v>2353</v>
      </c>
    </row>
    <row r="217" spans="1:25" x14ac:dyDescent="0.3">
      <c r="A217">
        <v>10800</v>
      </c>
      <c r="B217" t="s">
        <v>2354</v>
      </c>
      <c r="C217">
        <f>-624.762083781735 -36.4625101253916 -98.6195163278751</f>
        <v>-759.84411023500172</v>
      </c>
      <c r="D217">
        <f>-654.585866575719 -45.281468076829 -210.194637842289</f>
        <v>-910.06197249483705</v>
      </c>
      <c r="E217">
        <f>-669.672770645153 -48.1441516598845 -307.615459447985</f>
        <v>-1025.4323817530226</v>
      </c>
      <c r="F217">
        <f>-679.666133129285 -48.9654533919866 -396.146205494817</f>
        <v>-1124.7777920160886</v>
      </c>
      <c r="G217">
        <f>-685.655644418674 -47.9513720758088 -485.035769932244</f>
        <v>-1218.6427864267268</v>
      </c>
      <c r="H217">
        <f>-689.817334475016 -44.6110302862389 -609.504064084303</f>
        <v>-1343.9324288455578</v>
      </c>
      <c r="I217">
        <f>-656.786028568996 -37.4724069432714 -685.41850656602</f>
        <v>-1379.6769420782875</v>
      </c>
      <c r="J217">
        <f>-693.349948095532 -18.9112164797098 -553.823131221995</f>
        <v>-1266.0842957972368</v>
      </c>
      <c r="K217" t="s">
        <v>2355</v>
      </c>
      <c r="L217" t="s">
        <v>2356</v>
      </c>
      <c r="M217" t="s">
        <v>2357</v>
      </c>
      <c r="N217">
        <f>-682.622059197825 -73.2505927763453 -555.640193395734</f>
        <v>-1311.5128453699044</v>
      </c>
      <c r="O217">
        <f>-660.889185858227 -206.493286214953 -529.703335779737</f>
        <v>-1397.085807852917</v>
      </c>
      <c r="P217">
        <f>-685.231495205821 -266.507252397823 -242.654509698771</f>
        <v>-1194.3932573024149</v>
      </c>
      <c r="Q217">
        <f>-512.267649318833 -124.274118723592 -331.559682963301</f>
        <v>-968.10145100572595</v>
      </c>
      <c r="R217" t="s">
        <v>2358</v>
      </c>
      <c r="S217" t="s">
        <v>2359</v>
      </c>
      <c r="T217" t="s">
        <v>2360</v>
      </c>
      <c r="U217" t="s">
        <v>2361</v>
      </c>
      <c r="V217">
        <f>-605.608358480212 -130.612608001623 -97.4355503477532</f>
        <v>-833.65651682958821</v>
      </c>
      <c r="W217" t="s">
        <v>2362</v>
      </c>
      <c r="X217" t="s">
        <v>2363</v>
      </c>
      <c r="Y217" t="s">
        <v>2364</v>
      </c>
    </row>
    <row r="218" spans="1:25" x14ac:dyDescent="0.3">
      <c r="A218">
        <v>10850</v>
      </c>
      <c r="B218" t="s">
        <v>2365</v>
      </c>
      <c r="C218">
        <f>-624.755715465455 -36.3757261228875 -98.6167869235793</f>
        <v>-759.74822851192175</v>
      </c>
      <c r="D218">
        <f>-654.570262357198 -45.1855287426206 -210.19495937893</f>
        <v>-909.95075047874855</v>
      </c>
      <c r="E218">
        <f>-669.671134686194 -48.0409459567276 -307.614004113199</f>
        <v>-1025.3260847561205</v>
      </c>
      <c r="F218">
        <f>-679.685985648328 -48.8562931535437 -396.142434126453</f>
        <v>-1124.6847129283246</v>
      </c>
      <c r="G218">
        <f>-685.705787202721 -47.836460939977 -485.029736546267</f>
        <v>-1218.5719846889649</v>
      </c>
      <c r="H218">
        <f>-689.919302851582 -44.4885079542288 -609.496039046246</f>
        <v>-1343.9038498520567</v>
      </c>
      <c r="I218">
        <f>-656.885150921913 -37.3339933884072 -685.407792204776</f>
        <v>-1379.6269365150961</v>
      </c>
      <c r="J218">
        <f>-693.439451560958 -18.7942189934251 -553.811863611552</f>
        <v>-1266.0455341659351</v>
      </c>
      <c r="K218" t="s">
        <v>2366</v>
      </c>
      <c r="L218" t="s">
        <v>2367</v>
      </c>
      <c r="M218" t="s">
        <v>2368</v>
      </c>
      <c r="N218">
        <f>-682.690755102698 -73.129247725239 -555.637334218555</f>
        <v>-1311.4573370464918</v>
      </c>
      <c r="O218">
        <f>-660.874330166311 -206.369581658517 -529.726912485761</f>
        <v>-1396.970824310589</v>
      </c>
      <c r="P218">
        <f>-685.116669457291 -266.491165303753 -242.692270172992</f>
        <v>-1194.300104934036</v>
      </c>
      <c r="Q218">
        <f>-512.220321262157 -124.150026371055 -331.555813410029</f>
        <v>-967.92616104324088</v>
      </c>
      <c r="R218" t="s">
        <v>2369</v>
      </c>
      <c r="S218" t="s">
        <v>2370</v>
      </c>
      <c r="T218" t="s">
        <v>2371</v>
      </c>
      <c r="U218" t="s">
        <v>2372</v>
      </c>
      <c r="V218">
        <f>-605.589259382777 -130.494418125753 -97.4445400548694</f>
        <v>-833.52821756339938</v>
      </c>
      <c r="W218" t="s">
        <v>2373</v>
      </c>
      <c r="X218" t="s">
        <v>2374</v>
      </c>
      <c r="Y218" t="s">
        <v>2375</v>
      </c>
    </row>
    <row r="219" spans="1:25" x14ac:dyDescent="0.3">
      <c r="A219">
        <v>10900</v>
      </c>
      <c r="B219" t="s">
        <v>2376</v>
      </c>
      <c r="C219">
        <f>-624.686632156596 -36.5180330604794 -98.6054025313196</f>
        <v>-759.810067748395</v>
      </c>
      <c r="D219">
        <f>-654.490183437219 -45.3143421143837 -210.18764859018</f>
        <v>-909.9921741417827</v>
      </c>
      <c r="E219">
        <f>-669.588463535539 -48.1478491484627 -307.607685322744</f>
        <v>-1025.3439980067456</v>
      </c>
      <c r="F219">
        <f>-679.603757293868 -48.9387644300861 -396.136207575939</f>
        <v>-1124.6787292998929</v>
      </c>
      <c r="G219">
        <f>-685.627439970038 -47.8900269969437 -485.023102570669</f>
        <v>-1218.5405695376508</v>
      </c>
      <c r="H219">
        <f>-689.849590349587 -44.4961926562465 -609.487657612548</f>
        <v>-1343.8334406183815</v>
      </c>
      <c r="I219">
        <f>-656.811337284663 -37.3118389144238 -685.394784362904</f>
        <v>-1379.5179605619908</v>
      </c>
      <c r="J219">
        <f>-693.380784031202 -18.8252625123414 -553.793484593102</f>
        <v>-1265.9995311366454</v>
      </c>
      <c r="K219" t="s">
        <v>2377</v>
      </c>
      <c r="L219" t="s">
        <v>2378</v>
      </c>
      <c r="M219" t="s">
        <v>2379</v>
      </c>
      <c r="N219">
        <f>-682.602404230061 -73.1538109311529 -555.640432680831</f>
        <v>-1311.3966478420448</v>
      </c>
      <c r="O219">
        <f>-660.731112919072 -206.388761437044 -529.771646232047</f>
        <v>-1396.8915205881631</v>
      </c>
      <c r="P219">
        <f>-684.981169037885 -266.604135990345 -242.757170326674</f>
        <v>-1194.3424753549041</v>
      </c>
      <c r="Q219">
        <f>-512.104297882227 -124.199668453881 -331.557067326725</f>
        <v>-967.86103366283305</v>
      </c>
      <c r="R219" t="s">
        <v>2380</v>
      </c>
      <c r="S219" t="s">
        <v>2381</v>
      </c>
      <c r="T219" t="s">
        <v>2382</v>
      </c>
      <c r="U219" t="s">
        <v>2383</v>
      </c>
      <c r="V219">
        <f>-605.488257270417 -130.736121352808 -97.4379535598914</f>
        <v>-833.6623321831164</v>
      </c>
      <c r="W219" t="s">
        <v>2384</v>
      </c>
      <c r="X219" t="s">
        <v>2385</v>
      </c>
      <c r="Y219" t="s">
        <v>2386</v>
      </c>
    </row>
    <row r="220" spans="1:25" x14ac:dyDescent="0.3">
      <c r="A220">
        <v>10950</v>
      </c>
      <c r="B220" t="s">
        <v>2387</v>
      </c>
      <c r="C220">
        <f>-624.621899522418 -36.4840927791699 -98.5967025253958</f>
        <v>-759.7026948269837</v>
      </c>
      <c r="D220">
        <f>-654.396634883339 -45.280154338604 -210.186620398987</f>
        <v>-909.86340962092993</v>
      </c>
      <c r="E220">
        <f>-669.474687997407 -48.1071630933469 -307.610088354211</f>
        <v>-1025.1919394449649</v>
      </c>
      <c r="F220">
        <f>-679.473699224562 -48.8898797030413 -396.140479337524</f>
        <v>-1124.5040582651272</v>
      </c>
      <c r="G220">
        <f>-685.482899301859 -47.8300736711421 -485.028150599093</f>
        <v>-1218.3411235720941</v>
      </c>
      <c r="H220">
        <f>-689.686935568616 -44.4182660691229 -609.493044273009</f>
        <v>-1343.5982459107479</v>
      </c>
      <c r="I220">
        <f>-656.642156392502 -37.2173115990602 -685.395672713611</f>
        <v>-1379.2551407051733</v>
      </c>
      <c r="J220">
        <f>-693.231442925548 -18.7565261100963 -553.795371521384</f>
        <v>-1265.7833405570282</v>
      </c>
      <c r="K220" t="s">
        <v>2388</v>
      </c>
      <c r="L220" t="s">
        <v>2389</v>
      </c>
      <c r="M220" t="s">
        <v>2390</v>
      </c>
      <c r="N220">
        <f>-682.442495507753 -73.0826905273133 -555.648978305688</f>
        <v>-1311.1741643407545</v>
      </c>
      <c r="O220">
        <f>-660.557957074662 -206.318804447532 -529.804573849837</f>
        <v>-1396.6813353720308</v>
      </c>
      <c r="P220">
        <f>-684.859300815508 -266.637199188484 -242.81621398621</f>
        <v>-1194.3127139902019</v>
      </c>
      <c r="Q220">
        <f>-511.976088216269 -124.204222955471 -331.558137213615</f>
        <v>-967.73844838535501</v>
      </c>
      <c r="R220" t="s">
        <v>2391</v>
      </c>
      <c r="S220" t="s">
        <v>2392</v>
      </c>
      <c r="T220" t="s">
        <v>2393</v>
      </c>
      <c r="U220" t="s">
        <v>2394</v>
      </c>
      <c r="V220">
        <f>-605.427217766726 -130.632617145493 -97.4339994259306</f>
        <v>-833.49383433814955</v>
      </c>
      <c r="W220" t="s">
        <v>2395</v>
      </c>
      <c r="X220" t="s">
        <v>2396</v>
      </c>
      <c r="Y220" t="s">
        <v>2397</v>
      </c>
    </row>
    <row r="221" spans="1:25" x14ac:dyDescent="0.3">
      <c r="A221">
        <v>11000</v>
      </c>
      <c r="B221" t="s">
        <v>2398</v>
      </c>
      <c r="C221">
        <f>-624.466061038512 -36.366546374416 -98.5759383597607</f>
        <v>-759.40854577268863</v>
      </c>
      <c r="D221">
        <f>-654.158316144794 -45.1310500392201 -210.190279492833</f>
        <v>-909.4796456768471</v>
      </c>
      <c r="E221">
        <f>-669.151519026181 -47.9267721568347 -307.627739318784</f>
        <v>-1024.7060305017997</v>
      </c>
      <c r="F221">
        <f>-679.068535169524 -48.6788937008383 -396.167729183495</f>
        <v>-1123.9151580538573</v>
      </c>
      <c r="G221">
        <f>-684.990540575494 -47.5862838095813 -485.060714231589</f>
        <v>-1217.6375386166644</v>
      </c>
      <c r="H221">
        <f>-689.067584525146 -44.1256200628899 -609.5284278516</f>
        <v>-1342.7216324396359</v>
      </c>
      <c r="I221">
        <f>-655.968837821538 -36.8810134409525 -685.403462407056</f>
        <v>-1378.2533136695465</v>
      </c>
      <c r="J221">
        <f>-692.67180930319 -18.4864240575478 -553.824452642782</f>
        <v>-1264.9826860035198</v>
      </c>
      <c r="K221" t="s">
        <v>2399</v>
      </c>
      <c r="L221" t="s">
        <v>2400</v>
      </c>
      <c r="M221" t="s">
        <v>2401</v>
      </c>
      <c r="N221">
        <f>-681.875116645126 -72.8106104521971 -555.688397207914</f>
        <v>-1310.3741243052373</v>
      </c>
      <c r="O221">
        <f>-660.017812311849 -206.053880580949 -529.85740598416</f>
        <v>-1395.9290988769581</v>
      </c>
      <c r="P221">
        <f>-684.472877696472 -266.496241764693 -242.908054700355</f>
        <v>-1193.8771741615201</v>
      </c>
      <c r="Q221">
        <f>-511.601248288964 -123.990525600311 -331.555803258292</f>
        <v>-967.14757714756684</v>
      </c>
      <c r="R221" t="s">
        <v>2402</v>
      </c>
      <c r="S221" t="s">
        <v>2403</v>
      </c>
      <c r="T221" t="s">
        <v>2404</v>
      </c>
      <c r="U221" t="s">
        <v>2405</v>
      </c>
      <c r="V221">
        <f>-605.295444995422 -130.46332251874 -97.4300909988169</f>
        <v>-833.18885851297898</v>
      </c>
      <c r="W221" t="s">
        <v>2406</v>
      </c>
      <c r="X221" t="s">
        <v>2407</v>
      </c>
      <c r="Y221" t="s">
        <v>2408</v>
      </c>
    </row>
    <row r="222" spans="1:25" x14ac:dyDescent="0.3">
      <c r="A222">
        <v>11050</v>
      </c>
      <c r="B222" t="s">
        <v>2409</v>
      </c>
      <c r="C222">
        <f>-624.373857271745 -36.2943579020612 -98.5751799534505</f>
        <v>-759.24339512725669</v>
      </c>
      <c r="D222">
        <f>-654.02808756604 -45.0506818259672 -210.200335221342</f>
        <v>-909.2791046133492</v>
      </c>
      <c r="E222">
        <f>-668.96346285939 -47.8342773836015 -307.646953867594</f>
        <v>-1024.4446941105855</v>
      </c>
      <c r="F222">
        <f>-678.818165418848 -48.5733283530061 -396.194083089042</f>
        <v>-1123.5855768608963</v>
      </c>
      <c r="G222">
        <f>-684.667822691974 -47.4649629257596 -485.091691323913</f>
        <v>-1217.2244769416466</v>
      </c>
      <c r="H222">
        <f>-688.633383606211 -43.9798292831952 -609.562431627855</f>
        <v>-1342.1756445172612</v>
      </c>
      <c r="I222">
        <f>-655.481774930386 -36.7155513276339 -685.412424952755</f>
        <v>-1377.6097512107749</v>
      </c>
      <c r="J222">
        <f>-692.289433437385 -18.351949825781 -553.856369261272</f>
        <v>-1264.4977525244381</v>
      </c>
      <c r="K222" t="s">
        <v>2410</v>
      </c>
      <c r="L222" t="s">
        <v>2411</v>
      </c>
      <c r="M222" t="s">
        <v>2412</v>
      </c>
      <c r="N222">
        <f>-681.487201137618 -72.674987194243 -555.721512894758</f>
        <v>-1309.883701226619</v>
      </c>
      <c r="O222">
        <f>-659.642565091528 -205.915726230994 -529.869614364478</f>
        <v>-1395.427905687</v>
      </c>
      <c r="P222">
        <f>-684.250546878705 -266.355798252357 -242.932936316291</f>
        <v>-1193.539281447353</v>
      </c>
      <c r="Q222">
        <f>-511.343644656622 -123.863655643914 -331.533202294426</f>
        <v>-966.74050259496198</v>
      </c>
      <c r="R222" t="s">
        <v>2413</v>
      </c>
      <c r="S222" t="s">
        <v>2414</v>
      </c>
      <c r="T222" t="s">
        <v>2415</v>
      </c>
      <c r="U222" t="s">
        <v>2416</v>
      </c>
      <c r="V222">
        <f>-605.206201605273 -130.389912179289 -97.4290757063418</f>
        <v>-833.02518949090381</v>
      </c>
      <c r="W222" t="s">
        <v>2417</v>
      </c>
      <c r="X222" t="s">
        <v>2418</v>
      </c>
      <c r="Y222" t="s">
        <v>2419</v>
      </c>
    </row>
    <row r="223" spans="1:25" x14ac:dyDescent="0.3">
      <c r="A223">
        <v>11100</v>
      </c>
      <c r="B223" t="s">
        <v>2420</v>
      </c>
      <c r="C223">
        <f>-624.120362301171 -36.1400828354085 -98.5756468658069</f>
        <v>-758.83609200238641</v>
      </c>
      <c r="D223">
        <f>-653.710470803254 -44.8697463814017 -210.219882550331</f>
        <v>-908.8000997349867</v>
      </c>
      <c r="E223">
        <f>-668.529397363635 -47.6255677604515 -307.685054704001</f>
        <v>-1023.8400198280875</v>
      </c>
      <c r="F223">
        <f>-678.253771359271 -48.3370020885942 -396.246697879856</f>
        <v>-1122.8374713277212</v>
      </c>
      <c r="G223">
        <f>-683.948163214281 -47.1991687253359 -485.154116285532</f>
        <v>-1216.3014482251488</v>
      </c>
      <c r="H223">
        <f>-687.670466781175 -43.670605217379 -609.63099575075</f>
        <v>-1340.9720677493042</v>
      </c>
      <c r="I223">
        <f>-654.378643875929 -36.3933277310261 -685.418395312501</f>
        <v>-1376.1903669194562</v>
      </c>
      <c r="J223">
        <f>-691.430853989436 -18.061262901924 -553.923523030462</f>
        <v>-1263.4156399218218</v>
      </c>
      <c r="K223" t="s">
        <v>2421</v>
      </c>
      <c r="L223" t="s">
        <v>2422</v>
      </c>
      <c r="M223" t="s">
        <v>2423</v>
      </c>
      <c r="N223">
        <f>-680.634058865749 -72.3854817187167 -555.786248572911</f>
        <v>-1308.8057891573767</v>
      </c>
      <c r="O223">
        <f>-658.860347507888 -205.636247111669 -529.902303514541</f>
        <v>-1394.3988981340981</v>
      </c>
      <c r="P223">
        <f>-683.880286599518 -266.028611343335 -242.991248917697</f>
        <v>-1192.90014686055</v>
      </c>
      <c r="Q223">
        <f>-510.787569049971 -123.66741013423 -331.439396741359</f>
        <v>-965.89437592555998</v>
      </c>
      <c r="R223" t="s">
        <v>2424</v>
      </c>
      <c r="S223" t="s">
        <v>2425</v>
      </c>
      <c r="T223" t="s">
        <v>2426</v>
      </c>
      <c r="U223" t="s">
        <v>2427</v>
      </c>
      <c r="V223">
        <f>-604.96914655384 -130.200599349356 -97.4301289691915</f>
        <v>-832.59987487238755</v>
      </c>
      <c r="W223" t="s">
        <v>2428</v>
      </c>
      <c r="X223" t="s">
        <v>2429</v>
      </c>
      <c r="Y223" t="s">
        <v>2430</v>
      </c>
    </row>
    <row r="224" spans="1:25" x14ac:dyDescent="0.3">
      <c r="A224">
        <v>11150</v>
      </c>
      <c r="B224" t="s">
        <v>2431</v>
      </c>
      <c r="C224">
        <f>-623.984701708912 -36.1271771297315 -98.5689117581843</f>
        <v>-758.68079059682782</v>
      </c>
      <c r="D224">
        <f>-653.539412002408 -44.8502985735589 -210.223035641584</f>
        <v>-908.61274621755092</v>
      </c>
      <c r="E224">
        <f>-668.294268496599 -47.594865867194 -307.698296531143</f>
        <v>-1023.587430894936</v>
      </c>
      <c r="F224">
        <f>-677.94708696417 -48.2937913841765 -396.267999192089</f>
        <v>-1122.5088775404356</v>
      </c>
      <c r="G224">
        <f>-683.55602978121 -47.1410683387517 -485.180477425247</f>
        <v>-1215.8775755452086</v>
      </c>
      <c r="H224">
        <f>-687.144595633627 -43.5896773985253 -609.660632387264</f>
        <v>-1340.3949054194163</v>
      </c>
      <c r="I224">
        <f>-653.773610165006 -36.3168006461442 -685.41366976247</f>
        <v>-1375.5040805736203</v>
      </c>
      <c r="J224">
        <f>-690.958958892159 -17.9893334662447 -553.952764475781</f>
        <v>-1262.9010568341846</v>
      </c>
      <c r="K224" t="s">
        <v>2432</v>
      </c>
      <c r="L224" t="s">
        <v>2433</v>
      </c>
      <c r="M224" t="s">
        <v>2434</v>
      </c>
      <c r="N224">
        <f>-680.171912689458 -72.3155833924945 -555.813633608988</f>
        <v>-1308.3011296909406</v>
      </c>
      <c r="O224">
        <f>-658.455883854086 -205.567864408885 -529.906376458891</f>
        <v>-1393.9301247218618</v>
      </c>
      <c r="P224">
        <f>-683.640218088991 -265.972301501982 -243.012130639663</f>
        <v>-1192.624650230636</v>
      </c>
      <c r="Q224">
        <f>-510.446352666418 -123.717013577766 -331.432392490244</f>
        <v>-965.59575873442805</v>
      </c>
      <c r="R224" t="s">
        <v>2435</v>
      </c>
      <c r="S224" t="s">
        <v>2436</v>
      </c>
      <c r="T224" t="s">
        <v>2437</v>
      </c>
      <c r="U224" t="s">
        <v>2438</v>
      </c>
      <c r="V224">
        <f>-604.845681991046 -130.22642210512 -97.4256876896081</f>
        <v>-832.49779178577421</v>
      </c>
      <c r="W224" t="s">
        <v>2439</v>
      </c>
      <c r="X224" t="s">
        <v>2440</v>
      </c>
      <c r="Y224" t="s">
        <v>2441</v>
      </c>
    </row>
    <row r="225" spans="1:25" x14ac:dyDescent="0.3">
      <c r="A225">
        <v>11200</v>
      </c>
      <c r="B225" t="s">
        <v>2442</v>
      </c>
      <c r="C225">
        <f>-623.662681462882 -36.1014766319036 -98.5660074296538</f>
        <v>-758.33016552443939</v>
      </c>
      <c r="D225">
        <f>-653.158293703784 -44.7979326736101 -210.23787558941</f>
        <v>-908.19410196680417</v>
      </c>
      <c r="E225">
        <f>-667.79828005566 -47.5217619513019 -307.73097433362</f>
        <v>-1023.0510163405819</v>
      </c>
      <c r="F225">
        <f>-677.321074209293 -48.2030703555746 -396.314814026007</f>
        <v>-1121.8389585908747</v>
      </c>
      <c r="G225">
        <f>-682.773899230452 -47.0338369117673 -485.23693807323</f>
        <v>-1215.0446742154493</v>
      </c>
      <c r="H225">
        <f>-686.116704297206 -43.4606840126032 -609.72340161724</f>
        <v>-1339.3007899270492</v>
      </c>
      <c r="I225">
        <f>-652.596559601007 -36.2075434202229 -685.412259008819</f>
        <v>-1374.2163620300489</v>
      </c>
      <c r="J225">
        <f>-690.028873607566 -17.8677575616639 -554.018777187612</f>
        <v>-1261.9154083568419</v>
      </c>
      <c r="K225" t="s">
        <v>2443</v>
      </c>
      <c r="L225" t="s">
        <v>2444</v>
      </c>
      <c r="M225" t="s">
        <v>2445</v>
      </c>
      <c r="N225">
        <f>-679.262565269631 -72.1985636162918 -555.867325434315</f>
        <v>-1307.3284543202378</v>
      </c>
      <c r="O225">
        <f>-657.644629818868 -205.458528324384 -529.925419067898</f>
        <v>-1393.0285772111502</v>
      </c>
      <c r="P225">
        <f>-683.178345043565 -265.897777227145 -243.069553445426</f>
        <v>-1192.1456757161359</v>
      </c>
      <c r="Q225">
        <f>-509.879939038115 -123.739398516455 -331.441252522538</f>
        <v>-965.06059007710803</v>
      </c>
      <c r="R225" t="s">
        <v>2446</v>
      </c>
      <c r="S225" t="s">
        <v>2447</v>
      </c>
      <c r="T225" t="s">
        <v>2448</v>
      </c>
      <c r="U225" t="s">
        <v>2449</v>
      </c>
      <c r="V225">
        <f>-604.549026691065 -130.130750200626 -97.4273928193678</f>
        <v>-832.10716971105887</v>
      </c>
      <c r="W225" t="s">
        <v>2450</v>
      </c>
      <c r="X225" t="s">
        <v>2451</v>
      </c>
      <c r="Y225" t="s">
        <v>2452</v>
      </c>
    </row>
    <row r="226" spans="1:25" x14ac:dyDescent="0.3">
      <c r="A226">
        <v>11250</v>
      </c>
      <c r="B226" t="s">
        <v>2453</v>
      </c>
      <c r="C226">
        <f>-623.498338294135 -36.07426153192 -98.5663664007379</f>
        <v>-758.13896622679295</v>
      </c>
      <c r="D226">
        <f>-652.963674426917 -44.7592909120099 -210.247085574084</f>
        <v>-907.97005091301094</v>
      </c>
      <c r="E226">
        <f>-667.558157500119 -47.4671768765668 -307.747539498129</f>
        <v>-1022.7728738748149</v>
      </c>
      <c r="F226">
        <f>-677.031872639736 -48.131336084992 -396.336689492808</f>
        <v>-1121.4998982175359</v>
      </c>
      <c r="G226">
        <f>-682.427622825963 -46.9427291740433 -485.262013912322</f>
        <v>-1214.6323659123282</v>
      </c>
      <c r="H226">
        <f>-685.682428410385 -43.3398666770867 -609.749956211268</f>
        <v>-1338.7722512987398</v>
      </c>
      <c r="I226">
        <f>-652.111661174244 -36.0809896225671 -685.415919744343</f>
        <v>-1373.6085705411542</v>
      </c>
      <c r="J226">
        <f>-689.631992846708 -17.7597159847555 -554.042002682529</f>
        <v>-1261.4337115139924</v>
      </c>
      <c r="K226" t="s">
        <v>2454</v>
      </c>
      <c r="L226" t="s">
        <v>2455</v>
      </c>
      <c r="M226" t="s">
        <v>2456</v>
      </c>
      <c r="N226">
        <f>-678.868375911268 -72.0907872764424 -555.895826380928</f>
        <v>-1306.8549895686383</v>
      </c>
      <c r="O226">
        <f>-657.283761221869 -205.360632540309 -529.956302114246</f>
        <v>-1392.600695876424</v>
      </c>
      <c r="P226">
        <f>-683.026898935318 -265.761185386066 -243.110802225698</f>
        <v>-1191.8988865470819</v>
      </c>
      <c r="Q226">
        <f>-509.577740780632 -123.751162823774 -331.425133755899</f>
        <v>-964.75403736030489</v>
      </c>
      <c r="R226" t="s">
        <v>2457</v>
      </c>
      <c r="S226" t="s">
        <v>2458</v>
      </c>
      <c r="T226" t="s">
        <v>2459</v>
      </c>
      <c r="U226" t="s">
        <v>2460</v>
      </c>
      <c r="V226">
        <f>-604.374513763005 -130.096535482812 -97.4308438275153</f>
        <v>-831.9018930733323</v>
      </c>
      <c r="W226" t="s">
        <v>2461</v>
      </c>
      <c r="X226" t="s">
        <v>2462</v>
      </c>
      <c r="Y226" t="s">
        <v>2463</v>
      </c>
    </row>
    <row r="227" spans="1:25" x14ac:dyDescent="0.3">
      <c r="A227">
        <v>11300</v>
      </c>
      <c r="B227" t="s">
        <v>2464</v>
      </c>
      <c r="C227">
        <f>-623.111146255512 -36.0874429840537 -98.5752366311062</f>
        <v>-757.773825870672</v>
      </c>
      <c r="D227">
        <f>-652.533010287957 -44.7500438172683 -210.269201933799</f>
        <v>-907.55225603902431</v>
      </c>
      <c r="E227">
        <f>-667.037328130051 -47.4262586112084 -307.783842835105</f>
        <v>-1022.2474295763644</v>
      </c>
      <c r="F227">
        <f>-676.4080956618 -48.0568353827016 -396.384252040761</f>
        <v>-1120.8491830852627</v>
      </c>
      <c r="G227">
        <f>-681.67909745283 -46.8299385330728 -485.316580756647</f>
        <v>-1213.8256167425498</v>
      </c>
      <c r="H227">
        <f>-684.736984002507 -43.1686660525824 -609.807820384012</f>
        <v>-1337.7134704391015</v>
      </c>
      <c r="I227">
        <f>-651.072320800962 -35.8894367589728 -685.430033247174</f>
        <v>-1372.3917908071089</v>
      </c>
      <c r="J227">
        <f>-688.765448971798 -17.6127998054496 -554.094439958416</f>
        <v>-1260.4726887356637</v>
      </c>
      <c r="K227" t="s">
        <v>2465</v>
      </c>
      <c r="L227" t="s">
        <v>2466</v>
      </c>
      <c r="M227" t="s">
        <v>2467</v>
      </c>
      <c r="N227">
        <f>-678.017253078309 -71.9467168723605 -555.956330198004</f>
        <v>-1305.9203001486735</v>
      </c>
      <c r="O227">
        <f>-656.527641590699 -205.23037468264 -530.014859625379</f>
        <v>-1391.772875898718</v>
      </c>
      <c r="P227">
        <f>-682.548402068335 -265.685230575189 -243.205983903866</f>
        <v>-1191.43961654739</v>
      </c>
      <c r="Q227">
        <f>-508.835768448079 -123.919722264586 -331.395384751828</f>
        <v>-964.15087546449308</v>
      </c>
      <c r="R227" t="s">
        <v>2468</v>
      </c>
      <c r="S227" t="s">
        <v>2469</v>
      </c>
      <c r="T227" t="s">
        <v>2470</v>
      </c>
      <c r="U227" t="s">
        <v>2471</v>
      </c>
      <c r="V227">
        <f>-603.994172888252 -130.08563408899 -97.4341367904447</f>
        <v>-831.51394376768667</v>
      </c>
      <c r="W227" t="s">
        <v>2472</v>
      </c>
      <c r="X227" t="s">
        <v>2473</v>
      </c>
      <c r="Y227" t="s">
        <v>2474</v>
      </c>
    </row>
    <row r="228" spans="1:25" x14ac:dyDescent="0.3">
      <c r="A228">
        <v>11350</v>
      </c>
      <c r="B228" t="s">
        <v>2475</v>
      </c>
      <c r="C228">
        <f>-622.915135403424 -36.1522129698058 -98.5723795109017</f>
        <v>-757.63972788413139</v>
      </c>
      <c r="D228">
        <f>-652.316945934996 -44.7992299214134 -210.272863031155</f>
        <v>-907.38903888756442</v>
      </c>
      <c r="E228">
        <f>-666.769155345978 -47.4507385930885 -307.796036919163</f>
        <v>-1022.0159308582295</v>
      </c>
      <c r="F228">
        <f>-676.078725115046 -48.0544093641259 -396.403028977165</f>
        <v>-1120.5361634563369</v>
      </c>
      <c r="G228">
        <f>-681.274478671899 -46.7956747277291 -485.339375189366</f>
        <v>-1213.4095285889941</v>
      </c>
      <c r="H228">
        <f>-684.212215322427 -43.0852568978099 -609.831858739155</f>
        <v>-1337.1293309593921</v>
      </c>
      <c r="I228">
        <f>-650.501242454189 -35.7777304897222 -685.430844709692</f>
        <v>-1371.7098176536033</v>
      </c>
      <c r="J228">
        <f>-688.290791139927 -17.5506542908593 -554.11242060796</f>
        <v>-1259.9538660387461</v>
      </c>
      <c r="K228" t="s">
        <v>2476</v>
      </c>
      <c r="L228" t="s">
        <v>2477</v>
      </c>
      <c r="M228" t="s">
        <v>2478</v>
      </c>
      <c r="N228">
        <f>-677.548120484655 -71.8852943777592 -555.985340798135</f>
        <v>-1305.4187556605493</v>
      </c>
      <c r="O228">
        <f>-656.098386615879 -205.176318814269 -530.048283843817</f>
        <v>-1391.322989273965</v>
      </c>
      <c r="P228">
        <f>-682.221552952873 -265.649933699512 -243.252721583824</f>
        <v>-1191.1242082362091</v>
      </c>
      <c r="Q228">
        <f>-508.423018162058 -123.964637550028 -331.401502100586</f>
        <v>-963.7891578126721</v>
      </c>
      <c r="R228" t="s">
        <v>2479</v>
      </c>
      <c r="S228" t="s">
        <v>2480</v>
      </c>
      <c r="T228" t="s">
        <v>2481</v>
      </c>
      <c r="U228" t="s">
        <v>2482</v>
      </c>
      <c r="V228">
        <f>-603.807289045338 -130.220520802426 -97.4313261255361</f>
        <v>-831.45913597330014</v>
      </c>
      <c r="W228" t="s">
        <v>2483</v>
      </c>
      <c r="X228" t="s">
        <v>2484</v>
      </c>
      <c r="Y228" t="s">
        <v>2485</v>
      </c>
    </row>
    <row r="229" spans="1:25" x14ac:dyDescent="0.3">
      <c r="A229">
        <v>11400</v>
      </c>
      <c r="B229" t="s">
        <v>2486</v>
      </c>
      <c r="C229">
        <f>-622.538563429667 -36.0952171284862 -98.5764216839648</f>
        <v>-757.21020224211793</v>
      </c>
      <c r="D229">
        <f>-651.894135116391 -44.7248683609005 -210.290307687418</f>
        <v>-906.90931116470949</v>
      </c>
      <c r="E229">
        <f>-666.265674466657 -47.355355992907 -307.825977144259</f>
        <v>-1021.447007603823</v>
      </c>
      <c r="F229">
        <f>-675.48566328582 -47.9373645987338 -396.442492899654</f>
        <v>-1119.8655207842078</v>
      </c>
      <c r="G229">
        <f>-680.575050696305 -46.6548660256333 -485.384602112788</f>
        <v>-1212.6145188347264</v>
      </c>
      <c r="H229">
        <f>-683.34665158307 -42.9085367118746 -609.87997992074</f>
        <v>-1336.1351682156846</v>
      </c>
      <c r="I229">
        <f>-649.566098922833 -35.5646803515649 -685.444407916772</f>
        <v>-1370.5751871911698</v>
      </c>
      <c r="J229">
        <f>-687.486206084718 -17.3872874357835 -554.158818145804</f>
        <v>-1259.0323116663055</v>
      </c>
      <c r="K229" t="s">
        <v>2487</v>
      </c>
      <c r="L229" t="s">
        <v>2488</v>
      </c>
      <c r="M229" t="s">
        <v>2489</v>
      </c>
      <c r="N229">
        <f>-676.767788310008 -71.7268096940657 -556.032604413003</f>
        <v>-1304.5272024170768</v>
      </c>
      <c r="O229">
        <f>-655.376845352651 -205.025893378506 -530.095373494144</f>
        <v>-1390.4981122253012</v>
      </c>
      <c r="P229">
        <f>-681.585868525779 -265.561450374655 -243.320712720843</f>
        <v>-1190.4680316212771</v>
      </c>
      <c r="Q229">
        <f>-507.812407190458 -123.857809931423 -331.489591368302</f>
        <v>-963.15980849018297</v>
      </c>
      <c r="R229" t="s">
        <v>2490</v>
      </c>
      <c r="S229" t="s">
        <v>2491</v>
      </c>
      <c r="T229" t="s">
        <v>2492</v>
      </c>
      <c r="U229" t="s">
        <v>2493</v>
      </c>
      <c r="V229">
        <f>-603.452844073882 -130.06048027156 -97.4409593810819</f>
        <v>-830.95428372652395</v>
      </c>
      <c r="W229" t="s">
        <v>2494</v>
      </c>
      <c r="X229" t="s">
        <v>2495</v>
      </c>
      <c r="Y229" t="s">
        <v>2496</v>
      </c>
    </row>
    <row r="230" spans="1:25" x14ac:dyDescent="0.3">
      <c r="A230">
        <v>11450</v>
      </c>
      <c r="B230" t="s">
        <v>2497</v>
      </c>
      <c r="C230">
        <f>-622.367199873965 -36.1467475522084 -98.5606862359892</f>
        <v>-757.07463366216257</v>
      </c>
      <c r="D230">
        <f>-651.704873987073 -44.7702686644958 -210.279806887104</f>
        <v>-906.7549495386728</v>
      </c>
      <c r="E230">
        <f>-666.045917843527 -47.3886180537392 -307.820137144698</f>
        <v>-1021.2546730419642</v>
      </c>
      <c r="F230">
        <f>-675.232169625037 -47.9568153377868 -396.440368181546</f>
        <v>-1119.6293531443698</v>
      </c>
      <c r="G230">
        <f>-680.281537782824 -46.657890757661 -485.384398942838</f>
        <v>-1212.3238274833229</v>
      </c>
      <c r="H230">
        <f>-682.990785577258 -42.8858736879795 -609.880505537552</f>
        <v>-1335.7571648027895</v>
      </c>
      <c r="I230">
        <f>-649.18285437997 -35.5280166052714 -685.431203713536</f>
        <v>-1370.1420746987774</v>
      </c>
      <c r="J230">
        <f>-687.152059613221 -17.3750115813166 -554.156254174802</f>
        <v>-1258.6833253693396</v>
      </c>
      <c r="K230" t="s">
        <v>2498</v>
      </c>
      <c r="L230" t="s">
        <v>2499</v>
      </c>
      <c r="M230" t="s">
        <v>2500</v>
      </c>
      <c r="N230">
        <f>-676.445110999283 -71.7165349938933 -556.035577705282</f>
        <v>-1304.1972236984584</v>
      </c>
      <c r="O230">
        <f>-655.078789852895 -205.019078138561 -530.103633225346</f>
        <v>-1390.2015012168022</v>
      </c>
      <c r="P230">
        <f>-681.291919295375 -265.568500103515 -243.332155929091</f>
        <v>-1190.1925753279811</v>
      </c>
      <c r="Q230">
        <f>-507.513219947894 -123.869843871469 -331.498652306908</f>
        <v>-962.88171612627093</v>
      </c>
      <c r="R230" t="s">
        <v>2501</v>
      </c>
      <c r="S230" t="s">
        <v>2502</v>
      </c>
      <c r="T230" t="s">
        <v>2503</v>
      </c>
      <c r="U230" t="s">
        <v>2504</v>
      </c>
      <c r="V230">
        <f>-603.301650729727 -130.124386468948 -97.4345413238856</f>
        <v>-830.86057852256056</v>
      </c>
      <c r="W230" t="s">
        <v>2505</v>
      </c>
      <c r="X230" t="s">
        <v>2506</v>
      </c>
      <c r="Y230" t="s">
        <v>2507</v>
      </c>
    </row>
    <row r="231" spans="1:25" x14ac:dyDescent="0.3">
      <c r="A231">
        <v>11500</v>
      </c>
      <c r="B231" t="s">
        <v>2508</v>
      </c>
      <c r="C231">
        <f>-622.16978221674 -36.1842390934003 -98.5501747906937</f>
        <v>-756.90419610083404</v>
      </c>
      <c r="D231">
        <f>-651.501424224691 -44.805473504267 -210.271028215855</f>
        <v>-906.57792594481305</v>
      </c>
      <c r="E231">
        <f>-665.821732579393 -47.4131815981273 -307.814786423978</f>
        <v>-1021.0497006014982</v>
      </c>
      <c r="F231">
        <f>-674.98271491875 -47.9682383945955 -396.4376874</f>
        <v>-1119.3886407133455</v>
      </c>
      <c r="G231">
        <f>-680.000410278949 -46.6524778105126 -485.383235891386</f>
        <v>-1212.0361239808476</v>
      </c>
      <c r="H231">
        <f>-682.658506467217 -42.8536970149551 -609.879583950804</f>
        <v>-1335.3917874329759</v>
      </c>
      <c r="I231">
        <f>-648.825633490816 -35.4824356132599 -685.417796593601</f>
        <v>-1369.7258656976769</v>
      </c>
      <c r="J231">
        <f>-686.838808935468 -17.353991605728 -554.151707342344</f>
        <v>-1258.34450788354</v>
      </c>
      <c r="K231" t="s">
        <v>2509</v>
      </c>
      <c r="L231" t="s">
        <v>2510</v>
      </c>
      <c r="M231" t="s">
        <v>2511</v>
      </c>
      <c r="N231">
        <f>-676.138849358849 -71.6966638565806 -556.03821166355</f>
        <v>-1303.8737248789796</v>
      </c>
      <c r="O231">
        <f>-654.794920769013 -205.00881091736 -530.128464699577</f>
        <v>-1389.9321963859497</v>
      </c>
      <c r="P231">
        <f>-680.990110787861 -265.549626736495 -243.353548005715</f>
        <v>-1189.8932855300711</v>
      </c>
      <c r="Q231">
        <f>-507.185787627454 -123.877830698526 -331.512830975772</f>
        <v>-962.57644930175195</v>
      </c>
      <c r="R231" t="s">
        <v>2512</v>
      </c>
      <c r="S231" t="s">
        <v>2513</v>
      </c>
      <c r="T231" t="s">
        <v>2514</v>
      </c>
      <c r="U231" t="s">
        <v>2515</v>
      </c>
      <c r="V231">
        <f>-603.104600820726 -130.120447056889 -97.4280218879595</f>
        <v>-830.65306976557451</v>
      </c>
      <c r="W231" t="s">
        <v>2516</v>
      </c>
      <c r="X231" t="s">
        <v>2517</v>
      </c>
      <c r="Y231" t="s">
        <v>2518</v>
      </c>
    </row>
    <row r="232" spans="1:25" x14ac:dyDescent="0.3">
      <c r="A232">
        <v>11550</v>
      </c>
      <c r="B232" t="s">
        <v>2519</v>
      </c>
      <c r="C232">
        <f>-621.817072728456 -36.2385737906159 -98.5455337165128</f>
        <v>-756.60118023558459</v>
      </c>
      <c r="D232">
        <f>-651.143927800125 -44.8485933018211 -210.268538725775</f>
        <v>-906.26105982772106</v>
      </c>
      <c r="E232">
        <f>-665.450444394698 -47.4335418085673 -307.814922819012</f>
        <v>-1020.6989090222773</v>
      </c>
      <c r="F232">
        <f>-674.594745417019 -47.9631856912282 -396.439637972721</f>
        <v>-1118.9975690809683</v>
      </c>
      <c r="G232">
        <f>-679.591485535954 -46.6175489249458 -485.386037129946</f>
        <v>-1211.5950715908457</v>
      </c>
      <c r="H232">
        <f>-682.215668480313 -42.7724840246321 -609.881645570367</f>
        <v>-1334.8697980753122</v>
      </c>
      <c r="I232">
        <f>-648.351142664842 -35.3713401785053 -685.402755658628</f>
        <v>-1369.1252385019752</v>
      </c>
      <c r="J232">
        <f>-686.405227906619 -17.2924253284434 -554.14539064936</f>
        <v>-1257.8430438844225</v>
      </c>
      <c r="K232" t="s">
        <v>2520</v>
      </c>
      <c r="L232" t="s">
        <v>2521</v>
      </c>
      <c r="M232" t="s">
        <v>2522</v>
      </c>
      <c r="N232">
        <f>-675.716521941551 -71.6366033820849 -556.049181249552</f>
        <v>-1303.4023065731881</v>
      </c>
      <c r="O232">
        <f>-654.415289797548 -204.965733087914 -530.200695441226</f>
        <v>-1389.5817183266881</v>
      </c>
      <c r="P232">
        <f>-680.653937195489 -265.540954732183 -243.437226787621</f>
        <v>-1189.632118715293</v>
      </c>
      <c r="Q232">
        <f>-506.732543506853 -123.955552928145 -331.504045382411</f>
        <v>-962.19214181740904</v>
      </c>
      <c r="R232" t="s">
        <v>2523</v>
      </c>
      <c r="S232" t="s">
        <v>2524</v>
      </c>
      <c r="T232" t="s">
        <v>2525</v>
      </c>
      <c r="U232" t="s">
        <v>2526</v>
      </c>
      <c r="V232">
        <f>-602.740953863169 -130.143873130751 -97.4319095039035</f>
        <v>-830.31673649782351</v>
      </c>
      <c r="W232" t="s">
        <v>2527</v>
      </c>
      <c r="X232" t="s">
        <v>2528</v>
      </c>
      <c r="Y232" t="s">
        <v>2529</v>
      </c>
    </row>
    <row r="233" spans="1:25" x14ac:dyDescent="0.3">
      <c r="A233">
        <v>11600</v>
      </c>
      <c r="B233" t="s">
        <v>2530</v>
      </c>
      <c r="C233">
        <f>-621.489464312813 -36.4297140460924 -98.5360038266256</f>
        <v>-756.45518218553093</v>
      </c>
      <c r="D233">
        <f>-650.812684559596 -45.0359247150833 -210.260267367777</f>
        <v>-906.10887664245638</v>
      </c>
      <c r="E233">
        <f>-665.107681126028 -47.5895193336245 -307.809163409721</f>
        <v>-1020.5063638693734</v>
      </c>
      <c r="F233">
        <f>-674.23813253323 -48.0796464734661 -396.435449375389</f>
        <v>-1118.7532283820851</v>
      </c>
      <c r="G233">
        <f>-679.21745622358 -46.6830465145765 -485.382112874756</f>
        <v>-1211.2826156129127</v>
      </c>
      <c r="H233">
        <f>-681.813747157556 -42.7550365801421 -609.875711375009</f>
        <v>-1334.444495112707</v>
      </c>
      <c r="I233">
        <f>-647.952659679542 -35.3042831354478 -685.393513877305</f>
        <v>-1368.6504566922949</v>
      </c>
      <c r="J233">
        <f>-686.008217037541 -17.3106370473204 -554.123508250303</f>
        <v>-1257.4423623351645</v>
      </c>
      <c r="K233" t="s">
        <v>2531</v>
      </c>
      <c r="L233" t="s">
        <v>2532</v>
      </c>
      <c r="M233" t="s">
        <v>2533</v>
      </c>
      <c r="N233">
        <f>-675.334382826801 -71.6565383631136 -556.06082566924</f>
        <v>-1303.0517468591545</v>
      </c>
      <c r="O233">
        <f>-654.110470620834 -205.014141902224 -530.282740421457</f>
        <v>-1389.407352944515</v>
      </c>
      <c r="P233">
        <f>-680.354407446109 -265.681480795085 -243.539075127727</f>
        <v>-1189.5749633689211</v>
      </c>
      <c r="Q233">
        <f>-506.283978063038 -124.20963318479 -331.493967725941</f>
        <v>-961.9875789737689</v>
      </c>
      <c r="R233" t="s">
        <v>2534</v>
      </c>
      <c r="S233" t="s">
        <v>2535</v>
      </c>
      <c r="T233" t="s">
        <v>2536</v>
      </c>
      <c r="U233" t="s">
        <v>2537</v>
      </c>
      <c r="V233">
        <f>-602.430389031902 -130.397008422786 -97.4210037202034</f>
        <v>-830.24840117489146</v>
      </c>
      <c r="W233" t="s">
        <v>2538</v>
      </c>
      <c r="X233" t="s">
        <v>2539</v>
      </c>
      <c r="Y233" t="s">
        <v>2540</v>
      </c>
    </row>
    <row r="234" spans="1:25" x14ac:dyDescent="0.3">
      <c r="A234">
        <v>11650</v>
      </c>
      <c r="B234" t="s">
        <v>2541</v>
      </c>
      <c r="C234">
        <f>-621.327264596271 -36.4679292022779 -98.5367065923352</f>
        <v>-756.33190039088413</v>
      </c>
      <c r="D234">
        <f>-650.642190759819 -45.0632558634824 -210.263969275151</f>
        <v>-905.96941589845233</v>
      </c>
      <c r="E234">
        <f>-664.923151616739 -47.5940956539768 -307.815499610226</f>
        <v>-1020.3327468809418</v>
      </c>
      <c r="F234">
        <f>-674.038247216533 -48.0576885852693 -396.443702991426</f>
        <v>-1118.5396387932283</v>
      </c>
      <c r="G234">
        <f>-678.999487051569 -46.628828198322 -485.390808484514</f>
        <v>-1211.019123734405</v>
      </c>
      <c r="H234">
        <f>-681.567618023408 -42.6496525885245 -609.883218958277</f>
        <v>-1334.1004895702094</v>
      </c>
      <c r="I234">
        <f>-647.714304458053 -35.1595432921063 -685.400733134719</f>
        <v>-1368.2745808848781</v>
      </c>
      <c r="J234">
        <f>-685.770321467517 -17.2272173588101 -554.121761435343</f>
        <v>-1257.1193002616701</v>
      </c>
      <c r="K234" t="s">
        <v>2542</v>
      </c>
      <c r="L234" t="s">
        <v>2543</v>
      </c>
      <c r="M234" t="s">
        <v>2544</v>
      </c>
      <c r="N234">
        <f>-675.104700109329 -71.5741316702474 -556.078804857455</f>
        <v>-1302.7576366370313</v>
      </c>
      <c r="O234">
        <f>-653.910413692341 -204.940124184654 -530.326115110398</f>
        <v>-1389.176652987393</v>
      </c>
      <c r="P234">
        <f>-680.109541752902 -265.704829231405 -243.598988347867</f>
        <v>-1189.413359332174</v>
      </c>
      <c r="Q234">
        <f>-506.057882001726 -124.187583558887 -331.518045551294</f>
        <v>-961.76351111190695</v>
      </c>
      <c r="R234" t="s">
        <v>2545</v>
      </c>
      <c r="S234" t="s">
        <v>2546</v>
      </c>
      <c r="T234" t="s">
        <v>2547</v>
      </c>
      <c r="U234" t="s">
        <v>2548</v>
      </c>
      <c r="V234">
        <f>-602.304076256784 -130.37771426701 -97.4197182661508</f>
        <v>-830.10150878994477</v>
      </c>
      <c r="W234" t="s">
        <v>2549</v>
      </c>
      <c r="X234" t="s">
        <v>2550</v>
      </c>
      <c r="Y234" t="s">
        <v>2551</v>
      </c>
    </row>
    <row r="235" spans="1:25" x14ac:dyDescent="0.3">
      <c r="A235">
        <v>11700</v>
      </c>
      <c r="B235" t="s">
        <v>2552</v>
      </c>
      <c r="C235">
        <f>-621.218362540826 -36.4807865511946 -98.5350053246495</f>
        <v>-756.23415441667009</v>
      </c>
      <c r="D235">
        <f>-650.53106081545 -45.0587379798776 -210.26417510653</f>
        <v>-905.85397390185767</v>
      </c>
      <c r="E235">
        <f>-664.805475919284 -47.5706862832915 -307.817250617455</f>
        <v>-1020.1934128200305</v>
      </c>
      <c r="F235">
        <f>-673.912954600451 -48.0151430908268 -396.446187307693</f>
        <v>-1118.3742849989708</v>
      </c>
      <c r="G235">
        <f>-678.864870878424 -46.5650896337557 -485.393525052804</f>
        <v>-1210.8234855649837</v>
      </c>
      <c r="H235">
        <f>-681.418247593865 -42.5542934277978 -609.885145925707</f>
        <v>-1333.8576869473698</v>
      </c>
      <c r="I235">
        <f>-647.578143418246 -35.0321281844926 -685.405302531753</f>
        <v>-1368.0155741344915</v>
      </c>
      <c r="J235">
        <f>-685.624614577491 -17.1454412433591 -554.117730645352</f>
        <v>-1256.8877864662022</v>
      </c>
      <c r="K235" t="s">
        <v>2553</v>
      </c>
      <c r="L235" t="s">
        <v>2554</v>
      </c>
      <c r="M235" t="s">
        <v>2555</v>
      </c>
      <c r="N235">
        <f>-674.964691571048 -71.4931119228784 -556.087263328842</f>
        <v>-1302.5450668227684</v>
      </c>
      <c r="O235">
        <f>-653.779958908927 -204.8620776405 -530.353105247086</f>
        <v>-1388.9951417965131</v>
      </c>
      <c r="P235">
        <f>-679.95727678028 -265.718061334882 -243.643328171873</f>
        <v>-1189.3186662870351</v>
      </c>
      <c r="Q235">
        <f>-505.937841586967 -124.150759518524 -331.545620350363</f>
        <v>-961.634221455854</v>
      </c>
      <c r="R235" t="s">
        <v>2556</v>
      </c>
      <c r="S235" t="s">
        <v>2557</v>
      </c>
      <c r="T235" t="s">
        <v>2558</v>
      </c>
      <c r="U235" t="s">
        <v>2559</v>
      </c>
      <c r="V235">
        <f>-602.239171383112 -130.34514804026 -97.4194212349647</f>
        <v>-830.00374065833671</v>
      </c>
      <c r="W235" t="s">
        <v>2560</v>
      </c>
      <c r="X235" t="s">
        <v>2561</v>
      </c>
      <c r="Y235" t="s">
        <v>2562</v>
      </c>
    </row>
    <row r="236" spans="1:25" x14ac:dyDescent="0.3">
      <c r="A236">
        <v>11750</v>
      </c>
      <c r="B236" t="s">
        <v>2563</v>
      </c>
      <c r="C236">
        <f>-621.072964821796 -36.549195372053 -98.5346893458095</f>
        <v>-756.15684953965842</v>
      </c>
      <c r="D236">
        <f>-650.38093812357 -45.1091001930724 -210.266358595444</f>
        <v>-905.75639691208642</v>
      </c>
      <c r="E236">
        <f>-664.655000447682 -47.5855403829065 -307.820435445947</f>
        <v>-1020.0609762765355</v>
      </c>
      <c r="F236">
        <f>-673.763833158236 -47.9896711443448 -396.449454002716</f>
        <v>-1118.2029583052968</v>
      </c>
      <c r="G236">
        <f>-678.718975180954 -46.4906806602686 -485.395796613443</f>
        <v>-1210.6054524546655</v>
      </c>
      <c r="H236">
        <f>-681.278975586769 -42.40128869829 -609.884828393489</f>
        <v>-1333.5650926785479</v>
      </c>
      <c r="I236">
        <f>-647.463148119894 -34.8188248183219 -685.409762893348</f>
        <v>-1367.6917358315638</v>
      </c>
      <c r="J236">
        <f>-685.48658356157 -17.028521186402 -554.1010940173</f>
        <v>-1256.6161987652722</v>
      </c>
      <c r="K236" t="s">
        <v>2564</v>
      </c>
      <c r="L236" t="s">
        <v>2565</v>
      </c>
      <c r="M236" t="s">
        <v>2566</v>
      </c>
      <c r="N236">
        <f>-674.818275208902 -71.3730716789327 -556.10557314421</f>
        <v>-1302.2969200320447</v>
      </c>
      <c r="O236">
        <f>-653.649509236526 -204.75555507273 -530.415856360385</f>
        <v>-1388.8209206696411</v>
      </c>
      <c r="P236">
        <f>-679.750088140032 -265.697215014645 -243.717298949511</f>
        <v>-1189.1646021041879</v>
      </c>
      <c r="Q236">
        <f>-505.757897118209 -124.087265463896 -331.60477417303</f>
        <v>-961.44993675513501</v>
      </c>
      <c r="R236" t="s">
        <v>2567</v>
      </c>
      <c r="S236" t="s">
        <v>2568</v>
      </c>
      <c r="T236" t="s">
        <v>2569</v>
      </c>
      <c r="U236" t="s">
        <v>2570</v>
      </c>
      <c r="V236">
        <f>-602.109809057747 -130.483879331314 -97.4227539992157</f>
        <v>-830.0164423882768</v>
      </c>
      <c r="W236" t="s">
        <v>2571</v>
      </c>
      <c r="X236" t="s">
        <v>2572</v>
      </c>
      <c r="Y236" t="s">
        <v>2573</v>
      </c>
    </row>
    <row r="237" spans="1:25" x14ac:dyDescent="0.3">
      <c r="A237">
        <v>11800</v>
      </c>
      <c r="B237" t="s">
        <v>2574</v>
      </c>
      <c r="C237">
        <f>-620.934716753007 -36.5328073894702 -98.5381485161307</f>
        <v>-756.00567265860798</v>
      </c>
      <c r="D237">
        <f>-650.238887182217 -45.0859834432747 -210.271397813789</f>
        <v>-905.59626843928072</v>
      </c>
      <c r="E237">
        <f>-664.513168828957 -47.5449624038758 -307.825771086601</f>
        <v>-1019.8839023194338</v>
      </c>
      <c r="F237">
        <f>-673.623610353085 -47.9283001582439 -396.454752305993</f>
        <v>-1118.006662817322</v>
      </c>
      <c r="G237">
        <f>-678.581775846466 -46.4037136153202 -485.400514495016</f>
        <v>-1210.3860039568021</v>
      </c>
      <c r="H237">
        <f>-681.147596467981 -42.2738748141865 -609.888131038047</f>
        <v>-1333.3096023202145</v>
      </c>
      <c r="I237">
        <f>-647.335766425489 -34.663101479887 -685.412150780341</f>
        <v>-1367.411018685717</v>
      </c>
      <c r="J237">
        <f>-685.357173211393 -16.9201516235785 -554.095798997796</f>
        <v>-1256.3731238327675</v>
      </c>
      <c r="K237" t="s">
        <v>2575</v>
      </c>
      <c r="L237" t="s">
        <v>2576</v>
      </c>
      <c r="M237" t="s">
        <v>2577</v>
      </c>
      <c r="N237">
        <f>-674.67998253734 -71.2623349288299 -556.11860691367</f>
        <v>-1302.0609243798399</v>
      </c>
      <c r="O237">
        <f>-653.509400291889 -204.650556159847 -530.461558072256</f>
        <v>-1388.6215145239921</v>
      </c>
      <c r="P237">
        <f>-679.591105226819 -265.644525626018 -243.772402028736</f>
        <v>-1189.0080328815729</v>
      </c>
      <c r="Q237">
        <f>-505.627780555282 -123.959972582081 -331.5967890802</f>
        <v>-961.18454221756303</v>
      </c>
      <c r="R237" t="s">
        <v>2578</v>
      </c>
      <c r="S237" t="s">
        <v>2579</v>
      </c>
      <c r="T237" t="s">
        <v>2580</v>
      </c>
      <c r="U237" t="s">
        <v>2581</v>
      </c>
      <c r="V237">
        <f>-601.960313763851 -130.408570803288 -97.4327485306447</f>
        <v>-829.80163309778379</v>
      </c>
      <c r="W237" t="s">
        <v>2582</v>
      </c>
      <c r="X237" t="s">
        <v>2583</v>
      </c>
      <c r="Y237" t="s">
        <v>2584</v>
      </c>
    </row>
    <row r="238" spans="1:25" x14ac:dyDescent="0.3">
      <c r="A238">
        <v>11850</v>
      </c>
      <c r="B238" t="s">
        <v>2585</v>
      </c>
      <c r="C238">
        <f>-620.869806670681 -36.537420475004 -98.532606606735</f>
        <v>-755.93983375241999</v>
      </c>
      <c r="D238">
        <f>-650.164081278879 -45.0817027720861 -210.269106790643</f>
        <v>-905.51489084160823</v>
      </c>
      <c r="E238">
        <f>-664.433278195253 -47.5318862020877 -307.824483360651</f>
        <v>-1019.7896477579917</v>
      </c>
      <c r="F238">
        <f>-673.540513388237 -47.906864699768 -396.453780685108</f>
        <v>-1117.9011587731129</v>
      </c>
      <c r="G238">
        <f>-678.496918912384 -46.3736373922545 -485.399448768478</f>
        <v>-1210.2700050731164</v>
      </c>
      <c r="H238">
        <f>-681.061747807962 -42.2312278923737 -609.886673756418</f>
        <v>-1333.1796494567536</v>
      </c>
      <c r="I238">
        <f>-647.247234806525 -34.603943757329 -685.407769240586</f>
        <v>-1367.2589478044401</v>
      </c>
      <c r="J238">
        <f>-685.275458823294 -16.8838409455241 -554.09196549306</f>
        <v>-1256.251265261878</v>
      </c>
      <c r="K238" t="s">
        <v>2586</v>
      </c>
      <c r="L238" t="s">
        <v>2587</v>
      </c>
      <c r="M238" t="s">
        <v>2588</v>
      </c>
      <c r="N238">
        <f>-674.590666482268 -71.2244092304762 -556.120210064911</f>
        <v>-1301.9352857776553</v>
      </c>
      <c r="O238">
        <f>-653.412897345174 -204.615886677366 -530.47078591059</f>
        <v>-1388.49956993313</v>
      </c>
      <c r="P238">
        <f>-679.50478569449 -265.646708072738 -243.790393251429</f>
        <v>-1188.9418870186569</v>
      </c>
      <c r="Q238">
        <f>-505.552557118531 -123.938716386595 -331.599081216126</f>
        <v>-961.09035472125208</v>
      </c>
      <c r="R238" t="s">
        <v>2589</v>
      </c>
      <c r="S238" t="s">
        <v>2590</v>
      </c>
      <c r="T238" t="s">
        <v>2591</v>
      </c>
      <c r="U238" t="s">
        <v>2592</v>
      </c>
      <c r="V238">
        <f>-601.871089314981 -130.401175836826 -97.4392234917003</f>
        <v>-829.71148864350732</v>
      </c>
      <c r="W238" t="s">
        <v>2593</v>
      </c>
      <c r="X238" t="s">
        <v>2594</v>
      </c>
      <c r="Y238" t="s">
        <v>2595</v>
      </c>
    </row>
    <row r="239" spans="1:25" x14ac:dyDescent="0.3">
      <c r="A239">
        <v>11900</v>
      </c>
      <c r="B239" t="s">
        <v>2596</v>
      </c>
      <c r="C239">
        <f>-620.818079386003 -36.6171016233279 -98.5303307233423</f>
        <v>-755.96551173267324</v>
      </c>
      <c r="D239">
        <f>-650.105194545055 -45.1604664092811 -210.268752920272</f>
        <v>-905.53441387460816</v>
      </c>
      <c r="E239">
        <f>-664.36567634409 -47.605843139177 -307.825650990677</f>
        <v>-1019.797170473944</v>
      </c>
      <c r="F239">
        <f>-673.46427888787 -47.9750215843276 -396.455880278021</f>
        <v>-1117.8951807502185</v>
      </c>
      <c r="G239">
        <f>-678.411140234707 -46.4340438217486 -485.401948883165</f>
        <v>-1210.2471329396205</v>
      </c>
      <c r="H239">
        <f>-680.961784240351 -42.2787046041321 -609.889007720006</f>
        <v>-1333.1294965644893</v>
      </c>
      <c r="I239">
        <f>-647.140388614328 -34.6197588213256 -685.403785761306</f>
        <v>-1367.1639331969595</v>
      </c>
      <c r="J239">
        <f>-685.191871629185 -16.9391330307751 -554.091825898812</f>
        <v>-1256.2228305587721</v>
      </c>
      <c r="K239" t="s">
        <v>2597</v>
      </c>
      <c r="L239" t="s">
        <v>2598</v>
      </c>
      <c r="M239" t="s">
        <v>2599</v>
      </c>
      <c r="N239">
        <f>-674.486878003503 -71.2753721654374 -556.124791834836</f>
        <v>-1301.8870420037763</v>
      </c>
      <c r="O239">
        <f>-653.280853667306 -204.657743165493 -530.4759663899</f>
        <v>-1388.4145632226991</v>
      </c>
      <c r="P239">
        <f>-679.410416560103 -265.692974632485 -243.799769962508</f>
        <v>-1188.9031611550961</v>
      </c>
      <c r="Q239">
        <f>-505.432267214846 -124.001771992378 -331.584151030219</f>
        <v>-961.01819023744304</v>
      </c>
      <c r="R239" t="s">
        <v>2600</v>
      </c>
      <c r="S239" t="s">
        <v>2601</v>
      </c>
      <c r="T239" t="s">
        <v>2602</v>
      </c>
      <c r="U239" t="s">
        <v>2603</v>
      </c>
      <c r="V239">
        <f>-601.813145729052 -130.51844901318 -97.4338034937347</f>
        <v>-829.7653982359667</v>
      </c>
      <c r="W239" t="s">
        <v>2604</v>
      </c>
      <c r="X239" t="s">
        <v>2605</v>
      </c>
      <c r="Y239" t="s">
        <v>2606</v>
      </c>
    </row>
    <row r="240" spans="1:25" x14ac:dyDescent="0.3">
      <c r="A240">
        <v>11950</v>
      </c>
      <c r="B240" t="s">
        <v>2607</v>
      </c>
      <c r="C240">
        <f>-620.854209631328 -36.6007385218088 -98.5280626190827</f>
        <v>-755.98301077221947</v>
      </c>
      <c r="D240">
        <f>-650.144081170209 -45.1422079959757 -210.266007135955</f>
        <v>-905.55229630213967</v>
      </c>
      <c r="E240">
        <f>-664.399823290667 -47.5879304811738 -307.823428925307</f>
        <v>-1019.8111826971477</v>
      </c>
      <c r="F240">
        <f>-673.491013798746 -47.9578760410556 -396.454387205229</f>
        <v>-1117.9032770450306</v>
      </c>
      <c r="G240">
        <f>-678.427658268198 -46.4182022110597 -485.401025343847</f>
        <v>-1210.2468858231045</v>
      </c>
      <c r="H240">
        <f>-680.961072716026 -42.2650268820726 -609.888511217701</f>
        <v>-1333.1146108157996</v>
      </c>
      <c r="I240">
        <f>-647.125333747732 -34.5977371191027 -685.395930189425</f>
        <v>-1367.1190010562598</v>
      </c>
      <c r="J240">
        <f>-685.20230639093 -16.9250304772117 -554.092416462616</f>
        <v>-1256.2197533307576</v>
      </c>
      <c r="K240" t="s">
        <v>2608</v>
      </c>
      <c r="L240" t="s">
        <v>2609</v>
      </c>
      <c r="M240" t="s">
        <v>2610</v>
      </c>
      <c r="N240">
        <f>-674.490125991802 -71.2601249934881 -556.123095660647</f>
        <v>-1301.8733466459371</v>
      </c>
      <c r="O240">
        <f>-653.274108933075 -204.643633531156 -530.470804000482</f>
        <v>-1388.3885464647128</v>
      </c>
      <c r="P240">
        <f>-679.422481687595 -265.690038744861 -243.798809142741</f>
        <v>-1188.911329575197</v>
      </c>
      <c r="Q240">
        <f>-505.446209225207 -124.005068055779 -331.596901143951</f>
        <v>-961.04817842493708</v>
      </c>
      <c r="R240" t="s">
        <v>2611</v>
      </c>
      <c r="S240" t="s">
        <v>2612</v>
      </c>
      <c r="T240" t="s">
        <v>2613</v>
      </c>
      <c r="U240" t="s">
        <v>2614</v>
      </c>
      <c r="V240">
        <f>-601.842415487889 -130.50355029527 -97.4336942615903</f>
        <v>-829.77966004474922</v>
      </c>
      <c r="W240" t="s">
        <v>2615</v>
      </c>
      <c r="X240" t="s">
        <v>2616</v>
      </c>
      <c r="Y240" t="s">
        <v>2617</v>
      </c>
    </row>
    <row r="241" spans="1:25" x14ac:dyDescent="0.3">
      <c r="A241">
        <v>12000</v>
      </c>
      <c r="B241" t="s">
        <v>2618</v>
      </c>
      <c r="C241">
        <f>-620.971864759423 -36.4712854410216 -98.53780254401</f>
        <v>-755.98095274445461</v>
      </c>
      <c r="D241">
        <f>-650.281715418619 -45.0201747928104 -210.269919468355</f>
        <v>-905.57180967978434</v>
      </c>
      <c r="E241">
        <f>-664.540291119363 -47.4680298111886 -307.826823642068</f>
        <v>-1019.8351445726196</v>
      </c>
      <c r="F241">
        <f>-673.628323358284 -47.8382872151365 -396.458129029261</f>
        <v>-1117.9247396026815</v>
      </c>
      <c r="G241">
        <f>-678.556033814259 -46.296959906417 -485.405241890685</f>
        <v>-1210.258235611361</v>
      </c>
      <c r="H241">
        <f>-681.070806893698 -42.1396199577871 -609.892992083092</f>
        <v>-1333.1034189345771</v>
      </c>
      <c r="I241">
        <f>-647.203590052746 -34.4686467765589 -685.385961701759</f>
        <v>-1367.0581985310639</v>
      </c>
      <c r="J241">
        <f>-685.323445059323 -16.802214459269 -554.096679939401</f>
        <v>-1256.222339457993</v>
      </c>
      <c r="K241" t="s">
        <v>2619</v>
      </c>
      <c r="L241" t="s">
        <v>2620</v>
      </c>
      <c r="M241" t="s">
        <v>2621</v>
      </c>
      <c r="N241">
        <f>-674.604894678183 -71.1359685817112 -556.127614442369</f>
        <v>-1301.8684777022631</v>
      </c>
      <c r="O241">
        <f>-653.385520299398 -204.520273859326 -530.460758906037</f>
        <v>-1388.3665530647609</v>
      </c>
      <c r="P241">
        <f>-679.504501477185 -265.576736034677 -243.788079376324</f>
        <v>-1188.8693168881862</v>
      </c>
      <c r="Q241">
        <f>-505.578134748231 -123.874093821562 -331.656457107516</f>
        <v>-961.10868567730904</v>
      </c>
      <c r="R241" t="s">
        <v>2622</v>
      </c>
      <c r="S241" t="s">
        <v>2623</v>
      </c>
      <c r="T241" t="s">
        <v>2624</v>
      </c>
      <c r="U241" t="s">
        <v>2625</v>
      </c>
      <c r="V241">
        <f>-601.970427667036 -130.336529267363 -97.4408737824255</f>
        <v>-829.74783071682452</v>
      </c>
      <c r="W241" t="s">
        <v>2626</v>
      </c>
      <c r="X241" t="s">
        <v>2627</v>
      </c>
      <c r="Y241" t="s">
        <v>2628</v>
      </c>
    </row>
    <row r="242" spans="1:25" x14ac:dyDescent="0.3">
      <c r="A242">
        <v>12050</v>
      </c>
      <c r="B242" t="s">
        <v>2629</v>
      </c>
      <c r="C242">
        <f>-621.080038072457 -36.4486794248626 -98.5398283528253</f>
        <v>-756.06854585014491</v>
      </c>
      <c r="D242">
        <f>-650.400998883311 -44.9996037538519 -210.268819397142</f>
        <v>-905.66942203430494</v>
      </c>
      <c r="E242">
        <f>-664.664730521261 -47.4500311601629 -307.824991887324</f>
        <v>-1019.939753568748</v>
      </c>
      <c r="F242">
        <f>-673.755494263109 -47.8230394854157 -396.456012491812</f>
        <v>-1118.0345462403366</v>
      </c>
      <c r="G242">
        <f>-678.683993438196 -46.2847481694313 -485.403023678151</f>
        <v>-1210.3717652857783</v>
      </c>
      <c r="H242">
        <f>-681.197953210863 -42.1321934203079 -609.891052015709</f>
        <v>-1333.2211986468799</v>
      </c>
      <c r="I242">
        <f>-647.311999698472 -34.4663819142947 -685.37624201344</f>
        <v>-1367.1546236262068</v>
      </c>
      <c r="J242">
        <f>-685.452599667304 -16.792939338643 -554.095570093465</f>
        <v>-1256.3411090994118</v>
      </c>
      <c r="K242" t="s">
        <v>2630</v>
      </c>
      <c r="L242" t="s">
        <v>2631</v>
      </c>
      <c r="M242" t="s">
        <v>2632</v>
      </c>
      <c r="N242">
        <f>-674.730795260731 -71.126155666227 -556.124554349207</f>
        <v>-1301.9815052761651</v>
      </c>
      <c r="O242">
        <f>-653.514819388143 -204.503168180729 -530.447006151098</f>
        <v>-1388.4649937199702</v>
      </c>
      <c r="P242">
        <f>-679.640299110011 -265.541234726703 -243.771249732764</f>
        <v>-1188.952783569478</v>
      </c>
      <c r="Q242">
        <f>-505.760179101194 -123.799989679827 -331.668766072042</f>
        <v>-961.22893485306304</v>
      </c>
      <c r="R242" t="s">
        <v>2633</v>
      </c>
      <c r="S242" t="s">
        <v>2634</v>
      </c>
      <c r="T242" t="s">
        <v>2635</v>
      </c>
      <c r="U242" t="s">
        <v>2636</v>
      </c>
      <c r="V242">
        <f>-602.064732586093 -130.33862203161 -97.4483404783025</f>
        <v>-829.85169509600541</v>
      </c>
      <c r="W242" t="s">
        <v>2637</v>
      </c>
      <c r="X242" t="s">
        <v>2638</v>
      </c>
      <c r="Y242" t="s">
        <v>2639</v>
      </c>
    </row>
    <row r="243" spans="1:25" x14ac:dyDescent="0.3">
      <c r="A243">
        <v>12100</v>
      </c>
      <c r="B243" t="s">
        <v>2640</v>
      </c>
      <c r="C243">
        <f>-621.33781286129 -36.4426519763758 -98.5398263399097</f>
        <v>-756.32029117757554</v>
      </c>
      <c r="D243">
        <f>-650.688860505348 -44.9897742459557 -210.261322200334</f>
        <v>-905.93995695163767</v>
      </c>
      <c r="E243">
        <f>-664.951846212823 -47.4361883833855 -307.817618727927</f>
        <v>-1020.2056533241355</v>
      </c>
      <c r="F243">
        <f>-674.031085734076 -47.8049238490827 -396.449879414142</f>
        <v>-1118.2858889973006</v>
      </c>
      <c r="G243">
        <f>-678.937363744174 -46.2619488968184 -485.398147944458</f>
        <v>-1210.5974605854503</v>
      </c>
      <c r="H243">
        <f>-681.408803269066 -42.1020153493212 -609.886620366064</f>
        <v>-1333.3974389844511</v>
      </c>
      <c r="I243">
        <f>-647.479600326247 -34.4466854202833 -685.35339456111</f>
        <v>-1367.2796803076403</v>
      </c>
      <c r="J243">
        <f>-685.685702132 -16.766864622972 -554.091115985716</f>
        <v>-1256.5436827406879</v>
      </c>
      <c r="K243" t="s">
        <v>2641</v>
      </c>
      <c r="L243" t="s">
        <v>2642</v>
      </c>
      <c r="M243" t="s">
        <v>2643</v>
      </c>
      <c r="N243">
        <f>-674.956827900937 -71.0985527641454 -556.119651498105</f>
        <v>-1302.1750321631876</v>
      </c>
      <c r="O243">
        <f>-653.759463167774 -204.478438821418 -530.429286896382</f>
        <v>-1388.667188885574</v>
      </c>
      <c r="P243">
        <f>-679.963540308515 -265.502196410632 -243.757609003994</f>
        <v>-1189.2233457231409</v>
      </c>
      <c r="Q243">
        <f>-506.111113779051 -123.732827362748 -331.664618726092</f>
        <v>-961.50855986789088</v>
      </c>
      <c r="R243" t="s">
        <v>2644</v>
      </c>
      <c r="S243" t="s">
        <v>2645</v>
      </c>
      <c r="T243" t="s">
        <v>2646</v>
      </c>
      <c r="U243" t="s">
        <v>2647</v>
      </c>
      <c r="V243">
        <f>-602.323859713096 -130.387641461584 -97.4528731817513</f>
        <v>-830.16437435643138</v>
      </c>
      <c r="W243" t="s">
        <v>2648</v>
      </c>
      <c r="X243" t="s">
        <v>2649</v>
      </c>
      <c r="Y243" t="s">
        <v>2650</v>
      </c>
    </row>
    <row r="244" spans="1:25" x14ac:dyDescent="0.3">
      <c r="A244">
        <v>12150</v>
      </c>
      <c r="B244" t="s">
        <v>2651</v>
      </c>
      <c r="C244">
        <f>-621.495114571913 -36.4427800189651 -98.5401303073677</f>
        <v>-756.47802489824574</v>
      </c>
      <c r="D244">
        <f>-650.855209885095 -44.9952806423651 -210.258796189713</f>
        <v>-906.10928671717306</v>
      </c>
      <c r="E244">
        <f>-665.104004110722 -47.4367630463039 -307.817297352434</f>
        <v>-1020.35806450946</v>
      </c>
      <c r="F244">
        <f>-674.161480762829 -47.7974128736777 -396.451859868282</f>
        <v>-1118.4107535047888</v>
      </c>
      <c r="G244">
        <f>-679.036786842339 -46.2424704516857 -485.401502786995</f>
        <v>-1210.6807600810198</v>
      </c>
      <c r="H244">
        <f>-681.455437204353 -42.0621611749189 -609.890484491978</f>
        <v>-1333.4080828712499</v>
      </c>
      <c r="I244">
        <f>-647.502559399246 -34.4054125856087 -685.346391186783</f>
        <v>-1367.2543631716376</v>
      </c>
      <c r="J244">
        <f>-685.754905420958 -16.7358126847105 -554.092632607693</f>
        <v>-1256.5833507133616</v>
      </c>
      <c r="K244" t="s">
        <v>2652</v>
      </c>
      <c r="L244" t="s">
        <v>2653</v>
      </c>
      <c r="M244" t="s">
        <v>2654</v>
      </c>
      <c r="N244">
        <f>-675.027345640809 -71.0677074139941 -556.125515668358</f>
        <v>-1302.2205687231613</v>
      </c>
      <c r="O244">
        <f>-653.847527628345 -204.445963099895 -530.429446132997</f>
        <v>-1388.722936861237</v>
      </c>
      <c r="P244">
        <f>-680.127354907672 -265.472405766162 -243.765319011643</f>
        <v>-1189.365079685477</v>
      </c>
      <c r="Q244">
        <f>-506.258086872111 -123.708733885315 -331.64834190551</f>
        <v>-961.61516266293597</v>
      </c>
      <c r="R244" t="s">
        <v>2655</v>
      </c>
      <c r="S244" t="s">
        <v>2656</v>
      </c>
      <c r="T244" t="s">
        <v>2657</v>
      </c>
      <c r="U244" t="s">
        <v>2658</v>
      </c>
      <c r="V244">
        <f>-602.492876611917 -130.42947915406 -97.4522382915123</f>
        <v>-830.37459405748939</v>
      </c>
      <c r="W244" t="s">
        <v>2659</v>
      </c>
      <c r="X244" t="s">
        <v>2660</v>
      </c>
      <c r="Y244" t="s">
        <v>2661</v>
      </c>
    </row>
    <row r="245" spans="1:25" x14ac:dyDescent="0.3">
      <c r="A245">
        <v>12200</v>
      </c>
      <c r="B245" t="s">
        <v>2662</v>
      </c>
      <c r="C245">
        <f>-621.832253009497 -36.2737433136999 -98.5371803881144</f>
        <v>-756.6431767113113</v>
      </c>
      <c r="D245">
        <f>-651.198398770597 -44.8296272470463 -210.254024994258</f>
        <v>-906.28205101190133</v>
      </c>
      <c r="E245">
        <f>-665.429080706297 -47.2774957242 -307.815080226858</f>
        <v>-1020.5216566573549</v>
      </c>
      <c r="F245">
        <f>-674.460406977363 -47.6460218608551 -396.45207475999</f>
        <v>-1118.5585035982081</v>
      </c>
      <c r="G245">
        <f>-679.299466938835 -46.1013405118604 -485.404077705247</f>
        <v>-1210.8048851559424</v>
      </c>
      <c r="H245">
        <f>-681.656820360413 -41.9383383246991 -609.894778773056</f>
        <v>-1333.4899374581682</v>
      </c>
      <c r="I245">
        <f>-647.6662377874 -34.2876242463283 -685.334383744478</f>
        <v>-1367.2882457782061</v>
      </c>
      <c r="J245">
        <f>-685.969594724332 -16.6012614137869 -554.102710720208</f>
        <v>-1256.6735668583269</v>
      </c>
      <c r="K245" t="s">
        <v>2663</v>
      </c>
      <c r="L245" t="s">
        <v>2664</v>
      </c>
      <c r="M245" t="s">
        <v>2665</v>
      </c>
      <c r="N245">
        <f>-675.269426419842 -70.9390318299384 -556.122397281578</f>
        <v>-1302.3308555313583</v>
      </c>
      <c r="O245">
        <f>-654.152805435449 -204.323229782949 -530.401004363625</f>
        <v>-1388.8770395820229</v>
      </c>
      <c r="P245">
        <f>-680.528432566449 -265.382416818765 -243.752645924502</f>
        <v>-1189.6634953097162</v>
      </c>
      <c r="Q245">
        <f>-506.651034928535 -123.641518855462 -331.656289903421</f>
        <v>-961.94884368741805</v>
      </c>
      <c r="R245" t="s">
        <v>2666</v>
      </c>
      <c r="S245" t="s">
        <v>2667</v>
      </c>
      <c r="T245" t="s">
        <v>2668</v>
      </c>
      <c r="U245" t="s">
        <v>2669</v>
      </c>
      <c r="V245">
        <f>-602.869740906437 -130.236086871236 -97.4548482459876</f>
        <v>-830.56067602366056</v>
      </c>
      <c r="W245" t="s">
        <v>2670</v>
      </c>
      <c r="X245" t="s">
        <v>2671</v>
      </c>
      <c r="Y245" t="s">
        <v>2672</v>
      </c>
    </row>
    <row r="246" spans="1:25" x14ac:dyDescent="0.3">
      <c r="A246">
        <v>12250</v>
      </c>
      <c r="B246" t="s">
        <v>2673</v>
      </c>
      <c r="C246">
        <f>-622.093796781449 -36.2065030443403 -98.5340814053409</f>
        <v>-756.83438123113012</v>
      </c>
      <c r="D246">
        <f>-651.491231388409 -44.7656207762627 -210.242422887934</f>
        <v>-906.49927505260575</v>
      </c>
      <c r="E246">
        <f>-665.730935798203 -47.2214664524909 -307.801990662611</f>
        <v>-1020.7543929133049</v>
      </c>
      <c r="F246">
        <f>-674.762983266896 -47.5987726132638 -396.438990017861</f>
        <v>-1118.8007458980208</v>
      </c>
      <c r="G246">
        <f>-679.595310465979 -46.065338812142 -485.391320188538</f>
        <v>-1211.0519694666591</v>
      </c>
      <c r="H246">
        <f>-681.93526516646 -41.9200262441314 -609.882930455109</f>
        <v>-1333.7382218657003</v>
      </c>
      <c r="I246">
        <f>-647.928836313215 -34.2760439570036 -685.316204833229</f>
        <v>-1367.5210851034476</v>
      </c>
      <c r="J246">
        <f>-686.248991595117 -16.5737616819254 -554.095329766168</f>
        <v>-1256.9180830432103</v>
      </c>
      <c r="K246" t="s">
        <v>2674</v>
      </c>
      <c r="L246" t="s">
        <v>2675</v>
      </c>
      <c r="M246" t="s">
        <v>2676</v>
      </c>
      <c r="N246">
        <f>-675.562054094915 -70.9144681189081 -556.10556311108</f>
        <v>-1302.5820853249029</v>
      </c>
      <c r="O246">
        <f>-654.490351346475 -204.304331619456 -530.378063808348</f>
        <v>-1389.1727467742789</v>
      </c>
      <c r="P246">
        <f>-680.863713966366 -265.304676243684 -243.716803593239</f>
        <v>-1189.8851938032892</v>
      </c>
      <c r="Q246">
        <f>-506.947044798652 -123.660513115993 -331.698753878098</f>
        <v>-962.30631179274292</v>
      </c>
      <c r="R246" t="s">
        <v>2677</v>
      </c>
      <c r="S246" t="s">
        <v>2678</v>
      </c>
      <c r="T246" t="s">
        <v>2679</v>
      </c>
      <c r="U246" t="s">
        <v>2680</v>
      </c>
      <c r="V246">
        <f>-603.159995149571 -130.237912681781 -97.4463720072239</f>
        <v>-830.84427983857597</v>
      </c>
      <c r="W246" t="s">
        <v>2681</v>
      </c>
      <c r="X246" t="s">
        <v>2682</v>
      </c>
      <c r="Y246" t="s">
        <v>2683</v>
      </c>
    </row>
    <row r="247" spans="1:25" x14ac:dyDescent="0.3">
      <c r="A247">
        <v>12300</v>
      </c>
      <c r="B247" t="s">
        <v>2684</v>
      </c>
      <c r="C247">
        <f>-622.339407214588 -36.2132168135618 -98.5461060669262</f>
        <v>-757.09873009507601</v>
      </c>
      <c r="D247">
        <f>-651.779523184885 -44.7871058747177 -210.242087976441</f>
        <v>-906.80871703604362</v>
      </c>
      <c r="E247">
        <f>-666.044357612588 -47.2545933710958 -307.797561095645</f>
        <v>-1021.0965120793287</v>
      </c>
      <c r="F247">
        <f>-675.094205328662 -47.6425158199509 -396.432824030981</f>
        <v>-1119.169545179594</v>
      </c>
      <c r="G247">
        <f>-679.939250467055 -46.1199470538293 -485.384688928159</f>
        <v>-1211.4438864490432</v>
      </c>
      <c r="H247">
        <f>-682.291431783081 -41.9902906806999 -609.876589394627</f>
        <v>-1334.1583118584078</v>
      </c>
      <c r="I247">
        <f>-648.278023429322 -34.3664371179327 -685.308638817941</f>
        <v>-1367.9530993651956</v>
      </c>
      <c r="J247">
        <f>-686.591096218211 -16.635320390192 -554.09176967235</f>
        <v>-1257.3181862807528</v>
      </c>
      <c r="K247" t="s">
        <v>2685</v>
      </c>
      <c r="L247" t="s">
        <v>2686</v>
      </c>
      <c r="M247" t="s">
        <v>2687</v>
      </c>
      <c r="N247">
        <f>-675.921557320652 -70.9797667126542 -556.096049978253</f>
        <v>-1302.9973740115593</v>
      </c>
      <c r="O247">
        <f>-654.879322945117 -204.370448335565 -530.347585476426</f>
        <v>-1389.5973567571082</v>
      </c>
      <c r="P247">
        <f>-681.213101478584 -265.309315593523 -243.669660240207</f>
        <v>-1190.192077312314</v>
      </c>
      <c r="Q247">
        <f>-507.271436319542 -123.782313931976 -331.790498653271</f>
        <v>-962.84424890478897</v>
      </c>
      <c r="R247" t="s">
        <v>2688</v>
      </c>
      <c r="S247" t="s">
        <v>2689</v>
      </c>
      <c r="T247" t="s">
        <v>2690</v>
      </c>
      <c r="U247" t="s">
        <v>2691</v>
      </c>
      <c r="V247">
        <f>-603.41863531363 -130.352095941098 -97.4459709515987</f>
        <v>-831.21670220632677</v>
      </c>
      <c r="W247" t="s">
        <v>2692</v>
      </c>
      <c r="X247" t="s">
        <v>2693</v>
      </c>
      <c r="Y247" t="s">
        <v>2694</v>
      </c>
    </row>
    <row r="248" spans="1:25" x14ac:dyDescent="0.3">
      <c r="A248">
        <v>12350</v>
      </c>
      <c r="B248" t="s">
        <v>2695</v>
      </c>
      <c r="C248">
        <f>-622.445207083818 -36.2419275621508 -98.5423802608051</f>
        <v>-757.22951490677383</v>
      </c>
      <c r="D248">
        <f>-651.911740539983 -44.8136881665421 -210.231565251982</f>
        <v>-906.95699395850716</v>
      </c>
      <c r="E248">
        <f>-666.197969234644 -47.2876572912935 -307.783811129578</f>
        <v>-1021.2694376555155</v>
      </c>
      <c r="F248">
        <f>-675.266618449881 -47.6849467623159 -396.416966612642</f>
        <v>-1119.368531824839</v>
      </c>
      <c r="G248">
        <f>-680.12966283673 -46.1750928840186 -485.368136535294</f>
        <v>-1211.6728922560426</v>
      </c>
      <c r="H248">
        <f>-682.506164175613 -42.0674600037707 -609.860237912861</f>
        <v>-1334.4338620922447</v>
      </c>
      <c r="I248">
        <f>-648.501444451834 -34.4674213251967 -685.298733229553</f>
        <v>-1368.2675990065836</v>
      </c>
      <c r="J248">
        <f>-686.787534013333 -16.7011997051318 -554.079143229849</f>
        <v>-1257.5678769483138</v>
      </c>
      <c r="K248" t="s">
        <v>2696</v>
      </c>
      <c r="L248" t="s">
        <v>2697</v>
      </c>
      <c r="M248" t="s">
        <v>2698</v>
      </c>
      <c r="N248">
        <f>-676.133185001 -71.048833846786 -556.075728434579</f>
        <v>-1303.257747282365</v>
      </c>
      <c r="O248">
        <f>-655.104849687877 -204.439584734685 -530.308693762615</f>
        <v>-1389.853128185177</v>
      </c>
      <c r="P248">
        <f>-681.399175302699 -265.294443343853 -243.609395170459</f>
        <v>-1190.3030138170109</v>
      </c>
      <c r="Q248">
        <f>-507.456111215518 -123.825165110305 -331.820020453837</f>
        <v>-963.10129677966006</v>
      </c>
      <c r="R248" t="s">
        <v>2699</v>
      </c>
      <c r="S248" t="s">
        <v>2700</v>
      </c>
      <c r="T248" t="s">
        <v>2701</v>
      </c>
      <c r="U248" t="s">
        <v>2702</v>
      </c>
      <c r="V248">
        <f>-603.525318731728 -130.40596801433 -97.4430051119499</f>
        <v>-831.37429185800795</v>
      </c>
      <c r="W248" t="s">
        <v>2703</v>
      </c>
      <c r="X248" t="s">
        <v>2704</v>
      </c>
      <c r="Y248" t="s">
        <v>2705</v>
      </c>
    </row>
    <row r="249" spans="1:25" x14ac:dyDescent="0.3">
      <c r="A249">
        <v>12400</v>
      </c>
      <c r="B249" t="s">
        <v>2706</v>
      </c>
      <c r="C249">
        <f>-622.506018242596 -36.0375397006474 -98.5314384559771</f>
        <v>-757.07499639922048</v>
      </c>
      <c r="D249">
        <f>-652.042140144219 -44.6186396667279 -210.201591584599</f>
        <v>-906.86237139554589</v>
      </c>
      <c r="E249">
        <f>-666.381825636367 -47.10105833129 -307.745776400444</f>
        <v>-1021.228660368101</v>
      </c>
      <c r="F249">
        <f>-675.495969659994 -47.5060527374999 -396.374221739813</f>
        <v>-1119.3762441373069</v>
      </c>
      <c r="G249">
        <f>-680.401673518549 -46.0043864816269 -485.323212432182</f>
        <v>-1211.7292724323579</v>
      </c>
      <c r="H249">
        <f>-682.834753611423 -41.9081392529988 -609.814647213982</f>
        <v>-1334.5575400784037</v>
      </c>
      <c r="I249">
        <f>-648.880774092008 -34.339558141221 -685.279069803526</f>
        <v>-1368.4994020367549</v>
      </c>
      <c r="J249">
        <f>-687.081919652551 -16.5350763671074 -554.033936313327</f>
        <v>-1257.6509323329856</v>
      </c>
      <c r="K249" t="s">
        <v>2707</v>
      </c>
      <c r="L249" t="s">
        <v>2708</v>
      </c>
      <c r="M249" t="s">
        <v>2709</v>
      </c>
      <c r="N249">
        <f>-676.446258497609 -70.8863219127466 -556.030146899119</f>
        <v>-1303.3627273094746</v>
      </c>
      <c r="O249">
        <f>-655.460053710178 -204.282728825161 -530.259424926383</f>
        <v>-1390.002207461722</v>
      </c>
      <c r="P249">
        <f>-681.584438201932 -265.061615799879 -243.528454619359</f>
        <v>-1190.1745086211702</v>
      </c>
      <c r="Q249">
        <f>-507.623383907696 -123.69234987874 -331.864091046882</f>
        <v>-963.17982483331798</v>
      </c>
      <c r="R249" t="s">
        <v>2710</v>
      </c>
      <c r="S249" t="s">
        <v>2711</v>
      </c>
      <c r="T249" t="s">
        <v>2712</v>
      </c>
      <c r="U249" t="s">
        <v>2713</v>
      </c>
      <c r="V249">
        <f>-603.566900017721 -130.103792512597 -97.4363442702684</f>
        <v>-831.10703680058634</v>
      </c>
      <c r="W249" t="s">
        <v>2714</v>
      </c>
      <c r="X249" t="s">
        <v>2715</v>
      </c>
      <c r="Y249" t="s">
        <v>2716</v>
      </c>
    </row>
    <row r="250" spans="1:25" x14ac:dyDescent="0.3">
      <c r="A250">
        <v>12450</v>
      </c>
      <c r="B250" t="s">
        <v>2717</v>
      </c>
      <c r="C250">
        <f>-622.555822804888 -35.9972399496423 -98.5247561807407</f>
        <v>-757.07781893527101</v>
      </c>
      <c r="D250">
        <f>-652.114815363659 -44.5706905973956 -210.189348551701</f>
        <v>-906.87485451275552</v>
      </c>
      <c r="E250">
        <f>-666.475613909375 -47.0510525140447 -307.730524392841</f>
        <v>-1021.2571908162608</v>
      </c>
      <c r="F250">
        <f>-675.609475505411 -47.4558727071211 -396.356941011521</f>
        <v>-1119.422289224053</v>
      </c>
      <c r="G250">
        <f>-680.535561664042 -45.955383300335 -485.304702041669</f>
        <v>-1211.795647006046</v>
      </c>
      <c r="H250">
        <f>-682.997828810214 -41.862368751534 -609.795771125563</f>
        <v>-1334.6559686873109</v>
      </c>
      <c r="I250">
        <f>-649.081227357618 -34.3002458554463 -685.277668053114</f>
        <v>-1368.6591412661783</v>
      </c>
      <c r="J250">
        <f>-687.227228643662 -16.4869458193209 -554.014883366082</f>
        <v>-1257.7290578290649</v>
      </c>
      <c r="K250" t="s">
        <v>2718</v>
      </c>
      <c r="L250" t="s">
        <v>2719</v>
      </c>
      <c r="M250" t="s">
        <v>2720</v>
      </c>
      <c r="N250">
        <f>-676.601411013549 -70.8401079361715 -556.012047199725</f>
        <v>-1303.4535661494456</v>
      </c>
      <c r="O250">
        <f>-655.625045792494 -204.23957265856 -530.241517666048</f>
        <v>-1390.1061361171019</v>
      </c>
      <c r="P250">
        <f>-681.700039781448 -265.023075275481 -243.506906717805</f>
        <v>-1190.230021774734</v>
      </c>
      <c r="Q250">
        <f>-507.741112197018 -123.689494957265 -331.903543516071</f>
        <v>-963.33415067035412</v>
      </c>
      <c r="R250" t="s">
        <v>2721</v>
      </c>
      <c r="S250" t="s">
        <v>2722</v>
      </c>
      <c r="T250" t="s">
        <v>2723</v>
      </c>
      <c r="U250" t="s">
        <v>2724</v>
      </c>
      <c r="V250">
        <f>-603.632497625412 -130.133224442375 -97.4266136651038</f>
        <v>-831.1923357328908</v>
      </c>
      <c r="W250" t="s">
        <v>2725</v>
      </c>
      <c r="X250" t="s">
        <v>2726</v>
      </c>
      <c r="Y250" t="s">
        <v>2727</v>
      </c>
    </row>
    <row r="251" spans="1:25" x14ac:dyDescent="0.3">
      <c r="A251">
        <v>12500</v>
      </c>
      <c r="B251" t="s">
        <v>2728</v>
      </c>
      <c r="C251">
        <f>-622.665687479266 -35.8486936345589 -98.5124476452829</f>
        <v>-757.02682875910784</v>
      </c>
      <c r="D251">
        <f>-652.284033858996 -44.4133325451837 -210.16198559536</f>
        <v>-906.85935199953974</v>
      </c>
      <c r="E251">
        <f>-666.710554907415 -46.882095053366 -307.693695045767</f>
        <v>-1021.2863450065481</v>
      </c>
      <c r="F251">
        <f>-675.909844088226 -47.2741683692494 -396.313371576617</f>
        <v>-1119.4973840340924</v>
      </c>
      <c r="G251">
        <f>-680.907396210194 -45.7589317933275 -485.257040521214</f>
        <v>-1211.9233685247355</v>
      </c>
      <c r="H251">
        <f>-683.47564282623 -41.6431034331783 -609.745085536307</f>
        <v>-1334.8638317957152</v>
      </c>
      <c r="I251">
        <f>-649.652779275984 -34.0779590519278 -685.268743456744</f>
        <v>-1368.9994817846559</v>
      </c>
      <c r="J251">
        <f>-687.647634369018 -16.2760009765775 -553.956226150952</f>
        <v>-1257.8798614965476</v>
      </c>
      <c r="K251" t="s">
        <v>2729</v>
      </c>
      <c r="L251" t="s">
        <v>2730</v>
      </c>
      <c r="M251" t="s">
        <v>2731</v>
      </c>
      <c r="N251">
        <f>-677.043358970402 -70.6326500536695 -555.97210110665</f>
        <v>-1303.6481101307215</v>
      </c>
      <c r="O251">
        <f>-656.084769088166 -204.037125125894 -530.227097094037</f>
        <v>-1390.3489913080971</v>
      </c>
      <c r="P251">
        <f>-682.058089293868 -264.746794436451 -243.467784748738</f>
        <v>-1190.2726684790571</v>
      </c>
      <c r="Q251">
        <f>-507.979964058589 -123.60724192778 -331.939968823427</f>
        <v>-963.52717480979595</v>
      </c>
      <c r="R251" t="s">
        <v>2732</v>
      </c>
      <c r="S251" t="s">
        <v>2733</v>
      </c>
      <c r="T251" t="s">
        <v>2734</v>
      </c>
      <c r="U251" t="s">
        <v>2735</v>
      </c>
      <c r="V251">
        <f>-603.769954111224 -129.999052190398 -97.4162889920287</f>
        <v>-831.18529529365082</v>
      </c>
      <c r="W251" t="s">
        <v>2736</v>
      </c>
      <c r="X251" t="s">
        <v>2737</v>
      </c>
      <c r="Y251" t="s">
        <v>2738</v>
      </c>
    </row>
    <row r="252" spans="1:25" x14ac:dyDescent="0.3">
      <c r="A252">
        <v>12550</v>
      </c>
      <c r="B252" t="s">
        <v>2739</v>
      </c>
      <c r="C252">
        <f>-622.721497808631 -35.6983524438294 -98.510135676031</f>
        <v>-756.92998592849153</v>
      </c>
      <c r="D252">
        <f>-652.376512477282 -44.2695010282644 -210.149436386227</f>
        <v>-906.79544989177327</v>
      </c>
      <c r="E252">
        <f>-666.85243584129 -46.7377723315244 -307.673933436481</f>
        <v>-1021.2641416092954</v>
      </c>
      <c r="F252">
        <f>-676.103582983451 -47.1267892846056 -396.288207099375</f>
        <v>-1119.5185793674316</v>
      </c>
      <c r="G252">
        <f>-681.16022305988 -45.6060913397017 -485.228478514502</f>
        <v>-1211.9947929140837</v>
      </c>
      <c r="H252">
        <f>-683.818588466979 -41.4797322339637 -609.714242540127</f>
        <v>-1335.0125632410695</v>
      </c>
      <c r="I252">
        <f>-650.05067012293 -33.9058497174647 -685.261485355896</f>
        <v>-1369.2180051962905</v>
      </c>
      <c r="J252">
        <f>-687.947905400554 -16.1167145727477 -553.920176809974</f>
        <v>-1257.9847967832757</v>
      </c>
      <c r="K252" t="s">
        <v>2740</v>
      </c>
      <c r="L252" t="s">
        <v>2741</v>
      </c>
      <c r="M252" t="s">
        <v>2742</v>
      </c>
      <c r="N252">
        <f>-677.349682630467 -70.4741649528138 -555.948161007303</f>
        <v>-1303.7720085905839</v>
      </c>
      <c r="O252">
        <f>-656.383975820173 -203.880806647879 -530.225834119003</f>
        <v>-1390.490616587055</v>
      </c>
      <c r="P252">
        <f>-682.27064225525 -264.590060169362 -243.458563517327</f>
        <v>-1190.319265941939</v>
      </c>
      <c r="Q252">
        <f>-508.185708826636 -123.464598157532 -331.939682912807</f>
        <v>-963.58998989697488</v>
      </c>
      <c r="R252" t="s">
        <v>2743</v>
      </c>
      <c r="S252" t="s">
        <v>2744</v>
      </c>
      <c r="T252" t="s">
        <v>2745</v>
      </c>
      <c r="U252" t="s">
        <v>2746</v>
      </c>
      <c r="V252">
        <f>-603.817152747566 -129.798791015032 -97.4209947458378</f>
        <v>-831.0369385084357</v>
      </c>
      <c r="W252" t="s">
        <v>2747</v>
      </c>
      <c r="X252" t="s">
        <v>2748</v>
      </c>
      <c r="Y252" t="s">
        <v>2749</v>
      </c>
    </row>
    <row r="253" spans="1:25" x14ac:dyDescent="0.3">
      <c r="A253">
        <v>12600</v>
      </c>
      <c r="B253" t="s">
        <v>2750</v>
      </c>
      <c r="C253">
        <f>-622.890067150485 -35.5798862394818 -98.5234486514996</f>
        <v>-756.99340204146642</v>
      </c>
      <c r="D253">
        <f>-652.624772804407 -44.1713281360267 -210.139981461691</f>
        <v>-906.93608240212473</v>
      </c>
      <c r="E253">
        <f>-667.224244562798 -46.6463544983043 -307.645823504377</f>
        <v>-1021.5164225654794</v>
      </c>
      <c r="F253">
        <f>-676.609450679535 -47.0372837312894 -396.246080363256</f>
        <v>-1119.8928147740805</v>
      </c>
      <c r="G253">
        <f>-681.822106437659 -45.5143047402016 -485.177290454235</f>
        <v>-1212.5137016320957</v>
      </c>
      <c r="H253">
        <f>-684.721666342138 -41.3809885925093 -609.65748436834</f>
        <v>-1335.7601393029872</v>
      </c>
      <c r="I253">
        <f>-651.06725878054 -33.798420601013 -685.254488215158</f>
        <v>-1370.1201675967109</v>
      </c>
      <c r="J253">
        <f>-688.7368448887 -16.0199891185446 -553.854162082857</f>
        <v>-1258.6109960901017</v>
      </c>
      <c r="K253" t="s">
        <v>2751</v>
      </c>
      <c r="L253" t="s">
        <v>2752</v>
      </c>
      <c r="M253" t="s">
        <v>2753</v>
      </c>
      <c r="N253">
        <f>-678.154565043782 -70.3796262994355 -555.905727679688</f>
        <v>-1304.4399190229055</v>
      </c>
      <c r="O253">
        <f>-657.155265362357 -203.79795028378 -530.256620665228</f>
        <v>-1391.2098363113651</v>
      </c>
      <c r="P253">
        <f>-682.784841799215 -264.550854177998 -243.475519577299</f>
        <v>-1190.8112155545118</v>
      </c>
      <c r="Q253">
        <f>-508.714122209416 -123.425336677718 -331.984489689479</f>
        <v>-964.12394857661297</v>
      </c>
      <c r="R253" t="s">
        <v>2754</v>
      </c>
      <c r="S253" t="s">
        <v>2755</v>
      </c>
      <c r="T253" t="s">
        <v>2756</v>
      </c>
      <c r="U253" t="s">
        <v>2757</v>
      </c>
      <c r="V253">
        <f>-604.002719475816 -129.705985836808 -97.425573206923</f>
        <v>-831.13427851954702</v>
      </c>
      <c r="W253" t="s">
        <v>2758</v>
      </c>
      <c r="X253" t="s">
        <v>2759</v>
      </c>
      <c r="Y253" t="s">
        <v>2760</v>
      </c>
    </row>
    <row r="254" spans="1:25" x14ac:dyDescent="0.3">
      <c r="A254">
        <v>12650</v>
      </c>
      <c r="B254" t="s">
        <v>2761</v>
      </c>
      <c r="C254">
        <f>-622.997277424079 -35.5643035925266 -98.527230463321</f>
        <v>-757.08881147992656</v>
      </c>
      <c r="D254">
        <f>-652.771620857905 -44.1624245107466 -210.132746141725</f>
        <v>-907.06679151037656</v>
      </c>
      <c r="E254">
        <f>-667.437426868557 -46.6362080993665 -307.628603226999</f>
        <v>-1021.7022381949225</v>
      </c>
      <c r="F254">
        <f>-676.895473905656 -47.0235097843192 -396.221149610135</f>
        <v>-1120.1401333001102</v>
      </c>
      <c r="G254">
        <f>-682.193959245271 -45.4946453090568 -485.147060657207</f>
        <v>-1212.8356652115349</v>
      </c>
      <c r="H254">
        <f>-685.226839153718 -41.3506940803547 -609.623710933725</f>
        <v>-1336.2012441677975</v>
      </c>
      <c r="I254">
        <f>-651.633430669721 -33.7608140856687 -685.247230033699</f>
        <v>-1370.6414747890885</v>
      </c>
      <c r="J254">
        <f>-689.180126866144 -15.9939863181826 -553.814015997319</f>
        <v>-1258.9881291816455</v>
      </c>
      <c r="K254" t="s">
        <v>2762</v>
      </c>
      <c r="L254" t="s">
        <v>2763</v>
      </c>
      <c r="M254" t="s">
        <v>2764</v>
      </c>
      <c r="N254">
        <f>-678.604334420304 -70.3543891387848 -555.881464130366</f>
        <v>-1304.8401876894548</v>
      </c>
      <c r="O254">
        <f>-657.580473475011 -203.77750131306 -530.280871290227</f>
        <v>-1391.638846078298</v>
      </c>
      <c r="P254">
        <f>-683.056876551314 -264.553555877765 -243.490873010537</f>
        <v>-1191.101305439616</v>
      </c>
      <c r="Q254">
        <f>-509.047700528074 -123.366654128188 -332.023138670066</f>
        <v>-964.43749332632797</v>
      </c>
      <c r="R254" t="s">
        <v>2765</v>
      </c>
      <c r="S254" t="s">
        <v>2766</v>
      </c>
      <c r="T254" t="s">
        <v>2767</v>
      </c>
      <c r="U254" t="s">
        <v>2768</v>
      </c>
      <c r="V254">
        <f>-604.108572266783 -129.693642348912 -97.423580863061</f>
        <v>-831.22579547875603</v>
      </c>
      <c r="W254" t="s">
        <v>2769</v>
      </c>
      <c r="X254" t="s">
        <v>2770</v>
      </c>
      <c r="Y254" t="s">
        <v>2771</v>
      </c>
    </row>
    <row r="255" spans="1:25" x14ac:dyDescent="0.3">
      <c r="A255">
        <v>12700</v>
      </c>
      <c r="B255" t="s">
        <v>2772</v>
      </c>
      <c r="C255">
        <f>-623.245911111016 -35.6266401073108 -98.5192811653598</f>
        <v>-757.39183238368651</v>
      </c>
      <c r="D255">
        <f>-653.079669628625 -44.2526331435373 -210.106706578056</f>
        <v>-907.43900935021827</v>
      </c>
      <c r="E255">
        <f>-667.869704136738 -46.730833354219 -307.583697615363</f>
        <v>-1022.1842351063201</v>
      </c>
      <c r="F255">
        <f>-677.469841730871 -47.1143706087365 -396.160985501676</f>
        <v>-1120.7451978412837</v>
      </c>
      <c r="G255">
        <f>-682.940293156927 -45.5736101827966 -485.07641296852</f>
        <v>-1213.5903163082437</v>
      </c>
      <c r="H255">
        <f>-686.244722207813 -41.4044940099775 -609.545288606968</f>
        <v>-1337.1945048247585</v>
      </c>
      <c r="I255">
        <f>-652.784585749553 -33.7894841362918 -685.225244001411</f>
        <v>-1371.7993138872557</v>
      </c>
      <c r="J255">
        <f>-690.076882009374 -16.0593509175442 -553.721949774096</f>
        <v>-1259.8581827010141</v>
      </c>
      <c r="K255" t="s">
        <v>2773</v>
      </c>
      <c r="L255" t="s">
        <v>2774</v>
      </c>
      <c r="M255" t="s">
        <v>2775</v>
      </c>
      <c r="N255">
        <f>-679.504322538318 -70.4189578130254 -555.823392912623</f>
        <v>-1305.7466732639664</v>
      </c>
      <c r="O255">
        <f>-658.41574421578 -203.846927610802 -530.314868205781</f>
        <v>-1392.577540032363</v>
      </c>
      <c r="P255">
        <f>-683.614256189977 -264.714875517276 -243.519996513873</f>
        <v>-1191.849128221126</v>
      </c>
      <c r="Q255">
        <f>-509.728818994059 -123.414555347162 -332.114241428592</f>
        <v>-965.25761576981301</v>
      </c>
      <c r="R255" t="s">
        <v>2776</v>
      </c>
      <c r="S255" t="s">
        <v>2777</v>
      </c>
      <c r="T255" t="s">
        <v>2778</v>
      </c>
      <c r="U255" t="s">
        <v>2779</v>
      </c>
      <c r="V255">
        <f>-604.350873868419 -129.82719170036 -97.4113652852692</f>
        <v>-831.58943085404815</v>
      </c>
      <c r="W255" t="s">
        <v>2780</v>
      </c>
      <c r="X255" t="s">
        <v>2781</v>
      </c>
      <c r="Y255" t="s">
        <v>2782</v>
      </c>
    </row>
    <row r="256" spans="1:25" x14ac:dyDescent="0.3">
      <c r="A256">
        <v>12750</v>
      </c>
      <c r="B256" t="s">
        <v>2783</v>
      </c>
      <c r="C256">
        <f>-623.354111491931 -35.5342849697529 -98.52080949749</f>
        <v>-757.40920595917396</v>
      </c>
      <c r="D256">
        <f>-653.212985023407 -44.1636659110815 -210.101287746301</f>
        <v>-907.47793868078952</v>
      </c>
      <c r="E256">
        <f>-668.06504144992 -46.6442562563382 -307.568722366003</f>
        <v>-1022.2780200722611</v>
      </c>
      <c r="F256">
        <f>-677.737754133237 -47.0295415765096 -396.138177834778</f>
        <v>-1120.9054735445245</v>
      </c>
      <c r="G256">
        <f>-683.297281985727 -45.4901556361395 -485.048015573018</f>
        <v>-1213.8354531948844</v>
      </c>
      <c r="H256">
        <f>-686.743443613467 -41.3224549652243 -609.513125979877</f>
        <v>-1337.5790245585683</v>
      </c>
      <c r="I256">
        <f>-653.353105080958 -33.7001814259474 -685.223197790962</f>
        <v>-1372.2764842978675</v>
      </c>
      <c r="J256">
        <f>-690.511190989913 -15.9764594921671 -553.685827446231</f>
        <v>-1260.1734779283111</v>
      </c>
      <c r="K256" t="s">
        <v>2784</v>
      </c>
      <c r="L256" t="s">
        <v>2785</v>
      </c>
      <c r="M256" t="s">
        <v>2786</v>
      </c>
      <c r="N256">
        <f>-679.942755746748 -70.3364566944836 -555.7986019747</f>
        <v>-1306.0778144159317</v>
      </c>
      <c r="O256">
        <f>-658.825998375807 -203.767776845266 -530.324824305194</f>
        <v>-1392.9185995262669</v>
      </c>
      <c r="P256">
        <f>-683.912559204155 -264.651022827368 -243.523472149074</f>
        <v>-1192.0870541805971</v>
      </c>
      <c r="Q256">
        <f>-510.046055268167 -123.339279574039 -332.136516793374</f>
        <v>-965.52185163558011</v>
      </c>
      <c r="R256" t="s">
        <v>2787</v>
      </c>
      <c r="S256" t="s">
        <v>2788</v>
      </c>
      <c r="T256" t="s">
        <v>2789</v>
      </c>
      <c r="U256" t="s">
        <v>2790</v>
      </c>
      <c r="V256">
        <f>-604.475232266239 -129.658160349524 -97.4111463228483</f>
        <v>-831.54453893861125</v>
      </c>
      <c r="W256" t="s">
        <v>2791</v>
      </c>
      <c r="X256" t="s">
        <v>2792</v>
      </c>
      <c r="Y256" t="s">
        <v>2793</v>
      </c>
    </row>
    <row r="257" spans="1:25" x14ac:dyDescent="0.3">
      <c r="A257">
        <v>12800</v>
      </c>
      <c r="B257" t="s">
        <v>2794</v>
      </c>
      <c r="C257">
        <f>-623.60191713688 -35.5435172607013 -98.5082597384687</f>
        <v>-757.65369413605004</v>
      </c>
      <c r="D257">
        <f>-653.493266081214 -44.1568394369582 -210.08127528199</f>
        <v>-907.73138080016213</v>
      </c>
      <c r="E257">
        <f>-668.461361193539 -46.6427599286785 -307.530962993016</f>
        <v>-1022.6350841152334</v>
      </c>
      <c r="F257">
        <f>-678.275114179729 -47.040165419644 -396.084686704119</f>
        <v>-1121.399966303492</v>
      </c>
      <c r="G257">
        <f>-684.012332447376 -45.5199112280479 -484.983694291063</f>
        <v>-1214.5159379664869</v>
      </c>
      <c r="H257">
        <f>-687.745317259552 -41.3856425046138 -609.44163167184</f>
        <v>-1338.572591436006</v>
      </c>
      <c r="I257">
        <f>-654.491020706321 -33.7697977018584 -685.21215981925</f>
        <v>-1373.4729782274294</v>
      </c>
      <c r="J257">
        <f>-691.383453449478 -16.0244312714021 -553.61251356096</f>
        <v>-1261.0203982818402</v>
      </c>
      <c r="K257" t="s">
        <v>2795</v>
      </c>
      <c r="L257" t="s">
        <v>2796</v>
      </c>
      <c r="M257" t="s">
        <v>2797</v>
      </c>
      <c r="N257">
        <f>-680.821787250189 -70.3854017625789 -555.735046657157</f>
        <v>-1306.9422356699249</v>
      </c>
      <c r="O257">
        <f>-659.654515441809 -203.82044877876 -530.32122351915</f>
        <v>-1393.796187739719</v>
      </c>
      <c r="P257">
        <f>-684.518972705095 -264.744447610179 -243.509043258401</f>
        <v>-1192.7724635736749</v>
      </c>
      <c r="Q257">
        <f>-510.700113704167 -123.356559354147 -332.094302452713</f>
        <v>-966.15097551102701</v>
      </c>
      <c r="R257" t="s">
        <v>2798</v>
      </c>
      <c r="S257" t="s">
        <v>2799</v>
      </c>
      <c r="T257" t="s">
        <v>2800</v>
      </c>
      <c r="U257" t="s">
        <v>2801</v>
      </c>
      <c r="V257">
        <f>-604.784816083272 -129.722275222166 -97.4001075038867</f>
        <v>-831.90719880932465</v>
      </c>
      <c r="W257" t="s">
        <v>2802</v>
      </c>
      <c r="X257" t="s">
        <v>2803</v>
      </c>
      <c r="Y257" t="s">
        <v>2804</v>
      </c>
    </row>
    <row r="258" spans="1:25" x14ac:dyDescent="0.3">
      <c r="A258">
        <v>12850</v>
      </c>
      <c r="B258" t="s">
        <v>2805</v>
      </c>
      <c r="C258">
        <f>-623.712199527136 -35.5805371612794 -98.4934225152226</f>
        <v>-757.78615920363802</v>
      </c>
      <c r="D258">
        <f>-653.618943945899 -44.1881044063693 -210.062680611396</f>
        <v>-907.86972896366433</v>
      </c>
      <c r="E258">
        <f>-668.64095688744 -46.6784284417788 -307.504023379297</f>
        <v>-1022.8234087085158</v>
      </c>
      <c r="F258">
        <f>-678.520216969393 -47.0837128291485 -396.050500703603</f>
        <v>-1121.6544305021444</v>
      </c>
      <c r="G258">
        <f>-684.339695165354 -45.5748617527878 -484.944278469781</f>
        <v>-1214.8588353879227</v>
      </c>
      <c r="H258">
        <f>-688.205191263498 -41.4602648318528 -609.398815881781</f>
        <v>-1339.0642719771317</v>
      </c>
      <c r="I258">
        <f>-655.011398064148 -33.8564452606304 -685.197115075809</f>
        <v>-1374.0649584005873</v>
      </c>
      <c r="J258">
        <f>-691.783544820604 -16.0901593113949 -553.5699267738</f>
        <v>-1261.443630905799</v>
      </c>
      <c r="K258" t="s">
        <v>2806</v>
      </c>
      <c r="L258" t="s">
        <v>2807</v>
      </c>
      <c r="M258" t="s">
        <v>2808</v>
      </c>
      <c r="N258">
        <f>-681.224849867179 -70.4515083938805 -555.695156971705</f>
        <v>-1307.3715152327645</v>
      </c>
      <c r="O258">
        <f>-660.038980868872 -203.885448697142 -530.298871682864</f>
        <v>-1394.2233012488782</v>
      </c>
      <c r="P258">
        <f>-684.782117986582 -264.827293152296 -243.479865236918</f>
        <v>-1193.0892763757959</v>
      </c>
      <c r="Q258">
        <f>-511.008162288594 -123.395539387438 -332.083075607376</f>
        <v>-966.48677728340795</v>
      </c>
      <c r="R258" t="s">
        <v>2809</v>
      </c>
      <c r="S258" t="s">
        <v>2810</v>
      </c>
      <c r="T258" t="s">
        <v>2811</v>
      </c>
      <c r="U258" t="s">
        <v>2812</v>
      </c>
      <c r="V258">
        <f>-604.909854208565 -129.765956674882 -97.4037744974366</f>
        <v>-832.0795853808836</v>
      </c>
      <c r="W258" t="s">
        <v>2813</v>
      </c>
      <c r="X258" t="s">
        <v>2814</v>
      </c>
      <c r="Y258" t="s">
        <v>2815</v>
      </c>
    </row>
    <row r="259" spans="1:25" x14ac:dyDescent="0.3">
      <c r="A259">
        <v>12900</v>
      </c>
      <c r="B259" t="s">
        <v>2816</v>
      </c>
      <c r="C259">
        <f>-623.857154478716 -35.5839406973341 -98.4739180558039</f>
        <v>-757.915013231854</v>
      </c>
      <c r="D259">
        <f>-653.777505555713 -44.1907982913234 -210.039602406198</f>
        <v>-908.00790625323441</v>
      </c>
      <c r="E259">
        <f>-668.870880498287 -46.6961123797104 -307.469410806283</f>
        <v>-1023.0364036842803</v>
      </c>
      <c r="F259">
        <f>-678.838696838596 -47.1213579081848 -396.005953039577</f>
        <v>-1121.9660077863577</v>
      </c>
      <c r="G259">
        <f>-684.771152867501 -45.6392907360415 -484.892685602754</f>
        <v>-1215.3031292062965</v>
      </c>
      <c r="H259">
        <f>-688.819829804041 -41.5695336676686 -609.342904292441</f>
        <v>-1339.7322677641505</v>
      </c>
      <c r="I259">
        <f>-655.706343658224 -33.9975387244622 -685.179406405852</f>
        <v>-1374.8832887885383</v>
      </c>
      <c r="J259">
        <f>-692.313314651486 -16.1788789408388 -553.517848902561</f>
        <v>-1262.010042494886</v>
      </c>
      <c r="K259" t="s">
        <v>2817</v>
      </c>
      <c r="L259" t="s">
        <v>2818</v>
      </c>
      <c r="M259" t="s">
        <v>2819</v>
      </c>
      <c r="N259">
        <f>-681.763125477397 -70.5420421534105 -555.638949984599</f>
        <v>-1307.9441176154064</v>
      </c>
      <c r="O259">
        <f>-660.545607936767 -203.977276045452 -530.268297407889</f>
        <v>-1394.791181390108</v>
      </c>
      <c r="P259">
        <f>-685.111005343018 -264.9482214816 -243.440251651068</f>
        <v>-1193.4994784756859</v>
      </c>
      <c r="Q259">
        <f>-511.44147864792 -123.418199710397 -332.091328778055</f>
        <v>-966.95100713637203</v>
      </c>
      <c r="R259" t="s">
        <v>2820</v>
      </c>
      <c r="S259" t="s">
        <v>2821</v>
      </c>
      <c r="T259" t="s">
        <v>2822</v>
      </c>
      <c r="U259" t="s">
        <v>2823</v>
      </c>
      <c r="V259">
        <f>-605.02750344404 -129.74675652009 -97.3952450132413</f>
        <v>-832.16950497737128</v>
      </c>
      <c r="W259" t="s">
        <v>2824</v>
      </c>
      <c r="X259" t="s">
        <v>2825</v>
      </c>
      <c r="Y259" t="s">
        <v>2826</v>
      </c>
    </row>
    <row r="260" spans="1:25" x14ac:dyDescent="0.3">
      <c r="A260">
        <v>12950</v>
      </c>
      <c r="B260" t="s">
        <v>2827</v>
      </c>
      <c r="C260">
        <f>-623.868090647836 -35.6422005981779 -98.4675929632947</f>
        <v>-757.97788420930851</v>
      </c>
      <c r="D260">
        <f>-653.78760523638 -44.2493278024018 -210.033666504365</f>
        <v>-908.07059954314684</v>
      </c>
      <c r="E260">
        <f>-668.900460511328 -46.7535903756539 -307.460376259963</f>
        <v>-1023.1144271469449</v>
      </c>
      <c r="F260">
        <f>-678.894408490044 -47.1771755931418 -395.993968841173</f>
        <v>-1122.0655529243588</v>
      </c>
      <c r="G260">
        <f>-684.861128205964 -45.6928226689698 -484.878338134833</f>
        <v>-1215.4322890097667</v>
      </c>
      <c r="H260">
        <f>-688.966530053305 -41.6192707129726 -609.326545175914</f>
        <v>-1339.9123459421917</v>
      </c>
      <c r="I260">
        <f>-655.882294563171 -34.0541546490094 -685.176641190498</f>
        <v>-1375.1130904026784</v>
      </c>
      <c r="J260">
        <f>-692.438298512782 -16.2309190708202 -553.499260039279</f>
        <v>-1262.1684776228813</v>
      </c>
      <c r="K260" t="s">
        <v>2828</v>
      </c>
      <c r="L260" t="s">
        <v>2829</v>
      </c>
      <c r="M260" t="s">
        <v>2830</v>
      </c>
      <c r="N260">
        <f>-681.881528359787 -70.5926000106449 -555.626980682852</f>
        <v>-1308.1011090532838</v>
      </c>
      <c r="O260">
        <f>-660.639912532254 -204.025610532901 -530.269076009818</f>
        <v>-1394.934599074973</v>
      </c>
      <c r="P260">
        <f>-685.18314660934 -264.990232278553 -243.437804910509</f>
        <v>-1193.611183798402</v>
      </c>
      <c r="Q260">
        <f>-511.504281223446 -123.474542271903 -332.093379187383</f>
        <v>-967.07220268273204</v>
      </c>
      <c r="R260" t="s">
        <v>2831</v>
      </c>
      <c r="S260" t="s">
        <v>2832</v>
      </c>
      <c r="T260" t="s">
        <v>2833</v>
      </c>
      <c r="U260" t="s">
        <v>2834</v>
      </c>
      <c r="V260">
        <f>-605.007972478005 -129.80974058851 -97.3866313899068</f>
        <v>-832.20434445642172</v>
      </c>
      <c r="W260" t="s">
        <v>2835</v>
      </c>
      <c r="X260" t="s">
        <v>2836</v>
      </c>
      <c r="Y260" t="s">
        <v>2837</v>
      </c>
    </row>
    <row r="261" spans="1:25" x14ac:dyDescent="0.3">
      <c r="A261">
        <v>13000</v>
      </c>
      <c r="B261" t="s">
        <v>2838</v>
      </c>
      <c r="C261">
        <f>-623.940878974223 -35.5506831948669 -98.4762029250998</f>
        <v>-757.96776509418964</v>
      </c>
      <c r="D261">
        <f>-653.865407625681 -44.1539013282497 -210.041097060996</f>
        <v>-908.06040601492668</v>
      </c>
      <c r="E261">
        <f>-669.03633830088 -46.6805352013965 -307.458267059249</f>
        <v>-1023.1751405615255</v>
      </c>
      <c r="F261">
        <f>-679.104509651934 -47.1353736817132 -395.983249340838</f>
        <v>-1122.2231326744852</v>
      </c>
      <c r="G261">
        <f>-685.167385641096 -45.6930510992 -484.861888649745</f>
        <v>-1215.7223253900411</v>
      </c>
      <c r="H261">
        <f>-689.430180940472 -41.6897658062949 -609.307034768439</f>
        <v>-1340.4269815152061</v>
      </c>
      <c r="I261">
        <f>-656.400929141707 -34.1582613042758 -685.184445549207</f>
        <v>-1375.7436359951898</v>
      </c>
      <c r="J261">
        <f>-692.833026627852 -16.2703383306005 -553.489636557776</f>
        <v>-1262.5930015162285</v>
      </c>
      <c r="K261" t="s">
        <v>2839</v>
      </c>
      <c r="L261" t="s">
        <v>2840</v>
      </c>
      <c r="M261" t="s">
        <v>2841</v>
      </c>
      <c r="N261">
        <f>-682.275611667479 -70.6325157415632 -555.60014006915</f>
        <v>-1308.5082674781922</v>
      </c>
      <c r="O261">
        <f>-660.954903717854 -204.058060196783 -530.268029210863</f>
        <v>-1395.2809931255001</v>
      </c>
      <c r="P261">
        <f>-685.416852931643 -265.041342802092 -243.433766882456</f>
        <v>-1193.891962616191</v>
      </c>
      <c r="Q261">
        <f>-511.845055570471 -123.357177091271 -332.030210576448</f>
        <v>-967.23244323818994</v>
      </c>
      <c r="R261" t="s">
        <v>2842</v>
      </c>
      <c r="S261" t="s">
        <v>2843</v>
      </c>
      <c r="T261" t="s">
        <v>2844</v>
      </c>
      <c r="U261" t="s">
        <v>2845</v>
      </c>
      <c r="V261">
        <f>-605.071189711764 -129.626207928209 -97.3982497189832</f>
        <v>-832.09564735895606</v>
      </c>
      <c r="W261" t="s">
        <v>2846</v>
      </c>
      <c r="X261" t="s">
        <v>2847</v>
      </c>
      <c r="Y261" t="s">
        <v>2848</v>
      </c>
    </row>
    <row r="262" spans="1:25" x14ac:dyDescent="0.3">
      <c r="A262">
        <v>13050</v>
      </c>
      <c r="B262" t="s">
        <v>2849</v>
      </c>
      <c r="C262">
        <f>-623.987084332519 -35.507354842443 -98.4678265418563</f>
        <v>-757.96226571681825</v>
      </c>
      <c r="D262">
        <f>-653.925280229685 -44.1171747417791 -210.028538693014</f>
        <v>-908.07099366447801</v>
      </c>
      <c r="E262">
        <f>-669.127778025285 -46.6554254894902 -307.440534448336</f>
        <v>-1023.2237379631113</v>
      </c>
      <c r="F262">
        <f>-679.232587372844 -47.1232771860944 -395.961353021817</f>
        <v>-1122.3172175807554</v>
      </c>
      <c r="G262">
        <f>-685.340257134993 -45.696533713139 -484.837069355512</f>
        <v>-1215.873860203644</v>
      </c>
      <c r="H262">
        <f>-689.67407811122 -41.7172870234413 -609.2806129995</f>
        <v>-1340.6719781341612</v>
      </c>
      <c r="I262">
        <f>-656.670322820435 -34.1917031088469 -685.169572993828</f>
        <v>-1376.0315989231099</v>
      </c>
      <c r="J262">
        <f>-693.047868736526 -16.2876032411114 -553.466068778895</f>
        <v>-1262.8015407565322</v>
      </c>
      <c r="K262" t="s">
        <v>2850</v>
      </c>
      <c r="L262" t="s">
        <v>2851</v>
      </c>
      <c r="M262" t="s">
        <v>2852</v>
      </c>
      <c r="N262">
        <f>-682.485948085932 -70.6490199232404 -555.572105417287</f>
        <v>-1308.7070734264594</v>
      </c>
      <c r="O262">
        <f>-661.131645851897 -204.074619198822 -530.24886450132</f>
        <v>-1395.4551295520391</v>
      </c>
      <c r="P262">
        <f>-685.475040191632 -265.15073132052 -243.424298194957</f>
        <v>-1194.0500697071091</v>
      </c>
      <c r="Q262">
        <f>-511.986431752631 -123.34464275233 -331.988555641826</f>
        <v>-967.31963014678695</v>
      </c>
      <c r="R262" t="s">
        <v>2853</v>
      </c>
      <c r="S262" t="s">
        <v>2854</v>
      </c>
      <c r="T262" t="s">
        <v>2855</v>
      </c>
      <c r="U262" t="s">
        <v>2856</v>
      </c>
      <c r="V262">
        <f>-605.127254808754 -129.597517475305 -97.3965023381257</f>
        <v>-832.12127462218473</v>
      </c>
      <c r="W262" t="s">
        <v>2857</v>
      </c>
      <c r="X262" t="s">
        <v>2858</v>
      </c>
      <c r="Y262" t="s">
        <v>2859</v>
      </c>
    </row>
    <row r="263" spans="1:25" x14ac:dyDescent="0.3">
      <c r="A263">
        <v>13100</v>
      </c>
      <c r="B263" t="s">
        <v>2860</v>
      </c>
      <c r="C263">
        <f>-624.026944757731 -35.5372666354083 -98.4678416771654</f>
        <v>-758.03205307030476</v>
      </c>
      <c r="D263">
        <f>-653.974820434228 -44.1685393568054 -210.024331900227</f>
        <v>-908.16769169126042</v>
      </c>
      <c r="E263">
        <f>-669.22521084525 -46.7304891554123 -307.428333108211</f>
        <v>-1023.3840331088734</v>
      </c>
      <c r="F263">
        <f>-679.389533920251 -47.2213555770758 -395.94198958138</f>
        <v>-1122.5528790787068</v>
      </c>
      <c r="G263">
        <f>-685.573139706224 -45.819332789487 -484.812860680567</f>
        <v>-1216.2053331762779</v>
      </c>
      <c r="H263">
        <f>-690.030395255423 -41.8761774943202 -609.253287223632</f>
        <v>-1341.1598599733752</v>
      </c>
      <c r="I263">
        <f>-657.064847981233 -34.3507893673657 -685.158990167041</f>
        <v>-1376.5746275156398</v>
      </c>
      <c r="J263">
        <f>-693.354793724974 -16.4313918982082 -553.442670273403</f>
        <v>-1263.2288558965852</v>
      </c>
      <c r="K263" t="s">
        <v>2861</v>
      </c>
      <c r="L263" t="s">
        <v>2862</v>
      </c>
      <c r="M263" t="s">
        <v>2863</v>
      </c>
      <c r="N263">
        <f>-682.783085240714 -70.791281209345 -555.543832419634</f>
        <v>-1309.1181988696931</v>
      </c>
      <c r="O263">
        <f>-661.349957773718 -204.199118582964 -530.228055800541</f>
        <v>-1395.7771321572231</v>
      </c>
      <c r="P263">
        <f>-685.511751776599 -265.324296235521 -243.398740588442</f>
        <v>-1194.2347886005621</v>
      </c>
      <c r="Q263">
        <f>-512.172177874591 -123.345174773683 -331.977409339923</f>
        <v>-967.49476198819684</v>
      </c>
      <c r="R263" t="s">
        <v>2864</v>
      </c>
      <c r="S263" t="s">
        <v>2865</v>
      </c>
      <c r="T263" t="s">
        <v>2866</v>
      </c>
      <c r="U263" t="s">
        <v>2867</v>
      </c>
      <c r="V263">
        <f>-605.164516920336 -129.678528719254 -97.3843645102717</f>
        <v>-832.22741014986173</v>
      </c>
      <c r="W263" t="s">
        <v>2868</v>
      </c>
      <c r="X263" t="s">
        <v>2869</v>
      </c>
      <c r="Y263" t="s">
        <v>2870</v>
      </c>
    </row>
    <row r="264" spans="1:25" x14ac:dyDescent="0.3">
      <c r="A264">
        <v>13150</v>
      </c>
      <c r="B264" t="s">
        <v>2871</v>
      </c>
      <c r="C264">
        <f>-624.029720803796 -35.5450079027278 -98.4766581901537</f>
        <v>-758.0513868966774</v>
      </c>
      <c r="D264">
        <f>-653.97336333362 -44.1838223438282 -210.033662035048</f>
        <v>-908.19084771249618</v>
      </c>
      <c r="E264">
        <f>-669.241401352043 -46.7574531796009 -307.434439989955</f>
        <v>-1023.433294521599</v>
      </c>
      <c r="F264">
        <f>-679.430375184493 -47.2612249876127 -395.945331700508</f>
        <v>-1122.6369318726136</v>
      </c>
      <c r="G264">
        <f>-685.647423408322 -45.8739134409141 -484.814064198344</f>
        <v>-1216.33540104758</v>
      </c>
      <c r="H264">
        <f>-690.160598402379 -41.9534955490517 -609.25308133759</f>
        <v>-1341.3671752890207</v>
      </c>
      <c r="I264">
        <f>-657.217153279408 -34.4344267287579 -685.169098375434</f>
        <v>-1376.8206783835999</v>
      </c>
      <c r="J264">
        <f>-693.461642053476 -16.4989649611987 -553.445595439082</f>
        <v>-1263.4062024537566</v>
      </c>
      <c r="K264" t="s">
        <v>2872</v>
      </c>
      <c r="L264" t="s">
        <v>2873</v>
      </c>
      <c r="M264" t="s">
        <v>2874</v>
      </c>
      <c r="N264">
        <f>-682.887492364404 -70.858468220017 -555.541720702776</f>
        <v>-1309.2876812871971</v>
      </c>
      <c r="O264">
        <f>-661.423264996738 -204.263942650041 -530.218169251388</f>
        <v>-1395.9053768981671</v>
      </c>
      <c r="P264">
        <f>-685.524073993261 -265.354092032919 -243.376078754489</f>
        <v>-1194.2542447806691</v>
      </c>
      <c r="Q264">
        <f>-512.244896778899 -123.31040411306 -331.969608131724</f>
        <v>-967.52490902368299</v>
      </c>
      <c r="R264" t="s">
        <v>2875</v>
      </c>
      <c r="S264" t="s">
        <v>2876</v>
      </c>
      <c r="T264" t="s">
        <v>2877</v>
      </c>
      <c r="U264" t="s">
        <v>2878</v>
      </c>
      <c r="V264">
        <f>-605.157170389369 -129.671864492554 -97.3858835351916</f>
        <v>-832.21491841711463</v>
      </c>
      <c r="W264" t="s">
        <v>2879</v>
      </c>
      <c r="X264" t="s">
        <v>2880</v>
      </c>
      <c r="Y264" t="s">
        <v>2881</v>
      </c>
    </row>
    <row r="265" spans="1:25" x14ac:dyDescent="0.3">
      <c r="A265">
        <v>13200</v>
      </c>
      <c r="B265" t="s">
        <v>2882</v>
      </c>
      <c r="C265">
        <f>-623.989371221516 -35.6195324124685 -98.4866341953494</f>
        <v>-758.09553782933392</v>
      </c>
      <c r="D265">
        <f>-653.914144675185 -44.2628468351294 -210.048341677472</f>
        <v>-908.2253331877863</v>
      </c>
      <c r="E265">
        <f>-669.194921998541 -46.8451024497845 -307.446997765683</f>
        <v>-1023.4870222140084</v>
      </c>
      <c r="F265">
        <f>-679.407498572291 -47.35837642348 -395.955000051713</f>
        <v>-1122.720875047484</v>
      </c>
      <c r="G265">
        <f>-685.660412658743 -45.9818200144178 -484.821483663781</f>
        <v>-1216.4637163369418</v>
      </c>
      <c r="H265">
        <f>-690.236818464249 -42.0775218474575 -609.258753111747</f>
        <v>-1341.5730934234534</v>
      </c>
      <c r="I265">
        <f>-657.360311146911 -34.570539057105 -685.204880680626</f>
        <v>-1377.135730884642</v>
      </c>
      <c r="J265">
        <f>-693.52015145099 -16.6178565254997 -553.452500142593</f>
        <v>-1263.5905081190826</v>
      </c>
      <c r="K265" t="s">
        <v>2883</v>
      </c>
      <c r="L265" t="s">
        <v>2884</v>
      </c>
      <c r="M265" t="s">
        <v>2885</v>
      </c>
      <c r="N265">
        <f>-682.925793382299 -70.9734361801131 -555.547594603631</f>
        <v>-1309.4468241660431</v>
      </c>
      <c r="O265">
        <f>-661.41820610746 -204.368794017999 -530.199902817553</f>
        <v>-1395.986902943012</v>
      </c>
      <c r="P265">
        <f>-685.467217963526 -265.325543931201 -243.325247019692</f>
        <v>-1194.1180089144189</v>
      </c>
      <c r="Q265">
        <f>-512.233398862143 -123.247274212569 -331.951757689898</f>
        <v>-967.43243076460999</v>
      </c>
      <c r="R265" t="s">
        <v>2886</v>
      </c>
      <c r="S265" t="s">
        <v>2887</v>
      </c>
      <c r="T265" t="s">
        <v>2888</v>
      </c>
      <c r="U265" t="s">
        <v>2889</v>
      </c>
      <c r="V265">
        <f>-605.100616012968 -129.771688993262 -97.3845674808315</f>
        <v>-832.2568724870614</v>
      </c>
      <c r="W265" t="s">
        <v>2890</v>
      </c>
      <c r="X265" t="s">
        <v>2891</v>
      </c>
      <c r="Y265" t="s">
        <v>2892</v>
      </c>
    </row>
    <row r="266" spans="1:25" x14ac:dyDescent="0.3">
      <c r="A266">
        <v>13250</v>
      </c>
      <c r="B266" t="s">
        <v>2893</v>
      </c>
      <c r="C266">
        <f>-623.942608041622 -35.6379050615708 -98.4929513085629</f>
        <v>-758.07346441175559</v>
      </c>
      <c r="D266">
        <f>-653.848259338111 -44.2775620084091 -210.060181318526</f>
        <v>-908.18600266504609</v>
      </c>
      <c r="E266">
        <f>-669.119391964771 -46.8610067007631 -307.460122837614</f>
        <v>-1023.4405215031481</v>
      </c>
      <c r="F266">
        <f>-679.326121557341 -47.3767321507906 -395.969002672669</f>
        <v>-1122.6718563808006</v>
      </c>
      <c r="G266">
        <f>-685.576370256372 -46.0040175705535 -484.835729994779</f>
        <v>-1216.4161178217046</v>
      </c>
      <c r="H266">
        <f>-690.152295278005 -42.1062038281273 -609.273102305729</f>
        <v>-1341.5316014118612</v>
      </c>
      <c r="I266">
        <f>-657.32490148275 -34.607406618914 -685.241261405424</f>
        <v>-1377.1735695070879</v>
      </c>
      <c r="J266">
        <f>-693.440700694286 -16.6445203331009 -553.468065354118</f>
        <v>-1263.5532863815049</v>
      </c>
      <c r="K266" t="s">
        <v>2894</v>
      </c>
      <c r="L266" t="s">
        <v>2895</v>
      </c>
      <c r="M266" t="s">
        <v>2896</v>
      </c>
      <c r="N266">
        <f>-682.836571362148 -70.9984473590342 -555.560609243826</f>
        <v>-1309.3956279650083</v>
      </c>
      <c r="O266">
        <f>-661.32112480818 -204.384554854631 -530.181528619235</f>
        <v>-1395.887208282046</v>
      </c>
      <c r="P266">
        <f>-685.383009343166 -265.346366283999 -243.308865259612</f>
        <v>-1194.038240886777</v>
      </c>
      <c r="Q266">
        <f>-512.131187291181 -123.295019802296 -331.943656060722</f>
        <v>-967.36986315419904</v>
      </c>
      <c r="R266" t="s">
        <v>2897</v>
      </c>
      <c r="S266" t="s">
        <v>2898</v>
      </c>
      <c r="T266" t="s">
        <v>2899</v>
      </c>
      <c r="U266" t="s">
        <v>2900</v>
      </c>
      <c r="V266">
        <f>-605.057011845718 -129.774555263425 -97.3885258603269</f>
        <v>-832.22009296946987</v>
      </c>
      <c r="W266" t="s">
        <v>2901</v>
      </c>
      <c r="X266" t="s">
        <v>2902</v>
      </c>
      <c r="Y266" t="s">
        <v>2903</v>
      </c>
    </row>
    <row r="267" spans="1:25" x14ac:dyDescent="0.3">
      <c r="A267">
        <v>13300</v>
      </c>
      <c r="B267" t="s">
        <v>2904</v>
      </c>
      <c r="C267">
        <f>-623.886231016421 -35.5444779262812 -98.4998289190974</f>
        <v>-757.93053786179951</v>
      </c>
      <c r="D267">
        <f>-653.746765863638 -44.1754024637179 -210.079783800774</f>
        <v>-908.00195212812991</v>
      </c>
      <c r="E267">
        <f>-668.99466991264 -46.7608384215321 -307.483420720589</f>
        <v>-1023.238929054761</v>
      </c>
      <c r="F267">
        <f>-679.186961688512 -47.2820024523097 -395.993894092587</f>
        <v>-1122.4628582334087</v>
      </c>
      <c r="G267">
        <f>-685.429289004578 -45.9187308408532 -484.861156408385</f>
        <v>-1216.2091762538162</v>
      </c>
      <c r="H267">
        <f>-690.001177494008 -42.0379890581889 -609.299352631993</f>
        <v>-1341.3385191841899</v>
      </c>
      <c r="I267">
        <f>-657.235456324342 -34.5569492257664 -685.29583507369</f>
        <v>-1377.0882406237984</v>
      </c>
      <c r="J267">
        <f>-693.293841394531 -16.5691099842106 -553.497885791956</f>
        <v>-1263.3608371706978</v>
      </c>
      <c r="K267" t="s">
        <v>2905</v>
      </c>
      <c r="L267" t="s">
        <v>2906</v>
      </c>
      <c r="M267" t="s">
        <v>2907</v>
      </c>
      <c r="N267">
        <f>-682.684787510483 -70.9222628483834 -555.582678881383</f>
        <v>-1309.1897292402496</v>
      </c>
      <c r="O267">
        <f>-661.163787473416 -204.306127762625 -530.18551988178</f>
        <v>-1395.6554351178211</v>
      </c>
      <c r="P267">
        <f>-685.291113117102 -265.19103333102 -243.302061890854</f>
        <v>-1193.784208338976</v>
      </c>
      <c r="Q267">
        <f>-512.003530921548 -123.170808246132 -331.916693882201</f>
        <v>-967.09103304988093</v>
      </c>
      <c r="R267" t="s">
        <v>2908</v>
      </c>
      <c r="S267" t="s">
        <v>2909</v>
      </c>
      <c r="T267" t="s">
        <v>2910</v>
      </c>
      <c r="U267" t="s">
        <v>2911</v>
      </c>
      <c r="V267">
        <f>-604.998716212281 -129.611393829325 -97.3916136372009</f>
        <v>-832.00172367880691</v>
      </c>
      <c r="W267" t="s">
        <v>2912</v>
      </c>
      <c r="X267" t="s">
        <v>2913</v>
      </c>
      <c r="Y267" t="s">
        <v>2914</v>
      </c>
    </row>
    <row r="268" spans="1:25" x14ac:dyDescent="0.3">
      <c r="A268">
        <v>13350</v>
      </c>
      <c r="B268" t="s">
        <v>2915</v>
      </c>
      <c r="C268">
        <f>-623.736441378357 -35.631549659156 -98.5050754975545</f>
        <v>-757.87306653506744</v>
      </c>
      <c r="D268">
        <f>-653.454128402728 -44.2441433322496 -210.124496785966</f>
        <v>-907.82276852094355</v>
      </c>
      <c r="E268">
        <f>-668.601524118316 -46.828550602841 -307.543888944576</f>
        <v>-1022.973963665733</v>
      </c>
      <c r="F268">
        <f>-678.712386959338 -47.3551270419083 -396.063551118048</f>
        <v>-1122.1310651192944</v>
      </c>
      <c r="G268">
        <f>-684.882850222125 -46.0028541991873 -484.936110566804</f>
        <v>-1215.8218149881163</v>
      </c>
      <c r="H268">
        <f>-689.364766604815 -42.1436711729459 -609.378146153666</f>
        <v>-1340.8865839314269</v>
      </c>
      <c r="I268">
        <f>-656.698107384313 -34.6803410638151 -685.41911853075</f>
        <v>-1376.797566978878</v>
      </c>
      <c r="J268">
        <f>-692.71218397622 -16.667945230661 -553.582997195255</f>
        <v>-1262.9631264021359</v>
      </c>
      <c r="K268" t="s">
        <v>2916</v>
      </c>
      <c r="L268" t="s">
        <v>2917</v>
      </c>
      <c r="M268" t="s">
        <v>2918</v>
      </c>
      <c r="N268">
        <f>-682.072849117886 -71.0158258515786 -555.651749540687</f>
        <v>-1308.7404245101516</v>
      </c>
      <c r="O268">
        <f>-660.566282058857 -204.393164736619 -530.194987669733</f>
        <v>-1395.1544344652091</v>
      </c>
      <c r="P268">
        <f>-684.724122472761 -265.109780722353 -243.278406114169</f>
        <v>-1193.1123093092829</v>
      </c>
      <c r="Q268">
        <f>-511.372422887687 -123.159925334073 -331.88036508131</f>
        <v>-966.41271330306995</v>
      </c>
      <c r="R268" t="s">
        <v>2919</v>
      </c>
      <c r="S268" t="s">
        <v>2920</v>
      </c>
      <c r="T268" t="s">
        <v>2921</v>
      </c>
      <c r="U268" t="s">
        <v>2922</v>
      </c>
      <c r="V268">
        <f>-604.81222760069 -129.743338112065 -97.3983911235553</f>
        <v>-831.95395683631023</v>
      </c>
      <c r="W268" t="s">
        <v>2923</v>
      </c>
      <c r="X268" t="s">
        <v>2924</v>
      </c>
      <c r="Y268" t="s">
        <v>2925</v>
      </c>
    </row>
    <row r="269" spans="1:25" x14ac:dyDescent="0.3">
      <c r="A269">
        <v>13400</v>
      </c>
      <c r="B269" t="s">
        <v>2926</v>
      </c>
      <c r="C269">
        <f>-623.565727364948 -35.8627980673507 -98.4826696888684</f>
        <v>-757.91119512116711</v>
      </c>
      <c r="D269">
        <f>-653.186865000777 -44.438582527 -210.130677297076</f>
        <v>-907.75612482485292</v>
      </c>
      <c r="E269">
        <f>-668.228929943596 -47.0113235143702 -307.56661943314</f>
        <v>-1022.8068728911062</v>
      </c>
      <c r="F269">
        <f>-678.235877367505 -47.5350059109155 -396.098169456554</f>
        <v>-1121.8690527349745</v>
      </c>
      <c r="G269">
        <f>-684.293885406248 -46.1875910449698 -484.978571753975</f>
        <v>-1215.4600482051928</v>
      </c>
      <c r="H269">
        <f>-688.609719314077 -42.3424103037519 -609.42692411573</f>
        <v>-1340.379053733559</v>
      </c>
      <c r="I269">
        <f>-656.100129953927 -34.9042804604273 -685.537667388047</f>
        <v>-1376.5420778024013</v>
      </c>
      <c r="J269">
        <f>-692.047168946773 -16.863592213095 -553.638723548081</f>
        <v>-1262.549484707949</v>
      </c>
      <c r="K269" t="s">
        <v>2927</v>
      </c>
      <c r="L269" t="s">
        <v>2928</v>
      </c>
      <c r="M269" t="s">
        <v>2929</v>
      </c>
      <c r="N269">
        <f>-681.373813364636 -71.2054494031414 -555.687918729017</f>
        <v>-1308.2671814967944</v>
      </c>
      <c r="O269">
        <f>-659.8620685367 -204.565125740529 -530.170678384444</f>
        <v>-1394.5978726616731</v>
      </c>
      <c r="P269">
        <f>-684.050845615685 -265.188222339282 -243.236971665895</f>
        <v>-1192.4760396208621</v>
      </c>
      <c r="Q269">
        <f>-510.72523252984 -123.256681943939 -331.919066829689</f>
        <v>-965.90098130346803</v>
      </c>
      <c r="R269" t="s">
        <v>2930</v>
      </c>
      <c r="S269" t="s">
        <v>2931</v>
      </c>
      <c r="T269" t="s">
        <v>2932</v>
      </c>
      <c r="U269" t="s">
        <v>2933</v>
      </c>
      <c r="V269">
        <f>-604.654230371502 -130.004586978103 -97.3983284546059</f>
        <v>-832.0571458042109</v>
      </c>
      <c r="W269" t="s">
        <v>2934</v>
      </c>
      <c r="X269" t="s">
        <v>2935</v>
      </c>
      <c r="Y269" t="s">
        <v>2936</v>
      </c>
    </row>
    <row r="270" spans="1:25" x14ac:dyDescent="0.3">
      <c r="A270">
        <v>13450</v>
      </c>
      <c r="B270" t="s">
        <v>2937</v>
      </c>
      <c r="C270">
        <f>-623.457029651916 -35.8913434329925 -98.4638394830638</f>
        <v>-757.81221256797221</v>
      </c>
      <c r="D270">
        <f>-653.059628347886 -44.4807587395463 -210.115644291768</f>
        <v>-907.65603137920039</v>
      </c>
      <c r="E270">
        <f>-668.067808545075 -47.0641512888891 -307.556664576128</f>
        <v>-1022.6886244100921</v>
      </c>
      <c r="F270">
        <f>-678.036714869329 -47.5968300148909 -396.0923787586</f>
        <v>-1121.7259236428199</v>
      </c>
      <c r="G270">
        <f>-684.049661612088 -46.2571752200103 -484.975998886352</f>
        <v>-1215.2828357184503</v>
      </c>
      <c r="H270">
        <f>-688.295053008285 -42.4221689152305 -609.42705302831</f>
        <v>-1340.1442749518255</v>
      </c>
      <c r="I270">
        <f>-655.888618255847 -34.9999877253856 -685.583285850408</f>
        <v>-1376.4718918316405</v>
      </c>
      <c r="J270">
        <f>-691.771116870415 -16.9401629017445 -553.64271261665</f>
        <v>-1262.3539923888095</v>
      </c>
      <c r="K270" t="s">
        <v>2938</v>
      </c>
      <c r="L270" t="s">
        <v>2939</v>
      </c>
      <c r="M270" t="s">
        <v>2940</v>
      </c>
      <c r="N270">
        <f>-681.082521697693 -71.279426947659 -555.68187385021</f>
        <v>-1308.0438224955619</v>
      </c>
      <c r="O270">
        <f>-659.556154631822 -204.630454916647 -530.135176822387</f>
        <v>-1394.321786370856</v>
      </c>
      <c r="P270">
        <f>-683.863118970856 -265.190318912981 -243.198028727204</f>
        <v>-1192.251466611041</v>
      </c>
      <c r="Q270">
        <f>-510.517065884568 -123.302029992019 -331.909472272968</f>
        <v>-965.72856814955503</v>
      </c>
      <c r="R270" t="s">
        <v>2941</v>
      </c>
      <c r="S270" t="s">
        <v>2942</v>
      </c>
      <c r="T270" t="s">
        <v>2943</v>
      </c>
      <c r="U270" t="s">
        <v>2944</v>
      </c>
      <c r="V270">
        <f>-604.510190924529 -129.977037798862 -97.390716339964</f>
        <v>-831.8779450633549</v>
      </c>
      <c r="W270" t="s">
        <v>2945</v>
      </c>
      <c r="X270" t="s">
        <v>2946</v>
      </c>
      <c r="Y270" t="s">
        <v>2947</v>
      </c>
    </row>
    <row r="271" spans="1:25" x14ac:dyDescent="0.3">
      <c r="A271">
        <v>13500</v>
      </c>
      <c r="B271" t="s">
        <v>2948</v>
      </c>
      <c r="C271">
        <f>-623.265885223271 -35.9465509309966 -98.472897331807</f>
        <v>-757.68533348607457</v>
      </c>
      <c r="D271">
        <f>-652.833848173503 -44.5424477416929 -210.133390493958</f>
        <v>-907.50968640915391</v>
      </c>
      <c r="E271">
        <f>-667.792862495394 -47.1418340116013 -307.581480828357</f>
        <v>-1022.5161773353523</v>
      </c>
      <c r="F271">
        <f>-677.709382595458 -47.6934680019185 -396.123083478434</f>
        <v>-1121.5259340758105</v>
      </c>
      <c r="G271">
        <f>-683.661743428768 -46.3778898503184 -485.011043030736</f>
        <v>-1215.0506763098224</v>
      </c>
      <c r="H271">
        <f>-687.814034747908 -42.5816124714161 -609.466481941365</f>
        <v>-1339.8621291606892</v>
      </c>
      <c r="I271">
        <f>-655.5838972584 -35.2075972584469 -685.702127285028</f>
        <v>-1376.493621801875</v>
      </c>
      <c r="J271">
        <f>-691.325591619635 -17.0808934502827 -553.692843170706</f>
        <v>-1262.0993282406239</v>
      </c>
      <c r="K271" t="s">
        <v>2949</v>
      </c>
      <c r="L271" t="s">
        <v>2950</v>
      </c>
      <c r="M271" t="s">
        <v>2951</v>
      </c>
      <c r="N271">
        <f>-680.647975838242 -71.4232888297986 -555.70674153908</f>
        <v>-1307.7780062071206</v>
      </c>
      <c r="O271">
        <f>-659.162188293083 -204.768281073242 -530.093162625216</f>
        <v>-1394.0236319915412</v>
      </c>
      <c r="P271">
        <f>-683.705792072151 -265.181245394424 -243.145345029766</f>
        <v>-1192.0323824963411</v>
      </c>
      <c r="Q271">
        <f>-510.238838312702 -123.445245079407 -331.864015407575</f>
        <v>-965.54809879968388</v>
      </c>
      <c r="R271" t="s">
        <v>2952</v>
      </c>
      <c r="S271" t="s">
        <v>2953</v>
      </c>
      <c r="T271" t="s">
        <v>2954</v>
      </c>
      <c r="U271" t="s">
        <v>2955</v>
      </c>
      <c r="V271">
        <f>-604.30334112131 -130.026896454167 -97.3866470795299</f>
        <v>-831.71688465500688</v>
      </c>
      <c r="W271" t="s">
        <v>2956</v>
      </c>
      <c r="X271" t="s">
        <v>2957</v>
      </c>
      <c r="Y271" t="s">
        <v>2958</v>
      </c>
    </row>
    <row r="272" spans="1:25" x14ac:dyDescent="0.3">
      <c r="A272">
        <v>13550</v>
      </c>
      <c r="B272" t="s">
        <v>2959</v>
      </c>
      <c r="C272">
        <f>-623.176742499166 -35.9848364896477 -98.4771546443278</f>
        <v>-757.63873363314156</v>
      </c>
      <c r="D272">
        <f>-652.741868907429 -44.5884842337528 -210.137802067215</f>
        <v>-907.46815520839675</v>
      </c>
      <c r="E272">
        <f>-667.663485664651 -47.1994511022879 -307.591314978999</f>
        <v>-1022.4542517459379</v>
      </c>
      <c r="F272">
        <f>-677.531930030575 -47.7637130894713 -396.138076853081</f>
        <v>-1121.4337199731272</v>
      </c>
      <c r="G272">
        <f>-683.421931048063 -46.4625977074852 -485.030428148176</f>
        <v>-1214.9149569037243</v>
      </c>
      <c r="H272">
        <f>-687.471818229407 -42.6888508848906 -609.48999492311</f>
        <v>-1339.6506640374075</v>
      </c>
      <c r="I272">
        <f>-655.286676732205 -35.3440981302531 -685.747423322356</f>
        <v>-1376.3781981848142</v>
      </c>
      <c r="J272">
        <f>-691.028578406761 -17.1779531270429 -553.723944346904</f>
        <v>-1261.9304758807079</v>
      </c>
      <c r="K272" t="s">
        <v>2960</v>
      </c>
      <c r="L272" t="s">
        <v>2961</v>
      </c>
      <c r="M272" t="s">
        <v>2962</v>
      </c>
      <c r="N272">
        <f>-680.350698140252 -71.5210449432983 -555.719141238167</f>
        <v>-1307.5908843217173</v>
      </c>
      <c r="O272">
        <f>-658.895475001865 -204.864703357772 -530.075081230552</f>
        <v>-1393.8352595901888</v>
      </c>
      <c r="P272">
        <f>-683.557412422187 -265.224318871306 -243.12601948148</f>
        <v>-1191.907750774973</v>
      </c>
      <c r="Q272">
        <f>-510.016054267873 -123.580048233608 -331.845783496403</f>
        <v>-965.44188599788401</v>
      </c>
      <c r="R272" t="s">
        <v>2963</v>
      </c>
      <c r="S272" t="s">
        <v>2964</v>
      </c>
      <c r="T272" t="s">
        <v>2965</v>
      </c>
      <c r="U272" t="s">
        <v>2966</v>
      </c>
      <c r="V272">
        <f>-604.206147172861 -130.048358913305 -97.3812721028499</f>
        <v>-831.63577818901604</v>
      </c>
      <c r="W272" t="s">
        <v>2967</v>
      </c>
      <c r="X272" t="s">
        <v>2968</v>
      </c>
      <c r="Y272" t="s">
        <v>2969</v>
      </c>
    </row>
    <row r="273" spans="1:25" x14ac:dyDescent="0.3">
      <c r="A273">
        <v>13600</v>
      </c>
      <c r="B273" t="s">
        <v>2970</v>
      </c>
      <c r="C273">
        <f>-623.017049071244 -35.9932955451852 -98.471715191868</f>
        <v>-757.48205980829721</v>
      </c>
      <c r="D273">
        <f>-652.51080645175 -44.5894802031205 -210.1518385253</f>
        <v>-907.25212518017054</v>
      </c>
      <c r="E273">
        <f>-667.280337200964 -47.2008094738397 -307.628495301461</f>
        <v>-1022.1096419762648</v>
      </c>
      <c r="F273">
        <f>-676.974673284717 -47.7675780139238 -396.194475325291</f>
        <v>-1120.9367266239319</v>
      </c>
      <c r="G273">
        <f>-682.653894747356 -46.4708649870672 -485.100804273186</f>
        <v>-1214.2255640076091</v>
      </c>
      <c r="H273">
        <f>-686.370964914046 -42.7049290215978 -609.570832370279</f>
        <v>-1338.6467263059228</v>
      </c>
      <c r="I273">
        <f>-654.053240552175 -35.3523102600702 -685.77150626603</f>
        <v>-1375.1770570782751</v>
      </c>
      <c r="J273">
        <f>-690.082483237672 -17.1917915017725 -553.81592329472</f>
        <v>-1261.0901980341646</v>
      </c>
      <c r="K273" t="s">
        <v>2971</v>
      </c>
      <c r="L273" t="s">
        <v>2972</v>
      </c>
      <c r="M273" t="s">
        <v>2973</v>
      </c>
      <c r="N273">
        <f>-679.387951021666 -71.5326883825187 -555.779377622486</f>
        <v>-1306.7000170266706</v>
      </c>
      <c r="O273">
        <f>-657.97671252 -204.879422378511 -530.098273064779</f>
        <v>-1392.9544079632901</v>
      </c>
      <c r="P273">
        <f>-682.848759006629 -265.182889490665 -243.15570276859</f>
        <v>-1191.187351265884</v>
      </c>
      <c r="Q273">
        <f>-509.219711229339 -123.646264250238 -331.875536471157</f>
        <v>-964.74151195073387</v>
      </c>
      <c r="R273" t="s">
        <v>2974</v>
      </c>
      <c r="S273" t="s">
        <v>2975</v>
      </c>
      <c r="T273" t="s">
        <v>2976</v>
      </c>
      <c r="U273" t="s">
        <v>2977</v>
      </c>
      <c r="V273">
        <f>-604.058320907257 -129.985606965 -97.3794167515271</f>
        <v>-831.42334462378403</v>
      </c>
      <c r="W273" t="s">
        <v>2978</v>
      </c>
      <c r="X273" t="s">
        <v>2979</v>
      </c>
      <c r="Y273" t="s">
        <v>2980</v>
      </c>
    </row>
    <row r="274" spans="1:25" x14ac:dyDescent="0.3">
      <c r="A274">
        <v>13650</v>
      </c>
      <c r="B274" t="s">
        <v>2981</v>
      </c>
      <c r="C274">
        <f>-622.91923251862 -36.0094624615986 -98.4689959601657</f>
        <v>-757.39769094038422</v>
      </c>
      <c r="D274">
        <f>-652.443808501002 -44.6170586072971 -210.14006642262</f>
        <v>-907.20093353091897</v>
      </c>
      <c r="E274">
        <f>-667.200028347614 -47.2379635317516 -307.618542906945</f>
        <v>-1022.0565347863105</v>
      </c>
      <c r="F274">
        <f>-676.866103364022 -47.8130279645517 -396.18750718235</f>
        <v>-1120.8666385109236</v>
      </c>
      <c r="G274">
        <f>-682.500677657389 -46.5240577484864 -485.096673367847</f>
        <v>-1214.1214087737224</v>
      </c>
      <c r="H274">
        <f>-686.138575598877 -42.7684604014858 -609.569459912614</f>
        <v>-1338.4764959129766</v>
      </c>
      <c r="I274">
        <f>-653.70833852808 -35.3971550429583 -685.720517390205</f>
        <v>-1374.8260109612434</v>
      </c>
      <c r="J274">
        <f>-689.889262422026 -17.2512850618609 -553.819023279129</f>
        <v>-1260.959570763016</v>
      </c>
      <c r="K274" t="s">
        <v>2982</v>
      </c>
      <c r="L274" t="s">
        <v>2983</v>
      </c>
      <c r="M274" t="s">
        <v>2984</v>
      </c>
      <c r="N274">
        <f>-679.186195553113 -71.5908402071954 -555.77132355461</f>
        <v>-1306.5483593149183</v>
      </c>
      <c r="O274">
        <f>-657.741241868341 -204.927965425896 -530.069150327211</f>
        <v>-1392.7383576214479</v>
      </c>
      <c r="P274">
        <f>-682.730410341423 -265.180685828757 -243.125925598455</f>
        <v>-1191.037021768635</v>
      </c>
      <c r="Q274">
        <f>-509.081824107571 -123.66353978376 -331.83851344229</f>
        <v>-964.58387733362088</v>
      </c>
      <c r="R274" t="s">
        <v>2985</v>
      </c>
      <c r="S274" t="s">
        <v>2986</v>
      </c>
      <c r="T274" t="s">
        <v>2987</v>
      </c>
      <c r="U274" t="s">
        <v>2988</v>
      </c>
      <c r="V274">
        <f>-603.969067928048 -129.976560843878 -97.3735927207795</f>
        <v>-831.31922149270554</v>
      </c>
      <c r="W274" t="s">
        <v>2989</v>
      </c>
      <c r="X274" t="s">
        <v>2990</v>
      </c>
      <c r="Y274" t="s">
        <v>2991</v>
      </c>
    </row>
    <row r="275" spans="1:25" x14ac:dyDescent="0.3">
      <c r="A275">
        <v>13700</v>
      </c>
      <c r="B275" t="s">
        <v>2992</v>
      </c>
      <c r="C275">
        <f>-622.767539200919 -36.0565053815817 -98.4983784886192</f>
        <v>-757.32242307111994</v>
      </c>
      <c r="D275">
        <f>-652.287430168832 -44.6915256328142 -210.168637721254</f>
        <v>-907.14759352290014</v>
      </c>
      <c r="E275">
        <f>-666.996167338815 -47.3275309341807 -307.653902886657</f>
        <v>-1021.9776011596527</v>
      </c>
      <c r="F275">
        <f>-676.601634900406 -47.9123158263989 -396.229390522978</f>
        <v>-1120.7433412497828</v>
      </c>
      <c r="G275">
        <f>-682.158009855006 -46.6294484060658 -485.143583827727</f>
        <v>-1213.9310420887987</v>
      </c>
      <c r="H275">
        <f>-685.667966885171 -42.8780404542119 -609.620127766982</f>
        <v>-1338.1661351063649</v>
      </c>
      <c r="I275">
        <f>-653.110715271366 -35.4647709724027 -685.712747138369</f>
        <v>-1374.2882333821376</v>
      </c>
      <c r="J275">
        <f>-689.478770843583 -17.359494482936 -553.874343915619</f>
        <v>-1260.7126092421381</v>
      </c>
      <c r="K275" t="s">
        <v>2993</v>
      </c>
      <c r="L275" t="s">
        <v>2994</v>
      </c>
      <c r="M275" t="s">
        <v>2995</v>
      </c>
      <c r="N275">
        <f>-678.768101942392 -71.698080166756 -555.813982288804</f>
        <v>-1306.2801643979519</v>
      </c>
      <c r="O275">
        <f>-657.351667505399 -205.033849701975 -530.07162547138</f>
        <v>-1392.4571426787538</v>
      </c>
      <c r="P275">
        <f>-682.355016106598 -265.223296794062 -243.116620873264</f>
        <v>-1190.694933773924</v>
      </c>
      <c r="Q275">
        <f>-508.682134046722 -123.76771714266 -331.879870788709</f>
        <v>-964.32972197809102</v>
      </c>
      <c r="R275" t="s">
        <v>2996</v>
      </c>
      <c r="S275" t="s">
        <v>2997</v>
      </c>
      <c r="T275" t="s">
        <v>2998</v>
      </c>
      <c r="U275" t="s">
        <v>2999</v>
      </c>
      <c r="V275">
        <f>-603.77713334857 -130.068027116918 -97.3693305444149</f>
        <v>-831.21449100990287</v>
      </c>
      <c r="W275" t="s">
        <v>3000</v>
      </c>
      <c r="X275" t="s">
        <v>3001</v>
      </c>
      <c r="Y275" t="s">
        <v>3002</v>
      </c>
    </row>
    <row r="276" spans="1:25" x14ac:dyDescent="0.3">
      <c r="A276">
        <v>13750</v>
      </c>
      <c r="B276" t="s">
        <v>3003</v>
      </c>
      <c r="C276">
        <f>-622.724993103025 -36.1438805218729 -98.5029248340076</f>
        <v>-757.37179845890546</v>
      </c>
      <c r="D276">
        <f>-652.232756454387 -44.7740860270867 -210.176718812606</f>
        <v>-907.18356129407971</v>
      </c>
      <c r="E276">
        <f>-666.901007840417 -47.4030607918777 -307.668090985478</f>
        <v>-1021.9721596177727</v>
      </c>
      <c r="F276">
        <f>-676.457771558876 -47.9800996595581 -396.249134987159</f>
        <v>-1120.687006205593</v>
      </c>
      <c r="G276">
        <f>-681.953356435698 -46.6873386804592 -485.166793601987</f>
        <v>-1213.8074887181442</v>
      </c>
      <c r="H276">
        <f>-685.365840621129 -42.9200975439073 -609.645663833192</f>
        <v>-1337.9316019982284</v>
      </c>
      <c r="I276">
        <f>-652.73130951989 -35.4680208908528 -685.70148894657</f>
        <v>-1373.9008193573127</v>
      </c>
      <c r="J276">
        <f>-689.226884765965 -17.4100095002839 -553.899506343532</f>
        <v>-1260.5364006097809</v>
      </c>
      <c r="K276" t="s">
        <v>3004</v>
      </c>
      <c r="L276" t="s">
        <v>3005</v>
      </c>
      <c r="M276" t="s">
        <v>3006</v>
      </c>
      <c r="N276">
        <f>-678.501458107305 -71.7457857986388 -555.83789625527</f>
        <v>-1306.085140161214</v>
      </c>
      <c r="O276">
        <f>-657.054041712592 -205.076171307413 -530.11593590219</f>
        <v>-1392.2461489221951</v>
      </c>
      <c r="P276">
        <f>-682.221616652027 -265.291996613889 -243.180695646209</f>
        <v>-1190.6943089121251</v>
      </c>
      <c r="Q276">
        <f>-508.537570470295 -123.817233179112 -331.891410815785</f>
        <v>-964.246214465192</v>
      </c>
      <c r="R276" t="s">
        <v>3007</v>
      </c>
      <c r="S276" t="s">
        <v>3008</v>
      </c>
      <c r="T276" t="s">
        <v>3009</v>
      </c>
      <c r="U276" t="s">
        <v>3010</v>
      </c>
      <c r="V276">
        <f>-603.76911497047 -130.141997668875 -97.3642005978062</f>
        <v>-831.27531323715118</v>
      </c>
      <c r="W276" t="s">
        <v>3011</v>
      </c>
      <c r="X276" t="s">
        <v>3012</v>
      </c>
      <c r="Y276" t="s">
        <v>3013</v>
      </c>
    </row>
    <row r="277" spans="1:25" x14ac:dyDescent="0.3">
      <c r="A277">
        <v>13800</v>
      </c>
      <c r="B277" t="s">
        <v>3014</v>
      </c>
      <c r="C277">
        <f>-622.680425302946 -36.198205464842 -98.522460574802</f>
        <v>-757.40109134259001</v>
      </c>
      <c r="D277">
        <f>-652.149539231981 -44.8338952313893 -210.206023858248</f>
        <v>-907.1894583216183</v>
      </c>
      <c r="E277">
        <f>-666.771548270204 -47.4626892792478 -307.704514417259</f>
        <v>-1021.9387519667108</v>
      </c>
      <c r="F277">
        <f>-676.281285962491 -48.0377957975239 -396.29042550794</f>
        <v>-1120.609507267955</v>
      </c>
      <c r="G277">
        <f>-681.724445417623 -46.7415751788228 -485.211344447174</f>
        <v>-1213.6773650436198</v>
      </c>
      <c r="H277">
        <f>-685.058015545676 -42.9682785658947 -609.69202032832</f>
        <v>-1337.7183144398907</v>
      </c>
      <c r="I277">
        <f>-652.331100769898 -35.4679609868497 -685.703500941401</f>
        <v>-1373.5025626981487</v>
      </c>
      <c r="J277">
        <f>-688.950725426065 -17.460319196485 -553.94714801689</f>
        <v>-1260.3581926394399</v>
      </c>
      <c r="K277" t="s">
        <v>3015</v>
      </c>
      <c r="L277" t="s">
        <v>3016</v>
      </c>
      <c r="M277" t="s">
        <v>3017</v>
      </c>
      <c r="N277">
        <f>-678.231349417152 -71.7973441843038 -555.881386223571</f>
        <v>-1305.910079825027</v>
      </c>
      <c r="O277">
        <f>-656.769853927127 -205.127135027912 -530.164208686641</f>
        <v>-1392.0611976416799</v>
      </c>
      <c r="P277">
        <f>-682.036576826585 -265.597063523411 -243.291021075738</f>
        <v>-1190.924661425734</v>
      </c>
      <c r="Q277">
        <f>-508.34295997016 -124.016528772185 -331.814050171742</f>
        <v>-964.17353891408698</v>
      </c>
      <c r="R277" t="s">
        <v>3018</v>
      </c>
      <c r="S277" t="s">
        <v>3019</v>
      </c>
      <c r="T277" t="s">
        <v>3020</v>
      </c>
      <c r="U277" t="s">
        <v>3021</v>
      </c>
      <c r="V277">
        <f>-603.712657523109 -130.164770703748 -97.3756362759905</f>
        <v>-831.25306450284745</v>
      </c>
      <c r="W277" t="s">
        <v>3022</v>
      </c>
      <c r="X277" t="s">
        <v>3023</v>
      </c>
      <c r="Y277" t="s">
        <v>3024</v>
      </c>
    </row>
    <row r="278" spans="1:25" x14ac:dyDescent="0.3">
      <c r="A278">
        <v>13850</v>
      </c>
      <c r="B278" t="s">
        <v>3025</v>
      </c>
      <c r="C278">
        <f>-622.63680128328 -36.1716858990649 -98.528297742112</f>
        <v>-757.33678492445688</v>
      </c>
      <c r="D278">
        <f>-652.054404339692 -44.8111124064798 -210.225176931174</f>
        <v>-907.09069367734583</v>
      </c>
      <c r="E278">
        <f>-666.633111057685 -47.4248874640763 -307.730556654836</f>
        <v>-1021.7885551765974</v>
      </c>
      <c r="F278">
        <f>-676.103811194956 -47.9795791514871 -396.320773808738</f>
        <v>-1120.4041641551812</v>
      </c>
      <c r="G278">
        <f>-681.508084410062 -46.6561634461166 -485.243593240544</f>
        <v>-1213.4078410967227</v>
      </c>
      <c r="H278">
        <f>-684.78758091653 -42.8377175378946 -609.724572796548</f>
        <v>-1337.3498712509727</v>
      </c>
      <c r="I278">
        <f>-652.039338647266 -35.3084241235224 -685.723821719423</f>
        <v>-1373.0715844902115</v>
      </c>
      <c r="J278">
        <f>-688.704972830811 -17.3498668981263 -553.97199371492</f>
        <v>-1260.0268334438574</v>
      </c>
      <c r="K278" t="s">
        <v>3026</v>
      </c>
      <c r="L278" t="s">
        <v>3027</v>
      </c>
      <c r="M278" t="s">
        <v>3028</v>
      </c>
      <c r="N278">
        <f>-677.984020415257 -71.686075460906 -555.921213037286</f>
        <v>-1305.5913089134488</v>
      </c>
      <c r="O278">
        <f>-656.545187384435 -205.025603923575 -530.207404422791</f>
        <v>-1391.7781957308011</v>
      </c>
      <c r="P278">
        <f>-681.909019983947 -265.536471778481 -243.351450203204</f>
        <v>-1190.796941965632</v>
      </c>
      <c r="Q278">
        <f>-508.176890666898 -123.985442405921 -331.846269975147</f>
        <v>-964.00860304796606</v>
      </c>
      <c r="R278" t="s">
        <v>3029</v>
      </c>
      <c r="S278" t="s">
        <v>3030</v>
      </c>
      <c r="T278" t="s">
        <v>3031</v>
      </c>
      <c r="U278" t="s">
        <v>3032</v>
      </c>
      <c r="V278">
        <f>-603.665364279746 -130.087234795318 -97.3800980005188</f>
        <v>-831.13269707558277</v>
      </c>
      <c r="W278" t="s">
        <v>3033</v>
      </c>
      <c r="X278" t="s">
        <v>3034</v>
      </c>
      <c r="Y278" t="s">
        <v>3035</v>
      </c>
    </row>
    <row r="279" spans="1:25" x14ac:dyDescent="0.3">
      <c r="A279">
        <v>13900</v>
      </c>
      <c r="B279" t="s">
        <v>3036</v>
      </c>
      <c r="C279">
        <f>-622.446374017021 -36.1519555286104 -98.5350057707815</f>
        <v>-757.13333531641285</v>
      </c>
      <c r="D279">
        <f>-651.740842215925 -44.7691297008645 -210.265993213252</f>
        <v>-906.77596513004141</v>
      </c>
      <c r="E279">
        <f>-666.209285660684 -47.3422855686551 -307.788802072516</f>
        <v>-1021.3403733018552</v>
      </c>
      <c r="F279">
        <f>-675.578455954048 -47.8517627377726 -396.390146318509</f>
        <v>-1119.8203650103296</v>
      </c>
      <c r="G279">
        <f>-680.879681609421 -46.4749565192383 -485.318358592451</f>
        <v>-1212.6729967211104</v>
      </c>
      <c r="H279">
        <f>-684.013494402627 -42.5732728041221 -609.800351659243</f>
        <v>-1336.3871188659921</v>
      </c>
      <c r="I279">
        <f>-651.217156234369 -34.9994256351074 -685.774511523324</f>
        <v>-1371.9910933928004</v>
      </c>
      <c r="J279">
        <f>-687.99710425507 -17.1229615409177 -554.035500933875</f>
        <v>-1259.1555667298626</v>
      </c>
      <c r="K279" t="s">
        <v>3037</v>
      </c>
      <c r="L279" t="s">
        <v>3038</v>
      </c>
      <c r="M279" t="s">
        <v>3039</v>
      </c>
      <c r="N279">
        <f>-677.271869150835 -71.4575252685045 -556.008491021736</f>
        <v>-1304.7378854410754</v>
      </c>
      <c r="O279">
        <f>-655.841838273587 -204.790606965785 -530.275471957147</f>
        <v>-1390.9079171965191</v>
      </c>
      <c r="P279">
        <f>-681.548753586887 -265.26137472147 -243.441619602886</f>
        <v>-1190.251747911243</v>
      </c>
      <c r="Q279">
        <f>-507.670611739136 -123.854743054918 -331.880591203277</f>
        <v>-963.40594599733095</v>
      </c>
      <c r="R279" t="s">
        <v>3040</v>
      </c>
      <c r="S279" t="s">
        <v>3041</v>
      </c>
      <c r="T279" t="s">
        <v>3042</v>
      </c>
      <c r="U279" t="s">
        <v>3043</v>
      </c>
      <c r="V279">
        <f>-603.461459649951 -130.049874384259 -97.3921058716106</f>
        <v>-830.90343990582062</v>
      </c>
      <c r="W279" t="s">
        <v>3044</v>
      </c>
      <c r="X279" t="s">
        <v>3045</v>
      </c>
      <c r="Y279" t="s">
        <v>3046</v>
      </c>
    </row>
    <row r="280" spans="1:25" x14ac:dyDescent="0.3">
      <c r="A280">
        <v>13950</v>
      </c>
      <c r="B280" t="s">
        <v>3047</v>
      </c>
      <c r="C280">
        <f>-622.32182370027 -36.1917716421872 -98.5496265350776</f>
        <v>-757.06322187753472</v>
      </c>
      <c r="D280">
        <f>-651.600124750777 -44.8087427472238 -210.284849289886</f>
        <v>-906.69371678788684</v>
      </c>
      <c r="E280">
        <f>-666.054663739815 -47.3762258906037 -307.809748662939</f>
        <v>-1021.2406382933577</v>
      </c>
      <c r="F280">
        <f>-675.411407930028 -47.8786435858608 -396.412554713236</f>
        <v>-1119.7026062291247</v>
      </c>
      <c r="G280">
        <f>-680.700315116528 -46.4923132671022 -485.34142992933</f>
        <v>-1212.5340583129603</v>
      </c>
      <c r="H280">
        <f>-683.816902318575 -42.5749518844771 -609.823430178181</f>
        <v>-1336.215284381233</v>
      </c>
      <c r="I280">
        <f>-650.996599003037 -34.9865981495423 -685.785708197212</f>
        <v>-1371.7689053497911</v>
      </c>
      <c r="J280">
        <f>-687.81088791385 -17.132194650299 -554.055833227251</f>
        <v>-1258.9989157914001</v>
      </c>
      <c r="K280" t="s">
        <v>3048</v>
      </c>
      <c r="L280" t="s">
        <v>3049</v>
      </c>
      <c r="M280" t="s">
        <v>3050</v>
      </c>
      <c r="N280">
        <f>-677.08001268637 -71.4654132893481 -556.034307021417</f>
        <v>-1304.5797329971351</v>
      </c>
      <c r="O280">
        <f>-655.653310834473 -204.798762180939 -530.294933870519</f>
        <v>-1390.7470068859311</v>
      </c>
      <c r="P280">
        <f>-681.478088900095 -265.191034344907 -243.45509173417</f>
        <v>-1190.1242149791722</v>
      </c>
      <c r="Q280">
        <f>-507.552868952128 -123.793840799392 -331.816548926066</f>
        <v>-963.16325867758587</v>
      </c>
      <c r="R280" t="s">
        <v>3051</v>
      </c>
      <c r="S280" t="s">
        <v>3052</v>
      </c>
      <c r="T280" t="s">
        <v>3053</v>
      </c>
      <c r="U280" t="s">
        <v>3054</v>
      </c>
      <c r="V280">
        <f>-603.324034623881 -130.147931100037 -97.39897367421</f>
        <v>-830.87093939812792</v>
      </c>
      <c r="W280" t="s">
        <v>3055</v>
      </c>
      <c r="X280" t="s">
        <v>3056</v>
      </c>
      <c r="Y280" t="s">
        <v>3057</v>
      </c>
    </row>
    <row r="281" spans="1:25" x14ac:dyDescent="0.3">
      <c r="A281">
        <v>14000</v>
      </c>
      <c r="B281" t="s">
        <v>3058</v>
      </c>
      <c r="C281">
        <f>-622.093368075281 -36.2127502753028 -98.5588688331264</f>
        <v>-756.86498718371024</v>
      </c>
      <c r="D281">
        <f>-651.326804780321 -44.8330430316979 -210.305535935017</f>
        <v>-906.46538374703596</v>
      </c>
      <c r="E281">
        <f>-665.749102646727 -47.3822094145554 -307.835796661313</f>
        <v>-1020.9671087225954</v>
      </c>
      <c r="F281">
        <f>-675.079552813868 -47.8592980321562 -396.441483821408</f>
        <v>-1119.3803346674322</v>
      </c>
      <c r="G281">
        <f>-680.344791885913 -46.4387443478541 -485.371166259879</f>
        <v>-1212.154702493646</v>
      </c>
      <c r="H281">
        <f>-683.431700400105 -42.4640221038308 -609.852182788445</f>
        <v>-1335.7479052923809</v>
      </c>
      <c r="I281">
        <f>-650.579208024392 -34.8328218113788 -685.796227298541</f>
        <v>-1371.2082571343117</v>
      </c>
      <c r="J281">
        <f>-687.444460035644 -17.0479972025637 -554.073624919196</f>
        <v>-1258.5660821574038</v>
      </c>
      <c r="K281" t="s">
        <v>3059</v>
      </c>
      <c r="L281" t="s">
        <v>3060</v>
      </c>
      <c r="M281" t="s">
        <v>3061</v>
      </c>
      <c r="N281">
        <f>-676.702155398788 -71.3780931059663 -556.074933470221</f>
        <v>-1304.1551819749752</v>
      </c>
      <c r="O281">
        <f>-655.332320816991 -204.726466762815 -530.353610701769</f>
        <v>-1390.412398281575</v>
      </c>
      <c r="P281">
        <f>-681.044200923179 -265.140124748403 -243.508272200338</f>
        <v>-1189.69259787192</v>
      </c>
      <c r="Q281">
        <f>-507.142387247113 -123.714478222852 -331.870217024895</f>
        <v>-962.72708249486004</v>
      </c>
      <c r="R281" t="s">
        <v>3062</v>
      </c>
      <c r="S281" t="s">
        <v>3063</v>
      </c>
      <c r="T281" t="s">
        <v>3064</v>
      </c>
      <c r="U281" t="s">
        <v>3065</v>
      </c>
      <c r="V281">
        <f>-603.101646885518 -130.170175905427 -97.3974654555259</f>
        <v>-830.66928824647084</v>
      </c>
      <c r="W281" t="s">
        <v>3066</v>
      </c>
      <c r="X281" t="s">
        <v>3067</v>
      </c>
      <c r="Y281" t="s">
        <v>3068</v>
      </c>
    </row>
    <row r="282" spans="1:25" x14ac:dyDescent="0.3">
      <c r="A282">
        <v>14050</v>
      </c>
      <c r="B282" t="s">
        <v>3069</v>
      </c>
      <c r="C282">
        <f>-622.011386299014 -36.2451450451995 -98.5526954235986</f>
        <v>-756.80922676781211</v>
      </c>
      <c r="D282">
        <f>-651.235706979143 -44.8668866898239 -210.301661680565</f>
        <v>-906.40425534953181</v>
      </c>
      <c r="E282">
        <f>-665.637418796297 -47.4234699673137 -307.834782113717</f>
        <v>-1020.8956708773277</v>
      </c>
      <c r="F282">
        <f>-674.944291137 -47.9087539336899 -396.44292579236</f>
        <v>-1119.2959708630499</v>
      </c>
      <c r="G282">
        <f>-680.181436497995 -46.4976858850583 -485.37445795988</f>
        <v>-1212.0535803429334</v>
      </c>
      <c r="H282">
        <f>-683.224198443512 -42.5371319453986 -609.856793380594</f>
        <v>-1335.6181237695046</v>
      </c>
      <c r="I282">
        <f>-650.391556983792 -34.90614621227 -685.809546961838</f>
        <v>-1371.1072501579001</v>
      </c>
      <c r="J282">
        <f>-687.264255526958 -17.1163090661773 -554.082530408739</f>
        <v>-1258.4630950018743</v>
      </c>
      <c r="K282" t="s">
        <v>3070</v>
      </c>
      <c r="L282" t="s">
        <v>3071</v>
      </c>
      <c r="M282" t="s">
        <v>3072</v>
      </c>
      <c r="N282">
        <f>-676.506224250062 -71.4436413046873 -556.073948375051</f>
        <v>-1304.0238139298003</v>
      </c>
      <c r="O282">
        <f>-655.128546124549 -204.778210659289 -530.349082513545</f>
        <v>-1390.2558392973829</v>
      </c>
      <c r="P282">
        <f>-680.826427086618 -265.284487117429 -243.521887684497</f>
        <v>-1189.632801888544</v>
      </c>
      <c r="Q282">
        <f>-506.961044394375 -123.803194602209 -331.866446055844</f>
        <v>-962.63068505242802</v>
      </c>
      <c r="R282" t="s">
        <v>3073</v>
      </c>
      <c r="S282" t="s">
        <v>3074</v>
      </c>
      <c r="T282" t="s">
        <v>3075</v>
      </c>
      <c r="U282" t="s">
        <v>3076</v>
      </c>
      <c r="V282">
        <f>-603.023788363182 -130.264167343145 -97.3839017442021</f>
        <v>-830.67185745052916</v>
      </c>
      <c r="W282" t="s">
        <v>3077</v>
      </c>
      <c r="X282" t="s">
        <v>3078</v>
      </c>
      <c r="Y282" t="s">
        <v>3079</v>
      </c>
    </row>
    <row r="283" spans="1:25" x14ac:dyDescent="0.3">
      <c r="A283">
        <v>14100</v>
      </c>
      <c r="B283" t="s">
        <v>3080</v>
      </c>
      <c r="C283">
        <f>-621.924134209165 -36.1447225706784 -98.564488091883</f>
        <v>-756.63334487172642</v>
      </c>
      <c r="D283">
        <f>-651.073452300845 -44.748602812975 -210.334410701292</f>
        <v>-906.15646581511203</v>
      </c>
      <c r="E283">
        <f>-665.378622336028 -47.3330924287008 -307.880975230355</f>
        <v>-1020.5926899950837</v>
      </c>
      <c r="F283">
        <f>-674.585918709378 -47.8595663682415 -396.499168033891</f>
        <v>-1118.9446531115104</v>
      </c>
      <c r="G283">
        <f>-679.711542221519 -46.5051109053725 -485.438102259513</f>
        <v>-1211.6547553864045</v>
      </c>
      <c r="H283">
        <f>-682.586286110514 -42.6393458722473 -609.927660076067</f>
        <v>-1335.1532920588284</v>
      </c>
      <c r="I283">
        <f>-649.820594360401 -35.0531326028413 -685.913635621487</f>
        <v>-1370.7873625847292</v>
      </c>
      <c r="J283">
        <f>-686.717858248142 -17.1792015845933 -554.177794756328</f>
        <v>-1258.0748545890633</v>
      </c>
      <c r="K283" t="s">
        <v>3081</v>
      </c>
      <c r="L283" t="s">
        <v>3082</v>
      </c>
      <c r="M283" t="s">
        <v>3083</v>
      </c>
      <c r="N283">
        <f>-675.924602528093 -71.5015961700524 -556.114116395596</f>
        <v>-1303.5403150937414</v>
      </c>
      <c r="O283">
        <f>-654.514453741743 -204.835636552762 -530.351300081998</f>
        <v>-1389.701390376503</v>
      </c>
      <c r="P283">
        <f>-680.497206408381 -265.296643768678 -243.540303388968</f>
        <v>-1189.334153566027</v>
      </c>
      <c r="Q283">
        <f>-506.558932395757 -123.839672044249 -331.780150887839</f>
        <v>-962.17875532784501</v>
      </c>
      <c r="R283" t="s">
        <v>3084</v>
      </c>
      <c r="S283" t="s">
        <v>3085</v>
      </c>
      <c r="T283" t="s">
        <v>3086</v>
      </c>
      <c r="U283" t="s">
        <v>3087</v>
      </c>
      <c r="V283">
        <f>-602.963611271972 -130.087430581944 -97.3897081095919</f>
        <v>-830.44074996350787</v>
      </c>
      <c r="W283" t="s">
        <v>3088</v>
      </c>
      <c r="X283" t="s">
        <v>3089</v>
      </c>
      <c r="Y283" t="s">
        <v>3090</v>
      </c>
    </row>
    <row r="284" spans="1:25" x14ac:dyDescent="0.3">
      <c r="A284">
        <v>14150</v>
      </c>
      <c r="B284" t="s">
        <v>3091</v>
      </c>
      <c r="C284">
        <f>-621.911715744939 -36.0298690593477 -98.5775614348108</f>
        <v>-756.51914623909749</v>
      </c>
      <c r="D284">
        <f>-651.053932556054 -44.6399006746257 -210.348864914148</f>
        <v>-906.04269814482768</v>
      </c>
      <c r="E284">
        <f>-665.349976124437 -47.2501023485647 -307.896098105772</f>
        <v>-1020.4961765787738</v>
      </c>
      <c r="F284">
        <f>-674.547960796379 -47.808037734537 -396.515192232646</f>
        <v>-1118.871190763562</v>
      </c>
      <c r="G284">
        <f>-679.663279046438 -46.4932499790007 -485.455228709616</f>
        <v>-1211.6117577350547</v>
      </c>
      <c r="H284">
        <f>-682.522594745387 -42.6907239124728 -609.946958532768</f>
        <v>-1335.1602771906278</v>
      </c>
      <c r="I284">
        <f>-649.751513973511 -35.1232871558373 -685.932541826694</f>
        <v>-1370.8073429560422</v>
      </c>
      <c r="J284">
        <f>-686.659699119709 -17.2021162002261 -554.210668141985</f>
        <v>-1258.07248346192</v>
      </c>
      <c r="K284" t="s">
        <v>3092</v>
      </c>
      <c r="L284" t="s">
        <v>3093</v>
      </c>
      <c r="M284" t="s">
        <v>3094</v>
      </c>
      <c r="N284">
        <f>-675.8689475093 -71.5259915708139 -556.117787016391</f>
        <v>-1303.512726096505</v>
      </c>
      <c r="O284">
        <f>-654.50508878524 -204.841394142396 -530.269503203675</f>
        <v>-1389.6159861313108</v>
      </c>
      <c r="P284">
        <f>-680.346743125315 -265.090783457362 -243.401158896302</f>
        <v>-1188.838685478979</v>
      </c>
      <c r="Q284">
        <f>-506.391570096941 -123.69606193704 -331.707399042389</f>
        <v>-961.79503107636992</v>
      </c>
      <c r="R284" t="s">
        <v>3095</v>
      </c>
      <c r="S284" t="s">
        <v>3096</v>
      </c>
      <c r="T284" t="s">
        <v>3097</v>
      </c>
      <c r="U284" t="s">
        <v>3098</v>
      </c>
      <c r="V284">
        <f>-602.977248046086 -129.90926760092 -97.3935198678989</f>
        <v>-830.28003551490485</v>
      </c>
      <c r="W284" t="s">
        <v>3099</v>
      </c>
      <c r="X284" t="s">
        <v>3100</v>
      </c>
      <c r="Y284" t="s">
        <v>3101</v>
      </c>
    </row>
    <row r="285" spans="1:25" x14ac:dyDescent="0.3">
      <c r="A285">
        <v>14200</v>
      </c>
      <c r="B285" t="s">
        <v>3102</v>
      </c>
      <c r="C285">
        <f>-621.838998216961 -36.064947267208 -98.5976342934845</f>
        <v>-756.50157977765355</v>
      </c>
      <c r="D285">
        <f>-650.967024706597 -44.6915487301719 -210.371411643885</f>
        <v>-906.029985080654</v>
      </c>
      <c r="E285">
        <f>-665.243538290207 -47.3468525646384 -307.920181116861</f>
        <v>-1020.5105719717064</v>
      </c>
      <c r="F285">
        <f>-674.420701016381 -47.9582273089721 -396.541141864644</f>
        <v>-1118.9200701899972</v>
      </c>
      <c r="G285">
        <f>-679.511685082383 -46.7100256964677 -485.483579833761</f>
        <v>-1211.7052906126116</v>
      </c>
      <c r="H285">
        <f>-682.333471750533 -43.0151616397832 -609.979246536857</f>
        <v>-1335.3278799271732</v>
      </c>
      <c r="I285">
        <f>-649.544200394599 -35.5185147705017 -685.96410386098</f>
        <v>-1371.0268190260808</v>
      </c>
      <c r="J285">
        <f>-686.477924175595 -17.4764459170101 -554.266526148495</f>
        <v>-1258.2208962411</v>
      </c>
      <c r="K285" t="s">
        <v>3103</v>
      </c>
      <c r="L285" t="s">
        <v>3104</v>
      </c>
      <c r="M285" t="s">
        <v>3105</v>
      </c>
      <c r="N285">
        <f>-675.705578157924 -71.8057988856859 -556.123262615065</f>
        <v>-1303.634639658675</v>
      </c>
      <c r="O285">
        <f>-654.408340192441 -205.109517317632 -530.140980491837</f>
        <v>-1389.65883800191</v>
      </c>
      <c r="P285">
        <f>-680.478458354943 -265.017091474408 -243.221925830028</f>
        <v>-1188.717475659379</v>
      </c>
      <c r="Q285">
        <f>-506.390775075475 -123.878624271392 -331.676701123727</f>
        <v>-961.94610047059405</v>
      </c>
      <c r="R285" t="s">
        <v>3106</v>
      </c>
      <c r="S285" t="s">
        <v>3107</v>
      </c>
      <c r="T285" t="s">
        <v>3108</v>
      </c>
      <c r="U285" t="s">
        <v>3109</v>
      </c>
      <c r="V285">
        <f>-602.854042586928 -130.00405962406 -97.4000926830853</f>
        <v>-830.25819489407331</v>
      </c>
      <c r="W285" t="s">
        <v>3110</v>
      </c>
      <c r="X285" t="s">
        <v>3111</v>
      </c>
      <c r="Y285" t="s">
        <v>3112</v>
      </c>
    </row>
    <row r="286" spans="1:25" x14ac:dyDescent="0.3">
      <c r="A286">
        <v>14250</v>
      </c>
      <c r="B286" t="s">
        <v>3113</v>
      </c>
      <c r="C286">
        <f>-621.785746908105 -36.1531648407786 -98.6083377448811</f>
        <v>-756.54724949376464</v>
      </c>
      <c r="D286">
        <f>-650.922912315092 -44.7796580456342 -210.379721321967</f>
        <v>-906.08229168269327</v>
      </c>
      <c r="E286">
        <f>-665.209439407352 -47.453779595876 -307.926581885718</f>
        <v>-1020.589800888946</v>
      </c>
      <c r="F286">
        <f>-674.396384767877 -48.0900946209669 -396.546103232067</f>
        <v>-1119.0325826209109</v>
      </c>
      <c r="G286">
        <f>-679.498027868783 -46.8749116193443 -485.488462321341</f>
        <v>-1211.8614018094681</v>
      </c>
      <c r="H286">
        <f>-682.335222040713 -43.2346323924567 -609.985557003176</f>
        <v>-1335.5554114363458</v>
      </c>
      <c r="I286">
        <f>-649.545451943873 -35.7753291968313 -685.973796453612</f>
        <v>-1371.2945775943163</v>
      </c>
      <c r="J286">
        <f>-686.467394368946 -17.6704033175781 -554.283663041796</f>
        <v>-1258.4214607283202</v>
      </c>
      <c r="K286" t="s">
        <v>3114</v>
      </c>
      <c r="L286" t="s">
        <v>3115</v>
      </c>
      <c r="M286" t="s">
        <v>3116</v>
      </c>
      <c r="N286">
        <f>-675.706042037985 -72.0026403513706 -556.117463622053</f>
        <v>-1303.8261460114086</v>
      </c>
      <c r="O286">
        <f>-654.416595760659 -205.29917868141 -530.083524070982</f>
        <v>-1389.7992985130509</v>
      </c>
      <c r="P286">
        <f>-680.576708373658 -265.098823400785 -243.149908742433</f>
        <v>-1188.8254405168759</v>
      </c>
      <c r="Q286">
        <f>-506.457074401462 -124.015628552293 -331.62998701461</f>
        <v>-962.10268996836498</v>
      </c>
      <c r="R286" t="s">
        <v>3117</v>
      </c>
      <c r="S286" t="s">
        <v>3118</v>
      </c>
      <c r="T286" t="s">
        <v>3119</v>
      </c>
      <c r="U286" t="s">
        <v>3120</v>
      </c>
      <c r="V286">
        <f>-602.824929879967 -130.110096024246 -97.4063409648637</f>
        <v>-830.34136686907675</v>
      </c>
      <c r="W286" t="s">
        <v>3121</v>
      </c>
      <c r="X286" t="s">
        <v>3122</v>
      </c>
      <c r="Y286" t="s">
        <v>3123</v>
      </c>
    </row>
    <row r="287" spans="1:25" x14ac:dyDescent="0.3">
      <c r="A287">
        <v>14300</v>
      </c>
      <c r="B287" t="s">
        <v>3124</v>
      </c>
      <c r="C287">
        <f>-621.723916097552 -36.2652760085236 -98.6011636030825</f>
        <v>-756.59035570915808</v>
      </c>
      <c r="D287">
        <f>-650.896180159242 -44.8945441604494 -210.363189047075</f>
        <v>-906.15391336676646</v>
      </c>
      <c r="E287">
        <f>-665.252121490283 -47.5921369916398 -307.899231525271</f>
        <v>-1020.7434900071937</v>
      </c>
      <c r="F287">
        <f>-674.51786539648 -48.2587738806853 -396.510494166238</f>
        <v>-1119.2871334434035</v>
      </c>
      <c r="G287">
        <f>-679.713984824019 -47.0827399717953 -485.447863215698</f>
        <v>-1212.2445880115124</v>
      </c>
      <c r="H287">
        <f>-682.699839420044 -43.5071856658066 -609.943314864224</f>
        <v>-1336.1503399500746</v>
      </c>
      <c r="I287">
        <f>-650.026630324473 -36.1652307553941 -685.993160283799</f>
        <v>-1372.1850213636662</v>
      </c>
      <c r="J287">
        <f>-686.751789731999 -17.9113229501381 -554.249883552346</f>
        <v>-1258.9129962344832</v>
      </c>
      <c r="K287" t="s">
        <v>3125</v>
      </c>
      <c r="L287" t="s">
        <v>3126</v>
      </c>
      <c r="M287" t="s">
        <v>3127</v>
      </c>
      <c r="N287">
        <f>-676.020011551288 -72.2499421573744 -556.067955377612</f>
        <v>-1304.3379090862745</v>
      </c>
      <c r="O287">
        <f>-654.730126569951 -205.53136731227 -529.964268116673</f>
        <v>-1390.2257619988941</v>
      </c>
      <c r="P287">
        <f>-680.754716977195 -265.253749843718 -243.002330599084</f>
        <v>-1189.0107974199971</v>
      </c>
      <c r="Q287">
        <f>-506.672948913923 -124.203250649626 -331.60906651096</f>
        <v>-962.48526607450901</v>
      </c>
      <c r="R287" t="s">
        <v>3128</v>
      </c>
      <c r="S287" t="s">
        <v>3129</v>
      </c>
      <c r="T287" t="s">
        <v>3130</v>
      </c>
      <c r="U287" t="s">
        <v>3131</v>
      </c>
      <c r="V287">
        <f>-602.797826588127 -130.204858832336 -97.4028364815061</f>
        <v>-830.40552190196911</v>
      </c>
      <c r="W287" t="s">
        <v>3132</v>
      </c>
      <c r="X287" t="s">
        <v>3133</v>
      </c>
      <c r="Y287" t="s">
        <v>3134</v>
      </c>
    </row>
    <row r="288" spans="1:25" x14ac:dyDescent="0.3">
      <c r="A288">
        <v>14350</v>
      </c>
      <c r="B288" t="s">
        <v>3135</v>
      </c>
      <c r="C288">
        <f>-621.701001527843 -36.27756923323 -98.6116830452499</f>
        <v>-756.59025380632295</v>
      </c>
      <c r="D288">
        <f>-650.891397147722 -44.90881765529 -210.368750244316</f>
        <v>-906.16896504732813</v>
      </c>
      <c r="E288">
        <f>-665.271768895001 -47.6095282133161 -307.901174967105</f>
        <v>-1020.7824720754221</v>
      </c>
      <c r="F288">
        <f>-674.563127258315 -48.2790370431509 -396.509639747632</f>
        <v>-1119.3518040490978</v>
      </c>
      <c r="G288">
        <f>-679.788513386253 -47.106444705825 -485.445291223863</f>
        <v>-1212.340249315941</v>
      </c>
      <c r="H288">
        <f>-682.819079943955 -43.535651040888 -609.939797394786</f>
        <v>-1336.2945283796289</v>
      </c>
      <c r="I288">
        <f>-650.197086026152 -36.2338164696594 -686.015586375389</f>
        <v>-1372.4464888712005</v>
      </c>
      <c r="J288">
        <f>-686.852286552076 -17.9378073929527 -554.245969762892</f>
        <v>-1259.0360637079207</v>
      </c>
      <c r="K288" t="s">
        <v>3136</v>
      </c>
      <c r="L288" t="s">
        <v>3137</v>
      </c>
      <c r="M288" t="s">
        <v>3138</v>
      </c>
      <c r="N288">
        <f>-676.118673725258 -72.2760811046982 -556.065946846933</f>
        <v>-1304.4607016768891</v>
      </c>
      <c r="O288">
        <f>-654.802344640528 -205.556282584201 -529.959548046382</f>
        <v>-1390.3181752711109</v>
      </c>
      <c r="P288">
        <f>-680.852457012548 -265.23177653075 -242.990165968895</f>
        <v>-1189.0743995121932</v>
      </c>
      <c r="Q288">
        <f>-506.808199200081 -124.134896935182 -331.596723427568</f>
        <v>-962.53981956283098</v>
      </c>
      <c r="R288" t="s">
        <v>3139</v>
      </c>
      <c r="S288" t="s">
        <v>3140</v>
      </c>
      <c r="T288" t="s">
        <v>3141</v>
      </c>
      <c r="U288" t="s">
        <v>3142</v>
      </c>
      <c r="V288">
        <f>-602.7765957209 -130.212334394113 -97.4099936282687</f>
        <v>-830.39892374328167</v>
      </c>
      <c r="W288" t="s">
        <v>3143</v>
      </c>
      <c r="X288" t="s">
        <v>3144</v>
      </c>
      <c r="Y288" t="s">
        <v>3145</v>
      </c>
    </row>
    <row r="289" spans="1:25" x14ac:dyDescent="0.3">
      <c r="A289">
        <v>14400</v>
      </c>
      <c r="B289" t="s">
        <v>3146</v>
      </c>
      <c r="C289">
        <f>-621.657928616188 -36.4799952581257 -98.620892203494</f>
        <v>-756.75881607780764</v>
      </c>
      <c r="D289">
        <f>-650.840865377091 -45.1066795361074 -210.380347443539</f>
        <v>-906.32789235673738</v>
      </c>
      <c r="E289">
        <f>-665.20991630707 -47.7965375891952 -307.9147766701</f>
        <v>-1020.9212305663652</v>
      </c>
      <c r="F289">
        <f>-674.489219038715 -48.4533559984482 -396.5244612301</f>
        <v>-1119.4670362672632</v>
      </c>
      <c r="G289">
        <f>-679.700931036769 -47.2644247969721 -485.460745019751</f>
        <v>-1212.4261008534922</v>
      </c>
      <c r="H289">
        <f>-682.710761454574 -43.6672688525451 -609.955153150334</f>
        <v>-1336.3331834574533</v>
      </c>
      <c r="I289">
        <f>-650.202485765096 -36.3770150998971 -686.080567711835</f>
        <v>-1372.6600685768281</v>
      </c>
      <c r="J289">
        <f>-686.76606694205 -18.0839089430174 -554.256289951695</f>
        <v>-1259.1062658367623</v>
      </c>
      <c r="K289" t="s">
        <v>3147</v>
      </c>
      <c r="L289" t="s">
        <v>3148</v>
      </c>
      <c r="M289" t="s">
        <v>3149</v>
      </c>
      <c r="N289">
        <f>-676.006489883328 -72.4166908343625 -556.086349763595</f>
        <v>-1304.5095304812853</v>
      </c>
      <c r="O289">
        <f>-654.659837246079 -205.688213081192 -529.971692291982</f>
        <v>-1390.3197426192528</v>
      </c>
      <c r="P289">
        <f>-680.628595925816 -265.492544200899 -243.021801062214</f>
        <v>-1189.1429411889289</v>
      </c>
      <c r="Q289">
        <f>-506.667774442049 -124.305777330776 -331.649019098262</f>
        <v>-962.62257087108696</v>
      </c>
      <c r="R289" t="s">
        <v>3150</v>
      </c>
      <c r="S289" t="s">
        <v>3151</v>
      </c>
      <c r="T289" t="s">
        <v>3152</v>
      </c>
      <c r="U289" t="s">
        <v>3153</v>
      </c>
      <c r="V289">
        <f>-602.750552000237 -130.451046289415 -97.4177830167539</f>
        <v>-830.6193813064059</v>
      </c>
      <c r="W289" t="s">
        <v>3154</v>
      </c>
      <c r="X289" t="s">
        <v>3155</v>
      </c>
      <c r="Y289" t="s">
        <v>3156</v>
      </c>
    </row>
    <row r="290" spans="1:25" x14ac:dyDescent="0.3">
      <c r="A290">
        <v>14450</v>
      </c>
      <c r="B290" t="s">
        <v>3157</v>
      </c>
      <c r="C290">
        <f>-621.561438335062 -36.5695386169696 -98.593854014424</f>
        <v>-756.72483096645556</v>
      </c>
      <c r="D290">
        <f>-650.743205939425 -45.1917388431538 -210.353826116776</f>
        <v>-906.28877089935474</v>
      </c>
      <c r="E290">
        <f>-665.090125049922 -47.8680535165871 -307.891802930951</f>
        <v>-1020.84998149746</v>
      </c>
      <c r="F290">
        <f>-674.340994511068 -48.5080216908505 -396.504847269891</f>
        <v>-1119.3538634718093</v>
      </c>
      <c r="G290">
        <f>-679.516244417536 -47.2973436547574 -485.442936023656</f>
        <v>-1212.2565240959493</v>
      </c>
      <c r="H290">
        <f>-682.466549904761 -43.6639296736827 -609.937499074946</f>
        <v>-1336.0679786533897</v>
      </c>
      <c r="I290">
        <f>-650.012067108637 -36.353907970104 -686.084120073093</f>
        <v>-1372.4500951518339</v>
      </c>
      <c r="J290">
        <f>-686.569756758863 -18.1009031268604 -554.232800266759</f>
        <v>-1258.9034601524825</v>
      </c>
      <c r="K290" t="s">
        <v>3158</v>
      </c>
      <c r="L290" t="s">
        <v>3159</v>
      </c>
      <c r="M290" t="s">
        <v>3160</v>
      </c>
      <c r="N290">
        <f>-675.76684783665 -72.424644609838 -556.074369390445</f>
        <v>-1304.2658618369328</v>
      </c>
      <c r="O290">
        <f>-654.340878104429 -205.684848722539 -529.951030364167</f>
        <v>-1389.9767571911348</v>
      </c>
      <c r="P290">
        <f>-680.351004554469 -265.521523950405 -243.0116108914</f>
        <v>-1188.8841393962741</v>
      </c>
      <c r="Q290">
        <f>-506.429509744422 -124.309548078022 -331.675824141458</f>
        <v>-962.41488196390196</v>
      </c>
      <c r="R290" t="s">
        <v>3161</v>
      </c>
      <c r="S290" t="s">
        <v>3162</v>
      </c>
      <c r="T290" t="s">
        <v>3163</v>
      </c>
      <c r="U290" t="s">
        <v>3164</v>
      </c>
      <c r="V290">
        <f>-602.64692625947 -130.50159190373 -97.4131446104277</f>
        <v>-830.56166277362763</v>
      </c>
      <c r="W290" t="s">
        <v>3165</v>
      </c>
      <c r="X290" t="s">
        <v>3166</v>
      </c>
      <c r="Y290" t="s">
        <v>3167</v>
      </c>
    </row>
    <row r="291" spans="1:25" x14ac:dyDescent="0.3">
      <c r="A291">
        <v>14500</v>
      </c>
      <c r="B291" t="s">
        <v>3168</v>
      </c>
      <c r="C291">
        <f>-621.333573810342 -36.6693904499339 -98.6075036093417</f>
        <v>-756.61046786961765</v>
      </c>
      <c r="D291">
        <f>-650.544236619598 -45.3217034166959 -210.357605876062</f>
        <v>-906.2235459123558</v>
      </c>
      <c r="E291">
        <f>-664.884346962328 -47.9715643131419 -307.89732166866</f>
        <v>-1020.7532329441299</v>
      </c>
      <c r="F291">
        <f>-674.116854576808 -48.5651527469385 -396.512506391354</f>
        <v>-1119.1945137151006</v>
      </c>
      <c r="G291">
        <f>-679.261989577149 -47.2840991808165 -485.451410558076</f>
        <v>-1211.9974993160415</v>
      </c>
      <c r="H291">
        <f>-682.158521078947 -43.5254676221222 -609.943578573644</f>
        <v>-1335.6275672747133</v>
      </c>
      <c r="I291">
        <f>-649.78958963142 -36.1353068244343 -686.118856589335</f>
        <v>-1372.0437530451893</v>
      </c>
      <c r="J291">
        <f>-686.344661173206 -18.0302558223402 -554.214166473544</f>
        <v>-1258.5890834690902</v>
      </c>
      <c r="K291" t="s">
        <v>3169</v>
      </c>
      <c r="L291" t="s">
        <v>3170</v>
      </c>
      <c r="M291" t="s">
        <v>3171</v>
      </c>
      <c r="N291">
        <f>-675.423193522214 -72.3286193579971 -556.107415429913</f>
        <v>-1303.8592283101241</v>
      </c>
      <c r="O291">
        <f>-653.883951796731 -205.566207403102 -529.950099450989</f>
        <v>-1389.400258650822</v>
      </c>
      <c r="P291">
        <f>-679.922686981221 -265.349928640943 -243.002298179591</f>
        <v>-1188.274913801755</v>
      </c>
      <c r="Q291">
        <f>-506.047420228144 -124.110547159733 -331.713582333582</f>
        <v>-961.8715497214589</v>
      </c>
      <c r="R291" t="s">
        <v>3172</v>
      </c>
      <c r="S291" t="s">
        <v>3173</v>
      </c>
      <c r="T291" t="s">
        <v>3174</v>
      </c>
      <c r="U291" t="s">
        <v>3175</v>
      </c>
      <c r="V291">
        <f>-602.320928950042 -130.624565772669 -97.416279911323</f>
        <v>-830.36177463403408</v>
      </c>
      <c r="W291" t="s">
        <v>3176</v>
      </c>
      <c r="X291" t="s">
        <v>3177</v>
      </c>
      <c r="Y291" t="s">
        <v>3178</v>
      </c>
    </row>
    <row r="292" spans="1:25" x14ac:dyDescent="0.3">
      <c r="A292">
        <v>14550</v>
      </c>
      <c r="B292" t="s">
        <v>3179</v>
      </c>
      <c r="C292">
        <f>-621.247648872936 -36.7130437033204 -98.6187872260989</f>
        <v>-756.57947980235531</v>
      </c>
      <c r="D292">
        <f>-650.469448987859 -45.3687352547056 -210.36579095412</f>
        <v>-906.20397519668461</v>
      </c>
      <c r="E292">
        <f>-664.792574890615 -47.9940772018506 -307.908653685373</f>
        <v>-1020.6953057778386</v>
      </c>
      <c r="F292">
        <f>-673.999054168012 -48.5539065072998 -396.526793849122</f>
        <v>-1119.0797545244336</v>
      </c>
      <c r="G292">
        <f>-679.107658391511 -47.2265468121933 -485.467005296142</f>
        <v>-1211.8012104998463</v>
      </c>
      <c r="H292">
        <f>-681.942475074492 -43.3900270956616 -609.958343955977</f>
        <v>-1335.2908461261306</v>
      </c>
      <c r="I292">
        <f>-649.613033857982 -35.9520445416199 -686.145627635597</f>
        <v>-1371.7107060351989</v>
      </c>
      <c r="J292">
        <f>-686.179829588538 -17.9345298600881 -554.214321204484</f>
        <v>-1258.32868065311</v>
      </c>
      <c r="K292" t="s">
        <v>3180</v>
      </c>
      <c r="L292" t="s">
        <v>3181</v>
      </c>
      <c r="M292" t="s">
        <v>3182</v>
      </c>
      <c r="N292">
        <f>-675.210185429097 -72.2220783348838 -556.137252710095</f>
        <v>-1303.569516474076</v>
      </c>
      <c r="O292">
        <f>-653.654807109751 -205.457618217539 -530.00559772152</f>
        <v>-1389.1180230488098</v>
      </c>
      <c r="P292">
        <f>-679.631464161931 -265.287045915268 -243.061537803918</f>
        <v>-1187.9800478811171</v>
      </c>
      <c r="Q292">
        <f>-505.810069720378 -123.99130538142 -331.788687649933</f>
        <v>-961.59006275173101</v>
      </c>
      <c r="R292" t="s">
        <v>3183</v>
      </c>
      <c r="S292" t="s">
        <v>3184</v>
      </c>
      <c r="T292" t="s">
        <v>3185</v>
      </c>
      <c r="U292" t="s">
        <v>3186</v>
      </c>
      <c r="V292">
        <f>-602.233222062966 -130.661779730538 -97.4202688499603</f>
        <v>-830.31527064346426</v>
      </c>
      <c r="W292" t="s">
        <v>3187</v>
      </c>
      <c r="X292" t="s">
        <v>3188</v>
      </c>
      <c r="Y292" t="s">
        <v>3189</v>
      </c>
    </row>
    <row r="293" spans="1:25" x14ac:dyDescent="0.3">
      <c r="A293">
        <v>14600</v>
      </c>
      <c r="B293" t="s">
        <v>3190</v>
      </c>
      <c r="C293">
        <f>-621.104753448346 -36.8365581511705 -98.6067142529788</f>
        <v>-756.54802585249524</v>
      </c>
      <c r="D293">
        <f>-650.350363398135 -45.5006703922876 -210.346815743084</f>
        <v>-906.19784953350654</v>
      </c>
      <c r="E293">
        <f>-664.634814901773 -48.0985601907854 -307.896098542992</f>
        <v>-1020.6294736355503</v>
      </c>
      <c r="F293">
        <f>-673.782828892101 -48.6186021542737 -396.520551816955</f>
        <v>-1118.9219828633297</v>
      </c>
      <c r="G293">
        <f>-678.809599361424 -47.2352196819636 -485.46462383441</f>
        <v>-1211.5094428777977</v>
      </c>
      <c r="H293">
        <f>-681.505782699802 -43.3029695002771 -609.9559349906</f>
        <v>-1334.7646871906791</v>
      </c>
      <c r="I293">
        <f>-649.314667652446 -35.8315532281547 -686.198581444993</f>
        <v>-1371.3448023255937</v>
      </c>
      <c r="J293">
        <f>-685.836912828505 -17.8967618216391 -554.19680245892</f>
        <v>-1257.9304771090642</v>
      </c>
      <c r="K293" t="s">
        <v>3191</v>
      </c>
      <c r="L293" t="s">
        <v>3192</v>
      </c>
      <c r="M293" t="s">
        <v>3193</v>
      </c>
      <c r="N293">
        <f>-674.801761084375 -72.169988599425 -556.150107709276</f>
        <v>-1303.121857393076</v>
      </c>
      <c r="O293">
        <f>-653.186060001715 -205.393744582323 -530.041863377958</f>
        <v>-1388.6216679619959</v>
      </c>
      <c r="P293">
        <f>-678.96964558584 -265.518184072826 -243.142066271359</f>
        <v>-1187.629895930025</v>
      </c>
      <c r="Q293">
        <f>-505.235581780746 -124.081403766074 -331.815603588292</f>
        <v>-961.13258913511197</v>
      </c>
      <c r="R293" t="s">
        <v>3194</v>
      </c>
      <c r="S293" t="s">
        <v>3195</v>
      </c>
      <c r="T293" t="s">
        <v>3196</v>
      </c>
      <c r="U293" t="s">
        <v>3197</v>
      </c>
      <c r="V293">
        <f>-602.094527385444 -130.762698988189 -97.4064014299232</f>
        <v>-830.26362780355623</v>
      </c>
      <c r="W293" t="s">
        <v>3198</v>
      </c>
      <c r="X293" t="s">
        <v>3199</v>
      </c>
      <c r="Y293" t="s">
        <v>3200</v>
      </c>
    </row>
    <row r="294" spans="1:25" x14ac:dyDescent="0.3">
      <c r="A294">
        <v>14650</v>
      </c>
      <c r="B294" t="s">
        <v>3201</v>
      </c>
      <c r="C294">
        <f>-621.055590762044 -36.8306044687768 -98.6103490884665</f>
        <v>-756.49654431928718</v>
      </c>
      <c r="D294">
        <f>-650.28294804441 -45.4963958670285 -210.35514044892</f>
        <v>-906.13448436035844</v>
      </c>
      <c r="E294">
        <f>-664.5260687525 -48.0875187845816 -307.910675527842</f>
        <v>-1020.5242630649236</v>
      </c>
      <c r="F294">
        <f>-673.626416979923 -48.5979452819576 -396.53996144431</f>
        <v>-1118.7643237061905</v>
      </c>
      <c r="G294">
        <f>-678.595365708886 -47.2009405067184 -485.487119534171</f>
        <v>-1211.2834257497755</v>
      </c>
      <c r="H294">
        <f>-681.200424729238 -43.2452603809372 -609.97962097228</f>
        <v>-1334.4253060824553</v>
      </c>
      <c r="I294">
        <f>-649.119618662301 -35.7729499953268 -686.268651241003</f>
        <v>-1371.1612198986309</v>
      </c>
      <c r="J294">
        <f>-685.583785917918 -17.8518351731027 -554.218717853013</f>
        <v>-1257.6543389440337</v>
      </c>
      <c r="K294" t="s">
        <v>3202</v>
      </c>
      <c r="L294" t="s">
        <v>3203</v>
      </c>
      <c r="M294" t="s">
        <v>3204</v>
      </c>
      <c r="N294">
        <f>-674.524370968658 -72.1200795300031 -556.174458725714</f>
        <v>-1302.8189092243751</v>
      </c>
      <c r="O294">
        <f>-652.887327912573 -205.344221619041 -530.070616144928</f>
        <v>-1388.302165676542</v>
      </c>
      <c r="P294">
        <f>-678.561291240128 -265.518718383551 -243.171472604694</f>
        <v>-1187.2514822283729</v>
      </c>
      <c r="Q294">
        <f>-504.842390701856 -124.061811178605 -331.842649979475</f>
        <v>-960.74685185993599</v>
      </c>
      <c r="R294" t="s">
        <v>3205</v>
      </c>
      <c r="S294" t="s">
        <v>3206</v>
      </c>
      <c r="T294" t="s">
        <v>3207</v>
      </c>
      <c r="U294" t="s">
        <v>3208</v>
      </c>
      <c r="V294">
        <f>-602.027691830244 -130.720688558931 -97.4103733030299</f>
        <v>-830.15875369220487</v>
      </c>
      <c r="W294" t="s">
        <v>3209</v>
      </c>
      <c r="X294" t="s">
        <v>3210</v>
      </c>
      <c r="Y294" t="s">
        <v>3211</v>
      </c>
    </row>
    <row r="295" spans="1:25" x14ac:dyDescent="0.3">
      <c r="A295">
        <v>14700</v>
      </c>
      <c r="B295" t="s">
        <v>3212</v>
      </c>
      <c r="C295">
        <f>-621.056123580452 -36.9127868994881 -98.6200536072126</f>
        <v>-756.5889640871527</v>
      </c>
      <c r="D295">
        <f>-650.152226714793 -45.563955736559 -210.400089209446</f>
        <v>-906.11627166079802</v>
      </c>
      <c r="E295">
        <f>-664.216993862371 -48.1502628080225 -307.981645136011</f>
        <v>-1020.3489018064046</v>
      </c>
      <c r="F295">
        <f>-673.129593689685 -48.6591747220812 -396.630113080783</f>
        <v>-1118.4188814925492</v>
      </c>
      <c r="G295">
        <f>-677.884333981184 -47.263651721493 -485.5891184929</f>
        <v>-1210.7371041955771</v>
      </c>
      <c r="H295">
        <f>-680.162609991356 -43.3126405411292 -610.088159495162</f>
        <v>-1333.5634100276473</v>
      </c>
      <c r="I295">
        <f>-648.348177335097 -35.8536981379325 -686.489859014608</f>
        <v>-1370.6917344876374</v>
      </c>
      <c r="J295">
        <f>-684.702468070571 -17.9191753695968 -554.339749592483</f>
        <v>-1256.9613930326509</v>
      </c>
      <c r="K295" t="s">
        <v>3213</v>
      </c>
      <c r="L295" t="s">
        <v>3214</v>
      </c>
      <c r="M295" t="s">
        <v>3215</v>
      </c>
      <c r="N295">
        <f>-673.617722466902 -72.183273435413 -556.264709699845</f>
        <v>-1302.0657056021601</v>
      </c>
      <c r="O295">
        <f>-651.974292344061 -205.397567763588 -530.114046596074</f>
        <v>-1387.485906703723</v>
      </c>
      <c r="P295">
        <f>-677.67376589251 -265.444758724518 -243.190606169618</f>
        <v>-1186.3091307866459</v>
      </c>
      <c r="Q295">
        <f>-503.918858809191 -124.071934588068 -331.925011976367</f>
        <v>-959.91580537362597</v>
      </c>
      <c r="R295" t="s">
        <v>3216</v>
      </c>
      <c r="S295" t="s">
        <v>3217</v>
      </c>
      <c r="T295" t="s">
        <v>3218</v>
      </c>
      <c r="U295" t="s">
        <v>3219</v>
      </c>
      <c r="V295">
        <f>-602.023767344598 -130.821739944972 -97.4094486302556</f>
        <v>-830.25495591982565</v>
      </c>
      <c r="W295" t="s">
        <v>3220</v>
      </c>
      <c r="X295" t="s">
        <v>3221</v>
      </c>
      <c r="Y295" t="s">
        <v>3222</v>
      </c>
    </row>
    <row r="296" spans="1:25" x14ac:dyDescent="0.3">
      <c r="A296">
        <v>14750</v>
      </c>
      <c r="B296" t="s">
        <v>3223</v>
      </c>
      <c r="C296">
        <f>-621.064351784797 -36.9914442249669 -98.6069106807084</f>
        <v>-756.66270669047242</v>
      </c>
      <c r="D296">
        <f>-650.129756626752 -45.6421673606463 -210.395055254586</f>
        <v>-906.16697924198434</v>
      </c>
      <c r="E296">
        <f>-664.091883476784 -48.2296567853549 -307.99128730925</f>
        <v>-1020.3128275713889</v>
      </c>
      <c r="F296">
        <f>-672.880930683084 -48.7395942873515 -396.652111408567</f>
        <v>-1118.2726363790025</v>
      </c>
      <c r="G296">
        <f>-677.481536686083 -47.3445793135301 -485.619056057175</f>
        <v>-1210.4451720567881</v>
      </c>
      <c r="H296">
        <f>-679.512277960436 -43.3938960427686 -610.122462191295</f>
        <v>-1333.0286361944995</v>
      </c>
      <c r="I296">
        <f>-647.833615430154 -35.9318761947443 -686.58033891028</f>
        <v>-1370.3458305351783</v>
      </c>
      <c r="J296">
        <f>-684.172641990919 -18.0024444597334 -554.383232283235</f>
        <v>-1256.5583187338875</v>
      </c>
      <c r="K296" t="s">
        <v>3224</v>
      </c>
      <c r="L296" t="s">
        <v>3225</v>
      </c>
      <c r="M296" t="s">
        <v>3226</v>
      </c>
      <c r="N296">
        <f>-673.064638924041 -72.2624540861924 -556.286134813973</f>
        <v>-1301.6132278242064</v>
      </c>
      <c r="O296">
        <f>-651.431780787528 -205.479808667948 -530.114378975382</f>
        <v>-1387.025968430858</v>
      </c>
      <c r="P296">
        <f>-677.336930293081 -265.489786416183 -243.201643358771</f>
        <v>-1186.028360068035</v>
      </c>
      <c r="Q296">
        <f>-503.548551853172 -124.128312880225 -331.888924449034</f>
        <v>-959.56578918243099</v>
      </c>
      <c r="R296" t="s">
        <v>3227</v>
      </c>
      <c r="S296" t="s">
        <v>3228</v>
      </c>
      <c r="T296" t="s">
        <v>3229</v>
      </c>
      <c r="U296" t="s">
        <v>3230</v>
      </c>
      <c r="V296">
        <f>-602.003584497382 -130.967337842645 -97.4025064341275</f>
        <v>-830.3734287741546</v>
      </c>
      <c r="W296" t="s">
        <v>3231</v>
      </c>
      <c r="X296" t="s">
        <v>3232</v>
      </c>
      <c r="Y296" t="s">
        <v>3233</v>
      </c>
    </row>
    <row r="297" spans="1:25" x14ac:dyDescent="0.3">
      <c r="A297">
        <v>14800</v>
      </c>
      <c r="B297" t="s">
        <v>3234</v>
      </c>
      <c r="C297">
        <f>-621.088842422823 -37.0082773063593 -98.5901880678174</f>
        <v>-756.68730779699968</v>
      </c>
      <c r="D297">
        <f>-650.154119874954 -45.6551017522413 -210.378615540373</f>
        <v>-906.1878371675682</v>
      </c>
      <c r="E297">
        <f>-663.983962444803 -48.2120867872093 -307.994509810853</f>
        <v>-1020.1905590428653</v>
      </c>
      <c r="F297">
        <f>-672.600013493442 -48.6818353789521 -396.672500961044</f>
        <v>-1117.9543498334381</v>
      </c>
      <c r="G297">
        <f>-676.974309656571 -47.2336620344906 -485.650117323638</f>
        <v>-1209.8580890146995</v>
      </c>
      <c r="H297">
        <f>-678.633478064359 -43.1938518537456 -610.155976079062</f>
        <v>-1331.9833059971666</v>
      </c>
      <c r="I297">
        <f>-647.150029730068 -35.7087849136528 -686.69226570355</f>
        <v>-1369.5510803472707</v>
      </c>
      <c r="J297">
        <f>-683.478718628508 -17.846114667233 -554.412640034075</f>
        <v>-1255.7374733298161</v>
      </c>
      <c r="K297" t="s">
        <v>3235</v>
      </c>
      <c r="L297" t="s">
        <v>3236</v>
      </c>
      <c r="M297" t="s">
        <v>3237</v>
      </c>
      <c r="N297">
        <f>-672.327994711666 -72.0972424440546 -556.32165068451</f>
        <v>-1300.7468878402306</v>
      </c>
      <c r="O297">
        <f>-650.700082821525 -205.327735263281 -530.202672263733</f>
        <v>-1386.2304903485392</v>
      </c>
      <c r="P297">
        <f>-676.978942959514 -265.461088190574 -243.349618729158</f>
        <v>-1185.7896498792461</v>
      </c>
      <c r="Q297">
        <f>-503.148236043142 -124.027466987039 -331.83854125288</f>
        <v>-959.01424428306109</v>
      </c>
      <c r="R297" t="s">
        <v>3238</v>
      </c>
      <c r="S297" t="s">
        <v>3239</v>
      </c>
      <c r="T297" t="s">
        <v>3240</v>
      </c>
      <c r="U297" t="s">
        <v>3241</v>
      </c>
      <c r="V297">
        <f>-602.051681358871 -130.929435998734 -97.3927707630131</f>
        <v>-830.37388812061806</v>
      </c>
      <c r="W297" t="s">
        <v>3242</v>
      </c>
      <c r="X297" t="s">
        <v>3243</v>
      </c>
      <c r="Y297" t="s">
        <v>3244</v>
      </c>
    </row>
    <row r="298" spans="1:25" x14ac:dyDescent="0.3">
      <c r="A298">
        <v>14850</v>
      </c>
      <c r="B298" t="s">
        <v>3245</v>
      </c>
      <c r="C298">
        <f>-621.206118500648 -36.9410802030684 -98.5838207833929</f>
        <v>-756.73101948710928</v>
      </c>
      <c r="D298">
        <f>-650.246306072766 -45.5753712966488 -210.379784345621</f>
        <v>-906.20146171503575</v>
      </c>
      <c r="E298">
        <f>-664.02168632951 -48.1192852507024 -308.003765453922</f>
        <v>-1020.1447370341344</v>
      </c>
      <c r="F298">
        <f>-672.57514604043 -48.5761852527885 -396.687800616685</f>
        <v>-1117.8391319099035</v>
      </c>
      <c r="G298">
        <f>-676.873719899393 -47.1135121444571 -485.66890560021</f>
        <v>-1209.65613764406</v>
      </c>
      <c r="H298">
        <f>-678.413263031417 -43.0520179756086 -610.175686097453</f>
        <v>-1331.6409671044785</v>
      </c>
      <c r="I298">
        <f>-646.956631736298 -35.5799464847396 -686.724161347987</f>
        <v>-1369.2607395690247</v>
      </c>
      <c r="J298">
        <f>-683.310000760621 -17.7135838835077 -554.432522765629</f>
        <v>-1255.4561074097578</v>
      </c>
      <c r="K298" t="s">
        <v>3246</v>
      </c>
      <c r="L298" t="s">
        <v>3247</v>
      </c>
      <c r="M298" t="s">
        <v>3248</v>
      </c>
      <c r="N298">
        <f>-672.161437734461 -71.9650660934981 -556.3402274451</f>
        <v>-1300.4667312730589</v>
      </c>
      <c r="O298">
        <f>-650.561755332611 -205.184427373586 -530.197686484724</f>
        <v>-1385.9438691909211</v>
      </c>
      <c r="P298">
        <f>-676.753963369657 -265.458746514065 -243.366578645105</f>
        <v>-1185.579288528827</v>
      </c>
      <c r="Q298">
        <f>-502.950482398695 -123.979804597215 -331.836351582314</f>
        <v>-958.76663857822405</v>
      </c>
      <c r="R298" t="s">
        <v>3249</v>
      </c>
      <c r="S298" t="s">
        <v>3250</v>
      </c>
      <c r="T298" t="s">
        <v>3251</v>
      </c>
      <c r="U298" t="s">
        <v>3252</v>
      </c>
      <c r="V298">
        <f>-602.198360970146 -130.845156601572 -97.3967282764464</f>
        <v>-830.44024584816441</v>
      </c>
      <c r="W298" t="s">
        <v>3253</v>
      </c>
      <c r="X298" t="s">
        <v>3254</v>
      </c>
      <c r="Y298" t="s">
        <v>3255</v>
      </c>
    </row>
    <row r="299" spans="1:25" x14ac:dyDescent="0.3">
      <c r="A299">
        <v>14900</v>
      </c>
      <c r="B299" t="s">
        <v>3256</v>
      </c>
      <c r="C299">
        <f>-621.451436328351 -36.7744778272081 -98.6145651662956</f>
        <v>-756.84047932185467</v>
      </c>
      <c r="D299">
        <f>-650.418330398235 -45.3920794264573 -210.430785846602</f>
        <v>-906.24119567129424</v>
      </c>
      <c r="E299">
        <f>-664.141064202582 -47.9326421077831 -308.062186516599</f>
        <v>-1020.1358928269641</v>
      </c>
      <c r="F299">
        <f>-672.651280400379 -48.3915546091055 -396.750493752038</f>
        <v>-1117.7933287615224</v>
      </c>
      <c r="G299">
        <f>-676.910659295677 -46.9361303590564 -485.73340224994</f>
        <v>-1209.5801919046735</v>
      </c>
      <c r="H299">
        <f>-678.399745310923 -42.8908774257627 -610.241549359544</f>
        <v>-1331.5321720962297</v>
      </c>
      <c r="I299">
        <f>-647.002363495125 -35.491764583131 -686.821361378513</f>
        <v>-1369.315489456769</v>
      </c>
      <c r="J299">
        <f>-683.302074662792 -17.5416029381518 -554.503709070374</f>
        <v>-1255.347386671318</v>
      </c>
      <c r="K299" t="s">
        <v>3257</v>
      </c>
      <c r="L299" t="s">
        <v>3258</v>
      </c>
      <c r="M299" t="s">
        <v>3259</v>
      </c>
      <c r="N299">
        <f>-672.186780746017 -71.8004116470715 -556.399564808996</f>
        <v>-1300.3867572020845</v>
      </c>
      <c r="O299">
        <f>-650.674316090482 -205.021266446235 -530.174399849742</f>
        <v>-1385.869982386459</v>
      </c>
      <c r="P299">
        <f>-677.293401495821 -265.175432852635 -243.357211455578</f>
        <v>-1185.826045804034</v>
      </c>
      <c r="Q299">
        <f>-503.253865246309 -123.919554370804 -331.719335511053</f>
        <v>-958.89275512816585</v>
      </c>
      <c r="R299" t="s">
        <v>3260</v>
      </c>
      <c r="S299" t="s">
        <v>3261</v>
      </c>
      <c r="T299" t="s">
        <v>3262</v>
      </c>
      <c r="U299" t="s">
        <v>3263</v>
      </c>
      <c r="V299">
        <f>-602.43230385909 -130.679005384044 -97.4126475598536</f>
        <v>-830.52395680298753</v>
      </c>
      <c r="W299" t="s">
        <v>3264</v>
      </c>
      <c r="X299" t="s">
        <v>3265</v>
      </c>
      <c r="Y299" t="s">
        <v>3266</v>
      </c>
    </row>
    <row r="300" spans="1:25" x14ac:dyDescent="0.3">
      <c r="A300">
        <v>14950</v>
      </c>
      <c r="B300" t="s">
        <v>3267</v>
      </c>
      <c r="C300">
        <f>-621.513882318751 -36.688369605532 -98.6266422656131</f>
        <v>-756.82889418989612</v>
      </c>
      <c r="D300">
        <f>-650.448106428648 -45.3000867867837 -210.451784489389</f>
        <v>-906.19997770482064</v>
      </c>
      <c r="E300">
        <f>-664.156918336795 -47.8569470156011 -308.084739939761</f>
        <v>-1020.0986052921571</v>
      </c>
      <c r="F300">
        <f>-672.66010651558 -48.3398188048368 -396.773563120625</f>
        <v>-1117.7734884410418</v>
      </c>
      <c r="G300">
        <f>-676.917901048851 -46.9177832514762 -485.757178062195</f>
        <v>-1209.5928623625223</v>
      </c>
      <c r="H300">
        <f>-678.41052763491 -42.9291713598388 -610.266873251611</f>
        <v>-1331.6065722463597</v>
      </c>
      <c r="I300">
        <f>-647.053156690066 -35.5666986917872 -686.866751876103</f>
        <v>-1369.4866072579562</v>
      </c>
      <c r="J300">
        <f>-683.305471771452 -17.5533360708264 -554.540691369947</f>
        <v>-1255.3994992122252</v>
      </c>
      <c r="K300" t="s">
        <v>3268</v>
      </c>
      <c r="L300" t="s">
        <v>3269</v>
      </c>
      <c r="M300" t="s">
        <v>3270</v>
      </c>
      <c r="N300">
        <f>-672.201915800991 -71.8153407053594 -556.411989247712</f>
        <v>-1300.4292457540623</v>
      </c>
      <c r="O300">
        <f>-650.721877567799 -205.029205034259 -530.119639693521</f>
        <v>-1385.8707222955791</v>
      </c>
      <c r="P300">
        <f>-677.56005049634 -264.987149054877 -243.281869791548</f>
        <v>-1185.829069342765</v>
      </c>
      <c r="Q300">
        <f>-503.382986313112 -123.897030938799 -331.637910692745</f>
        <v>-958.91792794465596</v>
      </c>
      <c r="R300" t="s">
        <v>3271</v>
      </c>
      <c r="S300" t="s">
        <v>3272</v>
      </c>
      <c r="T300" t="s">
        <v>3273</v>
      </c>
      <c r="U300" t="s">
        <v>3274</v>
      </c>
      <c r="V300">
        <f>-602.479167538584 -130.596304736656 -97.4297066602214</f>
        <v>-830.50517893546134</v>
      </c>
      <c r="W300" t="s">
        <v>3275</v>
      </c>
      <c r="X300" t="s">
        <v>3276</v>
      </c>
      <c r="Y300" t="s">
        <v>3277</v>
      </c>
    </row>
    <row r="301" spans="1:25" x14ac:dyDescent="0.3">
      <c r="A301">
        <v>15000</v>
      </c>
      <c r="B301" t="s">
        <v>3278</v>
      </c>
      <c r="C301">
        <f>-621.524756862001 -36.7366680907537 -98.6223952239899</f>
        <v>-756.88382017674462</v>
      </c>
      <c r="D301">
        <f>-650.46652678524 -45.3397856535935 -210.446261902414</f>
        <v>-906.25257434124751</v>
      </c>
      <c r="E301">
        <f>-664.188160650737 -47.9326094082815 -308.076425198857</f>
        <v>-1020.1971952578755</v>
      </c>
      <c r="F301">
        <f>-672.705287453721 -48.465865235445 -396.763653525224</f>
        <v>-1117.9348062143899</v>
      </c>
      <c r="G301">
        <f>-676.97921797623 -47.1126623932323 -485.74759008126</f>
        <v>-1209.8394704507223</v>
      </c>
      <c r="H301">
        <f>-678.496459048297 -43.2400663999898 -610.260679482589</f>
        <v>-1331.9972049308758</v>
      </c>
      <c r="I301">
        <f>-647.256060076775 -35.9472464264727 -686.915005751665</f>
        <v>-1370.1183122549128</v>
      </c>
      <c r="J301">
        <f>-683.371773548698 -17.8105726046401 -554.557142047512</f>
        <v>-1255.7394882008502</v>
      </c>
      <c r="K301" t="s">
        <v>3279</v>
      </c>
      <c r="L301" t="s">
        <v>3280</v>
      </c>
      <c r="M301" t="s">
        <v>3281</v>
      </c>
      <c r="N301">
        <f>-672.285837245143 -72.0778780865375 -556.380166374215</f>
        <v>-1300.7438817058955</v>
      </c>
      <c r="O301">
        <f>-650.83961990015 -205.272512177234 -529.967000407647</f>
        <v>-1386.0791324850311</v>
      </c>
      <c r="P301">
        <f>-677.812783480458 -264.969196806323 -243.087395023381</f>
        <v>-1185.869375310162</v>
      </c>
      <c r="Q301">
        <f>-503.604940499291 -123.996596174225 -331.570299311309</f>
        <v>-959.17183598482495</v>
      </c>
      <c r="R301" t="s">
        <v>3282</v>
      </c>
      <c r="S301" t="s">
        <v>3283</v>
      </c>
      <c r="T301" t="s">
        <v>3284</v>
      </c>
      <c r="U301" t="s">
        <v>3285</v>
      </c>
      <c r="V301">
        <f>-602.504013470836 -130.65770677784 -97.4299664173177</f>
        <v>-830.59168666599362</v>
      </c>
      <c r="W301" t="s">
        <v>3286</v>
      </c>
      <c r="X301" t="s">
        <v>3287</v>
      </c>
      <c r="Y301" t="s">
        <v>3288</v>
      </c>
    </row>
    <row r="302" spans="1:25" x14ac:dyDescent="0.3">
      <c r="A302">
        <v>15050</v>
      </c>
      <c r="B302" t="s">
        <v>3289</v>
      </c>
      <c r="C302">
        <f>-621.490553586728 -36.7956708710417 -98.6121311281091</f>
        <v>-756.89835558587879</v>
      </c>
      <c r="D302">
        <f>-650.432690909137 -45.4135285197204 -210.434769862555</f>
        <v>-906.28098929141242</v>
      </c>
      <c r="E302">
        <f>-664.173721265183 -48.0263050664689 -308.061691226132</f>
        <v>-1020.2617175577839</v>
      </c>
      <c r="F302">
        <f>-672.715973510915 -48.5808880080762 -396.746299153708</f>
        <v>-1118.0431606726991</v>
      </c>
      <c r="G302">
        <f>-677.022730900251 -47.2529357650869 -485.729083140564</f>
        <v>-1210.0047498059018</v>
      </c>
      <c r="H302">
        <f>-678.593582686073 -43.4191665307837 -610.242650295041</f>
        <v>-1332.2553995118978</v>
      </c>
      <c r="I302">
        <f>-647.371836776768 -36.1505532058841 -686.906974508779</f>
        <v>-1370.429364491431</v>
      </c>
      <c r="J302">
        <f>-683.442915703441 -17.9717435030157 -554.545101293576</f>
        <v>-1255.9597605000326</v>
      </c>
      <c r="K302" t="s">
        <v>3290</v>
      </c>
      <c r="L302" t="s">
        <v>3291</v>
      </c>
      <c r="M302" t="s">
        <v>3292</v>
      </c>
      <c r="N302">
        <f>-672.361836538797 -72.2404820740225 -556.355824980198</f>
        <v>-1300.9581435930174</v>
      </c>
      <c r="O302">
        <f>-650.878657862056 -205.425954880443 -529.917538688724</f>
        <v>-1386.222151431223</v>
      </c>
      <c r="P302">
        <f>-677.805436348987 -265.166367775846 -243.042640770542</f>
        <v>-1186.0144448953749</v>
      </c>
      <c r="Q302">
        <f>-503.662998889681 -124.12411113202 -331.54328725819</f>
        <v>-959.33039727989103</v>
      </c>
      <c r="R302" t="s">
        <v>3293</v>
      </c>
      <c r="S302" t="s">
        <v>3294</v>
      </c>
      <c r="T302" t="s">
        <v>3295</v>
      </c>
      <c r="U302" t="s">
        <v>3296</v>
      </c>
      <c r="V302">
        <f>-602.457442346139 -130.716160718295 -97.4227136874907</f>
        <v>-830.59631675192475</v>
      </c>
      <c r="W302" t="s">
        <v>3297</v>
      </c>
      <c r="X302" t="s">
        <v>3298</v>
      </c>
      <c r="Y302" t="s">
        <v>3299</v>
      </c>
    </row>
    <row r="303" spans="1:25" x14ac:dyDescent="0.3">
      <c r="A303">
        <v>15100</v>
      </c>
      <c r="B303" t="s">
        <v>3300</v>
      </c>
      <c r="C303">
        <f>-621.413641876013 -36.740272604959 -98.6007150913163</f>
        <v>-756.75462957228831</v>
      </c>
      <c r="D303">
        <f>-650.370678928567 -45.3876191537966 -210.417164966174</f>
        <v>-906.17546304853761</v>
      </c>
      <c r="E303">
        <f>-664.177713906392 -48.0292032933655 -308.03411238163</f>
        <v>-1020.2410295813875</v>
      </c>
      <c r="F303">
        <f>-672.800993355307 -48.6121178594058 -396.710676677461</f>
        <v>-1118.1237878921738</v>
      </c>
      <c r="G303">
        <f>-677.209952534554 -47.3148734269294 -485.688773291468</f>
        <v>-1210.2135992529513</v>
      </c>
      <c r="H303">
        <f>-678.945691430222 -43.5271128293672 -610.201809129397</f>
        <v>-1332.6746133889862</v>
      </c>
      <c r="I303">
        <f>-647.739697967894 -36.275622330525 -686.873961951049</f>
        <v>-1370.8892822494681</v>
      </c>
      <c r="J303">
        <f>-683.723693806259 -18.0597186333973 -554.507117956535</f>
        <v>-1256.2905303961913</v>
      </c>
      <c r="K303" t="s">
        <v>3301</v>
      </c>
      <c r="L303" t="s">
        <v>3302</v>
      </c>
      <c r="M303" t="s">
        <v>3303</v>
      </c>
      <c r="N303">
        <f>-672.640099664749 -72.3280634099457 -556.312440983923</f>
        <v>-1301.2806040586177</v>
      </c>
      <c r="O303">
        <f>-651.073224937588 -205.497314729901 -529.868800379972</f>
        <v>-1386.439340047461</v>
      </c>
      <c r="P303">
        <f>-677.712642659784 -265.246303032023 -242.968790403342</f>
        <v>-1185.9277360951489</v>
      </c>
      <c r="Q303">
        <f>-503.678467337051 -124.130411158557 -331.56495210682</f>
        <v>-959.37383060242803</v>
      </c>
      <c r="R303" t="s">
        <v>3304</v>
      </c>
      <c r="S303" t="s">
        <v>3305</v>
      </c>
      <c r="T303" t="s">
        <v>3306</v>
      </c>
      <c r="U303" t="s">
        <v>3307</v>
      </c>
      <c r="V303">
        <f>-602.330303393907 -130.656271065243 -97.4115740046544</f>
        <v>-830.39814846380443</v>
      </c>
      <c r="W303" t="s">
        <v>3308</v>
      </c>
      <c r="X303" t="s">
        <v>3309</v>
      </c>
      <c r="Y303" t="s">
        <v>3310</v>
      </c>
    </row>
    <row r="304" spans="1:25" x14ac:dyDescent="0.3">
      <c r="A304">
        <v>15150</v>
      </c>
      <c r="B304" t="s">
        <v>3300</v>
      </c>
      <c r="C304">
        <f>-621.413641876013 -36.740272604959 -98.6007150913163</f>
        <v>-756.75462957228831</v>
      </c>
      <c r="D304">
        <f>-650.370678928567 -45.3876191537966 -210.417164966174</f>
        <v>-906.17546304853761</v>
      </c>
      <c r="E304">
        <f>-664.177713906392 -48.0292032933655 -308.03411238163</f>
        <v>-1020.2410295813875</v>
      </c>
      <c r="F304">
        <f>-672.800993355307 -48.6121178594058 -396.710676677461</f>
        <v>-1118.1237878921738</v>
      </c>
      <c r="G304">
        <f>-677.209952534554 -47.3148734269294 -485.688773291468</f>
        <v>-1210.2135992529513</v>
      </c>
      <c r="H304">
        <f>-678.945691430222 -43.5271128293672 -610.201809129397</f>
        <v>-1332.6746133889862</v>
      </c>
      <c r="I304">
        <f>-647.739697967894 -36.275622330525 -686.873961951049</f>
        <v>-1370.8892822494681</v>
      </c>
      <c r="J304">
        <f>-683.723693806259 -18.0597186333973 -554.507117956535</f>
        <v>-1256.2905303961913</v>
      </c>
      <c r="K304" t="s">
        <v>3301</v>
      </c>
      <c r="L304" t="s">
        <v>3302</v>
      </c>
      <c r="M304" t="s">
        <v>3303</v>
      </c>
      <c r="N304">
        <f>-672.640099664749 -72.3280634099457 -556.312440983923</f>
        <v>-1301.2806040586177</v>
      </c>
      <c r="O304">
        <f>-651.073224937588 -205.497314729901 -529.868800379972</f>
        <v>-1386.439340047461</v>
      </c>
      <c r="P304">
        <f>-677.712642659784 -265.246303032023 -242.968790403342</f>
        <v>-1185.9277360951489</v>
      </c>
      <c r="Q304">
        <f>-503.678467337051 -124.130411158557 -331.56495210682</f>
        <v>-959.37383060242803</v>
      </c>
      <c r="R304" t="s">
        <v>3304</v>
      </c>
      <c r="S304" t="s">
        <v>3305</v>
      </c>
      <c r="T304" t="s">
        <v>3306</v>
      </c>
      <c r="U304" t="s">
        <v>3307</v>
      </c>
      <c r="V304">
        <f>-602.330303393907 -130.656271065243 -97.4115740046544</f>
        <v>-830.39814846380443</v>
      </c>
      <c r="W304" t="s">
        <v>3308</v>
      </c>
      <c r="X304" t="s">
        <v>3309</v>
      </c>
      <c r="Y304" t="s">
        <v>3310</v>
      </c>
    </row>
    <row r="305" spans="1:25" x14ac:dyDescent="0.3">
      <c r="A305">
        <v>15200</v>
      </c>
      <c r="B305" t="s">
        <v>3311</v>
      </c>
      <c r="C305">
        <f>-621.24432417593 -36.9343884759689 -98.6132555225132</f>
        <v>-756.7919681744122</v>
      </c>
      <c r="D305">
        <f>-650.238597579446 -45.585313473718 -210.41988640914</f>
        <v>-906.24379746230397</v>
      </c>
      <c r="E305">
        <f>-664.081565019665 -48.2276823505734 -308.031527119853</f>
        <v>-1020.3407744900915</v>
      </c>
      <c r="F305">
        <f>-672.73864047229 -48.8109840791461 -396.704823968325</f>
        <v>-1118.2544485197611</v>
      </c>
      <c r="G305">
        <f>-677.182905364486 -47.5134078722477 -485.681328469052</f>
        <v>-1210.3776417057857</v>
      </c>
      <c r="H305">
        <f>-678.969291601317 -43.7247996429522 -610.193348342819</f>
        <v>-1332.8874395870882</v>
      </c>
      <c r="I305">
        <f>-647.681177232427 -36.4099806990919 -686.826175804771</f>
        <v>-1370.9173337362899</v>
      </c>
      <c r="J305">
        <f>-683.731311810396 -18.2589955715109 -554.49661100371</f>
        <v>-1256.4869183856169</v>
      </c>
      <c r="K305" t="s">
        <v>3312</v>
      </c>
      <c r="L305" t="s">
        <v>3313</v>
      </c>
      <c r="M305" t="s">
        <v>3314</v>
      </c>
      <c r="N305">
        <f>-672.635135382938 -72.5247697205718 -556.306957144938</f>
        <v>-1301.4668622484478</v>
      </c>
      <c r="O305">
        <f>-651.02579489161 -205.68843185883 -529.857239431325</f>
        <v>-1386.5714661817649</v>
      </c>
      <c r="P305">
        <f>-677.445217971636 -265.359388370753 -242.920637063096</f>
        <v>-1185.7252434054849</v>
      </c>
      <c r="Q305">
        <f>-503.465559070198 -124.265774559296 -331.659256825491</f>
        <v>-959.39059045498493</v>
      </c>
      <c r="R305" t="s">
        <v>3315</v>
      </c>
      <c r="S305" t="s">
        <v>3316</v>
      </c>
      <c r="T305" t="s">
        <v>3317</v>
      </c>
      <c r="U305" t="s">
        <v>3318</v>
      </c>
      <c r="V305">
        <f>-602.133035341244 -130.884363522989 -97.409172273871</f>
        <v>-830.42657113810401</v>
      </c>
      <c r="W305" t="s">
        <v>3319</v>
      </c>
      <c r="X305" t="s">
        <v>3320</v>
      </c>
      <c r="Y305" t="s">
        <v>3321</v>
      </c>
    </row>
    <row r="306" spans="1:25" x14ac:dyDescent="0.3">
      <c r="A306">
        <v>15250</v>
      </c>
      <c r="B306" t="s">
        <v>3322</v>
      </c>
      <c r="C306">
        <f>-621.107770519787 -36.9735378996318 -98.5777289888182</f>
        <v>-756.65903740823694</v>
      </c>
      <c r="D306">
        <f>-650.098872661937 -45.6122308557332 -210.386113291062</f>
        <v>-906.09721680873213</v>
      </c>
      <c r="E306">
        <f>-663.914435065641 -48.2417848031331 -308.002078971385</f>
        <v>-1020.1582988401591</v>
      </c>
      <c r="F306">
        <f>-672.536689933638 -48.8125107790966 -396.67885443784</f>
        <v>-1118.0280551505746</v>
      </c>
      <c r="G306">
        <f>-676.935871781902 -47.5017807863069 -485.657377546007</f>
        <v>-1210.0950301142159</v>
      </c>
      <c r="H306">
        <f>-678.648601538089 -43.6940399397146 -610.169872424912</f>
        <v>-1332.5125139027155</v>
      </c>
      <c r="I306">
        <f>-647.280556414028 -36.2932175894425 -686.761774463995</f>
        <v>-1370.3355484674655</v>
      </c>
      <c r="J306">
        <f>-683.440488359616 -18.2363221958194 -554.472016248368</f>
        <v>-1256.1488268038033</v>
      </c>
      <c r="K306" t="s">
        <v>3323</v>
      </c>
      <c r="L306" t="s">
        <v>3324</v>
      </c>
      <c r="M306" t="s">
        <v>3325</v>
      </c>
      <c r="N306">
        <f>-672.349337153561 -72.502962691595 -556.284120545008</f>
        <v>-1301.1364203901639</v>
      </c>
      <c r="O306">
        <f>-650.750363636963 -205.665015166864 -529.824183205145</f>
        <v>-1386.2395620089719</v>
      </c>
      <c r="P306">
        <f>-677.165628173756 -265.379566200348 -242.896436400955</f>
        <v>-1185.4416307750589</v>
      </c>
      <c r="Q306">
        <f>-503.16966721817 -124.340381570472 -331.689522944934</f>
        <v>-959.19957173357602</v>
      </c>
      <c r="R306" t="s">
        <v>3326</v>
      </c>
      <c r="S306" t="s">
        <v>3327</v>
      </c>
      <c r="T306" t="s">
        <v>3328</v>
      </c>
      <c r="U306" t="s">
        <v>3329</v>
      </c>
      <c r="V306">
        <f>-602.016032213166 -130.904014891175 -97.3972028222337</f>
        <v>-830.31724992657462</v>
      </c>
      <c r="W306" t="s">
        <v>3330</v>
      </c>
      <c r="X306" t="s">
        <v>3331</v>
      </c>
      <c r="Y306" t="s">
        <v>3332</v>
      </c>
    </row>
    <row r="307" spans="1:25" x14ac:dyDescent="0.3">
      <c r="A307">
        <v>15300</v>
      </c>
      <c r="B307" t="s">
        <v>3333</v>
      </c>
      <c r="C307">
        <f>-621.117326752844 -36.9514649782909 -98.5715194082229</f>
        <v>-756.64031113935778</v>
      </c>
      <c r="D307">
        <f>-650.091714525686 -45.5789974091689 -210.385097636168</f>
        <v>-906.05580957102291</v>
      </c>
      <c r="E307">
        <f>-663.854605995426 -48.1907980506793 -308.008835319051</f>
        <v>-1020.0542393651563</v>
      </c>
      <c r="F307">
        <f>-672.41354789705 -48.7424677612864 -396.691953737796</f>
        <v>-1117.8479693961324</v>
      </c>
      <c r="G307">
        <f>-676.733031599111 -47.4105964114651 -485.674022166301</f>
        <v>-1209.8176501768771</v>
      </c>
      <c r="H307">
        <f>-678.317209319331 -43.5714439523031 -610.187377277149</f>
        <v>-1332.0760305487831</v>
      </c>
      <c r="I307">
        <f>-646.78283388616 -36.0920649525463 -686.703192775796</f>
        <v>-1369.5780916145022</v>
      </c>
      <c r="J307">
        <f>-683.134669480208 -18.1212768337277 -554.488198814974</f>
        <v>-1255.7441451289096</v>
      </c>
      <c r="K307" t="s">
        <v>3334</v>
      </c>
      <c r="L307" t="s">
        <v>3335</v>
      </c>
      <c r="M307" t="s">
        <v>3336</v>
      </c>
      <c r="N307">
        <f>-672.10545844279 -72.4004862698109 -556.302108273534</f>
        <v>-1300.808052986135</v>
      </c>
      <c r="O307">
        <f>-650.634089808247 -205.585242433603 -529.848887246817</f>
        <v>-1386.068219488667</v>
      </c>
      <c r="P307">
        <f>-677.227225323242 -265.386186719138 -242.955457364141</f>
        <v>-1185.5688694065211</v>
      </c>
      <c r="Q307">
        <f>-503.100915513249 -124.512599006133 -331.75589817896</f>
        <v>-959.36941269834199</v>
      </c>
      <c r="R307" t="s">
        <v>3337</v>
      </c>
      <c r="S307" t="s">
        <v>3338</v>
      </c>
      <c r="T307" t="s">
        <v>3339</v>
      </c>
      <c r="U307" t="s">
        <v>3340</v>
      </c>
      <c r="V307">
        <f>-602.049730736875 -130.908083429741 -97.3872511279707</f>
        <v>-830.34506529458656</v>
      </c>
      <c r="W307" t="s">
        <v>3341</v>
      </c>
      <c r="X307" t="s">
        <v>3342</v>
      </c>
      <c r="Y307" t="s">
        <v>3343</v>
      </c>
    </row>
    <row r="308" spans="1:25" x14ac:dyDescent="0.3">
      <c r="A308">
        <v>15350</v>
      </c>
      <c r="B308" t="s">
        <v>3344</v>
      </c>
      <c r="C308">
        <f>-621.126025865323 -36.9734698910474 -98.5739771424686</f>
        <v>-756.67347289883901</v>
      </c>
      <c r="D308">
        <f>-650.108204875986 -45.6071451688858 -210.385056085092</f>
        <v>-906.10040612996386</v>
      </c>
      <c r="E308">
        <f>-663.83839902688 -48.1992922821665 -308.014081514136</f>
        <v>-1020.0517728231825</v>
      </c>
      <c r="F308">
        <f>-672.351092639184 -48.7236055712912 -396.701805235426</f>
        <v>-1117.7765034459012</v>
      </c>
      <c r="G308">
        <f>-676.607651840215 -47.3555975929625 -485.686343671078</f>
        <v>-1209.6495931042555</v>
      </c>
      <c r="H308">
        <f>-678.086135962533 -43.4572105045778 -610.198973330703</f>
        <v>-1331.7423197978137</v>
      </c>
      <c r="I308">
        <f>-646.385768583638 -35.8876332269861 -686.637386308435</f>
        <v>-1368.9107881190589</v>
      </c>
      <c r="J308">
        <f>-682.930704147286 -18.0294268971966 -554.492069976944</f>
        <v>-1255.4522010214264</v>
      </c>
      <c r="K308" t="s">
        <v>3345</v>
      </c>
      <c r="L308" t="s">
        <v>3346</v>
      </c>
      <c r="M308" t="s">
        <v>3347</v>
      </c>
      <c r="N308">
        <f>-671.940435554836 -72.3159519002974 -556.322278549991</f>
        <v>-1300.5786660051244</v>
      </c>
      <c r="O308">
        <f>-650.58892068968 -205.521342031446 -529.882448626241</f>
        <v>-1385.9927113473668</v>
      </c>
      <c r="P308">
        <f>-677.320652518662 -265.326333550285 -243.002648578975</f>
        <v>-1185.6496346479219</v>
      </c>
      <c r="Q308">
        <f>-503.063897300912 -124.591809677844 -331.767720457976</f>
        <v>-959.42342743673203</v>
      </c>
      <c r="R308" t="s">
        <v>3348</v>
      </c>
      <c r="S308" t="s">
        <v>3349</v>
      </c>
      <c r="T308" t="s">
        <v>3350</v>
      </c>
      <c r="U308" t="s">
        <v>3351</v>
      </c>
      <c r="V308">
        <f>-602.069190258256 -130.954206283717 -97.378114333846</f>
        <v>-830.40151087581899</v>
      </c>
      <c r="W308" t="s">
        <v>3352</v>
      </c>
      <c r="X308" t="s">
        <v>3353</v>
      </c>
      <c r="Y308" t="s">
        <v>3354</v>
      </c>
    </row>
    <row r="309" spans="1:25" x14ac:dyDescent="0.3">
      <c r="A309">
        <v>15400</v>
      </c>
      <c r="B309" t="s">
        <v>3355</v>
      </c>
      <c r="C309">
        <f>-621.197821400293 -37.1000874346018 -98.5969067153851</f>
        <v>-756.89481555027999</v>
      </c>
      <c r="D309">
        <f>-650.12151463695 -45.7408380313466 -210.422624502924</f>
        <v>-906.28497717122059</v>
      </c>
      <c r="E309">
        <f>-663.769440017881 -48.3252870656692 -308.063387396154</f>
        <v>-1020.1581144797042</v>
      </c>
      <c r="F309">
        <f>-672.194308706073 -48.8386233647068 -396.759457338121</f>
        <v>-1117.7923894089008</v>
      </c>
      <c r="G309">
        <f>-676.348807592747 -47.456635556318 -485.74863637967</f>
        <v>-1209.554079528735</v>
      </c>
      <c r="H309">
        <f>-677.669508719292 -43.5371592774877 -610.262406955707</f>
        <v>-1331.4690749524866</v>
      </c>
      <c r="I309">
        <f>-645.340009663855 -35.6418725448646 -686.403797859437</f>
        <v>-1367.3856800681565</v>
      </c>
      <c r="J309">
        <f>-682.540545900485 -18.1097901990379 -554.557623118992</f>
        <v>-1255.2079592185148</v>
      </c>
      <c r="K309" t="s">
        <v>3356</v>
      </c>
      <c r="L309" t="s">
        <v>3357</v>
      </c>
      <c r="M309" t="s">
        <v>3358</v>
      </c>
      <c r="N309">
        <f>-671.636199042303 -72.4138778161796 -556.38256791405</f>
        <v>-1300.4326447725325</v>
      </c>
      <c r="O309">
        <f>-650.505103332422 -205.660933228603 -529.966152501827</f>
        <v>-1386.1321890628519</v>
      </c>
      <c r="P309">
        <f>-677.567658996378 -265.457865837325 -243.115675711219</f>
        <v>-1186.141200544922</v>
      </c>
      <c r="Q309">
        <f>-503.029726645976 -125.03207459958 -331.817302307877</f>
        <v>-959.87910355343297</v>
      </c>
      <c r="R309" t="s">
        <v>3359</v>
      </c>
      <c r="S309" t="s">
        <v>3360</v>
      </c>
      <c r="T309" t="s">
        <v>3361</v>
      </c>
      <c r="U309" t="s">
        <v>3362</v>
      </c>
      <c r="V309">
        <f>-602.180516077741 -131.080930336102 -97.3640442126605</f>
        <v>-830.62549062650351</v>
      </c>
      <c r="W309" t="s">
        <v>3363</v>
      </c>
      <c r="X309" t="s">
        <v>3364</v>
      </c>
      <c r="Y309" t="s">
        <v>3365</v>
      </c>
    </row>
    <row r="310" spans="1:25" x14ac:dyDescent="0.3">
      <c r="A310">
        <v>15450</v>
      </c>
      <c r="B310" t="s">
        <v>3366</v>
      </c>
      <c r="C310">
        <f>-621.268952669415 -37.1928621026141 -98.5895905737316</f>
        <v>-757.0514053457606</v>
      </c>
      <c r="D310">
        <f>-650.180307163964 -45.8236803453356 -210.419158688329</f>
        <v>-906.42314619762851</v>
      </c>
      <c r="E310">
        <f>-663.812813949961 -48.4159153234991 -308.061858628488</f>
        <v>-1020.2905879019481</v>
      </c>
      <c r="F310">
        <f>-672.221389202907 -48.9431482106088 -396.759380468685</f>
        <v>-1117.9239178822008</v>
      </c>
      <c r="G310">
        <f>-676.357296488607 -47.5829102946918 -485.74977781442</f>
        <v>-1209.6899845977186</v>
      </c>
      <c r="H310">
        <f>-677.64912519003 -43.7022403269883 -610.265198271942</f>
        <v>-1331.6165637889603</v>
      </c>
      <c r="I310">
        <f>-645.016919796267 -35.6335203607523 -686.259021613451</f>
        <v>-1366.9094617704702</v>
      </c>
      <c r="J310">
        <f>-682.508496181355 -18.2527206188634 -554.569426783075</f>
        <v>-1255.3306435832933</v>
      </c>
      <c r="K310" t="s">
        <v>3367</v>
      </c>
      <c r="L310" t="s">
        <v>3368</v>
      </c>
      <c r="M310" t="s">
        <v>3369</v>
      </c>
      <c r="N310">
        <f>-671.652792129134 -72.5671389459327 -556.374947776727</f>
        <v>-1300.5948788517937</v>
      </c>
      <c r="O310">
        <f>-650.6195432518 -205.819029140716 -529.914797724568</f>
        <v>-1386.3533701170841</v>
      </c>
      <c r="P310">
        <f>-677.682119914062 -265.591470552018 -243.059297751099</f>
        <v>-1186.3328882171791</v>
      </c>
      <c r="Q310">
        <f>-503.041715511533 -125.302037734273 -331.774860455148</f>
        <v>-960.11861370095403</v>
      </c>
      <c r="R310" t="s">
        <v>3370</v>
      </c>
      <c r="S310" t="s">
        <v>3371</v>
      </c>
      <c r="T310" t="s">
        <v>3372</v>
      </c>
      <c r="U310" t="s">
        <v>3373</v>
      </c>
      <c r="V310">
        <f>-602.300683401187 -131.20446473371 -97.3584178762025</f>
        <v>-830.86356601109946</v>
      </c>
      <c r="W310" t="s">
        <v>3374</v>
      </c>
      <c r="X310" t="s">
        <v>3375</v>
      </c>
      <c r="Y310" t="s">
        <v>3376</v>
      </c>
    </row>
    <row r="311" spans="1:25" x14ac:dyDescent="0.3">
      <c r="A311">
        <v>15500</v>
      </c>
      <c r="B311" t="s">
        <v>3377</v>
      </c>
      <c r="C311">
        <f>-621.516208122608 -37.0660823849182 -98.6026173640222</f>
        <v>-757.18490787154838</v>
      </c>
      <c r="D311">
        <f>-650.406355117293 -45.7029200715756 -210.437300276216</f>
        <v>-906.54657546508452</v>
      </c>
      <c r="E311">
        <f>-663.98272411718 -48.3034763104401 -308.087623365103</f>
        <v>-1020.3738237927232</v>
      </c>
      <c r="F311">
        <f>-672.324637121808 -48.8405355346607 -396.791388826369</f>
        <v>-1117.9565614828377</v>
      </c>
      <c r="G311">
        <f>-676.377137305855 -47.4937977763019 -485.785715047146</f>
        <v>-1209.6566501293028</v>
      </c>
      <c r="H311">
        <f>-677.534755559524 -43.6369346758092 -610.303289073764</f>
        <v>-1331.4749793090973</v>
      </c>
      <c r="I311">
        <f>-644.504917690932 -35.2645526818571 -686.092018052625</f>
        <v>-1365.8614884254141</v>
      </c>
      <c r="J311">
        <f>-682.400662261308 -18.1660567113177 -554.617829468179</f>
        <v>-1255.1845484408045</v>
      </c>
      <c r="K311" t="s">
        <v>3378</v>
      </c>
      <c r="L311" t="s">
        <v>3379</v>
      </c>
      <c r="M311" t="s">
        <v>3380</v>
      </c>
      <c r="N311">
        <f>-671.650030426149 -72.5021910717535 -556.400699486743</f>
        <v>-1300.5529209846454</v>
      </c>
      <c r="O311">
        <f>-650.890886194014 -205.785602474756 -529.872043804733</f>
        <v>-1386.548532473503</v>
      </c>
      <c r="P311">
        <f>-678.298952436383 -265.417288253412 -243.020125840259</f>
        <v>-1186.7363665300541</v>
      </c>
      <c r="Q311">
        <f>-503.349083342544 -125.550623744713 -331.793606445122</f>
        <v>-960.69331353237897</v>
      </c>
      <c r="R311" t="s">
        <v>3381</v>
      </c>
      <c r="S311" t="s">
        <v>3382</v>
      </c>
      <c r="T311" t="s">
        <v>3383</v>
      </c>
      <c r="U311" t="s">
        <v>3384</v>
      </c>
      <c r="V311">
        <f>-602.586958318678 -131.066317692519 -97.3562468072606</f>
        <v>-831.00952281845753</v>
      </c>
      <c r="W311" t="s">
        <v>3385</v>
      </c>
      <c r="X311" t="s">
        <v>3386</v>
      </c>
      <c r="Y311" t="s">
        <v>3387</v>
      </c>
    </row>
    <row r="312" spans="1:25" x14ac:dyDescent="0.3">
      <c r="A312">
        <v>15550</v>
      </c>
      <c r="B312" t="s">
        <v>3388</v>
      </c>
      <c r="C312">
        <f>-621.630132509414 -37.0798980146014 -98.6197420868604</f>
        <v>-757.32977261087581</v>
      </c>
      <c r="D312">
        <f>-650.478570862576 -45.7135146237448 -210.465430075833</f>
        <v>-906.65751556215378</v>
      </c>
      <c r="E312">
        <f>-664.00252017025 -48.3135163143177 -308.122852166319</f>
        <v>-1020.4388886508866</v>
      </c>
      <c r="F312">
        <f>-672.289846849763 -48.8517261237117 -396.831917993256</f>
        <v>-1117.9734909667307</v>
      </c>
      <c r="G312">
        <f>-676.280337531784 -47.5089016491893 -485.829048534841</f>
        <v>-1209.6182877158142</v>
      </c>
      <c r="H312">
        <f>-677.343234119718 -43.6605474258374 -610.347647571144</f>
        <v>-1331.3514291166994</v>
      </c>
      <c r="I312">
        <f>-644.171098971185 -35.1713303754154 -686.06148432677</f>
        <v>-1365.4039136733704</v>
      </c>
      <c r="J312">
        <f>-682.224731086776 -18.1806021931359 -554.667729250694</f>
        <v>-1255.073062530606</v>
      </c>
      <c r="K312" t="s">
        <v>3389</v>
      </c>
      <c r="L312" t="s">
        <v>3390</v>
      </c>
      <c r="M312" t="s">
        <v>3391</v>
      </c>
      <c r="N312">
        <f>-671.526243153894 -72.5274328201969 -556.438619438674</f>
        <v>-1300.4922954127651</v>
      </c>
      <c r="O312">
        <f>-650.909374328529 -205.82975523415 -529.910273156143</f>
        <v>-1386.6494027188219</v>
      </c>
      <c r="P312">
        <f>-678.696615001428 -265.408782529374 -243.083778841363</f>
        <v>-1187.1891763721649</v>
      </c>
      <c r="Q312">
        <f>-503.498429409282 -125.804785802352 -331.780839273726</f>
        <v>-961.08405448535996</v>
      </c>
      <c r="R312" t="s">
        <v>3392</v>
      </c>
      <c r="S312" t="s">
        <v>3393</v>
      </c>
      <c r="T312" t="s">
        <v>3394</v>
      </c>
      <c r="U312" t="s">
        <v>3395</v>
      </c>
      <c r="V312">
        <f>-602.714860784899 -131.136916292503 -97.363982762442</f>
        <v>-831.21575983984394</v>
      </c>
      <c r="W312" t="s">
        <v>3396</v>
      </c>
      <c r="X312" t="s">
        <v>3397</v>
      </c>
      <c r="Y312" t="s">
        <v>3398</v>
      </c>
    </row>
    <row r="313" spans="1:25" x14ac:dyDescent="0.3">
      <c r="A313">
        <v>15600</v>
      </c>
      <c r="B313" t="s">
        <v>3399</v>
      </c>
      <c r="C313">
        <f>-621.681414279253 -37.1322601837462 -98.6176493478275</f>
        <v>-757.43132381082671</v>
      </c>
      <c r="D313">
        <f>-650.44167481227 -45.7354187319161 -210.488421558616</f>
        <v>-906.66551510280203</v>
      </c>
      <c r="E313">
        <f>-663.866875055309 -48.317830998946 -308.159986800265</f>
        <v>-1020.34469285452</v>
      </c>
      <c r="F313">
        <f>-672.055097837115 -48.8448048138057 -396.878165829528</f>
        <v>-1117.7780684804486</v>
      </c>
      <c r="G313">
        <f>-675.935963934642 -47.497189340507 -485.880343515188</f>
        <v>-1209.313496790337</v>
      </c>
      <c r="H313">
        <f>-676.834321186264 -43.6505922367064 -610.400250546979</f>
        <v>-1330.8851639699494</v>
      </c>
      <c r="I313">
        <f>-643.550559530994 -35.0159888205446 -686.048472678539</f>
        <v>-1364.6150210300775</v>
      </c>
      <c r="J313">
        <f>-681.729002295923 -18.1581146192907 -554.727141809128</f>
        <v>-1254.6142587243417</v>
      </c>
      <c r="K313" t="s">
        <v>3400</v>
      </c>
      <c r="L313" t="s">
        <v>3401</v>
      </c>
      <c r="M313" t="s">
        <v>3402</v>
      </c>
      <c r="N313">
        <f>-671.148958657242 -72.528497316256 -556.483055084434</f>
        <v>-1300.1605110579321</v>
      </c>
      <c r="O313">
        <f>-650.868591881955 -205.888191321149 -529.95046924338</f>
        <v>-1386.7072524464841</v>
      </c>
      <c r="P313">
        <f>-679.091558375162 -265.552572281066 -243.184373133835</f>
        <v>-1187.828503790063</v>
      </c>
      <c r="Q313">
        <f>-503.460813108618 -126.355089759008 -331.664621198974</f>
        <v>-961.48052406660008</v>
      </c>
      <c r="R313" t="s">
        <v>3403</v>
      </c>
      <c r="S313" t="s">
        <v>3404</v>
      </c>
      <c r="T313" t="s">
        <v>3405</v>
      </c>
      <c r="U313" t="s">
        <v>3406</v>
      </c>
      <c r="V313">
        <f>-602.878822389883 -131.208990146976 -97.3502017258847</f>
        <v>-831.43801426274376</v>
      </c>
      <c r="W313" t="s">
        <v>3407</v>
      </c>
      <c r="X313" t="s">
        <v>3408</v>
      </c>
      <c r="Y313" t="s">
        <v>3409</v>
      </c>
    </row>
    <row r="314" spans="1:25" x14ac:dyDescent="0.3">
      <c r="A314">
        <v>15650</v>
      </c>
      <c r="B314" t="s">
        <v>3410</v>
      </c>
      <c r="C314">
        <f>-621.6393737216 -37.0551528705689 -98.6236276037625</f>
        <v>-757.31815419593147</v>
      </c>
      <c r="D314">
        <f>-650.352680461579 -45.6349835340917 -210.50815610117</f>
        <v>-906.4958200968407</v>
      </c>
      <c r="E314">
        <f>-663.729545286196 -48.2005251762707 -308.186953760046</f>
        <v>-1020.1170242225127</v>
      </c>
      <c r="F314">
        <f>-671.870561350095 -48.7139565623917 -396.909556532833</f>
        <v>-1117.4940744453197</v>
      </c>
      <c r="G314">
        <f>-675.700691643574 -47.3549971707599 -485.913539621048</f>
        <v>-1208.9692284353819</v>
      </c>
      <c r="H314">
        <f>-676.524345410181 -43.495509628596 -610.433683676383</f>
        <v>-1330.45353871516</v>
      </c>
      <c r="I314">
        <f>-643.240832300402 -34.8295511837539 -686.078508409196</f>
        <v>-1364.1488918933519</v>
      </c>
      <c r="J314">
        <f>-681.420923087749 -18.0026380279273 -554.760884829225</f>
        <v>-1254.1844459449012</v>
      </c>
      <c r="K314" t="s">
        <v>3411</v>
      </c>
      <c r="L314" t="s">
        <v>3412</v>
      </c>
      <c r="M314" t="s">
        <v>3413</v>
      </c>
      <c r="N314">
        <f>-670.902848399068 -72.3851007018321 -556.516170574254</f>
        <v>-1299.8041196751542</v>
      </c>
      <c r="O314">
        <f>-650.769427969871 -205.764308227502 -529.996789593891</f>
        <v>-1386.5305257912639</v>
      </c>
      <c r="P314">
        <f>-679.153704330559 -265.485730267053 -243.25836386811</f>
        <v>-1187.897798465722</v>
      </c>
      <c r="Q314">
        <f>-503.33322284242 -126.471729768927 -331.650348528489</f>
        <v>-961.45530113983614</v>
      </c>
      <c r="R314" t="s">
        <v>3414</v>
      </c>
      <c r="S314" t="s">
        <v>3415</v>
      </c>
      <c r="T314" t="s">
        <v>3416</v>
      </c>
      <c r="U314" t="s">
        <v>3417</v>
      </c>
      <c r="V314">
        <f>-602.880442930754 -131.098441799276 -97.3481398547049</f>
        <v>-831.32702458473489</v>
      </c>
      <c r="W314" t="s">
        <v>3418</v>
      </c>
      <c r="X314" t="s">
        <v>3419</v>
      </c>
      <c r="Y314" t="s">
        <v>3420</v>
      </c>
    </row>
    <row r="315" spans="1:25" x14ac:dyDescent="0.3">
      <c r="A315">
        <v>15700</v>
      </c>
      <c r="B315" t="s">
        <v>3421</v>
      </c>
      <c r="C315">
        <f>-621.381413786179 -36.7973710307215 -98.6328864197895</f>
        <v>-756.81167123669002</v>
      </c>
      <c r="D315">
        <f>-650.013615679005 -45.3353505608382 -210.541491581991</f>
        <v>-905.89045782183416</v>
      </c>
      <c r="E315">
        <f>-663.318690607143 -47.8722035926355 -308.230706798525</f>
        <v>-1019.4216009983036</v>
      </c>
      <c r="F315">
        <f>-671.393990605992 -48.3627106471101 -396.959464378387</f>
        <v>-1116.7161656314893</v>
      </c>
      <c r="G315">
        <f>-675.157149932583 -46.9852817542087 -485.966116298366</f>
        <v>-1208.1085479851577</v>
      </c>
      <c r="H315">
        <f>-675.885836085999 -43.1050877331677 -610.486052270177</f>
        <v>-1329.4769760893437</v>
      </c>
      <c r="I315">
        <f>-642.660556465142 -34.4466460345611 -686.157371252487</f>
        <v>-1363.2645737521902</v>
      </c>
      <c r="J315">
        <f>-680.770527364296 -17.6110839873481 -554.81284113333</f>
        <v>-1253.1944524849741</v>
      </c>
      <c r="K315" t="s">
        <v>3422</v>
      </c>
      <c r="L315" t="s">
        <v>3423</v>
      </c>
      <c r="M315" t="s">
        <v>3424</v>
      </c>
      <c r="N315">
        <f>-670.359906597857 -72.0141622115468 -556.569122690643</f>
        <v>-1298.9431915000469</v>
      </c>
      <c r="O315">
        <f>-650.46867208619 -205.438147828969 -530.084415581325</f>
        <v>-1385.991235496484</v>
      </c>
      <c r="P315">
        <f>-679.202712351622 -265.254197814813 -243.400612696436</f>
        <v>-1187.8575228628711</v>
      </c>
      <c r="Q315">
        <f>-503.016801282199 -126.552177678555 -331.554854099267</f>
        <v>-961.12383306002107</v>
      </c>
      <c r="R315" t="s">
        <v>3425</v>
      </c>
      <c r="S315" t="s">
        <v>3426</v>
      </c>
      <c r="T315" t="s">
        <v>3427</v>
      </c>
      <c r="U315" t="s">
        <v>3428</v>
      </c>
      <c r="V315">
        <f>-602.708295058155 -130.806189422341 -97.3518206139295</f>
        <v>-830.86630509442557</v>
      </c>
      <c r="W315" t="s">
        <v>3429</v>
      </c>
      <c r="X315" t="s">
        <v>3430</v>
      </c>
      <c r="Y315" t="s">
        <v>3431</v>
      </c>
    </row>
    <row r="316" spans="1:25" x14ac:dyDescent="0.3">
      <c r="A316">
        <v>15750</v>
      </c>
      <c r="B316" t="s">
        <v>3432</v>
      </c>
      <c r="C316">
        <f>-621.019394328768 -36.6040962562197 -98.6241077730408</f>
        <v>-756.24759835802854</v>
      </c>
      <c r="D316">
        <f>-649.627460522359 -45.0822153782379 -210.543325939903</f>
        <v>-905.25300184050002</v>
      </c>
      <c r="E316">
        <f>-662.922021693938 -47.6094145914997 -308.234243834607</f>
        <v>-1018.7656801200446</v>
      </c>
      <c r="F316">
        <f>-670.992121703884 -48.1078499229878 -396.963600474029</f>
        <v>-1116.0635721009007</v>
      </c>
      <c r="G316">
        <f>-674.754200343625 -46.7557320175034 -485.970649708092</f>
        <v>-1207.4805820692204</v>
      </c>
      <c r="H316">
        <f>-675.48551864889 -42.9292674357137 -610.492236580768</f>
        <v>-1328.9070226653716</v>
      </c>
      <c r="I316">
        <f>-642.316670535077 -34.3463263696267 -686.196761460388</f>
        <v>-1362.8597583650917</v>
      </c>
      <c r="J316">
        <f>-680.318558752387 -17.4015716521596 -554.829961079844</f>
        <v>-1252.5500914843906</v>
      </c>
      <c r="K316" t="s">
        <v>3433</v>
      </c>
      <c r="L316" t="s">
        <v>3434</v>
      </c>
      <c r="M316" t="s">
        <v>3435</v>
      </c>
      <c r="N316">
        <f>-670.008862372124 -71.8247166318134 -556.562921591965</f>
        <v>-1298.3965005959026</v>
      </c>
      <c r="O316">
        <f>-650.293280483413 -205.272749314434 -530.101179724169</f>
        <v>-1385.667209522016</v>
      </c>
      <c r="P316">
        <f>-679.200612332153 -265.121164814824 -243.441565502421</f>
        <v>-1187.7633426493981</v>
      </c>
      <c r="Q316">
        <f>-502.811602507627 -126.599253615722 -331.472660228944</f>
        <v>-960.8835163522931</v>
      </c>
      <c r="R316" t="s">
        <v>3436</v>
      </c>
      <c r="S316" t="s">
        <v>3437</v>
      </c>
      <c r="T316" t="s">
        <v>3438</v>
      </c>
      <c r="U316" t="s">
        <v>3439</v>
      </c>
      <c r="V316">
        <f>-602.454480934831 -130.60546040597 -97.3551432579394</f>
        <v>-830.41508459874046</v>
      </c>
      <c r="W316" t="s">
        <v>3440</v>
      </c>
      <c r="X316" t="s">
        <v>3441</v>
      </c>
      <c r="Y316" t="s">
        <v>3442</v>
      </c>
    </row>
    <row r="317" spans="1:25" x14ac:dyDescent="0.3">
      <c r="A317">
        <v>15800</v>
      </c>
      <c r="B317" t="s">
        <v>3443</v>
      </c>
      <c r="C317">
        <f>-620.692858852461 -36.4788386583011 -98.6121233257152</f>
        <v>-755.78382083647728</v>
      </c>
      <c r="D317">
        <f>-649.310895449222 -44.908922235216 -210.532349027383</f>
        <v>-904.75216671182102</v>
      </c>
      <c r="E317">
        <f>-662.631347882281 -47.4386065215305 -308.219857927917</f>
        <v>-1018.2898123317285</v>
      </c>
      <c r="F317">
        <f>-670.731534214547 -47.9567983451191 -396.946092621997</f>
        <v>-1115.6344251816631</v>
      </c>
      <c r="G317">
        <f>-674.530200900833 -46.6437903168759 -485.952252613322</f>
        <v>-1207.1262438310309</v>
      </c>
      <c r="H317">
        <f>-675.319009944174 -42.892635567699 -610.475856833466</f>
        <v>-1328.687502345339</v>
      </c>
      <c r="I317">
        <f>-642.205782282256 -34.4058994900388 -686.21555413483</f>
        <v>-1362.8272359071248</v>
      </c>
      <c r="J317">
        <f>-680.07089757826 -17.3208658481356 -554.826900892328</f>
        <v>-1252.2186643187235</v>
      </c>
      <c r="K317" t="s">
        <v>3444</v>
      </c>
      <c r="L317" t="s">
        <v>3445</v>
      </c>
      <c r="M317" t="s">
        <v>3446</v>
      </c>
      <c r="N317">
        <f>-669.872856926891 -71.7657658454493 -556.531481281288</f>
        <v>-1298.1701040536284</v>
      </c>
      <c r="O317">
        <f>-650.342269763554 -205.246483893998 -530.078849592481</f>
        <v>-1385.6676032500329</v>
      </c>
      <c r="P317">
        <f>-679.294128332176 -265.093564313229 -243.423454603487</f>
        <v>-1187.811147248892</v>
      </c>
      <c r="Q317">
        <f>-502.734229680603 -126.745425562843 -331.385169005828</f>
        <v>-960.86482424927408</v>
      </c>
      <c r="R317" t="s">
        <v>3447</v>
      </c>
      <c r="S317" t="s">
        <v>3448</v>
      </c>
      <c r="T317" t="s">
        <v>3449</v>
      </c>
      <c r="U317" t="s">
        <v>3450</v>
      </c>
      <c r="V317">
        <f>-602.246040069914 -130.43819288171 -97.360462100648</f>
        <v>-830.04469505227189</v>
      </c>
      <c r="W317" t="s">
        <v>3451</v>
      </c>
      <c r="X317" t="s">
        <v>3452</v>
      </c>
      <c r="Y317" t="s">
        <v>3453</v>
      </c>
    </row>
    <row r="318" spans="1:25" x14ac:dyDescent="0.3">
      <c r="A318">
        <v>15850</v>
      </c>
      <c r="B318" t="s">
        <v>3454</v>
      </c>
      <c r="C318">
        <f>-620.527466054619 -36.3735467225933 -98.6102708419195</f>
        <v>-755.51128361913186</v>
      </c>
      <c r="D318">
        <f>-649.141442901805 -44.7997107521652 -210.531894807114</f>
        <v>-904.4730484610842</v>
      </c>
      <c r="E318">
        <f>-662.483165785588 -47.3390525168857 -308.216103262979</f>
        <v>-1018.0383215654526</v>
      </c>
      <c r="F318">
        <f>-670.612269283636 -47.8725167807771 -396.939732874023</f>
        <v>-1115.424518938436</v>
      </c>
      <c r="G318">
        <f>-674.449145213742 -46.5822132465745 -485.944614378617</f>
        <v>-1206.9759728389336</v>
      </c>
      <c r="H318">
        <f>-675.300648803262 -42.8716762301378 -610.468946124453</f>
        <v>-1328.6412711578528</v>
      </c>
      <c r="I318">
        <f>-642.219612425389 -34.4477673525694 -686.229810157912</f>
        <v>-1362.8971899358703</v>
      </c>
      <c r="J318">
        <f>-679.985237119069 -17.2743217309478 -554.826020898273</f>
        <v>-1252.0855797482898</v>
      </c>
      <c r="K318" t="s">
        <v>3455</v>
      </c>
      <c r="L318" t="s">
        <v>3456</v>
      </c>
      <c r="M318" t="s">
        <v>3457</v>
      </c>
      <c r="N318">
        <f>-669.866651328912 -71.7346427551427 -556.517918345679</f>
        <v>-1298.1192124297336</v>
      </c>
      <c r="O318">
        <f>-650.453012787324 -205.235437928381 -530.076227062321</f>
        <v>-1385.764677778026</v>
      </c>
      <c r="P318">
        <f>-679.473328170505 -265.054645225144 -243.421930633585</f>
        <v>-1187.9499040292339</v>
      </c>
      <c r="Q318">
        <f>-502.800398298505 -126.818093470191 -331.332088281518</f>
        <v>-960.95058005021406</v>
      </c>
      <c r="R318" t="s">
        <v>3458</v>
      </c>
      <c r="S318" t="s">
        <v>3459</v>
      </c>
      <c r="T318" t="s">
        <v>3460</v>
      </c>
      <c r="U318" t="s">
        <v>3461</v>
      </c>
      <c r="V318">
        <f>-602.119225387021 -130.339053284364 -97.3525907068247</f>
        <v>-829.81086937820965</v>
      </c>
      <c r="W318" t="s">
        <v>3462</v>
      </c>
      <c r="X318" t="s">
        <v>3463</v>
      </c>
      <c r="Y318" t="s">
        <v>3464</v>
      </c>
    </row>
    <row r="319" spans="1:25" x14ac:dyDescent="0.3">
      <c r="A319">
        <v>15900</v>
      </c>
      <c r="B319" t="s">
        <v>3465</v>
      </c>
      <c r="C319">
        <f>-620.339317174035 -36.089111463574 -98.6361903103867</f>
        <v>-755.06461894799577</v>
      </c>
      <c r="D319">
        <f>-648.883060202634 -44.5153270773603 -210.575845257825</f>
        <v>-903.97423253781938</v>
      </c>
      <c r="E319">
        <f>-662.259370471322 -47.0873454019335 -308.254382002989</f>
        <v>-1017.6010978762445</v>
      </c>
      <c r="F319">
        <f>-670.457478983423 -47.6658899981717 -396.971445368367</f>
        <v>-1115.0948143499618</v>
      </c>
      <c r="G319">
        <f>-674.400268564917 -46.4386093296943 -485.972431452874</f>
        <v>-1206.8113093474853</v>
      </c>
      <c r="H319">
        <f>-675.438116295019 -42.8365150143507 -610.498600851039</f>
        <v>-1328.7732321604085</v>
      </c>
      <c r="I319">
        <f>-642.455339432142 -34.5659087202807 -686.319122092945</f>
        <v>-1363.3403702453677</v>
      </c>
      <c r="J319">
        <f>-679.952478905111 -17.1746986054798 -554.871261347059</f>
        <v>-1251.9984388576497</v>
      </c>
      <c r="K319" t="s">
        <v>3466</v>
      </c>
      <c r="L319" t="s">
        <v>3467</v>
      </c>
      <c r="M319" t="s">
        <v>3468</v>
      </c>
      <c r="N319">
        <f>-670.010371502183 -71.6683409742491 -556.530398529946</f>
        <v>-1298.209111006378</v>
      </c>
      <c r="O319">
        <f>-650.859134885159 -205.209200026129 -530.094077232218</f>
        <v>-1386.1624121435061</v>
      </c>
      <c r="P319">
        <f>-680.063375459887 -264.867177946723 -243.424827487962</f>
        <v>-1188.3553808945719</v>
      </c>
      <c r="Q319">
        <f>-503.083255926086 -126.956291691353 -331.228538934629</f>
        <v>-961.26808655206798</v>
      </c>
      <c r="R319" t="s">
        <v>3469</v>
      </c>
      <c r="S319" t="s">
        <v>3470</v>
      </c>
      <c r="T319" t="s">
        <v>3471</v>
      </c>
      <c r="U319" t="s">
        <v>3472</v>
      </c>
      <c r="V319">
        <f>-601.984167092017 -130.005386887069 -97.3517101313242</f>
        <v>-829.34126411041018</v>
      </c>
      <c r="W319" t="s">
        <v>3473</v>
      </c>
      <c r="X319" t="s">
        <v>3474</v>
      </c>
      <c r="Y319" t="s">
        <v>3475</v>
      </c>
    </row>
    <row r="320" spans="1:25" x14ac:dyDescent="0.3">
      <c r="A320">
        <v>15950</v>
      </c>
      <c r="B320" t="s">
        <v>3476</v>
      </c>
      <c r="C320">
        <f>-620.28254774473 -35.9780367483665 -98.6647108799458</f>
        <v>-754.92529537304233</v>
      </c>
      <c r="D320">
        <f>-648.783347215849 -44.414345618098 -210.614539207707</f>
        <v>-903.81223204165394</v>
      </c>
      <c r="E320">
        <f>-662.171309273569 -47.0081980171461 -308.290913980936</f>
        <v>-1017.4704212716512</v>
      </c>
      <c r="F320">
        <f>-670.399093122709 -47.6132293391496 -397.005072005436</f>
        <v>-1115.0173944672947</v>
      </c>
      <c r="G320">
        <f>-674.390271167202 -46.4207882778874 -486.004372033476</f>
        <v>-1206.8154314785652</v>
      </c>
      <c r="H320">
        <f>-675.514812460553 -42.8774326244131 -610.531454174206</f>
        <v>-1328.9236992591723</v>
      </c>
      <c r="I320">
        <f>-642.58778674129 -34.6803628693528 -686.384275585594</f>
        <v>-1363.6524251962369</v>
      </c>
      <c r="J320">
        <f>-679.945803163162 -17.1812459364185 -554.913120735596</f>
        <v>-1252.0401698351766</v>
      </c>
      <c r="K320" t="s">
        <v>3477</v>
      </c>
      <c r="L320" t="s">
        <v>3478</v>
      </c>
      <c r="M320" t="s">
        <v>3479</v>
      </c>
      <c r="N320">
        <f>-670.094203285811 -71.692079716147 -556.55315867366</f>
        <v>-1298.339441675618</v>
      </c>
      <c r="O320">
        <f>-651.083864489987 -205.253564184072 -530.118741414321</f>
        <v>-1386.4561700883801</v>
      </c>
      <c r="P320">
        <f>-680.374789576977 -264.829419182849 -243.441258811672</f>
        <v>-1188.6454675714981</v>
      </c>
      <c r="Q320">
        <f>-503.246444246886 -127.079519132755 -331.198813316929</f>
        <v>-961.52477669657003</v>
      </c>
      <c r="R320" t="s">
        <v>3480</v>
      </c>
      <c r="S320" t="s">
        <v>3481</v>
      </c>
      <c r="T320" t="s">
        <v>3482</v>
      </c>
      <c r="U320" t="s">
        <v>3483</v>
      </c>
      <c r="V320">
        <f>-601.941023793312 -129.885493022332 -97.355228180313</f>
        <v>-829.18174499595705</v>
      </c>
      <c r="W320" t="s">
        <v>3484</v>
      </c>
      <c r="X320" t="s">
        <v>3485</v>
      </c>
      <c r="Y320" t="s">
        <v>3486</v>
      </c>
    </row>
    <row r="321" spans="1:25" x14ac:dyDescent="0.3">
      <c r="A321">
        <v>16000</v>
      </c>
      <c r="B321" t="s">
        <v>3487</v>
      </c>
      <c r="C321">
        <f>-620.140364365159 -35.8119744674207 -98.6918769686564</f>
        <v>-754.6442158012361</v>
      </c>
      <c r="D321">
        <f>-648.542987558942 -44.2473181631474 -210.666602174393</f>
        <v>-903.45690789648233</v>
      </c>
      <c r="E321">
        <f>-661.965414992317 -46.8603074986059 -308.337884394637</f>
        <v>-1017.1636068855601</v>
      </c>
      <c r="F321">
        <f>-670.27184212416 -47.4927496914701 -397.044471108588</f>
        <v>-1114.8090629242181</v>
      </c>
      <c r="G321">
        <f>-674.388722419542 -46.3403377001534 -486.038645952684</f>
        <v>-1206.7677060723795</v>
      </c>
      <c r="H321">
        <f>-675.737389556958 -42.8671708408904 -610.565346704258</f>
        <v>-1329.1699071021062</v>
      </c>
      <c r="I321">
        <f>-642.956304406753 -34.7900721668893 -686.494200468792</f>
        <v>-1364.2405770424343</v>
      </c>
      <c r="J321">
        <f>-679.992874927683 -17.1261961899197 -554.954239230124</f>
        <v>-1252.0733103477269</v>
      </c>
      <c r="K321" t="s">
        <v>3488</v>
      </c>
      <c r="L321" t="s">
        <v>3489</v>
      </c>
      <c r="M321" t="s">
        <v>3490</v>
      </c>
      <c r="N321">
        <f>-670.294964430647 -71.6648989070513 -556.580406943734</f>
        <v>-1298.5402702814324</v>
      </c>
      <c r="O321">
        <f>-651.571449094244 -205.270779403411 -530.145024592713</f>
        <v>-1386.9872530903681</v>
      </c>
      <c r="P321">
        <f>-681.026367872684 -264.737298806613 -243.461670600416</f>
        <v>-1189.2253372797129</v>
      </c>
      <c r="Q321">
        <f>-503.589311632606 -127.337897972884 -331.14497036535</f>
        <v>-962.07217997084001</v>
      </c>
      <c r="R321" t="s">
        <v>3491</v>
      </c>
      <c r="S321" t="s">
        <v>3492</v>
      </c>
      <c r="T321" t="s">
        <v>3493</v>
      </c>
      <c r="U321" t="s">
        <v>3494</v>
      </c>
      <c r="V321">
        <f>-601.824896605945 -129.716529826955 -97.3566907529417</f>
        <v>-828.89811718584178</v>
      </c>
      <c r="W321" t="s">
        <v>3495</v>
      </c>
      <c r="X321" t="s">
        <v>3496</v>
      </c>
      <c r="Y321" t="s">
        <v>3497</v>
      </c>
    </row>
    <row r="322" spans="1:25" x14ac:dyDescent="0.3">
      <c r="A322">
        <v>16050</v>
      </c>
      <c r="B322" t="s">
        <v>3498</v>
      </c>
      <c r="C322">
        <f>-620.074735591807 -35.6961345643317 -98.7088496808394</f>
        <v>-754.47971983697812</v>
      </c>
      <c r="D322">
        <f>-648.429516038757 -44.1054932151593 -210.697854736647</f>
        <v>-903.23286399056337</v>
      </c>
      <c r="E322">
        <f>-661.888647141774 -46.711321716874 -308.364119454339</f>
        <v>-1016.9640883129869</v>
      </c>
      <c r="F322">
        <f>-670.260147024941 -47.3431288402719 -397.064538071376</f>
        <v>-1114.667813936589</v>
      </c>
      <c r="G322">
        <f>-674.473859909882 -46.196129685731 -486.054341937297</f>
        <v>-1206.7243315329099</v>
      </c>
      <c r="H322">
        <f>-675.991163225386 -42.7376093536384 -610.579435452671</f>
        <v>-1329.3082080316954</v>
      </c>
      <c r="I322">
        <f>-643.301949090354 -34.7175893651704 -686.55402423694</f>
        <v>-1364.5735626924643</v>
      </c>
      <c r="J322">
        <f>-680.140352343318 -16.9845128864401 -554.965984733188</f>
        <v>-1252.0908499629461</v>
      </c>
      <c r="K322" t="s">
        <v>3499</v>
      </c>
      <c r="L322" t="s">
        <v>3500</v>
      </c>
      <c r="M322" t="s">
        <v>3501</v>
      </c>
      <c r="N322">
        <f>-670.506520715771 -71.5343883348887 -556.598315483472</f>
        <v>-1298.6392245341317</v>
      </c>
      <c r="O322">
        <f>-651.918074506654 -205.152356253484 -530.151198437851</f>
        <v>-1387.2216291979889</v>
      </c>
      <c r="P322">
        <f>-681.408630073114 -264.555504381723 -243.458371747793</f>
        <v>-1189.4225062026301</v>
      </c>
      <c r="Q322">
        <f>-503.815398875485 -127.347855489459 -331.125708746092</f>
        <v>-962.28896311103608</v>
      </c>
      <c r="R322" t="s">
        <v>3502</v>
      </c>
      <c r="S322" t="s">
        <v>3503</v>
      </c>
      <c r="T322" t="s">
        <v>3504</v>
      </c>
      <c r="U322" t="s">
        <v>3505</v>
      </c>
      <c r="V322">
        <f>-601.840955501388 -129.584439618259 -97.3586211418913</f>
        <v>-828.78401626153823</v>
      </c>
      <c r="W322" t="s">
        <v>3506</v>
      </c>
      <c r="X322" t="s">
        <v>3507</v>
      </c>
      <c r="Y322" t="s">
        <v>3508</v>
      </c>
    </row>
    <row r="323" spans="1:25" x14ac:dyDescent="0.3">
      <c r="A323">
        <v>16100</v>
      </c>
      <c r="B323" t="s">
        <v>3509</v>
      </c>
      <c r="C323">
        <f>-619.970291806519 -35.3877773284942 -98.7294348355924</f>
        <v>-754.08750397060555</v>
      </c>
      <c r="D323">
        <f>-648.24680113988 -43.7122921560589 -210.744505624817</f>
        <v>-902.70359892075589</v>
      </c>
      <c r="E323">
        <f>-661.783301159878 -46.28394876767 -308.401081497802</f>
        <v>-1016.46833142535</v>
      </c>
      <c r="F323">
        <f>-670.284272107898 -46.8986225551643 -397.089208199711</f>
        <v>-1114.2721028627732</v>
      </c>
      <c r="G323">
        <f>-674.687403944527 -45.7492034136731 -486.069764389533</f>
        <v>-1206.5063717477331</v>
      </c>
      <c r="H323">
        <f>-676.5323846988 -42.3019434315504 -610.591074928075</f>
        <v>-1329.4254030584254</v>
      </c>
      <c r="I323">
        <f>-644.066104914968 -34.4296641548781 -686.676448315456</f>
        <v>-1365.1722173853022</v>
      </c>
      <c r="J323">
        <f>-680.474226746232 -16.5332155238898 -554.969611838957</f>
        <v>-1251.9770541090788</v>
      </c>
      <c r="K323" t="s">
        <v>3510</v>
      </c>
      <c r="L323" t="s">
        <v>3511</v>
      </c>
      <c r="M323" t="s">
        <v>3512</v>
      </c>
      <c r="N323">
        <f>-670.966823986632 -71.1047871608481 -556.621187068747</f>
        <v>-1298.6927982162269</v>
      </c>
      <c r="O323">
        <f>-652.639389920757 -204.760041861914 -530.179678547366</f>
        <v>-1387.5791103300371</v>
      </c>
      <c r="P323">
        <f>-682.153282502459 -264.063984514204 -243.468664881005</f>
        <v>-1189.6859318976681</v>
      </c>
      <c r="Q323">
        <f>-504.261121017254 -127.184376696052 -331.042771190649</f>
        <v>-962.48826890395503</v>
      </c>
      <c r="R323" t="s">
        <v>3513</v>
      </c>
      <c r="S323" t="s">
        <v>3514</v>
      </c>
      <c r="T323" t="s">
        <v>3515</v>
      </c>
      <c r="U323" t="s">
        <v>3516</v>
      </c>
      <c r="V323">
        <f>-601.96144652631 -129.250756038769 -97.3766076726482</f>
        <v>-828.58881023772722</v>
      </c>
      <c r="W323" t="s">
        <v>3517</v>
      </c>
      <c r="X323" t="s">
        <v>3518</v>
      </c>
      <c r="Y323" t="s">
        <v>3519</v>
      </c>
    </row>
    <row r="324" spans="1:25" x14ac:dyDescent="0.3">
      <c r="A324">
        <v>16150</v>
      </c>
      <c r="B324" t="s">
        <v>3520</v>
      </c>
      <c r="C324">
        <f>-619.943818281128 -35.282286066308 -98.7157687079142</f>
        <v>-753.94187305535013</v>
      </c>
      <c r="D324">
        <f>-648.209415527064 -43.5702556330118 -210.736206011829</f>
        <v>-902.51587717190489</v>
      </c>
      <c r="E324">
        <f>-661.764996342152 -46.1183036184763 -308.390858775811</f>
        <v>-1016.2741587364393</v>
      </c>
      <c r="F324">
        <f>-670.295137030031 -46.7142921569759 -397.07634528315</f>
        <v>-1114.085774470157</v>
      </c>
      <c r="G324">
        <f>-674.739347754177 -45.5485400196151 -486.054642987677</f>
        <v>-1206.3425307614691</v>
      </c>
      <c r="H324">
        <f>-676.654416004615 -42.0807531390851 -610.574127783378</f>
        <v>-1329.3092969270781</v>
      </c>
      <c r="I324">
        <f>-644.304266955282 -34.2832206809276 -686.71678619932</f>
        <v>-1365.3042738355296</v>
      </c>
      <c r="J324">
        <f>-680.534675839993 -16.3158318831001 -554.94665964418</f>
        <v>-1251.7971673672732</v>
      </c>
      <c r="K324" t="s">
        <v>3521</v>
      </c>
      <c r="L324" t="s">
        <v>3522</v>
      </c>
      <c r="M324" t="s">
        <v>3523</v>
      </c>
      <c r="N324">
        <f>-671.088718490429 -70.8975907005671 -556.611844859254</f>
        <v>-1298.5981540502501</v>
      </c>
      <c r="O324">
        <f>-652.889044080271 -204.577775661363 -530.205094553884</f>
        <v>-1387.671914295518</v>
      </c>
      <c r="P324">
        <f>-682.422253560163 -263.904855999067 -243.500905021728</f>
        <v>-1189.8280145809579</v>
      </c>
      <c r="Q324">
        <f>-504.409433894631 -127.163550960342 -331.045794586166</f>
        <v>-962.61877944113894</v>
      </c>
      <c r="R324" t="s">
        <v>3524</v>
      </c>
      <c r="S324" t="s">
        <v>3525</v>
      </c>
      <c r="T324" t="s">
        <v>3526</v>
      </c>
      <c r="U324" t="s">
        <v>3527</v>
      </c>
      <c r="V324">
        <f>-602.044782127229 -129.19708906263 -97.3756167552554</f>
        <v>-828.61748794511436</v>
      </c>
      <c r="W324" t="s">
        <v>3528</v>
      </c>
      <c r="X324" t="s">
        <v>3529</v>
      </c>
      <c r="Y324" t="s">
        <v>3530</v>
      </c>
    </row>
    <row r="325" spans="1:25" x14ac:dyDescent="0.3">
      <c r="A325">
        <v>16200</v>
      </c>
      <c r="B325" t="s">
        <v>3531</v>
      </c>
      <c r="C325">
        <f>-619.738441878027 -35.0024681629541 -98.7035681826634</f>
        <v>-753.44447822364441</v>
      </c>
      <c r="D325">
        <f>-648.037093729863 -43.2430469220337 -210.719181235122</f>
        <v>-901.99932188701882</v>
      </c>
      <c r="E325">
        <f>-661.615548070315 -45.7593413473772 -308.37136629272</f>
        <v>-1015.7462557104122</v>
      </c>
      <c r="F325">
        <f>-670.164479530915 -46.3288037142635 -397.055255411198</f>
        <v>-1113.5485386563764</v>
      </c>
      <c r="G325">
        <f>-674.625287327149 -45.1392625961062 -486.03233210281</f>
        <v>-1205.7968820260651</v>
      </c>
      <c r="H325">
        <f>-676.561241082721 -41.6418695414025 -610.550710228802</f>
        <v>-1328.7538208529254</v>
      </c>
      <c r="I325">
        <f>-644.399202383288 -33.9788536584558 -686.78663265437</f>
        <v>-1365.1646886961139</v>
      </c>
      <c r="J325">
        <f>-680.37814382472 -15.8809054965195 -554.917051020471</f>
        <v>-1251.1761003417105</v>
      </c>
      <c r="K325" t="s">
        <v>3532</v>
      </c>
      <c r="L325" t="s">
        <v>3533</v>
      </c>
      <c r="M325" t="s">
        <v>3534</v>
      </c>
      <c r="N325">
        <f>-671.040512929819 -70.4808897934277 -556.595722384499</f>
        <v>-1298.1171251077458</v>
      </c>
      <c r="O325">
        <f>-653.072957090139 -204.201541316409 -530.25122719948</f>
        <v>-1387.5257256060281</v>
      </c>
      <c r="P325">
        <f>-682.624295503662 -263.670065154663 -243.578261604344</f>
        <v>-1189.872622262669</v>
      </c>
      <c r="Q325">
        <f>-504.416173354408 -127.104451149886 -331.000084284508</f>
        <v>-962.52070878880204</v>
      </c>
      <c r="R325" t="s">
        <v>3535</v>
      </c>
      <c r="S325" t="s">
        <v>3536</v>
      </c>
      <c r="T325" t="s">
        <v>3537</v>
      </c>
      <c r="U325" t="s">
        <v>3538</v>
      </c>
      <c r="V325">
        <f>-601.958371230768 -128.822331069422 -97.3721456476162</f>
        <v>-828.15284794780621</v>
      </c>
      <c r="W325" t="s">
        <v>3539</v>
      </c>
      <c r="X325" t="s">
        <v>3540</v>
      </c>
      <c r="Y325" t="s">
        <v>3541</v>
      </c>
    </row>
    <row r="326" spans="1:25" x14ac:dyDescent="0.3">
      <c r="A326">
        <v>16250</v>
      </c>
      <c r="B326" t="s">
        <v>3542</v>
      </c>
      <c r="C326">
        <f>-619.533742278055 -34.9305990216908 -98.7244491321627</f>
        <v>-753.1887904319085</v>
      </c>
      <c r="D326">
        <f>-647.861549220663 -43.1656958372552 -210.733068201854</f>
        <v>-901.76031325977215</v>
      </c>
      <c r="E326">
        <f>-661.500378249504 -45.6956660917206 -308.376456340707</f>
        <v>-1015.5725006819316</v>
      </c>
      <c r="F326">
        <f>-670.117998950357 -46.2848091119774 -397.053677222706</f>
        <v>-1113.4564852850403</v>
      </c>
      <c r="G326">
        <f>-674.661857788559 -45.1228128654808 -486.026935111563</f>
        <v>-1205.8116057656027</v>
      </c>
      <c r="H326">
        <f>-676.728679838441 -41.6721774307298 -610.544486164528</f>
        <v>-1328.9453434336988</v>
      </c>
      <c r="I326">
        <f>-644.686984068039 -34.1065012741878 -686.840782507318</f>
        <v>-1365.6342678495448</v>
      </c>
      <c r="J326">
        <f>-680.458301469784 -15.8855087756194 -554.916703541742</f>
        <v>-1251.2605137871456</v>
      </c>
      <c r="K326" t="s">
        <v>3543</v>
      </c>
      <c r="L326" t="s">
        <v>3544</v>
      </c>
      <c r="M326" t="s">
        <v>3545</v>
      </c>
      <c r="N326">
        <f>-671.180167900509 -70.4958903466743 -556.584245057839</f>
        <v>-1298.2603033050223</v>
      </c>
      <c r="O326">
        <f>-653.308204462216 -204.228554577847 -530.234650206672</f>
        <v>-1387.7714092467349</v>
      </c>
      <c r="P326">
        <f>-682.797962797385 -263.663758286045 -243.548399695932</f>
        <v>-1190.0101207793621</v>
      </c>
      <c r="Q326">
        <f>-504.500107597838 -127.201565162063 -330.948840530794</f>
        <v>-962.65051329069502</v>
      </c>
      <c r="R326" t="s">
        <v>3546</v>
      </c>
      <c r="S326" t="s">
        <v>3547</v>
      </c>
      <c r="T326" t="s">
        <v>3548</v>
      </c>
      <c r="U326" t="s">
        <v>3549</v>
      </c>
      <c r="V326">
        <f>-601.820919138415 -128.766710578305 -97.3677377132254</f>
        <v>-827.95536742994545</v>
      </c>
      <c r="W326" t="s">
        <v>3550</v>
      </c>
      <c r="X326" t="s">
        <v>3551</v>
      </c>
      <c r="Y326" t="s">
        <v>3552</v>
      </c>
    </row>
    <row r="327" spans="1:25" x14ac:dyDescent="0.3">
      <c r="A327">
        <v>16300</v>
      </c>
      <c r="B327" t="s">
        <v>3553</v>
      </c>
      <c r="C327">
        <f>-619.362638824194 -34.9253407273802 -98.7235919515915</f>
        <v>-753.01157150316578</v>
      </c>
      <c r="D327">
        <f>-647.715081727708 -43.1776239680524 -210.72482156321</f>
        <v>-901.61752725897054</v>
      </c>
      <c r="E327">
        <f>-661.429277741493 -45.7333843574428 -308.356882642135</f>
        <v>-1015.5195447410708</v>
      </c>
      <c r="F327">
        <f>-670.137108877201 -46.3504204392582 -397.025138807999</f>
        <v>-1113.5126681244581</v>
      </c>
      <c r="G327">
        <f>-674.793025729706 -45.2216157564759 -485.992937745715</f>
        <v>-1206.0075792318969</v>
      </c>
      <c r="H327">
        <f>-677.039222035715 -41.8224337491013 -610.508951802487</f>
        <v>-1329.3706075873033</v>
      </c>
      <c r="I327">
        <f>-645.089803176702 -34.3257897669394 -686.850677170947</f>
        <v>-1366.2662701145885</v>
      </c>
      <c r="J327">
        <f>-680.679797350646 -16.011181174965 -554.886591362728</f>
        <v>-1251.577569888339</v>
      </c>
      <c r="K327" t="s">
        <v>3554</v>
      </c>
      <c r="L327" t="s">
        <v>3555</v>
      </c>
      <c r="M327" t="s">
        <v>3556</v>
      </c>
      <c r="N327">
        <f>-671.421809753417 -70.6254043922966 -556.544538102103</f>
        <v>-1298.5917522478167</v>
      </c>
      <c r="O327">
        <f>-653.537486059682 -204.358482929214 -530.185223998597</f>
        <v>-1388.0811929874931</v>
      </c>
      <c r="P327">
        <f>-682.833278738808 -263.628138635566 -243.44479214435</f>
        <v>-1189.9062095187239</v>
      </c>
      <c r="Q327">
        <f>-504.588460956862 -127.155464565228 -330.936737626486</f>
        <v>-962.68066314857595</v>
      </c>
      <c r="R327" t="s">
        <v>3557</v>
      </c>
      <c r="S327" t="s">
        <v>3558</v>
      </c>
      <c r="T327" t="s">
        <v>3559</v>
      </c>
      <c r="U327" t="s">
        <v>3560</v>
      </c>
      <c r="V327">
        <f>-601.660305641855 -128.734962932551 -97.3654501148444</f>
        <v>-827.76071868925033</v>
      </c>
      <c r="W327" t="s">
        <v>3561</v>
      </c>
      <c r="X327" t="s">
        <v>3562</v>
      </c>
      <c r="Y327" t="s">
        <v>3563</v>
      </c>
    </row>
    <row r="328" spans="1:25" x14ac:dyDescent="0.3">
      <c r="A328">
        <v>16350</v>
      </c>
      <c r="B328" t="s">
        <v>3564</v>
      </c>
      <c r="C328">
        <f>-619.309191871434 -34.9138109043208 -98.7354543912038</f>
        <v>-752.95845716695862</v>
      </c>
      <c r="D328">
        <f>-647.680666806312 -43.1743960663709 -210.731234514773</f>
        <v>-901.58629738745594</v>
      </c>
      <c r="E328">
        <f>-661.451519557507 -45.7498947011637 -308.354847135894</f>
        <v>-1015.5562613945647</v>
      </c>
      <c r="F328">
        <f>-670.226934071401 -46.3899223788425 -397.016148517111</f>
        <v>-1113.6330049673545</v>
      </c>
      <c r="G328">
        <f>-674.966878051512 -45.2888845757467 -485.979966944354</f>
        <v>-1206.2357295716126</v>
      </c>
      <c r="H328">
        <f>-677.347839736573 -41.9336867067389 -610.494596736468</f>
        <v>-1329.7761231797799</v>
      </c>
      <c r="I328">
        <f>-645.450236135781 -34.4690651111423 -686.861220574963</f>
        <v>-1366.7805218218864</v>
      </c>
      <c r="J328">
        <f>-680.932767745784 -16.1035761252238 -554.87757346494</f>
        <v>-1251.9139173359476</v>
      </c>
      <c r="K328" t="s">
        <v>3565</v>
      </c>
      <c r="L328" t="s">
        <v>3566</v>
      </c>
      <c r="M328" t="s">
        <v>3567</v>
      </c>
      <c r="N328">
        <f>-671.6674182775 -70.7168498605705 -556.526270494896</f>
        <v>-1298.9105386329666</v>
      </c>
      <c r="O328">
        <f>-653.708076261418 -204.433796491258 -530.154576706985</f>
        <v>-1388.2964494596611</v>
      </c>
      <c r="P328">
        <f>-682.80452092311 -263.638971881352 -243.380532173735</f>
        <v>-1189.824024978197</v>
      </c>
      <c r="Q328">
        <f>-504.667455736239 -127.048932634586 -330.908842909501</f>
        <v>-962.62523128032603</v>
      </c>
      <c r="R328" t="s">
        <v>3568</v>
      </c>
      <c r="S328" t="s">
        <v>3569</v>
      </c>
      <c r="T328" t="s">
        <v>3570</v>
      </c>
      <c r="U328" t="s">
        <v>3571</v>
      </c>
      <c r="V328">
        <f>-601.597072674138 -128.728771034886 -97.3686049669401</f>
        <v>-827.69444867596405</v>
      </c>
      <c r="W328" t="s">
        <v>3572</v>
      </c>
      <c r="X328" t="s">
        <v>3573</v>
      </c>
      <c r="Y328" t="s">
        <v>3574</v>
      </c>
    </row>
    <row r="329" spans="1:25" x14ac:dyDescent="0.3">
      <c r="A329">
        <v>16400</v>
      </c>
      <c r="B329" t="s">
        <v>3575</v>
      </c>
      <c r="C329">
        <f>-619.295614593861 -34.907655294393 -98.7721225288594</f>
        <v>-752.97539241711343</v>
      </c>
      <c r="D329">
        <f>-647.700144110518 -43.1966715648939 -210.757378714993</f>
        <v>-901.65419439040488</v>
      </c>
      <c r="E329">
        <f>-661.570260904184 -45.818057196324 -308.365772840658</f>
        <v>-1015.7540909411661</v>
      </c>
      <c r="F329">
        <f>-670.464430014307 -46.508324611039 -397.014856034072</f>
        <v>-1113.9876106594181</v>
      </c>
      <c r="G329">
        <f>-675.3521130723 -45.4661462085254 -485.971342116795</f>
        <v>-1206.7896013976203</v>
      </c>
      <c r="H329">
        <f>-677.970060186962 -42.2018552702975 -610.483657949237</f>
        <v>-1330.6555734064964</v>
      </c>
      <c r="I329">
        <f>-646.17148612499 -34.7879601365396 -686.896410467339</f>
        <v>-1367.8558567288687</v>
      </c>
      <c r="J329">
        <f>-681.463759082819 -16.3335610792899 -554.878452008323</f>
        <v>-1252.6757721704321</v>
      </c>
      <c r="K329" t="s">
        <v>3576</v>
      </c>
      <c r="L329" t="s">
        <v>3577</v>
      </c>
      <c r="M329" t="s">
        <v>3578</v>
      </c>
      <c r="N329">
        <f>-672.172296544059 -70.942930259715 -556.505431116946</f>
        <v>-1299.6206579207201</v>
      </c>
      <c r="O329">
        <f>-654.020962168979 -204.633147081168 -530.125581544545</f>
        <v>-1388.779690794692</v>
      </c>
      <c r="P329">
        <f>-682.614838292392 -263.890787026365 -243.311858255732</f>
        <v>-1189.817483574489</v>
      </c>
      <c r="Q329">
        <f>-504.806349399319 -126.94369689197 -330.950421693336</f>
        <v>-962.70046798462499</v>
      </c>
      <c r="R329" t="s">
        <v>3579</v>
      </c>
      <c r="S329" t="s">
        <v>3580</v>
      </c>
      <c r="T329" t="s">
        <v>3581</v>
      </c>
      <c r="U329" t="s">
        <v>3582</v>
      </c>
      <c r="V329">
        <f>-601.560397396337 -128.720652732769 -97.3901834783996</f>
        <v>-827.67123360750566</v>
      </c>
      <c r="W329" t="s">
        <v>3583</v>
      </c>
      <c r="X329" t="s">
        <v>3584</v>
      </c>
      <c r="Y329" t="s">
        <v>3585</v>
      </c>
    </row>
    <row r="330" spans="1:25" x14ac:dyDescent="0.3">
      <c r="A330">
        <v>16450</v>
      </c>
      <c r="B330" t="s">
        <v>3586</v>
      </c>
      <c r="C330">
        <f>-619.333661234397 -34.944664033743 -98.7810691959396</f>
        <v>-753.05939446407967</v>
      </c>
      <c r="D330">
        <f>-647.738952892372 -43.2358547781416 -210.765940214361</f>
        <v>-901.74074788487462</v>
      </c>
      <c r="E330">
        <f>-661.640777668952 -45.8656933433122 -308.369721138425</f>
        <v>-1015.8761921506891</v>
      </c>
      <c r="F330">
        <f>-670.576054617227 -46.5665677264298 -397.014543178203</f>
        <v>-1114.1571655218597</v>
      </c>
      <c r="G330">
        <f>-675.517775349095 -45.5374812929961 -485.96833272212</f>
        <v>-1207.0235893642111</v>
      </c>
      <c r="H330">
        <f>-678.224584144612 -42.2939669837117 -610.47911338344</f>
        <v>-1330.9976645117636</v>
      </c>
      <c r="I330">
        <f>-646.471705379435 -34.8941460384433 -686.912406945815</f>
        <v>-1368.2782583636931</v>
      </c>
      <c r="J330">
        <f>-681.687897949111 -16.4181001027591 -554.875642763668</f>
        <v>-1252.981640815538</v>
      </c>
      <c r="K330" t="s">
        <v>3587</v>
      </c>
      <c r="L330" t="s">
        <v>3588</v>
      </c>
      <c r="M330" t="s">
        <v>3589</v>
      </c>
      <c r="N330">
        <f>-672.379017692203 -71.0245042230725 -556.500492707555</f>
        <v>-1299.9040146228306</v>
      </c>
      <c r="O330">
        <f>-654.145856978795 -204.712137953747 -530.137005336729</f>
        <v>-1388.9950002692708</v>
      </c>
      <c r="P330">
        <f>-682.546438839229 -263.945537806525 -243.298983062716</f>
        <v>-1189.7909597084699</v>
      </c>
      <c r="Q330">
        <f>-504.889756908323 -126.81750416094 -330.962439443666</f>
        <v>-962.66970051292901</v>
      </c>
      <c r="R330" t="s">
        <v>3590</v>
      </c>
      <c r="S330" t="s">
        <v>3591</v>
      </c>
      <c r="T330" t="s">
        <v>3592</v>
      </c>
      <c r="U330" t="s">
        <v>3593</v>
      </c>
      <c r="V330">
        <f>-601.58784061744 -128.743303251686 -97.3884883233138</f>
        <v>-827.7196321924398</v>
      </c>
      <c r="W330" t="s">
        <v>3594</v>
      </c>
      <c r="X330" t="s">
        <v>3595</v>
      </c>
      <c r="Y330" t="s">
        <v>3596</v>
      </c>
    </row>
    <row r="331" spans="1:25" x14ac:dyDescent="0.3">
      <c r="A331">
        <v>16500</v>
      </c>
      <c r="B331" t="s">
        <v>3597</v>
      </c>
      <c r="C331">
        <f>-619.494910221467 -35.0996420696802 -98.7887567628709</f>
        <v>-753.38330905401801</v>
      </c>
      <c r="D331">
        <f>-647.914999932099 -43.4136274955417 -210.768277891594</f>
        <v>-902.09690531923479</v>
      </c>
      <c r="E331">
        <f>-661.880093132667 -46.0662242736288 -308.362328155787</f>
        <v>-1016.3086455620828</v>
      </c>
      <c r="F331">
        <f>-670.893096852568 -46.7890196221792 -396.999134025099</f>
        <v>-1114.6812504998461</v>
      </c>
      <c r="G331">
        <f>-675.933011138376 -45.7836155098917 -485.947570312301</f>
        <v>-1207.6641969605687</v>
      </c>
      <c r="H331">
        <f>-678.79849021826 -42.5748157172102 -610.455746798431</f>
        <v>-1331.8290527339013</v>
      </c>
      <c r="I331">
        <f>-647.12979085624 -35.202944843893 -686.926591651362</f>
        <v>-1369.2593273514949</v>
      </c>
      <c r="J331">
        <f>-682.199194574127 -16.6846753611367 -554.855056717378</f>
        <v>-1253.7389266526416</v>
      </c>
      <c r="K331" t="s">
        <v>3598</v>
      </c>
      <c r="L331" t="s">
        <v>3599</v>
      </c>
      <c r="M331" t="s">
        <v>3600</v>
      </c>
      <c r="N331">
        <f>-672.875808947125 -71.2888295416053 -556.476803006091</f>
        <v>-1300.6414414948213</v>
      </c>
      <c r="O331">
        <f>-654.53212669439 -204.963519464064 -530.135942873808</f>
        <v>-1389.6315890322619</v>
      </c>
      <c r="P331">
        <f>-682.689153703852 -264.293693443896 -243.294049685106</f>
        <v>-1190.2768968328539</v>
      </c>
      <c r="Q331">
        <f>-505.205476155627 -126.97072566072 -331.002770658061</f>
        <v>-963.17897247440806</v>
      </c>
      <c r="R331" t="s">
        <v>3601</v>
      </c>
      <c r="S331" t="s">
        <v>3602</v>
      </c>
      <c r="T331" t="s">
        <v>3603</v>
      </c>
      <c r="U331" t="s">
        <v>3604</v>
      </c>
      <c r="V331">
        <f>-601.754783709553 -128.94844586321 -97.3894374156756</f>
        <v>-828.09266698843851</v>
      </c>
      <c r="W331" t="s">
        <v>3605</v>
      </c>
      <c r="X331" t="s">
        <v>3606</v>
      </c>
      <c r="Y331" t="s">
        <v>3607</v>
      </c>
    </row>
    <row r="332" spans="1:25" x14ac:dyDescent="0.3">
      <c r="A332">
        <v>16550</v>
      </c>
      <c r="B332" t="s">
        <v>3608</v>
      </c>
      <c r="C332">
        <f>-619.613496679191 -35.1530596085208 -98.7911286121627</f>
        <v>-753.55768489987452</v>
      </c>
      <c r="D332">
        <f>-648.04305172696 -43.471806494499 -210.767881318768</f>
        <v>-902.282739540227</v>
      </c>
      <c r="E332">
        <f>-662.034948035242 -46.1308861360114 -308.357904407101</f>
        <v>-1016.5237385783544</v>
      </c>
      <c r="F332">
        <f>-671.079738317875 -46.8608208827858 -396.991348206928</f>
        <v>-1114.9319074075888</v>
      </c>
      <c r="G332">
        <f>-676.159018758723 -45.8636686403233 -485.937718772076</f>
        <v>-1207.9604061711225</v>
      </c>
      <c r="H332">
        <f>-679.087501025549 -42.6674687152297 -610.444852353972</f>
        <v>-1332.1998220947507</v>
      </c>
      <c r="I332">
        <f>-647.449992828189 -35.3020696389274 -686.929111058498</f>
        <v>-1369.6811735256144</v>
      </c>
      <c r="J332">
        <f>-682.460270899992 -16.7718834317818 -554.84490475218</f>
        <v>-1254.0770590839538</v>
      </c>
      <c r="K332" t="s">
        <v>3609</v>
      </c>
      <c r="L332" t="s">
        <v>3610</v>
      </c>
      <c r="M332" t="s">
        <v>3611</v>
      </c>
      <c r="N332">
        <f>-673.137410864522 -71.3761310513349 -556.465897307413</f>
        <v>-1300.97943922327</v>
      </c>
      <c r="O332">
        <f>-654.787362886045 -205.049264655265 -530.136171725688</f>
        <v>-1389.972799266998</v>
      </c>
      <c r="P332">
        <f>-682.854677229486 -264.387034469302 -243.286964671545</f>
        <v>-1190.5286763703332</v>
      </c>
      <c r="Q332">
        <f>-505.385141553245 -127.046932065281 -330.997442503726</f>
        <v>-963.42951612225193</v>
      </c>
      <c r="R332" t="s">
        <v>3612</v>
      </c>
      <c r="S332" t="s">
        <v>3613</v>
      </c>
      <c r="T332" t="s">
        <v>3614</v>
      </c>
      <c r="U332" t="s">
        <v>3615</v>
      </c>
      <c r="V332">
        <f>-601.882574448711 -129.003005024938 -97.3906045069058</f>
        <v>-828.27618398055483</v>
      </c>
      <c r="W332" t="s">
        <v>3616</v>
      </c>
      <c r="X332" t="s">
        <v>3617</v>
      </c>
      <c r="Y332" t="s">
        <v>3618</v>
      </c>
    </row>
    <row r="333" spans="1:25" x14ac:dyDescent="0.3">
      <c r="A333">
        <v>16600</v>
      </c>
      <c r="B333" t="s">
        <v>3619</v>
      </c>
      <c r="C333">
        <f>-619.863929983172 -35.2937559959792 -98.7874958233675</f>
        <v>-753.94518180251873</v>
      </c>
      <c r="D333">
        <f>-648.32074474306 -43.6277889315572 -210.756080696933</f>
        <v>-902.70461437155018</v>
      </c>
      <c r="E333">
        <f>-662.371852718593 -46.3005640304564 -308.337224845035</f>
        <v>-1017.0096415940843</v>
      </c>
      <c r="F333">
        <f>-671.484634368453 -47.0431016030423 -396.963708854554</f>
        <v>-1115.4914448260492</v>
      </c>
      <c r="G333">
        <f>-676.646295416957 -46.0591993118232 -485.905533383711</f>
        <v>-1208.6110281124911</v>
      </c>
      <c r="H333">
        <f>-679.704863959257 -42.8823676340146 -610.409970048957</f>
        <v>-1332.9972016422284</v>
      </c>
      <c r="I333">
        <f>-648.112721246196 -35.5386288429841 -686.915084853492</f>
        <v>-1370.566434942672</v>
      </c>
      <c r="J333">
        <f>-683.00800010238 -16.9761304202996 -554.810760760974</f>
        <v>-1254.7948912836537</v>
      </c>
      <c r="K333" t="s">
        <v>3620</v>
      </c>
      <c r="L333" t="s">
        <v>3621</v>
      </c>
      <c r="M333" t="s">
        <v>3622</v>
      </c>
      <c r="N333">
        <f>-673.709867197206 -71.5845186283168 -556.432620925446</f>
        <v>-1301.7270067509689</v>
      </c>
      <c r="O333">
        <f>-655.381913310506 -205.263309030426 -530.106261567008</f>
        <v>-1390.7514839079399</v>
      </c>
      <c r="P333">
        <f>-683.324107835551 -264.521969037971 -243.228536124225</f>
        <v>-1191.074612997747</v>
      </c>
      <c r="Q333">
        <f>-505.827194079474 -127.265101795876 -331.013813160094</f>
        <v>-964.10610903544398</v>
      </c>
      <c r="R333" t="s">
        <v>3623</v>
      </c>
      <c r="S333" t="s">
        <v>3624</v>
      </c>
      <c r="T333" t="s">
        <v>3625</v>
      </c>
      <c r="U333" t="s">
        <v>3626</v>
      </c>
      <c r="V333">
        <f>-602.14871331231 -129.165865597072 -97.3888141980653</f>
        <v>-828.70339310744725</v>
      </c>
      <c r="W333" t="s">
        <v>3627</v>
      </c>
      <c r="X333" t="s">
        <v>3628</v>
      </c>
      <c r="Y333" t="s">
        <v>3629</v>
      </c>
    </row>
    <row r="334" spans="1:25" x14ac:dyDescent="0.3">
      <c r="A334">
        <v>16650</v>
      </c>
      <c r="B334" t="s">
        <v>3630</v>
      </c>
      <c r="C334">
        <f>-619.960843815385 -35.3358009953995 -98.787786977165</f>
        <v>-754.08443178794948</v>
      </c>
      <c r="D334">
        <f>-648.439995117749 -43.6620852189615 -210.751320907415</f>
        <v>-902.85340124412551</v>
      </c>
      <c r="E334">
        <f>-662.520846518948 -46.3326137819641 -308.328303879244</f>
        <v>-1017.1817641801562</v>
      </c>
      <c r="F334">
        <f>-671.664783806053 -47.074854634963 -396.951507216268</f>
        <v>-1115.6911456572841</v>
      </c>
      <c r="G334">
        <f>-676.861943781328 -46.0920692203822 -485.891208791369</f>
        <v>-1208.8452217930792</v>
      </c>
      <c r="H334">
        <f>-679.974537150483 -42.9188400629437 -610.394402836694</f>
        <v>-1333.2877800501205</v>
      </c>
      <c r="I334">
        <f>-648.376929797524 -35.5853078536113 -686.898237612521</f>
        <v>-1370.8604752636563</v>
      </c>
      <c r="J334">
        <f>-683.247552973329 -17.0099772287736 -554.794721769507</f>
        <v>-1255.0522519716096</v>
      </c>
      <c r="K334" t="s">
        <v>3631</v>
      </c>
      <c r="L334" t="s">
        <v>3632</v>
      </c>
      <c r="M334" t="s">
        <v>3633</v>
      </c>
      <c r="N334">
        <f>-673.962120437827 -71.6205040506543 -556.418773928786</f>
        <v>-1302.0013984172674</v>
      </c>
      <c r="O334">
        <f>-655.659184392905 -205.302214939024 -530.093546169112</f>
        <v>-1391.0549455010409</v>
      </c>
      <c r="P334">
        <f>-683.510856282257 -264.517234743942 -243.198056556719</f>
        <v>-1191.226147582918</v>
      </c>
      <c r="Q334">
        <f>-505.987049115649 -127.313939539683 -331.012777706135</f>
        <v>-964.31376636146695</v>
      </c>
      <c r="R334" t="s">
        <v>3634</v>
      </c>
      <c r="S334" t="s">
        <v>3635</v>
      </c>
      <c r="T334" t="s">
        <v>3636</v>
      </c>
      <c r="U334" t="s">
        <v>3637</v>
      </c>
      <c r="V334">
        <f>-602.264319725551 -129.182213545098 -97.3912787693351</f>
        <v>-828.8378120399841</v>
      </c>
      <c r="W334" t="s">
        <v>3638</v>
      </c>
      <c r="X334" t="s">
        <v>3639</v>
      </c>
      <c r="Y334" t="s">
        <v>3640</v>
      </c>
    </row>
    <row r="335" spans="1:25" x14ac:dyDescent="0.3">
      <c r="A335">
        <v>16700</v>
      </c>
      <c r="B335" t="s">
        <v>3641</v>
      </c>
      <c r="C335">
        <f>-620.14230031254 -35.6052272990307 -98.7817723820085</f>
        <v>-754.52929999357923</v>
      </c>
      <c r="D335">
        <f>-648.673386837136 -43.9303373131261 -210.732218474665</f>
        <v>-903.33594262492716</v>
      </c>
      <c r="E335">
        <f>-662.816062826532 -46.6048588193456 -308.300101520635</f>
        <v>-1017.7210231665126</v>
      </c>
      <c r="F335">
        <f>-672.022910465874 -47.3522341998172 -396.916704928258</f>
        <v>-1116.2918495939493</v>
      </c>
      <c r="G335">
        <f>-677.290060939796 -46.3761022976248 -485.85233226097</f>
        <v>-1209.5184954983908</v>
      </c>
      <c r="H335">
        <f>-680.507968488541 -43.2134331563287 -610.353299110663</f>
        <v>-1334.0747007555328</v>
      </c>
      <c r="I335">
        <f>-648.85098404086 -35.8954508178124 -686.83402628747</f>
        <v>-1371.5804611461424</v>
      </c>
      <c r="J335">
        <f>-683.724832932131 -17.298278167013 -554.753167912948</f>
        <v>-1255.7762790120919</v>
      </c>
      <c r="K335" t="s">
        <v>3642</v>
      </c>
      <c r="L335" t="s">
        <v>3643</v>
      </c>
      <c r="M335" t="s">
        <v>3644</v>
      </c>
      <c r="N335">
        <f>-674.459040654167 -71.9120471309088 -556.37987571754</f>
        <v>-1302.7509635026158</v>
      </c>
      <c r="O335">
        <f>-656.183811378367 -205.596131888424 -530.057898203834</f>
        <v>-1391.8378414706249</v>
      </c>
      <c r="P335">
        <f>-683.828794710018 -264.787386408399 -243.13734423342</f>
        <v>-1191.753525351837</v>
      </c>
      <c r="Q335">
        <f>-506.335757332611 -127.611238914949 -331.056747264013</f>
        <v>-965.00374351157302</v>
      </c>
      <c r="R335" t="s">
        <v>3645</v>
      </c>
      <c r="S335" t="s">
        <v>3646</v>
      </c>
      <c r="T335" t="s">
        <v>3647</v>
      </c>
      <c r="U335" t="s">
        <v>3648</v>
      </c>
      <c r="V335">
        <f>-602.510483705715 -129.588150982462 -97.3883454585044</f>
        <v>-829.4869801466815</v>
      </c>
      <c r="W335" t="s">
        <v>3649</v>
      </c>
      <c r="X335" t="s">
        <v>3650</v>
      </c>
      <c r="Y335" t="s">
        <v>3651</v>
      </c>
    </row>
    <row r="336" spans="1:25" x14ac:dyDescent="0.3">
      <c r="A336">
        <v>16750</v>
      </c>
      <c r="B336" t="s">
        <v>3652</v>
      </c>
      <c r="C336">
        <f>-620.201660249831 -35.6544194767303 -98.7907765154656</f>
        <v>-754.64685624202684</v>
      </c>
      <c r="D336">
        <f>-648.755220238243 -43.9765290782358 -210.73568442049</f>
        <v>-903.46743373696881</v>
      </c>
      <c r="E336">
        <f>-662.920936862555 -46.6513912151195 -308.300188249663</f>
        <v>-1017.8725163273375</v>
      </c>
      <c r="F336">
        <f>-672.150149841501 -47.4001243855546 -396.91451083631</f>
        <v>-1116.4647850633655</v>
      </c>
      <c r="G336">
        <f>-677.441183917427 -46.4264436345195 -485.848755054105</f>
        <v>-1209.7163826060514</v>
      </c>
      <c r="H336">
        <f>-680.693967130809 -43.2684737332091 -610.348755086261</f>
        <v>-1334.3111959502792</v>
      </c>
      <c r="I336">
        <f>-648.989881256919 -35.9529618720167 -686.810174815701</f>
        <v>-1371.7530179446367</v>
      </c>
      <c r="J336">
        <f>-683.891119731851 -17.3506396696198 -554.748889346679</f>
        <v>-1255.9906487481499</v>
      </c>
      <c r="K336" t="s">
        <v>3653</v>
      </c>
      <c r="L336" t="s">
        <v>3654</v>
      </c>
      <c r="M336" t="s">
        <v>3655</v>
      </c>
      <c r="N336">
        <f>-674.634045923442 -71.9657856627305 -556.376114158118</f>
        <v>-1302.9759457442906</v>
      </c>
      <c r="O336">
        <f>-656.380189391429 -205.654744146958 -530.047650516014</f>
        <v>-1392.082584054401</v>
      </c>
      <c r="P336">
        <f>-683.971213851809 -264.787584515523 -243.109881586008</f>
        <v>-1191.86867995334</v>
      </c>
      <c r="Q336">
        <f>-506.471590936707 -127.667075612912 -331.102686977772</f>
        <v>-965.24135352739097</v>
      </c>
      <c r="R336" t="s">
        <v>3656</v>
      </c>
      <c r="S336" t="s">
        <v>3657</v>
      </c>
      <c r="T336" t="s">
        <v>3658</v>
      </c>
      <c r="U336" t="s">
        <v>3659</v>
      </c>
      <c r="V336">
        <f>-602.577051374644 -129.617264346526 -97.3909901215202</f>
        <v>-829.58530584269022</v>
      </c>
      <c r="W336" t="s">
        <v>3660</v>
      </c>
      <c r="X336" t="s">
        <v>3661</v>
      </c>
      <c r="Y336" t="s">
        <v>3662</v>
      </c>
    </row>
    <row r="337" spans="1:25" x14ac:dyDescent="0.3">
      <c r="A337">
        <v>16800</v>
      </c>
      <c r="B337" t="s">
        <v>3663</v>
      </c>
      <c r="C337">
        <f>-620.246755566455 -35.6882068311802 -98.793385376915</f>
        <v>-754.72834777455023</v>
      </c>
      <c r="D337">
        <f>-648.807806949562 -44.0095171653993 -210.736340489688</f>
        <v>-903.55366460464927</v>
      </c>
      <c r="E337">
        <f>-662.966181193847 -46.6882056188558 -308.301862739104</f>
        <v>-1017.9562495518069</v>
      </c>
      <c r="F337">
        <f>-672.183314965243 -47.4417149605489 -396.917468255603</f>
        <v>-1116.5424981813949</v>
      </c>
      <c r="G337">
        <f>-677.456971623382 -46.4740030557431 -485.852784876545</f>
        <v>-1209.78375955567</v>
      </c>
      <c r="H337">
        <f>-680.679860386865 -43.3254104414242 -610.353844936948</f>
        <v>-1334.3591157652372</v>
      </c>
      <c r="I337">
        <f>-648.862110703299 -35.9905174105252 -686.766316332391</f>
        <v>-1371.6189444462152</v>
      </c>
      <c r="J337">
        <f>-683.887945556589 -17.4027984545503 -554.756646173778</f>
        <v>-1256.0473901849173</v>
      </c>
      <c r="K337" t="s">
        <v>3664</v>
      </c>
      <c r="L337" t="s">
        <v>3665</v>
      </c>
      <c r="M337" t="s">
        <v>3666</v>
      </c>
      <c r="N337">
        <f>-674.635252344857 -72.0189844861209 -556.377461287566</f>
        <v>-1303.0316981185438</v>
      </c>
      <c r="O337">
        <f>-656.408791295399 -205.703979627333 -530.018447111703</f>
        <v>-1392.1312180344353</v>
      </c>
      <c r="P337">
        <f>-684.001944582425 -264.742013232837 -243.061414353573</f>
        <v>-1191.8053721688352</v>
      </c>
      <c r="Q337">
        <f>-506.491507055059 -127.687615959327 -331.135455986213</f>
        <v>-965.314579000599</v>
      </c>
      <c r="R337" t="s">
        <v>3667</v>
      </c>
      <c r="S337" t="s">
        <v>3668</v>
      </c>
      <c r="T337" t="s">
        <v>3669</v>
      </c>
      <c r="U337" t="s">
        <v>3670</v>
      </c>
      <c r="V337">
        <f>-602.65118528506 -129.621716001746 -97.3825485096801</f>
        <v>-829.6554497964861</v>
      </c>
      <c r="W337" t="s">
        <v>3671</v>
      </c>
      <c r="X337" t="s">
        <v>3672</v>
      </c>
      <c r="Y337" t="s">
        <v>3673</v>
      </c>
    </row>
    <row r="338" spans="1:25" x14ac:dyDescent="0.3">
      <c r="A338">
        <v>16850</v>
      </c>
      <c r="B338" t="s">
        <v>3674</v>
      </c>
      <c r="C338">
        <f>-620.24784086227 -35.6580602588697 -98.7852252643305</f>
        <v>-754.69112638547017</v>
      </c>
      <c r="D338">
        <f>-648.809134497271 -43.9826598266682 -210.728030524191</f>
        <v>-903.51982484813016</v>
      </c>
      <c r="E338">
        <f>-662.951470452408 -46.6651215528533 -308.295731613506</f>
        <v>-1017.9123236187672</v>
      </c>
      <c r="F338">
        <f>-672.147793574038 -47.4221249820793 -396.913445181225</f>
        <v>-1116.4833637373422</v>
      </c>
      <c r="G338">
        <f>-677.394020843254 -46.4578928076952 -485.850246210921</f>
        <v>-1209.7021598618703</v>
      </c>
      <c r="H338">
        <f>-680.572156702504 -43.3140790174031 -610.352753387119</f>
        <v>-1334.2389891070261</v>
      </c>
      <c r="I338">
        <f>-648.692662435084 -35.9623088832459 -686.737859914811</f>
        <v>-1371.3928312331409</v>
      </c>
      <c r="J338">
        <f>-683.804104479593 -17.3899734022973 -554.757567434698</f>
        <v>-1255.9516453165884</v>
      </c>
      <c r="K338" t="s">
        <v>3675</v>
      </c>
      <c r="L338" t="s">
        <v>3676</v>
      </c>
      <c r="M338" t="s">
        <v>3677</v>
      </c>
      <c r="N338">
        <f>-674.543146419213 -72.0049623964969 -556.373202412963</f>
        <v>-1302.9213112286729</v>
      </c>
      <c r="O338">
        <f>-656.319451437267 -205.686645697831 -529.986437310083</f>
        <v>-1391.9925344451813</v>
      </c>
      <c r="P338">
        <f>-683.914088712503 -264.697526197698 -243.024028688174</f>
        <v>-1191.6356435983751</v>
      </c>
      <c r="Q338">
        <f>-506.387062095912 -127.686098069477 -331.13120083176</f>
        <v>-965.20436099714902</v>
      </c>
      <c r="R338" t="s">
        <v>3678</v>
      </c>
      <c r="S338" t="s">
        <v>3679</v>
      </c>
      <c r="T338" t="s">
        <v>3680</v>
      </c>
      <c r="U338" t="s">
        <v>3681</v>
      </c>
      <c r="V338">
        <f>-602.671040482446 -129.577125597183 -97.3724356903739</f>
        <v>-829.62060177000285</v>
      </c>
      <c r="W338" t="s">
        <v>3682</v>
      </c>
      <c r="X338" t="s">
        <v>3683</v>
      </c>
      <c r="Y338" t="s">
        <v>3684</v>
      </c>
    </row>
    <row r="339" spans="1:25" x14ac:dyDescent="0.3">
      <c r="A339">
        <v>16900</v>
      </c>
      <c r="B339" t="s">
        <v>3685</v>
      </c>
      <c r="C339">
        <f>-620.272143715219 -35.7125527368289 -98.7700945778869</f>
        <v>-754.75479102993484</v>
      </c>
      <c r="D339">
        <f>-648.837239901253 -44.0330319394319 -210.71213446744</f>
        <v>-903.58240630812497</v>
      </c>
      <c r="E339">
        <f>-662.941974999056 -46.7231663436551 -308.285116276339</f>
        <v>-1017.95025761905</v>
      </c>
      <c r="F339">
        <f>-672.087749058249 -47.491256242746 -396.907990943204</f>
        <v>-1116.486996244199</v>
      </c>
      <c r="G339">
        <f>-677.267160750054 -46.5420528022263 -485.848959051138</f>
        <v>-1209.6581726034183</v>
      </c>
      <c r="H339">
        <f>-680.334664047649 -43.4232215961753 -610.354722123327</f>
        <v>-1334.1126077671511</v>
      </c>
      <c r="I339">
        <f>-648.276376299964 -36.0292050725943 -686.660847567919</f>
        <v>-1370.9664289404773</v>
      </c>
      <c r="J339">
        <f>-683.624973164542 -17.4895563612163 -554.767504745125</f>
        <v>-1255.8820342708832</v>
      </c>
      <c r="K339" t="s">
        <v>3686</v>
      </c>
      <c r="L339" t="s">
        <v>3687</v>
      </c>
      <c r="M339" t="s">
        <v>3688</v>
      </c>
      <c r="N339">
        <f>-674.344677804571 -72.1017446510564 -556.364212621368</f>
        <v>-1302.8106350769954</v>
      </c>
      <c r="O339">
        <f>-656.109878430734 -205.768226891328 -529.908441183166</f>
        <v>-1391.7865465052282</v>
      </c>
      <c r="P339">
        <f>-683.734903523167 -264.670704738283 -242.92672410541</f>
        <v>-1191.3323323668599</v>
      </c>
      <c r="Q339">
        <f>-506.192809733799 -127.747476608242 -331.140522083577</f>
        <v>-965.08080842561799</v>
      </c>
      <c r="R339" t="s">
        <v>3689</v>
      </c>
      <c r="S339" t="s">
        <v>3690</v>
      </c>
      <c r="T339" t="s">
        <v>3691</v>
      </c>
      <c r="U339" t="s">
        <v>3692</v>
      </c>
      <c r="V339">
        <f>-602.698656610533 -129.738912844988 -97.3501714060203</f>
        <v>-829.78774086154135</v>
      </c>
      <c r="W339" t="s">
        <v>3693</v>
      </c>
      <c r="X339" t="s">
        <v>3694</v>
      </c>
      <c r="Y339" t="s">
        <v>3695</v>
      </c>
    </row>
    <row r="340" spans="1:25" x14ac:dyDescent="0.3">
      <c r="A340">
        <v>16950</v>
      </c>
      <c r="B340" t="s">
        <v>3696</v>
      </c>
      <c r="C340">
        <f>-620.267099423342 -35.7151707307976 -98.7587218980002</f>
        <v>-754.74099205213975</v>
      </c>
      <c r="D340">
        <f>-648.819859319584 -44.0365682004386 -210.703858416678</f>
        <v>-903.56028593670067</v>
      </c>
      <c r="E340">
        <f>-662.886952467771 -46.729124651342 -308.282128379368</f>
        <v>-1017.898205498481</v>
      </c>
      <c r="F340">
        <f>-671.987743377504 -47.5003656046844 -396.909552473792</f>
        <v>-1116.3976614559804</v>
      </c>
      <c r="G340">
        <f>-677.111208883923 -46.5549755249127 -485.853848561514</f>
        <v>-1209.5200329703498</v>
      </c>
      <c r="H340">
        <f>-680.089175532552 -43.441903555918 -610.361988764737</f>
        <v>-1333.893067853207</v>
      </c>
      <c r="I340">
        <f>-647.928777906689 -36.0255741891265 -686.622865699183</f>
        <v>-1370.5772177949984</v>
      </c>
      <c r="J340">
        <f>-683.424588848851 -17.5065074459267 -554.778247015971</f>
        <v>-1255.7093433107489</v>
      </c>
      <c r="K340" t="s">
        <v>3697</v>
      </c>
      <c r="L340" t="s">
        <v>3698</v>
      </c>
      <c r="M340" t="s">
        <v>3699</v>
      </c>
      <c r="N340">
        <f>-674.132830679215 -72.1170328979662 -556.365865894347</f>
        <v>-1302.6157294715281</v>
      </c>
      <c r="O340">
        <f>-655.886821528439 -205.769559738572 -529.863909270617</f>
        <v>-1391.5202905376282</v>
      </c>
      <c r="P340">
        <f>-683.571020426617 -264.583725715292 -242.869695741662</f>
        <v>-1191.0244418835712</v>
      </c>
      <c r="Q340">
        <f>-506.016998368768 -127.699119357519 -331.119622028087</f>
        <v>-964.83573975437389</v>
      </c>
      <c r="R340" t="s">
        <v>3700</v>
      </c>
      <c r="S340" t="s">
        <v>3701</v>
      </c>
      <c r="T340" t="s">
        <v>3702</v>
      </c>
      <c r="U340" t="s">
        <v>3703</v>
      </c>
      <c r="V340">
        <f>-602.677989195369 -129.756629143556 -97.3448407494892</f>
        <v>-829.77945908841423</v>
      </c>
      <c r="W340" t="s">
        <v>3704</v>
      </c>
      <c r="X340" t="s">
        <v>3705</v>
      </c>
      <c r="Y340" t="s">
        <v>3706</v>
      </c>
    </row>
    <row r="341" spans="1:25" x14ac:dyDescent="0.3">
      <c r="A341">
        <v>17000</v>
      </c>
      <c r="B341" t="s">
        <v>3707</v>
      </c>
      <c r="C341">
        <f>-620.223302063521 -35.5574892464872 -98.7646514546074</f>
        <v>-754.54544276461559</v>
      </c>
      <c r="D341">
        <f>-648.761783175398 -43.883265013748 -210.713051282741</f>
        <v>-903.35809947188704</v>
      </c>
      <c r="E341">
        <f>-662.745330541544 -46.5870790922017 -308.303129305588</f>
        <v>-1017.6355389393339</v>
      </c>
      <c r="F341">
        <f>-671.741727011226 -47.3710308665716 -396.940977408612</f>
        <v>-1116.0537352864096</v>
      </c>
      <c r="G341">
        <f>-676.731926849065 -46.4406599752003 -485.89322891245</f>
        <v>-1209.0658157367152</v>
      </c>
      <c r="H341">
        <f>-679.493333345094 -43.351423849974 -610.406766023733</f>
        <v>-1333.2515232188011</v>
      </c>
      <c r="I341">
        <f>-647.159015330625 -35.9142167381476 -686.592124100806</f>
        <v>-1369.6653561695787</v>
      </c>
      <c r="J341">
        <f>-682.935897905105 -17.4072131993312 -554.833668341666</f>
        <v>-1255.176779446102</v>
      </c>
      <c r="K341" t="s">
        <v>3708</v>
      </c>
      <c r="L341" t="s">
        <v>3709</v>
      </c>
      <c r="M341" t="s">
        <v>3710</v>
      </c>
      <c r="N341">
        <f>-673.620393915096 -72.0145351860205 -556.395193125415</f>
        <v>-1302.0301222265314</v>
      </c>
      <c r="O341">
        <f>-655.354199964243 -205.65680510745 -529.834445615957</f>
        <v>-1390.8454506876501</v>
      </c>
      <c r="P341">
        <f>-683.229577668966 -264.384439655214 -242.84104021964</f>
        <v>-1190.45505754382</v>
      </c>
      <c r="Q341">
        <f>-505.651821401171 -127.558004129952 -331.133261346589</f>
        <v>-964.34308687771204</v>
      </c>
      <c r="R341" t="s">
        <v>3711</v>
      </c>
      <c r="S341" t="s">
        <v>3712</v>
      </c>
      <c r="T341" t="s">
        <v>3713</v>
      </c>
      <c r="U341" t="s">
        <v>3714</v>
      </c>
      <c r="V341">
        <f>-602.628984890331 -129.555494708819 -97.3430327169139</f>
        <v>-829.52751231606385</v>
      </c>
      <c r="W341" t="s">
        <v>3715</v>
      </c>
      <c r="X341" t="s">
        <v>3716</v>
      </c>
      <c r="Y341" t="s">
        <v>3717</v>
      </c>
    </row>
    <row r="342" spans="1:25" x14ac:dyDescent="0.3">
      <c r="A342">
        <v>17050</v>
      </c>
      <c r="B342" t="s">
        <v>3718</v>
      </c>
      <c r="C342">
        <f>-620.176850332193 -35.5056764292622 -98.7630187556165</f>
        <v>-754.44554551707165</v>
      </c>
      <c r="D342">
        <f>-648.703345698408 -43.8243171647043 -210.71506610627</f>
        <v>-903.24272896938237</v>
      </c>
      <c r="E342">
        <f>-662.643127758153 -46.5249514557722 -308.311393907104</f>
        <v>-1017.4794731210293</v>
      </c>
      <c r="F342">
        <f>-671.586294538683 -47.3071041461478 -396.954811341826</f>
        <v>-1115.8482100266567</v>
      </c>
      <c r="G342">
        <f>-676.509597476602 -46.3761160290876 -485.910637268645</f>
        <v>-1208.7963507743348</v>
      </c>
      <c r="H342">
        <f>-679.163339020186 -43.2869937292015 -610.42658968884</f>
        <v>-1332.8769224382274</v>
      </c>
      <c r="I342">
        <f>-646.753366935233 -35.8379069908708 -686.57871569157</f>
        <v>-1369.1699896176738</v>
      </c>
      <c r="J342">
        <f>-682.656657575767 -17.3432579728403 -554.856594189465</f>
        <v>-1254.8565097380724</v>
      </c>
      <c r="K342" t="s">
        <v>3719</v>
      </c>
      <c r="L342" t="s">
        <v>3720</v>
      </c>
      <c r="M342" t="s">
        <v>3721</v>
      </c>
      <c r="N342">
        <f>-673.334377817523 -71.9495855599655 -556.409949510878</f>
        <v>-1301.6939128883664</v>
      </c>
      <c r="O342">
        <f>-655.072694360622 -205.585071186076 -529.827950491543</f>
        <v>-1390.485716038241</v>
      </c>
      <c r="P342">
        <f>-683.008305716755 -264.353586067824 -242.848792127492</f>
        <v>-1190.2106839120711</v>
      </c>
      <c r="Q342">
        <f>-505.394079025447 -127.562603633555 -331.122606234789</f>
        <v>-964.07928889379104</v>
      </c>
      <c r="R342" t="s">
        <v>3722</v>
      </c>
      <c r="S342" t="s">
        <v>3723</v>
      </c>
      <c r="T342" t="s">
        <v>3724</v>
      </c>
      <c r="U342" t="s">
        <v>3725</v>
      </c>
      <c r="V342">
        <f>-602.58376725994 -129.541327321386 -97.3434924163225</f>
        <v>-829.46858699764857</v>
      </c>
      <c r="W342" t="s">
        <v>3726</v>
      </c>
      <c r="X342" t="s">
        <v>3727</v>
      </c>
      <c r="Y342" t="s">
        <v>3728</v>
      </c>
    </row>
    <row r="343" spans="1:25" x14ac:dyDescent="0.3">
      <c r="A343">
        <v>17100</v>
      </c>
      <c r="B343" t="s">
        <v>3729</v>
      </c>
      <c r="C343">
        <f>-620.003045797586 -35.2469921080226 -98.7598899650249</f>
        <v>-754.00992787063342</v>
      </c>
      <c r="D343">
        <f>-648.515665499536 -43.5543970467436 -210.716239709997</f>
        <v>-902.7863022562766</v>
      </c>
      <c r="E343">
        <f>-662.3927081609 -46.2510562410945 -308.321698966755</f>
        <v>-1016.9654633687495</v>
      </c>
      <c r="F343">
        <f>-671.258719553019 -47.0316661545106 -396.972859492157</f>
        <v>-1115.2632451996865</v>
      </c>
      <c r="G343">
        <f>-676.084359375387 -46.1010455401397 -485.934043937375</f>
        <v>-1208.1194488529018</v>
      </c>
      <c r="H343">
        <f>-678.580351448614 -43.0138470985044 -610.453262288708</f>
        <v>-1332.0474608358263</v>
      </c>
      <c r="I343">
        <f>-646.051620171209 -35.5337517527528 -686.551648064331</f>
        <v>-1368.1370199882926</v>
      </c>
      <c r="J343">
        <f>-682.148233020516 -17.069941918938 -554.888118559359</f>
        <v>-1254.1062934988131</v>
      </c>
      <c r="K343" t="s">
        <v>3730</v>
      </c>
      <c r="L343" t="s">
        <v>3731</v>
      </c>
      <c r="M343" t="s">
        <v>3732</v>
      </c>
      <c r="N343">
        <f>-672.815779524704 -71.6748009661611 -556.428914023839</f>
        <v>-1300.9194945147042</v>
      </c>
      <c r="O343">
        <f>-654.556555976021 -205.307477945911 -529.817085411686</f>
        <v>-1389.681119333618</v>
      </c>
      <c r="P343">
        <f>-682.595086834419 -264.053690931623 -242.843305723514</f>
        <v>-1189.4920834895561</v>
      </c>
      <c r="Q343">
        <f>-504.942754953899 -127.301540997246 -331.100764514797</f>
        <v>-963.34506046594197</v>
      </c>
      <c r="R343" t="s">
        <v>3733</v>
      </c>
      <c r="S343" t="s">
        <v>3734</v>
      </c>
      <c r="T343" t="s">
        <v>3735</v>
      </c>
      <c r="U343" t="s">
        <v>3736</v>
      </c>
      <c r="V343">
        <f>-602.443223544474 -129.181102484028 -97.3509049158479</f>
        <v>-828.97523094434985</v>
      </c>
      <c r="W343" t="s">
        <v>3737</v>
      </c>
      <c r="X343" t="s">
        <v>3738</v>
      </c>
      <c r="Y343" t="s">
        <v>3739</v>
      </c>
    </row>
    <row r="344" spans="1:25" x14ac:dyDescent="0.3">
      <c r="A344">
        <v>17150</v>
      </c>
      <c r="B344" t="s">
        <v>3740</v>
      </c>
      <c r="C344">
        <f>-619.924127351147 -35.1386954333993 -98.7609539009209</f>
        <v>-753.82377668546724</v>
      </c>
      <c r="D344">
        <f>-648.433029469701 -43.4371760083206 -210.719056494219</f>
        <v>-902.58926197224059</v>
      </c>
      <c r="E344">
        <f>-662.287632267982 -46.1271268014351 -308.327662883173</f>
        <v>-1016.7424219525901</v>
      </c>
      <c r="F344">
        <f>-671.125654812885 -46.9018597152601 -396.981777596209</f>
        <v>-1115.009292124354</v>
      </c>
      <c r="G344">
        <f>-675.915633505833 -45.9655971053041 -485.94471240675</f>
        <v>-1207.8259430178871</v>
      </c>
      <c r="H344">
        <f>-678.353550995192 -42.8709602007089 -610.465041986903</f>
        <v>-1331.6895531828038</v>
      </c>
      <c r="I344">
        <f>-645.780250758873 -35.3804456508676 -686.543369040773</f>
        <v>-1367.7040654505136</v>
      </c>
      <c r="J344">
        <f>-681.945186908843 -16.9299085243165 -554.899853829758</f>
        <v>-1253.7749492629173</v>
      </c>
      <c r="K344" t="s">
        <v>3741</v>
      </c>
      <c r="L344" t="s">
        <v>3742</v>
      </c>
      <c r="M344" t="s">
        <v>3743</v>
      </c>
      <c r="N344">
        <f>-672.616318896727 -71.535591615171 -556.439648623711</f>
        <v>-1300.591559135609</v>
      </c>
      <c r="O344">
        <f>-654.387191537173 -205.16621374331 -529.826696358393</f>
        <v>-1389.3801016388759</v>
      </c>
      <c r="P344">
        <f>-682.467858526606 -263.947956826199 -242.8643834322</f>
        <v>-1189.280198785005</v>
      </c>
      <c r="Q344">
        <f>-504.758161442113 -127.267034090686 -331.116731921822</f>
        <v>-963.14192745462105</v>
      </c>
      <c r="R344" t="s">
        <v>3744</v>
      </c>
      <c r="S344" t="s">
        <v>3745</v>
      </c>
      <c r="T344" t="s">
        <v>3746</v>
      </c>
      <c r="U344" t="s">
        <v>3747</v>
      </c>
      <c r="V344">
        <f>-602.387490411865 -129.111826289434 -97.3521610218966</f>
        <v>-828.85147772319556</v>
      </c>
      <c r="W344" t="s">
        <v>3748</v>
      </c>
      <c r="X344" t="s">
        <v>3749</v>
      </c>
      <c r="Y344" t="s">
        <v>3750</v>
      </c>
    </row>
    <row r="345" spans="1:25" x14ac:dyDescent="0.3">
      <c r="A345">
        <v>17200</v>
      </c>
      <c r="B345" t="s">
        <v>3751</v>
      </c>
      <c r="C345">
        <f>-619.679536378628 -35.0264379689895 -98.7584955880354</f>
        <v>-753.46446993565291</v>
      </c>
      <c r="D345">
        <f>-648.17333124736 -43.3050607488373 -210.721948269848</f>
        <v>-902.20034026604526</v>
      </c>
      <c r="E345">
        <f>-661.982596069685 -45.959160829031 -308.338023502639</f>
        <v>-1016.279780401355</v>
      </c>
      <c r="F345">
        <f>-670.766398859029 -46.6938862199194 -396.9976974458</f>
        <v>-1114.4579825247483</v>
      </c>
      <c r="G345">
        <f>-675.489039324302 -45.7098649707117 -485.96390675245</f>
        <v>-1207.1628110474637</v>
      </c>
      <c r="H345">
        <f>-677.818908976542 -42.5403034280007 -610.484342715559</f>
        <v>-1330.8435551201019</v>
      </c>
      <c r="I345">
        <f>-645.181658874427 -35.0167455792055 -686.531866815128</f>
        <v>-1366.7302712687604</v>
      </c>
      <c r="J345">
        <f>-681.456823391321 -16.6323985401284 -554.906831612699</f>
        <v>-1252.9960535441483</v>
      </c>
      <c r="K345" t="s">
        <v>3752</v>
      </c>
      <c r="L345" t="s">
        <v>3753</v>
      </c>
      <c r="M345" t="s">
        <v>3754</v>
      </c>
      <c r="N345">
        <f>-672.130506800663 -71.2377346515782 -556.471226318301</f>
        <v>-1299.8394677705423</v>
      </c>
      <c r="O345">
        <f>-653.923202997246 -204.887525603207 -529.920577733184</f>
        <v>-1388.7313063336369</v>
      </c>
      <c r="P345">
        <f>-682.131938887356 -263.725560368415 -242.982472122957</f>
        <v>-1188.839971378728</v>
      </c>
      <c r="Q345">
        <f>-504.334897075795 -127.105394833055 -331.15269534268</f>
        <v>-962.59298725152996</v>
      </c>
      <c r="R345" t="s">
        <v>3755</v>
      </c>
      <c r="S345" t="s">
        <v>3756</v>
      </c>
      <c r="T345" t="s">
        <v>3757</v>
      </c>
      <c r="U345" t="s">
        <v>3758</v>
      </c>
      <c r="V345">
        <f>-602.163092012264 -129.046991998206 -97.3540095746499</f>
        <v>-828.56409358511985</v>
      </c>
      <c r="W345" t="s">
        <v>3759</v>
      </c>
      <c r="X345" t="s">
        <v>3760</v>
      </c>
      <c r="Y345" t="s">
        <v>3761</v>
      </c>
    </row>
    <row r="346" spans="1:25" x14ac:dyDescent="0.3">
      <c r="A346">
        <v>17250</v>
      </c>
      <c r="B346" t="s">
        <v>3762</v>
      </c>
      <c r="C346">
        <f>-619.534012184311 -35.0631203075761 -98.7494284116126</f>
        <v>-753.34656090349972</v>
      </c>
      <c r="D346">
        <f>-648.024395814623 -43.3263438229944 -210.714781303914</f>
        <v>-902.06552094153142</v>
      </c>
      <c r="E346">
        <f>-661.810734393978 -45.9567885023171 -308.33480092136</f>
        <v>-1016.1023238176551</v>
      </c>
      <c r="F346">
        <f>-670.565735566454 -46.6656265192981 -396.997579406267</f>
        <v>-1114.2289414920192</v>
      </c>
      <c r="G346">
        <f>-675.251365194682 -45.6511879209459 -485.96521361216</f>
        <v>-1206.867766727788</v>
      </c>
      <c r="H346">
        <f>-677.52124418521 -42.4343802196775 -610.485600289447</f>
        <v>-1330.4412246943343</v>
      </c>
      <c r="I346">
        <f>-644.85359252055 -34.8805768944442 -686.517086604619</f>
        <v>-1366.2512560196133</v>
      </c>
      <c r="J346">
        <f>-681.186048128733 -16.5476333724187 -554.900035302731</f>
        <v>-1252.6337168038826</v>
      </c>
      <c r="K346" t="s">
        <v>3763</v>
      </c>
      <c r="L346" t="s">
        <v>3764</v>
      </c>
      <c r="M346" t="s">
        <v>3765</v>
      </c>
      <c r="N346">
        <f>-671.858630057539 -71.1522384861853 -556.4807364362</f>
        <v>-1299.4916049799244</v>
      </c>
      <c r="O346">
        <f>-653.671299985407 -204.813249983152 -529.966259073431</f>
        <v>-1388.4508090419899</v>
      </c>
      <c r="P346">
        <f>-681.89089307465 -263.739064112327 -243.047135081711</f>
        <v>-1188.6770922686881</v>
      </c>
      <c r="Q346">
        <f>-504.056264747561 -127.134298948988 -331.165513449746</f>
        <v>-962.35607714629509</v>
      </c>
      <c r="R346" t="s">
        <v>3766</v>
      </c>
      <c r="S346" t="s">
        <v>3767</v>
      </c>
      <c r="T346" t="s">
        <v>3768</v>
      </c>
      <c r="U346" t="s">
        <v>3769</v>
      </c>
      <c r="V346">
        <f>-602.03193193106 -129.148308119954 -97.3493993192052</f>
        <v>-828.52963937021912</v>
      </c>
      <c r="W346" t="s">
        <v>3770</v>
      </c>
      <c r="X346" t="s">
        <v>3771</v>
      </c>
      <c r="Y346" t="s">
        <v>3772</v>
      </c>
    </row>
    <row r="347" spans="1:25" x14ac:dyDescent="0.3">
      <c r="A347">
        <v>17300</v>
      </c>
      <c r="B347" t="s">
        <v>3773</v>
      </c>
      <c r="C347">
        <f>-619.181088070101 -34.9575379986486 -98.7085622533485</f>
        <v>-752.84718832209819</v>
      </c>
      <c r="D347">
        <f>-647.686277099581 -43.1867441396633 -210.672578801836</f>
        <v>-901.54560004108043</v>
      </c>
      <c r="E347">
        <f>-661.449197349435 -45.7636425602833 -308.297411881632</f>
        <v>-1015.5102517913504</v>
      </c>
      <c r="F347">
        <f>-670.168311791691 -46.4138924595154 -396.964096414723</f>
        <v>-1113.5463006659295</v>
      </c>
      <c r="G347">
        <f>-674.803430997979 -45.3304648985602 -485.933713578931</f>
        <v>-1206.0676094754704</v>
      </c>
      <c r="H347">
        <f>-676.987482984638 -42.0061618293237 -610.452759137658</f>
        <v>-1329.4464039516197</v>
      </c>
      <c r="I347">
        <f>-644.284457488169 -34.3762404092793 -686.461559488376</f>
        <v>-1365.1222573858242</v>
      </c>
      <c r="J347">
        <f>-680.690101213119 -16.1671868284097 -554.847356885292</f>
        <v>-1251.7046449268207</v>
      </c>
      <c r="K347" t="s">
        <v>3774</v>
      </c>
      <c r="L347" t="s">
        <v>3775</v>
      </c>
      <c r="M347" t="s">
        <v>3776</v>
      </c>
      <c r="N347">
        <f>-671.362599876067 -70.7707377546518 -556.468772989249</f>
        <v>-1298.6021106199678</v>
      </c>
      <c r="O347">
        <f>-653.193363285239 -204.451383485049 -530.044575587301</f>
        <v>-1387.6893223575889</v>
      </c>
      <c r="P347">
        <f>-681.473809622915 -263.576920329658 -243.172331451007</f>
        <v>-1188.22306140358</v>
      </c>
      <c r="Q347">
        <f>-503.580684799039 -126.973830770979 -331.175174651564</f>
        <v>-961.72969022158202</v>
      </c>
      <c r="R347" t="s">
        <v>3777</v>
      </c>
      <c r="S347" t="s">
        <v>3778</v>
      </c>
      <c r="T347" t="s">
        <v>3779</v>
      </c>
      <c r="U347" t="s">
        <v>3780</v>
      </c>
      <c r="V347">
        <f>-601.718846998705 -128.976504365637 -97.3322164753032</f>
        <v>-828.02756783964514</v>
      </c>
      <c r="W347" t="s">
        <v>3781</v>
      </c>
      <c r="X347" t="s">
        <v>3782</v>
      </c>
      <c r="Y347" t="s">
        <v>3783</v>
      </c>
    </row>
    <row r="348" spans="1:25" x14ac:dyDescent="0.3">
      <c r="A348">
        <v>17350</v>
      </c>
      <c r="B348" t="s">
        <v>3784</v>
      </c>
      <c r="C348">
        <f>-618.999740288054 -34.9025602366132 -98.6849627463159</f>
        <v>-752.58726327098316</v>
      </c>
      <c r="D348">
        <f>-647.51989467567 -43.1068923697751 -210.647108698971</f>
        <v>-901.27389574441611</v>
      </c>
      <c r="E348">
        <f>-661.283622348176 -45.6553331224276 -308.272486098742</f>
        <v>-1015.2114415693455</v>
      </c>
      <c r="F348">
        <f>-669.998771276251 -46.2763640799114 -396.939900314429</f>
        <v>-1113.2150356705915</v>
      </c>
      <c r="G348">
        <f>-674.625187880481 -45.1603649014281 -485.909394902612</f>
        <v>-1205.6949476845211</v>
      </c>
      <c r="H348">
        <f>-676.792296019686 -41.7865234779983 -610.427431695286</f>
        <v>-1329.0062511929705</v>
      </c>
      <c r="I348">
        <f>-644.080491499125 -34.1125916848453 -686.427960885658</f>
        <v>-1364.6210440696282</v>
      </c>
      <c r="J348">
        <f>-680.503756275232 -15.9701020046055 -554.812372855743</f>
        <v>-1251.2862311355805</v>
      </c>
      <c r="K348" t="s">
        <v>3785</v>
      </c>
      <c r="L348" t="s">
        <v>3786</v>
      </c>
      <c r="M348" t="s">
        <v>3787</v>
      </c>
      <c r="N348">
        <f>-671.173572794733 -70.5723214328192 -556.454197257633</f>
        <v>-1298.2000914851851</v>
      </c>
      <c r="O348">
        <f>-653.01298161889 -204.263768369383 -530.072686212434</f>
        <v>-1387.3494362007068</v>
      </c>
      <c r="P348">
        <f>-681.270089840349 -263.513617895951 -243.223880864231</f>
        <v>-1188.0075886005309</v>
      </c>
      <c r="Q348">
        <f>-503.369003278545 -126.878495804252 -331.160951158538</f>
        <v>-961.408450241335</v>
      </c>
      <c r="R348" t="s">
        <v>3788</v>
      </c>
      <c r="S348" t="s">
        <v>3789</v>
      </c>
      <c r="T348" t="s">
        <v>3790</v>
      </c>
      <c r="U348" t="s">
        <v>3791</v>
      </c>
      <c r="V348">
        <f>-601.561516039743 -128.979990387371 -97.3201570018887</f>
        <v>-827.86166342900265</v>
      </c>
      <c r="W348" t="s">
        <v>3792</v>
      </c>
      <c r="X348" t="s">
        <v>3793</v>
      </c>
      <c r="Y348" t="s">
        <v>3794</v>
      </c>
    </row>
    <row r="349" spans="1:25" x14ac:dyDescent="0.3">
      <c r="A349">
        <v>17400</v>
      </c>
      <c r="B349" t="s">
        <v>3795</v>
      </c>
      <c r="C349">
        <f>-618.590871690263 -34.7260652188802 -98.6383746135119</f>
        <v>-751.95531152265517</v>
      </c>
      <c r="D349">
        <f>-647.121652715598 -42.8855132580982 -210.601061693155</f>
        <v>-900.60822766685112</v>
      </c>
      <c r="E349">
        <f>-660.885317162897 -45.384525958365 -308.22777013118</f>
        <v>-1014.497613252442</v>
      </c>
      <c r="F349">
        <f>-669.597239931763 -45.9549485924748 -396.895799450785</f>
        <v>-1112.4479879750229</v>
      </c>
      <c r="G349">
        <f>-674.217464051582 -44.7820214853967 -485.864945257565</f>
        <v>-1204.8644307945438</v>
      </c>
      <c r="H349">
        <f>-676.372858728097 -41.3218772118805 -610.380855306676</f>
        <v>-1328.0755912466534</v>
      </c>
      <c r="I349">
        <f>-643.642195961058 -33.5626291303156 -686.364577224405</f>
        <v>-1363.5694023157785</v>
      </c>
      <c r="J349">
        <f>-680.089777519153 -15.543993748164 -554.748170478037</f>
        <v>-1250.381941745354</v>
      </c>
      <c r="K349" t="s">
        <v>3796</v>
      </c>
      <c r="L349" t="s">
        <v>3797</v>
      </c>
      <c r="M349" t="s">
        <v>3798</v>
      </c>
      <c r="N349">
        <f>-670.758950615297 -70.1450140154527 -556.426945346902</f>
        <v>-1297.3309099776516</v>
      </c>
      <c r="O349">
        <f>-652.607242957909 -203.849109058845 -530.120567439885</f>
        <v>-1386.576919456639</v>
      </c>
      <c r="P349">
        <f>-680.808181682073 -263.251490285771 -243.297858461971</f>
        <v>-1187.3575304298149</v>
      </c>
      <c r="Q349">
        <f>-502.915471833381 -126.566764841316 -331.17463421984</f>
        <v>-960.65687089453695</v>
      </c>
      <c r="R349" t="s">
        <v>3799</v>
      </c>
      <c r="S349" t="s">
        <v>3800</v>
      </c>
      <c r="T349" t="s">
        <v>3801</v>
      </c>
      <c r="U349" t="s">
        <v>3802</v>
      </c>
      <c r="V349">
        <f>-601.231874472425 -128.777496538232 -97.2989870203993</f>
        <v>-827.30835803105629</v>
      </c>
      <c r="W349" t="s">
        <v>3803</v>
      </c>
      <c r="X349" t="s">
        <v>3804</v>
      </c>
      <c r="Y349" t="s">
        <v>3805</v>
      </c>
    </row>
    <row r="350" spans="1:25" x14ac:dyDescent="0.3">
      <c r="A350">
        <v>17450</v>
      </c>
      <c r="B350" t="s">
        <v>3806</v>
      </c>
      <c r="C350">
        <f>-618.377727757329 -34.6682875064787 -98.6207195609951</f>
        <v>-751.6667348248028</v>
      </c>
      <c r="D350">
        <f>-646.906314904554 -42.8197441262496 -210.584533656477</f>
        <v>-900.31059268728063</v>
      </c>
      <c r="E350">
        <f>-660.669954436991 -45.3010593120574 -308.211675000478</f>
        <v>-1014.1826887495265</v>
      </c>
      <c r="F350">
        <f>-669.382586845008 -45.8513198168865 -396.879805182129</f>
        <v>-1112.1137118440236</v>
      </c>
      <c r="G350">
        <f>-674.004155786498 -44.653934016209 -485.848645820087</f>
        <v>-1204.5067356227939</v>
      </c>
      <c r="H350">
        <f>-676.162170197133 -41.1551141123355 -610.363209225827</f>
        <v>-1327.6804935352955</v>
      </c>
      <c r="I350">
        <f>-643.428363605554 -33.3647906878302 -686.342423643294</f>
        <v>-1363.1355779366781</v>
      </c>
      <c r="J350">
        <f>-679.874926310171 -15.3939626625252 -554.722563973078</f>
        <v>-1249.9914529457742</v>
      </c>
      <c r="K350" t="s">
        <v>3807</v>
      </c>
      <c r="L350" t="s">
        <v>3808</v>
      </c>
      <c r="M350" t="s">
        <v>3809</v>
      </c>
      <c r="N350">
        <f>-670.550197959992 -69.9955426493192 -556.418461803937</f>
        <v>-1296.9642024132481</v>
      </c>
      <c r="O350">
        <f>-652.407431921155 -203.709052882287 -530.141109449506</f>
        <v>-1386.2575942529479</v>
      </c>
      <c r="P350">
        <f>-680.573901140007 -263.174788733213 -243.328077150407</f>
        <v>-1187.0767670236269</v>
      </c>
      <c r="Q350">
        <f>-502.673881720618 -126.473166928412 -331.163612662729</f>
        <v>-960.31066131175908</v>
      </c>
      <c r="R350" t="s">
        <v>3810</v>
      </c>
      <c r="S350" t="s">
        <v>3811</v>
      </c>
      <c r="T350" t="s">
        <v>3812</v>
      </c>
      <c r="U350" t="s">
        <v>3813</v>
      </c>
      <c r="V350">
        <f>-601.032380462793 -128.732619737773 -97.2872600297263</f>
        <v>-827.05226023029229</v>
      </c>
      <c r="W350" t="s">
        <v>3814</v>
      </c>
      <c r="X350" t="s">
        <v>3815</v>
      </c>
      <c r="Y350" t="s">
        <v>3816</v>
      </c>
    </row>
    <row r="351" spans="1:25" x14ac:dyDescent="0.3">
      <c r="A351">
        <v>17500</v>
      </c>
      <c r="B351" t="s">
        <v>3817</v>
      </c>
      <c r="C351">
        <f>-617.953298119386 -34.5130428382349 -98.5820370863365</f>
        <v>-751.04837804395743</v>
      </c>
      <c r="D351">
        <f>-646.435477795604 -42.6378638955109 -210.559608035729</f>
        <v>-899.63294972684389</v>
      </c>
      <c r="E351">
        <f>-660.166621133114 -45.0810882374772 -308.192358012529</f>
        <v>-1013.4400673831201</v>
      </c>
      <c r="F351">
        <f>-668.853125830286 -45.5898898347464 -396.86314635157</f>
        <v>-1111.3061620166022</v>
      </c>
      <c r="G351">
        <f>-673.452019927621 -44.343965533616 -485.83249806282</f>
        <v>-1203.6284835240569</v>
      </c>
      <c r="H351">
        <f>-675.582299837927 -40.7692950856851 -610.345605919393</f>
        <v>-1326.6972008430052</v>
      </c>
      <c r="I351">
        <f>-642.850723238837 -32.9259344257612 -686.320294656896</f>
        <v>-1362.096952321494</v>
      </c>
      <c r="J351">
        <f>-679.306071357489 -15.041761422837 -554.690070786849</f>
        <v>-1249.0379035671749</v>
      </c>
      <c r="K351" t="s">
        <v>3818</v>
      </c>
      <c r="L351" t="s">
        <v>3819</v>
      </c>
      <c r="M351" t="s">
        <v>3820</v>
      </c>
      <c r="N351">
        <f>-669.98362556868 -69.6427957129843 -556.417058376545</f>
        <v>-1296.0434796582094</v>
      </c>
      <c r="O351">
        <f>-651.854076840494 -203.368609370059 -530.204310742807</f>
        <v>-1385.4269969533602</v>
      </c>
      <c r="P351">
        <f>-680.049138689964 -262.993481339189 -243.427202989517</f>
        <v>-1186.46982301867</v>
      </c>
      <c r="Q351">
        <f>-502.101523804529 -126.294526478159 -331.170501369379</f>
        <v>-959.56655165206689</v>
      </c>
      <c r="R351" t="s">
        <v>3821</v>
      </c>
      <c r="S351" t="s">
        <v>3822</v>
      </c>
      <c r="T351" t="s">
        <v>3823</v>
      </c>
      <c r="U351" t="s">
        <v>3824</v>
      </c>
      <c r="V351">
        <f>-600.658502620525 -128.565535154588 -97.2474667319188</f>
        <v>-826.47150450703191</v>
      </c>
      <c r="W351" t="s">
        <v>3825</v>
      </c>
      <c r="X351" t="s">
        <v>3826</v>
      </c>
      <c r="Y351" t="s">
        <v>3827</v>
      </c>
    </row>
    <row r="352" spans="1:25" x14ac:dyDescent="0.3">
      <c r="A352">
        <v>17550</v>
      </c>
      <c r="B352" t="s">
        <v>3828</v>
      </c>
      <c r="C352">
        <f>-617.745445323541 -34.4729846578671 -98.5589995102866</f>
        <v>-750.77742949169476</v>
      </c>
      <c r="D352">
        <f>-646.196665357891 -42.5788295579396 -210.545812929221</f>
        <v>-899.32130784505159</v>
      </c>
      <c r="E352">
        <f>-659.897364944393 -45.0063719871822 -308.183186226398</f>
        <v>-1013.0869231579732</v>
      </c>
      <c r="F352">
        <f>-668.55516840797 -45.500763559639 -396.857039774439</f>
        <v>-1110.9129717420481</v>
      </c>
      <c r="G352">
        <f>-673.124425614724 -44.2396661888106 -485.82755311793</f>
        <v>-1203.1916449214646</v>
      </c>
      <c r="H352">
        <f>-675.212365526622 -40.64246022168 -610.340735682246</f>
        <v>-1326.195561430548</v>
      </c>
      <c r="I352">
        <f>-642.471139849944 -32.7815435305424 -686.309470200172</f>
        <v>-1361.5621535806586</v>
      </c>
      <c r="J352">
        <f>-678.956863736689 -14.9253208553182 -554.681656755689</f>
        <v>-1248.5638413476963</v>
      </c>
      <c r="K352" t="s">
        <v>3829</v>
      </c>
      <c r="L352" t="s">
        <v>3830</v>
      </c>
      <c r="M352" t="s">
        <v>3831</v>
      </c>
      <c r="N352">
        <f>-669.630177509591 -69.5253856420796 -556.415536148272</f>
        <v>-1295.5710992999427</v>
      </c>
      <c r="O352">
        <f>-651.497794270692 -203.256028801449 -530.227694616981</f>
        <v>-1384.981517689122</v>
      </c>
      <c r="P352">
        <f>-679.728519669336 -262.947165986359 -243.467760720755</f>
        <v>-1186.1434463764499</v>
      </c>
      <c r="Q352">
        <f>-501.759783168871 -126.212618650448 -331.112844026225</f>
        <v>-959.08524584554402</v>
      </c>
      <c r="R352" t="s">
        <v>3832</v>
      </c>
      <c r="S352" t="s">
        <v>3833</v>
      </c>
      <c r="T352" t="s">
        <v>3834</v>
      </c>
      <c r="U352" t="s">
        <v>3835</v>
      </c>
      <c r="V352">
        <f>-600.514234106097 -128.57590107989 -97.2223814830412</f>
        <v>-826.31251666902824</v>
      </c>
      <c r="W352" t="s">
        <v>3836</v>
      </c>
      <c r="X352" t="s">
        <v>3837</v>
      </c>
      <c r="Y352" t="s">
        <v>3838</v>
      </c>
    </row>
    <row r="353" spans="1:25" x14ac:dyDescent="0.3">
      <c r="A353">
        <v>17600</v>
      </c>
      <c r="B353" t="s">
        <v>3839</v>
      </c>
      <c r="C353">
        <f>-617.39935277282 -34.3034571722217 -98.5203720418432</f>
        <v>-750.22318198688481</v>
      </c>
      <c r="D353">
        <f>-645.798457841538 -42.3960971703634 -210.521424782429</f>
        <v>-898.71597979433045</v>
      </c>
      <c r="E353">
        <f>-659.434644268473 -44.8131050662266 -308.16802946431</f>
        <v>-1012.4157787990096</v>
      </c>
      <c r="F353">
        <f>-668.026381959439 -45.2974102249439 -396.848347542959</f>
        <v>-1110.1721397273418</v>
      </c>
      <c r="G353">
        <f>-672.521836611617 -44.0259346962637 -485.822548352548</f>
        <v>-1202.3703196604288</v>
      </c>
      <c r="H353">
        <f>-674.498722736669 -40.413853032494 -610.33692003114</f>
        <v>-1325.2494958003031</v>
      </c>
      <c r="I353">
        <f>-641.7088162666 -32.5471987240765 -686.284159043231</f>
        <v>-1360.5401740339075</v>
      </c>
      <c r="J353">
        <f>-678.283778195236 -14.7017141395086 -554.678501122031</f>
        <v>-1247.6639934567756</v>
      </c>
      <c r="K353" t="s">
        <v>3840</v>
      </c>
      <c r="L353" t="s">
        <v>3841</v>
      </c>
      <c r="M353" t="s">
        <v>3842</v>
      </c>
      <c r="N353">
        <f>-668.973815057495 -69.3048335049012 -556.410255425495</f>
        <v>-1294.6889039878913</v>
      </c>
      <c r="O353">
        <f>-650.904545861473 -203.045789348088 -530.227654190698</f>
        <v>-1384.1779894002589</v>
      </c>
      <c r="P353">
        <f>-679.207205299875 -262.886893255742 -243.506264026251</f>
        <v>-1185.600362581868</v>
      </c>
      <c r="Q353">
        <f>-501.207981632229 -126.121509254794 -331.041003116074</f>
        <v>-958.37049400309706</v>
      </c>
      <c r="R353" t="s">
        <v>3843</v>
      </c>
      <c r="S353" t="s">
        <v>3844</v>
      </c>
      <c r="T353" t="s">
        <v>3845</v>
      </c>
      <c r="U353" t="s">
        <v>3846</v>
      </c>
      <c r="V353">
        <f>-600.262686517096 -128.378227448975 -97.1763113329648</f>
        <v>-825.81722529903573</v>
      </c>
      <c r="W353" t="s">
        <v>3847</v>
      </c>
      <c r="X353" t="s">
        <v>3848</v>
      </c>
      <c r="Y353" t="s">
        <v>3849</v>
      </c>
    </row>
    <row r="354" spans="1:25" x14ac:dyDescent="0.3">
      <c r="A354">
        <v>17650</v>
      </c>
      <c r="B354" t="s">
        <v>3850</v>
      </c>
      <c r="C354">
        <f>-617.265576763436 -34.1236385373577 -98.5068327626462</f>
        <v>-749.89604806343993</v>
      </c>
      <c r="D354">
        <f>-645.627710413488 -42.1930593370475 -210.518785613911</f>
        <v>-898.3395553644466</v>
      </c>
      <c r="E354">
        <f>-659.215964176788 -44.5984371235153 -308.172480707221</f>
        <v>-1011.9868820075243</v>
      </c>
      <c r="F354">
        <f>-667.75794931936 -45.0757306846998 -396.857640779655</f>
        <v>-1109.6913207837149</v>
      </c>
      <c r="G354">
        <f>-672.197049502198 -43.8006127533786 -485.834632760171</f>
        <v>-1201.8322950157476</v>
      </c>
      <c r="H354">
        <f>-674.088332746283 -40.1878422324148 -610.35042407713</f>
        <v>-1324.6265990558277</v>
      </c>
      <c r="I354">
        <f>-641.249184507922 -32.3289179241888 -686.277080222563</f>
        <v>-1359.8551826546736</v>
      </c>
      <c r="J354">
        <f>-677.900073276395 -14.4741668911392 -554.694409124842</f>
        <v>-1247.0686492923762</v>
      </c>
      <c r="K354" t="s">
        <v>3851</v>
      </c>
      <c r="L354" t="s">
        <v>3852</v>
      </c>
      <c r="M354" t="s">
        <v>3853</v>
      </c>
      <c r="N354">
        <f>-668.612142930256 -69.0811157586375 -556.419924090346</f>
        <v>-1294.1131827792394</v>
      </c>
      <c r="O354">
        <f>-650.623184348006 -202.82809532367 -530.215798015074</f>
        <v>-1383.66707768675</v>
      </c>
      <c r="P354">
        <f>-679.054058276264 -262.687369589719 -243.510743661556</f>
        <v>-1185.2521715275391</v>
      </c>
      <c r="Q354">
        <f>-500.98361462945 -125.973238806617 -330.981108867516</f>
        <v>-957.93796230358305</v>
      </c>
      <c r="R354" t="s">
        <v>3854</v>
      </c>
      <c r="S354" t="s">
        <v>3855</v>
      </c>
      <c r="T354" t="s">
        <v>3856</v>
      </c>
      <c r="U354" t="s">
        <v>3857</v>
      </c>
      <c r="V354">
        <f>-600.148166004579 -128.16793235387 -97.1768940499013</f>
        <v>-825.49299240835035</v>
      </c>
      <c r="W354" t="s">
        <v>3858</v>
      </c>
      <c r="X354" t="s">
        <v>3859</v>
      </c>
      <c r="Y354" t="s">
        <v>3860</v>
      </c>
    </row>
    <row r="355" spans="1:25" x14ac:dyDescent="0.3">
      <c r="A355">
        <v>17700</v>
      </c>
      <c r="B355" t="s">
        <v>3861</v>
      </c>
      <c r="C355">
        <f>-617.014594652308 -33.6495047603598 -98.4847804896953</f>
        <v>-749.14887990236309</v>
      </c>
      <c r="D355">
        <f>-645.308283632995 -41.6854030811428 -210.516559962726</f>
        <v>-897.51024667686374</v>
      </c>
      <c r="E355">
        <f>-658.766203478134 -44.0715681376804 -308.188718198917</f>
        <v>-1011.0264898147313</v>
      </c>
      <c r="F355">
        <f>-667.161428349824 -44.5346071554166 -396.887907105092</f>
        <v>-1108.5839426103325</v>
      </c>
      <c r="G355">
        <f>-671.424994217703 -43.2488041876343 -485.873248433665</f>
        <v>-1200.5470468390022</v>
      </c>
      <c r="H355">
        <f>-673.040806428487 -39.6241608035098 -610.392601814072</f>
        <v>-1323.0575690460687</v>
      </c>
      <c r="I355">
        <f>-640.039462707288 -31.7953969749447 -686.251980123018</f>
        <v>-1358.0868398052507</v>
      </c>
      <c r="J355">
        <f>-676.957693285907 -13.9128381160397 -554.742996391124</f>
        <v>-1245.6135277930707</v>
      </c>
      <c r="K355" t="s">
        <v>3862</v>
      </c>
      <c r="L355" t="s">
        <v>3863</v>
      </c>
      <c r="M355" t="s">
        <v>3864</v>
      </c>
      <c r="N355">
        <f>-667.701835008244 -68.5257573214582 -556.452827553154</f>
        <v>-1292.6804198828561</v>
      </c>
      <c r="O355">
        <f>-649.881039746327 -202.285908869165 -530.195219768837</f>
        <v>-1382.3621683843289</v>
      </c>
      <c r="P355">
        <f>-678.842151555893 -262.070965496693 -243.527942202302</f>
        <v>-1184.4410592548879</v>
      </c>
      <c r="Q355">
        <f>-500.497654783219 -125.586411799699 -330.798236485174</f>
        <v>-956.88230306809203</v>
      </c>
      <c r="R355" t="s">
        <v>3865</v>
      </c>
      <c r="S355" t="s">
        <v>3866</v>
      </c>
      <c r="T355" t="s">
        <v>3867</v>
      </c>
      <c r="U355" t="s">
        <v>3868</v>
      </c>
      <c r="V355">
        <f>-599.951175666519 -127.714477949687 -97.1624691964321</f>
        <v>-824.82812281263807</v>
      </c>
      <c r="W355" t="s">
        <v>3869</v>
      </c>
      <c r="X355" t="s">
        <v>3870</v>
      </c>
      <c r="Y355" t="s">
        <v>3871</v>
      </c>
    </row>
    <row r="356" spans="1:25" x14ac:dyDescent="0.3">
      <c r="A356">
        <v>17750</v>
      </c>
      <c r="B356" t="s">
        <v>3872</v>
      </c>
      <c r="C356">
        <f>-616.893046531737 -33.5022241652987 -98.4726465072966</f>
        <v>-748.86791720433234</v>
      </c>
      <c r="D356">
        <f>-645.150643371982 -41.5165903161069 -210.515070911018</f>
        <v>-897.18230459910694</v>
      </c>
      <c r="E356">
        <f>-658.520857872778 -43.884428618052 -308.199660410532</f>
        <v>-1010.6049469013619</v>
      </c>
      <c r="F356">
        <f>-666.813783458784 -44.3310547869723 -396.908567095728</f>
        <v>-1108.0534053414844</v>
      </c>
      <c r="G356">
        <f>-670.951830623098 -43.0291725873938 -485.899664337829</f>
        <v>-1199.8806675483206</v>
      </c>
      <c r="H356">
        <f>-672.367969651499 -39.3827741993837 -610.420905548654</f>
        <v>-1322.1716493995368</v>
      </c>
      <c r="I356">
        <f>-639.246441413826 -31.569999751245 -686.229478088482</f>
        <v>-1357.0459192535529</v>
      </c>
      <c r="J356">
        <f>-676.363621062827 -13.6793074300506 -554.77299900064</f>
        <v>-1244.8159274935174</v>
      </c>
      <c r="K356" t="s">
        <v>3873</v>
      </c>
      <c r="L356" t="s">
        <v>3874</v>
      </c>
      <c r="M356" t="s">
        <v>3875</v>
      </c>
      <c r="N356">
        <f>-667.125905444448 -68.2954790870697 -556.477473929609</f>
        <v>-1291.8988584611266</v>
      </c>
      <c r="O356">
        <f>-649.399000109546 -202.065353903214 -530.207428807402</f>
        <v>-1381.6717828201622</v>
      </c>
      <c r="P356">
        <f>-678.654374402886 -261.842698528062 -243.568299949833</f>
        <v>-1184.0653728807811</v>
      </c>
      <c r="Q356">
        <f>-500.152826306209 -125.468163480057 -330.689280654438</f>
        <v>-956.31027044070402</v>
      </c>
      <c r="R356" t="s">
        <v>3876</v>
      </c>
      <c r="S356" t="s">
        <v>3877</v>
      </c>
      <c r="T356" t="s">
        <v>3878</v>
      </c>
      <c r="U356" t="s">
        <v>3879</v>
      </c>
      <c r="V356">
        <f>-599.864015716227 -127.576329165356 -97.1504379429327</f>
        <v>-824.59078282451571</v>
      </c>
      <c r="W356" t="s">
        <v>3880</v>
      </c>
      <c r="X356" t="s">
        <v>3881</v>
      </c>
      <c r="Y356" t="s">
        <v>3882</v>
      </c>
    </row>
    <row r="357" spans="1:25" x14ac:dyDescent="0.3">
      <c r="A357">
        <v>17800</v>
      </c>
      <c r="B357" t="s">
        <v>3883</v>
      </c>
      <c r="C357">
        <f>-616.717056764291 -33.1654798467675 -98.4573877671182</f>
        <v>-748.33992437817676</v>
      </c>
      <c r="D357">
        <f>-644.847822751649 -41.1283878254128 -210.535373456226</f>
        <v>-896.51158403328782</v>
      </c>
      <c r="E357">
        <f>-658.025511697336 -43.4680019294684 -308.246806095228</f>
        <v>-1009.7403197220324</v>
      </c>
      <c r="F357">
        <f>-666.110382077052 -43.8957871847324 -396.975049903578</f>
        <v>-1106.9812191653623</v>
      </c>
      <c r="G357">
        <f>-670.006201346904 -42.5824491574194 -485.976967930642</f>
        <v>-1198.5656184349655</v>
      </c>
      <c r="H357">
        <f>-671.04824025233 -38.9286984649827 -610.501563939427</f>
        <v>-1320.4785026567397</v>
      </c>
      <c r="I357">
        <f>-637.658376150747 -31.1675705185221 -686.197659190691</f>
        <v>-1355.0236058599601</v>
      </c>
      <c r="J357">
        <f>-675.178243380974 -13.2230024422356 -554.864656418634</f>
        <v>-1243.2659022418436</v>
      </c>
      <c r="K357" t="s">
        <v>3884</v>
      </c>
      <c r="L357" t="s">
        <v>3885</v>
      </c>
      <c r="M357" t="s">
        <v>3886</v>
      </c>
      <c r="N357">
        <f>-666.001151662116 -67.8501830680011 -556.54426291177</f>
        <v>-1290.395597641887</v>
      </c>
      <c r="O357">
        <f>-648.521465786972 -201.641273085407 -530.232561230507</f>
        <v>-1380.395300102886</v>
      </c>
      <c r="P357">
        <f>-678.389022750162 -261.541142407371 -243.682067666328</f>
        <v>-1183.6122328238609</v>
      </c>
      <c r="Q357">
        <f>-499.581251033866 -125.369957688573 -330.49257951377</f>
        <v>-955.443788236209</v>
      </c>
      <c r="R357" t="s">
        <v>3887</v>
      </c>
      <c r="S357" t="s">
        <v>3888</v>
      </c>
      <c r="T357" t="s">
        <v>3889</v>
      </c>
      <c r="U357" t="s">
        <v>3890</v>
      </c>
      <c r="V357">
        <f>-599.793816095037 -127.207059724931 -97.1197530739624</f>
        <v>-824.12062889393042</v>
      </c>
      <c r="W357" t="s">
        <v>3891</v>
      </c>
      <c r="X357" t="s">
        <v>3892</v>
      </c>
      <c r="Y357" t="s">
        <v>3893</v>
      </c>
    </row>
    <row r="358" spans="1:25" x14ac:dyDescent="0.3">
      <c r="A358">
        <v>17850</v>
      </c>
      <c r="B358" t="s">
        <v>3894</v>
      </c>
      <c r="C358">
        <f>-616.676025923726 -32.9172905135113 -98.4406273757673</f>
        <v>-748.03394381300461</v>
      </c>
      <c r="D358">
        <f>-644.734028483212 -40.8426302822688 -210.539483537527</f>
        <v>-896.11614230300779</v>
      </c>
      <c r="E358">
        <f>-657.811798373422 -43.1612541216499 -308.264938869791</f>
        <v>-1009.2379913648629</v>
      </c>
      <c r="F358">
        <f>-665.791585099315 -43.5742614431273 -397.002713475688</f>
        <v>-1106.3685600181302</v>
      </c>
      <c r="G358">
        <f>-669.567462123008 -42.2503376924892 -486.009569727728</f>
        <v>-1197.8273695432251</v>
      </c>
      <c r="H358">
        <f>-670.426397375599 -38.5863511633486 -610.535315559351</f>
        <v>-1319.5480640982987</v>
      </c>
      <c r="I358">
        <f>-636.899822401989 -30.8462213393407 -686.173240644715</f>
        <v>-1353.9192843860446</v>
      </c>
      <c r="J358">
        <f>-674.62505687741 -12.8828955114975 -554.902429923676</f>
        <v>-1242.4103823125834</v>
      </c>
      <c r="K358" t="s">
        <v>3895</v>
      </c>
      <c r="L358" t="s">
        <v>3896</v>
      </c>
      <c r="M358" t="s">
        <v>3897</v>
      </c>
      <c r="N358">
        <f>-665.47180731495 -67.5144743153392 -556.573031987027</f>
        <v>-1289.5593136173161</v>
      </c>
      <c r="O358">
        <f>-648.111495000534 -201.321292139005 -530.23698179936</f>
        <v>-1379.6697689388989</v>
      </c>
      <c r="P358">
        <f>-678.33861283556 -261.28541680946 -243.737722591971</f>
        <v>-1183.3617522369909</v>
      </c>
      <c r="Q358">
        <f>-499.358788492188 -125.228447163943 -330.372462744923</f>
        <v>-954.95969840105408</v>
      </c>
      <c r="R358" t="s">
        <v>3898</v>
      </c>
      <c r="S358" t="s">
        <v>3899</v>
      </c>
      <c r="T358" t="s">
        <v>3900</v>
      </c>
      <c r="U358" t="s">
        <v>3901</v>
      </c>
      <c r="V358">
        <f>-599.794884732424 -126.931164381014 -97.1155157336631</f>
        <v>-823.84156484710104</v>
      </c>
      <c r="W358" t="s">
        <v>3902</v>
      </c>
      <c r="X358" t="s">
        <v>3903</v>
      </c>
      <c r="Y358" t="s">
        <v>3904</v>
      </c>
    </row>
    <row r="359" spans="1:25" x14ac:dyDescent="0.3">
      <c r="A359">
        <v>17900</v>
      </c>
      <c r="B359" t="s">
        <v>3905</v>
      </c>
      <c r="C359">
        <f>-616.606551803539 -32.4020074255029 -98.4321142981328</f>
        <v>-747.44067352717468</v>
      </c>
      <c r="D359">
        <f>-644.549499551118 -40.2349934935066 -210.566263343208</f>
        <v>-895.35075638783258</v>
      </c>
      <c r="E359">
        <f>-657.432755421352 -42.4949058910686 -308.318886833129</f>
        <v>-1008.2465481455496</v>
      </c>
      <c r="F359">
        <f>-665.198323637513 -42.8615805214877 -397.075785427815</f>
        <v>-1105.1356895868157</v>
      </c>
      <c r="G359">
        <f>-668.721926343451 -41.4983942702045 -486.092415254314</f>
        <v>-1196.3127358679694</v>
      </c>
      <c r="H359">
        <f>-669.188949927947 -37.7860411469042 -610.618863172217</f>
        <v>-1317.5938542470681</v>
      </c>
      <c r="I359">
        <f>-635.378482787045 -30.0585676310106 -686.131511185911</f>
        <v>-1351.5685616039666</v>
      </c>
      <c r="J359">
        <f>-673.54655020296 -12.1015714025946 -554.989490394333</f>
        <v>-1240.6376119998877</v>
      </c>
      <c r="K359" t="s">
        <v>3906</v>
      </c>
      <c r="L359" t="s">
        <v>3907</v>
      </c>
      <c r="M359" t="s">
        <v>3908</v>
      </c>
      <c r="N359">
        <f>-664.420247852693 -66.7377686453997 -556.652440326405</f>
        <v>-1287.8104568244976</v>
      </c>
      <c r="O359">
        <f>-647.244350821499 -200.561743050975 -530.29266638153</f>
        <v>-1378.098760254004</v>
      </c>
      <c r="P359">
        <f>-678.221023261807 -260.578411683907 -243.884326706681</f>
        <v>-1182.6837616523949</v>
      </c>
      <c r="Q359">
        <f>-498.939523896253 -124.714416607306 -330.197573872943</f>
        <v>-953.85151437650188</v>
      </c>
      <c r="R359" t="s">
        <v>3909</v>
      </c>
      <c r="S359" t="s">
        <v>3910</v>
      </c>
      <c r="T359" t="s">
        <v>3911</v>
      </c>
      <c r="U359" t="s">
        <v>3912</v>
      </c>
      <c r="V359">
        <f>-599.852694959788 -126.380334290924 -97.1356175414886</f>
        <v>-823.36864679220059</v>
      </c>
      <c r="W359" t="s">
        <v>3913</v>
      </c>
      <c r="X359" t="s">
        <v>3914</v>
      </c>
      <c r="Y359" t="s">
        <v>3915</v>
      </c>
    </row>
    <row r="360" spans="1:25" x14ac:dyDescent="0.3">
      <c r="A360">
        <v>17950</v>
      </c>
      <c r="B360" t="s">
        <v>3916</v>
      </c>
      <c r="C360">
        <f>-616.598431002468 -32.0890951287311 -98.4303235367056</f>
        <v>-747.11784966790469</v>
      </c>
      <c r="D360">
        <f>-644.467321305333 -39.8658852122244 -210.586698283794</f>
        <v>-894.91990480135144</v>
      </c>
      <c r="E360">
        <f>-657.245879333695 -42.0939156058448 -308.353777341017</f>
        <v>-1007.6935722805569</v>
      </c>
      <c r="F360">
        <f>-664.900361246342 -42.4379958182467 -397.120607298344</f>
        <v>-1104.4589643629326</v>
      </c>
      <c r="G360">
        <f>-668.296633711887 -41.0584940210863 -486.141962476476</f>
        <v>-1195.4970902094492</v>
      </c>
      <c r="H360">
        <f>-668.568731656623 -37.3299900844161 -610.668407168162</f>
        <v>-1316.5671289092011</v>
      </c>
      <c r="I360">
        <f>-634.616158016786 -29.6093238309772 -686.117921830599</f>
        <v>-1350.3434036783624</v>
      </c>
      <c r="J360">
        <f>-673.003954166019 -11.6511223408904 -555.04253874001</f>
        <v>-1239.6976152469192</v>
      </c>
      <c r="K360" t="s">
        <v>3917</v>
      </c>
      <c r="L360" t="s">
        <v>3918</v>
      </c>
      <c r="M360" t="s">
        <v>3919</v>
      </c>
      <c r="N360">
        <f>-663.894018356136 -66.2903166676354 -556.698368017724</f>
        <v>-1286.8827030414955</v>
      </c>
      <c r="O360">
        <f>-646.791408494739 -200.123318497023 -530.336668126198</f>
        <v>-1377.2513951179599</v>
      </c>
      <c r="P360">
        <f>-678.097929241157 -260.171237862868 -243.970899174697</f>
        <v>-1182.240066278722</v>
      </c>
      <c r="Q360">
        <f>-498.677983347381 -124.374194999572 -330.101756374192</f>
        <v>-953.15393472114488</v>
      </c>
      <c r="R360" t="s">
        <v>3920</v>
      </c>
      <c r="S360" t="s">
        <v>3921</v>
      </c>
      <c r="T360" t="s">
        <v>3922</v>
      </c>
      <c r="U360" t="s">
        <v>3923</v>
      </c>
      <c r="V360">
        <f>-599.884435501632 -126.035558104899 -97.1493397067496</f>
        <v>-823.06933331328059</v>
      </c>
      <c r="W360" t="s">
        <v>3924</v>
      </c>
      <c r="X360" t="s">
        <v>3925</v>
      </c>
      <c r="Y360" t="s">
        <v>3926</v>
      </c>
    </row>
    <row r="361" spans="1:25" x14ac:dyDescent="0.3">
      <c r="A361">
        <v>18000</v>
      </c>
      <c r="B361" t="s">
        <v>3927</v>
      </c>
      <c r="C361">
        <f>-616.511145965646 -31.7594975703946 -98.3812454753748</f>
        <v>-746.65188901141551</v>
      </c>
      <c r="D361">
        <f>-644.234904396971 -39.4746625789551 -210.57785680328</f>
        <v>-894.28742377920616</v>
      </c>
      <c r="E361">
        <f>-656.82227002506 -41.6374233233751 -308.371170603577</f>
        <v>-1006.8308639520121</v>
      </c>
      <c r="F361">
        <f>-664.277266789404 -41.9172615682214 -397.155214217098</f>
        <v>-1103.3497425747235</v>
      </c>
      <c r="G361">
        <f>-667.447402639619 -40.4683888038246 -486.1837210445</f>
        <v>-1194.0995124879437</v>
      </c>
      <c r="H361">
        <f>-667.375784246578 -36.6381398768697 -610.707432313613</f>
        <v>-1314.7213564370606</v>
      </c>
      <c r="I361">
        <f>-633.170602243952 -28.874879063248 -686.038401167746</f>
        <v>-1348.083882474946</v>
      </c>
      <c r="J361">
        <f>-671.953573018777 -11.0028045281842 -555.07283155942</f>
        <v>-1238.0292091063811</v>
      </c>
      <c r="K361" t="s">
        <v>3928</v>
      </c>
      <c r="L361" t="s">
        <v>3929</v>
      </c>
      <c r="M361" t="s">
        <v>3930</v>
      </c>
      <c r="N361">
        <f>-662.861042507638 -65.6443094243492 -556.748522681443</f>
        <v>-1285.2538746134301</v>
      </c>
      <c r="O361">
        <f>-645.904792429845 -199.503749992466 -530.432257093822</f>
        <v>-1375.8407995161331</v>
      </c>
      <c r="P361">
        <f>-677.727918613562 -259.85822238189 -244.187936965768</f>
        <v>-1181.77407796122</v>
      </c>
      <c r="Q361">
        <f>-498.121324838934 -124.061553848942 -329.929317830631</f>
        <v>-952.11219651850706</v>
      </c>
      <c r="R361" t="s">
        <v>3931</v>
      </c>
      <c r="S361" t="s">
        <v>3932</v>
      </c>
      <c r="T361" t="s">
        <v>3933</v>
      </c>
      <c r="U361" t="s">
        <v>3934</v>
      </c>
      <c r="V361">
        <f>-599.819161905886 -125.805039972256 -97.1422807924445</f>
        <v>-822.76648267058647</v>
      </c>
      <c r="W361" t="s">
        <v>3935</v>
      </c>
      <c r="X361" t="s">
        <v>3936</v>
      </c>
      <c r="Y361" t="s">
        <v>3937</v>
      </c>
    </row>
    <row r="362" spans="1:25" x14ac:dyDescent="0.3">
      <c r="A362">
        <v>18050</v>
      </c>
      <c r="B362" t="s">
        <v>3938</v>
      </c>
      <c r="C362">
        <f>-616.446053254468 -31.6466593271145 -98.3624492806634</f>
        <v>-746.45516186224597</v>
      </c>
      <c r="D362">
        <f>-644.081995590464 -39.3408366756025 -210.58219046121</f>
        <v>-894.00502272727647</v>
      </c>
      <c r="E362">
        <f>-656.584220080882 -41.4904445308675 -308.386742170344</f>
        <v>-1006.4614067820935</v>
      </c>
      <c r="F362">
        <f>-663.958196388217 -41.7604789229042 -397.177399426813</f>
        <v>-1102.8960747379342</v>
      </c>
      <c r="G362">
        <f>-667.043452477243 -40.3042299454171 -486.209052233167</f>
        <v>-1193.5567346558271</v>
      </c>
      <c r="H362">
        <f>-666.849132207671 -36.4662407356434 -610.732230539948</f>
        <v>-1314.0476034832623</v>
      </c>
      <c r="I362">
        <f>-632.53539729912 -28.6888327491404 -686.012478525112</f>
        <v>-1347.2367085733722</v>
      </c>
      <c r="J362">
        <f>-671.472695062858 -10.8330580278696 -555.100620659126</f>
        <v>-1237.4063737498536</v>
      </c>
      <c r="K362" t="s">
        <v>3939</v>
      </c>
      <c r="L362" t="s">
        <v>3940</v>
      </c>
      <c r="M362" t="s">
        <v>3941</v>
      </c>
      <c r="N362">
        <f>-662.396578818681 -65.4774127194045 -556.770659228652</f>
        <v>-1284.6446507667374</v>
      </c>
      <c r="O362">
        <f>-645.492501827296 -199.343037815596 -530.467081345124</f>
        <v>-1375.3026209880159</v>
      </c>
      <c r="P362">
        <f>-677.538120100099 -259.890105439582 -244.288236696481</f>
        <v>-1181.716462236162</v>
      </c>
      <c r="Q362">
        <f>-497.837302333486 -124.113070379849 -329.863331960853</f>
        <v>-951.81370467418799</v>
      </c>
      <c r="R362" t="s">
        <v>3942</v>
      </c>
      <c r="S362" t="s">
        <v>3943</v>
      </c>
      <c r="T362" t="s">
        <v>3944</v>
      </c>
      <c r="U362" t="s">
        <v>3945</v>
      </c>
      <c r="V362">
        <f>-599.76303106707 -125.700656632801 -97.1288297404587</f>
        <v>-822.59251744032974</v>
      </c>
      <c r="W362" t="s">
        <v>3946</v>
      </c>
      <c r="X362" t="s">
        <v>3947</v>
      </c>
      <c r="Y362" t="s">
        <v>3948</v>
      </c>
    </row>
    <row r="363" spans="1:25" x14ac:dyDescent="0.3">
      <c r="A363">
        <v>18100</v>
      </c>
      <c r="B363" t="s">
        <v>3949</v>
      </c>
      <c r="C363">
        <f>-616.142619145583 -31.2687567151688 -98.3644390083858</f>
        <v>-745.77581486913766</v>
      </c>
      <c r="D363">
        <f>-643.636630565296 -38.8623277744423 -210.625928534285</f>
        <v>-893.12488687402322</v>
      </c>
      <c r="E363">
        <f>-656.028364752715 -41.0094629301832 -308.444542448806</f>
        <v>-1005.4823701317041</v>
      </c>
      <c r="F363">
        <f>-663.307397047313 -41.3116287570965 -397.242986675081</f>
        <v>-1101.8620124794904</v>
      </c>
      <c r="G363">
        <f>-666.302602898955 -39.9226223608573 -486.278710324524</f>
        <v>-1192.5039355843364</v>
      </c>
      <c r="H363">
        <f>-665.987595261263 -36.2163143921923 -610.805701284115</f>
        <v>-1313.0096109375704</v>
      </c>
      <c r="I363">
        <f>-631.484288557072 -28.4692884268086 -686.002272896153</f>
        <v>-1345.9558498800336</v>
      </c>
      <c r="J363">
        <f>-670.61440514634 -10.515949348787 -555.205308034731</f>
        <v>-1236.3356625298579</v>
      </c>
      <c r="K363" t="s">
        <v>3950</v>
      </c>
      <c r="L363" t="s">
        <v>3951</v>
      </c>
      <c r="M363" t="s">
        <v>3952</v>
      </c>
      <c r="N363">
        <f>-661.638021549798 -65.1785966809955 -556.809591468108</f>
        <v>-1283.6262096989017</v>
      </c>
      <c r="O363">
        <f>-644.95902424924 -199.06353057343 -530.452225980651</f>
        <v>-1374.4747808033208</v>
      </c>
      <c r="P363">
        <f>-677.354172613154 -259.665263393434 -244.324345037823</f>
        <v>-1181.3437810444109</v>
      </c>
      <c r="Q363">
        <f>-497.327644964575 -124.19901925777 -329.707133560547</f>
        <v>-951.233797782892</v>
      </c>
      <c r="R363" t="s">
        <v>3953</v>
      </c>
      <c r="S363" t="s">
        <v>3954</v>
      </c>
      <c r="T363" t="s">
        <v>3955</v>
      </c>
      <c r="U363" t="s">
        <v>3956</v>
      </c>
      <c r="V363">
        <f>-599.549744353533 -125.235469018227 -97.1604066945467</f>
        <v>-821.94562006630679</v>
      </c>
      <c r="W363" t="s">
        <v>3957</v>
      </c>
      <c r="X363" t="s">
        <v>3958</v>
      </c>
      <c r="Y363" t="s">
        <v>3959</v>
      </c>
    </row>
    <row r="364" spans="1:25" x14ac:dyDescent="0.3">
      <c r="A364">
        <v>18150</v>
      </c>
      <c r="B364" t="s">
        <v>3960</v>
      </c>
      <c r="C364">
        <f>-615.899245393265 -31.0779038243934 -98.3407646115912</f>
        <v>-745.31791382924962</v>
      </c>
      <c r="D364">
        <f>-643.342370922964 -38.589579437609 -210.620143389102</f>
        <v>-892.55209374967512</v>
      </c>
      <c r="E364">
        <f>-655.686694933676 -40.7378747823388 -308.444906312855</f>
        <v>-1004.8694760288698</v>
      </c>
      <c r="F364">
        <f>-662.92188243395 -41.069154966711 -397.246737643569</f>
        <v>-1101.2377750442301</v>
      </c>
      <c r="G364">
        <f>-665.872060210887 -39.7383229019745 -486.284691601462</f>
        <v>-1191.8950747143235</v>
      </c>
      <c r="H364">
        <f>-665.492943629597 -36.143695289622 -610.814861757281</f>
        <v>-1312.4515006765</v>
      </c>
      <c r="I364">
        <f>-630.905748666494 -28.4452700741449 -685.977990007735</f>
        <v>-1345.3290087483738</v>
      </c>
      <c r="J364">
        <f>-670.10006850323 -10.3854620977802 -555.239661279267</f>
        <v>-1235.7251918802772</v>
      </c>
      <c r="K364" t="s">
        <v>3961</v>
      </c>
      <c r="L364" t="s">
        <v>3962</v>
      </c>
      <c r="M364" t="s">
        <v>3963</v>
      </c>
      <c r="N364">
        <f>-661.21950137123 -65.0654510874509 -556.790934292614</f>
        <v>-1283.075886751295</v>
      </c>
      <c r="O364">
        <f>-644.748048631584 -198.967522372136 -530.350756909284</f>
        <v>-1374.066327913004</v>
      </c>
      <c r="P364">
        <f>-677.304673515367 -259.401179866836 -244.205575296622</f>
        <v>-1180.9114286788249</v>
      </c>
      <c r="Q364">
        <f>-497.060688560325 -124.236423386743 -329.607296055047</f>
        <v>-950.90440800211491</v>
      </c>
      <c r="R364" t="s">
        <v>3964</v>
      </c>
      <c r="S364" t="s">
        <v>3965</v>
      </c>
      <c r="T364" t="s">
        <v>3966</v>
      </c>
      <c r="U364" t="s">
        <v>3967</v>
      </c>
      <c r="V364">
        <f>-599.43855173904 -125.020306003092 -97.1592814269214</f>
        <v>-821.61813916905351</v>
      </c>
      <c r="W364" t="s">
        <v>3968</v>
      </c>
      <c r="X364" t="s">
        <v>3969</v>
      </c>
      <c r="Y364" t="s">
        <v>3970</v>
      </c>
    </row>
    <row r="365" spans="1:25" x14ac:dyDescent="0.3">
      <c r="A365">
        <v>18200</v>
      </c>
      <c r="B365" t="s">
        <v>3971</v>
      </c>
      <c r="C365">
        <f>-615.236092174626 -30.701949387148 -98.2795850297005</f>
        <v>-744.21762659147453</v>
      </c>
      <c r="D365">
        <f>-642.598839494204 -38.0399159802848 -210.590143820627</f>
        <v>-891.22889929511575</v>
      </c>
      <c r="E365">
        <f>-654.826401111768 -40.1597472972817 -308.430066980152</f>
        <v>-1003.4162153892016</v>
      </c>
      <c r="F365">
        <f>-661.937123119253 -40.5119199653723 -397.241968651256</f>
        <v>-1099.6910117358811</v>
      </c>
      <c r="G365">
        <f>-664.743797180608 -39.2515641470111 -486.28553794608</f>
        <v>-1190.2808992736991</v>
      </c>
      <c r="H365">
        <f>-664.143938287719 -35.808059942555 -610.819121223862</f>
        <v>-1310.7711194541362</v>
      </c>
      <c r="I365">
        <f>-629.411259682156 -28.2588191736231 -685.930175764283</f>
        <v>-1343.6002546200621</v>
      </c>
      <c r="J365">
        <f>-668.694695105576 -9.95791677402121 -555.282100473049</f>
        <v>-1233.9347123526463</v>
      </c>
      <c r="K365" t="s">
        <v>3972</v>
      </c>
      <c r="L365" t="s">
        <v>3973</v>
      </c>
      <c r="M365" t="s">
        <v>3974</v>
      </c>
      <c r="N365">
        <f>-660.121108352631 -64.6889423602437 -556.754201277428</f>
        <v>-1281.5642519903026</v>
      </c>
      <c r="O365">
        <f>-644.414413163601 -198.649413515703 -530.128506366647</f>
        <v>-1373.192333045951</v>
      </c>
      <c r="P365">
        <f>-677.45325615201 -258.670687541199 -243.951739273154</f>
        <v>-1180.075682966363</v>
      </c>
      <c r="Q365">
        <f>-496.462297995588 -124.546097714338 -329.41367058799</f>
        <v>-950.42206629791599</v>
      </c>
      <c r="R365" t="s">
        <v>3975</v>
      </c>
      <c r="S365" t="s">
        <v>3976</v>
      </c>
      <c r="T365" t="s">
        <v>3977</v>
      </c>
      <c r="U365" t="s">
        <v>3978</v>
      </c>
      <c r="V365">
        <f>-599.178605498974 -124.616017291865 -97.1300337056032</f>
        <v>-820.92465649644214</v>
      </c>
      <c r="W365" t="s">
        <v>3979</v>
      </c>
      <c r="X365" t="s">
        <v>3980</v>
      </c>
      <c r="Y365" t="s">
        <v>3981</v>
      </c>
    </row>
    <row r="366" spans="1:25" x14ac:dyDescent="0.3">
      <c r="A366">
        <v>18250</v>
      </c>
      <c r="B366" t="s">
        <v>3982</v>
      </c>
      <c r="C366">
        <f>-614.869110490961 -30.4972933590022 -98.2466992040133</f>
        <v>-743.6131030539766</v>
      </c>
      <c r="D366">
        <f>-642.195485665548 -37.7380058402339 -210.572510325487</f>
        <v>-890.5060018312688</v>
      </c>
      <c r="E366">
        <f>-654.36237956704 -39.814113927391 -308.420874535809</f>
        <v>-1002.59736803024</v>
      </c>
      <c r="F366">
        <f>-661.406772669797 -40.1415219686589 -397.23814208568</f>
        <v>-1098.7864367241359</v>
      </c>
      <c r="G366">
        <f>-664.135235783323 -38.8724270456889 -486.284168881136</f>
        <v>-1189.291831710148</v>
      </c>
      <c r="H366">
        <f>-663.413950080613 -35.4334913775242 -610.817118519472</f>
        <v>-1309.6645599776093</v>
      </c>
      <c r="I366">
        <f>-628.611794206401 -27.9660385493205 -685.904167911989</f>
        <v>-1342.4820006677105</v>
      </c>
      <c r="J366">
        <f>-667.934755884011 -9.56814184402083 -555.284570081269</f>
        <v>-1232.7874678093008</v>
      </c>
      <c r="K366" t="s">
        <v>3983</v>
      </c>
      <c r="L366" t="s">
        <v>3984</v>
      </c>
      <c r="M366" t="s">
        <v>3985</v>
      </c>
      <c r="N366">
        <f>-659.527954287966 -64.3253349526442 -556.748004930896</f>
        <v>-1280.6012941715062</v>
      </c>
      <c r="O366">
        <f>-644.263664850885 -198.325302822211 -530.078151941177</f>
        <v>-1372.6671196142729</v>
      </c>
      <c r="P366">
        <f>-677.784229763903 -258.069409064884 -243.899382523036</f>
        <v>-1179.753021351823</v>
      </c>
      <c r="Q366">
        <f>-496.214315789872 -124.687991297895 -329.296568425467</f>
        <v>-950.19887551323404</v>
      </c>
      <c r="R366" t="s">
        <v>3986</v>
      </c>
      <c r="S366" t="s">
        <v>3987</v>
      </c>
      <c r="T366" t="s">
        <v>3988</v>
      </c>
      <c r="U366" t="s">
        <v>3989</v>
      </c>
      <c r="V366">
        <f>-599.044861288408 -124.380465533318 -97.1099731990809</f>
        <v>-820.53530002080686</v>
      </c>
      <c r="W366" t="s">
        <v>3990</v>
      </c>
      <c r="X366" t="s">
        <v>3991</v>
      </c>
      <c r="Y366" t="s">
        <v>3992</v>
      </c>
    </row>
    <row r="367" spans="1:25" x14ac:dyDescent="0.3">
      <c r="A367">
        <v>18300</v>
      </c>
      <c r="B367" t="s">
        <v>3993</v>
      </c>
      <c r="C367">
        <f>-614.049780065996 -30.1081586360499 -98.1525671734223</f>
        <v>-742.31050587546815</v>
      </c>
      <c r="D367">
        <f>-641.30095935082 -37.1925757348861 -210.50650849668</f>
        <v>-889.00004358238607</v>
      </c>
      <c r="E367">
        <f>-653.36699074507 -39.1993475085692 -308.368886788974</f>
        <v>-1000.9352250426132</v>
      </c>
      <c r="F367">
        <f>-660.306034063377 -39.4877730368644 -397.194574786629</f>
        <v>-1096.9883818868702</v>
      </c>
      <c r="G367">
        <f>-662.91500064484 -38.2054807509949 -486.243999633526</f>
        <v>-1187.3644810293608</v>
      </c>
      <c r="H367">
        <f>-662.011834673244 -34.7757744222845 -610.775992803653</f>
        <v>-1307.5636018991815</v>
      </c>
      <c r="I367">
        <f>-627.049561349032 -27.4939531575983 -685.80704681948</f>
        <v>-1340.3505613261104</v>
      </c>
      <c r="J367">
        <f>-666.471358547204 -8.88487231853651 -555.250363662051</f>
        <v>-1230.6065945277915</v>
      </c>
      <c r="K367" t="s">
        <v>3994</v>
      </c>
      <c r="L367" t="s">
        <v>3995</v>
      </c>
      <c r="M367" t="s">
        <v>3996</v>
      </c>
      <c r="N367">
        <f>-658.347147165647 -63.6850754110326 -556.700674879423</f>
        <v>-1278.7328974561026</v>
      </c>
      <c r="O367">
        <f>-643.854824145053 -197.759070929572 -529.994220696598</f>
        <v>-1371.6081157712229</v>
      </c>
      <c r="P367">
        <f>-678.158403009472 -257.286735649127 -243.863262267755</f>
        <v>-1179.3084009263541</v>
      </c>
      <c r="Q367">
        <f>-495.545199747322 -125.173024894326 -329.005709890045</f>
        <v>-949.72393453169298</v>
      </c>
      <c r="R367" t="s">
        <v>3997</v>
      </c>
      <c r="S367" t="s">
        <v>3998</v>
      </c>
      <c r="T367" t="s">
        <v>3999</v>
      </c>
      <c r="U367" t="s">
        <v>4000</v>
      </c>
      <c r="V367">
        <f>-598.66830946747 -123.869088081476 -97.0386028653874</f>
        <v>-819.57600041433329</v>
      </c>
      <c r="W367" t="s">
        <v>4001</v>
      </c>
      <c r="X367" t="s">
        <v>4002</v>
      </c>
      <c r="Y367" t="s">
        <v>4003</v>
      </c>
    </row>
    <row r="368" spans="1:25" x14ac:dyDescent="0.3">
      <c r="A368">
        <v>18350</v>
      </c>
      <c r="B368" t="s">
        <v>4004</v>
      </c>
      <c r="C368">
        <f>-613.620642411047 -29.9150095664265 -98.1086211183815</f>
        <v>-741.64427309585506</v>
      </c>
      <c r="D368">
        <f>-640.830849425706 -36.9347136691274 -210.476570205714</f>
        <v>-888.24213330054738</v>
      </c>
      <c r="E368">
        <f>-652.840574218865 -38.9004691013661 -308.346560173721</f>
        <v>-1000.087603493952</v>
      </c>
      <c r="F368">
        <f>-659.720458127011 -39.1568986953778 -397.177051337765</f>
        <v>-1096.0544081601538</v>
      </c>
      <c r="G368">
        <f>-662.261594963527 -37.8485525759083 -486.228016181804</f>
        <v>-1186.3381637212394</v>
      </c>
      <c r="H368">
        <f>-661.254867314378 -34.3891043197143 -610.758367243024</f>
        <v>-1306.4023388771163</v>
      </c>
      <c r="I368">
        <f>-626.193035189806 -27.1724925161648 -685.749155683482</f>
        <v>-1339.1146833894527</v>
      </c>
      <c r="J368">
        <f>-665.700206681111 -8.50266823258653 -555.22982582666</f>
        <v>-1229.4327007403576</v>
      </c>
      <c r="K368" t="s">
        <v>4005</v>
      </c>
      <c r="L368" t="s">
        <v>4006</v>
      </c>
      <c r="M368" t="s">
        <v>4007</v>
      </c>
      <c r="N368">
        <f>-657.695586505215 -63.3202511065996 -556.687752067856</f>
        <v>-1277.7035896796706</v>
      </c>
      <c r="O368">
        <f>-643.52903999753 -197.428805476239 -529.987153599621</f>
        <v>-1370.9449990733901</v>
      </c>
      <c r="P368">
        <f>-678.031661771008 -256.935971309852 -243.875887309082</f>
        <v>-1178.8435203899419</v>
      </c>
      <c r="Q368">
        <f>-495.124858795935 -125.153198419789 -328.900899755015</f>
        <v>-949.17895697073891</v>
      </c>
      <c r="R368" t="s">
        <v>4008</v>
      </c>
      <c r="S368" t="s">
        <v>4009</v>
      </c>
      <c r="T368" t="s">
        <v>4010</v>
      </c>
      <c r="U368" t="s">
        <v>4011</v>
      </c>
      <c r="V368">
        <f>-598.400826328192 -123.60577610962 -96.9979908110115</f>
        <v>-819.00459324882354</v>
      </c>
      <c r="W368" t="s">
        <v>4012</v>
      </c>
      <c r="X368" t="s">
        <v>4013</v>
      </c>
      <c r="Y368" t="s">
        <v>4014</v>
      </c>
    </row>
    <row r="369" spans="1:25" x14ac:dyDescent="0.3">
      <c r="A369">
        <v>18400</v>
      </c>
      <c r="B369" t="s">
        <v>4015</v>
      </c>
      <c r="C369">
        <f>-612.733884158807 -29.9472390138628 -98.0331942465282</f>
        <v>-740.71431741919798</v>
      </c>
      <c r="D369">
        <f>-639.842565593539 -36.879091392253 -210.431210685046</f>
        <v>-887.15286767083808</v>
      </c>
      <c r="E369">
        <f>-651.735858419238 -38.7599715572076 -308.317115559997</f>
        <v>-998.8129455364425</v>
      </c>
      <c r="F369">
        <f>-658.499060771126 -38.9340445823223 -397.156626720351</f>
        <v>-1094.5897320737993</v>
      </c>
      <c r="G369">
        <f>-660.912324702218 -37.5388636120906 -486.209903250554</f>
        <v>-1184.6610915648625</v>
      </c>
      <c r="H369">
        <f>-659.715244874942 -33.9530108003803 -610.735085401638</f>
        <v>-1304.4033410769603</v>
      </c>
      <c r="I369">
        <f>-624.494595539206 -26.7898945007043 -685.656564308229</f>
        <v>-1336.9410543481395</v>
      </c>
      <c r="J369">
        <f>-664.19020549068 -8.114973190407 -555.18612243906</f>
        <v>-1227.491301120147</v>
      </c>
      <c r="K369" t="s">
        <v>4016</v>
      </c>
      <c r="L369" t="s">
        <v>4017</v>
      </c>
      <c r="M369" t="s">
        <v>4018</v>
      </c>
      <c r="N369">
        <f>-656.293767188403 -62.9469968884911 -556.689155012029</f>
        <v>-1275.929919088923</v>
      </c>
      <c r="O369">
        <f>-642.437693864912 -197.099378117169 -530.055566959258</f>
        <v>-1369.5926389413389</v>
      </c>
      <c r="P369">
        <f>-677.386648638263 -256.767739355878 -244.032044608992</f>
        <v>-1178.186432603133</v>
      </c>
      <c r="Q369">
        <f>-494.16705133734 -125.287876073381 -328.85227329616</f>
        <v>-948.30720070688096</v>
      </c>
      <c r="R369" t="s">
        <v>4019</v>
      </c>
      <c r="S369" t="s">
        <v>4020</v>
      </c>
      <c r="T369" t="s">
        <v>4021</v>
      </c>
      <c r="U369" t="s">
        <v>4022</v>
      </c>
      <c r="V369">
        <f>-597.776293552539 -123.734166774942 -96.9318244202904</f>
        <v>-818.44228474777128</v>
      </c>
      <c r="W369" t="s">
        <v>4023</v>
      </c>
      <c r="X369" t="s">
        <v>4024</v>
      </c>
      <c r="Y369" t="s">
        <v>4025</v>
      </c>
    </row>
    <row r="370" spans="1:25" x14ac:dyDescent="0.3">
      <c r="A370">
        <v>18450</v>
      </c>
      <c r="B370" t="s">
        <v>4026</v>
      </c>
      <c r="C370">
        <f>-612.312119597642 -30.0127937251029 -97.9911666175871</f>
        <v>-740.31607994033197</v>
      </c>
      <c r="D370">
        <f>-639.385092256487 -36.9011365230167 -210.400351108184</f>
        <v>-886.68657988768769</v>
      </c>
      <c r="E370">
        <f>-651.245023144033 -38.7446567018342 -308.291143938347</f>
        <v>-998.28082378421414</v>
      </c>
      <c r="F370">
        <f>-657.977463901503 -38.8841932485434 -397.133184002539</f>
        <v>-1093.9948411525854</v>
      </c>
      <c r="G370">
        <f>-660.359541947479 -37.4525920407343 -486.186606625888</f>
        <v>-1183.9987406141013</v>
      </c>
      <c r="H370">
        <f>-659.118899973534 -33.8135182523204 -610.709722941533</f>
        <v>-1303.6421411673873</v>
      </c>
      <c r="I370">
        <f>-623.838222163102 -26.6241264247183 -685.600463197945</f>
        <v>-1336.0628117857655</v>
      </c>
      <c r="J370">
        <f>-663.631018051361 -8.00179655780244 -555.151732668304</f>
        <v>-1226.7845472774675</v>
      </c>
      <c r="K370" t="s">
        <v>4027</v>
      </c>
      <c r="L370" t="s">
        <v>4028</v>
      </c>
      <c r="M370" t="s">
        <v>4029</v>
      </c>
      <c r="N370">
        <f>-655.698693795497 -62.8280924637758 -556.674852730834</f>
        <v>-1275.2016389901069</v>
      </c>
      <c r="O370">
        <f>-641.774021777608 -196.979105870845 -530.091590092382</f>
        <v>-1368.8447177408352</v>
      </c>
      <c r="P370">
        <f>-676.913036536811 -256.806302121578 -244.124382155707</f>
        <v>-1177.8437208140961</v>
      </c>
      <c r="Q370">
        <f>-493.700444142181 -125.139137279761 -328.669021483388</f>
        <v>-947.50860290533001</v>
      </c>
      <c r="R370" t="s">
        <v>4030</v>
      </c>
      <c r="S370" t="s">
        <v>4031</v>
      </c>
      <c r="T370" t="s">
        <v>4032</v>
      </c>
      <c r="U370" t="s">
        <v>4033</v>
      </c>
      <c r="V370">
        <f>-597.410870774901 -123.789495672094 -96.9086652297099</f>
        <v>-818.10903167670494</v>
      </c>
      <c r="W370" t="s">
        <v>4034</v>
      </c>
      <c r="X370" t="s">
        <v>4035</v>
      </c>
      <c r="Y370" t="s">
        <v>4036</v>
      </c>
    </row>
    <row r="371" spans="1:25" x14ac:dyDescent="0.3">
      <c r="A371">
        <v>18500</v>
      </c>
      <c r="B371" t="s">
        <v>4037</v>
      </c>
      <c r="C371">
        <f>-611.622425655539 -30.2641226255134 -97.9160897882836</f>
        <v>-739.80263806933601</v>
      </c>
      <c r="D371">
        <f>-638.610421753862 -37.1185836217587 -210.347703326897</f>
        <v>-886.07670870251775</v>
      </c>
      <c r="E371">
        <f>-650.378146285449 -38.910998346455 -308.250540904541</f>
        <v>-997.53968553644506</v>
      </c>
      <c r="F371">
        <f>-657.019597440282 -38.9958565583208 -397.099416631905</f>
        <v>-1093.114870630508</v>
      </c>
      <c r="G371">
        <f>-659.303590445061 -37.4995630714116 -486.154424798653</f>
        <v>-1182.9575783151256</v>
      </c>
      <c r="H371">
        <f>-657.918681945981 -33.7593789274388 -610.673076717747</f>
        <v>-1302.3511375911667</v>
      </c>
      <c r="I371">
        <f>-622.490860483911 -26.4211392315285 -685.479856743525</f>
        <v>-1334.3918564589644</v>
      </c>
      <c r="J371">
        <f>-662.56630785851 -8.00301977753998 -555.10044726176</f>
        <v>-1225.6697748978099</v>
      </c>
      <c r="K371" t="s">
        <v>4038</v>
      </c>
      <c r="L371" t="s">
        <v>4039</v>
      </c>
      <c r="M371" t="s">
        <v>4040</v>
      </c>
      <c r="N371">
        <f>-654.489875678533 -62.8073732166478 -556.656873599591</f>
        <v>-1273.9541224947718</v>
      </c>
      <c r="O371">
        <f>-640.21883235898 -196.959888821994 -530.243779780928</f>
        <v>-1367.422500961902</v>
      </c>
      <c r="P371">
        <f>-675.455851805861 -257.222270619437 -244.380183933851</f>
        <v>-1177.0583063591489</v>
      </c>
      <c r="Q371">
        <f>-492.537047532463 -124.8026886744 -328.38421015345</f>
        <v>-945.72394636031299</v>
      </c>
      <c r="R371" t="s">
        <v>4041</v>
      </c>
      <c r="S371" t="s">
        <v>4042</v>
      </c>
      <c r="T371" t="s">
        <v>4043</v>
      </c>
      <c r="U371" t="s">
        <v>4044</v>
      </c>
      <c r="V371">
        <f>-596.66718100768 -124.016004422606 -96.8654045412013</f>
        <v>-817.54858997148733</v>
      </c>
      <c r="W371" t="s">
        <v>4045</v>
      </c>
      <c r="X371" t="s">
        <v>4046</v>
      </c>
      <c r="Y371" t="s">
        <v>4047</v>
      </c>
    </row>
    <row r="372" spans="1:25" x14ac:dyDescent="0.3">
      <c r="A372">
        <v>18550</v>
      </c>
      <c r="B372" t="s">
        <v>4048</v>
      </c>
      <c r="C372">
        <f>-611.340547992378 -30.3680759250872 -97.8826541467504</f>
        <v>-739.59127806421554</v>
      </c>
      <c r="D372">
        <f>-638.270583940516 -37.2373798525828 -210.32735454637</f>
        <v>-885.8353183394687</v>
      </c>
      <c r="E372">
        <f>-649.966535105731 -39.0042484746086 -308.23931057693</f>
        <v>-997.21009415726962</v>
      </c>
      <c r="F372">
        <f>-656.534137132859 -39.0512945665564 -397.093644751765</f>
        <v>-1092.6790764511804</v>
      </c>
      <c r="G372">
        <f>-658.73529052688 -37.50234814039 -486.149778385392</f>
        <v>-1182.3874170526619</v>
      </c>
      <c r="H372">
        <f>-657.225348117043 -33.6726704545895 -610.66423209223</f>
        <v>-1301.5622506638624</v>
      </c>
      <c r="I372">
        <f>-621.714818409798 -26.2306791189108 -685.421575615312</f>
        <v>-1333.3670731440207</v>
      </c>
      <c r="J372">
        <f>-661.96766666921 -7.96209233883565 -555.078501362258</f>
        <v>-1225.0082603703036</v>
      </c>
      <c r="K372" t="s">
        <v>4049</v>
      </c>
      <c r="L372" t="s">
        <v>4050</v>
      </c>
      <c r="M372" t="s">
        <v>4051</v>
      </c>
      <c r="N372">
        <f>-653.811874845163 -62.753773463723 -556.664767755789</f>
        <v>-1273.230416064675</v>
      </c>
      <c r="O372">
        <f>-639.353473769291 -196.911572476922 -530.366955114647</f>
        <v>-1366.6320013608599</v>
      </c>
      <c r="P372">
        <f>-674.638223905153 -257.611841057956 -244.60181996728</f>
        <v>-1176.8518849303891</v>
      </c>
      <c r="Q372">
        <f>-491.944002952613 -124.696876555899 -328.311481317907</f>
        <v>-944.95236082641895</v>
      </c>
      <c r="R372" t="s">
        <v>4052</v>
      </c>
      <c r="S372" t="s">
        <v>4053</v>
      </c>
      <c r="T372" t="s">
        <v>4054</v>
      </c>
      <c r="U372" t="s">
        <v>4055</v>
      </c>
      <c r="V372">
        <f>-596.29108253395 -124.093045706404 -96.8356738277887</f>
        <v>-817.21980206814271</v>
      </c>
      <c r="W372" t="s">
        <v>4056</v>
      </c>
      <c r="X372" t="s">
        <v>4057</v>
      </c>
      <c r="Y372" t="s">
        <v>4058</v>
      </c>
    </row>
    <row r="373" spans="1:25" x14ac:dyDescent="0.3">
      <c r="A373">
        <v>18600</v>
      </c>
      <c r="B373" t="s">
        <v>4059</v>
      </c>
      <c r="C373">
        <f>-611.055877047665 -30.4501757190176 -97.8620677176002</f>
        <v>-739.36812048428283</v>
      </c>
      <c r="D373">
        <f>-637.912740297533 -37.3235980217962 -210.324069424907</f>
        <v>-885.56040774423627</v>
      </c>
      <c r="E373">
        <f>-649.530598596375 -39.0754276958737 -308.245474768021</f>
        <v>-996.85150106026958</v>
      </c>
      <c r="F373">
        <f>-656.021282814202 -39.1021907253798 -397.105557600485</f>
        <v>-1092.2290311400668</v>
      </c>
      <c r="G373">
        <f>-658.139491708146 -37.5258833111054 -486.163180383005</f>
        <v>-1181.8285554022564</v>
      </c>
      <c r="H373">
        <f>-656.507120381989 -33.6502961707322 -610.674724492039</f>
        <v>-1300.8321410447602</v>
      </c>
      <c r="I373">
        <f>-620.910702310906 -26.1179100672314 -685.382050019456</f>
        <v>-1332.4106623975933</v>
      </c>
      <c r="J373">
        <f>-661.333886579693 -7.9645382254871 -555.084703949853</f>
        <v>-1224.3831287550329</v>
      </c>
      <c r="K373" t="s">
        <v>4060</v>
      </c>
      <c r="L373" t="s">
        <v>4061</v>
      </c>
      <c r="M373" t="s">
        <v>4062</v>
      </c>
      <c r="N373">
        <f>-653.116970107815 -62.746891291706 -556.682130952078</f>
        <v>-1272.5459923515989</v>
      </c>
      <c r="O373">
        <f>-638.497330457162 -196.911036127477 -530.505380847349</f>
        <v>-1365.913747431988</v>
      </c>
      <c r="P373">
        <f>-673.936730571391 -258.049941747122 -244.853157051921</f>
        <v>-1176.839829370434</v>
      </c>
      <c r="Q373">
        <f>-491.430975057655 -124.667313250679 -328.22920785282</f>
        <v>-944.32749616115416</v>
      </c>
      <c r="R373" t="s">
        <v>4063</v>
      </c>
      <c r="S373" t="s">
        <v>4064</v>
      </c>
      <c r="T373" t="s">
        <v>4065</v>
      </c>
      <c r="U373" t="s">
        <v>4066</v>
      </c>
      <c r="V373">
        <f>-595.909121569673 -124.17103333462 -96.8125393728201</f>
        <v>-816.89269427711304</v>
      </c>
      <c r="W373" t="s">
        <v>4067</v>
      </c>
      <c r="X373" t="s">
        <v>4068</v>
      </c>
      <c r="Y373" t="s">
        <v>4069</v>
      </c>
    </row>
    <row r="374" spans="1:25" x14ac:dyDescent="0.3">
      <c r="A374">
        <v>18650</v>
      </c>
      <c r="B374" t="s">
        <v>4070</v>
      </c>
      <c r="C374">
        <f>-610.455516625055 -30.790342549551 -97.7677108809828</f>
        <v>-739.01357005558884</v>
      </c>
      <c r="D374">
        <f>-637.115871211637 -37.6306675733126 -210.278439935251</f>
        <v>-885.02497872020058</v>
      </c>
      <c r="E374">
        <f>-648.564123931893 -39.3311018688364 -308.220710682234</f>
        <v>-996.11593648296343</v>
      </c>
      <c r="F374">
        <f>-654.901825916126 -39.302250975996 -397.091895273561</f>
        <v>-1091.295972165683</v>
      </c>
      <c r="G374">
        <f>-656.867759056281 -37.6594705843038 -486.151818816528</f>
        <v>-1180.6790484571129</v>
      </c>
      <c r="H374">
        <f>-655.024059111094 -33.6799494880634 -610.657156615759</f>
        <v>-1299.3611652149164</v>
      </c>
      <c r="I374">
        <f>-619.231189668822 -25.9696160195665 -685.252287758563</f>
        <v>-1330.4530934469517</v>
      </c>
      <c r="J374">
        <f>-659.990339618536 -8.04745913778879 -555.054729479008</f>
        <v>-1223.0925282353328</v>
      </c>
      <c r="K374" t="s">
        <v>4071</v>
      </c>
      <c r="L374" t="s">
        <v>4072</v>
      </c>
      <c r="M374" t="s">
        <v>4073</v>
      </c>
      <c r="N374">
        <f>-651.68034178084 -62.814835238871 -556.682165726051</f>
        <v>-1271.177342745762</v>
      </c>
      <c r="O374">
        <f>-636.843276492187 -196.980289741904 -530.642004344186</f>
        <v>-1364.465570578277</v>
      </c>
      <c r="P374">
        <f>-672.787540675704 -258.697155812292 -245.176978693022</f>
        <v>-1176.6616751810179</v>
      </c>
      <c r="Q374">
        <f>-490.412766764965 -124.733580184038 -327.9059111443</f>
        <v>-943.05225809330295</v>
      </c>
      <c r="R374" t="s">
        <v>4074</v>
      </c>
      <c r="S374" t="s">
        <v>4075</v>
      </c>
      <c r="T374" t="s">
        <v>4076</v>
      </c>
      <c r="U374" t="s">
        <v>4077</v>
      </c>
      <c r="V374">
        <f>-595.280198352001 -124.596541551928 -96.7591886287328</f>
        <v>-816.63592853266175</v>
      </c>
      <c r="W374" t="s">
        <v>4078</v>
      </c>
      <c r="X374" t="s">
        <v>4079</v>
      </c>
      <c r="Y374" t="s">
        <v>4080</v>
      </c>
    </row>
    <row r="375" spans="1:25" x14ac:dyDescent="0.3">
      <c r="A375">
        <v>18700</v>
      </c>
      <c r="B375" t="s">
        <v>4081</v>
      </c>
      <c r="C375">
        <f>-610.070823263696 -30.7134965119496 -97.6802746475635</f>
        <v>-738.46459442320906</v>
      </c>
      <c r="D375">
        <f>-636.641968108526 -37.5139394507703 -210.214521325388</f>
        <v>-884.37042888468432</v>
      </c>
      <c r="E375">
        <f>-648.017693442092 -39.1881039014347 -308.165710178452</f>
        <v>-995.37150752197863</v>
      </c>
      <c r="F375">
        <f>-654.291790365707 -39.1379564813496 -397.04134771976</f>
        <v>-1090.4710945668166</v>
      </c>
      <c r="G375">
        <f>-656.196499459546 -37.4765608102293 -486.102398848855</f>
        <v>-1179.7754591186304</v>
      </c>
      <c r="H375">
        <f>-654.26972958722 -33.4727658546169 -610.605611562478</f>
        <v>-1298.3481070043149</v>
      </c>
      <c r="I375">
        <f>-618.324122208029 -25.6696469515011 -685.117686424809</f>
        <v>-1329.1114555843392</v>
      </c>
      <c r="J375">
        <f>-659.288326012778 -7.85343472698014 -555.001890400279</f>
        <v>-1222.143651140037</v>
      </c>
      <c r="K375" t="s">
        <v>4082</v>
      </c>
      <c r="L375" t="s">
        <v>4083</v>
      </c>
      <c r="M375" t="s">
        <v>4084</v>
      </c>
      <c r="N375">
        <f>-650.94692897445 -62.615830442982 -556.633844286727</f>
        <v>-1270.1966037041589</v>
      </c>
      <c r="O375">
        <f>-636.050366272995 -196.788967523887 -530.651288951783</f>
        <v>-1363.4906227486649</v>
      </c>
      <c r="P375">
        <f>-672.257027172926 -258.56922849547 -245.233216406317</f>
        <v>-1176.0594720747131</v>
      </c>
      <c r="Q375">
        <f>-489.857490497594 -124.453843348554 -327.661022875712</f>
        <v>-941.97235672185991</v>
      </c>
      <c r="R375" t="s">
        <v>4085</v>
      </c>
      <c r="S375" t="s">
        <v>4086</v>
      </c>
      <c r="T375" t="s">
        <v>4087</v>
      </c>
      <c r="U375" t="s">
        <v>4088</v>
      </c>
      <c r="V375">
        <f>-594.88882176311 -124.40872789729 -96.7320589424245</f>
        <v>-816.0296086028244</v>
      </c>
      <c r="W375" t="s">
        <v>4089</v>
      </c>
      <c r="X375" t="s">
        <v>4090</v>
      </c>
      <c r="Y375" t="s">
        <v>4091</v>
      </c>
    </row>
    <row r="376" spans="1:25" x14ac:dyDescent="0.3">
      <c r="A376">
        <v>18750</v>
      </c>
      <c r="B376" t="s">
        <v>4092</v>
      </c>
      <c r="C376">
        <f>-609.653203354712 -30.6084512733498 -97.6370742162457</f>
        <v>-737.89872884430747</v>
      </c>
      <c r="D376">
        <f>-636.141441589132 -37.3937333310951 -210.191815510579</f>
        <v>-883.72699043080604</v>
      </c>
      <c r="E376">
        <f>-647.455230060863 -39.0549480339628 -308.150371969448</f>
        <v>-994.66055006427371</v>
      </c>
      <c r="F376">
        <f>-653.677297746607 -38.9929144986554 -397.029583881544</f>
        <v>-1089.6997961268064</v>
      </c>
      <c r="G376">
        <f>-655.534087425218 -37.3192410961688 -486.091387348752</f>
        <v>-1178.9447158701387</v>
      </c>
      <c r="H376">
        <f>-653.544811564763 -33.2982562626848 -610.593171841193</f>
        <v>-1297.4362396686408</v>
      </c>
      <c r="I376">
        <f>-617.447409988145 -25.4566973967599 -685.027672898442</f>
        <v>-1327.9317802833468</v>
      </c>
      <c r="J376">
        <f>-658.580892904002 -7.68504071459847 -554.988201693326</f>
        <v>-1221.2541353119263</v>
      </c>
      <c r="K376" t="s">
        <v>4093</v>
      </c>
      <c r="L376" t="s">
        <v>4094</v>
      </c>
      <c r="M376" t="s">
        <v>4095</v>
      </c>
      <c r="N376">
        <f>-650.25947685112 -62.4503363644124 -556.624029484857</f>
        <v>-1269.3338427003894</v>
      </c>
      <c r="O376">
        <f>-635.435342974318 -196.633970396814 -530.643940843278</f>
        <v>-1362.71325421441</v>
      </c>
      <c r="P376">
        <f>-671.881815845659 -258.551844182336 -245.286216124198</f>
        <v>-1175.7198761521931</v>
      </c>
      <c r="Q376">
        <f>-489.414737779311 -124.384643661557 -327.47976086843</f>
        <v>-941.27914230929809</v>
      </c>
      <c r="R376" t="s">
        <v>4096</v>
      </c>
      <c r="S376" t="s">
        <v>4097</v>
      </c>
      <c r="T376" t="s">
        <v>4098</v>
      </c>
      <c r="U376" t="s">
        <v>4099</v>
      </c>
      <c r="V376">
        <f>-594.522411650832 -124.307513916561 -96.7068300227063</f>
        <v>-815.53675559009935</v>
      </c>
      <c r="W376" t="s">
        <v>4100</v>
      </c>
      <c r="X376" t="s">
        <v>4101</v>
      </c>
      <c r="Y376" t="s">
        <v>4102</v>
      </c>
    </row>
    <row r="377" spans="1:25" x14ac:dyDescent="0.3">
      <c r="A377">
        <v>18800</v>
      </c>
      <c r="B377" t="s">
        <v>4103</v>
      </c>
      <c r="C377">
        <f>-609.264965859643 -30.5208647002764 -97.6301137735105</f>
        <v>-737.41594433342993</v>
      </c>
      <c r="D377">
        <f>-635.67748683759 -37.2620268305275 -210.205255609524</f>
        <v>-883.14476927764144</v>
      </c>
      <c r="E377">
        <f>-646.920534463987 -38.8918043976728 -308.172549530946</f>
        <v>-993.98488839260585</v>
      </c>
      <c r="F377">
        <f>-653.076920666039 -38.8020428580894 -397.056321773784</f>
        <v>-1088.9352852979123</v>
      </c>
      <c r="G377">
        <f>-654.86657550424 -37.1016734270022 -486.11892354689</f>
        <v>-1178.0871724781323</v>
      </c>
      <c r="H377">
        <f>-652.782410548484 -33.0434296836036 -610.617968945757</f>
        <v>-1296.4438091778445</v>
      </c>
      <c r="I377">
        <f>-616.545210169422 -25.1929820917865 -684.983652312042</f>
        <v>-1326.7218445732506</v>
      </c>
      <c r="J377">
        <f>-657.847651477204 -7.44483484537363 -555.008934980241</f>
        <v>-1220.3014213028187</v>
      </c>
      <c r="K377" t="s">
        <v>4104</v>
      </c>
      <c r="L377" t="s">
        <v>4105</v>
      </c>
      <c r="M377" t="s">
        <v>4106</v>
      </c>
      <c r="N377">
        <f>-649.551528381551 -62.2137084612749 -556.655276656026</f>
        <v>-1268.420513498852</v>
      </c>
      <c r="O377">
        <f>-634.842922364791 -196.408008576189 -530.675044961361</f>
        <v>-1361.925975902341</v>
      </c>
      <c r="P377">
        <f>-671.714520398742 -258.420964219309 -245.392513113193</f>
        <v>-1175.5279977312439</v>
      </c>
      <c r="Q377">
        <f>-489.067336634391 -124.356441773095 -327.353301874938</f>
        <v>-940.77708028242398</v>
      </c>
      <c r="R377" t="s">
        <v>4107</v>
      </c>
      <c r="S377" t="s">
        <v>4108</v>
      </c>
      <c r="T377" t="s">
        <v>4109</v>
      </c>
      <c r="U377" t="s">
        <v>4110</v>
      </c>
      <c r="V377">
        <f>-594.207855530065 -124.295451120934 -96.6859211375725</f>
        <v>-815.18922778857154</v>
      </c>
      <c r="W377" t="s">
        <v>4111</v>
      </c>
      <c r="X377" t="s">
        <v>4112</v>
      </c>
      <c r="Y377" t="s">
        <v>4113</v>
      </c>
    </row>
    <row r="378" spans="1:25" x14ac:dyDescent="0.3">
      <c r="A378">
        <v>18850</v>
      </c>
      <c r="B378" t="s">
        <v>4114</v>
      </c>
      <c r="C378">
        <f>-608.886388959655 -30.4428724409745 -97.6233146342092</f>
        <v>-736.95257603483878</v>
      </c>
      <c r="D378">
        <f>-635.232831482211 -37.1544310130373 -210.215600027343</f>
        <v>-882.60286252259129</v>
      </c>
      <c r="E378">
        <f>-646.400138711445 -38.7522678832477 -308.192184944572</f>
        <v>-993.34459153926468</v>
      </c>
      <c r="F378">
        <f>-652.481055160193 -38.6298460361006 -397.08110213413</f>
        <v>-1088.1920033304236</v>
      </c>
      <c r="G378">
        <f>-654.188285240287 -36.8920785905041 -486.144686834071</f>
        <v>-1177.225050664862</v>
      </c>
      <c r="H378">
        <f>-651.982160517537 -32.7765283835465 -610.639618294129</f>
        <v>-1295.3983071952125</v>
      </c>
      <c r="I378">
        <f>-615.60583902135 -24.9175450107964 -684.936451673278</f>
        <v>-1325.4598357054244</v>
      </c>
      <c r="J378">
        <f>-657.094734204649 -7.20252238787862 -555.02356507156</f>
        <v>-1219.3208216640876</v>
      </c>
      <c r="K378" t="s">
        <v>4115</v>
      </c>
      <c r="L378" t="s">
        <v>4116</v>
      </c>
      <c r="M378" t="s">
        <v>4117</v>
      </c>
      <c r="N378">
        <f>-648.811216952023 -61.9727625528111 -556.687515718981</f>
        <v>-1267.4714952238151</v>
      </c>
      <c r="O378">
        <f>-634.22288765005 -196.182742813765 -530.73043359379</f>
        <v>-1361.1360640576049</v>
      </c>
      <c r="P378">
        <f>-671.51220935021 -258.195622285232 -245.502217478166</f>
        <v>-1175.210049113608</v>
      </c>
      <c r="Q378">
        <f>-488.653347964858 -124.252000180695 -327.188267388465</f>
        <v>-940.093615534018</v>
      </c>
      <c r="R378" t="s">
        <v>4118</v>
      </c>
      <c r="S378" t="s">
        <v>4119</v>
      </c>
      <c r="T378" t="s">
        <v>4120</v>
      </c>
      <c r="U378" t="s">
        <v>4121</v>
      </c>
      <c r="V378">
        <f>-593.896187171244 -124.188903767246 -96.6640412133402</f>
        <v>-814.74913215183017</v>
      </c>
      <c r="W378" t="s">
        <v>4122</v>
      </c>
      <c r="X378" t="s">
        <v>4123</v>
      </c>
      <c r="Y378" t="s">
        <v>4124</v>
      </c>
    </row>
    <row r="379" spans="1:25" x14ac:dyDescent="0.3">
      <c r="A379">
        <v>18900</v>
      </c>
      <c r="B379" t="s">
        <v>4125</v>
      </c>
      <c r="C379">
        <f>-608.488717990687 -30.3990657456775 -97.6262448178281</f>
        <v>-736.51402855419258</v>
      </c>
      <c r="D379">
        <f>-634.725230003067 -37.106364152324 -210.244529154783</f>
        <v>-882.07612331017401</v>
      </c>
      <c r="E379">
        <f>-645.791834065164 -38.6781636440905 -308.232965933248</f>
        <v>-992.7029636425026</v>
      </c>
      <c r="F379">
        <f>-651.779121303038 -38.5233259382621 -397.128145363099</f>
        <v>-1087.4305926043992</v>
      </c>
      <c r="G379">
        <f>-653.390487379725 -36.7448708147253 -486.192774173735</f>
        <v>-1176.3281323681854</v>
      </c>
      <c r="H379">
        <f>-651.0478014856 -32.5635994122042 -610.682963333687</f>
        <v>-1294.2943642314913</v>
      </c>
      <c r="I379">
        <f>-614.488825875291 -24.7160631876432 -684.891331433289</f>
        <v>-1324.0962204962232</v>
      </c>
      <c r="J379">
        <f>-656.210479401636 -7.01715814841805 -555.058866095875</f>
        <v>-1218.2865036459291</v>
      </c>
      <c r="K379" t="s">
        <v>4126</v>
      </c>
      <c r="L379" t="s">
        <v>4127</v>
      </c>
      <c r="M379" t="s">
        <v>4128</v>
      </c>
      <c r="N379">
        <f>-647.947011499573 -61.7899136536068 -556.743069923607</f>
        <v>-1266.479995076787</v>
      </c>
      <c r="O379">
        <f>-633.49532750837 -196.02299553369 -530.842106233894</f>
        <v>-1360.3604292759542</v>
      </c>
      <c r="P379">
        <f>-671.202112200278 -258.244702096901 -245.7143090753</f>
        <v>-1175.1611233724789</v>
      </c>
      <c r="Q379">
        <f>-488.173349343494 -124.294475438471 -327.008024236688</f>
        <v>-939.47584901865298</v>
      </c>
      <c r="R379" t="s">
        <v>4129</v>
      </c>
      <c r="S379" t="s">
        <v>4130</v>
      </c>
      <c r="T379" t="s">
        <v>4131</v>
      </c>
      <c r="U379" t="s">
        <v>4132</v>
      </c>
      <c r="V379">
        <f>-593.518360431021 -124.087044529856 -96.641120779012</f>
        <v>-814.24652573988908</v>
      </c>
      <c r="W379" t="s">
        <v>4133</v>
      </c>
      <c r="X379" t="s">
        <v>4134</v>
      </c>
      <c r="Y379" t="s">
        <v>4135</v>
      </c>
    </row>
    <row r="380" spans="1:25" x14ac:dyDescent="0.3">
      <c r="A380">
        <v>18950</v>
      </c>
      <c r="B380" t="s">
        <v>4136</v>
      </c>
      <c r="C380">
        <f>-608.356250711577 -30.5293388549551 -97.6187129837029</f>
        <v>-736.50430255023502</v>
      </c>
      <c r="D380">
        <f>-634.512856152383 -37.2134674356648 -210.256910628019</f>
        <v>-881.98323421606688</v>
      </c>
      <c r="E380">
        <f>-645.516897698238 -38.7686616090077 -308.252581752433</f>
        <v>-992.53814105967876</v>
      </c>
      <c r="F380">
        <f>-651.450237792464 -38.6005105411552 -397.151437411699</f>
        <v>-1087.2021857453183</v>
      </c>
      <c r="G380">
        <f>-653.010026077503 -36.8105722051307 -486.216560453755</f>
        <v>-1176.0371587363886</v>
      </c>
      <c r="H380">
        <f>-650.598054235198 -32.6154105047347 -610.705233388792</f>
        <v>-1293.9186981287246</v>
      </c>
      <c r="I380">
        <f>-613.962463226446 -24.7891726298058 -684.878004702543</f>
        <v>-1323.6296405587946</v>
      </c>
      <c r="J380">
        <f>-655.780112192287 -7.07348561578283 -555.080837434252</f>
        <v>-1217.9344352423218</v>
      </c>
      <c r="K380" t="s">
        <v>4137</v>
      </c>
      <c r="L380" t="s">
        <v>4138</v>
      </c>
      <c r="M380" t="s">
        <v>4139</v>
      </c>
      <c r="N380">
        <f>-647.538762583665 -61.8493585906441 -556.76700245631</f>
        <v>-1266.1551236306191</v>
      </c>
      <c r="O380">
        <f>-633.187153790497 -196.090939362774 -530.865388943308</f>
        <v>-1360.1434820965787</v>
      </c>
      <c r="P380">
        <f>-671.099270170777 -258.342513620894 -245.771229444102</f>
        <v>-1175.2130132357729</v>
      </c>
      <c r="Q380">
        <f>-488.00319230886 -124.413397897002 -326.94838785115</f>
        <v>-939.36497805701197</v>
      </c>
      <c r="R380" t="s">
        <v>4140</v>
      </c>
      <c r="S380" t="s">
        <v>4141</v>
      </c>
      <c r="T380" t="s">
        <v>4142</v>
      </c>
      <c r="U380" t="s">
        <v>4143</v>
      </c>
      <c r="V380">
        <f>-593.397036875638 -124.293939110161 -96.6388431976078</f>
        <v>-814.32981918340681</v>
      </c>
      <c r="W380" t="s">
        <v>4144</v>
      </c>
      <c r="X380" t="s">
        <v>4145</v>
      </c>
      <c r="Y380" t="s">
        <v>4146</v>
      </c>
    </row>
    <row r="381" spans="1:25" x14ac:dyDescent="0.3">
      <c r="A381">
        <v>19000</v>
      </c>
      <c r="B381" t="s">
        <v>4147</v>
      </c>
      <c r="C381">
        <f>-608.177651493389 -30.7560757320307 -97.6199683508339</f>
        <v>-736.55369557625363</v>
      </c>
      <c r="D381">
        <f>-634.124468313762 -37.3953239581949 -210.309294473266</f>
        <v>-881.82908674522287</v>
      </c>
      <c r="E381">
        <f>-644.961810001596 -38.9228392823272 -308.324050865213</f>
        <v>-992.20870014913612</v>
      </c>
      <c r="F381">
        <f>-650.750352476447 -38.7331998859252 -397.232400486929</f>
        <v>-1086.7159528493012</v>
      </c>
      <c r="G381">
        <f>-652.171812125014 -36.9253722214714 -486.29949490122</f>
        <v>-1175.3966792477054</v>
      </c>
      <c r="H381">
        <f>-649.573391423329 -32.708901956295 -610.783595800689</f>
        <v>-1293.065889180313</v>
      </c>
      <c r="I381">
        <f>-612.792161098096 -24.9179848780007 -684.888018246248</f>
        <v>-1322.5981642223446</v>
      </c>
      <c r="J381">
        <f>-654.827674178261 -7.17499423060599 -555.162467292774</f>
        <v>-1217.1651357016408</v>
      </c>
      <c r="K381" t="s">
        <v>4148</v>
      </c>
      <c r="L381" t="s">
        <v>4149</v>
      </c>
      <c r="M381" t="s">
        <v>4150</v>
      </c>
      <c r="N381">
        <f>-646.606028653214 -61.9539185363251 -556.846158779351</f>
        <v>-1265.4061059688902</v>
      </c>
      <c r="O381">
        <f>-632.359913797677 -196.206890935474 -530.929340285221</f>
        <v>-1359.4961450183719</v>
      </c>
      <c r="P381">
        <f>-671.021779298011 -258.373393365492 -245.917479273326</f>
        <v>-1175.3126519368291</v>
      </c>
      <c r="Q381">
        <f>-487.709435558851 -124.570933514894 -326.814664858913</f>
        <v>-939.095033932658</v>
      </c>
      <c r="R381" t="s">
        <v>4151</v>
      </c>
      <c r="S381" t="s">
        <v>4152</v>
      </c>
      <c r="T381" t="s">
        <v>4153</v>
      </c>
      <c r="U381" t="s">
        <v>4154</v>
      </c>
      <c r="V381">
        <f>-593.306241867997 -124.447387067751 -96.6416297788511</f>
        <v>-814.39525871459909</v>
      </c>
      <c r="W381" t="s">
        <v>4155</v>
      </c>
      <c r="X381" t="s">
        <v>4156</v>
      </c>
      <c r="Y381" t="s">
        <v>4157</v>
      </c>
    </row>
    <row r="382" spans="1:25" x14ac:dyDescent="0.3">
      <c r="A382">
        <v>19050</v>
      </c>
      <c r="B382" t="s">
        <v>4158</v>
      </c>
      <c r="C382">
        <f>-608.143659422986 -30.8938944110082 -97.6261610693131</f>
        <v>-736.66371490330732</v>
      </c>
      <c r="D382">
        <f>-633.969289157557 -37.5201220141867 -210.344170410036</f>
        <v>-881.83358158177964</v>
      </c>
      <c r="E382">
        <f>-644.713711955445 -39.0477936563027 -308.369134128377</f>
        <v>-992.13063974012471</v>
      </c>
      <c r="F382">
        <f>-650.423054270774 -38.8629339731276 -397.28257813987</f>
        <v>-1086.5685663837717</v>
      </c>
      <c r="G382">
        <f>-651.770164417065 -37.0645879080021 -486.351061594077</f>
        <v>-1175.185813919144</v>
      </c>
      <c r="H382">
        <f>-649.073213340376 -32.8662819719859 -610.833641254903</f>
        <v>-1292.7731365672648</v>
      </c>
      <c r="I382">
        <f>-612.209628092702 -25.0801631043107 -684.897694301627</f>
        <v>-1322.1874854986397</v>
      </c>
      <c r="J382">
        <f>-654.374835513737 -7.32460718267225 -555.220456150738</f>
        <v>-1216.9198988471471</v>
      </c>
      <c r="K382" t="s">
        <v>4159</v>
      </c>
      <c r="L382" t="s">
        <v>4160</v>
      </c>
      <c r="M382" t="s">
        <v>4161</v>
      </c>
      <c r="N382">
        <f>-646.145225920657 -62.1028893485699 -556.889657677416</f>
        <v>-1265.1377729466431</v>
      </c>
      <c r="O382">
        <f>-631.888278654933 -196.352811064803 -530.972192538029</f>
        <v>-1359.2132822577651</v>
      </c>
      <c r="P382">
        <f>-670.902168243617 -258.571330877681 -246.019581043273</f>
        <v>-1175.493080164571</v>
      </c>
      <c r="Q382">
        <f>-487.501204087193 -124.766993024143 -326.712567665434</f>
        <v>-938.98076477677</v>
      </c>
      <c r="R382" t="s">
        <v>4162</v>
      </c>
      <c r="S382" t="s">
        <v>4163</v>
      </c>
      <c r="T382" t="s">
        <v>4164</v>
      </c>
      <c r="U382" t="s">
        <v>4165</v>
      </c>
      <c r="V382">
        <f>-593.281560138435 -124.563032218407 -96.6398523380525</f>
        <v>-814.48444469489448</v>
      </c>
      <c r="W382" t="s">
        <v>4166</v>
      </c>
      <c r="X382" t="s">
        <v>4167</v>
      </c>
      <c r="Y382" t="s">
        <v>4168</v>
      </c>
    </row>
    <row r="383" spans="1:25" x14ac:dyDescent="0.3">
      <c r="A383">
        <v>19100</v>
      </c>
      <c r="B383" t="s">
        <v>4169</v>
      </c>
      <c r="C383">
        <f>-607.928216530538 -31.4605949414718 -97.6225427529521</f>
        <v>-737.01135422496179</v>
      </c>
      <c r="D383">
        <f>-633.48251378674 -38.065984688511 -210.403690625423</f>
        <v>-881.95218910067399</v>
      </c>
      <c r="E383">
        <f>-644.0450671677 -39.6179241780096 -308.447856807895</f>
        <v>-992.11084815360459</v>
      </c>
      <c r="F383">
        <f>-649.611107921443 -39.4729743988771 -397.37058763225</f>
        <v>-1086.4546699525702</v>
      </c>
      <c r="G383">
        <f>-650.836300355569 -37.7324198054057 -486.441920376236</f>
        <v>-1175.0106405372107</v>
      </c>
      <c r="H383">
        <f>-647.991586023494 -33.6338440373249 -610.924662813727</f>
        <v>-1292.550092874546</v>
      </c>
      <c r="I383">
        <f>-610.96186792365 -25.8611116388918 -684.907078994635</f>
        <v>-1321.7300585571766</v>
      </c>
      <c r="J383">
        <f>-653.367077662658 -8.04872194217728 -555.338425381932</f>
        <v>-1216.7542249867672</v>
      </c>
      <c r="K383" t="s">
        <v>4170</v>
      </c>
      <c r="L383" t="s">
        <v>4171</v>
      </c>
      <c r="M383" t="s">
        <v>4172</v>
      </c>
      <c r="N383">
        <f>-645.119824151192 -62.8259772364947 -556.95353133986</f>
        <v>-1264.8993327275466</v>
      </c>
      <c r="O383">
        <f>-630.811864458831 -197.064016740176 -530.989388489756</f>
        <v>-1358.865269688763</v>
      </c>
      <c r="P383">
        <f>-670.161128743188 -259.504843470678 -246.131549110678</f>
        <v>-1175.7975213245441</v>
      </c>
      <c r="Q383">
        <f>-486.76470764985 -125.483907500117 -326.474606177139</f>
        <v>-938.72322132710599</v>
      </c>
      <c r="R383" t="s">
        <v>4173</v>
      </c>
      <c r="S383" t="s">
        <v>4174</v>
      </c>
      <c r="T383" t="s">
        <v>4175</v>
      </c>
      <c r="U383" t="s">
        <v>4176</v>
      </c>
      <c r="V383">
        <f>-592.951907473476 -125.244717011388 -96.6389450391797</f>
        <v>-814.83556952404376</v>
      </c>
      <c r="W383" t="s">
        <v>4177</v>
      </c>
      <c r="X383" t="s">
        <v>4178</v>
      </c>
      <c r="Y383" t="s">
        <v>4179</v>
      </c>
    </row>
    <row r="384" spans="1:25" x14ac:dyDescent="0.3">
      <c r="A384">
        <v>19150</v>
      </c>
      <c r="B384" t="s">
        <v>4180</v>
      </c>
      <c r="C384">
        <f>-607.837312184021 -31.7396321570159 -97.621961790898</f>
        <v>-737.1989061319349</v>
      </c>
      <c r="D384">
        <f>-633.228928615007 -38.3417716457666 -210.439907495111</f>
        <v>-882.01060775588462</v>
      </c>
      <c r="E384">
        <f>-643.700820250851 -39.9137153531588 -308.493595421539</f>
        <v>-992.1081310255488</v>
      </c>
      <c r="F384">
        <f>-649.204808434897 -39.7968864085801 -397.420129466919</f>
        <v>-1086.421824310396</v>
      </c>
      <c r="G384">
        <f>-650.38780734502 -38.0951385872652 -486.492966647563</f>
        <v>-1174.9759125798482</v>
      </c>
      <c r="H384">
        <f>-647.504952279021 -34.06227390301 -610.976781657028</f>
        <v>-1292.5440078390591</v>
      </c>
      <c r="I384">
        <f>-610.395351383903 -26.3206435265192 -684.922498444483</f>
        <v>-1321.6384933549052</v>
      </c>
      <c r="J384">
        <f>-652.893085325726 -8.44724993379373 -555.405616394084</f>
        <v>-1216.7459516536037</v>
      </c>
      <c r="K384" t="s">
        <v>4181</v>
      </c>
      <c r="L384" t="s">
        <v>4182</v>
      </c>
      <c r="M384" t="s">
        <v>4183</v>
      </c>
      <c r="N384">
        <f>-644.65401845988 -63.2265615804242 -556.989474257004</f>
        <v>-1264.8700542973083</v>
      </c>
      <c r="O384">
        <f>-630.33168263599 -197.454712422978 -531.000172742928</f>
        <v>-1358.7865678018961</v>
      </c>
      <c r="P384">
        <f>-669.816540262044 -259.979556378032 -246.179529567631</f>
        <v>-1175.9756262077071</v>
      </c>
      <c r="Q384">
        <f>-486.450642346013 -125.828055557066 -326.374424629259</f>
        <v>-938.65312253233799</v>
      </c>
      <c r="R384" t="s">
        <v>4184</v>
      </c>
      <c r="S384" t="s">
        <v>4185</v>
      </c>
      <c r="T384" t="s">
        <v>4186</v>
      </c>
      <c r="U384" t="s">
        <v>4187</v>
      </c>
      <c r="V384">
        <f>-592.821405420001 -125.486384654293 -96.6431036161115</f>
        <v>-814.95089369040556</v>
      </c>
      <c r="W384" t="s">
        <v>4188</v>
      </c>
      <c r="X384" t="s">
        <v>4189</v>
      </c>
      <c r="Y384" t="s">
        <v>4190</v>
      </c>
    </row>
    <row r="385" spans="1:25" x14ac:dyDescent="0.3">
      <c r="A385">
        <v>19200</v>
      </c>
      <c r="B385" t="s">
        <v>4191</v>
      </c>
      <c r="C385">
        <f>-607.609128252617 -32.1643669914697 -97.6409480913157</f>
        <v>-737.41444333540244</v>
      </c>
      <c r="D385">
        <f>-632.725565874582 -38.7881729545504 -210.519296385704</f>
        <v>-882.03303521483645</v>
      </c>
      <c r="E385">
        <f>-643.040248454983 -40.4340252558279 -308.588402705681</f>
        <v>-992.06267641649197</v>
      </c>
      <c r="F385">
        <f>-648.433174888315 -40.4106728261077 -397.521911526959</f>
        <v>-1086.3657592413815</v>
      </c>
      <c r="G385">
        <f>-649.535417761787 -38.83178078847 -486.597748053055</f>
        <v>-1174.964946603312</v>
      </c>
      <c r="H385">
        <f>-646.570725591699 -35.0042720347149 -611.086251607249</f>
        <v>-1292.6612492336628</v>
      </c>
      <c r="I385">
        <f>-609.314746745617 -27.4031221835564 -684.973051908735</f>
        <v>-1321.6909208379084</v>
      </c>
      <c r="J385">
        <f>-651.935091594727 -9.28870190326711 -555.559424246879</f>
        <v>-1216.7832177448731</v>
      </c>
      <c r="K385" t="s">
        <v>4192</v>
      </c>
      <c r="L385" t="s">
        <v>4193</v>
      </c>
      <c r="M385" t="s">
        <v>4194</v>
      </c>
      <c r="N385">
        <f>-643.815649904499 -64.0885037679658 -557.05087582599</f>
        <v>-1264.9550294984547</v>
      </c>
      <c r="O385">
        <f>-629.66542188531 -198.323927699644 -530.968145538841</f>
        <v>-1358.9574951237951</v>
      </c>
      <c r="P385">
        <f>-669.32714915544 -260.868364809697 -246.176398504738</f>
        <v>-1176.371912469875</v>
      </c>
      <c r="Q385">
        <f>-485.90541551553 -126.716134066823 -326.242162040456</f>
        <v>-938.86371162280898</v>
      </c>
      <c r="R385" t="s">
        <v>4195</v>
      </c>
      <c r="S385" t="s">
        <v>4196</v>
      </c>
      <c r="T385" t="s">
        <v>4197</v>
      </c>
      <c r="U385" t="s">
        <v>4198</v>
      </c>
      <c r="V385">
        <f>-592.582457888078 -125.848212346454 -96.6317458996415</f>
        <v>-815.06241613417353</v>
      </c>
      <c r="W385" t="s">
        <v>4199</v>
      </c>
      <c r="X385" t="s">
        <v>4200</v>
      </c>
      <c r="Y385" t="s">
        <v>4201</v>
      </c>
    </row>
    <row r="386" spans="1:25" x14ac:dyDescent="0.3">
      <c r="A386">
        <v>19250</v>
      </c>
      <c r="B386" t="s">
        <v>4202</v>
      </c>
      <c r="C386">
        <f>-607.393862545848 -32.2613491170546 -97.6371832365141</f>
        <v>-737.29239489941676</v>
      </c>
      <c r="D386">
        <f>-632.38577838382 -38.8637731140418 -210.544352118917</f>
        <v>-881.79390361677883</v>
      </c>
      <c r="E386">
        <f>-642.612302549063 -40.5243171224461 -308.622411494613</f>
        <v>-991.75903116612199</v>
      </c>
      <c r="F386">
        <f>-647.933149176676 -40.5276974859505 -397.560229979715</f>
        <v>-1086.0210766423415</v>
      </c>
      <c r="G386">
        <f>-648.971131358797 -38.9894951363681 -486.637807333243</f>
        <v>-1174.5984338284081</v>
      </c>
      <c r="H386">
        <f>-645.924765788534 -35.2334928338 -611.126441678979</f>
        <v>-1292.284700301313</v>
      </c>
      <c r="I386">
        <f>-608.608922746288 -27.6961263922799 -684.989462639474</f>
        <v>-1321.2945117780419</v>
      </c>
      <c r="J386">
        <f>-651.297950688428 -9.4820446680842 -555.617043026422</f>
        <v>-1216.3970383829342</v>
      </c>
      <c r="K386" t="s">
        <v>4203</v>
      </c>
      <c r="L386" t="s">
        <v>4204</v>
      </c>
      <c r="M386" t="s">
        <v>4205</v>
      </c>
      <c r="N386">
        <f>-643.232744722299 -64.2907579233125 -557.073148652915</f>
        <v>-1264.5966512985265</v>
      </c>
      <c r="O386">
        <f>-629.232016654825 -198.521571475249 -530.898191849993</f>
        <v>-1358.651779980067</v>
      </c>
      <c r="P386">
        <f>-669.234226845784 -260.913090925102 -246.120517526943</f>
        <v>-1176.2678352978289</v>
      </c>
      <c r="Q386">
        <f>-485.534400832168 -127.131378450356 -326.168503776026</f>
        <v>-938.83428305855</v>
      </c>
      <c r="R386" t="s">
        <v>4206</v>
      </c>
      <c r="S386" t="s">
        <v>4207</v>
      </c>
      <c r="T386" t="s">
        <v>4208</v>
      </c>
      <c r="U386" t="s">
        <v>4209</v>
      </c>
      <c r="V386">
        <f>-592.426258259263 -125.965531910684 -96.6306133471167</f>
        <v>-815.02240351706371</v>
      </c>
      <c r="W386" t="s">
        <v>4210</v>
      </c>
      <c r="X386" t="s">
        <v>4211</v>
      </c>
      <c r="Y386" t="s">
        <v>4212</v>
      </c>
    </row>
    <row r="387" spans="1:25" x14ac:dyDescent="0.3">
      <c r="A387">
        <v>19300</v>
      </c>
      <c r="B387" t="s">
        <v>4213</v>
      </c>
      <c r="C387">
        <f>-606.788675367149 -31.989729995355 -97.6303224407478</f>
        <v>-736.40872780325185</v>
      </c>
      <c r="D387">
        <f>-631.612483069649 -38.4942599631074 -210.580271424934</f>
        <v>-880.68701445769045</v>
      </c>
      <c r="E387">
        <f>-641.640417284749 -40.1587768062045 -308.678857330019</f>
        <v>-990.47805142097252</v>
      </c>
      <c r="F387">
        <f>-646.761457486274 -40.1978050874486 -397.62828545486</f>
        <v>-1084.5875480285827</v>
      </c>
      <c r="G387">
        <f>-647.579865239085 -38.7266773737351 -486.709209857973</f>
        <v>-1173.0157524707931</v>
      </c>
      <c r="H387">
        <f>-644.206914590622 -35.095969730015 -611.193245974085</f>
        <v>-1290.496130294722</v>
      </c>
      <c r="I387">
        <f>-606.676813951986 -27.6214653202298 -684.953966518476</f>
        <v>-1319.2522457906919</v>
      </c>
      <c r="J387">
        <f>-649.701056616443 -9.2849974144624 -555.72322639535</f>
        <v>-1214.7092804262554</v>
      </c>
      <c r="K387" t="s">
        <v>4214</v>
      </c>
      <c r="L387" t="s">
        <v>4215</v>
      </c>
      <c r="M387" t="s">
        <v>4216</v>
      </c>
      <c r="N387">
        <f>-641.681339517945 -64.1022923965689 -557.104835239555</f>
        <v>-1262.8884671540691</v>
      </c>
      <c r="O387">
        <f>-627.850688460961 -198.308898299844 -530.719139958135</f>
        <v>-1356.87872671894</v>
      </c>
      <c r="P387">
        <f>-668.777899427695 -260.323569149193 -245.990552585501</f>
        <v>-1175.0920211623891</v>
      </c>
      <c r="Q387">
        <f>-484.519223356634 -127.17501557369 -325.809487983801</f>
        <v>-937.50372691412497</v>
      </c>
      <c r="R387" t="s">
        <v>4217</v>
      </c>
      <c r="S387" t="s">
        <v>4218</v>
      </c>
      <c r="T387" t="s">
        <v>4219</v>
      </c>
      <c r="U387" t="s">
        <v>4220</v>
      </c>
      <c r="V387">
        <f>-592.048399735873 -125.545244305854 -96.6257307799667</f>
        <v>-814.21937482169369</v>
      </c>
      <c r="W387" t="s">
        <v>4221</v>
      </c>
      <c r="X387" t="s">
        <v>4222</v>
      </c>
      <c r="Y387" t="s">
        <v>4223</v>
      </c>
    </row>
    <row r="388" spans="1:25" x14ac:dyDescent="0.3">
      <c r="A388">
        <v>19350</v>
      </c>
      <c r="B388" t="s">
        <v>4224</v>
      </c>
      <c r="C388">
        <f>-606.358805763914 -31.7364719765553 -97.6239738863776</f>
        <v>-735.71925162684693</v>
      </c>
      <c r="D388">
        <f>-631.109252173267 -38.2022826320303 -210.592276530722</f>
        <v>-879.90381133601932</v>
      </c>
      <c r="E388">
        <f>-641.028034177124 -39.8566567396751 -308.702010598481</f>
        <v>-989.5867015152802</v>
      </c>
      <c r="F388">
        <f>-646.032248133721 -39.8943697906034 -397.658241015156</f>
        <v>-1083.5848589394805</v>
      </c>
      <c r="G388">
        <f>-646.716247122282 -38.4290770372561 -486.740420658199</f>
        <v>-1171.8857448177371</v>
      </c>
      <c r="H388">
        <f>-643.137012748443 -34.8140459657718 -611.218941842363</f>
        <v>-1289.1700005565779</v>
      </c>
      <c r="I388">
        <f>-605.439039584854 -27.3288983688346 -684.893052593056</f>
        <v>-1317.6609905467446</v>
      </c>
      <c r="J388">
        <f>-648.719088294741 -8.99551594713967 -555.761306793478</f>
        <v>-1213.4759110353586</v>
      </c>
      <c r="K388" t="s">
        <v>4225</v>
      </c>
      <c r="L388" t="s">
        <v>4226</v>
      </c>
      <c r="M388" t="s">
        <v>4227</v>
      </c>
      <c r="N388">
        <f>-640.704939066054 -63.814220428247 -557.122893325775</f>
        <v>-1261.6420528200761</v>
      </c>
      <c r="O388">
        <f>-626.919438123037 -198.017567220683 -530.677297355539</f>
        <v>-1355.614302699259</v>
      </c>
      <c r="P388">
        <f>-668.084289672292 -260.021096448157 -245.98063146229</f>
        <v>-1174.086017582739</v>
      </c>
      <c r="Q388">
        <f>-483.751092148211 -126.899572927078 -325.672609838957</f>
        <v>-936.32327491424599</v>
      </c>
      <c r="R388" t="s">
        <v>4228</v>
      </c>
      <c r="S388" t="s">
        <v>4229</v>
      </c>
      <c r="T388" t="s">
        <v>4230</v>
      </c>
      <c r="U388" t="s">
        <v>4231</v>
      </c>
      <c r="V388">
        <f>-591.680268662088 -125.266098371005 -96.6264706811735</f>
        <v>-813.57283771426648</v>
      </c>
      <c r="W388" t="s">
        <v>4232</v>
      </c>
      <c r="X388" t="s">
        <v>4233</v>
      </c>
      <c r="Y388" t="s">
        <v>4234</v>
      </c>
    </row>
    <row r="389" spans="1:25" x14ac:dyDescent="0.3">
      <c r="A389">
        <v>19400</v>
      </c>
      <c r="B389" t="s">
        <v>4235</v>
      </c>
      <c r="C389">
        <f>-605.292021480585 -31.417271075645 -97.607035434594</f>
        <v>-734.31632799082399</v>
      </c>
      <c r="D389">
        <f>-629.871411378959 -37.8048808011588 -210.61712954646</f>
        <v>-878.29342172657778</v>
      </c>
      <c r="E389">
        <f>-639.607917085648 -39.4578623815687 -308.745240548226</f>
        <v>-987.81102001544264</v>
      </c>
      <c r="F389">
        <f>-644.434236287935 -39.5180654246069 -397.711169996597</f>
        <v>-1081.663471709139</v>
      </c>
      <c r="G389">
        <f>-644.927884143639 -38.0985064038459 -486.795341265227</f>
        <v>-1169.821731812712</v>
      </c>
      <c r="H389">
        <f>-641.070443795043 -34.5701019607238 -611.26815116243</f>
        <v>-1286.9086969181967</v>
      </c>
      <c r="I389">
        <f>-603.052917028734 -27.0673255776014 -684.775962498471</f>
        <v>-1314.8962051048065</v>
      </c>
      <c r="J389">
        <f>-646.776450894417 -8.71290026192742 -555.841096061049</f>
        <v>-1211.3304472173936</v>
      </c>
      <c r="K389" t="s">
        <v>4236</v>
      </c>
      <c r="L389" t="s">
        <v>4237</v>
      </c>
      <c r="M389" t="s">
        <v>4238</v>
      </c>
      <c r="N389">
        <f>-638.759346643329 -63.5325126098107 -557.14656035301</f>
        <v>-1259.4384196061496</v>
      </c>
      <c r="O389">
        <f>-624.981540996319 -197.717976507024 -530.643706906288</f>
        <v>-1353.3432244096311</v>
      </c>
      <c r="P389">
        <f>-666.30513896287 -260.048893445638 -246.041509907526</f>
        <v>-1172.3955423160342</v>
      </c>
      <c r="Q389">
        <f>-481.96148221106 -126.811382375254 -325.515170826447</f>
        <v>-934.28803541276102</v>
      </c>
      <c r="R389" t="s">
        <v>4239</v>
      </c>
      <c r="S389" t="s">
        <v>4240</v>
      </c>
      <c r="T389" t="s">
        <v>4241</v>
      </c>
      <c r="U389" t="s">
        <v>4242</v>
      </c>
      <c r="V389">
        <f>-590.751444001716 -124.909676904151 -96.6085525620784</f>
        <v>-812.26967346794538</v>
      </c>
      <c r="W389" t="s">
        <v>4243</v>
      </c>
      <c r="X389" t="s">
        <v>4244</v>
      </c>
      <c r="Y389" t="s">
        <v>4245</v>
      </c>
    </row>
    <row r="390" spans="1:25" x14ac:dyDescent="0.3">
      <c r="A390">
        <v>19450</v>
      </c>
      <c r="B390" t="s">
        <v>4246</v>
      </c>
      <c r="C390">
        <f>-604.714805683226 -31.2948952396905 -97.5722783806352</f>
        <v>-733.58197930355175</v>
      </c>
      <c r="D390">
        <f>-629.212165390423 -37.6478896092171 -210.60208959983</f>
        <v>-877.46214459947021</v>
      </c>
      <c r="E390">
        <f>-638.878827939612 -39.2934338671428 -308.73722117787</f>
        <v>-986.9094829846249</v>
      </c>
      <c r="F390">
        <f>-643.642808802329 -39.3553718577061 -397.706508340081</f>
        <v>-1080.7046890001161</v>
      </c>
      <c r="G390">
        <f>-644.075028526115 -37.9455183397179 -486.791122953297</f>
        <v>-1168.81166981913</v>
      </c>
      <c r="H390">
        <f>-640.133033149215 -34.4385482493806 -611.261965631257</f>
        <v>-1285.8335470298525</v>
      </c>
      <c r="I390">
        <f>-601.992300183483 -26.8905562284599 -684.701388490899</f>
        <v>-1313.5842449028419</v>
      </c>
      <c r="J390">
        <f>-645.89933751994 -8.57519731308003 -555.843950014477</f>
        <v>-1210.3184848474971</v>
      </c>
      <c r="K390" t="s">
        <v>4247</v>
      </c>
      <c r="L390" t="s">
        <v>4248</v>
      </c>
      <c r="M390" t="s">
        <v>4249</v>
      </c>
      <c r="N390">
        <f>-637.835973206724 -63.388359998825 -557.132983205512</f>
        <v>-1258.357316411061</v>
      </c>
      <c r="O390">
        <f>-623.925389471029 -197.557884833882 -530.616586925951</f>
        <v>-1352.099861230862</v>
      </c>
      <c r="P390">
        <f>-665.400419390705 -260.023566886696 -246.065921735607</f>
        <v>-1171.4899080130081</v>
      </c>
      <c r="Q390">
        <f>-481.107460960038 -126.613609050838 -325.367790602975</f>
        <v>-933.08886061385101</v>
      </c>
      <c r="R390" t="s">
        <v>4250</v>
      </c>
      <c r="S390" t="s">
        <v>4251</v>
      </c>
      <c r="T390" t="s">
        <v>4252</v>
      </c>
      <c r="U390" t="s">
        <v>4253</v>
      </c>
      <c r="V390">
        <f>-590.208135630152 -124.710969888787 -96.5941452777391</f>
        <v>-811.51325079667811</v>
      </c>
      <c r="W390" t="s">
        <v>4254</v>
      </c>
      <c r="X390" t="s">
        <v>4255</v>
      </c>
      <c r="Y390" t="s">
        <v>4256</v>
      </c>
    </row>
    <row r="391" spans="1:25" x14ac:dyDescent="0.3">
      <c r="A391">
        <v>19500</v>
      </c>
      <c r="B391" t="s">
        <v>4257</v>
      </c>
      <c r="C391">
        <f>-603.529786872254 -31.1753864362056 -97.5262503826946</f>
        <v>-732.23142369115419</v>
      </c>
      <c r="D391">
        <f>-627.885070881642 -37.5517953865051 -210.58544052445</f>
        <v>-876.02230679259719</v>
      </c>
      <c r="E391">
        <f>-637.382943055915 -39.1985796875736 -308.737069545333</f>
        <v>-985.31859228882149</v>
      </c>
      <c r="F391">
        <f>-641.974900841524 -39.2563796059862 -397.715400987668</f>
        <v>-1078.9466814351781</v>
      </c>
      <c r="G391">
        <f>-642.216008825291 -37.8367942793082 -486.800699854754</f>
        <v>-1166.8535029593531</v>
      </c>
      <c r="H391">
        <f>-637.986823259978 -34.3111119024336 -611.26150804348</f>
        <v>-1283.5594432058915</v>
      </c>
      <c r="I391">
        <f>-599.601730245632 -26.5977090254892 -684.556260341604</f>
        <v>-1310.755699612725</v>
      </c>
      <c r="J391">
        <f>-643.941029037601 -8.46494982873287 -555.855322966056</f>
        <v>-1208.2613018323898</v>
      </c>
      <c r="K391" t="s">
        <v>4258</v>
      </c>
      <c r="L391" t="s">
        <v>4259</v>
      </c>
      <c r="M391" t="s">
        <v>4260</v>
      </c>
      <c r="N391">
        <f>-635.754696383831 -63.260245763236 -557.129417976044</f>
        <v>-1256.1443601231108</v>
      </c>
      <c r="O391">
        <f>-621.460301974447 -197.404890864093 -530.691918557681</f>
        <v>-1349.557111396221</v>
      </c>
      <c r="P391">
        <f>-663.085641474729 -260.069833690768 -246.20701128234</f>
        <v>-1169.362486447837</v>
      </c>
      <c r="Q391">
        <f>-479.04787647943 -126.045473026172 -325.064113510911</f>
        <v>-930.15746301651302</v>
      </c>
      <c r="R391" t="s">
        <v>4261</v>
      </c>
      <c r="S391" t="s">
        <v>4262</v>
      </c>
      <c r="T391" t="s">
        <v>4263</v>
      </c>
      <c r="U391" t="s">
        <v>4264</v>
      </c>
      <c r="V391">
        <f>-588.78617111228 -124.663715236523 -96.5673397075196</f>
        <v>-810.01722605632267</v>
      </c>
      <c r="W391" t="s">
        <v>4265</v>
      </c>
      <c r="X391" t="s">
        <v>4266</v>
      </c>
      <c r="Y391" t="s">
        <v>4267</v>
      </c>
    </row>
    <row r="392" spans="1:25" x14ac:dyDescent="0.3">
      <c r="A392">
        <v>19550</v>
      </c>
      <c r="B392" t="s">
        <v>4268</v>
      </c>
      <c r="C392">
        <f>-602.880774734019 -31.2133360922323 -97.529430504972</f>
        <v>-731.62354133122335</v>
      </c>
      <c r="D392">
        <f>-627.144753711556 -37.5936451305759 -210.608088136467</f>
        <v>-875.34648697859882</v>
      </c>
      <c r="E392">
        <f>-636.528874598169 -39.2231659802053 -308.770833312075</f>
        <v>-984.52287389044932</v>
      </c>
      <c r="F392">
        <f>-641.003229075232 -39.2598622846986 -397.755255465302</f>
        <v>-1078.0183468252326</v>
      </c>
      <c r="G392">
        <f>-641.111512110582 -37.8140474766567 -486.840337732795</f>
        <v>-1165.7658973200337</v>
      </c>
      <c r="H392">
        <f>-636.681006096811 -34.2469692003165 -611.292941028283</f>
        <v>-1282.2209163254106</v>
      </c>
      <c r="I392">
        <f>-598.173614246978 -26.4388451878226 -684.513395175704</f>
        <v>-1309.1258546105046</v>
      </c>
      <c r="J392">
        <f>-642.734791028353 -8.42072803583415 -555.888288247112</f>
        <v>-1207.0438073112991</v>
      </c>
      <c r="K392" t="s">
        <v>4269</v>
      </c>
      <c r="L392" t="s">
        <v>4270</v>
      </c>
      <c r="M392" t="s">
        <v>4271</v>
      </c>
      <c r="N392">
        <f>-634.52654519769 -63.2126283279835 -557.166530744248</f>
        <v>-1254.9057042699214</v>
      </c>
      <c r="O392">
        <f>-620.142761600561 -197.370323078321 -530.820173212913</f>
        <v>-1348.333257891795</v>
      </c>
      <c r="P392">
        <f>-661.787617558552 -260.341200673435 -246.405800107592</f>
        <v>-1168.5346183395791</v>
      </c>
      <c r="Q392">
        <f>-477.914224427023 -125.914468877148 -324.960673377603</f>
        <v>-928.78936668177403</v>
      </c>
      <c r="R392" t="s">
        <v>4272</v>
      </c>
      <c r="S392" t="s">
        <v>4273</v>
      </c>
      <c r="T392" t="s">
        <v>4274</v>
      </c>
      <c r="U392" t="s">
        <v>4275</v>
      </c>
      <c r="V392">
        <f>-588.017804632365 -124.754087231874 -96.5657132084111</f>
        <v>-809.33760507265015</v>
      </c>
      <c r="W392" t="s">
        <v>4276</v>
      </c>
      <c r="X392" t="s">
        <v>4277</v>
      </c>
      <c r="Y392" t="s">
        <v>4278</v>
      </c>
    </row>
    <row r="393" spans="1:25" x14ac:dyDescent="0.3">
      <c r="A393">
        <v>19600</v>
      </c>
      <c r="B393" t="s">
        <v>4279</v>
      </c>
      <c r="C393">
        <f>-601.423828964428 -31.3934542573074 -97.4825963151973</f>
        <v>-730.29987953693274</v>
      </c>
      <c r="D393">
        <f>-625.454776218046 -37.6971459454651 -210.615252268754</f>
        <v>-873.76717443226516</v>
      </c>
      <c r="E393">
        <f>-634.581548109286 -39.2337970426554 -308.803796569883</f>
        <v>-982.61914172182446</v>
      </c>
      <c r="F393">
        <f>-638.800089999991 -39.1764087081906 -397.800798255587</f>
        <v>-1075.7772969637685</v>
      </c>
      <c r="G393">
        <f>-638.629872986866 -37.6265515971263 -486.883856711948</f>
        <v>-1163.1402812959402</v>
      </c>
      <c r="H393">
        <f>-633.786405423339 -33.9044884775872 -611.316675089553</f>
        <v>-1279.0075689904793</v>
      </c>
      <c r="I393">
        <f>-595.043595063872 -25.883699178331 -684.389756567253</f>
        <v>-1305.3170508094558</v>
      </c>
      <c r="J393">
        <f>-640.049412976811 -8.15102068570468 -555.901346637508</f>
        <v>-1204.1017803000236</v>
      </c>
      <c r="K393" t="s">
        <v>4280</v>
      </c>
      <c r="L393" t="s">
        <v>4281</v>
      </c>
      <c r="M393" t="s">
        <v>4282</v>
      </c>
      <c r="N393">
        <f>-631.786195497632 -62.9338075588284 -557.218508987858</f>
        <v>-1251.9385120443185</v>
      </c>
      <c r="O393">
        <f>-617.302314681127 -197.121896156727 -531.06990825033</f>
        <v>-1345.4941190881839</v>
      </c>
      <c r="P393">
        <f>-659.560068768547 -260.829479544443 -246.909980037623</f>
        <v>-1167.2995283506129</v>
      </c>
      <c r="Q393">
        <f>-475.709907118309 -125.980039832191 -324.791979002543</f>
        <v>-926.48192595304295</v>
      </c>
      <c r="R393" t="s">
        <v>4283</v>
      </c>
      <c r="S393" t="s">
        <v>4284</v>
      </c>
      <c r="T393" t="s">
        <v>4285</v>
      </c>
      <c r="U393" t="s">
        <v>4286</v>
      </c>
      <c r="V393">
        <f>-586.536223758738 -124.943134715671 -96.5327785016207</f>
        <v>-808.01213697602964</v>
      </c>
      <c r="W393" t="s">
        <v>4287</v>
      </c>
      <c r="X393" t="s">
        <v>4288</v>
      </c>
      <c r="Y393" t="s">
        <v>4289</v>
      </c>
    </row>
    <row r="394" spans="1:25" x14ac:dyDescent="0.3">
      <c r="A394">
        <v>19650</v>
      </c>
      <c r="B394" t="s">
        <v>4290</v>
      </c>
      <c r="C394">
        <f>-600.750870619318 -31.4823103378396 -97.423241319816</f>
        <v>-729.65642227697367</v>
      </c>
      <c r="D394">
        <f>-624.677270956913 -37.7267912150417 -210.581339031379</f>
        <v>-872.98540120333371</v>
      </c>
      <c r="E394">
        <f>-633.656192383408 -39.1920688517789 -308.784611572202</f>
        <v>-981.63287280738882</v>
      </c>
      <c r="F394">
        <f>-637.717738618995 -39.0619439296158 -397.788752554839</f>
        <v>-1074.5684351034497</v>
      </c>
      <c r="G394">
        <f>-637.367512932789 -37.4310043601583 -486.869939326131</f>
        <v>-1161.6684566190784</v>
      </c>
      <c r="H394">
        <f>-632.248836822157 -33.5865620873715 -611.287870957203</f>
        <v>-1277.1232698667316</v>
      </c>
      <c r="I394">
        <f>-593.328914766212 -25.4023633516176 -684.248704820455</f>
        <v>-1302.9799829382846</v>
      </c>
      <c r="J394">
        <f>-638.649782920282 -7.88985914308955 -555.86206049462</f>
        <v>-1202.4017025579915</v>
      </c>
      <c r="K394" t="s">
        <v>4291</v>
      </c>
      <c r="L394" t="s">
        <v>4292</v>
      </c>
      <c r="M394" t="s">
        <v>4293</v>
      </c>
      <c r="N394">
        <f>-630.3528712385 -62.6666812291019 -557.213412549326</f>
        <v>-1250.2329650169279</v>
      </c>
      <c r="O394">
        <f>-615.841888927055 -196.878961814215 -531.1863719351</f>
        <v>-1343.9072226763701</v>
      </c>
      <c r="P394">
        <f>-658.545570140692 -260.783195123686 -247.137283829049</f>
        <v>-1166.466049093427</v>
      </c>
      <c r="Q394">
        <f>-474.61634804161 -125.816118068497 -324.628072744999</f>
        <v>-925.06053885510596</v>
      </c>
      <c r="R394" t="s">
        <v>4294</v>
      </c>
      <c r="S394" t="s">
        <v>4295</v>
      </c>
      <c r="T394" t="s">
        <v>4296</v>
      </c>
      <c r="U394" t="s">
        <v>4297</v>
      </c>
      <c r="V394">
        <f>-585.844135999751 -125.068023823572 -96.5129822569018</f>
        <v>-807.42514208022476</v>
      </c>
      <c r="W394" t="s">
        <v>4298</v>
      </c>
      <c r="X394" t="s">
        <v>4299</v>
      </c>
      <c r="Y394" t="s">
        <v>4300</v>
      </c>
    </row>
    <row r="395" spans="1:25" x14ac:dyDescent="0.3">
      <c r="A395">
        <v>19700</v>
      </c>
      <c r="B395" t="s">
        <v>4301</v>
      </c>
      <c r="C395">
        <f>-599.342856859069 -31.5595892153196 -97.2858774419831</f>
        <v>-728.18832351637172</v>
      </c>
      <c r="D395">
        <f>-623.05112138611 -37.7208562310227 -210.494376210149</f>
        <v>-871.2663538272817</v>
      </c>
      <c r="E395">
        <f>-631.712175164679 -38.9581244092294 -308.72947251255</f>
        <v>-979.39977208645837</v>
      </c>
      <c r="F395">
        <f>-635.43331759614 -38.5597807898027 -397.747535155613</f>
        <v>-1071.7406335415558</v>
      </c>
      <c r="G395">
        <f>-634.689820615918 -36.5993580260583 -486.819717560923</f>
        <v>-1158.1088962028994</v>
      </c>
      <c r="H395">
        <f>-628.966612611389 -32.2310216121991 -611.194099592755</f>
        <v>-1272.3917338163433</v>
      </c>
      <c r="I395">
        <f>-589.653607381706 -23.6432024955616 -683.897383174309</f>
        <v>-1297.1941930515766</v>
      </c>
      <c r="J395">
        <f>-635.627405761824 -6.76644386536941 -555.691841256234</f>
        <v>-1198.0856908834276</v>
      </c>
      <c r="K395" t="s">
        <v>4302</v>
      </c>
      <c r="L395" t="s">
        <v>4303</v>
      </c>
      <c r="M395" t="s">
        <v>4304</v>
      </c>
      <c r="N395">
        <f>-627.342824429424 -61.540012642354 -557.234421935641</f>
        <v>-1246.1172590074189</v>
      </c>
      <c r="O395">
        <f>-613.059582747006 -195.84633431369 -531.576622428381</f>
        <v>-1340.482539489077</v>
      </c>
      <c r="P395">
        <f>-656.615008789366 -260.551219916086 -247.838294432005</f>
        <v>-1165.004523137457</v>
      </c>
      <c r="Q395">
        <f>-472.388649786263 -125.436162503678 -324.35927588341</f>
        <v>-922.18408817335103</v>
      </c>
      <c r="R395" t="s">
        <v>4305</v>
      </c>
      <c r="S395" t="s">
        <v>4306</v>
      </c>
      <c r="T395" t="s">
        <v>4307</v>
      </c>
      <c r="U395" t="s">
        <v>4308</v>
      </c>
      <c r="V395">
        <f>-584.486643736184 -125.165961322104 -96.4456188656909</f>
        <v>-806.09822392397882</v>
      </c>
      <c r="W395" t="s">
        <v>4309</v>
      </c>
      <c r="X395" t="s">
        <v>4310</v>
      </c>
      <c r="Y395" t="s">
        <v>4311</v>
      </c>
    </row>
    <row r="396" spans="1:25" x14ac:dyDescent="0.3">
      <c r="A396">
        <v>19750</v>
      </c>
      <c r="B396" t="s">
        <v>4312</v>
      </c>
      <c r="C396">
        <f>-598.720952762886 -31.6062378672348 -97.2323666436288</f>
        <v>-727.55955727374953</v>
      </c>
      <c r="D396">
        <f>-622.272946664625 -37.675000219195 -210.478457431275</f>
        <v>-870.42640431509494</v>
      </c>
      <c r="E396">
        <f>-630.766003568085 -38.7760921349852 -308.729834831367</f>
        <v>-978.27193053443716</v>
      </c>
      <c r="F396">
        <f>-634.322139895141 -38.2313673013973 -397.753937794062</f>
        <v>-1070.3074449906003</v>
      </c>
      <c r="G396">
        <f>-633.400622343211 -36.1009453410334 -486.820607184466</f>
        <v>-1156.3221748687104</v>
      </c>
      <c r="H396">
        <f>-627.415551197881 -31.470819679982 -611.173020601228</f>
        <v>-1270.0593914790911</v>
      </c>
      <c r="I396">
        <f>-587.9039451335 -22.7083466874776 -683.747732229116</f>
        <v>-1294.3600240500937</v>
      </c>
      <c r="J396">
        <f>-634.184738334397 -6.12193558999093 -555.631039278495</f>
        <v>-1195.9377132028831</v>
      </c>
      <c r="K396" t="s">
        <v>4313</v>
      </c>
      <c r="L396" t="s">
        <v>4314</v>
      </c>
      <c r="M396" t="s">
        <v>4315</v>
      </c>
      <c r="N396">
        <f>-625.913743425584 -60.8947920088824 -557.272251524712</f>
        <v>-1244.0807869591786</v>
      </c>
      <c r="O396">
        <f>-611.772956555251 -195.247382709946 -531.817152364612</f>
        <v>-1338.8374916298089</v>
      </c>
      <c r="P396">
        <f>-655.962939487003 -260.522993798176 -248.307729642184</f>
        <v>-1164.7936629273631</v>
      </c>
      <c r="Q396">
        <f>-471.45360707796 -125.472061320507 -324.257894761422</f>
        <v>-921.18356315988899</v>
      </c>
      <c r="R396" t="s">
        <v>4316</v>
      </c>
      <c r="S396" t="s">
        <v>4317</v>
      </c>
      <c r="T396" t="s">
        <v>4318</v>
      </c>
      <c r="U396" t="s">
        <v>4319</v>
      </c>
      <c r="V396">
        <f>-583.99275301137 -125.221137587999 -96.4328781759884</f>
        <v>-805.64676877535749</v>
      </c>
      <c r="W396" t="s">
        <v>4320</v>
      </c>
      <c r="X396" t="s">
        <v>4321</v>
      </c>
      <c r="Y396" t="s">
        <v>4322</v>
      </c>
    </row>
    <row r="397" spans="1:25" x14ac:dyDescent="0.3">
      <c r="A397">
        <v>19800</v>
      </c>
      <c r="B397" t="s">
        <v>4323</v>
      </c>
      <c r="C397">
        <f>-598.188237474514 -31.609871158013 -97.2051965865492</f>
        <v>-727.0033052190762</v>
      </c>
      <c r="D397">
        <f>-621.582926384968 -37.5863916052076 -210.488848031882</f>
        <v>-869.65816602205757</v>
      </c>
      <c r="E397">
        <f>-629.929514324074 -38.5762410948491 -308.753801608363</f>
        <v>-977.25955702728618</v>
      </c>
      <c r="F397">
        <f>-633.349302968468 -37.9163194936625 -397.782548756686</f>
        <v>-1069.0481712188166</v>
      </c>
      <c r="G397">
        <f>-632.288255822751 -35.6557462679352 -486.844441915005</f>
        <v>-1154.7884440056912</v>
      </c>
      <c r="H397">
        <f>-626.105328440887 -30.8269979394402 -611.179660802262</f>
        <v>-1268.111987182589</v>
      </c>
      <c r="I397">
        <f>-586.408452117452 -21.907535485587 -683.633944851535</f>
        <v>-1291.9499324545741</v>
      </c>
      <c r="J397">
        <f>-632.971165279951 -5.56803347008372 -555.608526199209</f>
        <v>-1194.1477249492436</v>
      </c>
      <c r="K397" t="s">
        <v>4324</v>
      </c>
      <c r="L397" t="s">
        <v>4325</v>
      </c>
      <c r="M397" t="s">
        <v>4326</v>
      </c>
      <c r="N397">
        <f>-624.681038706906 -60.3356387127762 -557.323232935584</f>
        <v>-1242.3399103552661</v>
      </c>
      <c r="O397">
        <f>-610.622462475264 -194.715478051007 -532.010235874021</f>
        <v>-1337.348176400292</v>
      </c>
      <c r="P397">
        <f>-655.421203247261 -260.540460322361 -248.723443800931</f>
        <v>-1164.6851073705529</v>
      </c>
      <c r="Q397">
        <f>-470.633532577006 -125.565998855065 -324.13104180195</f>
        <v>-920.33057323402102</v>
      </c>
      <c r="R397" t="s">
        <v>4327</v>
      </c>
      <c r="S397" t="s">
        <v>4328</v>
      </c>
      <c r="T397" t="s">
        <v>4329</v>
      </c>
      <c r="U397" t="s">
        <v>4330</v>
      </c>
      <c r="V397">
        <f>-583.54912196616 -125.263936067156 -96.4338950118463</f>
        <v>-805.24695304516229</v>
      </c>
      <c r="W397" t="s">
        <v>4331</v>
      </c>
      <c r="X397" t="s">
        <v>4332</v>
      </c>
      <c r="Y397" t="s">
        <v>4333</v>
      </c>
    </row>
    <row r="398" spans="1:25" x14ac:dyDescent="0.3">
      <c r="A398">
        <v>19850</v>
      </c>
      <c r="B398" t="s">
        <v>4334</v>
      </c>
      <c r="C398">
        <f>-597.147752362495 -31.6323944795677 -97.1056882386645</f>
        <v>-725.88583508072713</v>
      </c>
      <c r="D398">
        <f>-620.250800505364 -37.5354661118395 -210.453067104016</f>
        <v>-868.23933372121951</v>
      </c>
      <c r="E398">
        <f>-628.305103546269 -38.4272228382408 -308.743335340923</f>
        <v>-975.47566172543293</v>
      </c>
      <c r="F398">
        <f>-631.444958559687 -37.6633304718439 -397.781592053586</f>
        <v>-1066.8898810851169</v>
      </c>
      <c r="G398">
        <f>-630.0891430877 -35.2819105596441 -486.836208847717</f>
        <v>-1152.2072624950611</v>
      </c>
      <c r="H398">
        <f>-623.479645100665 -30.2654627733516 -611.142165045188</f>
        <v>-1264.8872729192046</v>
      </c>
      <c r="I398">
        <f>-583.41242694245 -21.0263142299898 -683.352183065673</f>
        <v>-1287.7909242381129</v>
      </c>
      <c r="J398">
        <f>-630.604801585246 -5.10070085016241 -555.560891290278</f>
        <v>-1191.2663937256866</v>
      </c>
      <c r="K398" t="s">
        <v>4335</v>
      </c>
      <c r="L398" t="s">
        <v>4336</v>
      </c>
      <c r="M398" t="s">
        <v>4337</v>
      </c>
      <c r="N398">
        <f>-622.171530741961 -59.8451374225497 -557.321607404362</f>
        <v>-1239.3382755688726</v>
      </c>
      <c r="O398">
        <f>-607.896098231596 -194.233132196037 -532.150754565002</f>
        <v>-1334.279984992635</v>
      </c>
      <c r="P398">
        <f>-653.635171410713 -260.670863359456 -249.157520551363</f>
        <v>-1163.4635553215321</v>
      </c>
      <c r="Q398">
        <f>-468.69789161313 -125.371188769603 -323.609144483575</f>
        <v>-917.67822486630803</v>
      </c>
      <c r="R398" t="s">
        <v>4338</v>
      </c>
      <c r="S398" t="s">
        <v>4339</v>
      </c>
      <c r="T398" t="s">
        <v>4340</v>
      </c>
      <c r="U398" t="s">
        <v>4341</v>
      </c>
      <c r="V398">
        <f>-582.42672804906 -125.290983945855 -96.3833227843548</f>
        <v>-804.10103477926987</v>
      </c>
      <c r="W398" t="s">
        <v>4342</v>
      </c>
      <c r="X398" t="s">
        <v>4343</v>
      </c>
      <c r="Y398" t="s">
        <v>4344</v>
      </c>
    </row>
    <row r="399" spans="1:25" x14ac:dyDescent="0.3">
      <c r="A399">
        <v>19900</v>
      </c>
      <c r="B399" t="s">
        <v>4345</v>
      </c>
      <c r="C399">
        <f>-595.972975442404 -31.572017897184 -97.009658348432</f>
        <v>-724.55465168802004</v>
      </c>
      <c r="D399">
        <f>-618.726906274907 -37.4776234921324 -210.42745479142</f>
        <v>-866.63198455845941</v>
      </c>
      <c r="E399">
        <f>-626.447592269171 -38.3315836178467 -308.744964872637</f>
        <v>-973.52414075965476</v>
      </c>
      <c r="F399">
        <f>-629.272636802104 -37.5190999598697 -397.793330985012</f>
        <v>-1064.5850677469857</v>
      </c>
      <c r="G399">
        <f>-627.589782140138 -35.0726318542377 -486.840436874581</f>
        <v>-1149.5028508689566</v>
      </c>
      <c r="H399">
        <f>-620.511483183993 -29.9472894734311 -611.116193490614</f>
        <v>-1261.5749661480381</v>
      </c>
      <c r="I399">
        <f>-580.153111999293 -20.3447273444363 -683.116289355583</f>
        <v>-1283.6141286993122</v>
      </c>
      <c r="J399">
        <f>-627.975007414897 -4.85117553954183 -555.548300333722</f>
        <v>-1188.3744832881607</v>
      </c>
      <c r="K399" t="s">
        <v>4346</v>
      </c>
      <c r="L399" t="s">
        <v>4347</v>
      </c>
      <c r="M399" t="s">
        <v>4348</v>
      </c>
      <c r="N399">
        <f>-619.277658701272 -59.5541258099154 -557.308993538204</f>
        <v>-1236.1407780493914</v>
      </c>
      <c r="O399">
        <f>-604.462389303722 -193.88900917336 -532.156223425216</f>
        <v>-1330.5076219022981</v>
      </c>
      <c r="P399">
        <f>-650.824032651237 -260.905853602604 -249.400905810499</f>
        <v>-1161.1307920643399</v>
      </c>
      <c r="Q399">
        <f>-466.363725743519 -124.520976886712 -323.051805497885</f>
        <v>-913.93650812811597</v>
      </c>
      <c r="R399" t="s">
        <v>4349</v>
      </c>
      <c r="S399" t="s">
        <v>4350</v>
      </c>
      <c r="T399" t="s">
        <v>4351</v>
      </c>
      <c r="U399" t="s">
        <v>4352</v>
      </c>
      <c r="V399">
        <f>-580.977265038149 -125.082220909464 -96.3022851748508</f>
        <v>-802.36177112246378</v>
      </c>
      <c r="W399" t="s">
        <v>4353</v>
      </c>
      <c r="X399" t="s">
        <v>4354</v>
      </c>
      <c r="Y399" t="s">
        <v>4355</v>
      </c>
    </row>
    <row r="400" spans="1:25" x14ac:dyDescent="0.3">
      <c r="A400">
        <v>19950</v>
      </c>
      <c r="B400" t="s">
        <v>4356</v>
      </c>
      <c r="C400">
        <f>-595.43285957217 -31.4526653662379 -96.9525770567253</f>
        <v>-723.83810199513312</v>
      </c>
      <c r="D400">
        <f>-618.011441883733 -37.4016866895729 -210.403114770551</f>
        <v>-865.81624334385697</v>
      </c>
      <c r="E400">
        <f>-625.570820582136 -38.2686165903472 -308.733153396181</f>
        <v>-972.57259056866417</v>
      </c>
      <c r="F400">
        <f>-628.245819774657 -37.4595299377784 -397.785946449426</f>
        <v>-1063.4912961618613</v>
      </c>
      <c r="G400">
        <f>-626.409115002295 -35.0065758408909 -486.830156080709</f>
        <v>-1148.245846923895</v>
      </c>
      <c r="H400">
        <f>-619.112347540243 -29.8626176403484 -611.092374916131</f>
        <v>-1260.0673400967225</v>
      </c>
      <c r="I400">
        <f>-578.627290818654 -20.0983918497143 -682.999678055046</f>
        <v>-1281.7253607234143</v>
      </c>
      <c r="J400">
        <f>-626.753129619573 -4.78750101693072 -555.53903486148</f>
        <v>-1187.0796654979836</v>
      </c>
      <c r="K400" t="s">
        <v>4357</v>
      </c>
      <c r="L400" t="s">
        <v>4358</v>
      </c>
      <c r="M400" t="s">
        <v>4359</v>
      </c>
      <c r="N400">
        <f>-617.893424355999 -59.4649521913066 -557.282320550748</f>
        <v>-1234.6406970980534</v>
      </c>
      <c r="O400">
        <f>-602.705569467282 -193.75703140587 -532.108304087436</f>
        <v>-1328.570904960588</v>
      </c>
      <c r="P400">
        <f>-649.257342903694 -261.060620625554 -249.452360354819</f>
        <v>-1159.7703238840672</v>
      </c>
      <c r="Q400">
        <f>-465.193465046433 -123.956619368152 -322.758869123642</f>
        <v>-911.90895353822702</v>
      </c>
      <c r="R400" t="s">
        <v>4360</v>
      </c>
      <c r="S400" t="s">
        <v>4361</v>
      </c>
      <c r="T400" t="s">
        <v>4362</v>
      </c>
      <c r="U400" t="s">
        <v>4363</v>
      </c>
      <c r="V400">
        <f>-580.265640113885 -124.966435043659 -96.2453061595209</f>
        <v>-801.47738131706478</v>
      </c>
      <c r="W400" t="s">
        <v>4364</v>
      </c>
      <c r="X400" t="s">
        <v>4365</v>
      </c>
      <c r="Y400" t="s">
        <v>4366</v>
      </c>
    </row>
    <row r="401" spans="1:25" x14ac:dyDescent="0.3">
      <c r="A401">
        <v>20000</v>
      </c>
      <c r="B401" t="s">
        <v>4367</v>
      </c>
      <c r="C401">
        <f>-594.457293948309 -31.2491374500012 -96.8725687647263</f>
        <v>-722.57900016303654</v>
      </c>
      <c r="D401">
        <f>-616.713803836802 -37.3135674386876 -210.380598842654</f>
        <v>-864.40797011814357</v>
      </c>
      <c r="E401">
        <f>-623.957104634039 -38.2442501661646 -308.733809956443</f>
        <v>-970.9351647566466</v>
      </c>
      <c r="F401">
        <f>-626.330525191251 -37.4811938074708 -397.79565067041</f>
        <v>-1061.6073696691319</v>
      </c>
      <c r="G401">
        <f>-624.177632523098 -35.0602336796305 -486.833511009728</f>
        <v>-1146.0713772124566</v>
      </c>
      <c r="H401">
        <f>-616.423995090683 -29.9457484463462 -611.069310739317</f>
        <v>-1257.4390542763463</v>
      </c>
      <c r="I401">
        <f>-575.684712376905 -19.9352264908498 -682.798830110059</f>
        <v>-1278.4187689778139</v>
      </c>
      <c r="J401">
        <f>-624.433367217618 -4.8842071840379 -555.561895510907</f>
        <v>-1184.8794699125629</v>
      </c>
      <c r="K401" t="s">
        <v>4368</v>
      </c>
      <c r="L401" t="s">
        <v>4369</v>
      </c>
      <c r="M401" t="s">
        <v>4370</v>
      </c>
      <c r="N401">
        <f>-615.238710712561 -59.5085444323086 -557.23680920335</f>
        <v>-1231.9840643482196</v>
      </c>
      <c r="O401">
        <f>-599.293074558056 -193.696802917013 -531.971335366776</f>
        <v>-1324.9612128418448</v>
      </c>
      <c r="P401">
        <f>-646.061433326293 -261.378115597514 -249.441432317119</f>
        <v>-1156.8809812409261</v>
      </c>
      <c r="Q401">
        <f>-462.827736388818 -122.910570405657 -322.263250625001</f>
        <v>-908.00155741947594</v>
      </c>
      <c r="R401" t="s">
        <v>4371</v>
      </c>
      <c r="S401" t="s">
        <v>4372</v>
      </c>
      <c r="T401" t="s">
        <v>4373</v>
      </c>
      <c r="U401" t="s">
        <v>4374</v>
      </c>
      <c r="V401">
        <f>-578.869477071819 -124.777101639658 -96.1312643258467</f>
        <v>-799.77784303732369</v>
      </c>
      <c r="W401" t="s">
        <v>4375</v>
      </c>
      <c r="X401" t="s">
        <v>4376</v>
      </c>
      <c r="Y401" t="s">
        <v>4377</v>
      </c>
    </row>
    <row r="402" spans="1:25" x14ac:dyDescent="0.3">
      <c r="A402">
        <v>20050</v>
      </c>
      <c r="B402" t="s">
        <v>4378</v>
      </c>
      <c r="C402">
        <f>-593.980555198697 -31.1658327031589 -96.8244277574711</f>
        <v>-721.97081565932695</v>
      </c>
      <c r="D402">
        <f>-616.067654392382 -37.2642511942181 -210.363816679935</f>
        <v>-863.69572226653509</v>
      </c>
      <c r="E402">
        <f>-623.15297666291 -38.2213623987504 -308.728134016797</f>
        <v>-970.10247307845748</v>
      </c>
      <c r="F402">
        <f>-625.378868321578 -37.4819181733048 -397.793942426188</f>
        <v>-1060.6547289210707</v>
      </c>
      <c r="G402">
        <f>-623.074375434586 -35.0823940998614 -486.828757157465</f>
        <v>-1144.9855266919126</v>
      </c>
      <c r="H402">
        <f>-615.10522066263 -29.9953084239089 -611.05211409048</f>
        <v>-1256.1526431770189</v>
      </c>
      <c r="I402">
        <f>-574.243865648135 -19.896343151092 -682.699721088739</f>
        <v>-1276.839929887966</v>
      </c>
      <c r="J402">
        <f>-623.289496421227 -4.9347940750099 -555.569596240665</f>
        <v>-1183.7938867369019</v>
      </c>
      <c r="K402" t="s">
        <v>4379</v>
      </c>
      <c r="L402" t="s">
        <v>4380</v>
      </c>
      <c r="M402" t="s">
        <v>4381</v>
      </c>
      <c r="N402">
        <f>-613.934593486909 -59.5331683592558 -557.205291762795</f>
        <v>-1230.6730536089599</v>
      </c>
      <c r="O402">
        <f>-597.649728360872 -193.662861765289 -531.879792435045</f>
        <v>-1323.1923825612062</v>
      </c>
      <c r="P402">
        <f>-644.594817978223 -261.457895385954 -249.40654907454</f>
        <v>-1155.4592624387169</v>
      </c>
      <c r="Q402">
        <f>-461.632605598086 -122.528073705105 -322.03015567104</f>
        <v>-906.19083497423105</v>
      </c>
      <c r="R402" t="s">
        <v>4382</v>
      </c>
      <c r="S402" t="s">
        <v>4383</v>
      </c>
      <c r="T402" t="s">
        <v>4384</v>
      </c>
      <c r="U402" t="s">
        <v>4385</v>
      </c>
      <c r="V402">
        <f>-578.270943286014 -124.585086966 -96.1040227310837</f>
        <v>-798.96005298309774</v>
      </c>
      <c r="W402" t="s">
        <v>4386</v>
      </c>
      <c r="X402" t="s">
        <v>4387</v>
      </c>
      <c r="Y402" t="s">
        <v>4388</v>
      </c>
    </row>
    <row r="403" spans="1:25" x14ac:dyDescent="0.3">
      <c r="A403">
        <v>20100</v>
      </c>
      <c r="B403" t="s">
        <v>4389</v>
      </c>
      <c r="C403">
        <f>-593.234217498845 -30.5414632034526 -96.7694701314739</f>
        <v>-720.54515083377157</v>
      </c>
      <c r="D403">
        <f>-615.092778324137 -36.7285454225012 -210.348280092599</f>
        <v>-862.1696038392372</v>
      </c>
      <c r="E403">
        <f>-621.911053145235 -37.8020929553434 -308.73020474718</f>
        <v>-968.44335084775832</v>
      </c>
      <c r="F403">
        <f>-623.867177378496 -37.1860853596072 -397.803403587994</f>
        <v>-1058.8566663260972</v>
      </c>
      <c r="G403">
        <f>-621.265216672546 -34.9265784751399 -486.833587243709</f>
        <v>-1143.0253823913949</v>
      </c>
      <c r="H403">
        <f>-612.85187483552 -30.0520643046254 -611.036119638974</f>
        <v>-1253.9400587791195</v>
      </c>
      <c r="I403">
        <f>-571.734571213734 -19.8842181197385 -682.527452188152</f>
        <v>-1274.1462415216245</v>
      </c>
      <c r="J403">
        <f>-621.362768913895 -4.91864047943113 -555.635849047995</f>
        <v>-1181.9172584413211</v>
      </c>
      <c r="K403" t="s">
        <v>4390</v>
      </c>
      <c r="L403" t="s">
        <v>4391</v>
      </c>
      <c r="M403" t="s">
        <v>4392</v>
      </c>
      <c r="N403">
        <f>-611.745539910439 -59.4756238334616 -557.12557381623</f>
        <v>-1228.3467375601306</v>
      </c>
      <c r="O403">
        <f>-594.848423857675 -193.494271853925 -531.570042106242</f>
        <v>-1319.9127378178421</v>
      </c>
      <c r="P403">
        <f>-642.482601144308 -261.55752954548 -249.276690509321</f>
        <v>-1153.316821199109</v>
      </c>
      <c r="Q403">
        <f>-459.871117920687 -121.77891558727 -321.150506379901</f>
        <v>-902.80053988785801</v>
      </c>
      <c r="R403" t="s">
        <v>4393</v>
      </c>
      <c r="S403" t="s">
        <v>4394</v>
      </c>
      <c r="T403" t="s">
        <v>4395</v>
      </c>
      <c r="U403" t="s">
        <v>4396</v>
      </c>
      <c r="V403">
        <f>-577.216394064328 -123.880800342465 -96.0007562443344</f>
        <v>-797.09795065112746</v>
      </c>
      <c r="W403" t="s">
        <v>4397</v>
      </c>
      <c r="X403" t="s">
        <v>4398</v>
      </c>
      <c r="Y403" t="s">
        <v>4399</v>
      </c>
    </row>
    <row r="404" spans="1:25" x14ac:dyDescent="0.3">
      <c r="A404">
        <v>20150</v>
      </c>
      <c r="B404" t="s">
        <v>4400</v>
      </c>
      <c r="C404">
        <f>-592.826659870689 -30.4098051963683 -96.7585792391737</f>
        <v>-719.99504430623108</v>
      </c>
      <c r="D404">
        <f>-614.574832476767 -36.6171581956337 -210.357490402671</f>
        <v>-861.54948107507175</v>
      </c>
      <c r="E404">
        <f>-621.254360325436 -37.7390737024391 -308.748458422481</f>
        <v>-967.74189245035609</v>
      </c>
      <c r="F404">
        <f>-623.067542279064 -37.1793087307315 -397.825034652061</f>
        <v>-1058.0718856618564</v>
      </c>
      <c r="G404">
        <f>-620.305664547986 -34.9879215330591 -486.85205674602</f>
        <v>-1142.1456428270651</v>
      </c>
      <c r="H404">
        <f>-611.651483388838 -30.2204202096614 -611.042187251881</f>
        <v>-1252.9140908503805</v>
      </c>
      <c r="I404">
        <f>-570.410045583451 -20.0353267633946 -682.459593734573</f>
        <v>-1272.9049660814185</v>
      </c>
      <c r="J404">
        <f>-620.316119703675 -5.04743891299563 -555.683694689232</f>
        <v>-1181.0472533059026</v>
      </c>
      <c r="K404" t="s">
        <v>4401</v>
      </c>
      <c r="L404" t="s">
        <v>4402</v>
      </c>
      <c r="M404" t="s">
        <v>4403</v>
      </c>
      <c r="N404">
        <f>-610.603423074256 -59.5892340130249 -557.100640706326</f>
        <v>-1227.2932977936071</v>
      </c>
      <c r="O404">
        <f>-593.535931635978 -193.555937224483 -531.402169777834</f>
        <v>-1318.494038638295</v>
      </c>
      <c r="P404">
        <f>-641.508948526573 -261.531158968699 -249.144823190239</f>
        <v>-1152.1849306855111</v>
      </c>
      <c r="Q404">
        <f>-459.004847373136 -121.509308996778 -320.817759706806</f>
        <v>-901.33191607671995</v>
      </c>
      <c r="R404" t="s">
        <v>4404</v>
      </c>
      <c r="S404" t="s">
        <v>4405</v>
      </c>
      <c r="T404" t="s">
        <v>4406</v>
      </c>
      <c r="U404" t="s">
        <v>4407</v>
      </c>
      <c r="V404">
        <f>-576.634901752263 -123.84082740554 -95.9760496487654</f>
        <v>-796.45177880656843</v>
      </c>
      <c r="W404" t="s">
        <v>4408</v>
      </c>
      <c r="X404" t="s">
        <v>4409</v>
      </c>
      <c r="Y404" t="s">
        <v>4410</v>
      </c>
    </row>
    <row r="405" spans="1:25" x14ac:dyDescent="0.3">
      <c r="A405">
        <v>20200</v>
      </c>
      <c r="B405" t="s">
        <v>4411</v>
      </c>
      <c r="C405">
        <f>-592.135166472207 -29.9887337732573 -96.7424991065849</f>
        <v>-718.86639935204914</v>
      </c>
      <c r="D405">
        <f>-613.648934415686 -36.2388883967972 -210.383683151268</f>
        <v>-860.27150596375111</v>
      </c>
      <c r="E405">
        <f>-620.075534437797 -37.4432255243846 -308.790518408546</f>
        <v>-966.30927837072772</v>
      </c>
      <c r="F405">
        <f>-621.639556429212 -36.9772719488615 -397.872411131324</f>
        <v>-1056.4892395093975</v>
      </c>
      <c r="G405">
        <f>-618.608636500083 -34.8982236082459 -486.893384946786</f>
        <v>-1140.4002450551147</v>
      </c>
      <c r="H405">
        <f>-609.558337461874 -30.306960035459 -611.0618982455</f>
        <v>-1250.927195742833</v>
      </c>
      <c r="I405">
        <f>-568.11213589227 -20.1486978881414 -682.364478779755</f>
        <v>-1270.6253125601665</v>
      </c>
      <c r="J405">
        <f>-618.458686723911 -5.06595994213876 -555.77184900858</f>
        <v>-1179.2964956746298</v>
      </c>
      <c r="K405" t="s">
        <v>4412</v>
      </c>
      <c r="L405" t="s">
        <v>4413</v>
      </c>
      <c r="M405" t="s">
        <v>4414</v>
      </c>
      <c r="N405">
        <f>-608.623122325935 -59.5888961568434 -557.071001014743</f>
        <v>-1225.2830194975213</v>
      </c>
      <c r="O405">
        <f>-591.302380683739 -193.474086521731 -531.113837548152</f>
        <v>-1315.8903047536219</v>
      </c>
      <c r="P405">
        <f>-639.920172876858 -261.13595590593 -248.891582629511</f>
        <v>-1149.947711412299</v>
      </c>
      <c r="Q405">
        <f>-457.585676714703 -120.825303247561 -320.43136594446</f>
        <v>-898.84234590672406</v>
      </c>
      <c r="R405" t="s">
        <v>4415</v>
      </c>
      <c r="S405" t="s">
        <v>4416</v>
      </c>
      <c r="T405" t="s">
        <v>4417</v>
      </c>
      <c r="U405" t="s">
        <v>4418</v>
      </c>
      <c r="V405">
        <f>-575.74657857828 -123.309692488723 -95.9295197998057</f>
        <v>-794.98579086680877</v>
      </c>
      <c r="W405" t="s">
        <v>4419</v>
      </c>
      <c r="X405" t="s">
        <v>4420</v>
      </c>
      <c r="Y405" t="s">
        <v>4421</v>
      </c>
    </row>
    <row r="406" spans="1:25" x14ac:dyDescent="0.3">
      <c r="A406">
        <v>20250</v>
      </c>
      <c r="B406" t="s">
        <v>4422</v>
      </c>
      <c r="C406">
        <f>-591.832948557299 -29.6992929279088 -96.7226156239196</f>
        <v>-718.25485710912744</v>
      </c>
      <c r="D406">
        <f>-613.240321305993 -35.9559549521759 -210.383486433477</f>
        <v>-859.57976269164601</v>
      </c>
      <c r="E406">
        <f>-619.553452678342 -37.1804144821076 -308.797338588073</f>
        <v>-965.53120574852255</v>
      </c>
      <c r="F406">
        <f>-621.005943394727 -36.7393083637394 -397.881300097276</f>
        <v>-1055.6265518557423</v>
      </c>
      <c r="G406">
        <f>-617.854817509069 -34.691604853743 -486.898866865507</f>
        <v>-1139.4452892283189</v>
      </c>
      <c r="H406">
        <f>-608.627489654656 -30.1508703187662 -611.056204551677</f>
        <v>-1249.8345645250993</v>
      </c>
      <c r="I406">
        <f>-567.09096140169 -20.0298694325013 -682.311548325215</f>
        <v>-1269.4323791594063</v>
      </c>
      <c r="J406">
        <f>-617.621562336856 -4.88992475001101 -555.790491516437</f>
        <v>-1178.301978603304</v>
      </c>
      <c r="K406" t="s">
        <v>4423</v>
      </c>
      <c r="L406" t="s">
        <v>4424</v>
      </c>
      <c r="M406" t="s">
        <v>4425</v>
      </c>
      <c r="N406">
        <f>-607.754327238902 -59.4079589445978 -557.050794424379</f>
        <v>-1224.2130806078787</v>
      </c>
      <c r="O406">
        <f>-590.38695098621 -193.274483235438 -531.037802297431</f>
        <v>-1314.699236519079</v>
      </c>
      <c r="P406">
        <f>-639.187999977061 -261.005160455873 -248.863667513871</f>
        <v>-1149.056827946805</v>
      </c>
      <c r="Q406">
        <f>-456.926825012137 -120.50890723219 -320.225569057859</f>
        <v>-897.66130130218608</v>
      </c>
      <c r="R406" t="s">
        <v>4426</v>
      </c>
      <c r="S406" t="s">
        <v>4427</v>
      </c>
      <c r="T406" t="s">
        <v>4428</v>
      </c>
      <c r="U406" t="s">
        <v>4429</v>
      </c>
      <c r="V406">
        <f>-575.363575723318 -122.972860007425 -95.9053688494491</f>
        <v>-794.24180458019214</v>
      </c>
      <c r="W406" t="s">
        <v>4430</v>
      </c>
      <c r="X406" t="s">
        <v>4431</v>
      </c>
      <c r="Y406" t="s">
        <v>4432</v>
      </c>
    </row>
    <row r="407" spans="1:25" x14ac:dyDescent="0.3">
      <c r="A407">
        <v>20300</v>
      </c>
      <c r="B407" t="s">
        <v>4433</v>
      </c>
      <c r="C407">
        <f>-591.146579025447 -29.1307914859719 -96.6852138581884</f>
        <v>-716.96258436960727</v>
      </c>
      <c r="D407">
        <f>-612.362149073158 -35.3480205239919 -210.384294665644</f>
        <v>-858.09446426279385</v>
      </c>
      <c r="E407">
        <f>-618.457460188494 -36.5668738802249 -308.812003917113</f>
        <v>-963.83633798583185</v>
      </c>
      <c r="F407">
        <f>-619.692000447979 -36.1323536188083 -397.89914403981</f>
        <v>-1053.7234981065974</v>
      </c>
      <c r="G407">
        <f>-616.302165296091 -34.1026921456789 -486.908361361589</f>
        <v>-1137.313218803359</v>
      </c>
      <c r="H407">
        <f>-606.720049664816 -29.5999301024026 -611.040148328867</f>
        <v>-1247.3601280960856</v>
      </c>
      <c r="I407">
        <f>-564.999230057107 -19.5559026043823 -682.198642247062</f>
        <v>-1266.7537749085513</v>
      </c>
      <c r="J407">
        <f>-615.871447588736 -4.32211684972231 -555.808081164381</f>
        <v>-1176.0016456028393</v>
      </c>
      <c r="K407" t="s">
        <v>4434</v>
      </c>
      <c r="L407" t="s">
        <v>4435</v>
      </c>
      <c r="M407" t="s">
        <v>4436</v>
      </c>
      <c r="N407">
        <f>-606.001896030106 -58.8407879471389 -557.023853343983</f>
        <v>-1221.866537321228</v>
      </c>
      <c r="O407">
        <f>-588.670527235314 -192.707361006938 -530.976246380228</f>
        <v>-1312.3541346224799</v>
      </c>
      <c r="P407">
        <f>-637.947837016777 -260.682402169178 -248.943715878257</f>
        <v>-1147.573955064212</v>
      </c>
      <c r="Q407">
        <f>-455.640955423573 -120.073653347882 -319.966509553193</f>
        <v>-895.68111832464797</v>
      </c>
      <c r="R407" t="s">
        <v>4437</v>
      </c>
      <c r="S407" t="s">
        <v>4438</v>
      </c>
      <c r="T407" t="s">
        <v>4439</v>
      </c>
      <c r="U407" t="s">
        <v>4440</v>
      </c>
      <c r="V407">
        <f>-574.645720717783 -122.339358878187 -95.8897754014356</f>
        <v>-792.87485499740558</v>
      </c>
      <c r="W407" t="s">
        <v>4441</v>
      </c>
      <c r="X407" t="s">
        <v>4442</v>
      </c>
      <c r="Y407" t="s">
        <v>4443</v>
      </c>
    </row>
    <row r="408" spans="1:25" x14ac:dyDescent="0.3">
      <c r="A408">
        <v>20350</v>
      </c>
      <c r="B408" t="s">
        <v>4444</v>
      </c>
      <c r="C408">
        <f>-590.866772462172 -28.9222518695149 -96.674301681036</f>
        <v>-716.46332601272286</v>
      </c>
      <c r="D408">
        <f>-612.00066717991 -35.0886922576492 -210.391282761028</f>
        <v>-857.48064219858725</v>
      </c>
      <c r="E408">
        <f>-617.994443913385 -36.2856678438561 -308.825639764539</f>
        <v>-963.10575152178012</v>
      </c>
      <c r="F408">
        <f>-619.124724285483 -35.8398132445971 -397.914133878072</f>
        <v>-1052.8786714081521</v>
      </c>
      <c r="G408">
        <f>-615.61826535006 -33.8081787446863 -486.918677446504</f>
        <v>-1136.3451215412504</v>
      </c>
      <c r="H408">
        <f>-605.860454516196 -29.312266453318 -611.037131799112</f>
        <v>-1246.209852768626</v>
      </c>
      <c r="I408">
        <f>-564.047593955623 -19.300098962085 -682.146014909616</f>
        <v>-1265.4937078273242</v>
      </c>
      <c r="J408">
        <f>-615.06637416746 -4.02702848372064 -555.817391597294</f>
        <v>-1174.9107942484748</v>
      </c>
      <c r="K408" t="s">
        <v>4445</v>
      </c>
      <c r="L408" t="s">
        <v>4446</v>
      </c>
      <c r="M408" t="s">
        <v>4447</v>
      </c>
      <c r="N408">
        <f>-605.242472740612 -58.5541698177879 -557.020121204312</f>
        <v>-1220.8167637627118</v>
      </c>
      <c r="O408">
        <f>-588.040926860731 -192.434562933302 -530.972405593157</f>
        <v>-1311.4478953871899</v>
      </c>
      <c r="P408">
        <f>-637.583110050614 -260.43173293738 -248.991658847797</f>
        <v>-1147.0065018357909</v>
      </c>
      <c r="Q408">
        <f>-455.126748993114 -119.924311711589 -319.830997989365</f>
        <v>-894.88205869406806</v>
      </c>
      <c r="R408" t="s">
        <v>4448</v>
      </c>
      <c r="S408" t="s">
        <v>4449</v>
      </c>
      <c r="T408" t="s">
        <v>4450</v>
      </c>
      <c r="U408" t="s">
        <v>4451</v>
      </c>
      <c r="V408">
        <f>-574.428917633827 -122.192633554424 -95.8801010401264</f>
        <v>-792.50165222837745</v>
      </c>
      <c r="W408" t="s">
        <v>4452</v>
      </c>
      <c r="X408" t="s">
        <v>4453</v>
      </c>
      <c r="Y408" t="s">
        <v>4454</v>
      </c>
    </row>
    <row r="409" spans="1:25" x14ac:dyDescent="0.3">
      <c r="A409">
        <v>20400</v>
      </c>
      <c r="B409" t="s">
        <v>4455</v>
      </c>
      <c r="C409">
        <f>-590.270997113797 -28.7952320269844 -96.6158702824681</f>
        <v>-715.6820994232495</v>
      </c>
      <c r="D409">
        <f>-611.230461572472 -34.7929004408059 -210.37410049896</f>
        <v>-856.39746251223778</v>
      </c>
      <c r="E409">
        <f>-617.012237723129 -35.8881658645025 -308.822258095112</f>
        <v>-961.72266168274359</v>
      </c>
      <c r="F409">
        <f>-617.926519286777 -35.3661511835542 -397.912828108717</f>
        <v>-1051.2054985790483</v>
      </c>
      <c r="G409">
        <f>-614.180112821906 -33.2750835988645 -486.906313953357</f>
        <v>-1134.3615103741276</v>
      </c>
      <c r="H409">
        <f>-604.062311819194 -28.7140195508925 -610.993486362085</f>
        <v>-1243.7698177321715</v>
      </c>
      <c r="I409">
        <f>-562.078612212538 -18.7646521473878 -682.010404989291</f>
        <v>-1262.8536693492169</v>
      </c>
      <c r="J409">
        <f>-613.344962998052 -3.44314338681716 -555.78012231631</f>
        <v>-1172.5682287011791</v>
      </c>
      <c r="K409" t="s">
        <v>4456</v>
      </c>
      <c r="L409" t="s">
        <v>4457</v>
      </c>
      <c r="M409" t="s">
        <v>4458</v>
      </c>
      <c r="N409">
        <f>-603.68437238277 -57.9991215368989 -556.997700989984</f>
        <v>-1218.6811949096527</v>
      </c>
      <c r="O409">
        <f>-586.959622251755 -191.956394725989 -530.992783082692</f>
        <v>-1309.9088000604361</v>
      </c>
      <c r="P409">
        <f>-637.292252438942 -259.919658656057 -249.143835025788</f>
        <v>-1146.355746120787</v>
      </c>
      <c r="Q409">
        <f>-454.250147749542 -119.99007328931 -319.614805639041</f>
        <v>-893.85502667789297</v>
      </c>
      <c r="R409" t="s">
        <v>4459</v>
      </c>
      <c r="S409" t="s">
        <v>4460</v>
      </c>
      <c r="T409" t="s">
        <v>4461</v>
      </c>
      <c r="U409" t="s">
        <v>4462</v>
      </c>
      <c r="V409">
        <f>-574.080523991216 -122.16645392367 -95.872570717424</f>
        <v>-792.11954863230994</v>
      </c>
      <c r="W409" t="s">
        <v>4463</v>
      </c>
      <c r="X409" t="s">
        <v>4464</v>
      </c>
      <c r="Y409" t="s">
        <v>4465</v>
      </c>
    </row>
    <row r="410" spans="1:25" x14ac:dyDescent="0.3">
      <c r="A410">
        <v>20450</v>
      </c>
      <c r="B410" t="s">
        <v>4466</v>
      </c>
      <c r="C410">
        <f>-589.924355123062 -28.6694607855204 -96.5684353227344</f>
        <v>-715.16225123131687</v>
      </c>
      <c r="D410">
        <f>-610.788210888056 -34.5490902037084 -210.350543113911</f>
        <v>-855.68784420567545</v>
      </c>
      <c r="E410">
        <f>-616.462450071892 -35.5612926556212 -308.805830061532</f>
        <v>-960.82957278904519</v>
      </c>
      <c r="F410">
        <f>-617.269785546373 -34.9699616834826 -397.896941953955</f>
        <v>-1050.1366891838106</v>
      </c>
      <c r="G410">
        <f>-613.406677499746 -32.8166667561582 -486.883928813255</f>
        <v>-1133.1072730691592</v>
      </c>
      <c r="H410">
        <f>-603.115886041498 -28.1762038946749 -610.953914918954</f>
        <v>-1242.246004855127</v>
      </c>
      <c r="I410">
        <f>-561.054953654231 -18.2578956344612 -681.929521898505</f>
        <v>-1261.242371187197</v>
      </c>
      <c r="J410">
        <f>-612.417305931766 -2.93053465895491 -555.732071002734</f>
        <v>-1171.0799115934549</v>
      </c>
      <c r="K410" t="s">
        <v>4467</v>
      </c>
      <c r="L410" t="s">
        <v>4468</v>
      </c>
      <c r="M410" t="s">
        <v>4469</v>
      </c>
      <c r="N410">
        <f>-602.871442525667 -57.5059360532274 -556.981576644366</f>
        <v>-1217.3589552232604</v>
      </c>
      <c r="O410">
        <f>-586.459164474757 -191.509641990668 -531.034616466046</f>
        <v>-1309.0034229314711</v>
      </c>
      <c r="P410">
        <f>-637.29164825183 -259.520285268003 -249.286783186683</f>
        <v>-1146.0987167065159</v>
      </c>
      <c r="Q410">
        <f>-453.856023296208 -119.986347842772 -319.518949590289</f>
        <v>-893.36132072926898</v>
      </c>
      <c r="R410" t="s">
        <v>4470</v>
      </c>
      <c r="S410" t="s">
        <v>4471</v>
      </c>
      <c r="T410" t="s">
        <v>4472</v>
      </c>
      <c r="U410" t="s">
        <v>4473</v>
      </c>
      <c r="V410">
        <f>-573.913549659371 -121.94203845888 -95.8798517131336</f>
        <v>-791.73543983138461</v>
      </c>
      <c r="W410" t="s">
        <v>4474</v>
      </c>
      <c r="X410" t="s">
        <v>4475</v>
      </c>
      <c r="Y410" t="s">
        <v>4476</v>
      </c>
    </row>
    <row r="411" spans="1:25" x14ac:dyDescent="0.3">
      <c r="A411">
        <v>20500</v>
      </c>
      <c r="B411" t="s">
        <v>4477</v>
      </c>
      <c r="C411">
        <f>-589.170985820441 -28.2480827535956 -96.5720577689603</f>
        <v>-713.99112634299695</v>
      </c>
      <c r="D411">
        <f>-609.917423853889 -33.9785766283717 -210.383168676232</f>
        <v>-854.27916915849266</v>
      </c>
      <c r="E411">
        <f>-615.461099279058 -34.8167184540862 -308.847511411674</f>
        <v>-959.12532914481812</v>
      </c>
      <c r="F411">
        <f>-616.138610765223 -34.0492490030208 -397.938418199399</f>
        <v>-1048.1262779676429</v>
      </c>
      <c r="G411">
        <f>-612.133675307762 -31.7030344033487 -486.914299658056</f>
        <v>-1130.7510093691667</v>
      </c>
      <c r="H411">
        <f>-601.632233687732 -26.7763329520901 -610.95562635048</f>
        <v>-1239.3641929903019</v>
      </c>
      <c r="I411">
        <f>-559.423588440859 -16.8661814885365 -681.844681970131</f>
        <v>-1258.1344518995265</v>
      </c>
      <c r="J411">
        <f>-610.921233479534 -1.64000135378024 -555.681941699718</f>
        <v>-1168.2431765330321</v>
      </c>
      <c r="K411" t="s">
        <v>4478</v>
      </c>
      <c r="L411" t="s">
        <v>4479</v>
      </c>
      <c r="M411" t="s">
        <v>4480</v>
      </c>
      <c r="N411">
        <f>-601.585522740685 -56.2486712133561 -557.060501370926</f>
        <v>-1214.894695324967</v>
      </c>
      <c r="O411">
        <f>-585.836780616346 -190.37011402036 -531.292990094638</f>
        <v>-1307.4998847313441</v>
      </c>
      <c r="P411">
        <f>-637.467958681287 -258.47203777585 -249.712464851463</f>
        <v>-1145.6524613086001</v>
      </c>
      <c r="Q411">
        <f>-453.17395166142 -119.806296557424 -319.414733937331</f>
        <v>-892.39498215617505</v>
      </c>
      <c r="R411" t="s">
        <v>4481</v>
      </c>
      <c r="S411" t="s">
        <v>4482</v>
      </c>
      <c r="T411" t="s">
        <v>4483</v>
      </c>
      <c r="U411" t="s">
        <v>4484</v>
      </c>
      <c r="V411">
        <f>-573.497437804792 -121.081015188627 -95.9184046098208</f>
        <v>-790.49685760323973</v>
      </c>
      <c r="W411" t="s">
        <v>4485</v>
      </c>
      <c r="X411" t="s">
        <v>4486</v>
      </c>
      <c r="Y411" t="s">
        <v>4487</v>
      </c>
    </row>
    <row r="412" spans="1:25" x14ac:dyDescent="0.3">
      <c r="A412">
        <v>20550</v>
      </c>
      <c r="B412" t="s">
        <v>4488</v>
      </c>
      <c r="C412">
        <f>-589.179552246245 -27.6850075947248 -96.5615568370258</f>
        <v>-713.42611667799554</v>
      </c>
      <c r="D412">
        <f>-609.949933149852 -33.4342181052821 -210.367342228415</f>
        <v>-853.75149348354898</v>
      </c>
      <c r="E412">
        <f>-615.490764842239 -34.2289484629057 -308.832233194885</f>
        <v>-958.55194650002966</v>
      </c>
      <c r="F412">
        <f>-616.155278570341 -33.4003996704616 -397.922641614855</f>
        <v>-1047.4783198556577</v>
      </c>
      <c r="G412">
        <f>-612.126892122667 -30.9725905175505 -486.895225354438</f>
        <v>-1129.9947079946555</v>
      </c>
      <c r="H412">
        <f>-601.581218991742 -25.911287983376 -610.92745486291</f>
        <v>-1238.419961838028</v>
      </c>
      <c r="I412">
        <f>-559.322403995582 -15.9624689046664 -681.781086978233</f>
        <v>-1257.0659598784814</v>
      </c>
      <c r="J412">
        <f>-610.880329069825 -0.83325237116378 -555.628779379794</f>
        <v>-1167.3423608207827</v>
      </c>
      <c r="K412" t="s">
        <v>4489</v>
      </c>
      <c r="L412" t="s">
        <v>4490</v>
      </c>
      <c r="M412" t="s">
        <v>4491</v>
      </c>
      <c r="N412">
        <f>-601.563322817236 -55.443755616972 -557.065165488007</f>
        <v>-1214.072243922215</v>
      </c>
      <c r="O412">
        <f>-585.910769464889 -189.592243129283 -531.420090416093</f>
        <v>-1306.9231030102651</v>
      </c>
      <c r="P412">
        <f>-637.940407456277 -257.816580405753 -249.94263550899</f>
        <v>-1145.6996233710199</v>
      </c>
      <c r="Q412">
        <f>-453.347624496036 -119.454147890128 -319.456726618404</f>
        <v>-892.25849900456797</v>
      </c>
      <c r="R412" t="s">
        <v>4492</v>
      </c>
      <c r="S412" t="s">
        <v>4493</v>
      </c>
      <c r="T412" t="s">
        <v>4494</v>
      </c>
      <c r="U412" t="s">
        <v>4495</v>
      </c>
      <c r="V412">
        <f>-573.486982577396 -120.217698918995 -95.882175889911</f>
        <v>-789.58685738630197</v>
      </c>
      <c r="W412" t="s">
        <v>4496</v>
      </c>
      <c r="X412" t="s">
        <v>4497</v>
      </c>
      <c r="Y412" t="s">
        <v>4498</v>
      </c>
    </row>
    <row r="413" spans="1:25" x14ac:dyDescent="0.3">
      <c r="A413">
        <v>20600</v>
      </c>
      <c r="B413" t="s">
        <v>4499</v>
      </c>
      <c r="C413">
        <f>-589.094161002129 -27.2472146484661 -96.5046074010069</f>
        <v>-712.84598305160193</v>
      </c>
      <c r="D413">
        <f>-609.899241214242 -33.0225785836421 -210.302799335234</f>
        <v>-853.22461913311815</v>
      </c>
      <c r="E413">
        <f>-615.436547120867 -33.7957647763167 -308.76797289854</f>
        <v>-958.0002847957237</v>
      </c>
      <c r="F413">
        <f>-616.083712123883 -32.9329730295785 -397.858235117004</f>
        <v>-1046.8749202704655</v>
      </c>
      <c r="G413">
        <f>-612.023372608275 -30.4565925113534 -486.827989501559</f>
        <v>-1129.3079546211875</v>
      </c>
      <c r="H413">
        <f>-601.417719229402 -25.3133914625159 -610.851729532739</f>
        <v>-1237.582840224657</v>
      </c>
      <c r="I413">
        <f>-559.099492190121 -15.3052282135577 -681.661602265818</f>
        <v>-1256.0663226694969</v>
      </c>
      <c r="J413">
        <f>-610.761906635929 -0.275053144462163 -555.542934605581</f>
        <v>-1166.5798943859722</v>
      </c>
      <c r="K413" t="s">
        <v>4500</v>
      </c>
      <c r="L413" t="s">
        <v>4501</v>
      </c>
      <c r="M413" t="s">
        <v>4502</v>
      </c>
      <c r="N413">
        <f>-601.407542277804 -54.8782803251029 -557.00719485377</f>
        <v>-1213.2930174566768</v>
      </c>
      <c r="O413">
        <f>-585.690529872822 -189.030596281284 -531.469354476906</f>
        <v>-1306.1904806310122</v>
      </c>
      <c r="P413">
        <f>-637.79801763486 -257.431086153399 -250.049024140598</f>
        <v>-1145.278127928857</v>
      </c>
      <c r="Q413">
        <f>-453.193436227789 -118.995619112079 -319.386192871948</f>
        <v>-891.57524821181596</v>
      </c>
      <c r="R413" t="s">
        <v>4503</v>
      </c>
      <c r="S413" t="s">
        <v>4504</v>
      </c>
      <c r="T413" t="s">
        <v>4505</v>
      </c>
      <c r="U413" t="s">
        <v>4506</v>
      </c>
      <c r="V413">
        <f>-572.994059716282 -119.658250425038 -95.8625963906893</f>
        <v>-788.51490653200926</v>
      </c>
      <c r="W413" t="s">
        <v>4507</v>
      </c>
      <c r="X413" t="s">
        <v>4508</v>
      </c>
      <c r="Y413" t="s">
        <v>4509</v>
      </c>
    </row>
    <row r="414" spans="1:25" x14ac:dyDescent="0.3">
      <c r="A414">
        <v>20650</v>
      </c>
      <c r="B414" t="s">
        <v>4510</v>
      </c>
      <c r="C414">
        <f>-588.352443829486 -27.955441609731 -96.371749672772</f>
        <v>-712.679635111989</v>
      </c>
      <c r="D414">
        <f>-609.132238161368 -33.8632435380575 -210.167714235796</f>
        <v>-853.16319593522155</v>
      </c>
      <c r="E414">
        <f>-614.633676912138 -34.7021087023991 -308.634370435185</f>
        <v>-957.97015604972205</v>
      </c>
      <c r="F414">
        <f>-615.241595568177 -33.8833023638638 -397.725418962064</f>
        <v>-1046.8503168941047</v>
      </c>
      <c r="G414">
        <f>-611.135327151249 -31.4344928415103 -486.693905886587</f>
        <v>-1129.2637258793463</v>
      </c>
      <c r="H414">
        <f>-600.458347817066 -26.3141064495346 -610.712372578989</f>
        <v>-1237.4848268455896</v>
      </c>
      <c r="I414">
        <f>-558.076401331834 -16.1817700433128 -681.466412588854</f>
        <v>-1255.7245839640009</v>
      </c>
      <c r="J414">
        <f>-609.941420535047 -1.28381054731608 -555.423331096836</f>
        <v>-1166.648562179199</v>
      </c>
      <c r="K414" t="s">
        <v>4511</v>
      </c>
      <c r="L414" t="s">
        <v>4512</v>
      </c>
      <c r="M414" t="s">
        <v>4513</v>
      </c>
      <c r="N414">
        <f>-600.372080423576 -55.8507182269882 -556.85249327746</f>
        <v>-1213.0752919280242</v>
      </c>
      <c r="O414">
        <f>-584.107899332149 -189.940657831517 -531.325520582873</f>
        <v>-1305.3740777465391</v>
      </c>
      <c r="P414">
        <f>-635.635336339548 -258.964731963322 -249.950799734829</f>
        <v>-1144.5508680376988</v>
      </c>
      <c r="Q414">
        <f>-451.786192588719 -119.430272421775 -319.091933130309</f>
        <v>-890.30839814080309</v>
      </c>
      <c r="R414" t="s">
        <v>4514</v>
      </c>
      <c r="S414" t="s">
        <v>4515</v>
      </c>
      <c r="T414" t="s">
        <v>4516</v>
      </c>
      <c r="U414" t="s">
        <v>4517</v>
      </c>
      <c r="V414">
        <f>-571.838773935832 -121.092490752344 -95.7466260776272</f>
        <v>-788.67789076580323</v>
      </c>
      <c r="W414" t="s">
        <v>4518</v>
      </c>
      <c r="X414" t="s">
        <v>4519</v>
      </c>
      <c r="Y414" t="s">
        <v>4520</v>
      </c>
    </row>
    <row r="415" spans="1:25" x14ac:dyDescent="0.3">
      <c r="A415">
        <v>20700</v>
      </c>
      <c r="B415" t="s">
        <v>4521</v>
      </c>
      <c r="C415">
        <f>-587.853220106244 -28.2923028837708 -96.2451048115346</f>
        <v>-712.39062780154939</v>
      </c>
      <c r="D415">
        <f>-608.54735064724 -34.26148922692 -210.053438273911</f>
        <v>-852.86227814807103</v>
      </c>
      <c r="E415">
        <f>-613.862809797291 -35.1431534517228 -308.530068945029</f>
        <v>-957.53603219404272</v>
      </c>
      <c r="F415">
        <f>-614.257802928707 -34.360103700368 -397.62243093063</f>
        <v>-1046.240337559705</v>
      </c>
      <c r="G415">
        <f>-609.894693639422 -31.941565648804 -486.579482352052</f>
        <v>-1128.4157416402782</v>
      </c>
      <c r="H415">
        <f>-598.813845770449 -26.8566817855246 -610.564032589994</f>
        <v>-1236.2345601459676</v>
      </c>
      <c r="I415">
        <f>-556.382429426621 -16.6142090802723 -681.272517775505</f>
        <v>-1254.2691562823984</v>
      </c>
      <c r="J415">
        <f>-608.620015110408 -1.83571667331989 -555.32725209056</f>
        <v>-1165.7829838742878</v>
      </c>
      <c r="K415" t="s">
        <v>4522</v>
      </c>
      <c r="L415" t="s">
        <v>4523</v>
      </c>
      <c r="M415" t="s">
        <v>4524</v>
      </c>
      <c r="N415">
        <f>-598.759985773867 -56.3529276950358 -556.681891523822</f>
        <v>-1211.7948049927247</v>
      </c>
      <c r="O415">
        <f>-581.767929012804 -190.34492127115 -531.039913913778</f>
        <v>-1303.152764197732</v>
      </c>
      <c r="P415">
        <f>-632.852589279568 -259.113026758088 -249.521602434401</f>
        <v>-1141.4872184720571</v>
      </c>
      <c r="Q415">
        <f>-449.976130469577 -118.477043439585 -319.009719431495</f>
        <v>-887.46289334065705</v>
      </c>
      <c r="R415" t="s">
        <v>4525</v>
      </c>
      <c r="S415" t="s">
        <v>4526</v>
      </c>
      <c r="T415" t="s">
        <v>4527</v>
      </c>
      <c r="U415" t="s">
        <v>4528</v>
      </c>
      <c r="V415">
        <f>-571.133178646121 -120.989066544871 -95.5952994664827</f>
        <v>-787.71754465747472</v>
      </c>
      <c r="W415" t="s">
        <v>4529</v>
      </c>
      <c r="X415" t="s">
        <v>4530</v>
      </c>
      <c r="Y415" t="s">
        <v>4531</v>
      </c>
    </row>
    <row r="416" spans="1:25" x14ac:dyDescent="0.3">
      <c r="A416">
        <v>20750</v>
      </c>
      <c r="B416" t="s">
        <v>4532</v>
      </c>
      <c r="C416">
        <f>-587.87449150436 -27.7944265333565 -96.1799693006272</f>
        <v>-711.84888733834373</v>
      </c>
      <c r="D416">
        <f>-608.588797742031 -33.8269363106833 -209.98134793473</f>
        <v>-852.39708198744438</v>
      </c>
      <c r="E416">
        <f>-613.74909224902 -34.7314770017892 -308.46589650714</f>
        <v>-956.94646575794923</v>
      </c>
      <c r="F416">
        <f>-613.934386040656 -33.9561457810535 -397.559166242136</f>
        <v>-1045.4496980638455</v>
      </c>
      <c r="G416">
        <f>-609.293151339539 -31.5308323079266 -486.501909588567</f>
        <v>-1127.3258932360327</v>
      </c>
      <c r="H416">
        <f>-597.753069722673 -26.4210692532242 -610.443489542711</f>
        <v>-1234.6176285186082</v>
      </c>
      <c r="I416">
        <f>-555.271055789619 -16.1181074030674 -681.112944725979</f>
        <v>-1252.5021079186654</v>
      </c>
      <c r="J416">
        <f>-607.828364459124 -1.42291494206142 -555.245009830428</f>
        <v>-1164.4962892316134</v>
      </c>
      <c r="K416" t="s">
        <v>4533</v>
      </c>
      <c r="L416" t="s">
        <v>4534</v>
      </c>
      <c r="M416" t="s">
        <v>4535</v>
      </c>
      <c r="N416">
        <f>-597.834174749431 -55.9163791016189 -556.561053837026</f>
        <v>-1210.3116076880758</v>
      </c>
      <c r="O416">
        <f>-580.50146667229 -189.859635781067 -530.891971602511</f>
        <v>-1301.2530740558682</v>
      </c>
      <c r="P416">
        <f>-631.414894006873 -258.861993775008 -249.400071573653</f>
        <v>-1139.6769593555341</v>
      </c>
      <c r="Q416">
        <f>-449.031492378201 -117.648557768842 -319.012858317168</f>
        <v>-885.69290846421097</v>
      </c>
      <c r="R416" t="s">
        <v>4536</v>
      </c>
      <c r="S416" t="s">
        <v>4537</v>
      </c>
      <c r="T416" t="s">
        <v>4538</v>
      </c>
      <c r="U416" t="s">
        <v>4539</v>
      </c>
      <c r="V416">
        <f>-571.124707117465 -120.483535130364 -95.5363995517093</f>
        <v>-787.14464179953836</v>
      </c>
      <c r="W416" t="s">
        <v>4540</v>
      </c>
      <c r="X416" t="s">
        <v>4541</v>
      </c>
      <c r="Y416" t="s">
        <v>4542</v>
      </c>
    </row>
    <row r="417" spans="1:25" x14ac:dyDescent="0.3">
      <c r="A417">
        <v>20800</v>
      </c>
      <c r="B417" t="s">
        <v>4543</v>
      </c>
      <c r="C417">
        <f>-587.834903147521 -27.0880873796452 -96.1772753014207</f>
        <v>-711.100265828587</v>
      </c>
      <c r="D417">
        <f>-608.592306148356 -33.2209501348991 -209.965351331425</f>
        <v>-851.77860761468014</v>
      </c>
      <c r="E417">
        <f>-613.529769495375 -34.1716909555487 -308.460956851655</f>
        <v>-956.16241730257866</v>
      </c>
      <c r="F417">
        <f>-613.409636685269 -33.4202595109846 -397.554541010403</f>
        <v>-1044.3844372066565</v>
      </c>
      <c r="G417">
        <f>-608.360544317174 -30.9990674819564 -486.475269678383</f>
        <v>-1125.8348814775134</v>
      </c>
      <c r="H417">
        <f>-596.144994792748 -25.8727790823723 -610.351418967795</f>
        <v>-1232.3691928429153</v>
      </c>
      <c r="I417">
        <f>-553.492421397053 -15.5022643072891 -680.908012414852</f>
        <v>-1249.9026981191942</v>
      </c>
      <c r="J417">
        <f>-606.611683714781 -0.898436355837703 -555.214922722075</f>
        <v>-1162.7250427926938</v>
      </c>
      <c r="K417" t="s">
        <v>4544</v>
      </c>
      <c r="L417" t="s">
        <v>4545</v>
      </c>
      <c r="M417" t="s">
        <v>4546</v>
      </c>
      <c r="N417">
        <f>-596.429288257367 -55.3586907110481 -556.464434227603</f>
        <v>-1208.2524131960181</v>
      </c>
      <c r="O417">
        <f>-578.723743133477 -189.228243323961 -530.727584659417</f>
        <v>-1298.679571116855</v>
      </c>
      <c r="P417">
        <f>-629.057166060453 -259.321641297726 -249.400859075894</f>
        <v>-1137.7796664340731</v>
      </c>
      <c r="Q417">
        <f>-447.35896352412 -117.049847815979 -318.649485353862</f>
        <v>-883.05829669396098</v>
      </c>
      <c r="R417" t="s">
        <v>4547</v>
      </c>
      <c r="S417" t="s">
        <v>4548</v>
      </c>
      <c r="T417" t="s">
        <v>4549</v>
      </c>
      <c r="U417" t="s">
        <v>4550</v>
      </c>
      <c r="V417">
        <f>-570.874508672174 -120.138854633799 -95.4709009633701</f>
        <v>-786.48426426934316</v>
      </c>
      <c r="W417" t="s">
        <v>4551</v>
      </c>
      <c r="X417" t="s">
        <v>4552</v>
      </c>
      <c r="Y417" t="s">
        <v>4553</v>
      </c>
    </row>
    <row r="418" spans="1:25" x14ac:dyDescent="0.3">
      <c r="A418">
        <v>20850</v>
      </c>
      <c r="B418" t="s">
        <v>4554</v>
      </c>
      <c r="C418">
        <f>-587.661523729912 -26.9898499653159 -96.1488330902557</f>
        <v>-710.80020678548362</v>
      </c>
      <c r="D418">
        <f>-608.384503465957 -33.1360753042634 -209.942550809521</f>
        <v>-851.46312957974135</v>
      </c>
      <c r="E418">
        <f>-613.265946023502 -34.0975727839032 -308.440706509361</f>
        <v>-955.80422531676618</v>
      </c>
      <c r="F418">
        <f>-613.084839721987 -33.3547302948948 -397.534378840334</f>
        <v>-1043.9739488572159</v>
      </c>
      <c r="G418">
        <f>-607.964939236697 -30.9400088500236 -486.451070337988</f>
        <v>-1125.3560184247085</v>
      </c>
      <c r="H418">
        <f>-595.640421775818 -25.8197662232865 -610.316828813342</f>
        <v>-1231.7770168124466</v>
      </c>
      <c r="I418">
        <f>-552.887711187006 -15.4364832444755 -680.810888632937</f>
        <v>-1249.1350830644185</v>
      </c>
      <c r="J418">
        <f>-606.184592062154 -0.848102706647069 -555.193809865356</f>
        <v>-1162.2265046341572</v>
      </c>
      <c r="K418" t="s">
        <v>4555</v>
      </c>
      <c r="L418" t="s">
        <v>4556</v>
      </c>
      <c r="M418" t="s">
        <v>4557</v>
      </c>
      <c r="N418">
        <f>-595.943163220177 -55.2977746612787 -556.425482592238</f>
        <v>-1207.6664204736937</v>
      </c>
      <c r="O418">
        <f>-578.147487818276 -189.152719891679 -530.635691302453</f>
        <v>-1297.9358990124078</v>
      </c>
      <c r="P418">
        <f>-628.499012367103 -259.299201864453 -249.325608841964</f>
        <v>-1137.1238230735198</v>
      </c>
      <c r="Q418">
        <f>-446.797256387731 -116.952480841167 -318.41075514349</f>
        <v>-882.16049237238803</v>
      </c>
      <c r="R418" t="s">
        <v>4558</v>
      </c>
      <c r="S418" t="s">
        <v>4559</v>
      </c>
      <c r="T418" t="s">
        <v>4560</v>
      </c>
      <c r="U418" t="s">
        <v>4561</v>
      </c>
      <c r="V418">
        <f>-570.696447988895 -120.079976645382 -95.4403174840306</f>
        <v>-786.21674211830759</v>
      </c>
      <c r="W418" t="s">
        <v>4562</v>
      </c>
      <c r="X418" t="s">
        <v>4563</v>
      </c>
      <c r="Y418" t="s">
        <v>4564</v>
      </c>
    </row>
    <row r="419" spans="1:25" x14ac:dyDescent="0.3">
      <c r="A419">
        <v>20900</v>
      </c>
      <c r="B419" t="s">
        <v>4565</v>
      </c>
      <c r="C419">
        <f>-587.310986744891 -26.4540363120054 -96.0184422284302</f>
        <v>-709.78346528532666</v>
      </c>
      <c r="D419">
        <f>-608.110013943724 -32.620571679272 -209.797094185176</f>
        <v>-850.52767980817191</v>
      </c>
      <c r="E419">
        <f>-612.945564306042 -33.5959267752321 -308.297492626377</f>
        <v>-954.8389837076511</v>
      </c>
      <c r="F419">
        <f>-612.677599331916 -32.8660564424163 -397.390950987954</f>
        <v>-1042.9346067622862</v>
      </c>
      <c r="G419">
        <f>-607.425354790674 -30.465224381288 -486.300442815609</f>
        <v>-1124.1910219875708</v>
      </c>
      <c r="H419">
        <f>-594.868556996366 -25.3670655246042 -610.143599881912</f>
        <v>-1230.3792224028821</v>
      </c>
      <c r="I419">
        <f>-551.952904081237 -14.9945149831647 -680.540214772079</f>
        <v>-1247.4876338364807</v>
      </c>
      <c r="J419">
        <f>-605.502639688735 -0.383183630208578 -555.043395492473</f>
        <v>-1160.9292188114166</v>
      </c>
      <c r="K419" t="s">
        <v>4566</v>
      </c>
      <c r="L419" t="s">
        <v>4567</v>
      </c>
      <c r="M419" t="s">
        <v>4568</v>
      </c>
      <c r="N419">
        <f>-595.285706264423 -54.8379782024552 -556.2491622779</f>
        <v>-1206.3728467447781</v>
      </c>
      <c r="O419">
        <f>-577.592581172396 -188.677807244036 -530.322368276507</f>
        <v>-1296.592756692939</v>
      </c>
      <c r="P419">
        <f>-627.99310851143 -258.049851682386 -248.828979984656</f>
        <v>-1134.871940178472</v>
      </c>
      <c r="Q419">
        <f>-445.979077573129 -116.253138826446 -318.222562083757</f>
        <v>-880.45477848333201</v>
      </c>
      <c r="R419" t="s">
        <v>4569</v>
      </c>
      <c r="S419" t="s">
        <v>4570</v>
      </c>
      <c r="T419" t="s">
        <v>4571</v>
      </c>
      <c r="U419" t="s">
        <v>4572</v>
      </c>
      <c r="V419">
        <f>-570.270690070744 -119.628545864875 -95.3145270341955</f>
        <v>-785.21376296981452</v>
      </c>
      <c r="W419" t="s">
        <v>4573</v>
      </c>
      <c r="X419" t="s">
        <v>4574</v>
      </c>
      <c r="Y419" t="s">
        <v>4575</v>
      </c>
    </row>
    <row r="420" spans="1:25" x14ac:dyDescent="0.3">
      <c r="A420">
        <v>20950</v>
      </c>
      <c r="B420" t="s">
        <v>4576</v>
      </c>
      <c r="C420">
        <f>-587.140620626531 -26.2737070746359 -96.0157851842752</f>
        <v>-709.4301128854421</v>
      </c>
      <c r="D420">
        <f>-608.00181135203 -32.4301419304968 -209.783653435021</f>
        <v>-850.21560671754787</v>
      </c>
      <c r="E420">
        <f>-612.840386924998 -33.410686381945 -308.28381948424</f>
        <v>-954.53489279118298</v>
      </c>
      <c r="F420">
        <f>-612.554886912402 -32.6901779712664 -397.377173293721</f>
        <v>-1042.6222381773894</v>
      </c>
      <c r="G420">
        <f>-607.264937081401 -30.3040504963012 -486.284935680789</f>
        <v>-1123.8539232584912</v>
      </c>
      <c r="H420">
        <f>-594.63450750497 -25.2314089494366 -610.121734371466</f>
        <v>-1229.9876508258726</v>
      </c>
      <c r="I420">
        <f>-551.734934696066 -14.8928830878015 -680.533206859462</f>
        <v>-1247.1610246433295</v>
      </c>
      <c r="J420">
        <f>-605.287107015986 -0.233508607982458 -555.031488397056</f>
        <v>-1160.5521040210244</v>
      </c>
      <c r="K420" t="s">
        <v>4577</v>
      </c>
      <c r="L420" t="s">
        <v>4578</v>
      </c>
      <c r="M420" t="s">
        <v>4579</v>
      </c>
      <c r="N420">
        <f>-595.097829086989 -54.6937830674541 -556.223081670758</f>
        <v>-1206.014693825201</v>
      </c>
      <c r="O420">
        <f>-577.48911671467 -188.530097395639 -530.204231635522</f>
        <v>-1296.223445745831</v>
      </c>
      <c r="P420">
        <f>-628.077660385137 -257.526567281986 -248.652351611137</f>
        <v>-1134.25657927826</v>
      </c>
      <c r="Q420">
        <f>-445.907949461893 -116.013271039351 -318.215752714701</f>
        <v>-880.13697321594498</v>
      </c>
      <c r="R420" t="s">
        <v>4580</v>
      </c>
      <c r="S420" t="s">
        <v>4581</v>
      </c>
      <c r="T420" t="s">
        <v>4582</v>
      </c>
      <c r="U420" t="s">
        <v>4583</v>
      </c>
      <c r="V420">
        <f>-570.05298944446 -119.635300548571 -95.2734632170157</f>
        <v>-784.9617532100466</v>
      </c>
      <c r="W420" t="s">
        <v>4584</v>
      </c>
      <c r="X420" t="s">
        <v>4585</v>
      </c>
      <c r="Y420" t="s">
        <v>4586</v>
      </c>
    </row>
    <row r="421" spans="1:25" x14ac:dyDescent="0.3">
      <c r="A421">
        <v>21000</v>
      </c>
      <c r="B421" t="s">
        <v>4587</v>
      </c>
      <c r="C421">
        <f>-586.892895447207 -25.9615056902921 -95.9859394536024</f>
        <v>-708.84034059110161</v>
      </c>
      <c r="D421">
        <f>-607.69860014164 -32.0275114078529 -209.768889312424</f>
        <v>-849.49500086191688</v>
      </c>
      <c r="E421">
        <f>-612.456210342526 -32.9963527745817 -308.273025458732</f>
        <v>-953.72558857583977</v>
      </c>
      <c r="F421">
        <f>-612.084727652329 -32.2895378827511 -397.366361441644</f>
        <v>-1041.7406269767241</v>
      </c>
      <c r="G421">
        <f>-606.696340117923 -29.9420016876575 -486.269046155969</f>
        <v>-1122.9073879615494</v>
      </c>
      <c r="H421">
        <f>-593.915501965184 -24.9492886801095 -610.093632255992</f>
        <v>-1228.9584229012855</v>
      </c>
      <c r="I421">
        <f>-551.104200303436 -14.6849886640991 -680.569607212811</f>
        <v>-1246.358796180346</v>
      </c>
      <c r="J421" t="s">
        <v>4588</v>
      </c>
      <c r="K421" t="s">
        <v>4589</v>
      </c>
      <c r="L421" t="s">
        <v>4590</v>
      </c>
      <c r="M421" t="s">
        <v>4591</v>
      </c>
      <c r="N421">
        <f>-594.516457468871 -54.3900282589184 -556.184589373709</f>
        <v>-1205.0910751014983</v>
      </c>
      <c r="O421">
        <f>-577.129297082733 -188.257315102345 -530.148322430692</f>
        <v>-1295.53493461577</v>
      </c>
      <c r="P421">
        <f>-627.644824655382 -257.258384825204 -248.584341919728</f>
        <v>-1133.4875514003138</v>
      </c>
      <c r="Q421">
        <f>-445.41822241677 -115.793295693427 -318.096749293544</f>
        <v>-879.30826740374096</v>
      </c>
      <c r="R421" t="s">
        <v>4592</v>
      </c>
      <c r="S421" t="s">
        <v>4593</v>
      </c>
      <c r="T421" t="s">
        <v>4594</v>
      </c>
      <c r="U421" t="s">
        <v>4595</v>
      </c>
      <c r="V421">
        <f>-570.099633913191 -119.301487512847 -95.2508422501694</f>
        <v>-784.6519636762074</v>
      </c>
      <c r="W421" t="s">
        <v>4596</v>
      </c>
      <c r="X421" t="s">
        <v>4597</v>
      </c>
      <c r="Y421" t="s">
        <v>4598</v>
      </c>
    </row>
    <row r="422" spans="1:25" x14ac:dyDescent="0.3">
      <c r="A422">
        <v>21050</v>
      </c>
      <c r="B422" t="s">
        <v>4599</v>
      </c>
      <c r="C422">
        <f>-586.8266983977 -25.6689053010539 -95.9376038757548</f>
        <v>-708.43320757450874</v>
      </c>
      <c r="D422">
        <f>-607.567521585967 -31.6523806609894 -209.736809357028</f>
        <v>-848.95671160398433</v>
      </c>
      <c r="E422">
        <f>-612.29881442557 -32.5589837752068 -308.242773564506</f>
        <v>-953.10057176528278</v>
      </c>
      <c r="F422">
        <f>-611.916055850503 -31.7981382116163 -397.33550112072</f>
        <v>-1041.0496951828393</v>
      </c>
      <c r="G422">
        <f>-606.528816372438 -29.3988890715707 -486.236964523052</f>
        <v>-1122.1646699670607</v>
      </c>
      <c r="H422">
        <f>-593.762694714747 -24.3361342542498 -610.060302644234</f>
        <v>-1228.1591316132308</v>
      </c>
      <c r="I422">
        <f>-551.026104898926 -14.0982946243676 -680.585314563516</f>
        <v>-1245.7097140868095</v>
      </c>
      <c r="J422" t="s">
        <v>4600</v>
      </c>
      <c r="K422" t="s">
        <v>4601</v>
      </c>
      <c r="L422" t="s">
        <v>4602</v>
      </c>
      <c r="M422" t="s">
        <v>4603</v>
      </c>
      <c r="N422">
        <f>-594.394345373155 -53.8140680289379 -556.171882719132</f>
        <v>-1204.380296121225</v>
      </c>
      <c r="O422">
        <f>-577.188364833655 -187.712010768556 -530.207099010165</f>
        <v>-1295.1074746123759</v>
      </c>
      <c r="P422">
        <f>-627.768870239512 -257.158788896066 -248.76436656157</f>
        <v>-1133.692025697148</v>
      </c>
      <c r="Q422">
        <f>-445.41167542914 -115.768349351539 -318.085735484371</f>
        <v>-879.26576026504995</v>
      </c>
      <c r="R422" t="s">
        <v>4604</v>
      </c>
      <c r="S422" t="s">
        <v>4605</v>
      </c>
      <c r="T422" t="s">
        <v>4606</v>
      </c>
      <c r="U422" t="s">
        <v>4607</v>
      </c>
      <c r="V422">
        <f>-570.176524269905 -118.978740797426 -95.248825781732</f>
        <v>-784.40409084906298</v>
      </c>
      <c r="W422" t="s">
        <v>4608</v>
      </c>
      <c r="X422" t="s">
        <v>4609</v>
      </c>
      <c r="Y422" t="s">
        <v>4610</v>
      </c>
    </row>
    <row r="423" spans="1:25" x14ac:dyDescent="0.3">
      <c r="A423">
        <v>21100</v>
      </c>
      <c r="B423" t="s">
        <v>4611</v>
      </c>
      <c r="C423">
        <f>-586.725057640119 -24.8630507285093 -95.899309931004</f>
        <v>-707.48741829963228</v>
      </c>
      <c r="D423">
        <f>-607.365740160239 -30.6788167783945 -209.725352262455</f>
        <v>-847.76990920108858</v>
      </c>
      <c r="E423">
        <f>-612.059165590611 -31.4517391519362 -308.234436919117</f>
        <v>-951.74534166166416</v>
      </c>
      <c r="F423">
        <f>-611.662091499154 -30.5727881597363 -397.326027206266</f>
        <v>-1039.5609068651563</v>
      </c>
      <c r="G423">
        <f>-606.28028549382 -28.0595398775306 -486.224585568102</f>
        <v>-1120.5644109394525</v>
      </c>
      <c r="H423">
        <f>-593.542529484421 -22.8414286405607 -610.044371696023</f>
        <v>-1226.4283298210048</v>
      </c>
      <c r="I423">
        <f>-550.807580428669 -12.6191528829847 -680.572733950533</f>
        <v>-1243.9994672621867</v>
      </c>
      <c r="J423" t="s">
        <v>4612</v>
      </c>
      <c r="K423" t="s">
        <v>4613</v>
      </c>
      <c r="L423" t="s">
        <v>4614</v>
      </c>
      <c r="M423" t="s">
        <v>4615</v>
      </c>
      <c r="N423">
        <f>-594.223093588074 -52.3980740591611 -556.199605197427</f>
        <v>-1202.8207728446621</v>
      </c>
      <c r="O423">
        <f>-577.344512316816 -186.375877501685 -530.434026986808</f>
        <v>-1294.154416805309</v>
      </c>
      <c r="P423">
        <f>-628.331091468912 -256.06346915221 -249.124197336094</f>
        <v>-1133.5187579572159</v>
      </c>
      <c r="Q423">
        <f>-445.428480858714 -115.148710421968 -317.975894595047</f>
        <v>-878.55308587572904</v>
      </c>
      <c r="R423" t="s">
        <v>4616</v>
      </c>
      <c r="S423" t="s">
        <v>4617</v>
      </c>
      <c r="T423" t="s">
        <v>4618</v>
      </c>
      <c r="U423" t="s">
        <v>4619</v>
      </c>
      <c r="V423">
        <f>-570.232159546833 -118.098450068774 -95.2788791664336</f>
        <v>-783.60948878204067</v>
      </c>
      <c r="W423" t="s">
        <v>4620</v>
      </c>
      <c r="X423" t="s">
        <v>4621</v>
      </c>
      <c r="Y423" t="s">
        <v>4622</v>
      </c>
    </row>
    <row r="424" spans="1:25" x14ac:dyDescent="0.3">
      <c r="A424">
        <v>21150</v>
      </c>
      <c r="B424" t="s">
        <v>4623</v>
      </c>
      <c r="C424">
        <f>-586.501980787318 -24.6975746068122 -95.884814386943</f>
        <v>-707.08436978107318</v>
      </c>
      <c r="D424">
        <f>-607.11664330316 -30.4423441879708 -209.719180526245</f>
        <v>-847.27816801737572</v>
      </c>
      <c r="E424">
        <f>-611.770986239813 -31.1459509655565 -308.230589881869</f>
        <v>-951.14752708723859</v>
      </c>
      <c r="F424">
        <f>-611.332029019396 -30.2005887661817 -397.321355116446</f>
        <v>-1038.8539729020238</v>
      </c>
      <c r="G424">
        <f>-605.902015227301 -27.6172777693655 -486.214877863409</f>
        <v>-1119.7341708600757</v>
      </c>
      <c r="H424">
        <f>-593.090281101045 -22.2977800349058 -610.022740857237</f>
        <v>-1225.4108019931878</v>
      </c>
      <c r="I424">
        <f>-550.309118729131 -12.0437931344143 -680.518426065967</f>
        <v>-1242.8713379295123</v>
      </c>
      <c r="J424" t="s">
        <v>4624</v>
      </c>
      <c r="K424" t="s">
        <v>4625</v>
      </c>
      <c r="L424" t="s">
        <v>4626</v>
      </c>
      <c r="M424" t="s">
        <v>4627</v>
      </c>
      <c r="N424">
        <f>-593.825613689821 -51.9024467849812 -556.205067051547</f>
        <v>-1201.9331275263492</v>
      </c>
      <c r="O424">
        <f>-577.083923326246 -185.911575349903 -530.519345447928</f>
        <v>-1293.5148441240772</v>
      </c>
      <c r="P424">
        <f>-628.420335583141 -255.66954009341 -249.290508559123</f>
        <v>-1133.380384235674</v>
      </c>
      <c r="Q424">
        <f>-445.224311841213 -115.040384473653 -317.945964365568</f>
        <v>-878.21066068043399</v>
      </c>
      <c r="R424" t="s">
        <v>4628</v>
      </c>
      <c r="S424" t="s">
        <v>4629</v>
      </c>
      <c r="T424" t="s">
        <v>4630</v>
      </c>
      <c r="U424" t="s">
        <v>4631</v>
      </c>
      <c r="V424">
        <f>-570.042906320444 -118.052340990578 -95.3133143510006</f>
        <v>-783.40856166202263</v>
      </c>
      <c r="W424" t="s">
        <v>4632</v>
      </c>
      <c r="X424" t="s">
        <v>4633</v>
      </c>
      <c r="Y424" t="s">
        <v>4634</v>
      </c>
    </row>
    <row r="425" spans="1:25" x14ac:dyDescent="0.3">
      <c r="A425">
        <v>21200</v>
      </c>
      <c r="B425" t="s">
        <v>4635</v>
      </c>
      <c r="C425">
        <f>-586.000053395529 -24.4163603001709 -95.8594292141279</f>
        <v>-706.27584290982782</v>
      </c>
      <c r="D425">
        <f>-606.599426073069 -30.0035243216726 -209.704469447535</f>
        <v>-846.30741984227654</v>
      </c>
      <c r="E425">
        <f>-611.198491104196 -30.5949086157086 -308.219205955994</f>
        <v>-950.01260567589861</v>
      </c>
      <c r="F425">
        <f>-610.693209331217 -29.5557283546802 -397.308469982887</f>
        <v>-1037.5574076687842</v>
      </c>
      <c r="G425">
        <f>-605.18081629004 -26.8865648864012 -486.194504635166</f>
        <v>-1118.261885811607</v>
      </c>
      <c r="H425">
        <f>-592.237555949318 -21.4551067282796 -609.983794276388</f>
        <v>-1223.6764569539855</v>
      </c>
      <c r="I425">
        <f>-549.363219251784 -11.112937625626 -680.409990898822</f>
        <v>-1240.8861477762321</v>
      </c>
      <c r="J425" t="s">
        <v>4636</v>
      </c>
      <c r="K425" t="s">
        <v>4637</v>
      </c>
      <c r="L425" t="s">
        <v>4638</v>
      </c>
      <c r="M425" t="s">
        <v>4639</v>
      </c>
      <c r="N425">
        <f>-593.060040180977 -51.1137635888139 -556.197189694546</f>
        <v>-1200.3709934643368</v>
      </c>
      <c r="O425">
        <f>-576.449529383515 -185.158903992052 -530.649812447261</f>
        <v>-1292.258245822828</v>
      </c>
      <c r="P425">
        <f>-628.305493812013 -255.127604618041 -249.568730211903</f>
        <v>-1133.001828641957</v>
      </c>
      <c r="Q425">
        <f>-444.89736171245 -114.575734294234 -317.814539327529</f>
        <v>-877.28763533421306</v>
      </c>
      <c r="R425" t="s">
        <v>4640</v>
      </c>
      <c r="S425" t="s">
        <v>4641</v>
      </c>
      <c r="T425" t="s">
        <v>4642</v>
      </c>
      <c r="U425" t="s">
        <v>4643</v>
      </c>
      <c r="V425">
        <f>-569.650745346899 -117.89247054066 -95.3698960079889</f>
        <v>-782.91311189554801</v>
      </c>
      <c r="W425" t="s">
        <v>4644</v>
      </c>
      <c r="X425" t="s">
        <v>4645</v>
      </c>
      <c r="Y425" t="s">
        <v>4646</v>
      </c>
    </row>
    <row r="426" spans="1:25" x14ac:dyDescent="0.3">
      <c r="A426">
        <v>21250</v>
      </c>
      <c r="B426" t="s">
        <v>4647</v>
      </c>
      <c r="C426">
        <f>-585.656448184127 -24.3511258013159 -95.8126706577391</f>
        <v>-705.82024464318204</v>
      </c>
      <c r="D426">
        <f>-606.289063203944 -29.8789660801197 -209.654454291166</f>
        <v>-845.82248357522963</v>
      </c>
      <c r="E426">
        <f>-610.90047735789 -30.4494729562493 -308.168902411027</f>
        <v>-949.51885272516643</v>
      </c>
      <c r="F426">
        <f>-610.399769057353 -29.4038535444188 -397.258041642178</f>
        <v>-1037.0616642439497</v>
      </c>
      <c r="G426">
        <f>-604.884939375671 -26.7412095959057 -486.14412446201</f>
        <v>-1117.7702734335867</v>
      </c>
      <c r="H426">
        <f>-591.930954831587 -21.3331541938978 -609.933339701718</f>
        <v>-1223.1974487272028</v>
      </c>
      <c r="I426">
        <f>-549.057124922908 -10.993681841536 -680.360308050179</f>
        <v>-1240.411114814623</v>
      </c>
      <c r="J426" t="s">
        <v>4648</v>
      </c>
      <c r="K426" t="s">
        <v>4649</v>
      </c>
      <c r="L426" t="s">
        <v>4650</v>
      </c>
      <c r="M426" t="s">
        <v>4651</v>
      </c>
      <c r="N426">
        <f>-592.790177055779 -50.9871702260272 -556.144831609238</f>
        <v>-1199.9221788910443</v>
      </c>
      <c r="O426">
        <f>-576.267066147605 -185.060025241476 -530.652370774559</f>
        <v>-1291.9794621636402</v>
      </c>
      <c r="P426">
        <f>-628.019135183655 -255.217612169537 -249.599264704966</f>
        <v>-1132.8360120581578</v>
      </c>
      <c r="Q426">
        <f>-444.690200326769 -114.529760225033 -317.777693359677</f>
        <v>-876.99765391147912</v>
      </c>
      <c r="R426" t="s">
        <v>4652</v>
      </c>
      <c r="S426" t="s">
        <v>4653</v>
      </c>
      <c r="T426" t="s">
        <v>4654</v>
      </c>
      <c r="U426" t="s">
        <v>4655</v>
      </c>
      <c r="V426">
        <f>-569.341532082835 -117.830393397011 -95.3674932965442</f>
        <v>-782.53941877639022</v>
      </c>
      <c r="W426" t="s">
        <v>4656</v>
      </c>
      <c r="X426" t="s">
        <v>4657</v>
      </c>
      <c r="Y426" t="s">
        <v>4658</v>
      </c>
    </row>
    <row r="427" spans="1:25" x14ac:dyDescent="0.3">
      <c r="A427">
        <v>21300</v>
      </c>
      <c r="B427" t="s">
        <v>4659</v>
      </c>
      <c r="C427">
        <f>-584.723159885475 -24.08554265819 -95.7538373367194</f>
        <v>-704.56253988038429</v>
      </c>
      <c r="D427">
        <f>-605.321703972106 -29.489141510441 -209.607847366372</f>
        <v>-844.41869284891891</v>
      </c>
      <c r="E427">
        <f>-609.962906914795 -30.0174097141521 -308.120819557405</f>
        <v>-948.10113618635205</v>
      </c>
      <c r="F427">
        <f>-609.512553049708 -28.9597468524789 -397.210326004305</f>
        <v>-1035.6826259064919</v>
      </c>
      <c r="G427">
        <f>-604.07103168736 -26.3138138139464 -486.101381074833</f>
        <v>-1116.4862265761394</v>
      </c>
      <c r="H427">
        <f>-591.242571870088 -20.9598624046398 -609.906026711979</f>
        <v>-1222.1084609867069</v>
      </c>
      <c r="I427">
        <f>-548.556430641081 -10.7285901974733 -680.462593144821</f>
        <v>-1239.7476139833752</v>
      </c>
      <c r="J427" t="s">
        <v>4660</v>
      </c>
      <c r="K427" t="s">
        <v>4661</v>
      </c>
      <c r="L427" t="s">
        <v>4662</v>
      </c>
      <c r="M427" t="s">
        <v>4663</v>
      </c>
      <c r="N427">
        <f>-592.155451439089 -50.6091669510996 -556.115636535436</f>
        <v>-1198.8802549256247</v>
      </c>
      <c r="O427">
        <f>-576.051723795295 -184.748619995212 -530.680815205958</f>
        <v>-1291.481158996465</v>
      </c>
      <c r="P427">
        <f>-627.630982550306 -254.990499673126 -249.61702804492</f>
        <v>-1132.238510268352</v>
      </c>
      <c r="Q427">
        <f>-444.155723192814 -114.49184363544 -317.792041153745</f>
        <v>-876.43960798199896</v>
      </c>
      <c r="R427" t="s">
        <v>4664</v>
      </c>
      <c r="S427" t="s">
        <v>4665</v>
      </c>
      <c r="T427" t="s">
        <v>4666</v>
      </c>
      <c r="U427" t="s">
        <v>4667</v>
      </c>
      <c r="V427">
        <f>-568.401712116604 -117.456220118455 -95.3737904335395</f>
        <v>-781.23172266859854</v>
      </c>
      <c r="W427" t="s">
        <v>4668</v>
      </c>
      <c r="X427" t="s">
        <v>4669</v>
      </c>
      <c r="Y427" t="s">
        <v>4670</v>
      </c>
    </row>
    <row r="428" spans="1:25" x14ac:dyDescent="0.3">
      <c r="A428">
        <v>21350</v>
      </c>
      <c r="B428" t="s">
        <v>4671</v>
      </c>
      <c r="C428">
        <f>-584.363395711529 -23.9600971952871 -95.7632395504824</f>
        <v>-704.08673245729847</v>
      </c>
      <c r="D428">
        <f>-604.897734997823 -29.2795474085331 -209.632787975674</f>
        <v>-843.81007038203006</v>
      </c>
      <c r="E428">
        <f>-609.545302467162 -29.7770433594819 -308.145800268336</f>
        <v>-947.46814609497983</v>
      </c>
      <c r="F428">
        <f>-609.12593396966 -28.7078094190806 -397.23523957219</f>
        <v>-1035.0689829609305</v>
      </c>
      <c r="G428">
        <f>-603.739742066593 -26.0675287499648 -486.129843640723</f>
        <v>-1115.9371144572808</v>
      </c>
      <c r="H428">
        <f>-591.014217144759 -20.7402869618916 -609.946246168419</f>
        <v>-1221.7007502750694</v>
      </c>
      <c r="I428">
        <f>-548.509604560301 -10.6212649592323 -680.62861726457</f>
        <v>-1239.7594867841035</v>
      </c>
      <c r="J428" t="s">
        <v>4672</v>
      </c>
      <c r="K428" t="s">
        <v>4673</v>
      </c>
      <c r="L428" t="s">
        <v>4674</v>
      </c>
      <c r="M428" t="s">
        <v>4675</v>
      </c>
      <c r="N428">
        <f>-591.952593224771 -50.3898631680567 -556.156424622658</f>
        <v>-1198.4988810154857</v>
      </c>
      <c r="O428">
        <f>-576.202799583923 -184.568161854715 -530.680674711767</f>
        <v>-1291.451636150405</v>
      </c>
      <c r="P428">
        <f>-628.015279644977 -254.416363443862 -249.56165671331</f>
        <v>-1131.9932998021491</v>
      </c>
      <c r="Q428">
        <f>-444.175712207213 -114.407251617209 -317.762373751514</f>
        <v>-876.34533757593601</v>
      </c>
      <c r="R428" t="s">
        <v>4676</v>
      </c>
      <c r="S428" t="s">
        <v>4677</v>
      </c>
      <c r="T428" t="s">
        <v>4678</v>
      </c>
      <c r="U428" t="s">
        <v>4679</v>
      </c>
      <c r="V428">
        <f>-568.281174780702 -117.334863213618 -95.4099829220615</f>
        <v>-781.02602091638153</v>
      </c>
      <c r="W428" t="s">
        <v>4680</v>
      </c>
      <c r="X428" t="s">
        <v>4681</v>
      </c>
      <c r="Y428" t="s">
        <v>4682</v>
      </c>
    </row>
    <row r="429" spans="1:25" x14ac:dyDescent="0.3">
      <c r="A429">
        <v>21400</v>
      </c>
      <c r="B429" t="s">
        <v>4683</v>
      </c>
      <c r="C429">
        <f>-583.952009875308 -23.7036462715898 -95.706595341628</f>
        <v>-703.36225148852589</v>
      </c>
      <c r="D429">
        <f>-604.456474550198 -28.8320181947679 -209.590221711987</f>
        <v>-842.87871445695282</v>
      </c>
      <c r="E429">
        <f>-609.106936472153 -29.2616803316228 -308.103322664507</f>
        <v>-946.47193946828281</v>
      </c>
      <c r="F429">
        <f>-608.702213421657 -28.1668891394154 -397.192629766735</f>
        <v>-1034.0617323278075</v>
      </c>
      <c r="G429">
        <f>-603.34253702358 -25.5391086147772 -486.089178871797</f>
        <v>-1114.9708245101542</v>
      </c>
      <c r="H429">
        <f>-590.665974823736 -20.2692761633223 -609.913098792802</f>
        <v>-1220.8483497798602</v>
      </c>
      <c r="I429">
        <f>-548.587729033114 -10.5229775334637 -680.902216973131</f>
        <v>-1240.0129235397087</v>
      </c>
      <c r="J429" t="s">
        <v>4684</v>
      </c>
      <c r="K429" t="s">
        <v>4685</v>
      </c>
      <c r="L429" t="s">
        <v>4686</v>
      </c>
      <c r="M429" t="s">
        <v>4687</v>
      </c>
      <c r="N429">
        <f>-591.736700784159 -49.9192643884003 -556.12609560647</f>
        <v>-1197.7820607790293</v>
      </c>
      <c r="O429">
        <f>-576.769039982555 -184.159287287091 -530.527551899447</f>
        <v>-1291.4558791690929</v>
      </c>
      <c r="P429">
        <f>-629.406931986336 -253.356956194082 -249.400948870688</f>
        <v>-1132.1648370511061</v>
      </c>
      <c r="Q429">
        <f>-444.457767877917 -114.794731630351 -317.556488155011</f>
        <v>-876.80898766327891</v>
      </c>
      <c r="R429" t="s">
        <v>4688</v>
      </c>
      <c r="S429" t="s">
        <v>4689</v>
      </c>
      <c r="T429" t="s">
        <v>4690</v>
      </c>
      <c r="U429" t="s">
        <v>4691</v>
      </c>
      <c r="V429">
        <f>-568.403028729207 -116.754281693707 -95.4406691162787</f>
        <v>-780.59797953919269</v>
      </c>
      <c r="W429" t="s">
        <v>4692</v>
      </c>
      <c r="X429" t="s">
        <v>4693</v>
      </c>
      <c r="Y429" t="s">
        <v>4694</v>
      </c>
    </row>
    <row r="430" spans="1:25" x14ac:dyDescent="0.3">
      <c r="A430">
        <v>21450</v>
      </c>
      <c r="B430" t="s">
        <v>4695</v>
      </c>
      <c r="C430">
        <f>-583.733266023891 -23.6244300127123 -95.6626572902566</f>
        <v>-703.02035332685989</v>
      </c>
      <c r="D430">
        <f>-604.24384958665 -28.6771487748008 -209.548649799089</f>
        <v>-842.46964816053969</v>
      </c>
      <c r="E430">
        <f>-608.894076619482 -29.0820260515043 -308.06187528772</f>
        <v>-946.03797795870628</v>
      </c>
      <c r="F430">
        <f>-608.487350226585 -27.9790809423591 -397.150840541014</f>
        <v>-1033.6172717099582</v>
      </c>
      <c r="G430">
        <f>-603.123721603715 -25.3583377248433 -486.04747813157</f>
        <v>-1114.5295374601283</v>
      </c>
      <c r="H430">
        <f>-590.439723248363 -20.1139310646336 -609.871648096399</f>
        <v>-1220.4253024093955</v>
      </c>
      <c r="I430">
        <f>-548.641423670122 -10.6503627643235 -681.064130457867</f>
        <v>-1240.3559168923125</v>
      </c>
      <c r="J430" t="s">
        <v>4696</v>
      </c>
      <c r="K430" t="s">
        <v>4697</v>
      </c>
      <c r="L430" t="s">
        <v>4698</v>
      </c>
      <c r="M430" t="s">
        <v>4699</v>
      </c>
      <c r="N430">
        <f>-591.584483612232 -49.7641688282056 -556.086328213224</f>
        <v>-1197.4349806536616</v>
      </c>
      <c r="O430">
        <f>-576.988865060666 -184.026834027637 -530.430246461773</f>
        <v>-1291.445945550076</v>
      </c>
      <c r="P430">
        <f>-629.923169076736 -253.102681952899 -249.329371075474</f>
        <v>-1132.3552221051091</v>
      </c>
      <c r="Q430">
        <f>-444.479408243864 -115.135527392041 -317.348134940025</f>
        <v>-876.96307057593003</v>
      </c>
      <c r="R430" t="s">
        <v>4700</v>
      </c>
      <c r="S430" t="s">
        <v>4701</v>
      </c>
      <c r="T430" t="s">
        <v>4702</v>
      </c>
      <c r="U430" t="s">
        <v>4703</v>
      </c>
      <c r="V430">
        <f>-568.343220018543 -116.605882453116 -95.4517577049061</f>
        <v>-780.40086017656506</v>
      </c>
      <c r="W430" t="s">
        <v>4704</v>
      </c>
      <c r="X430" t="s">
        <v>4705</v>
      </c>
      <c r="Y430" t="s">
        <v>4706</v>
      </c>
    </row>
    <row r="431" spans="1:25" x14ac:dyDescent="0.3">
      <c r="A431">
        <v>21500</v>
      </c>
      <c r="B431" t="s">
        <v>4707</v>
      </c>
      <c r="C431">
        <f>-583.375211127992 -23.5749933909524 -95.6945804658261</f>
        <v>-702.64478498477047</v>
      </c>
      <c r="D431">
        <f>-603.869728974534 -28.5306075391152 -209.587659047965</f>
        <v>-841.98799556161418</v>
      </c>
      <c r="E431">
        <f>-608.496899506354 -28.932034966944 -308.102018768652</f>
        <v>-945.53095324194999</v>
      </c>
      <c r="F431">
        <f>-608.065982226082 -27.8564200433404 -397.191406483699</f>
        <v>-1033.1138087531215</v>
      </c>
      <c r="G431">
        <f>-602.674559119828 -25.2950618887951 -486.0880542866</f>
        <v>-1114.0576752952231</v>
      </c>
      <c r="H431">
        <f>-589.948021072928 -20.1674834344074 -609.912691376758</f>
        <v>-1220.0281958840933</v>
      </c>
      <c r="I431">
        <f>-548.745843876688 -11.3415377558972 -681.53331073498</f>
        <v>-1241.6206923675652</v>
      </c>
      <c r="J431" t="s">
        <v>4708</v>
      </c>
      <c r="K431" t="s">
        <v>4709</v>
      </c>
      <c r="L431" t="s">
        <v>4710</v>
      </c>
      <c r="M431" t="s">
        <v>4711</v>
      </c>
      <c r="N431">
        <f>-591.214941213782 -49.7832854225298 -556.111236740838</f>
        <v>-1197.10946337715</v>
      </c>
      <c r="O431">
        <f>-577.117419222625 -184.082900342462 -530.341058207723</f>
        <v>-1291.5413777728099</v>
      </c>
      <c r="P431">
        <f>-630.632723302042 -252.749280522124 -249.249792778958</f>
        <v>-1132.631796603124</v>
      </c>
      <c r="Q431">
        <f>-444.474232067031 -115.717517000616 -317.207039752335</f>
        <v>-877.39878881998197</v>
      </c>
      <c r="R431" t="s">
        <v>4712</v>
      </c>
      <c r="S431" t="s">
        <v>4713</v>
      </c>
      <c r="T431" t="s">
        <v>4714</v>
      </c>
      <c r="U431" t="s">
        <v>4715</v>
      </c>
      <c r="V431">
        <f>-568.269633107106 -116.384709027171 -95.518986207608</f>
        <v>-780.17332834188494</v>
      </c>
      <c r="W431" t="s">
        <v>4716</v>
      </c>
      <c r="X431" t="s">
        <v>4717</v>
      </c>
      <c r="Y431" t="s">
        <v>4718</v>
      </c>
    </row>
    <row r="432" spans="1:25" x14ac:dyDescent="0.3">
      <c r="A432">
        <v>21550</v>
      </c>
      <c r="B432" t="s">
        <v>4719</v>
      </c>
      <c r="C432">
        <f>-583.351665877566 -23.4258531432192 -95.7250075341417</f>
        <v>-702.50252655492693</v>
      </c>
      <c r="D432">
        <f>-603.860604527952 -28.3866248895406 -209.615318139003</f>
        <v>-841.86254755649554</v>
      </c>
      <c r="E432">
        <f>-608.504677981078 -28.8137295018894 -308.128826936441</f>
        <v>-945.44723441940835</v>
      </c>
      <c r="F432">
        <f>-608.090584841602 -27.7701738336618 -397.218554673338</f>
        <v>-1033.0793133486018</v>
      </c>
      <c r="G432">
        <f>-602.717577193732 -25.2501751716691 -486.117459115053</f>
        <v>-1114.0852114804541</v>
      </c>
      <c r="H432">
        <f>-590.01784506786 -20.1905076688797 -609.947687821303</f>
        <v>-1220.1560405580426</v>
      </c>
      <c r="I432">
        <f>-549.058122011507 -11.6014202383064 -681.7359807438</f>
        <v>-1242.3955229936134</v>
      </c>
      <c r="J432" t="s">
        <v>4720</v>
      </c>
      <c r="K432" t="s">
        <v>4721</v>
      </c>
      <c r="L432" t="s">
        <v>4722</v>
      </c>
      <c r="M432" t="s">
        <v>4723</v>
      </c>
      <c r="N432">
        <f>-591.294265927714 -49.7801254734119 -556.131878681343</f>
        <v>-1197.206270082469</v>
      </c>
      <c r="O432">
        <f>-577.283640566712 -184.070790244268 -530.293393156213</f>
        <v>-1291.6478239671931</v>
      </c>
      <c r="P432">
        <f>-630.730231508707 -252.433939453163 -249.115163794205</f>
        <v>-1132.2793347560751</v>
      </c>
      <c r="Q432">
        <f>-444.493350061213 -115.572456084298 -317.200505030105</f>
        <v>-877.26631117561601</v>
      </c>
      <c r="R432" t="s">
        <v>4724</v>
      </c>
      <c r="S432" t="s">
        <v>4725</v>
      </c>
      <c r="T432" t="s">
        <v>4726</v>
      </c>
      <c r="U432" t="s">
        <v>4727</v>
      </c>
      <c r="V432">
        <f>-568.325449564609 -116.095350656699 -95.5299644142769</f>
        <v>-779.95076463558496</v>
      </c>
      <c r="W432" t="s">
        <v>4728</v>
      </c>
      <c r="X432" t="s">
        <v>4729</v>
      </c>
      <c r="Y432" t="s">
        <v>4730</v>
      </c>
    </row>
    <row r="433" spans="1:25" x14ac:dyDescent="0.3">
      <c r="A433">
        <v>21600</v>
      </c>
      <c r="B433" t="s">
        <v>4731</v>
      </c>
      <c r="C433">
        <f>-583.396029646253 -23.477718210306 -95.7174261481099</f>
        <v>-702.59117400466891</v>
      </c>
      <c r="D433">
        <f>-603.991370916797 -28.541526631956 -209.587540539464</f>
        <v>-842.12043808821704</v>
      </c>
      <c r="E433">
        <f>-608.769309643614 -29.0542656366756 -308.094281227809</f>
        <v>-945.91785650809857</v>
      </c>
      <c r="F433">
        <f>-608.499656797736 -28.0884156427371 -397.185495395673</f>
        <v>-1033.773567836146</v>
      </c>
      <c r="G433">
        <f>-603.294116336255 -25.645961118001 -486.096570624042</f>
        <v>-1115.036648078298</v>
      </c>
      <c r="H433">
        <f>-590.852133460784 -20.6941237273822 -609.957313061218</f>
        <v>-1221.5035702493842</v>
      </c>
      <c r="I433">
        <f>-550.165452647339 -12.2333034720423 -681.915839120854</f>
        <v>-1244.3145952402351</v>
      </c>
      <c r="J433" t="s">
        <v>4732</v>
      </c>
      <c r="K433" t="s">
        <v>4733</v>
      </c>
      <c r="L433" t="s">
        <v>4734</v>
      </c>
      <c r="M433" t="s">
        <v>4735</v>
      </c>
      <c r="N433">
        <f>-591.976253508934 -50.2306833947735 -556.108900803449</f>
        <v>-1198.3158377071563</v>
      </c>
      <c r="O433">
        <f>-577.686922768588 -184.466584099686 -530.15124573159</f>
        <v>-1292.3047525998641</v>
      </c>
      <c r="P433">
        <f>-630.388021705067 -252.427984148114 -248.735065315159</f>
        <v>-1131.5510711683401</v>
      </c>
      <c r="Q433">
        <f>-444.615129107748 -115.158716108306 -317.265730117491</f>
        <v>-877.03957533354492</v>
      </c>
      <c r="R433" t="s">
        <v>4736</v>
      </c>
      <c r="S433" t="s">
        <v>4737</v>
      </c>
      <c r="T433" t="s">
        <v>4738</v>
      </c>
      <c r="U433" t="s">
        <v>4739</v>
      </c>
      <c r="V433">
        <f>-568.254079801669 -116.177639435378 -95.5074793421646</f>
        <v>-779.93919857921162</v>
      </c>
      <c r="W433" t="s">
        <v>4740</v>
      </c>
      <c r="X433" t="s">
        <v>4741</v>
      </c>
      <c r="Y433" t="s">
        <v>4742</v>
      </c>
    </row>
    <row r="434" spans="1:25" x14ac:dyDescent="0.3">
      <c r="A434">
        <v>21650</v>
      </c>
      <c r="B434" t="s">
        <v>4743</v>
      </c>
      <c r="C434">
        <f>-583.503882574702 -23.5748066920169 -95.7292479856197</f>
        <v>-702.80793725233855</v>
      </c>
      <c r="D434">
        <f>-604.172335713683 -28.738542492639 -209.581661378616</f>
        <v>-842.49253958493796</v>
      </c>
      <c r="E434">
        <f>-609.072310480794 -29.3566785479552 -308.081687031666</f>
        <v>-946.51067606041522</v>
      </c>
      <c r="F434">
        <f>-608.936671982554 -28.4946194401973 -397.174359503622</f>
        <v>-1034.6056509263733</v>
      </c>
      <c r="G434">
        <f>-603.888510124452 -26.1638463852419 -486.097491214597</f>
        <v>-1116.1498477242908</v>
      </c>
      <c r="H434">
        <f>-591.690412555039 -21.3759163297702 -609.988962484939</f>
        <v>-1223.0552913697481</v>
      </c>
      <c r="I434">
        <f>-550.962496851579 -12.8376208118657 -681.915021656453</f>
        <v>-1245.7151393198976</v>
      </c>
      <c r="J434" t="s">
        <v>4744</v>
      </c>
      <c r="K434" t="s">
        <v>4745</v>
      </c>
      <c r="L434" t="s">
        <v>4746</v>
      </c>
      <c r="M434" t="s">
        <v>4747</v>
      </c>
      <c r="N434">
        <f>-592.673442373229 -50.8355775163891 -556.095797082192</f>
        <v>-1199.6048169718101</v>
      </c>
      <c r="O434">
        <f>-578.105590254603 -185.016782586549 -530.043767138859</f>
        <v>-1293.1661399800109</v>
      </c>
      <c r="P434">
        <f>-630.150042851489 -252.872412480489 -248.479982954338</f>
        <v>-1131.5024382863162</v>
      </c>
      <c r="Q434">
        <f>-444.82254889413 -115.139213326906 -317.285105229822</f>
        <v>-877.24686745085796</v>
      </c>
      <c r="R434" t="s">
        <v>4748</v>
      </c>
      <c r="S434" t="s">
        <v>4749</v>
      </c>
      <c r="T434" t="s">
        <v>4750</v>
      </c>
      <c r="U434" t="s">
        <v>4751</v>
      </c>
      <c r="V434">
        <f>-568.17515502258 -116.310581516692 -95.4976449013583</f>
        <v>-779.9833814406303</v>
      </c>
      <c r="W434" t="s">
        <v>4752</v>
      </c>
      <c r="X434" t="s">
        <v>4753</v>
      </c>
      <c r="Y434" t="s">
        <v>4754</v>
      </c>
    </row>
    <row r="435" spans="1:25" x14ac:dyDescent="0.3">
      <c r="A435">
        <v>21700</v>
      </c>
      <c r="B435" t="s">
        <v>4755</v>
      </c>
      <c r="C435">
        <f>-584.049458807979 -23.7404932645843 -95.8068777899357</f>
        <v>-703.59682986249902</v>
      </c>
      <c r="D435">
        <f>-604.823236574046 -29.0853792480643 -209.631700708688</f>
        <v>-843.54031653079824</v>
      </c>
      <c r="E435">
        <f>-609.971457893872 -29.9292346329839 -308.117541704659</f>
        <v>-948.01823423151495</v>
      </c>
      <c r="F435">
        <f>-610.122788905952 -29.3019783828715 -397.212048781305</f>
        <v>-1036.6368160701286</v>
      </c>
      <c r="G435">
        <f>-605.423182461241 -27.2366010479041 -486.160873967337</f>
        <v>-1118.8206574764822</v>
      </c>
      <c r="H435">
        <f>-593.775444183204 -22.8520503287118 -610.120034417453</f>
        <v>-1226.7475289293689</v>
      </c>
      <c r="I435">
        <f>-552.765231474625 -13.9144124125335 -681.836983446039</f>
        <v>-1248.5166273331974</v>
      </c>
      <c r="J435" t="s">
        <v>4756</v>
      </c>
      <c r="K435" t="s">
        <v>4757</v>
      </c>
      <c r="L435" t="s">
        <v>4758</v>
      </c>
      <c r="M435" t="s">
        <v>4759</v>
      </c>
      <c r="N435">
        <f>-594.477402308593 -52.12970015118 -556.1234731996</f>
        <v>-1202.730575659373</v>
      </c>
      <c r="O435">
        <f>-579.602361731979 -186.237733526088 -529.761893930242</f>
        <v>-1295.6019891883091</v>
      </c>
      <c r="P435">
        <f>-630.244557098277 -253.578004832252 -247.818859509261</f>
        <v>-1131.6414214397901</v>
      </c>
      <c r="Q435">
        <f>-445.569496222306 -115.453190135799 -317.586605271433</f>
        <v>-878.60929162953801</v>
      </c>
      <c r="R435" t="s">
        <v>4760</v>
      </c>
      <c r="S435" t="s">
        <v>4761</v>
      </c>
      <c r="T435" t="s">
        <v>4762</v>
      </c>
      <c r="U435" t="s">
        <v>4763</v>
      </c>
      <c r="V435">
        <f>-568.544130687611 -116.371872083889 -95.4692659960508</f>
        <v>-780.38526876755077</v>
      </c>
      <c r="W435" t="s">
        <v>4764</v>
      </c>
      <c r="X435" t="s">
        <v>4765</v>
      </c>
      <c r="Y435" t="s">
        <v>4766</v>
      </c>
    </row>
    <row r="436" spans="1:25" x14ac:dyDescent="0.3">
      <c r="A436">
        <v>21750</v>
      </c>
      <c r="B436" t="s">
        <v>4767</v>
      </c>
      <c r="C436">
        <f>-584.432392410951 -23.9900099473764 -95.8483131951916</f>
        <v>-704.27071555351904</v>
      </c>
      <c r="D436">
        <f>-605.275745144721 -29.4140377064996 -209.656738122494</f>
        <v>-844.34652097371463</v>
      </c>
      <c r="E436">
        <f>-610.524320108025 -30.330858865899 -308.136558170791</f>
        <v>-948.99173714471499</v>
      </c>
      <c r="F436">
        <f>-610.782137154763 -29.773068299721 -397.231268884011</f>
        <v>-1037.7864743384948</v>
      </c>
      <c r="G436">
        <f>-606.204312126615 -27.7804839147291 -486.18799034095</f>
        <v>-1120.1727863822941</v>
      </c>
      <c r="H436">
        <f>-594.742321523803 -23.5021858681664 -610.168367371915</f>
        <v>-1228.4128747638842</v>
      </c>
      <c r="I436">
        <f>-553.579044528338 -14.3103661962616 -681.765403056829</f>
        <v>-1249.6548137814286</v>
      </c>
      <c r="J436" t="s">
        <v>4768</v>
      </c>
      <c r="K436" t="s">
        <v>4769</v>
      </c>
      <c r="L436" t="s">
        <v>4770</v>
      </c>
      <c r="M436" t="s">
        <v>4771</v>
      </c>
      <c r="N436">
        <f>-595.355685532334 -52.732205649888 -556.144908411055</f>
        <v>-1204.2327995932769</v>
      </c>
      <c r="O436">
        <f>-580.408404110665 -186.805553059498 -529.656455061472</f>
        <v>-1296.8704122316349</v>
      </c>
      <c r="P436">
        <f>-630.753267129336 -253.685824225871 -247.550790600913</f>
        <v>-1131.9898819561199</v>
      </c>
      <c r="Q436">
        <f>-446.127562056379 -115.718547055578 -317.75929368387</f>
        <v>-879.6054027958271</v>
      </c>
      <c r="R436" t="s">
        <v>4772</v>
      </c>
      <c r="S436" t="s">
        <v>4773</v>
      </c>
      <c r="T436" t="s">
        <v>4774</v>
      </c>
      <c r="U436" t="s">
        <v>4775</v>
      </c>
      <c r="V436">
        <f>-568.83917478784 -116.721882413137 -95.4469908265579</f>
        <v>-781.00804802753487</v>
      </c>
      <c r="W436" t="s">
        <v>4776</v>
      </c>
      <c r="X436" t="s">
        <v>4777</v>
      </c>
      <c r="Y436" t="s">
        <v>4778</v>
      </c>
    </row>
    <row r="437" spans="1:25" x14ac:dyDescent="0.3">
      <c r="A437">
        <v>21800</v>
      </c>
      <c r="B437" t="s">
        <v>4779</v>
      </c>
      <c r="C437">
        <f>-585.137776472246 -24.2478368855564 -95.9592846186416</f>
        <v>-705.34489797644392</v>
      </c>
      <c r="D437">
        <f>-606.192998196968 -29.807343167919 -209.722116267441</f>
        <v>-845.72245763232809</v>
      </c>
      <c r="E437">
        <f>-611.655778465229 -30.8081579621864 -308.189468633451</f>
        <v>-950.65340506086636</v>
      </c>
      <c r="F437">
        <f>-612.119051279062 -30.3155285630887 -397.283717803657</f>
        <v>-1039.7182976458078</v>
      </c>
      <c r="G437">
        <f>-607.757740269192 -28.3785655429062 -486.252531043027</f>
        <v>-1122.3888368551252</v>
      </c>
      <c r="H437">
        <f>-596.608935303079 -24.1684803615096 -610.263795857314</f>
        <v>-1231.0412115219026</v>
      </c>
      <c r="I437">
        <f>-555.342472829053 -14.5075427914371 -681.739535128581</f>
        <v>-1251.5895507490711</v>
      </c>
      <c r="J437" t="s">
        <v>4780</v>
      </c>
      <c r="K437" t="s">
        <v>4781</v>
      </c>
      <c r="L437" t="s">
        <v>4782</v>
      </c>
      <c r="M437" t="s">
        <v>4783</v>
      </c>
      <c r="N437">
        <f>-597.098050262281 -53.370729061201 -556.223974716897</f>
        <v>-1206.692754040379</v>
      </c>
      <c r="O437">
        <f>-582.185977227346 -187.427172964988 -529.630605403447</f>
        <v>-1299.2437555957811</v>
      </c>
      <c r="P437">
        <f>-632.351703115075 -253.784419524943 -247.369616109584</f>
        <v>-1133.505738749602</v>
      </c>
      <c r="Q437">
        <f>-447.567319047167 -116.297293178044 -318.100742344649</f>
        <v>-881.96535456985998</v>
      </c>
      <c r="R437" t="s">
        <v>4784</v>
      </c>
      <c r="S437" t="s">
        <v>4785</v>
      </c>
      <c r="T437" t="s">
        <v>4786</v>
      </c>
      <c r="U437" t="s">
        <v>4787</v>
      </c>
      <c r="V437">
        <f>-569.32972064086 -116.7276569596 -95.4770541678404</f>
        <v>-781.53443176830046</v>
      </c>
      <c r="W437" t="s">
        <v>4788</v>
      </c>
      <c r="X437" t="s">
        <v>4789</v>
      </c>
      <c r="Y437" t="s">
        <v>4790</v>
      </c>
    </row>
    <row r="438" spans="1:25" x14ac:dyDescent="0.3">
      <c r="A438">
        <v>21850</v>
      </c>
      <c r="B438" t="s">
        <v>4791</v>
      </c>
      <c r="C438">
        <f>-585.730063159261 -24.2620041374123 -96.0441738641762</f>
        <v>-706.0362411608495</v>
      </c>
      <c r="D438">
        <f>-606.894888956676 -29.9200846509061 -209.781953361899</f>
        <v>-846.59692696948116</v>
      </c>
      <c r="E438">
        <f>-612.478719992977 -30.9515598008752 -308.242128166121</f>
        <v>-951.67240795997316</v>
      </c>
      <c r="F438">
        <f>-613.061191712812 -30.4675628038569 -397.335789110945</f>
        <v>-1040.864543627614</v>
      </c>
      <c r="G438">
        <f>-608.828051360856 -28.5209110879227 -486.310623489533</f>
        <v>-1123.6595859383117</v>
      </c>
      <c r="H438">
        <f>-597.867260079967 -24.2799901690917 -610.337575291872</f>
        <v>-1232.4848255409306</v>
      </c>
      <c r="I438">
        <f>-556.662417007298 -14.3614336380222 -681.81341849765</f>
        <v>-1252.8372691429702</v>
      </c>
      <c r="J438" t="s">
        <v>4792</v>
      </c>
      <c r="K438" t="s">
        <v>4793</v>
      </c>
      <c r="L438" t="s">
        <v>4794</v>
      </c>
      <c r="M438" t="s">
        <v>4795</v>
      </c>
      <c r="N438">
        <f>-598.283312230965 -53.4970967612425 -556.305076041857</f>
        <v>-1208.0854850340643</v>
      </c>
      <c r="O438">
        <f>-583.414263411503 -187.553548166202 -529.731829237655</f>
        <v>-1300.69964081536</v>
      </c>
      <c r="P438">
        <f>-633.347291385003 -253.815219131184 -247.407018052454</f>
        <v>-1134.5695285686411</v>
      </c>
      <c r="Q438">
        <f>-448.50464150351 -116.533186835883 -318.383812099508</f>
        <v>-883.42164043890102</v>
      </c>
      <c r="R438" t="s">
        <v>4796</v>
      </c>
      <c r="S438" t="s">
        <v>4797</v>
      </c>
      <c r="T438" t="s">
        <v>4798</v>
      </c>
      <c r="U438" t="s">
        <v>4799</v>
      </c>
      <c r="V438">
        <f>-569.888126754019 -116.729182201383 -95.4952588173064</f>
        <v>-782.11256777270842</v>
      </c>
      <c r="W438" t="s">
        <v>4800</v>
      </c>
      <c r="X438" t="s">
        <v>4801</v>
      </c>
      <c r="Y438" t="s">
        <v>4802</v>
      </c>
    </row>
    <row r="439" spans="1:25" x14ac:dyDescent="0.3">
      <c r="A439">
        <v>21900</v>
      </c>
      <c r="B439" t="s">
        <v>4803</v>
      </c>
      <c r="C439">
        <f>-587.051559716792 -24.496844648693 -96.1495116742531</f>
        <v>-707.69791603973806</v>
      </c>
      <c r="D439">
        <f>-608.407344768454 -30.3522221872272 -209.841591401825</f>
        <v>-848.60115835750616</v>
      </c>
      <c r="E439">
        <f>-614.241173158917 -31.4472928754376 -308.286590924832</f>
        <v>-953.97505695918665</v>
      </c>
      <c r="F439">
        <f>-615.082388162388 -30.982357707325 -397.378198447168</f>
        <v>-1043.442944316881</v>
      </c>
      <c r="G439">
        <f>-611.139441883118 -29.0184084878954 -486.366040691138</f>
        <v>-1126.5238910621515</v>
      </c>
      <c r="H439">
        <f>-600.615681066626 -24.7163780012679 -610.428818935414</f>
        <v>-1235.7608780033079</v>
      </c>
      <c r="I439">
        <f>-559.641227464833 -14.1705125141796 -681.94735829407</f>
        <v>-1255.7590982730826</v>
      </c>
      <c r="J439" t="s">
        <v>4804</v>
      </c>
      <c r="K439" t="s">
        <v>4805</v>
      </c>
      <c r="L439" t="s">
        <v>4806</v>
      </c>
      <c r="M439" t="s">
        <v>4807</v>
      </c>
      <c r="N439">
        <f>-600.827195631562 -53.9577485616333 -556.408250369772</f>
        <v>-1211.1931945629672</v>
      </c>
      <c r="O439">
        <f>-585.826063637777 -188.01042211921 -529.900312959603</f>
        <v>-1303.7367987165899</v>
      </c>
      <c r="P439">
        <f>-634.912535264383 -254.246882024042 -247.421204459764</f>
        <v>-1136.5806217481891</v>
      </c>
      <c r="Q439">
        <f>-450.362681938636 -116.873233310921 -318.980505569334</f>
        <v>-886.21642081889104</v>
      </c>
      <c r="R439" t="s">
        <v>4808</v>
      </c>
      <c r="S439" t="s">
        <v>4809</v>
      </c>
      <c r="T439" t="s">
        <v>4810</v>
      </c>
      <c r="U439" t="s">
        <v>4811</v>
      </c>
      <c r="V439">
        <f>-570.792827383118 -117.061472983721 -95.5411222846266</f>
        <v>-783.39542265146565</v>
      </c>
      <c r="W439" t="s">
        <v>4812</v>
      </c>
      <c r="X439" t="s">
        <v>4813</v>
      </c>
      <c r="Y439" t="s">
        <v>4814</v>
      </c>
    </row>
    <row r="440" spans="1:25" x14ac:dyDescent="0.3">
      <c r="A440">
        <v>21950</v>
      </c>
      <c r="B440" t="s">
        <v>4815</v>
      </c>
      <c r="C440">
        <f>-587.479149344144 -24.8388375267591 -96.1812644436372</f>
        <v>-708.4992513145404</v>
      </c>
      <c r="D440">
        <f>-608.945414967207 -30.7581069971402 -209.849046973986</f>
        <v>-849.55256893833314</v>
      </c>
      <c r="E440">
        <f>-614.922144706317 -31.8987723603088 -308.285007755096</f>
        <v>-955.10592482172183</v>
      </c>
      <c r="F440">
        <f>-615.911448172184 -31.4718340063214 -397.375278178483</f>
        <v>-1044.7585603569883</v>
      </c>
      <c r="G440">
        <f>-612.135463888047 -29.5418555381398 -486.371118794429</f>
        <v>-1128.0484382206157</v>
      </c>
      <c r="H440">
        <f>-601.864140152279 -25.2834380536995 -610.456511759841</f>
        <v>-1237.6040899658194</v>
      </c>
      <c r="I440">
        <f>-561.023785232669 -14.4379984445736 -682.007002121699</f>
        <v>-1257.4687857989416</v>
      </c>
      <c r="J440" t="s">
        <v>4816</v>
      </c>
      <c r="K440" t="s">
        <v>4817</v>
      </c>
      <c r="L440" t="s">
        <v>4818</v>
      </c>
      <c r="M440" t="s">
        <v>4819</v>
      </c>
      <c r="N440">
        <f>-601.94327577857 -54.5022952691319 -556.423524356091</f>
        <v>-1212.8690954037929</v>
      </c>
      <c r="O440">
        <f>-586.746411441908 -188.51876789644 -529.875170687271</f>
        <v>-1305.1403500256188</v>
      </c>
      <c r="P440">
        <f>-635.234305545275 -254.81267988164 -247.306101119734</f>
        <v>-1137.3530865466489</v>
      </c>
      <c r="Q440">
        <f>-451.025397357333 -117.1387896092 -319.165904673841</f>
        <v>-887.33009164037412</v>
      </c>
      <c r="R440" t="s">
        <v>4820</v>
      </c>
      <c r="S440" t="s">
        <v>4821</v>
      </c>
      <c r="T440" t="s">
        <v>4822</v>
      </c>
      <c r="U440" t="s">
        <v>4823</v>
      </c>
      <c r="V440">
        <f>-571.09345973548 -117.466265116691 -95.5525026767884</f>
        <v>-784.11222752895947</v>
      </c>
      <c r="W440" t="s">
        <v>4824</v>
      </c>
      <c r="X440" t="s">
        <v>4825</v>
      </c>
      <c r="Y440" t="s">
        <v>4826</v>
      </c>
    </row>
    <row r="441" spans="1:25" x14ac:dyDescent="0.3">
      <c r="A441">
        <v>22000</v>
      </c>
      <c r="B441" t="s">
        <v>4827</v>
      </c>
      <c r="C441">
        <f>-588.121937119548 -25.8209141862874 -96.2513289212892</f>
        <v>-710.19418022712455</v>
      </c>
      <c r="D441">
        <f>-609.798459548225 -31.8872460266655 -209.871581183397</f>
        <v>-851.55728675828743</v>
      </c>
      <c r="E441">
        <f>-616.098795929397 -33.1086688582097 -308.286321102696</f>
        <v>-957.49378589030277</v>
      </c>
      <c r="F441">
        <f>-617.437755648975 -32.7371458863029 -397.372306625924</f>
        <v>-1047.547208161202</v>
      </c>
      <c r="G441">
        <f>-614.067914753091 -30.842890464939 -486.385217151262</f>
        <v>-1131.2960223692921</v>
      </c>
      <c r="H441">
        <f>-604.422991853193 -26.612911881135 -610.521703100855</f>
        <v>-1241.5576068351829</v>
      </c>
      <c r="I441">
        <f>-563.913107776953 -15.2592797545526 -682.181182418699</f>
        <v>-1261.3535699502045</v>
      </c>
      <c r="J441">
        <f>-613.192342525857 -1.14343459246174 -555.315606332059</f>
        <v>-1169.6513834503778</v>
      </c>
      <c r="K441" t="s">
        <v>4828</v>
      </c>
      <c r="L441" t="s">
        <v>4829</v>
      </c>
      <c r="M441" t="s">
        <v>4830</v>
      </c>
      <c r="N441">
        <f>-604.142220621002 -55.805287231891 -556.475180542065</f>
        <v>-1216.4226883949582</v>
      </c>
      <c r="O441">
        <f>-588.415796382946 -189.759109795092 -529.84972641419</f>
        <v>-1308.024632592228</v>
      </c>
      <c r="P441">
        <f>-635.944496963358 -255.709044337893 -247.037399870184</f>
        <v>-1138.690941171435</v>
      </c>
      <c r="Q441">
        <f>-452.347285393354 -117.587796172379 -319.600899095351</f>
        <v>-889.53598066108407</v>
      </c>
      <c r="R441" t="s">
        <v>4831</v>
      </c>
      <c r="S441" t="s">
        <v>4832</v>
      </c>
      <c r="T441" t="s">
        <v>4833</v>
      </c>
      <c r="U441" t="s">
        <v>4834</v>
      </c>
      <c r="V441">
        <f>-571.654499658756 -118.518301641431 -95.5682455062051</f>
        <v>-785.74104680639209</v>
      </c>
      <c r="W441" t="s">
        <v>4835</v>
      </c>
      <c r="X441" t="s">
        <v>4836</v>
      </c>
      <c r="Y441" t="s">
        <v>4837</v>
      </c>
    </row>
    <row r="442" spans="1:25" x14ac:dyDescent="0.3">
      <c r="A442">
        <v>22050</v>
      </c>
      <c r="B442" t="s">
        <v>4838</v>
      </c>
      <c r="C442">
        <f>-588.452877271381 -26.157939533419 -96.271246395931</f>
        <v>-710.88206320073107</v>
      </c>
      <c r="D442">
        <f>-610.224070340848 -32.2625489606676 -209.871372640079</f>
        <v>-852.35799194159461</v>
      </c>
      <c r="E442">
        <f>-616.684690572981 -33.4931782389972 -308.275644210486</f>
        <v>-958.45351302246422</v>
      </c>
      <c r="F442">
        <f>-618.200527156239 -33.119385807589 -397.358803511347</f>
        <v>-1048.678716475175</v>
      </c>
      <c r="G442">
        <f>-615.039626937425 -31.2109156101926 -486.379055341025</f>
        <v>-1132.6295978886426</v>
      </c>
      <c r="H442">
        <f>-605.720129116908 -26.9470096249374 -610.539331279885</f>
        <v>-1243.2064700217304</v>
      </c>
      <c r="I442">
        <f>-565.402751734519 -15.3867445487654 -682.274224614184</f>
        <v>-1263.0637208974686</v>
      </c>
      <c r="J442">
        <f>-614.411264779971 -1.5035374384729 -555.308819384023</f>
        <v>-1171.2236216024669</v>
      </c>
      <c r="K442" t="s">
        <v>4839</v>
      </c>
      <c r="L442" t="s">
        <v>4840</v>
      </c>
      <c r="M442" t="s">
        <v>4841</v>
      </c>
      <c r="N442">
        <f>-605.23118912873 -56.1431039745729 -556.496082067515</f>
        <v>-1217.8703751708179</v>
      </c>
      <c r="O442">
        <f>-589.195796543997 -190.055984725852 -529.849190264499</f>
        <v>-1309.100971534348</v>
      </c>
      <c r="P442">
        <f>-636.28653164395 -255.760449107178 -246.906410789294</f>
        <v>-1138.953391540422</v>
      </c>
      <c r="Q442">
        <f>-452.998221397718 -117.403909939615 -319.801713664181</f>
        <v>-890.20384500151408</v>
      </c>
      <c r="R442" t="s">
        <v>4842</v>
      </c>
      <c r="S442" t="s">
        <v>4843</v>
      </c>
      <c r="T442" t="s">
        <v>4844</v>
      </c>
      <c r="U442" t="s">
        <v>4845</v>
      </c>
      <c r="V442">
        <f>-571.864451741225 -118.919537114073 -95.5895401909245</f>
        <v>-786.37352904622253</v>
      </c>
      <c r="W442" t="s">
        <v>4846</v>
      </c>
      <c r="X442" t="s">
        <v>4847</v>
      </c>
      <c r="Y442" t="s">
        <v>4848</v>
      </c>
    </row>
    <row r="443" spans="1:25" x14ac:dyDescent="0.3">
      <c r="A443">
        <v>22100</v>
      </c>
      <c r="B443" t="s">
        <v>4849</v>
      </c>
      <c r="C443">
        <f>-588.934976945709 -26.5763897079353 -96.3047261099188</f>
        <v>-711.81609276356301</v>
      </c>
      <c r="D443">
        <f>-610.947677441452 -32.7990065157478 -209.851807799399</f>
        <v>-853.59849175659883</v>
      </c>
      <c r="E443">
        <f>-617.780369950749 -34.0759128431841 -308.230341306904</f>
        <v>-960.08662410083707</v>
      </c>
      <c r="F443">
        <f>-619.699832456375 -33.7184595020349 -397.305718007758</f>
        <v>-1050.7240099661678</v>
      </c>
      <c r="G443">
        <f>-617.01044246507 -31.7960849354854 -486.341234095192</f>
        <v>-1135.1477614957475</v>
      </c>
      <c r="H443">
        <f>-608.420597425511 -27.4778336466084 -610.552237895992</f>
        <v>-1246.4506689681114</v>
      </c>
      <c r="I443">
        <f>-568.513940042437 -15.6513840847638 -682.473179305188</f>
        <v>-1266.6385034323887</v>
      </c>
      <c r="J443">
        <f>-616.934555479211 -2.08342890003064 -555.271615477915</f>
        <v>-1174.2895998571566</v>
      </c>
      <c r="K443" t="s">
        <v>4850</v>
      </c>
      <c r="L443" t="s">
        <v>4851</v>
      </c>
      <c r="M443" t="s">
        <v>4852</v>
      </c>
      <c r="N443">
        <f>-607.466618244549 -56.6726033377996 -556.514640883063</f>
        <v>-1220.6538624654115</v>
      </c>
      <c r="O443">
        <f>-590.665024137337 -190.48662003175 -529.841098761197</f>
        <v>-1310.9927429302841</v>
      </c>
      <c r="P443">
        <f>-636.487844593409 -256.222636394216 -246.697490795983</f>
        <v>-1139.407971783608</v>
      </c>
      <c r="Q443">
        <f>-454.133371936589 -116.967127886059 -320.220383270126</f>
        <v>-891.32088309277401</v>
      </c>
      <c r="R443" t="s">
        <v>4853</v>
      </c>
      <c r="S443" t="s">
        <v>4854</v>
      </c>
      <c r="T443" t="s">
        <v>4855</v>
      </c>
      <c r="U443" t="s">
        <v>4856</v>
      </c>
      <c r="V443">
        <f>-572.185857145025 -119.426813007413 -95.6121713337187</f>
        <v>-787.22484148615672</v>
      </c>
      <c r="W443" t="s">
        <v>4857</v>
      </c>
      <c r="X443" t="s">
        <v>4858</v>
      </c>
      <c r="Y443" t="s">
        <v>4859</v>
      </c>
    </row>
    <row r="444" spans="1:25" x14ac:dyDescent="0.3">
      <c r="A444">
        <v>22150</v>
      </c>
      <c r="B444" t="s">
        <v>4860</v>
      </c>
      <c r="C444">
        <f>-589.132431845159 -26.781015848273 -96.3175117645502</f>
        <v>-712.23095945798218</v>
      </c>
      <c r="D444">
        <f>-611.304013375924 -33.0749054123676 -209.829688889523</f>
        <v>-854.2086076778146</v>
      </c>
      <c r="E444">
        <f>-618.37494862195 -34.3830903438436 -308.191070068849</f>
        <v>-960.94910903464256</v>
      </c>
      <c r="F444">
        <f>-620.551228501117 -34.0402444826902 -397.26065958669</f>
        <v>-1051.8521325704971</v>
      </c>
      <c r="G444">
        <f>-618.16000969572 -32.1167963064913 -486.304598941249</f>
        <v>-1136.5814049434603</v>
      </c>
      <c r="H444">
        <f>-610.030408311314 -27.778511599 -610.545949863317</f>
        <v>-1248.354869773631</v>
      </c>
      <c r="I444">
        <f>-570.351719982491 -15.8722300448319 -682.579634430145</f>
        <v>-1268.8035844574679</v>
      </c>
      <c r="J444">
        <f>-618.417825537252 -2.40672427306572 -555.235474954488</f>
        <v>-1176.0600247648058</v>
      </c>
      <c r="K444" t="s">
        <v>4861</v>
      </c>
      <c r="L444" t="s">
        <v>4862</v>
      </c>
      <c r="M444" t="s">
        <v>4863</v>
      </c>
      <c r="N444">
        <f>-608.797834125682 -56.9684112136065 -556.51124221387</f>
        <v>-1222.2774875531586</v>
      </c>
      <c r="O444">
        <f>-591.581321758066 -190.72505770512 -529.849444738646</f>
        <v>-1312.1558242018318</v>
      </c>
      <c r="P444">
        <f>-636.683096920921 -256.50527854674 -246.600440726387</f>
        <v>-1139.788816194048</v>
      </c>
      <c r="Q444">
        <f>-454.840375460637 -116.717418997168 -320.380281432344</f>
        <v>-891.93807589014909</v>
      </c>
      <c r="R444" t="s">
        <v>4864</v>
      </c>
      <c r="S444" t="s">
        <v>4865</v>
      </c>
      <c r="T444" t="s">
        <v>4866</v>
      </c>
      <c r="U444" t="s">
        <v>4867</v>
      </c>
      <c r="V444">
        <f>-572.320231503389 -119.745682392651 -95.6069003433799</f>
        <v>-787.67281423941995</v>
      </c>
      <c r="W444" t="s">
        <v>4868</v>
      </c>
      <c r="X444" t="s">
        <v>4869</v>
      </c>
      <c r="Y444" t="s">
        <v>4870</v>
      </c>
    </row>
    <row r="445" spans="1:25" x14ac:dyDescent="0.3">
      <c r="A445">
        <v>22200</v>
      </c>
      <c r="B445" t="s">
        <v>4871</v>
      </c>
      <c r="C445">
        <f>-589.574409708181 -26.8827131148641 -96.381691046238</f>
        <v>-712.83881386928306</v>
      </c>
      <c r="D445">
        <f>-612.085178506512 -33.3348472615244 -209.818284259686</f>
        <v>-855.23831002772238</v>
      </c>
      <c r="E445">
        <f>-619.664488548245 -34.759086338408 -308.140008164538</f>
        <v>-962.56358305119102</v>
      </c>
      <c r="F445">
        <f>-622.388267217976 -34.5115528636554 -397.194982076332</f>
        <v>-1054.0948021579634</v>
      </c>
      <c r="G445">
        <f>-620.63269615452 -32.6694852648898 -486.255409969156</f>
        <v>-1139.5575913885657</v>
      </c>
      <c r="H445">
        <f>-613.48328719057 -28.42834353685 -610.560327613528</f>
        <v>-1252.4719583409478</v>
      </c>
      <c r="I445">
        <f>-574.303879285436 -16.4197569508804 -682.850061386577</f>
        <v>-1273.5736976228932</v>
      </c>
      <c r="J445">
        <f>-621.564194468502 -3.0362049188941 -555.21365345254</f>
        <v>-1179.8140528399363</v>
      </c>
      <c r="K445" t="s">
        <v>4872</v>
      </c>
      <c r="L445" t="s">
        <v>4873</v>
      </c>
      <c r="M445" t="s">
        <v>4874</v>
      </c>
      <c r="N445">
        <f>-611.694619951452 -57.5531306435294 -556.505954448268</f>
        <v>-1225.7537050432493</v>
      </c>
      <c r="O445">
        <f>-593.737160742811 -191.195453660506 -529.7384391063</f>
        <v>-1314.6710535096172</v>
      </c>
      <c r="P445">
        <f>-637.41958207288 -256.657765892503 -246.193565956461</f>
        <v>-1140.2709139218439</v>
      </c>
      <c r="Q445">
        <f>-456.445718756578 -116.146139997846 -320.730823183305</f>
        <v>-893.32268193772904</v>
      </c>
      <c r="R445" t="s">
        <v>4875</v>
      </c>
      <c r="S445" t="s">
        <v>4876</v>
      </c>
      <c r="T445" t="s">
        <v>4877</v>
      </c>
      <c r="U445" t="s">
        <v>4878</v>
      </c>
      <c r="V445">
        <f>-572.565643485987 -119.949831488372 -95.6290182086365</f>
        <v>-788.14449318299546</v>
      </c>
      <c r="W445" t="s">
        <v>4879</v>
      </c>
      <c r="X445" t="s">
        <v>4880</v>
      </c>
      <c r="Y445" t="s">
        <v>4881</v>
      </c>
    </row>
    <row r="446" spans="1:25" x14ac:dyDescent="0.3">
      <c r="A446">
        <v>22250</v>
      </c>
      <c r="B446" t="s">
        <v>4882</v>
      </c>
      <c r="C446">
        <f>-589.807206684035 -26.8207584453889 -96.4170382210129</f>
        <v>-713.0450033504369</v>
      </c>
      <c r="D446">
        <f>-612.494355600058 -33.3509257600199 -209.813979484382</f>
        <v>-855.65926084445994</v>
      </c>
      <c r="E446">
        <f>-620.324537873472 -34.8463011848876 -308.115059659986</f>
        <v>-963.28589871834561</v>
      </c>
      <c r="F446">
        <f>-623.315364148098 -34.6636758529378 -397.161439157333</f>
        <v>-1055.1404791583686</v>
      </c>
      <c r="G446">
        <f>-621.867192535524 -32.8861515368023 -486.228732549138</f>
        <v>-1140.9820766214643</v>
      </c>
      <c r="H446">
        <f>-615.188972282635 -28.7339291637059 -610.56290998826</f>
        <v>-1254.4858114346007</v>
      </c>
      <c r="I446">
        <f>-576.281792308984 -16.68850081191 -682.993458388616</f>
        <v>-1275.9637515095101</v>
      </c>
      <c r="J446">
        <f>-623.102419474926 -3.30998977936292 -555.206735711786</f>
        <v>-1181.6191449660751</v>
      </c>
      <c r="K446" t="s">
        <v>4883</v>
      </c>
      <c r="L446" t="s">
        <v>4884</v>
      </c>
      <c r="M446" t="s">
        <v>4885</v>
      </c>
      <c r="N446">
        <f>-613.152990002836 -57.8123644003773 -556.492529950637</f>
        <v>-1227.4578843538502</v>
      </c>
      <c r="O446">
        <f>-594.920586353511 -191.399578346861 -529.646041850191</f>
        <v>-1315.9662065505631</v>
      </c>
      <c r="P446">
        <f>-637.986240057738 -256.416760288887 -245.904374849071</f>
        <v>-1140.3073751956961</v>
      </c>
      <c r="Q446">
        <f>-457.337032752942 -115.720325089362 -320.87941663033</f>
        <v>-893.93677447263394</v>
      </c>
      <c r="R446" t="s">
        <v>4886</v>
      </c>
      <c r="S446" t="s">
        <v>4887</v>
      </c>
      <c r="T446" t="s">
        <v>4888</v>
      </c>
      <c r="U446" t="s">
        <v>4889</v>
      </c>
      <c r="V446">
        <f>-572.738577218929 -119.954868477186 -95.6370255256519</f>
        <v>-788.33047122176686</v>
      </c>
      <c r="W446" t="s">
        <v>4890</v>
      </c>
      <c r="X446" t="s">
        <v>4891</v>
      </c>
      <c r="Y446" t="s">
        <v>4892</v>
      </c>
    </row>
    <row r="447" spans="1:25" x14ac:dyDescent="0.3">
      <c r="A447">
        <v>22300</v>
      </c>
      <c r="B447" t="s">
        <v>4893</v>
      </c>
      <c r="C447">
        <f>-590.237844811082 -26.7725903818375 -96.4869217303102</f>
        <v>-713.49735692322975</v>
      </c>
      <c r="D447">
        <f>-613.278104127542 -33.5051354291018 -209.800911580721</f>
        <v>-856.58415113736464</v>
      </c>
      <c r="E447">
        <f>-621.577894029688 -35.1028636868498 -308.061824321206</f>
        <v>-964.74258203774377</v>
      </c>
      <c r="F447">
        <f>-625.060098171526 -34.9840350543632 -397.090576069721</f>
        <v>-1057.1347092956103</v>
      </c>
      <c r="G447">
        <f>-624.169676917519 -33.2395444042688 -486.165797704108</f>
        <v>-1143.5750190258959</v>
      </c>
      <c r="H447">
        <f>-618.339993594333 -29.1005491950127 -610.543066587795</f>
        <v>-1257.9836093771407</v>
      </c>
      <c r="I447">
        <f>-579.934602334466 -16.9610815704264 -683.225098422512</f>
        <v>-1280.1207823274044</v>
      </c>
      <c r="J447">
        <f>-625.923166319501 -3.67925570306193 -555.139354828255</f>
        <v>-1184.741776850818</v>
      </c>
      <c r="K447" t="s">
        <v>4894</v>
      </c>
      <c r="L447" t="s">
        <v>4895</v>
      </c>
      <c r="M447" t="s">
        <v>4896</v>
      </c>
      <c r="N447">
        <f>-615.887467276136 -58.164514675116 -556.482096718211</f>
        <v>-1230.534078669463</v>
      </c>
      <c r="O447">
        <f>-597.304995123759 -191.700694187768 -529.602413539686</f>
        <v>-1318.6081028512131</v>
      </c>
      <c r="P447">
        <f>-639.39663510817 -256.116763876581 -245.577611442052</f>
        <v>-1141.091010426803</v>
      </c>
      <c r="Q447">
        <f>-459.168516907722 -115.263583892548 -321.268254983165</f>
        <v>-895.70035578343493</v>
      </c>
      <c r="R447" t="s">
        <v>4897</v>
      </c>
      <c r="S447" t="s">
        <v>4898</v>
      </c>
      <c r="T447" t="s">
        <v>4899</v>
      </c>
      <c r="U447" t="s">
        <v>4900</v>
      </c>
      <c r="V447">
        <f>-572.993146329108 -120.059880332677 -95.6087667692362</f>
        <v>-788.66179343102124</v>
      </c>
      <c r="W447" t="s">
        <v>4901</v>
      </c>
      <c r="X447" t="s">
        <v>4902</v>
      </c>
      <c r="Y447" t="s">
        <v>4903</v>
      </c>
    </row>
    <row r="448" spans="1:25" x14ac:dyDescent="0.3">
      <c r="A448">
        <v>22350</v>
      </c>
      <c r="B448" t="s">
        <v>4904</v>
      </c>
      <c r="C448">
        <f>-590.486767963659 -26.6585471306439 -96.5269479013954</f>
        <v>-713.67226299569825</v>
      </c>
      <c r="D448">
        <f>-613.717526355768 -33.4951021193217 -209.795698687656</f>
        <v>-857.00832716274567</v>
      </c>
      <c r="E448">
        <f>-622.263348017668 -35.1337425043603 -308.034919778373</f>
        <v>-965.43201030040132</v>
      </c>
      <c r="F448">
        <f>-626.000681068215 -35.0326114290522 -397.05322502338</f>
        <v>-1058.0865175206472</v>
      </c>
      <c r="G448">
        <f>-625.397721849878 -33.2872190002604 -486.130886514116</f>
        <v>-1144.8158273642543</v>
      </c>
      <c r="H448">
        <f>-620.003068152584 -29.1271526021665 -610.527068596978</f>
        <v>-1259.6572893517284</v>
      </c>
      <c r="I448">
        <f>-581.822459685563 -16.9735781307563 -683.325115494537</f>
        <v>-1282.1211533108562</v>
      </c>
      <c r="J448">
        <f>-627.407707297329 -3.71809378931084 -555.093741850629</f>
        <v>-1186.2195429372689</v>
      </c>
      <c r="K448" t="s">
        <v>4905</v>
      </c>
      <c r="L448" t="s">
        <v>4906</v>
      </c>
      <c r="M448" t="s">
        <v>4907</v>
      </c>
      <c r="N448">
        <f>-617.346372813685 -58.1975762277427 -556.479306480725</f>
        <v>-1232.0232555221528</v>
      </c>
      <c r="O448">
        <f>-598.625188771664 -191.716688347407 -529.680394848512</f>
        <v>-1320.022271967583</v>
      </c>
      <c r="P448">
        <f>-640.237792875808 -256.182830597145 -245.596456382435</f>
        <v>-1142.0170798553881</v>
      </c>
      <c r="Q448">
        <f>-460.205399488392 -115.175180866312 -321.465348600612</f>
        <v>-896.84592895531591</v>
      </c>
      <c r="R448" t="s">
        <v>4908</v>
      </c>
      <c r="S448" t="s">
        <v>4909</v>
      </c>
      <c r="T448" t="s">
        <v>4910</v>
      </c>
      <c r="U448" t="s">
        <v>4911</v>
      </c>
      <c r="V448">
        <f>-573.169091517135 -119.925262364919 -95.5971080863812</f>
        <v>-788.69146196843531</v>
      </c>
      <c r="W448" t="s">
        <v>4912</v>
      </c>
      <c r="X448" t="s">
        <v>4913</v>
      </c>
      <c r="Y448" t="s">
        <v>4914</v>
      </c>
    </row>
    <row r="449" spans="1:25" x14ac:dyDescent="0.3">
      <c r="A449">
        <v>22400</v>
      </c>
      <c r="B449" t="s">
        <v>4915</v>
      </c>
      <c r="C449">
        <f>-591.126377570667 -26.6324877288246 -96.6500802872943</f>
        <v>-714.40894558678588</v>
      </c>
      <c r="D449">
        <f>-614.701624251632 -33.6614458325425 -209.835935716348</f>
        <v>-858.19900580052251</v>
      </c>
      <c r="E449">
        <f>-623.715250694558 -35.4523152167155 -308.030658070483</f>
        <v>-967.19822398175654</v>
      </c>
      <c r="F449">
        <f>-627.943669116915 -35.4858363349911 -397.027050243841</f>
        <v>-1060.4565556957471</v>
      </c>
      <c r="G449">
        <f>-627.899288436611 -33.8720575144032 -486.109227035281</f>
        <v>-1147.8805729862952</v>
      </c>
      <c r="H449">
        <f>-623.354928968912 -29.8931533431451 -610.545194760873</f>
        <v>-1263.7932770729299</v>
      </c>
      <c r="I449">
        <f>-585.504768286495 -17.7504871443737 -683.517510603575</f>
        <v>-1286.7727660344437</v>
      </c>
      <c r="J449">
        <f>-630.403528200026 -4.40752520989327 -555.100642295772</f>
        <v>-1189.9116957056913</v>
      </c>
      <c r="K449" t="s">
        <v>4916</v>
      </c>
      <c r="L449" t="s">
        <v>4917</v>
      </c>
      <c r="M449" t="s">
        <v>4918</v>
      </c>
      <c r="N449">
        <f>-620.305839935188 -58.8806518679889 -556.473581542466</f>
        <v>-1235.660073345643</v>
      </c>
      <c r="O449">
        <f>-601.218671031122 -192.356151692982 -529.708927254685</f>
        <v>-1323.283749978789</v>
      </c>
      <c r="P449">
        <f>-641.427452449957 -256.803973038756 -245.418763921959</f>
        <v>-1143.6501894106718</v>
      </c>
      <c r="Q449">
        <f>-462.065588454208 -115.247130014192 -321.850785017675</f>
        <v>-899.163503486075</v>
      </c>
      <c r="R449" t="s">
        <v>4919</v>
      </c>
      <c r="S449" t="s">
        <v>4920</v>
      </c>
      <c r="T449" t="s">
        <v>4921</v>
      </c>
      <c r="U449" t="s">
        <v>4922</v>
      </c>
      <c r="V449">
        <f>-573.579701881306 -120.071718971701 -95.6208487883606</f>
        <v>-789.27226964136764</v>
      </c>
      <c r="W449" t="s">
        <v>4923</v>
      </c>
      <c r="X449" t="s">
        <v>4924</v>
      </c>
      <c r="Y449" t="s">
        <v>4925</v>
      </c>
    </row>
    <row r="450" spans="1:25" x14ac:dyDescent="0.3">
      <c r="A450">
        <v>22450</v>
      </c>
      <c r="B450" t="s">
        <v>4926</v>
      </c>
      <c r="C450">
        <f>-591.414558152368 -26.89277939112 -96.6903483070337</f>
        <v>-714.99768585052175</v>
      </c>
      <c r="D450">
        <f>-615.145868302003 -33.9971508241536 -209.838730739471</f>
        <v>-858.98174986562753</v>
      </c>
      <c r="E450">
        <f>-624.352833483924 -35.8728414455834 -308.014119105415</f>
        <v>-968.2397940349224</v>
      </c>
      <c r="F450">
        <f>-628.779521545643 -35.9921868283725 -397.000754999305</f>
        <v>-1061.7724633733205</v>
      </c>
      <c r="G450">
        <f>-628.956335467588 -34.473611390111 -486.084363607161</f>
        <v>-1149.51431046486</v>
      </c>
      <c r="H450">
        <f>-624.744577130738 -30.6381597148602 -610.536730171545</f>
        <v>-1265.9194670171432</v>
      </c>
      <c r="I450">
        <f>-587.02944539305 -18.5008534247879 -683.579704877149</f>
        <v>-1289.110003694987</v>
      </c>
      <c r="J450">
        <f>-631.639871709687 -5.08774838787349 -555.10265930545</f>
        <v>-1191.8302794030105</v>
      </c>
      <c r="K450" t="s">
        <v>4927</v>
      </c>
      <c r="L450" t="s">
        <v>4928</v>
      </c>
      <c r="M450" t="s">
        <v>4929</v>
      </c>
      <c r="N450">
        <f>-621.556055953561 -59.5642482317451 -556.440209835086</f>
        <v>-1237.560514020392</v>
      </c>
      <c r="O450">
        <f>-602.348005327674 -193.020256922298 -529.61928687768</f>
        <v>-1324.9875491276521</v>
      </c>
      <c r="P450">
        <f>-641.815812312317 -257.190651241151 -245.162510164678</f>
        <v>-1144.1689737181459</v>
      </c>
      <c r="Q450">
        <f>-462.820464416411 -115.416467572778 -322.04948573052</f>
        <v>-900.28641771970911</v>
      </c>
      <c r="R450" t="s">
        <v>4930</v>
      </c>
      <c r="S450" t="s">
        <v>4931</v>
      </c>
      <c r="T450" t="s">
        <v>4932</v>
      </c>
      <c r="U450" t="s">
        <v>4933</v>
      </c>
      <c r="V450">
        <f>-573.787715161256 -120.441850459114 -95.6300804243066</f>
        <v>-789.85964604467654</v>
      </c>
      <c r="W450" t="s">
        <v>4934</v>
      </c>
      <c r="X450" t="s">
        <v>4935</v>
      </c>
      <c r="Y450" t="s">
        <v>4936</v>
      </c>
    </row>
    <row r="451" spans="1:25" x14ac:dyDescent="0.3">
      <c r="A451">
        <v>22500</v>
      </c>
      <c r="B451" t="s">
        <v>4937</v>
      </c>
      <c r="C451">
        <f>-591.931618244959 -27.1555205565899 -96.7452235163744</f>
        <v>-715.8323623179233</v>
      </c>
      <c r="D451">
        <f>-615.886034490712 -34.3834485752716 -209.838747471881</f>
        <v>-860.10823053786453</v>
      </c>
      <c r="E451">
        <f>-625.382820893002 -36.3608315018857 -307.984420869926</f>
        <v>-969.7280732648137</v>
      </c>
      <c r="F451">
        <f>-630.109897215404 -36.5725008112154 -396.955496455723</f>
        <v>-1063.6378944823423</v>
      </c>
      <c r="G451">
        <f>-630.624821244507 -35.147900871023 -486.039536066707</f>
        <v>-1151.812258182237</v>
      </c>
      <c r="H451">
        <f>-626.924093971358 -31.4464408270485 -610.512072138927</f>
        <v>-1268.8826069373335</v>
      </c>
      <c r="I451">
        <f>-589.471418512911 -19.3445296192522 -683.69578344945</f>
        <v>-1292.5117315816133</v>
      </c>
      <c r="J451">
        <f>-633.557712933002 -5.83015532642412 -555.076412704625</f>
        <v>-1194.4642809640511</v>
      </c>
      <c r="K451" t="s">
        <v>4938</v>
      </c>
      <c r="L451" t="s">
        <v>4939</v>
      </c>
      <c r="M451" t="s">
        <v>4940</v>
      </c>
      <c r="N451">
        <f>-623.54750868487 -60.3205453261363 -556.399200403877</f>
        <v>-1240.2672544148832</v>
      </c>
      <c r="O451">
        <f>-604.311806878104 -193.761995835078 -529.505557262314</f>
        <v>-1327.5793599754961</v>
      </c>
      <c r="P451">
        <f>-642.982863065986 -257.470724827562 -244.835587173972</f>
        <v>-1145.2891750675199</v>
      </c>
      <c r="Q451">
        <f>-464.262653543664 -115.716291413012 -322.396070159865</f>
        <v>-902.37501511654091</v>
      </c>
      <c r="R451" t="s">
        <v>4941</v>
      </c>
      <c r="S451" t="s">
        <v>4942</v>
      </c>
      <c r="T451" t="s">
        <v>4943</v>
      </c>
      <c r="U451" t="s">
        <v>4944</v>
      </c>
      <c r="V451">
        <f>-574.290843481307 -120.61267202893 -95.6251907417256</f>
        <v>-790.5287062519626</v>
      </c>
      <c r="W451" t="s">
        <v>4945</v>
      </c>
      <c r="X451" t="s">
        <v>4946</v>
      </c>
      <c r="Y451" t="s">
        <v>4947</v>
      </c>
    </row>
    <row r="452" spans="1:25" x14ac:dyDescent="0.3">
      <c r="A452">
        <v>22550</v>
      </c>
      <c r="B452" t="s">
        <v>4948</v>
      </c>
      <c r="C452">
        <f>-592.24453472515 -27.188305583921 -96.7706321561415</f>
        <v>-716.20347246521237</v>
      </c>
      <c r="D452">
        <f>-616.279256873397 -34.4523595006012 -209.844951104212</f>
        <v>-860.57656747821022</v>
      </c>
      <c r="E452">
        <f>-625.875489549339 -36.4543763888169 -307.980316994407</f>
        <v>-970.31018293256284</v>
      </c>
      <c r="F452">
        <f>-630.704413971556 -36.686358174692 -396.945871708779</f>
        <v>-1064.336643855027</v>
      </c>
      <c r="G452">
        <f>-631.332757769632 -35.2808811287969 -486.029391116847</f>
        <v>-1152.6430300152761</v>
      </c>
      <c r="H452">
        <f>-627.802124785814 -31.6057051607213 -610.50768231761</f>
        <v>-1269.9155122641455</v>
      </c>
      <c r="I452">
        <f>-590.474769183471 -19.5679362382821 -683.766088351788</f>
        <v>-1293.8087937735411</v>
      </c>
      <c r="J452">
        <f>-634.323803313193 -5.97099069368733 -555.067220664454</f>
        <v>-1195.3620146713342</v>
      </c>
      <c r="K452" t="s">
        <v>4949</v>
      </c>
      <c r="L452" t="s">
        <v>4950</v>
      </c>
      <c r="M452" t="s">
        <v>4951</v>
      </c>
      <c r="N452">
        <f>-624.387750264069 -60.474892544241 -556.394662714713</f>
        <v>-1241.2573055230232</v>
      </c>
      <c r="O452">
        <f>-605.269076683392 -193.93978738401 -529.512363720728</f>
        <v>-1328.7212277881299</v>
      </c>
      <c r="P452">
        <f>-643.714228033802 -257.569875829191 -244.794171046352</f>
        <v>-1146.0782749093451</v>
      </c>
      <c r="Q452">
        <f>-464.92704918611 -115.98944173089 -322.517813144916</f>
        <v>-903.43430406191601</v>
      </c>
      <c r="R452" t="s">
        <v>4952</v>
      </c>
      <c r="S452" t="s">
        <v>4953</v>
      </c>
      <c r="T452" t="s">
        <v>4954</v>
      </c>
      <c r="U452" t="s">
        <v>4955</v>
      </c>
      <c r="V452">
        <f>-574.674511838936 -120.662352659152 -95.6220566331347</f>
        <v>-790.95892113122272</v>
      </c>
      <c r="W452" t="s">
        <v>4956</v>
      </c>
      <c r="X452" t="s">
        <v>4957</v>
      </c>
      <c r="Y452" t="s">
        <v>4958</v>
      </c>
    </row>
    <row r="453" spans="1:25" x14ac:dyDescent="0.3">
      <c r="A453">
        <v>22600</v>
      </c>
      <c r="B453" t="s">
        <v>4959</v>
      </c>
      <c r="C453">
        <f>-592.922521807453 -27.1896328882622 -96.8114208559504</f>
        <v>-716.92357555166552</v>
      </c>
      <c r="D453">
        <f>-617.041218382724 -34.4498443954949 -209.867993229634</f>
        <v>-861.35905600785281</v>
      </c>
      <c r="E453">
        <f>-626.734141022889 -36.4396914138611 -307.994168568178</f>
        <v>-971.1680010049281</v>
      </c>
      <c r="F453">
        <f>-631.660316270952 -36.6564138273886 -396.954376170505</f>
        <v>-1065.2711062688456</v>
      </c>
      <c r="G453">
        <f>-632.395166340246 -35.232683822489 -486.036941022415</f>
        <v>-1153.6647911851501</v>
      </c>
      <c r="H453">
        <f>-629.023034500501 -31.5289922706045 -610.518698247354</f>
        <v>-1271.0707250184596</v>
      </c>
      <c r="I453">
        <f>-591.972140460859 -19.6855382998933 -683.948904458455</f>
        <v>-1295.6065832192073</v>
      </c>
      <c r="J453">
        <f>-635.398688714209 -5.8934113748137 -555.061734132082</f>
        <v>-1196.3538342211048</v>
      </c>
      <c r="K453" t="s">
        <v>4960</v>
      </c>
      <c r="L453" t="s">
        <v>4961</v>
      </c>
      <c r="M453" t="s">
        <v>4962</v>
      </c>
      <c r="N453">
        <f>-625.615249409142 -60.4241628182016 -556.419109282636</f>
        <v>-1242.4585215099796</v>
      </c>
      <c r="O453">
        <f>-606.876515546118 -193.945948396317 -529.577371308237</f>
        <v>-1330.3998352506719</v>
      </c>
      <c r="P453">
        <f>-645.196265059061 -257.525582019454 -244.831070198683</f>
        <v>-1147.552917277198</v>
      </c>
      <c r="Q453">
        <f>-465.951956498673 -116.631089750323 -322.748208231585</f>
        <v>-905.33125448058104</v>
      </c>
      <c r="R453" t="s">
        <v>4963</v>
      </c>
      <c r="S453" t="s">
        <v>4964</v>
      </c>
      <c r="T453" t="s">
        <v>4965</v>
      </c>
      <c r="U453" t="s">
        <v>4966</v>
      </c>
      <c r="V453">
        <f>-575.462281433779 -120.795182838939 -95.6385103503391</f>
        <v>-791.8959746230571</v>
      </c>
      <c r="W453" t="s">
        <v>4967</v>
      </c>
      <c r="X453" t="s">
        <v>4968</v>
      </c>
      <c r="Y453" t="s">
        <v>4969</v>
      </c>
    </row>
    <row r="454" spans="1:25" x14ac:dyDescent="0.3">
      <c r="A454">
        <v>22650</v>
      </c>
      <c r="B454" t="s">
        <v>4970</v>
      </c>
      <c r="C454">
        <f>-593.23185175863 -27.1698610415817 -96.8422698254702</f>
        <v>-717.24398262568195</v>
      </c>
      <c r="D454">
        <f>-617.379336827516 -34.4010931355351 -209.894511731001</f>
        <v>-861.67494169405211</v>
      </c>
      <c r="E454">
        <f>-627.106680402127 -36.3855785317544 -308.017538126078</f>
        <v>-971.50979705995951</v>
      </c>
      <c r="F454">
        <f>-632.068130813018 -36.6042796338713 -396.975731735644</f>
        <v>-1065.6481421825333</v>
      </c>
      <c r="G454">
        <f>-632.842372721936 -35.1900674560707 -486.05803178059</f>
        <v>-1154.0904719585967</v>
      </c>
      <c r="H454">
        <f>-629.529248967908 -31.5074391541273 -610.542100162646</f>
        <v>-1271.5787882846812</v>
      </c>
      <c r="I454">
        <f>-592.632136606747 -19.8225822917352 -684.074979096752</f>
        <v>-1296.5296979952343</v>
      </c>
      <c r="J454">
        <f>-635.843884875745 -5.85626586112585 -555.085205199923</f>
        <v>-1196.7853559367938</v>
      </c>
      <c r="K454" t="s">
        <v>4971</v>
      </c>
      <c r="L454" t="s">
        <v>4972</v>
      </c>
      <c r="M454" t="s">
        <v>4973</v>
      </c>
      <c r="N454">
        <f>-626.130432759491 -60.3997005521107 -556.44031392314</f>
        <v>-1242.9704472347416</v>
      </c>
      <c r="O454">
        <f>-607.541870742063 -193.94035165898 -529.622435863383</f>
        <v>-1331.104658264426</v>
      </c>
      <c r="P454">
        <f>-645.902628436358 -257.459911643682 -244.868226581064</f>
        <v>-1148.2307666611039</v>
      </c>
      <c r="Q454">
        <f>-466.456505647917 -116.809751489464 -322.762382128985</f>
        <v>-906.02863926636599</v>
      </c>
      <c r="R454" t="s">
        <v>4974</v>
      </c>
      <c r="S454" t="s">
        <v>4975</v>
      </c>
      <c r="T454" t="s">
        <v>4976</v>
      </c>
      <c r="U454" t="s">
        <v>4977</v>
      </c>
      <c r="V454">
        <f>-575.856358685668 -120.807277154409 -95.6662310214917</f>
        <v>-792.3298668615688</v>
      </c>
      <c r="W454" t="s">
        <v>4978</v>
      </c>
      <c r="X454" t="s">
        <v>4979</v>
      </c>
      <c r="Y454" t="s">
        <v>4980</v>
      </c>
    </row>
    <row r="455" spans="1:25" x14ac:dyDescent="0.3">
      <c r="A455">
        <v>22700</v>
      </c>
      <c r="B455" t="s">
        <v>4981</v>
      </c>
      <c r="C455">
        <f>-593.791955077618 -27.1385252842692 -96.8662878979674</f>
        <v>-717.79676825985462</v>
      </c>
      <c r="D455">
        <f>-617.973603612979 -34.3285819942089 -209.914003798131</f>
        <v>-862.21618940531891</v>
      </c>
      <c r="E455">
        <f>-627.764790548721 -36.3191601577803 -308.030374269413</f>
        <v>-972.11432497591431</v>
      </c>
      <c r="F455">
        <f>-632.798337456503 -36.5584002193993 -396.984569798014</f>
        <v>-1066.3413074739162</v>
      </c>
      <c r="G455">
        <f>-633.6589169592 -35.1806736992717 -486.066505551544</f>
        <v>-1154.9060962100157</v>
      </c>
      <c r="H455">
        <f>-630.481368184313 -31.5651468015099 -610.556050086722</f>
        <v>-1272.6025650725451</v>
      </c>
      <c r="I455">
        <f>-593.910280995266 -20.3336481250549 -684.322194584713</f>
        <v>-1298.566123705034</v>
      </c>
      <c r="J455">
        <f>-636.677267183376 -5.87381773706784 -555.104406558159</f>
        <v>-1197.6554914786029</v>
      </c>
      <c r="K455" t="s">
        <v>4982</v>
      </c>
      <c r="L455" t="s">
        <v>4983</v>
      </c>
      <c r="M455" t="s">
        <v>4984</v>
      </c>
      <c r="N455">
        <f>-627.082020392644 -60.4384809301998 -556.444236898801</f>
        <v>-1243.9647382216449</v>
      </c>
      <c r="O455">
        <f>-608.727313064711 -194.011105977295 -529.602011995887</f>
        <v>-1332.3404310378928</v>
      </c>
      <c r="P455">
        <f>-646.942375171657 -257.444847026889 -244.809170773645</f>
        <v>-1149.196392972191</v>
      </c>
      <c r="Q455">
        <f>-467.312583760235 -117.031731266606 -322.707622816586</f>
        <v>-907.05193784342691</v>
      </c>
      <c r="R455" t="s">
        <v>4985</v>
      </c>
      <c r="S455" t="s">
        <v>4986</v>
      </c>
      <c r="T455" t="s">
        <v>4987</v>
      </c>
      <c r="U455" t="s">
        <v>4988</v>
      </c>
      <c r="V455">
        <f>-576.573083213836 -120.803105070614 -95.7015851411132</f>
        <v>-793.07777342556324</v>
      </c>
      <c r="W455" t="s">
        <v>4989</v>
      </c>
      <c r="X455" t="s">
        <v>4990</v>
      </c>
      <c r="Y455" t="s">
        <v>4991</v>
      </c>
    </row>
    <row r="456" spans="1:25" x14ac:dyDescent="0.3">
      <c r="A456">
        <v>22750</v>
      </c>
      <c r="B456" t="s">
        <v>4992</v>
      </c>
      <c r="C456">
        <f>-593.976161052351 -27.1489837267677 -96.8650941229707</f>
        <v>-717.99023890208946</v>
      </c>
      <c r="D456">
        <f>-618.189074979813 -34.3098753456854 -209.907786633015</f>
        <v>-862.40673695851342</v>
      </c>
      <c r="E456">
        <f>-628.026870095103 -36.2893402272418 -308.019867450868</f>
        <v>-972.33607777321288</v>
      </c>
      <c r="F456">
        <f>-633.110735852385 -36.5235402224801 -396.97120594166</f>
        <v>-1066.605482016525</v>
      </c>
      <c r="G456">
        <f>-634.029929981524 -35.1453202852556 -486.052693955277</f>
        <v>-1155.2279442220565</v>
      </c>
      <c r="H456">
        <f>-630.943006703298 -31.5341438507135 -610.544463758644</f>
        <v>-1273.0216143126554</v>
      </c>
      <c r="I456">
        <f>-594.574177836914 -20.5718123654551 -684.451040325575</f>
        <v>-1299.5970305279443</v>
      </c>
      <c r="J456">
        <f>-637.078861184454 -5.83736115317606 -555.088820230529</f>
        <v>-1198.0050425681591</v>
      </c>
      <c r="K456" t="s">
        <v>4993</v>
      </c>
      <c r="L456" t="s">
        <v>4994</v>
      </c>
      <c r="M456" t="s">
        <v>4995</v>
      </c>
      <c r="N456">
        <f>-627.523970624015 -60.4089972886103 -556.434767612525</f>
        <v>-1244.3677355251502</v>
      </c>
      <c r="O456">
        <f>-609.237124931789 -193.989197335699 -529.604159547769</f>
        <v>-1332.8304818152569</v>
      </c>
      <c r="P456">
        <f>-647.358377569927 -257.387719841508 -244.790897610398</f>
        <v>-1149.536995021833</v>
      </c>
      <c r="Q456">
        <f>-467.712835963369 -117.037207945244 -322.765834560489</f>
        <v>-907.51587846910195</v>
      </c>
      <c r="R456" t="s">
        <v>4996</v>
      </c>
      <c r="S456" t="s">
        <v>4997</v>
      </c>
      <c r="T456" t="s">
        <v>4998</v>
      </c>
      <c r="U456" t="s">
        <v>4999</v>
      </c>
      <c r="V456">
        <f>-576.825288953286 -120.85596573874 -95.7104811718868</f>
        <v>-793.3917358639128</v>
      </c>
      <c r="W456" t="s">
        <v>5000</v>
      </c>
      <c r="X456" t="s">
        <v>5001</v>
      </c>
      <c r="Y456" t="s">
        <v>5002</v>
      </c>
    </row>
    <row r="457" spans="1:25" x14ac:dyDescent="0.3">
      <c r="A457">
        <v>22800</v>
      </c>
      <c r="B457" t="s">
        <v>5003</v>
      </c>
      <c r="C457">
        <f>-594.322516944295 -27.1020890000002 -96.8743573749225</f>
        <v>-718.29896331921771</v>
      </c>
      <c r="D457">
        <f>-618.584248757931 -34.2348658482931 -209.90851626931</f>
        <v>-862.72763087553415</v>
      </c>
      <c r="E457">
        <f>-628.513878789702 -36.2297179888869 -308.010903452581</f>
        <v>-972.75450023116991</v>
      </c>
      <c r="F457">
        <f>-633.701152895825 -36.4931039296446 -396.956205569698</f>
        <v>-1067.1504623951676</v>
      </c>
      <c r="G457">
        <f>-634.743851917238 -35.1598262570112 -486.036923760326</f>
        <v>-1155.9406019345752</v>
      </c>
      <c r="H457">
        <f>-631.850760387148 -31.6277725670657 -610.535750410497</f>
        <v>-1274.0142833647105</v>
      </c>
      <c r="I457">
        <f>-595.748883267136 -21.200847983142 -684.650240041986</f>
        <v>-1301.5999712922639</v>
      </c>
      <c r="J457">
        <f>-637.869907300108 -5.89056570070329 -555.085904864318</f>
        <v>-1198.8463778651294</v>
      </c>
      <c r="K457" t="s">
        <v>5004</v>
      </c>
      <c r="L457" t="s">
        <v>5005</v>
      </c>
      <c r="M457" t="s">
        <v>5006</v>
      </c>
      <c r="N457">
        <f>-628.377718856126 -60.4736498451027 -556.413864800547</f>
        <v>-1245.2652335017756</v>
      </c>
      <c r="O457">
        <f>-610.106161851466 -194.058962391072 -529.591516928362</f>
        <v>-1333.7566411708999</v>
      </c>
      <c r="P457">
        <f>-647.758898590922 -257.360798514357 -244.694476433786</f>
        <v>-1149.814173539065</v>
      </c>
      <c r="Q457">
        <f>-468.241244523764 -116.95303693892 -322.860732491065</f>
        <v>-908.05501395374904</v>
      </c>
      <c r="R457" t="s">
        <v>5007</v>
      </c>
      <c r="S457" t="s">
        <v>5008</v>
      </c>
      <c r="T457" t="s">
        <v>5009</v>
      </c>
      <c r="U457" t="s">
        <v>5010</v>
      </c>
      <c r="V457">
        <f>-577.236125225584 -120.933392213167 -95.7089582124139</f>
        <v>-793.87847565116488</v>
      </c>
      <c r="W457" t="s">
        <v>5011</v>
      </c>
      <c r="X457" t="s">
        <v>5012</v>
      </c>
      <c r="Y457" t="s">
        <v>5013</v>
      </c>
    </row>
    <row r="458" spans="1:25" x14ac:dyDescent="0.3">
      <c r="A458">
        <v>22850</v>
      </c>
      <c r="B458" t="s">
        <v>5014</v>
      </c>
      <c r="C458">
        <f>-594.49418544089 -27.0478376145836 -96.8792133784618</f>
        <v>-718.42123643393541</v>
      </c>
      <c r="D458">
        <f>-618.791323747599 -34.169887307437 -209.906410078945</f>
        <v>-862.86762113398095</v>
      </c>
      <c r="E458">
        <f>-628.771682989617 -36.1724551421746 -308.003537409414</f>
        <v>-972.94767554120563</v>
      </c>
      <c r="F458">
        <f>-634.013097711297 -36.4490377967657 -396.945525927844</f>
        <v>-1067.4076614359067</v>
      </c>
      <c r="G458">
        <f>-635.118164594212 -35.1354699487504 -486.025782931295</f>
        <v>-1156.2794174742573</v>
      </c>
      <c r="H458">
        <f>-632.32066328224 -31.6381105739822 -610.527875508124</f>
        <v>-1274.4866493643462</v>
      </c>
      <c r="I458">
        <f>-596.32064285939 -21.4487786992711 -684.725008264336</f>
        <v>-1302.4944298229971</v>
      </c>
      <c r="J458">
        <f>-638.281443281837 -5.88275151513562 -555.080268219379</f>
        <v>-1199.2444630163518</v>
      </c>
      <c r="K458" t="s">
        <v>5015</v>
      </c>
      <c r="L458" t="s">
        <v>5016</v>
      </c>
      <c r="M458" t="s">
        <v>5017</v>
      </c>
      <c r="N458">
        <f>-628.82192105358 -60.4715204165859 -556.401083243941</f>
        <v>-1245.694524714107</v>
      </c>
      <c r="O458">
        <f>-610.566930148933 -194.061398112053 -529.57828942809</f>
        <v>-1334.206617689076</v>
      </c>
      <c r="P458">
        <f>-647.892351177056 -257.441541092966 -244.655464157869</f>
        <v>-1149.9893564278909</v>
      </c>
      <c r="Q458">
        <f>-468.519918001301 -116.899075815475 -322.912914113762</f>
        <v>-908.33190793053802</v>
      </c>
      <c r="R458" t="s">
        <v>5018</v>
      </c>
      <c r="S458" t="s">
        <v>5019</v>
      </c>
      <c r="T458" t="s">
        <v>5020</v>
      </c>
      <c r="U458" t="s">
        <v>5021</v>
      </c>
      <c r="V458">
        <f>-577.449248468789 -120.928098125991 -95.7050003800929</f>
        <v>-794.08234697487296</v>
      </c>
      <c r="W458" t="s">
        <v>5022</v>
      </c>
      <c r="X458" t="s">
        <v>5023</v>
      </c>
      <c r="Y458" t="s">
        <v>5024</v>
      </c>
    </row>
    <row r="459" spans="1:25" x14ac:dyDescent="0.3">
      <c r="A459">
        <v>22900</v>
      </c>
      <c r="B459" t="s">
        <v>5025</v>
      </c>
      <c r="C459">
        <f>-594.836550068657 -26.8147415993235 -96.8922453208</f>
        <v>-718.54353698878049</v>
      </c>
      <c r="D459">
        <f>-619.180339790989 -33.8887277508447 -209.912509640851</f>
        <v>-862.98157718268476</v>
      </c>
      <c r="E459">
        <f>-629.24659456425 -35.9048550111356 -308.000562038511</f>
        <v>-973.15201161389666</v>
      </c>
      <c r="F459">
        <f>-634.584485696099 -36.2149117788288 -396.936773899915</f>
        <v>-1067.7361713748428</v>
      </c>
      <c r="G459">
        <f>-635.804886466854 -34.9563320680306 -486.016301353608</f>
        <v>-1156.7775198884926</v>
      </c>
      <c r="H459">
        <f>-633.188155426109 -31.5581140038034 -610.525051936776</f>
        <v>-1275.2713213666884</v>
      </c>
      <c r="I459">
        <f>-597.368667035524 -21.7974726312302 -684.86681248582</f>
        <v>-1304.0329521525741</v>
      </c>
      <c r="J459">
        <f>-639.01914160147 -5.74999332447578 -555.08803305887</f>
        <v>-1199.8571679848158</v>
      </c>
      <c r="K459" t="s">
        <v>5026</v>
      </c>
      <c r="L459" t="s">
        <v>5027</v>
      </c>
      <c r="M459" t="s">
        <v>5028</v>
      </c>
      <c r="N459">
        <f>-629.660189167126 -60.356846109651 -556.381678037762</f>
        <v>-1246.3987133145388</v>
      </c>
      <c r="O459">
        <f>-611.527712492325 -193.957365381348 -529.543469363444</f>
        <v>-1335.028547237117</v>
      </c>
      <c r="P459">
        <f>-648.485733713111 -257.245920833054 -244.552390256766</f>
        <v>-1150.284044802931</v>
      </c>
      <c r="Q459">
        <f>-469.188396873139 -116.691025993788 -322.959390774094</f>
        <v>-908.83881364102103</v>
      </c>
      <c r="R459" t="s">
        <v>5029</v>
      </c>
      <c r="S459" t="s">
        <v>5030</v>
      </c>
      <c r="T459" t="s">
        <v>5031</v>
      </c>
      <c r="U459" t="s">
        <v>5032</v>
      </c>
      <c r="V459">
        <f>-577.932376482271 -120.763817279193 -95.7153435676635</f>
        <v>-794.41153732912744</v>
      </c>
      <c r="W459" t="s">
        <v>5033</v>
      </c>
      <c r="X459" t="s">
        <v>5034</v>
      </c>
      <c r="Y459" t="s">
        <v>5035</v>
      </c>
    </row>
    <row r="460" spans="1:25" x14ac:dyDescent="0.3">
      <c r="A460">
        <v>22950</v>
      </c>
      <c r="B460" t="s">
        <v>5036</v>
      </c>
      <c r="C460">
        <f>-594.957742153002 -26.6777420985093 -96.8812750834541</f>
        <v>-718.51675933496529</v>
      </c>
      <c r="D460">
        <f>-619.32026764979 -33.7237185963838 -209.899185973957</f>
        <v>-862.94317222013092</v>
      </c>
      <c r="E460">
        <f>-629.428464331898 -35.7528745967563 -307.982766771532</f>
        <v>-973.16410570018638</v>
      </c>
      <c r="F460">
        <f>-634.814714524517 -36.0893099524142 -396.915911800943</f>
        <v>-1067.8199362778741</v>
      </c>
      <c r="G460">
        <f>-636.093656195558 -34.873110233935 -485.995169267939</f>
        <v>-1156.961935697432</v>
      </c>
      <c r="H460">
        <f>-633.569077379088 -31.5513141554009 -610.507875600327</f>
        <v>-1275.6282671348158</v>
      </c>
      <c r="I460">
        <f>-597.818431804254 -21.9925169237515 -684.909136243675</f>
        <v>-1304.7200849716805</v>
      </c>
      <c r="J460">
        <f>-639.308884658216 -5.70081922523968 -555.081186246061</f>
        <v>-1200.0908901295165</v>
      </c>
      <c r="K460" t="s">
        <v>5037</v>
      </c>
      <c r="L460" t="s">
        <v>5038</v>
      </c>
      <c r="M460" t="s">
        <v>5039</v>
      </c>
      <c r="N460">
        <f>-630.05115488019 -60.3254565637047 -556.350822384101</f>
        <v>-1246.7274338279958</v>
      </c>
      <c r="O460">
        <f>-612.116693541435 -193.946693114823 -529.482707475213</f>
        <v>-1335.5460941314709</v>
      </c>
      <c r="P460">
        <f>-648.953637283102 -257.094908807768 -244.444914503381</f>
        <v>-1150.493460594251</v>
      </c>
      <c r="Q460">
        <f>-469.543704246497 -116.736978064752 -322.947197654781</f>
        <v>-909.22787996602995</v>
      </c>
      <c r="R460" t="s">
        <v>5040</v>
      </c>
      <c r="S460" t="s">
        <v>5041</v>
      </c>
      <c r="T460" t="s">
        <v>5042</v>
      </c>
      <c r="U460" t="s">
        <v>5043</v>
      </c>
      <c r="V460">
        <f>-578.145946709739 -120.626557524697 -95.7139807840064</f>
        <v>-794.48648501844229</v>
      </c>
      <c r="W460" t="s">
        <v>5044</v>
      </c>
      <c r="X460" t="s">
        <v>5045</v>
      </c>
      <c r="Y460" t="s">
        <v>5046</v>
      </c>
    </row>
    <row r="461" spans="1:25" x14ac:dyDescent="0.3">
      <c r="A461">
        <v>23000</v>
      </c>
      <c r="B461" t="s">
        <v>5047</v>
      </c>
      <c r="C461">
        <f>-595.090514456194 -26.3806787686335 -96.8662324840344</f>
        <v>-718.33742570886193</v>
      </c>
      <c r="D461">
        <f>-619.465376986028 -33.3475837792685 -209.886314593908</f>
        <v>-862.69927535920442</v>
      </c>
      <c r="E461">
        <f>-629.642398635785 -35.4377761271901 -307.961479741629</f>
        <v>-973.04165450460403</v>
      </c>
      <c r="F461">
        <f>-635.114054510444 -35.8817847354856 -396.889014384233</f>
        <v>-1067.8848536301625</v>
      </c>
      <c r="G461">
        <f>-636.500539310549 -34.8293240041621 -485.9688251164</f>
        <v>-1157.2986884311113</v>
      </c>
      <c r="H461">
        <f>-634.148965780643 -31.7965805167773 -610.492132948244</f>
        <v>-1276.4376792456644</v>
      </c>
      <c r="I461">
        <f>-598.49774623671 -22.6830808645962 -684.997075702373</f>
        <v>-1306.177902803679</v>
      </c>
      <c r="J461">
        <f>-639.650842767258 -5.79065152452904 -555.114084123367</f>
        <v>-1200.5555784151541</v>
      </c>
      <c r="K461" t="s">
        <v>5048</v>
      </c>
      <c r="L461" t="s">
        <v>5049</v>
      </c>
      <c r="M461" t="s">
        <v>5050</v>
      </c>
      <c r="N461">
        <f>-630.716720468894 -60.4714366742675 -556.277206791636</f>
        <v>-1247.4653639347976</v>
      </c>
      <c r="O461">
        <f>-613.448835343495 -194.150635402982 -529.262203913489</f>
        <v>-1336.861674659966</v>
      </c>
      <c r="P461">
        <f>-650.342823412089 -256.714747040505 -244.102888571544</f>
        <v>-1151.1604590241382</v>
      </c>
      <c r="Q461">
        <f>-470.26272093379 -117.400832142833 -322.92969261174</f>
        <v>-910.59324568836291</v>
      </c>
      <c r="R461" t="s">
        <v>5051</v>
      </c>
      <c r="S461" t="s">
        <v>5052</v>
      </c>
      <c r="T461" t="s">
        <v>5053</v>
      </c>
      <c r="U461" t="s">
        <v>5054</v>
      </c>
      <c r="V461">
        <f>-578.495498244844 -120.247915958525 -95.7166303963083</f>
        <v>-794.46004459967742</v>
      </c>
      <c r="W461" t="s">
        <v>5055</v>
      </c>
      <c r="X461" t="s">
        <v>5056</v>
      </c>
      <c r="Y461" t="s">
        <v>5057</v>
      </c>
    </row>
    <row r="462" spans="1:25" x14ac:dyDescent="0.3">
      <c r="A462">
        <v>23050</v>
      </c>
      <c r="B462" t="s">
        <v>5058</v>
      </c>
      <c r="C462">
        <f>-595.042208604098 -26.4107494803293 -96.8654757816122</f>
        <v>-718.31843386603953</v>
      </c>
      <c r="D462">
        <f>-619.422895742399 -33.3108164665375 -209.888574383983</f>
        <v>-862.62228659291952</v>
      </c>
      <c r="E462">
        <f>-629.62225351835 -35.4339733440161 -307.960443778927</f>
        <v>-973.0166706412931</v>
      </c>
      <c r="F462">
        <f>-635.121099209135 -35.9444751157657 -396.886016002859</f>
        <v>-1067.9515903277597</v>
      </c>
      <c r="G462">
        <f>-636.541294331317 -34.9969225971504 -485.9664862935</f>
        <v>-1157.5047032219672</v>
      </c>
      <c r="H462">
        <f>-634.243116072985 -32.1521346774107 -610.495313705503</f>
        <v>-1276.8905644558986</v>
      </c>
      <c r="I462">
        <f>-598.622603588189 -23.2748511275693 -685.043266835295</f>
        <v>-1306.9407215510532</v>
      </c>
      <c r="J462">
        <f>-639.617484905388 -6.04600715320817 -555.151901522075</f>
        <v>-1200.8153935806713</v>
      </c>
      <c r="K462" t="s">
        <v>5059</v>
      </c>
      <c r="L462" t="s">
        <v>5060</v>
      </c>
      <c r="M462" t="s">
        <v>5061</v>
      </c>
      <c r="N462">
        <f>-630.891367426912 -60.7619641839806 -556.240675174809</f>
        <v>-1247.8940067857015</v>
      </c>
      <c r="O462">
        <f>-614.09604955194 -194.475612022751 -529.082960777343</f>
        <v>-1337.654622352034</v>
      </c>
      <c r="P462">
        <f>-651.126073049836 -256.597066815213 -243.844660164144</f>
        <v>-1151.567800029193</v>
      </c>
      <c r="Q462">
        <f>-470.533165463473 -118.067101963751 -322.879541260697</f>
        <v>-911.47980868792104</v>
      </c>
      <c r="R462" t="s">
        <v>5062</v>
      </c>
      <c r="S462" t="s">
        <v>5063</v>
      </c>
      <c r="T462" t="s">
        <v>5064</v>
      </c>
      <c r="U462" t="s">
        <v>5065</v>
      </c>
      <c r="V462">
        <f>-578.637370605539 -120.335711401493 -95.7265129248209</f>
        <v>-794.69959493185286</v>
      </c>
      <c r="W462" t="s">
        <v>5066</v>
      </c>
      <c r="X462" t="s">
        <v>5067</v>
      </c>
      <c r="Y462" t="s">
        <v>5068</v>
      </c>
    </row>
    <row r="463" spans="1:25" x14ac:dyDescent="0.3">
      <c r="A463">
        <v>23100</v>
      </c>
      <c r="B463" t="s">
        <v>5069</v>
      </c>
      <c r="C463">
        <f>-594.917781771007 -26.6220449485982 -96.8805489256075</f>
        <v>-718.42037564521263</v>
      </c>
      <c r="D463">
        <f>-619.287038323464 -33.3732450736313 -209.915011979167</f>
        <v>-862.57529537626237</v>
      </c>
      <c r="E463">
        <f>-629.471791461121 -35.5387044494134 -307.987580810626</f>
        <v>-972.99807672116049</v>
      </c>
      <c r="F463">
        <f>-634.955711189545 -36.154275831924 -396.913308864457</f>
        <v>-1068.023295885926</v>
      </c>
      <c r="G463">
        <f>-636.358637576142 -35.3824752722744 -485.995834588791</f>
        <v>-1157.7369474372074</v>
      </c>
      <c r="H463">
        <f>-634.033776876577 -32.8588142542048 -610.531072681352</f>
        <v>-1277.4236638121338</v>
      </c>
      <c r="I463">
        <f>-598.436672053325 -24.4387347380855 -685.143165391889</f>
        <v>-1308.0185721832995</v>
      </c>
      <c r="J463">
        <f>-639.215582125113 -6.57835352326083 -555.251793809479</f>
        <v>-1201.0457294578528</v>
      </c>
      <c r="K463" t="s">
        <v>5070</v>
      </c>
      <c r="L463" t="s">
        <v>5071</v>
      </c>
      <c r="M463" t="s">
        <v>5072</v>
      </c>
      <c r="N463">
        <f>-630.898082052685 -61.3603995067958 -556.206648980161</f>
        <v>-1248.4651305396419</v>
      </c>
      <c r="O463">
        <f>-615.094984098296 -195.128169573855 -528.706023644202</f>
        <v>-1338.9291773163529</v>
      </c>
      <c r="P463">
        <f>-652.691979973492 -256.252978638114 -243.326479809638</f>
        <v>-1152.2714384212441</v>
      </c>
      <c r="Q463">
        <f>-470.960272681161 -119.388886313969 -322.652865279768</f>
        <v>-913.00202427489796</v>
      </c>
      <c r="R463" t="s">
        <v>5073</v>
      </c>
      <c r="S463" t="s">
        <v>5074</v>
      </c>
      <c r="T463" t="s">
        <v>5075</v>
      </c>
      <c r="U463" t="s">
        <v>5076</v>
      </c>
      <c r="V463">
        <f>-578.940935245397 -120.449603886225 -95.762547535505</f>
        <v>-795.1530866671269</v>
      </c>
      <c r="W463" t="s">
        <v>5077</v>
      </c>
      <c r="X463" t="s">
        <v>5078</v>
      </c>
      <c r="Y463" t="s">
        <v>5079</v>
      </c>
    </row>
    <row r="464" spans="1:25" x14ac:dyDescent="0.3">
      <c r="A464">
        <v>23150</v>
      </c>
      <c r="B464" t="s">
        <v>5080</v>
      </c>
      <c r="C464">
        <f>-594.868090945885 -26.5735418437021 -96.8769937126591</f>
        <v>-718.31862650224616</v>
      </c>
      <c r="D464">
        <f>-619.233903122654 -33.2554362789267 -209.91632355507</f>
        <v>-862.40566295665076</v>
      </c>
      <c r="E464">
        <f>-629.379697206772 -35.4173290275585 -307.993028767194</f>
        <v>-972.79005500152448</v>
      </c>
      <c r="F464">
        <f>-634.813929013452 -36.0512444239773 -396.921755758568</f>
        <v>-1067.7869291959973</v>
      </c>
      <c r="G464">
        <f>-636.152593874395 -35.3212167630486 -486.005384990128</f>
        <v>-1157.4791956275717</v>
      </c>
      <c r="H464">
        <f>-633.722510601672 -32.8804851460568 -610.540442613194</f>
        <v>-1277.1434383609228</v>
      </c>
      <c r="I464">
        <f>-598.119505277915 -24.6512580659287 -685.171052430542</f>
        <v>-1307.9418157743858</v>
      </c>
      <c r="J464">
        <f>-638.871623349857 -6.55118845119614 -555.281336741212</f>
        <v>-1200.7041485422651</v>
      </c>
      <c r="K464" t="s">
        <v>5081</v>
      </c>
      <c r="L464" t="s">
        <v>5082</v>
      </c>
      <c r="M464" t="s">
        <v>5083</v>
      </c>
      <c r="N464">
        <f>-630.712096684537 -61.3577406773853 -556.196107315706</f>
        <v>-1248.2659446776283</v>
      </c>
      <c r="O464">
        <f>-615.342209066541 -195.155387479654 -528.592011288462</f>
        <v>-1339.089607834657</v>
      </c>
      <c r="P464">
        <f>-653.368484887072 -255.943041327556 -243.197389732383</f>
        <v>-1152.508915947011</v>
      </c>
      <c r="Q464">
        <f>-471.140390824056 -119.726012041343 -322.498810638681</f>
        <v>-913.36521350407997</v>
      </c>
      <c r="R464" t="s">
        <v>5084</v>
      </c>
      <c r="S464" t="s">
        <v>5085</v>
      </c>
      <c r="T464" t="s">
        <v>5086</v>
      </c>
      <c r="U464" t="s">
        <v>5087</v>
      </c>
      <c r="V464">
        <f>-579.034291769344 -120.350613318424 -95.7660394364682</f>
        <v>-795.15094452423614</v>
      </c>
      <c r="W464" t="s">
        <v>5088</v>
      </c>
      <c r="X464" t="s">
        <v>5089</v>
      </c>
      <c r="Y464" t="s">
        <v>5090</v>
      </c>
    </row>
    <row r="465" spans="1:25" x14ac:dyDescent="0.3">
      <c r="A465">
        <v>23200</v>
      </c>
      <c r="B465" t="s">
        <v>5091</v>
      </c>
      <c r="C465">
        <f>-594.724786309809 -26.3871440351447 -96.8618709197528</f>
        <v>-717.97380126470659</v>
      </c>
      <c r="D465">
        <f>-618.997459381469 -32.9640770002234 -209.927299686958</f>
        <v>-861.88883606865033</v>
      </c>
      <c r="E465">
        <f>-628.997741583349 -35.0913382413262 -308.019709369284</f>
        <v>-972.10878919395918</v>
      </c>
      <c r="F465">
        <f>-634.274693151494 -35.7151127859279 -396.957967298662</f>
        <v>-1066.947773236084</v>
      </c>
      <c r="G465">
        <f>-635.430004140972 -34.9966350788754 -486.04442251795</f>
        <v>-1156.4710617377973</v>
      </c>
      <c r="H465">
        <f>-632.716727647175 -32.5958588280871 -610.57422720121</f>
        <v>-1275.8868136764722</v>
      </c>
      <c r="I465">
        <f>-597.063652974315 -24.6444701712235 -685.21116676442</f>
        <v>-1306.9192899099585</v>
      </c>
      <c r="J465">
        <f>-637.910854736631 -6.23711533160963 -555.333449719906</f>
        <v>-1199.4814197881465</v>
      </c>
      <c r="K465" t="s">
        <v>5092</v>
      </c>
      <c r="L465" t="s">
        <v>5093</v>
      </c>
      <c r="M465" t="s">
        <v>5094</v>
      </c>
      <c r="N465">
        <f>-629.910605877863 -61.0676180115795 -556.216167643786</f>
        <v>-1247.1943915332286</v>
      </c>
      <c r="O465">
        <f>-615.011074529388 -194.888809741723 -528.524807252215</f>
        <v>-1338.4246915233261</v>
      </c>
      <c r="P465">
        <f>-653.766568499224 -255.57354755638 -243.206428514523</f>
        <v>-1152.546544570127</v>
      </c>
      <c r="Q465">
        <f>-471.122449348108 -119.768593567291 -322.257212441548</f>
        <v>-913.14825535694695</v>
      </c>
      <c r="R465" t="s">
        <v>5095</v>
      </c>
      <c r="S465" t="s">
        <v>5096</v>
      </c>
      <c r="T465" t="s">
        <v>5097</v>
      </c>
      <c r="U465" t="s">
        <v>5098</v>
      </c>
      <c r="V465">
        <f>-579.086925171796 -120.243479441355 -95.7676098468098</f>
        <v>-795.09801445996084</v>
      </c>
      <c r="W465" t="s">
        <v>5099</v>
      </c>
      <c r="X465" t="s">
        <v>5100</v>
      </c>
      <c r="Y465" t="s">
        <v>5101</v>
      </c>
    </row>
    <row r="466" spans="1:25" x14ac:dyDescent="0.3">
      <c r="A466">
        <v>23250</v>
      </c>
      <c r="B466" t="s">
        <v>5102</v>
      </c>
      <c r="C466">
        <f>-594.640225998853 -26.3125000068367 -96.8662813486792</f>
        <v>-717.81900735436886</v>
      </c>
      <c r="D466">
        <f>-618.869721744051 -32.86803137162 -209.942293980151</f>
        <v>-861.68004709582203</v>
      </c>
      <c r="E466">
        <f>-628.80596852341 -34.988715371481 -308.04137812445</f>
        <v>-971.83606201934094</v>
      </c>
      <c r="F466">
        <f>-634.014185882425 -35.6108192181241 -396.983666938009</f>
        <v>-1066.6086720385581</v>
      </c>
      <c r="G466">
        <f>-635.090174134104 -34.8949446227011 -486.071119806506</f>
        <v>-1156.0562385633111</v>
      </c>
      <c r="H466">
        <f>-632.255041416163 -32.5019948685681 -610.598393603733</f>
        <v>-1275.3554298884642</v>
      </c>
      <c r="I466">
        <f>-596.568066800353 -24.6328761897275 -685.227789359521</f>
        <v>-1306.4287323496014</v>
      </c>
      <c r="J466">
        <f>-637.499957656113 -6.13929523132947 -555.364246320518</f>
        <v>-1199.0034992079604</v>
      </c>
      <c r="K466" t="s">
        <v>5103</v>
      </c>
      <c r="L466" t="s">
        <v>5104</v>
      </c>
      <c r="M466" t="s">
        <v>5105</v>
      </c>
      <c r="N466">
        <f>-629.505453275437 -60.9707560735078 -556.23586600409</f>
        <v>-1246.7120753530348</v>
      </c>
      <c r="O466">
        <f>-614.646423873831 -194.791140198289 -528.513175705561</f>
        <v>-1337.9507397776811</v>
      </c>
      <c r="P466">
        <f>-653.504387513883 -255.602678188779 -243.235649422204</f>
        <v>-1152.3427151248661</v>
      </c>
      <c r="Q466">
        <f>-470.98136649122 -119.494514183556 -322.044264138903</f>
        <v>-912.52014481367905</v>
      </c>
      <c r="R466" t="s">
        <v>5106</v>
      </c>
      <c r="S466" t="s">
        <v>5107</v>
      </c>
      <c r="T466" t="s">
        <v>5108</v>
      </c>
      <c r="U466" t="s">
        <v>5109</v>
      </c>
      <c r="V466">
        <f>-579.041572981324 -120.178553417034 -95.7893510885029</f>
        <v>-795.00947748686087</v>
      </c>
      <c r="W466" t="s">
        <v>5110</v>
      </c>
      <c r="X466" t="s">
        <v>5111</v>
      </c>
      <c r="Y466" t="s">
        <v>5112</v>
      </c>
    </row>
    <row r="467" spans="1:25" x14ac:dyDescent="0.3">
      <c r="A467">
        <v>23300</v>
      </c>
      <c r="B467" t="s">
        <v>5113</v>
      </c>
      <c r="C467">
        <f>-594.521141897439 -26.1882882140862 -96.8895415488516</f>
        <v>-717.59897166037683</v>
      </c>
      <c r="D467">
        <f>-618.663081364301 -32.7231119140808 -209.9854303183</f>
        <v>-861.37162359668184</v>
      </c>
      <c r="E467">
        <f>-628.442067661424 -34.8487106718617 -308.100274952189</f>
        <v>-971.39105328547464</v>
      </c>
      <c r="F467">
        <f>-633.474692981536 -35.4856952278101 -397.052490275404</f>
        <v>-1066.0128784847502</v>
      </c>
      <c r="G467">
        <f>-634.341926253306 -34.7949046024771 -486.142471046019</f>
        <v>-1155.2793019018022</v>
      </c>
      <c r="H467">
        <f>-631.18011245343 -32.4484156158114 -610.662675955789</f>
        <v>-1274.2912040250303</v>
      </c>
      <c r="I467">
        <f>-595.412278140173 -24.663961177999 -685.262285019173</f>
        <v>-1305.338524337345</v>
      </c>
      <c r="J467">
        <f>-636.586646895369 -6.06755551103379 -555.452770328274</f>
        <v>-1198.1069727346767</v>
      </c>
      <c r="K467" t="s">
        <v>5114</v>
      </c>
      <c r="L467" t="s">
        <v>5115</v>
      </c>
      <c r="M467" t="s">
        <v>5116</v>
      </c>
      <c r="N467">
        <f>-628.55626890155 -60.8944737380905 -556.282135746353</f>
        <v>-1245.7328783859934</v>
      </c>
      <c r="O467">
        <f>-613.608530571217 -194.699064657679 -528.484612581854</f>
        <v>-1336.7922078107499</v>
      </c>
      <c r="P467">
        <f>-652.483618958309 -256.284780581094 -243.375625328982</f>
        <v>-1152.144024868385</v>
      </c>
      <c r="Q467">
        <f>-471.012265383115 -118.38273916004 -321.491186643701</f>
        <v>-910.88619118685597</v>
      </c>
      <c r="R467" t="s">
        <v>5117</v>
      </c>
      <c r="S467" t="s">
        <v>5118</v>
      </c>
      <c r="T467" t="s">
        <v>5119</v>
      </c>
      <c r="U467" t="s">
        <v>5120</v>
      </c>
      <c r="V467">
        <f>-578.910962817391 -120.059000613945 -95.8193759030818</f>
        <v>-794.78933933441783</v>
      </c>
      <c r="W467" t="s">
        <v>5121</v>
      </c>
      <c r="X467" t="s">
        <v>5122</v>
      </c>
      <c r="Y467" t="s">
        <v>5123</v>
      </c>
    </row>
    <row r="468" spans="1:25" x14ac:dyDescent="0.3">
      <c r="A468">
        <v>23350</v>
      </c>
      <c r="B468" t="s">
        <v>5124</v>
      </c>
      <c r="C468">
        <f>-594.530749174732 -26.1490963303081 -96.8874135310685</f>
        <v>-717.56725903610868</v>
      </c>
      <c r="D468">
        <f>-618.630138044762 -32.6882338318937 -209.992197955729</f>
        <v>-861.31056983238477</v>
      </c>
      <c r="E468">
        <f>-628.310159034122 -34.8051784732354 -308.116943188039</f>
        <v>-971.23228069539641</v>
      </c>
      <c r="F468">
        <f>-633.227929597162 -35.4296900754937 -397.075675574431</f>
        <v>-1065.7332952470865</v>
      </c>
      <c r="G468">
        <f>-633.954873279958 -34.7221254503263 -486.166813742078</f>
        <v>-1154.8438124723623</v>
      </c>
      <c r="H468">
        <f>-630.570624745015 -32.3476270444521 -610.680690924515</f>
        <v>-1273.5989427139821</v>
      </c>
      <c r="I468">
        <f>-594.764031311988 -24.560610373474 -685.261312623868</f>
        <v>-1304.58595430933</v>
      </c>
      <c r="J468">
        <f>-636.091399372674 -5.98160226015216 -555.475228342188</f>
        <v>-1197.5482299750142</v>
      </c>
      <c r="K468" t="s">
        <v>5125</v>
      </c>
      <c r="L468" t="s">
        <v>5126</v>
      </c>
      <c r="M468" t="s">
        <v>5127</v>
      </c>
      <c r="N468">
        <f>-628.028322601555 -60.8036777851169 -556.301456035945</f>
        <v>-1245.1334564226167</v>
      </c>
      <c r="O468">
        <f>-613.036464688035 -194.605043982427 -528.510562669179</f>
        <v>-1336.152071339641</v>
      </c>
      <c r="P468">
        <f>-651.941501326575 -256.853719524258 -243.549655750714</f>
        <v>-1152.344876601547</v>
      </c>
      <c r="Q468">
        <f>-471.055762426166 -117.903156016612 -321.163787890008</f>
        <v>-910.12270633278604</v>
      </c>
      <c r="R468" t="s">
        <v>5128</v>
      </c>
      <c r="S468" t="s">
        <v>5129</v>
      </c>
      <c r="T468" t="s">
        <v>5130</v>
      </c>
      <c r="U468" t="s">
        <v>5131</v>
      </c>
      <c r="V468">
        <f>-578.909500930463 -120.079660867251 -95.8166622712133</f>
        <v>-794.80582406892722</v>
      </c>
      <c r="W468" t="s">
        <v>5132</v>
      </c>
      <c r="X468" t="s">
        <v>5133</v>
      </c>
      <c r="Y468" t="s">
        <v>5134</v>
      </c>
    </row>
    <row r="469" spans="1:25" x14ac:dyDescent="0.3">
      <c r="A469">
        <v>23400</v>
      </c>
      <c r="B469" t="s">
        <v>5135</v>
      </c>
      <c r="C469">
        <f>-594.548605102759 -25.9390621501839 -96.8969875166644</f>
        <v>-717.38465476960721</v>
      </c>
      <c r="D469">
        <f>-618.548050846579 -32.4705922744099 -210.023471635774</f>
        <v>-861.04211475676289</v>
      </c>
      <c r="E469">
        <f>-628.047472452312 -34.5659572683642 -308.166417112936</f>
        <v>-970.77984683361228</v>
      </c>
      <c r="F469">
        <f>-632.763513073862 -35.1660511390953 -397.13621560683</f>
        <v>-1065.0657798197872</v>
      </c>
      <c r="G469">
        <f>-633.250241816349 -34.4292896309516 -486.228640646272</f>
        <v>-1153.9081720935726</v>
      </c>
      <c r="H469">
        <f>-629.490202781435 -32.0092338752306 -610.730858630291</f>
        <v>-1272.2302952869566</v>
      </c>
      <c r="I469">
        <f>-593.623356540359 -24.21392488884 -685.281776682227</f>
        <v>-1303.1190581114261</v>
      </c>
      <c r="J469">
        <f>-635.189478504624 -5.66498720445816 -555.53304450204</f>
        <v>-1196.3875102111222</v>
      </c>
      <c r="K469" t="s">
        <v>5136</v>
      </c>
      <c r="L469" t="s">
        <v>5137</v>
      </c>
      <c r="M469" t="s">
        <v>5138</v>
      </c>
      <c r="N469">
        <f>-627.100132976094 -60.483394348604 -556.354170586638</f>
        <v>-1243.9376979113358</v>
      </c>
      <c r="O469">
        <f>-612.050433054012 -194.288826409899 -528.633742736522</f>
        <v>-1334.973002200433</v>
      </c>
      <c r="P469">
        <f>-650.799712808448 -257.956196913167 -243.96522568495</f>
        <v>-1152.7211354065651</v>
      </c>
      <c r="Q469">
        <f>-470.892712701406 -117.181120889551 -320.559955833833</f>
        <v>-908.63378942479005</v>
      </c>
      <c r="R469" t="s">
        <v>5139</v>
      </c>
      <c r="S469" t="s">
        <v>5140</v>
      </c>
      <c r="T469" t="s">
        <v>5141</v>
      </c>
      <c r="U469" t="s">
        <v>5142</v>
      </c>
      <c r="V469">
        <f>-578.866219410187 -119.850694231204 -95.8318281722684</f>
        <v>-794.54874181365938</v>
      </c>
      <c r="W469" t="s">
        <v>5143</v>
      </c>
      <c r="X469" t="s">
        <v>5144</v>
      </c>
      <c r="Y469" t="s">
        <v>5145</v>
      </c>
    </row>
    <row r="470" spans="1:25" x14ac:dyDescent="0.3">
      <c r="A470">
        <v>23450</v>
      </c>
      <c r="B470" t="s">
        <v>5146</v>
      </c>
      <c r="C470">
        <f>-594.573630890745 -25.8326178021775 -96.8982228704117</f>
        <v>-717.30447156333423</v>
      </c>
      <c r="D470">
        <f>-618.522968526397 -32.3597343302931 -210.035484861286</f>
        <v>-860.91818771797614</v>
      </c>
      <c r="E470">
        <f>-627.947206231577 -34.4423988239139 -308.185888200473</f>
        <v>-970.57549325596392</v>
      </c>
      <c r="F470">
        <f>-632.582296107296 -35.0276250713328 -397.160100077228</f>
        <v>-1064.7700212558566</v>
      </c>
      <c r="G470">
        <f>-632.975045387806 -34.2727193283704 -486.252953041613</f>
        <v>-1153.5007177577893</v>
      </c>
      <c r="H470">
        <f>-629.070123389988 -31.8242186768764 -610.750176056284</f>
        <v>-1271.6445181231484</v>
      </c>
      <c r="I470">
        <f>-593.191567320838 -24.0249450462213 -685.29500228178</f>
        <v>-1302.5115146488392</v>
      </c>
      <c r="J470">
        <f>-634.83086094345 -5.49227250285958 -555.552846364833</f>
        <v>-1195.8759798111428</v>
      </c>
      <c r="K470" t="s">
        <v>5147</v>
      </c>
      <c r="L470" t="s">
        <v>5148</v>
      </c>
      <c r="M470" t="s">
        <v>5149</v>
      </c>
      <c r="N470">
        <f>-626.746102450868 -60.3112891897886 -556.377340540346</f>
        <v>-1243.4347321810026</v>
      </c>
      <c r="O470">
        <f>-611.700495900787 -194.118168353867 -528.673839692943</f>
        <v>-1334.492503947597</v>
      </c>
      <c r="P470">
        <f>-650.348471152301 -258.339909208038 -244.116044053118</f>
        <v>-1152.8044244134571</v>
      </c>
      <c r="Q470">
        <f>-470.718825532237 -117.078625738798 -320.466024023156</f>
        <v>-908.26347529419104</v>
      </c>
      <c r="R470" t="s">
        <v>5150</v>
      </c>
      <c r="S470" t="s">
        <v>5151</v>
      </c>
      <c r="T470" t="s">
        <v>5152</v>
      </c>
      <c r="U470" t="s">
        <v>5153</v>
      </c>
      <c r="V470">
        <f>-578.923630374573 -119.763532180664 -95.8419687638858</f>
        <v>-794.52913131912283</v>
      </c>
      <c r="W470" t="s">
        <v>5154</v>
      </c>
      <c r="X470" t="s">
        <v>5155</v>
      </c>
      <c r="Y470" t="s">
        <v>5156</v>
      </c>
    </row>
    <row r="471" spans="1:25" x14ac:dyDescent="0.3">
      <c r="A471">
        <v>23500</v>
      </c>
      <c r="B471" t="s">
        <v>5157</v>
      </c>
      <c r="C471">
        <f>-594.631800549068 -25.5562994420304 -96.909839054828</f>
        <v>-717.09793904592641</v>
      </c>
      <c r="D471">
        <f>-618.524132528905 -32.0412435740043 -210.061668605446</f>
        <v>-860.62704470835536</v>
      </c>
      <c r="E471">
        <f>-627.845998264196 -34.0931033073202 -308.222510145221</f>
        <v>-970.1616117167373</v>
      </c>
      <c r="F471">
        <f>-632.366870116532 -34.6522776922225 -397.20281524028</f>
        <v>-1064.2219630490345</v>
      </c>
      <c r="G471">
        <f>-632.623760574184 -33.8746283802316 -486.295839060831</f>
        <v>-1152.7942280152465</v>
      </c>
      <c r="H471">
        <f>-628.506253672204 -31.3976636819189 -610.785668182164</f>
        <v>-1270.6895855362868</v>
      </c>
      <c r="I471">
        <f>-592.639476920665 -23.6240244356861 -685.338742785277</f>
        <v>-1301.602244141628</v>
      </c>
      <c r="J471">
        <f>-634.331689010573 -5.07386314865266 -555.59113272646</f>
        <v>-1194.9966848856857</v>
      </c>
      <c r="K471" t="s">
        <v>5158</v>
      </c>
      <c r="L471" t="s">
        <v>5159</v>
      </c>
      <c r="M471" t="s">
        <v>5160</v>
      </c>
      <c r="N471">
        <f>-626.304664574261 -59.9013503501228 -556.416457275918</f>
        <v>-1242.6224722003017</v>
      </c>
      <c r="O471">
        <f>-611.395131598534 -193.729420894787 -528.74116198962</f>
        <v>-1333.865714482941</v>
      </c>
      <c r="P471">
        <f>-650.146690788733 -258.216847816035 -244.257688067692</f>
        <v>-1152.6212266724601</v>
      </c>
      <c r="Q471">
        <f>-470.464104285612 -117.008840882842 -320.581581832968</f>
        <v>-908.054527001422</v>
      </c>
      <c r="R471" t="s">
        <v>5161</v>
      </c>
      <c r="S471" t="s">
        <v>5162</v>
      </c>
      <c r="T471" t="s">
        <v>5163</v>
      </c>
      <c r="U471" t="s">
        <v>5164</v>
      </c>
      <c r="V471">
        <f>-579.121778452641 -119.413508884014 -95.8627111713146</f>
        <v>-794.39799850796965</v>
      </c>
      <c r="W471" t="s">
        <v>5165</v>
      </c>
      <c r="X471" t="s">
        <v>5166</v>
      </c>
      <c r="Y471" t="s">
        <v>5167</v>
      </c>
    </row>
    <row r="472" spans="1:25" x14ac:dyDescent="0.3">
      <c r="A472">
        <v>23550</v>
      </c>
      <c r="B472" t="s">
        <v>5168</v>
      </c>
      <c r="C472">
        <f>-594.711209073678 -25.507185876304 -96.9146167148911</f>
        <v>-717.13301166487304</v>
      </c>
      <c r="D472">
        <f>-618.5974209165 -31.9750794083718 -210.068664716113</f>
        <v>-860.64116504098479</v>
      </c>
      <c r="E472">
        <f>-627.88627239749 -34.0261675024942 -308.232633591749</f>
        <v>-970.14507349173323</v>
      </c>
      <c r="F472">
        <f>-632.365904567906 -34.5906808125226 -397.214982455554</f>
        <v>-1064.1715678359826</v>
      </c>
      <c r="G472">
        <f>-632.570121918542 -33.8241559843379 -486.308231239113</f>
        <v>-1152.702509141993</v>
      </c>
      <c r="H472">
        <f>-628.36697246782 -31.3700992749705 -610.795606442518</f>
        <v>-1270.5326781853084</v>
      </c>
      <c r="I472">
        <f>-592.521632201323 -23.6363609176813 -685.363208027068</f>
        <v>-1301.5212011460721</v>
      </c>
      <c r="J472">
        <f>-634.201135580966 -5.03204388911195 -555.608933603309</f>
        <v>-1194.8421130733868</v>
      </c>
      <c r="K472" t="s">
        <v>5169</v>
      </c>
      <c r="L472" t="s">
        <v>5170</v>
      </c>
      <c r="M472" t="s">
        <v>5171</v>
      </c>
      <c r="N472">
        <f>-626.231969831655 -59.8681323835915 -556.420907964775</f>
        <v>-1242.5210101800214</v>
      </c>
      <c r="O472">
        <f>-611.441887102332 -193.704994422471 -528.734504207179</f>
        <v>-1333.8813857319819</v>
      </c>
      <c r="P472">
        <f>-650.411608458957 -258.028608444313 -244.243740757888</f>
        <v>-1152.683957661158</v>
      </c>
      <c r="Q472">
        <f>-470.449311474417 -117.235192081745 -320.674684468764</f>
        <v>-908.35918802492597</v>
      </c>
      <c r="R472" t="s">
        <v>5172</v>
      </c>
      <c r="S472" t="s">
        <v>5173</v>
      </c>
      <c r="T472" t="s">
        <v>5174</v>
      </c>
      <c r="U472" t="s">
        <v>5175</v>
      </c>
      <c r="V472">
        <f>-579.27857560698 -119.439941465457 -95.8547542949366</f>
        <v>-794.57327136737354</v>
      </c>
      <c r="W472" t="s">
        <v>5176</v>
      </c>
      <c r="X472" t="s">
        <v>5177</v>
      </c>
      <c r="Y472" t="s">
        <v>5178</v>
      </c>
    </row>
    <row r="473" spans="1:25" x14ac:dyDescent="0.3">
      <c r="A473">
        <v>23600</v>
      </c>
      <c r="B473" t="s">
        <v>5179</v>
      </c>
      <c r="C473">
        <f>-594.621784724906 -25.6950902793201 -96.8898176608046</f>
        <v>-717.20669266503069</v>
      </c>
      <c r="D473">
        <f>-618.543689630567 -32.0953002652891 -210.04023878441</f>
        <v>-860.67922868026608</v>
      </c>
      <c r="E473">
        <f>-627.812564746943 -34.1137255975334 -308.206680503134</f>
        <v>-970.13297084761052</v>
      </c>
      <c r="F473">
        <f>-632.25376943876 -34.6586114734052 -397.191095629624</f>
        <v>-1064.1034765417892</v>
      </c>
      <c r="G473">
        <f>-632.398647279974 -33.8842791494822 -486.284409220113</f>
        <v>-1152.5673356495693</v>
      </c>
      <c r="H473">
        <f>-628.090716072895 -31.431967005879 -610.768316661966</f>
        <v>-1270.2909997407401</v>
      </c>
      <c r="I473">
        <f>-592.310070147608 -23.7791068381478 -685.37542410562</f>
        <v>-1301.4646010913757</v>
      </c>
      <c r="J473">
        <f>-633.895657804935 -5.08218165414087 -555.584050875052</f>
        <v>-1194.5618903341278</v>
      </c>
      <c r="K473" t="s">
        <v>5180</v>
      </c>
      <c r="L473" t="s">
        <v>5181</v>
      </c>
      <c r="M473" t="s">
        <v>5182</v>
      </c>
      <c r="N473">
        <f>-626.077175526097 -59.9399615767729 -556.3941402439</f>
        <v>-1242.41127734677</v>
      </c>
      <c r="O473">
        <f>-611.655056521035 -193.820302089597 -528.706157812977</f>
        <v>-1334.1815164236091</v>
      </c>
      <c r="P473">
        <f>-650.968715949688 -257.772213185498 -244.178850584763</f>
        <v>-1152.919779719949</v>
      </c>
      <c r="Q473">
        <f>-470.332910925626 -117.963734094137 -320.828354661834</f>
        <v>-909.12499968159705</v>
      </c>
      <c r="R473" t="s">
        <v>5183</v>
      </c>
      <c r="S473" t="s">
        <v>5184</v>
      </c>
      <c r="T473" t="s">
        <v>5185</v>
      </c>
      <c r="U473" t="s">
        <v>5186</v>
      </c>
      <c r="V473">
        <f>-579.271960470437 -119.749643677634 -95.868562270172</f>
        <v>-794.89016641824298</v>
      </c>
      <c r="W473" t="s">
        <v>5187</v>
      </c>
      <c r="X473" t="s">
        <v>5188</v>
      </c>
      <c r="Y473" t="s">
        <v>5189</v>
      </c>
    </row>
    <row r="474" spans="1:25" x14ac:dyDescent="0.3">
      <c r="A474">
        <v>23650</v>
      </c>
      <c r="B474" t="s">
        <v>5190</v>
      </c>
      <c r="C474">
        <f>-594.552323927827 -25.793792627823 -96.8779836786907</f>
        <v>-717.22410023434077</v>
      </c>
      <c r="D474">
        <f>-618.500609503539 -32.1560503320798 -210.024866241626</f>
        <v>-860.68152607724471</v>
      </c>
      <c r="E474">
        <f>-627.770128291016 -34.1566430516341 -308.191720802319</f>
        <v>-970.1184921449692</v>
      </c>
      <c r="F474">
        <f>-632.202782368468 -34.6914400412559 -397.176558819297</f>
        <v>-1064.0707812290209</v>
      </c>
      <c r="G474">
        <f>-632.329830163602 -33.9141447613954 -486.269956862305</f>
        <v>-1152.5139317873022</v>
      </c>
      <c r="H474">
        <f>-627.987234045323 -31.46550210646 -610.752664559766</f>
        <v>-1270.2054007115489</v>
      </c>
      <c r="I474">
        <f>-592.229842968691 -23.8590130038608 -685.375543669353</f>
        <v>-1301.4643996419047</v>
      </c>
      <c r="J474">
        <f>-633.763276727414 -5.10784648059712 -555.569111983438</f>
        <v>-1194.4402351914491</v>
      </c>
      <c r="K474" t="s">
        <v>5191</v>
      </c>
      <c r="L474" t="s">
        <v>5192</v>
      </c>
      <c r="M474" t="s">
        <v>5193</v>
      </c>
      <c r="N474">
        <f>-626.033106634815 -59.9782574782276 -556.378739500929</f>
        <v>-1242.3901036139716</v>
      </c>
      <c r="O474">
        <f>-611.815111326987 -193.883352303767 -528.704646239637</f>
        <v>-1334.4031098703908</v>
      </c>
      <c r="P474">
        <f>-651.226615369137 -257.734837172815 -244.168307747383</f>
        <v>-1153.1297602893351</v>
      </c>
      <c r="Q474">
        <f>-470.23712994052 -118.419844677852 -320.882023943868</f>
        <v>-909.53899856224007</v>
      </c>
      <c r="R474" t="s">
        <v>5194</v>
      </c>
      <c r="S474" t="s">
        <v>5195</v>
      </c>
      <c r="T474" t="s">
        <v>5196</v>
      </c>
      <c r="U474" t="s">
        <v>5197</v>
      </c>
      <c r="V474">
        <f>-579.320047631323 -119.866827439504 -95.8629216408503</f>
        <v>-795.04979671167735</v>
      </c>
      <c r="W474" t="s">
        <v>5198</v>
      </c>
      <c r="X474" t="s">
        <v>5199</v>
      </c>
      <c r="Y474" t="s">
        <v>5200</v>
      </c>
    </row>
    <row r="475" spans="1:25" x14ac:dyDescent="0.3">
      <c r="A475">
        <v>23700</v>
      </c>
      <c r="B475" t="s">
        <v>5201</v>
      </c>
      <c r="C475">
        <f>-594.408348332199 -25.9048277412826 -96.8398619671881</f>
        <v>-717.15303804066968</v>
      </c>
      <c r="D475">
        <f>-618.392227099114 -32.1730582924117 -209.984497334812</f>
        <v>-860.54978272633775</v>
      </c>
      <c r="E475">
        <f>-627.673150983698 -34.1098132863913 -308.151534343639</f>
        <v>-969.93449861372824</v>
      </c>
      <c r="F475">
        <f>-632.108519840615 -34.5924152713308 -397.136574245482</f>
        <v>-1063.8375093574277</v>
      </c>
      <c r="G475">
        <f>-632.230634294178 -33.7696468064037 -486.229544236261</f>
        <v>-1152.2298253368426</v>
      </c>
      <c r="H475">
        <f>-627.872895237969 -31.26469926707 -610.710612338408</f>
        <v>-1269.8482068434471</v>
      </c>
      <c r="I475">
        <f>-592.219983630163 -23.7198374204386 -685.389793341918</f>
        <v>-1301.3296143925195</v>
      </c>
      <c r="J475">
        <f>-633.581798841908 -4.92174779631091 -555.513163256395</f>
        <v>-1194.016709894614</v>
      </c>
      <c r="K475" t="s">
        <v>5202</v>
      </c>
      <c r="L475" t="s">
        <v>5203</v>
      </c>
      <c r="M475" t="s">
        <v>5204</v>
      </c>
      <c r="N475">
        <f>-625.999328258457 -59.8122477428061 -556.352205363862</f>
        <v>-1242.163781365125</v>
      </c>
      <c r="O475">
        <f>-612.184670493222 -193.773433196782 -528.733392083773</f>
        <v>-1334.691495773777</v>
      </c>
      <c r="P475">
        <f>-651.816161548688 -257.533379526449 -244.207118364793</f>
        <v>-1153.5566594399299</v>
      </c>
      <c r="Q475">
        <f>-470.157320227702 -119.074148048585 -320.888144326856</f>
        <v>-910.11961260314297</v>
      </c>
      <c r="R475" t="s">
        <v>5205</v>
      </c>
      <c r="S475" t="s">
        <v>5206</v>
      </c>
      <c r="T475" t="s">
        <v>5207</v>
      </c>
      <c r="U475" t="s">
        <v>5208</v>
      </c>
      <c r="V475">
        <f>-579.384096489785 -119.978607966808 -95.8484857657327</f>
        <v>-795.21119022232563</v>
      </c>
      <c r="W475" t="s">
        <v>5209</v>
      </c>
      <c r="X475" t="s">
        <v>5210</v>
      </c>
      <c r="Y475" t="s">
        <v>5211</v>
      </c>
    </row>
    <row r="476" spans="1:25" x14ac:dyDescent="0.3">
      <c r="A476">
        <v>23750</v>
      </c>
      <c r="B476" t="s">
        <v>5212</v>
      </c>
      <c r="C476">
        <f>-594.317389575818 -25.9800840900909 -96.821898494979</f>
        <v>-717.11937216088791</v>
      </c>
      <c r="D476">
        <f>-618.310207952374 -32.2046824800657 -209.967042285512</f>
        <v>-860.48193271795162</v>
      </c>
      <c r="E476">
        <f>-627.598429227314 -34.108569024158 -308.134015791036</f>
        <v>-969.84101404250805</v>
      </c>
      <c r="F476">
        <f>-632.040562945641 -34.5624628239893 -397.118909236214</f>
        <v>-1063.7219350058444</v>
      </c>
      <c r="G476">
        <f>-632.169517185098 -33.7119580932642 -486.211584244425</f>
        <v>-1152.0930595227874</v>
      </c>
      <c r="H476">
        <f>-627.821476771843 -31.1694479814012 -610.692252987967</f>
        <v>-1269.6831777412112</v>
      </c>
      <c r="I476">
        <f>-592.234389070616 -23.6350402105538 -685.40382254537</f>
        <v>-1301.2732518265398</v>
      </c>
      <c r="J476">
        <f>-633.499275140702 -4.83941793086524 -555.485312142254</f>
        <v>-1193.8240052138212</v>
      </c>
      <c r="K476" t="s">
        <v>5213</v>
      </c>
      <c r="L476" t="s">
        <v>5214</v>
      </c>
      <c r="M476" t="s">
        <v>5215</v>
      </c>
      <c r="N476">
        <f>-625.970386713428 -59.7370976270702 -556.34368838561</f>
        <v>-1242.0511727261082</v>
      </c>
      <c r="O476">
        <f>-612.318380315408 -193.719072811145 -528.764135531397</f>
        <v>-1334.8015886579501</v>
      </c>
      <c r="P476">
        <f>-652.039034725693 -257.451438215834 -244.24409439726</f>
        <v>-1153.734567338787</v>
      </c>
      <c r="Q476">
        <f>-470.054593037848 -119.427711711625 -320.938328484063</f>
        <v>-910.42063323353591</v>
      </c>
      <c r="R476" t="s">
        <v>5216</v>
      </c>
      <c r="S476" t="s">
        <v>5217</v>
      </c>
      <c r="T476" t="s">
        <v>5218</v>
      </c>
      <c r="U476" t="s">
        <v>5219</v>
      </c>
      <c r="V476">
        <f>-579.425486644295 -120.035960707595 -95.8578575000197</f>
        <v>-795.31930485190969</v>
      </c>
      <c r="W476" t="s">
        <v>5220</v>
      </c>
      <c r="X476" t="s">
        <v>5221</v>
      </c>
      <c r="Y476" t="s">
        <v>5222</v>
      </c>
    </row>
    <row r="477" spans="1:25" x14ac:dyDescent="0.3">
      <c r="A477">
        <v>23800</v>
      </c>
      <c r="B477" t="s">
        <v>5223</v>
      </c>
      <c r="C477">
        <f>-594.220462005273 -25.9203712378194 -96.8134864513892</f>
        <v>-716.95431969448157</v>
      </c>
      <c r="D477">
        <f>-618.250147583047 -32.0823757215273 -209.954288272443</f>
        <v>-860.28681157701737</v>
      </c>
      <c r="E477">
        <f>-627.570906080768 -33.9455383302532 -308.118919747011</f>
        <v>-969.63536415803219</v>
      </c>
      <c r="F477">
        <f>-632.042896835262 -34.366721611304 -397.102468818843</f>
        <v>-1063.512087265409</v>
      </c>
      <c r="G477">
        <f>-632.202201107792 -33.4882844400177 -486.19476521417</f>
        <v>-1151.8852507619797</v>
      </c>
      <c r="H477">
        <f>-627.897065680555 -30.9111647612535 -610.676245820942</f>
        <v>-1269.4844762627504</v>
      </c>
      <c r="I477">
        <f>-592.450440990998 -23.3842595473047 -685.455421888048</f>
        <v>-1301.2901224263508</v>
      </c>
      <c r="J477">
        <f>-633.513721538406 -4.59091924664676 -555.458495743516</f>
        <v>-1193.5631365285687</v>
      </c>
      <c r="K477" t="s">
        <v>5224</v>
      </c>
      <c r="L477" t="s">
        <v>5225</v>
      </c>
      <c r="M477" t="s">
        <v>5226</v>
      </c>
      <c r="N477">
        <f>-626.069330813085 -59.4997589503087 -556.337716675557</f>
        <v>-1241.9068064389508</v>
      </c>
      <c r="O477">
        <f>-612.651292506276 -193.51713208444 -528.809603927717</f>
        <v>-1334.9780285184331</v>
      </c>
      <c r="P477">
        <f>-652.441032391756 -257.172175971057 -244.281949857476</f>
        <v>-1153.8951582202892</v>
      </c>
      <c r="Q477">
        <f>-469.97894347008 -119.815493998155 -321.038780303605</f>
        <v>-910.83321777184005</v>
      </c>
      <c r="R477" t="s">
        <v>5227</v>
      </c>
      <c r="S477" t="s">
        <v>5228</v>
      </c>
      <c r="T477" t="s">
        <v>5229</v>
      </c>
      <c r="U477" t="s">
        <v>5230</v>
      </c>
      <c r="V477">
        <f>-579.458214992531 -119.899087592244 -95.8640872434643</f>
        <v>-795.22138982823924</v>
      </c>
      <c r="W477" t="s">
        <v>5231</v>
      </c>
      <c r="X477" t="s">
        <v>5232</v>
      </c>
      <c r="Y477" t="s">
        <v>5233</v>
      </c>
    </row>
    <row r="478" spans="1:25" x14ac:dyDescent="0.3">
      <c r="A478">
        <v>23850</v>
      </c>
      <c r="B478" t="s">
        <v>5234</v>
      </c>
      <c r="C478">
        <f>-594.165362009623 -25.9779144895476 -96.8074092414946</f>
        <v>-716.95068574066522</v>
      </c>
      <c r="D478">
        <f>-618.201064533869 -32.1131843824774 -209.948286922409</f>
        <v>-860.26253583875541</v>
      </c>
      <c r="E478">
        <f>-627.531936239087 -33.9537982991294 -308.112504573977</f>
        <v>-969.59823911219337</v>
      </c>
      <c r="F478">
        <f>-632.015235358063 -34.3543624552981 -397.095550956068</f>
        <v>-1063.4651487694291</v>
      </c>
      <c r="G478">
        <f>-632.187929799858 -33.455030617374 -486.187645188292</f>
        <v>-1151.8306056055239</v>
      </c>
      <c r="H478">
        <f>-627.903790305312 -30.8486993800836 -610.669227444892</f>
        <v>-1269.4217171302876</v>
      </c>
      <c r="I478">
        <f>-592.533719916223 -23.3109845722406 -685.483379835608</f>
        <v>-1301.3280843240718</v>
      </c>
      <c r="J478">
        <f>-633.501417918189 -4.5399803397338 -555.444041280675</f>
        <v>-1193.4854395385978</v>
      </c>
      <c r="K478" t="s">
        <v>5235</v>
      </c>
      <c r="L478" t="s">
        <v>5236</v>
      </c>
      <c r="M478" t="s">
        <v>5237</v>
      </c>
      <c r="N478">
        <f>-626.076643947565 -59.4511481360232 -556.338159109134</f>
        <v>-1241.8659511927222</v>
      </c>
      <c r="O478">
        <f>-612.728729795436 -193.483150419558 -528.831919513744</f>
        <v>-1335.0437997287381</v>
      </c>
      <c r="P478">
        <f>-652.539968437482 -257.037770475162 -244.284828450503</f>
        <v>-1153.862567363147</v>
      </c>
      <c r="Q478">
        <f>-469.89361055968 -119.980552292081 -321.138532065952</f>
        <v>-911.01269491771291</v>
      </c>
      <c r="R478" t="s">
        <v>5238</v>
      </c>
      <c r="S478" t="s">
        <v>5239</v>
      </c>
      <c r="T478" t="s">
        <v>5240</v>
      </c>
      <c r="U478" t="s">
        <v>5241</v>
      </c>
      <c r="V478">
        <f>-579.40698019966 -120.053254287251 -95.8640688634216</f>
        <v>-795.32430335033257</v>
      </c>
      <c r="W478" t="s">
        <v>5242</v>
      </c>
      <c r="X478" t="s">
        <v>5243</v>
      </c>
      <c r="Y478" t="s">
        <v>5244</v>
      </c>
    </row>
    <row r="479" spans="1:25" x14ac:dyDescent="0.3">
      <c r="A479">
        <v>23900</v>
      </c>
      <c r="B479" t="s">
        <v>5245</v>
      </c>
      <c r="C479">
        <f>-594.124064149143 -26.0127379821704 -96.8017098431368</f>
        <v>-716.93851197445019</v>
      </c>
      <c r="D479">
        <f>-618.13655366805 -32.1381977401882 -209.948097743359</f>
        <v>-860.22284915159719</v>
      </c>
      <c r="E479">
        <f>-627.454799227243 -33.9582018400954 -308.113870620684</f>
        <v>-969.52687168802242</v>
      </c>
      <c r="F479">
        <f>-631.929711338216 -34.3349976177319 -397.097423760732</f>
        <v>-1063.3621327166798</v>
      </c>
      <c r="G479">
        <f>-632.097064739776 -33.4066902388015 -486.189190167462</f>
        <v>-1151.6929451460396</v>
      </c>
      <c r="H479">
        <f>-627.808566820236 -30.7541269674821 -610.669731902206</f>
        <v>-1269.2324256899242</v>
      </c>
      <c r="I479">
        <f>-592.559105609305 -23.1961215028778 -685.538812205202</f>
        <v>-1301.2940393173849</v>
      </c>
      <c r="J479">
        <f>-633.403490673648 -4.46523900783814 -555.434625963202</f>
        <v>-1193.3033556446881</v>
      </c>
      <c r="K479" t="s">
        <v>5246</v>
      </c>
      <c r="L479" t="s">
        <v>5247</v>
      </c>
      <c r="M479" t="s">
        <v>5248</v>
      </c>
      <c r="N479">
        <f>-625.987934046675 -59.3773605992217 -556.349291408756</f>
        <v>-1241.7145860546527</v>
      </c>
      <c r="O479">
        <f>-612.742813241646 -193.420696494394 -528.857632635475</f>
        <v>-1335.021142371515</v>
      </c>
      <c r="P479">
        <f>-652.472413033774 -256.896664561419 -244.281470123673</f>
        <v>-1153.6505477188662</v>
      </c>
      <c r="Q479">
        <f>-469.657306439845 -120.139083029115 -321.267543814746</f>
        <v>-911.06393328370598</v>
      </c>
      <c r="R479" t="s">
        <v>5249</v>
      </c>
      <c r="S479" t="s">
        <v>5250</v>
      </c>
      <c r="T479" t="s">
        <v>5251</v>
      </c>
      <c r="U479" t="s">
        <v>5252</v>
      </c>
      <c r="V479">
        <f>-579.446479908177 -120.09156800471 -95.8506348378004</f>
        <v>-795.38868275068739</v>
      </c>
      <c r="W479" t="s">
        <v>5253</v>
      </c>
      <c r="X479" t="s">
        <v>5254</v>
      </c>
      <c r="Y479" t="s">
        <v>5255</v>
      </c>
    </row>
    <row r="480" spans="1:25" x14ac:dyDescent="0.3">
      <c r="A480">
        <v>23950</v>
      </c>
      <c r="B480" t="s">
        <v>5256</v>
      </c>
      <c r="C480">
        <f>-594.164157949671 -26.0216513697228 -96.7973421947972</f>
        <v>-716.98315151419104</v>
      </c>
      <c r="D480">
        <f>-618.151071848336 -32.130527296051 -209.950099136634</f>
        <v>-860.23169828102095</v>
      </c>
      <c r="E480">
        <f>-627.435847065376 -33.9320675933702 -308.119325010258</f>
        <v>-969.48723966900434</v>
      </c>
      <c r="F480">
        <f>-631.876000325953 -34.2898936383319 -397.104677984922</f>
        <v>-1063.2705719492069</v>
      </c>
      <c r="G480">
        <f>-632.004203269788 -33.3399649587143 -486.196385330842</f>
        <v>-1151.5405535593443</v>
      </c>
      <c r="H480">
        <f>-627.656629736241 -30.6544789796887 -610.674052515502</f>
        <v>-1268.9851612314319</v>
      </c>
      <c r="I480">
        <f>-592.450146848943 -23.0758513451794 -685.561194742786</f>
        <v>-1301.0871929369084</v>
      </c>
      <c r="J480">
        <f>-633.285749674573 -4.38134320891368 -555.435045692787</f>
        <v>-1193.1021385762738</v>
      </c>
      <c r="K480" t="s">
        <v>5257</v>
      </c>
      <c r="L480" t="s">
        <v>5258</v>
      </c>
      <c r="M480" t="s">
        <v>5259</v>
      </c>
      <c r="N480">
        <f>-625.853768844332 -59.2911007214049 -556.360117245826</f>
        <v>-1241.504986811563</v>
      </c>
      <c r="O480">
        <f>-612.630576030401 -193.334563842941 -528.86304626425</f>
        <v>-1334.828186137592</v>
      </c>
      <c r="P480">
        <f>-652.306194664407 -256.796061660665 -244.276049854671</f>
        <v>-1153.378306179743</v>
      </c>
      <c r="Q480">
        <f>-469.471627067389 -120.103801450171 -321.332196177158</f>
        <v>-910.90762469471792</v>
      </c>
      <c r="R480" t="s">
        <v>5260</v>
      </c>
      <c r="S480" t="s">
        <v>5261</v>
      </c>
      <c r="T480" t="s">
        <v>5262</v>
      </c>
      <c r="U480" t="s">
        <v>5263</v>
      </c>
      <c r="V480">
        <f>-579.4775790516 -120.142635568929 -95.8574039810096</f>
        <v>-795.47761860153855</v>
      </c>
      <c r="W480" t="s">
        <v>5264</v>
      </c>
      <c r="X480" t="s">
        <v>5265</v>
      </c>
      <c r="Y480" t="s">
        <v>5266</v>
      </c>
    </row>
    <row r="481" spans="1:25" x14ac:dyDescent="0.3">
      <c r="A481">
        <v>24000</v>
      </c>
      <c r="B481" t="s">
        <v>5267</v>
      </c>
      <c r="C481">
        <f>-594.190264473435 -25.9271282581358 -96.7877411815954</f>
        <v>-716.9051339131662</v>
      </c>
      <c r="D481">
        <f>-618.152720961938 -32.0040211163173 -209.947265111942</f>
        <v>-860.10400719019731</v>
      </c>
      <c r="E481">
        <f>-627.400991529088 -33.7872880420869 -308.120411902736</f>
        <v>-969.30869147391081</v>
      </c>
      <c r="F481">
        <f>-631.802684055079 -34.130247453525 -397.107716080481</f>
        <v>-1063.040647589085</v>
      </c>
      <c r="G481">
        <f>-631.887409869183 -33.1657359643377 -486.199221543978</f>
        <v>-1151.2523673774988</v>
      </c>
      <c r="H481">
        <f>-627.474269921892 -30.4586890999078 -610.674207978349</f>
        <v>-1268.6071670001488</v>
      </c>
      <c r="I481">
        <f>-592.265231861723 -22.7681672667159 -685.54877624803</f>
        <v>-1300.582175376469</v>
      </c>
      <c r="J481">
        <f>-633.161725730128 -4.19910781624344 -555.434664578137</f>
        <v>-1192.7954981245084</v>
      </c>
      <c r="K481" t="s">
        <v>5268</v>
      </c>
      <c r="L481" t="s">
        <v>5269</v>
      </c>
      <c r="M481" t="s">
        <v>5270</v>
      </c>
      <c r="N481">
        <f>-625.670879552404 -59.1007650491632 -556.363090408503</f>
        <v>-1241.1347350100702</v>
      </c>
      <c r="O481">
        <f>-612.408380040683 -193.134862771949 -528.84562892185</f>
        <v>-1334.3888717344821</v>
      </c>
      <c r="P481">
        <f>-652.079820113722 -256.477048547441 -244.231512445574</f>
        <v>-1152.788381106737</v>
      </c>
      <c r="Q481">
        <f>-469.169576842603 -119.96865655804 -321.433653636984</f>
        <v>-910.57188703762699</v>
      </c>
      <c r="R481" t="s">
        <v>5271</v>
      </c>
      <c r="S481" t="s">
        <v>5272</v>
      </c>
      <c r="T481" t="s">
        <v>5273</v>
      </c>
      <c r="U481" t="s">
        <v>5274</v>
      </c>
      <c r="V481">
        <f>-579.558109823985 -119.998795018281 -95.8721523347377</f>
        <v>-795.42905717700376</v>
      </c>
      <c r="W481" t="s">
        <v>5275</v>
      </c>
      <c r="X481" t="s">
        <v>5276</v>
      </c>
      <c r="Y481" t="s">
        <v>5277</v>
      </c>
    </row>
    <row r="482" spans="1:25" x14ac:dyDescent="0.3">
      <c r="A482">
        <v>24050</v>
      </c>
      <c r="B482" t="s">
        <v>5278</v>
      </c>
      <c r="C482">
        <f>-594.170956478442 -25.9212828106831 -96.7837934858883</f>
        <v>-716.87603277501341</v>
      </c>
      <c r="D482">
        <f>-618.149002781006 -32.0018289669592 -209.939873317752</f>
        <v>-860.0907050657172</v>
      </c>
      <c r="E482">
        <f>-627.420852658763 -33.8151190872561 -308.110241444938</f>
        <v>-969.34621319095709</v>
      </c>
      <c r="F482">
        <f>-631.848261156625 -34.1950569410697 -397.09611086095</f>
        <v>-1063.1394289586447</v>
      </c>
      <c r="G482">
        <f>-631.963228189189 -33.2768920107326 -486.188116184998</f>
        <v>-1151.4282363849195</v>
      </c>
      <c r="H482">
        <f>-627.597281475995 -30.6442787934229 -610.666356444891</f>
        <v>-1268.9079167143091</v>
      </c>
      <c r="I482">
        <f>-592.256698840708 -22.79608882261 -685.462621612557</f>
        <v>-1300.5154092758751</v>
      </c>
      <c r="J482">
        <f>-633.273179558025 -4.35302176233972 -555.440819196884</f>
        <v>-1193.0670205172487</v>
      </c>
      <c r="K482" t="s">
        <v>5279</v>
      </c>
      <c r="L482" t="s">
        <v>5280</v>
      </c>
      <c r="M482" t="s">
        <v>5281</v>
      </c>
      <c r="N482">
        <f>-625.763946890336 -59.252542381402 -556.338539098409</f>
        <v>-1241.355028370147</v>
      </c>
      <c r="O482">
        <f>-612.480861394847 -193.268740777534 -528.756744797944</f>
        <v>-1334.506346970325</v>
      </c>
      <c r="P482">
        <f>-651.960057530243 -256.500376907695 -244.091320526345</f>
        <v>-1152.551754964283</v>
      </c>
      <c r="Q482">
        <f>-469.10728405126 -119.998903104694 -321.441689699187</f>
        <v>-910.547876855141</v>
      </c>
      <c r="R482" t="s">
        <v>5282</v>
      </c>
      <c r="S482" t="s">
        <v>5283</v>
      </c>
      <c r="T482" t="s">
        <v>5284</v>
      </c>
      <c r="U482" t="s">
        <v>5285</v>
      </c>
      <c r="V482">
        <f>-579.571837564302 -120.075896783705 -95.8741278603333</f>
        <v>-795.52186220834028</v>
      </c>
      <c r="W482" t="s">
        <v>5286</v>
      </c>
      <c r="X482" t="s">
        <v>5287</v>
      </c>
      <c r="Y482" t="s">
        <v>5288</v>
      </c>
    </row>
    <row r="483" spans="1:25" x14ac:dyDescent="0.3">
      <c r="A483">
        <v>24100</v>
      </c>
      <c r="B483" t="s">
        <v>5289</v>
      </c>
      <c r="C483">
        <f>-594.069902815806 -25.7256874692171 -96.7839744183261</f>
        <v>-716.57956470334921</v>
      </c>
      <c r="D483">
        <f>-618.129531349501 -31.8422110389427 -209.920747178923</f>
        <v>-859.89248956736662</v>
      </c>
      <c r="E483">
        <f>-627.475348236338 -33.7492822777683 -308.082209333085</f>
        <v>-969.30683984719144</v>
      </c>
      <c r="F483">
        <f>-631.971512697931 -34.2381252396908 -397.064239442786</f>
        <v>-1063.2738773804078</v>
      </c>
      <c r="G483">
        <f>-632.157388629397 -33.4521546807064 -486.157382022625</f>
        <v>-1151.7669253327283</v>
      </c>
      <c r="H483">
        <f>-627.892656456872 -31.0283970893825 -610.643237062862</f>
        <v>-1269.5642906091166</v>
      </c>
      <c r="I483">
        <f>-592.116957072755 -22.7294145786252 -685.183594833406</f>
        <v>-1300.0299664847862</v>
      </c>
      <c r="J483">
        <f>-633.526527693858 -4.6448802795444 -555.457464043737</f>
        <v>-1193.6288720171394</v>
      </c>
      <c r="K483" t="s">
        <v>5290</v>
      </c>
      <c r="L483" t="s">
        <v>5291</v>
      </c>
      <c r="M483" t="s">
        <v>5292</v>
      </c>
      <c r="N483">
        <f>-626.012199860616 -59.5451438361291 -556.268961766859</f>
        <v>-1241.8263054636041</v>
      </c>
      <c r="O483">
        <f>-612.69013322019 -193.513898169146 -528.458521025819</f>
        <v>-1334.662552415155</v>
      </c>
      <c r="P483">
        <f>-651.65967836034 -256.214243525289 -243.605415291842</f>
        <v>-1151.4793371774711</v>
      </c>
      <c r="Q483">
        <f>-468.87293421427 -119.9471792341 -321.523105860007</f>
        <v>-910.343219308377</v>
      </c>
      <c r="R483" t="s">
        <v>5293</v>
      </c>
      <c r="S483" t="s">
        <v>5294</v>
      </c>
      <c r="T483" t="s">
        <v>5295</v>
      </c>
      <c r="U483" t="s">
        <v>5296</v>
      </c>
      <c r="V483">
        <f>-579.462494088482 -119.795273321986 -95.8573695603632</f>
        <v>-795.11513697083114</v>
      </c>
      <c r="W483" t="s">
        <v>5297</v>
      </c>
      <c r="X483" t="s">
        <v>5298</v>
      </c>
      <c r="Y483" t="s">
        <v>5299</v>
      </c>
    </row>
    <row r="484" spans="1:25" x14ac:dyDescent="0.3">
      <c r="A484">
        <v>24150</v>
      </c>
      <c r="B484" t="s">
        <v>5300</v>
      </c>
      <c r="C484">
        <f>-594.013435552864 -25.7333845456537 -96.8054307884671</f>
        <v>-716.55225088698489</v>
      </c>
      <c r="D484">
        <f>-618.106872084689 -31.8826423636058 -209.933380953637</f>
        <v>-859.92289540193178</v>
      </c>
      <c r="E484">
        <f>-627.481532148528 -33.8376890919687 -308.091075713028</f>
        <v>-969.41029695352472</v>
      </c>
      <c r="F484">
        <f>-632.003741712179 -34.3776655363026 -397.071436185761</f>
        <v>-1063.4528434342426</v>
      </c>
      <c r="G484">
        <f>-632.215706343159 -33.6506972888058 -486.165036951764</f>
        <v>-1152.0314405837289</v>
      </c>
      <c r="H484">
        <f>-627.987411351361 -31.3172001198359 -610.653890931865</f>
        <v>-1269.9585024030619</v>
      </c>
      <c r="I484">
        <f>-592.017879201343 -22.779074912233 -685.07392659995</f>
        <v>-1299.870880713526</v>
      </c>
      <c r="J484">
        <f>-633.605651259439 -4.893622741218 -555.485647808851</f>
        <v>-1193.984921809508</v>
      </c>
      <c r="K484" t="s">
        <v>5301</v>
      </c>
      <c r="L484" t="s">
        <v>5302</v>
      </c>
      <c r="M484" t="s">
        <v>5303</v>
      </c>
      <c r="N484">
        <f>-626.090521798002 -59.79442092286 -556.259406513359</f>
        <v>-1242.144349234221</v>
      </c>
      <c r="O484">
        <f>-612.752617276255 -193.744344741054 -528.351012142842</f>
        <v>-1334.8479741601509</v>
      </c>
      <c r="P484">
        <f>-651.613271970037 -256.119262884301 -243.411544236924</f>
        <v>-1151.144079091262</v>
      </c>
      <c r="Q484">
        <f>-468.824993508071 -119.987834098451 -321.562397798408</f>
        <v>-910.37522540493001</v>
      </c>
      <c r="R484" t="s">
        <v>5304</v>
      </c>
      <c r="S484" t="s">
        <v>5305</v>
      </c>
      <c r="T484" t="s">
        <v>5306</v>
      </c>
      <c r="U484" t="s">
        <v>5307</v>
      </c>
      <c r="V484">
        <f>-579.391680671178 -119.847598943307 -95.8360852395926</f>
        <v>-795.07536485407775</v>
      </c>
      <c r="W484" t="s">
        <v>5308</v>
      </c>
      <c r="X484" t="s">
        <v>5309</v>
      </c>
      <c r="Y484" t="s">
        <v>5310</v>
      </c>
    </row>
    <row r="485" spans="1:25" x14ac:dyDescent="0.3">
      <c r="A485">
        <v>24200</v>
      </c>
      <c r="B485" t="s">
        <v>5311</v>
      </c>
      <c r="C485">
        <f>-593.948603785676 -25.8240226931259 -96.8261321097963</f>
        <v>-716.59875858859823</v>
      </c>
      <c r="D485">
        <f>-618.056736728363 -32.0058568916782 -209.949108049815</f>
        <v>-860.01170166985617</v>
      </c>
      <c r="E485">
        <f>-627.421162658619 -34.0125099239388 -308.106755859544</f>
        <v>-969.54042844210176</v>
      </c>
      <c r="F485">
        <f>-631.925112063149 -34.6079231442693 -397.087745046204</f>
        <v>-1063.6207802536223</v>
      </c>
      <c r="G485">
        <f>-632.109875586384 -33.9448597276246 -486.181835858822</f>
        <v>-1152.2365711728305</v>
      </c>
      <c r="H485">
        <f>-627.834502233215 -31.708851110707 -610.670932412149</f>
        <v>-1270.2142857560709</v>
      </c>
      <c r="I485">
        <f>-591.601986858951 -22.732195351789 -684.911463213369</f>
        <v>-1299.2456454241089</v>
      </c>
      <c r="J485">
        <f>-633.483321968511 -5.24339066558287 -555.525735451284</f>
        <v>-1194.2524480853779</v>
      </c>
      <c r="K485" t="s">
        <v>5312</v>
      </c>
      <c r="L485" t="s">
        <v>5313</v>
      </c>
      <c r="M485" t="s">
        <v>5314</v>
      </c>
      <c r="N485">
        <f>-625.948413537872 -60.1420538278124 -556.253197656359</f>
        <v>-1242.3436650220435</v>
      </c>
      <c r="O485">
        <f>-612.56358687469 -194.066104207938 -528.254583352211</f>
        <v>-1334.884274434839</v>
      </c>
      <c r="P485">
        <f>-651.438814405523 -256.204593850765 -243.265640817537</f>
        <v>-1150.9090490738249</v>
      </c>
      <c r="Q485">
        <f>-468.653645414631 -120.176087198428 -321.602643060526</f>
        <v>-910.43237567358506</v>
      </c>
      <c r="R485" t="s">
        <v>5315</v>
      </c>
      <c r="S485" t="s">
        <v>5316</v>
      </c>
      <c r="T485" t="s">
        <v>5317</v>
      </c>
      <c r="U485" t="s">
        <v>5318</v>
      </c>
      <c r="V485">
        <f>-579.352292891754 -119.96613608465 -95.8242434850944</f>
        <v>-795.14267246149836</v>
      </c>
      <c r="W485" t="s">
        <v>5319</v>
      </c>
      <c r="X485" t="s">
        <v>5320</v>
      </c>
      <c r="Y485" t="s">
        <v>5321</v>
      </c>
    </row>
    <row r="486" spans="1:25" x14ac:dyDescent="0.3">
      <c r="A486">
        <v>24250</v>
      </c>
      <c r="B486" t="s">
        <v>5322</v>
      </c>
      <c r="C486">
        <f>-594.019881661905 -25.9691300770721 -96.8359826432295</f>
        <v>-716.82499438220657</v>
      </c>
      <c r="D486">
        <f>-618.121363270807 -32.155634557648 -209.960054434722</f>
        <v>-860.23705226317702</v>
      </c>
      <c r="E486">
        <f>-627.457640610318 -34.1803395815805 -308.120200035588</f>
        <v>-969.75818022748649</v>
      </c>
      <c r="F486">
        <f>-631.927126644451 -34.7976810910156 -397.10259122688</f>
        <v>-1063.8273989623467</v>
      </c>
      <c r="G486">
        <f>-632.068505773752 -34.1615685407501 -486.196929161865</f>
        <v>-1152.4270034763672</v>
      </c>
      <c r="H486">
        <f>-627.723304491265 -31.9684695207807 -610.684485810396</f>
        <v>-1270.3762598224416</v>
      </c>
      <c r="I486">
        <f>-591.371906272505 -22.7616504063271 -684.838632896372</f>
        <v>-1298.9721895752041</v>
      </c>
      <c r="J486">
        <f>-633.414739048798 -5.48567994315226 -555.552029295314</f>
        <v>-1194.4524482872644</v>
      </c>
      <c r="K486" t="s">
        <v>5323</v>
      </c>
      <c r="L486" t="s">
        <v>5324</v>
      </c>
      <c r="M486" t="s">
        <v>5325</v>
      </c>
      <c r="N486">
        <f>-625.856036695306 -60.3814946833933 -556.255345317732</f>
        <v>-1242.4928766964313</v>
      </c>
      <c r="O486">
        <f>-612.405395726061 -194.291545260651 -528.22662794411</f>
        <v>-1334.9235689308221</v>
      </c>
      <c r="P486">
        <f>-651.193668055912 -256.401032754538 -243.219439237613</f>
        <v>-1150.8141400480629</v>
      </c>
      <c r="Q486">
        <f>-468.455844404281 -120.357001794401 -321.639837642825</f>
        <v>-910.452683841507</v>
      </c>
      <c r="R486" t="s">
        <v>5326</v>
      </c>
      <c r="S486" t="s">
        <v>5327</v>
      </c>
      <c r="T486" t="s">
        <v>5328</v>
      </c>
      <c r="U486" t="s">
        <v>5329</v>
      </c>
      <c r="V486">
        <f>-579.434887393964 -120.152110917042 -95.8309292961382</f>
        <v>-795.41792760714418</v>
      </c>
      <c r="W486" t="s">
        <v>5330</v>
      </c>
      <c r="X486" t="s">
        <v>5331</v>
      </c>
      <c r="Y486" t="s">
        <v>5332</v>
      </c>
    </row>
    <row r="487" spans="1:25" x14ac:dyDescent="0.3">
      <c r="A487">
        <v>24300</v>
      </c>
      <c r="B487" t="s">
        <v>5322</v>
      </c>
      <c r="C487">
        <f>-594.019881661905 -25.9691300770721 -96.8359826432295</f>
        <v>-716.82499438220657</v>
      </c>
      <c r="D487">
        <f>-618.121363270807 -32.155634557648 -209.960054434722</f>
        <v>-860.23705226317702</v>
      </c>
      <c r="E487">
        <f>-627.457640610318 -34.1803395815805 -308.120200035588</f>
        <v>-969.75818022748649</v>
      </c>
      <c r="F487">
        <f>-631.927126644451 -34.7976810910156 -397.10259122688</f>
        <v>-1063.8273989623467</v>
      </c>
      <c r="G487">
        <f>-632.068505773752 -34.1615685407501 -486.196929161865</f>
        <v>-1152.4270034763672</v>
      </c>
      <c r="H487">
        <f>-627.723304491265 -31.9684695207807 -610.684485810396</f>
        <v>-1270.3762598224416</v>
      </c>
      <c r="I487">
        <f>-591.371906272505 -22.7616504063271 -684.838632896372</f>
        <v>-1298.9721895752041</v>
      </c>
      <c r="J487">
        <f>-633.414739048798 -5.48567994315226 -555.552029295314</f>
        <v>-1194.4524482872644</v>
      </c>
      <c r="K487" t="s">
        <v>5323</v>
      </c>
      <c r="L487" t="s">
        <v>5324</v>
      </c>
      <c r="M487" t="s">
        <v>5325</v>
      </c>
      <c r="N487">
        <f>-625.856036695306 -60.3814946833933 -556.255345317732</f>
        <v>-1242.4928766964313</v>
      </c>
      <c r="O487">
        <f>-612.405395726061 -194.291545260651 -528.22662794411</f>
        <v>-1334.9235689308221</v>
      </c>
      <c r="P487">
        <f>-651.193668055912 -256.401032754538 -243.219439237613</f>
        <v>-1150.8141400480629</v>
      </c>
      <c r="Q487">
        <f>-468.455844404281 -120.357001794401 -321.639837642825</f>
        <v>-910.452683841507</v>
      </c>
      <c r="R487" t="s">
        <v>5326</v>
      </c>
      <c r="S487" t="s">
        <v>5327</v>
      </c>
      <c r="T487" t="s">
        <v>5328</v>
      </c>
      <c r="U487" t="s">
        <v>5329</v>
      </c>
      <c r="V487">
        <f>-579.434887393964 -120.152110917042 -95.8309292961382</f>
        <v>-795.41792760714418</v>
      </c>
      <c r="W487" t="s">
        <v>5330</v>
      </c>
      <c r="X487" t="s">
        <v>5331</v>
      </c>
      <c r="Y487" t="s">
        <v>5332</v>
      </c>
    </row>
    <row r="488" spans="1:25" x14ac:dyDescent="0.3">
      <c r="A488">
        <v>24350</v>
      </c>
      <c r="B488" t="s">
        <v>5333</v>
      </c>
      <c r="C488">
        <f>-594.180099653399 -26.0474783811012 -96.8358635344497</f>
        <v>-717.06344156894988</v>
      </c>
      <c r="D488">
        <f>-618.255448811293 -32.2237537015849 -209.966046511886</f>
        <v>-860.44524902476394</v>
      </c>
      <c r="E488">
        <f>-627.536794626442 -34.231545758068 -308.13170114941</f>
        <v>-969.90004153391999</v>
      </c>
      <c r="F488">
        <f>-631.943719527478 -34.8299839344536 -397.117350759684</f>
        <v>-1063.8910542216156</v>
      </c>
      <c r="G488">
        <f>-632.009642702613 -34.1709748591275 -486.211707557375</f>
        <v>-1152.3923251191154</v>
      </c>
      <c r="H488">
        <f>-627.545782695463 -31.9410041261604 -610.694291700812</f>
        <v>-1270.1810785224352</v>
      </c>
      <c r="I488">
        <f>-591.086758787822 -22.536516619193 -684.770765118724</f>
        <v>-1298.394040525739</v>
      </c>
      <c r="J488">
        <f>-633.312066212512 -5.47766558446961 -555.56033328985</f>
        <v>-1194.3500650868316</v>
      </c>
      <c r="K488" t="s">
        <v>5334</v>
      </c>
      <c r="L488" t="s">
        <v>5335</v>
      </c>
      <c r="M488" t="s">
        <v>5336</v>
      </c>
      <c r="N488">
        <f>-625.708166240746 -60.3669354180482 -556.271008738043</f>
        <v>-1242.346110396837</v>
      </c>
      <c r="O488">
        <f>-612.169959833378 -194.278145029969 -528.286742236231</f>
        <v>-1334.734847099578</v>
      </c>
      <c r="P488">
        <f>-651.021689891755 -256.473602282084 -243.306882367987</f>
        <v>-1150.8021745418259</v>
      </c>
      <c r="Q488">
        <f>-468.296706922342 -120.406617833076 -321.717617940532</f>
        <v>-910.42094269595009</v>
      </c>
      <c r="R488" t="s">
        <v>5337</v>
      </c>
      <c r="S488" t="s">
        <v>5338</v>
      </c>
      <c r="T488" t="s">
        <v>5339</v>
      </c>
      <c r="U488" t="s">
        <v>5340</v>
      </c>
      <c r="V488">
        <f>-579.566086391055 -120.248215323172 -95.85252805783</f>
        <v>-795.66682977205699</v>
      </c>
      <c r="W488" t="s">
        <v>5341</v>
      </c>
      <c r="X488" t="s">
        <v>5342</v>
      </c>
      <c r="Y488" t="s">
        <v>5343</v>
      </c>
    </row>
    <row r="489" spans="1:25" x14ac:dyDescent="0.3">
      <c r="A489">
        <v>24400</v>
      </c>
      <c r="B489" t="s">
        <v>5344</v>
      </c>
      <c r="C489">
        <f>-594.147377808989 -26.2940273883733 -96.8102784049649</f>
        <v>-717.25168360232715</v>
      </c>
      <c r="D489">
        <f>-618.20527398949 -32.4741387749609 -209.944093205418</f>
        <v>-860.62350596986892</v>
      </c>
      <c r="E489">
        <f>-627.450778937487 -34.4765792987514 -308.113207934131</f>
        <v>-970.0405661703694</v>
      </c>
      <c r="F489">
        <f>-631.816578149812 -35.0672881517355 -397.100971992417</f>
        <v>-1063.9848382939645</v>
      </c>
      <c r="G489">
        <f>-631.832765680293 -34.3983344020789 -486.195232368596</f>
        <v>-1152.4263324509679</v>
      </c>
      <c r="H489">
        <f>-627.290118541521 -32.1524127641169 -610.67472768745</f>
        <v>-1270.1172589930879</v>
      </c>
      <c r="I489">
        <f>-590.79164023405 -22.7404545950587 -684.730769506657</f>
        <v>-1298.2628643357657</v>
      </c>
      <c r="J489">
        <f>-633.088115595753 -5.6955714669291 -555.540968688695</f>
        <v>-1194.3246557513771</v>
      </c>
      <c r="K489" t="s">
        <v>5345</v>
      </c>
      <c r="L489" t="s">
        <v>5346</v>
      </c>
      <c r="M489" t="s">
        <v>5347</v>
      </c>
      <c r="N489">
        <f>-625.490117113497 -60.5857668823984 -556.253981133054</f>
        <v>-1242.3298651289495</v>
      </c>
      <c r="O489">
        <f>-611.965588137012 -194.507203736049 -528.315171516433</f>
        <v>-1334.7879633894941</v>
      </c>
      <c r="P489">
        <f>-650.749904310394 -256.861865670876 -243.361027117243</f>
        <v>-1150.972797098513</v>
      </c>
      <c r="Q489">
        <f>-468.060771126873 -120.74395272153 -321.766743858961</f>
        <v>-910.57146770736404</v>
      </c>
      <c r="R489" t="s">
        <v>5348</v>
      </c>
      <c r="S489" t="s">
        <v>5349</v>
      </c>
      <c r="T489" t="s">
        <v>5350</v>
      </c>
      <c r="U489" t="s">
        <v>5351</v>
      </c>
      <c r="V489">
        <f>-579.52476703115 -120.543435939573 -95.8352798429532</f>
        <v>-795.90348281367619</v>
      </c>
      <c r="W489" t="s">
        <v>5352</v>
      </c>
      <c r="X489" t="s">
        <v>5353</v>
      </c>
      <c r="Y489" t="s">
        <v>5354</v>
      </c>
    </row>
    <row r="490" spans="1:25" x14ac:dyDescent="0.3">
      <c r="A490">
        <v>24450</v>
      </c>
      <c r="B490" t="s">
        <v>5355</v>
      </c>
      <c r="C490">
        <f>-594.077707317436 -26.3711044101881 -96.8028283785555</f>
        <v>-717.25164010617959</v>
      </c>
      <c r="D490">
        <f>-618.113189175386 -32.5456528306665 -209.941655264119</f>
        <v>-860.60049727017145</v>
      </c>
      <c r="E490">
        <f>-627.336455884363 -34.5474592951407 -308.112784342419</f>
        <v>-969.99669952192266</v>
      </c>
      <c r="F490">
        <f>-631.680994671951 -35.1392023625895 -397.101632588678</f>
        <v>-1063.9218296232184</v>
      </c>
      <c r="G490">
        <f>-631.674699785964 -34.4729909554776 -486.196000703803</f>
        <v>-1152.3436914452445</v>
      </c>
      <c r="H490">
        <f>-627.099388801287 -32.2329028826077 -610.67441788852</f>
        <v>-1270.0067095724148</v>
      </c>
      <c r="I490">
        <f>-590.599191047455 -22.8346759808805 -684.731284209336</f>
        <v>-1298.1651512376716</v>
      </c>
      <c r="J490">
        <f>-632.910434927779 -5.77332037092629 -555.543324370896</f>
        <v>-1194.2270796696012</v>
      </c>
      <c r="K490" t="s">
        <v>5356</v>
      </c>
      <c r="L490" t="s">
        <v>5357</v>
      </c>
      <c r="M490" t="s">
        <v>5358</v>
      </c>
      <c r="N490">
        <f>-625.315040820494 -60.6638460845078 -556.251961408067</f>
        <v>-1242.2308483130687</v>
      </c>
      <c r="O490">
        <f>-611.785452815126 -194.590282745038 -528.321270466629</f>
        <v>-1334.6970060267931</v>
      </c>
      <c r="P490">
        <f>-650.650053050322 -256.995046341301 -243.389000056822</f>
        <v>-1151.034099448445</v>
      </c>
      <c r="Q490">
        <f>-467.942047985131 -120.889250702383 -321.771988179545</f>
        <v>-910.60328686705907</v>
      </c>
      <c r="R490" t="s">
        <v>5359</v>
      </c>
      <c r="S490" t="s">
        <v>5360</v>
      </c>
      <c r="T490" t="s">
        <v>5361</v>
      </c>
      <c r="U490" t="s">
        <v>5362</v>
      </c>
      <c r="V490">
        <f>-579.484595184982 -120.628156139798 -95.8233746731679</f>
        <v>-795.9361259979479</v>
      </c>
      <c r="W490" t="s">
        <v>5363</v>
      </c>
      <c r="X490" t="s">
        <v>5364</v>
      </c>
      <c r="Y490" t="s">
        <v>5365</v>
      </c>
    </row>
    <row r="491" spans="1:25" x14ac:dyDescent="0.3">
      <c r="A491">
        <v>24500</v>
      </c>
      <c r="B491" t="s">
        <v>5366</v>
      </c>
      <c r="C491">
        <f>-593.832481062434 -26.4259536804475 -96.786599417669</f>
        <v>-717.04503416055047</v>
      </c>
      <c r="D491">
        <f>-617.827324201156 -32.5824501587113 -209.935106602767</f>
        <v>-860.34488096263431</v>
      </c>
      <c r="E491">
        <f>-627.016782520452 -34.5736140070676 -308.10963173832</f>
        <v>-969.70002826583959</v>
      </c>
      <c r="F491">
        <f>-631.331293617618 -35.157771291367 -397.099958774562</f>
        <v>-1063.5890236835471</v>
      </c>
      <c r="G491">
        <f>-631.295688147937 -34.4858762690383 -486.194268012158</f>
        <v>-1151.9758324291333</v>
      </c>
      <c r="H491">
        <f>-626.680144921762 -32.2403907333817 -610.671046064993</f>
        <v>-1269.5915817201367</v>
      </c>
      <c r="I491">
        <f>-590.210913164553 -22.8734604305664 -684.74732585971</f>
        <v>-1297.8316994548295</v>
      </c>
      <c r="J491">
        <f>-632.501921250903 -5.78232602750836 -555.540273641447</f>
        <v>-1193.8245209198585</v>
      </c>
      <c r="K491" t="s">
        <v>5367</v>
      </c>
      <c r="L491" t="s">
        <v>5368</v>
      </c>
      <c r="M491" t="s">
        <v>5369</v>
      </c>
      <c r="N491">
        <f>-624.920452559038 -60.6746856206317 -556.249601132618</f>
        <v>-1241.8447393122879</v>
      </c>
      <c r="O491">
        <f>-611.438240580046 -194.602193416384 -528.314051896444</f>
        <v>-1334.354485892874</v>
      </c>
      <c r="P491">
        <f>-650.433106614399 -256.978867683713 -243.393432406329</f>
        <v>-1150.8054067044409</v>
      </c>
      <c r="Q491">
        <f>-467.607988787323 -121.040886239518 -321.79437665482</f>
        <v>-910.44325168166097</v>
      </c>
      <c r="R491" t="s">
        <v>5370</v>
      </c>
      <c r="S491" t="s">
        <v>5371</v>
      </c>
      <c r="T491" t="s">
        <v>5372</v>
      </c>
      <c r="U491" t="s">
        <v>5373</v>
      </c>
      <c r="V491">
        <f>-579.264218333167 -120.682310554339 -95.8125256145892</f>
        <v>-795.75905450209518</v>
      </c>
      <c r="W491" t="s">
        <v>5374</v>
      </c>
      <c r="X491" t="s">
        <v>5375</v>
      </c>
      <c r="Y491" t="s">
        <v>5376</v>
      </c>
    </row>
    <row r="492" spans="1:25" x14ac:dyDescent="0.3">
      <c r="A492">
        <v>24550</v>
      </c>
      <c r="B492" t="s">
        <v>5377</v>
      </c>
      <c r="C492">
        <f>-593.665850919986 -26.4534547332012 -96.7853360157568</f>
        <v>-716.90464166894401</v>
      </c>
      <c r="D492">
        <f>-617.65415502291 -32.6107150673224 -209.935091583423</f>
        <v>-860.19996167365548</v>
      </c>
      <c r="E492">
        <f>-626.835584753721 -34.6053463326887 -308.110423516257</f>
        <v>-969.55135460266672</v>
      </c>
      <c r="F492">
        <f>-631.141648327928 -35.1943095719269 -397.101050587087</f>
        <v>-1063.437008486942</v>
      </c>
      <c r="G492">
        <f>-631.096342475307 -34.5291917077918 -486.195411153566</f>
        <v>-1151.8209453366649</v>
      </c>
      <c r="H492">
        <f>-626.465979789719 -32.2949649399952 -610.67182127789</f>
        <v>-1269.4327660076042</v>
      </c>
      <c r="I492">
        <f>-590.01463846801 -22.9636960475211 -684.761389282932</f>
        <v>-1297.7397237984633</v>
      </c>
      <c r="J492">
        <f>-632.286450847528 -5.83064615840476 -555.543935125049</f>
        <v>-1193.6610321309818</v>
      </c>
      <c r="K492" t="s">
        <v>5378</v>
      </c>
      <c r="L492" t="s">
        <v>5379</v>
      </c>
      <c r="M492" t="s">
        <v>5380</v>
      </c>
      <c r="N492">
        <f>-624.720720724038 -60.725383568444 -556.247767377502</f>
        <v>-1241.693871669984</v>
      </c>
      <c r="O492">
        <f>-611.283944610977 -194.65246493431 -528.299766786466</f>
        <v>-1334.2361763317531</v>
      </c>
      <c r="P492">
        <f>-650.29620605017 -256.994117449831 -243.37377408272</f>
        <v>-1150.6640975827211</v>
      </c>
      <c r="Q492">
        <f>-467.3991738501 -121.174247830376 -321.811857443184</f>
        <v>-910.38527912365998</v>
      </c>
      <c r="R492" t="s">
        <v>5381</v>
      </c>
      <c r="S492" t="s">
        <v>5382</v>
      </c>
      <c r="T492" t="s">
        <v>5383</v>
      </c>
      <c r="U492" t="s">
        <v>5384</v>
      </c>
      <c r="V492">
        <f>-579.096685197743 -120.694210207641 -95.8045270322863</f>
        <v>-795.59542243767032</v>
      </c>
      <c r="W492" t="s">
        <v>5385</v>
      </c>
      <c r="X492" t="s">
        <v>5386</v>
      </c>
      <c r="Y492" t="s">
        <v>5387</v>
      </c>
    </row>
    <row r="493" spans="1:25" x14ac:dyDescent="0.3">
      <c r="A493">
        <v>24600</v>
      </c>
      <c r="B493" t="s">
        <v>5388</v>
      </c>
      <c r="C493">
        <f>-593.290437101457 -26.3855650116084 -96.7795237180527</f>
        <v>-716.45552583111805</v>
      </c>
      <c r="D493">
        <f>-617.2488689206 -32.5440294565378 -209.935608582792</f>
        <v>-859.72850695992986</v>
      </c>
      <c r="E493">
        <f>-626.408108038812 -34.5375344523286 -308.112843035807</f>
        <v>-969.05848552694761</v>
      </c>
      <c r="F493">
        <f>-630.6953208211 -35.1256571307056 -397.104638044629</f>
        <v>-1062.9256159964345</v>
      </c>
      <c r="G493">
        <f>-630.632056844596 -34.4607491833633 -486.198887900996</f>
        <v>-1151.2916939289553</v>
      </c>
      <c r="H493">
        <f>-625.977513081048 -32.2285380213082 -610.67438323053</f>
        <v>-1268.8804343328861</v>
      </c>
      <c r="I493">
        <f>-589.615104052865 -23.0081927781719 -684.821547851129</f>
        <v>-1297.4448446821659</v>
      </c>
      <c r="J493">
        <f>-631.788845825475 -5.76074810023874 -555.547389855828</f>
        <v>-1193.0969837815419</v>
      </c>
      <c r="K493" t="s">
        <v>5389</v>
      </c>
      <c r="L493" t="s">
        <v>5390</v>
      </c>
      <c r="M493" t="s">
        <v>5391</v>
      </c>
      <c r="N493">
        <f>-624.262716100817 -60.660956145718 -556.250437908827</f>
        <v>-1241.1741101553621</v>
      </c>
      <c r="O493">
        <f>-610.910047297821 -194.590861792404 -528.270594699398</f>
        <v>-1333.771503789623</v>
      </c>
      <c r="P493">
        <f>-649.998588238823 -256.796574868821 -243.325461834716</f>
        <v>-1150.1206249423599</v>
      </c>
      <c r="Q493">
        <f>-466.97529682291 -121.187585894731 -321.833796196599</f>
        <v>-909.99667891423996</v>
      </c>
      <c r="R493" t="s">
        <v>5392</v>
      </c>
      <c r="S493" t="s">
        <v>5393</v>
      </c>
      <c r="T493" t="s">
        <v>5394</v>
      </c>
      <c r="U493" t="s">
        <v>5395</v>
      </c>
      <c r="V493">
        <f>-578.716753132731 -120.616420803795 -95.7901950618071</f>
        <v>-795.12336899833315</v>
      </c>
      <c r="W493" t="s">
        <v>5396</v>
      </c>
      <c r="X493" t="s">
        <v>5397</v>
      </c>
      <c r="Y493" t="s">
        <v>5398</v>
      </c>
    </row>
    <row r="494" spans="1:25" x14ac:dyDescent="0.3">
      <c r="A494">
        <v>24650</v>
      </c>
      <c r="B494" t="s">
        <v>5399</v>
      </c>
      <c r="C494">
        <f>-593.093653350835 -26.4017686925624 -96.772869788012</f>
        <v>-716.26829183140944</v>
      </c>
      <c r="D494">
        <f>-617.048820528467 -32.5505523042632 -209.930099235459</f>
        <v>-859.52947206818919</v>
      </c>
      <c r="E494">
        <f>-626.191788489697 -34.5364686821119 -308.109187128386</f>
        <v>-968.83744430019499</v>
      </c>
      <c r="F494">
        <f>-630.45893329383 -35.1182698203352 -397.101837684868</f>
        <v>-1062.6790407990331</v>
      </c>
      <c r="G494">
        <f>-630.370083223288 -34.4476086593106 -486.196022401014</f>
        <v>-1151.0137142836127</v>
      </c>
      <c r="H494">
        <f>-625.673877211229 -32.2085632695337 -610.669963641259</f>
        <v>-1268.5524041220215</v>
      </c>
      <c r="I494">
        <f>-589.407318323843 -23.0673546432072 -684.873670787234</f>
        <v>-1297.3483437542841</v>
      </c>
      <c r="J494">
        <f>-631.497230280027 -5.74299525665447 -555.543106910732</f>
        <v>-1192.7833324474136</v>
      </c>
      <c r="K494" t="s">
        <v>5400</v>
      </c>
      <c r="L494" t="s">
        <v>5401</v>
      </c>
      <c r="M494" t="s">
        <v>5402</v>
      </c>
      <c r="N494">
        <f>-623.9836272353 -60.6448264793188 -556.247143799045</f>
        <v>-1240.8755975136637</v>
      </c>
      <c r="O494">
        <f>-610.664020097323 -194.579176918508 -528.267014275143</f>
        <v>-1333.510211290974</v>
      </c>
      <c r="P494">
        <f>-649.824926557267 -256.809941197226 -243.337312760825</f>
        <v>-1149.9721805153179</v>
      </c>
      <c r="Q494">
        <f>-466.755824485589 -121.260703692965 -321.842001579423</f>
        <v>-909.85852975797707</v>
      </c>
      <c r="R494" t="s">
        <v>5403</v>
      </c>
      <c r="S494" t="s">
        <v>5404</v>
      </c>
      <c r="T494" t="s">
        <v>5405</v>
      </c>
      <c r="U494" t="s">
        <v>5406</v>
      </c>
      <c r="V494">
        <f>-578.510066089698 -120.698819471668 -95.7883802695773</f>
        <v>-794.99726583094321</v>
      </c>
      <c r="W494" t="s">
        <v>5407</v>
      </c>
      <c r="X494" t="s">
        <v>5408</v>
      </c>
      <c r="Y494" t="s">
        <v>5409</v>
      </c>
    </row>
    <row r="495" spans="1:25" x14ac:dyDescent="0.3">
      <c r="A495">
        <v>24700</v>
      </c>
      <c r="B495" t="s">
        <v>5410</v>
      </c>
      <c r="C495">
        <f>-592.789960753504 -26.3014548353767 -96.7644265590308</f>
        <v>-715.85584214791152</v>
      </c>
      <c r="D495">
        <f>-616.698039836343 -32.4173362606082 -209.933390364331</f>
        <v>-859.04876646128218</v>
      </c>
      <c r="E495">
        <f>-625.782130836109 -34.374333177831 -308.118418262267</f>
        <v>-968.27488227620699</v>
      </c>
      <c r="F495">
        <f>-629.988516539076 -34.9296222864264 -397.114205653027</f>
        <v>-1062.0323444785295</v>
      </c>
      <c r="G495">
        <f>-629.831576188975 -34.2321341367845 -486.208125627077</f>
        <v>-1150.2718359528365</v>
      </c>
      <c r="H495">
        <f>-625.03282146895 -31.9548256795447 -610.677420672447</f>
        <v>-1267.6650678209417</v>
      </c>
      <c r="I495">
        <f>-588.990841808071 -22.9911453137715 -685.012142925042</f>
        <v>-1296.9941300468845</v>
      </c>
      <c r="J495">
        <f>-630.895029531733 -5.50529737486841 -555.546981970029</f>
        <v>-1191.9473088766304</v>
      </c>
      <c r="K495" t="s">
        <v>5411</v>
      </c>
      <c r="L495" t="s">
        <v>5412</v>
      </c>
      <c r="M495" t="s">
        <v>5413</v>
      </c>
      <c r="N495">
        <f>-623.393999377544 -60.408641784543 -556.262271981397</f>
        <v>-1240.0649131434839</v>
      </c>
      <c r="O495">
        <f>-610.131597987841 -194.353381832818 -528.305547956902</f>
        <v>-1332.790527777561</v>
      </c>
      <c r="P495">
        <f>-649.423692294202 -256.684742212463 -243.415846387304</f>
        <v>-1149.524280893969</v>
      </c>
      <c r="Q495">
        <f>-466.288427361323 -121.174876254087 -321.834159881867</f>
        <v>-909.29746349727702</v>
      </c>
      <c r="R495" t="s">
        <v>5414</v>
      </c>
      <c r="S495" t="s">
        <v>5415</v>
      </c>
      <c r="T495" t="s">
        <v>5416</v>
      </c>
      <c r="U495" t="s">
        <v>5417</v>
      </c>
      <c r="V495">
        <f>-578.287830635042 -120.512244249538 -95.7854277954723</f>
        <v>-794.58550268005229</v>
      </c>
      <c r="W495" t="s">
        <v>5418</v>
      </c>
      <c r="X495" t="s">
        <v>5419</v>
      </c>
      <c r="Y495" t="s">
        <v>5420</v>
      </c>
    </row>
    <row r="496" spans="1:25" x14ac:dyDescent="0.3">
      <c r="A496">
        <v>24750</v>
      </c>
      <c r="B496" t="s">
        <v>5421</v>
      </c>
      <c r="C496">
        <f>-592.679090103684 -26.2082686136459 -96.7549974380086</f>
        <v>-715.64235615533846</v>
      </c>
      <c r="D496">
        <f>-616.566683964197 -32.3040279335771 -209.929383522754</f>
        <v>-858.80009542052812</v>
      </c>
      <c r="E496">
        <f>-625.626853489447 -34.2418743024446 -308.117058796222</f>
        <v>-967.98578658811357</v>
      </c>
      <c r="F496">
        <f>-629.809282214825 -34.7785901663483 -397.114136717075</f>
        <v>-1061.7020090982483</v>
      </c>
      <c r="G496">
        <f>-629.625986944369 -34.0611931594476 -486.207875261466</f>
        <v>-1149.8950553652826</v>
      </c>
      <c r="H496">
        <f>-624.787873117729 -31.7551331838306 -610.675093340227</f>
        <v>-1267.2180996417865</v>
      </c>
      <c r="I496">
        <f>-588.833531473559 -22.87368778359 -685.062048729763</f>
        <v>-1296.7692679869119</v>
      </c>
      <c r="J496">
        <f>-630.663844545655 -5.31781318718413 -555.540088064034</f>
        <v>-1191.5217457968731</v>
      </c>
      <c r="K496" t="s">
        <v>5422</v>
      </c>
      <c r="L496" t="s">
        <v>5423</v>
      </c>
      <c r="M496" t="s">
        <v>5424</v>
      </c>
      <c r="N496">
        <f>-623.169920189789 -60.222026744506 -556.266104867683</f>
        <v>-1239.658051801978</v>
      </c>
      <c r="O496">
        <f>-609.928120348481 -194.174867898363 -528.333632526882</f>
        <v>-1332.436620773726</v>
      </c>
      <c r="P496">
        <f>-649.247151189991 -256.598533864006 -243.467860562166</f>
        <v>-1149.3135456161629</v>
      </c>
      <c r="Q496">
        <f>-466.063321270713 -121.110319309172 -321.810001805607</f>
        <v>-908.98364238549198</v>
      </c>
      <c r="R496" t="s">
        <v>5425</v>
      </c>
      <c r="S496" t="s">
        <v>5426</v>
      </c>
      <c r="T496" t="s">
        <v>5427</v>
      </c>
      <c r="U496" t="s">
        <v>5428</v>
      </c>
      <c r="V496">
        <f>-578.193181405449 -120.37975142809 -95.7815230273347</f>
        <v>-794.35445586087371</v>
      </c>
      <c r="W496" t="s">
        <v>5429</v>
      </c>
      <c r="X496" t="s">
        <v>5430</v>
      </c>
      <c r="Y496" t="s">
        <v>5431</v>
      </c>
    </row>
    <row r="497" spans="1:25" x14ac:dyDescent="0.3">
      <c r="A497">
        <v>24800</v>
      </c>
      <c r="B497" t="s">
        <v>5432</v>
      </c>
      <c r="C497">
        <f>-592.405945659555 -26.0114216301645 -96.7234071356916</f>
        <v>-715.140774425411</v>
      </c>
      <c r="D497">
        <f>-616.227276398345 -32.0632714647054 -209.914131748504</f>
        <v>-858.20467961155441</v>
      </c>
      <c r="E497">
        <f>-625.236132653785 -33.9566596233622 -308.107373343378</f>
        <v>-967.30016562052515</v>
      </c>
      <c r="F497">
        <f>-629.374665762015 -34.4499166111723 -397.106679469535</f>
        <v>-1060.9312618427223</v>
      </c>
      <c r="G497">
        <f>-629.15011858073 -33.6855212186329 -486.199830082163</f>
        <v>-1149.0354698815258</v>
      </c>
      <c r="H497">
        <f>-624.257322460178 -31.3095615610669 -610.663700975305</f>
        <v>-1266.2305849965499</v>
      </c>
      <c r="I497">
        <f>-588.399435086259 -22.5493626318441 -685.111525756948</f>
        <v>-1296.0603234750511</v>
      </c>
      <c r="J497">
        <f>-630.150743024976 -4.90238362420155 -555.516353844496</f>
        <v>-1190.5694804936736</v>
      </c>
      <c r="K497" t="s">
        <v>5433</v>
      </c>
      <c r="L497" t="s">
        <v>5434</v>
      </c>
      <c r="M497" t="s">
        <v>5435</v>
      </c>
      <c r="N497">
        <f>-622.670088270027 -59.8080278362113 -556.270340259983</f>
        <v>-1238.7484563662213</v>
      </c>
      <c r="O497">
        <f>-609.487780528791 -193.776555993627 -528.389165873255</f>
        <v>-1331.6535023956731</v>
      </c>
      <c r="P497">
        <f>-648.884797823647 -256.343638591121 -243.565795853241</f>
        <v>-1148.794232268009</v>
      </c>
      <c r="Q497">
        <f>-465.656537107031 -120.849419661363 -321.793686279111</f>
        <v>-908.29964304750501</v>
      </c>
      <c r="R497" t="s">
        <v>5436</v>
      </c>
      <c r="S497" t="s">
        <v>5437</v>
      </c>
      <c r="T497" t="s">
        <v>5438</v>
      </c>
      <c r="U497" t="s">
        <v>5439</v>
      </c>
      <c r="V497">
        <f>-577.9518772397 -120.208620933474 -95.7641980823154</f>
        <v>-793.92469625548938</v>
      </c>
      <c r="W497" t="s">
        <v>5440</v>
      </c>
      <c r="X497" t="s">
        <v>5441</v>
      </c>
      <c r="Y497" t="s">
        <v>5442</v>
      </c>
    </row>
    <row r="498" spans="1:25" x14ac:dyDescent="0.3">
      <c r="A498">
        <v>24850</v>
      </c>
      <c r="B498" t="s">
        <v>5443</v>
      </c>
      <c r="C498">
        <f>-592.280806098078 -25.9784306219599 -96.7125183831685</f>
        <v>-714.97175510320631</v>
      </c>
      <c r="D498">
        <f>-616.083780534113 -32.0242568571214 -209.907513623098</f>
        <v>-858.01555101433235</v>
      </c>
      <c r="E498">
        <f>-625.073569168837 -33.907544733288 -308.102645507376</f>
        <v>-967.083759409501</v>
      </c>
      <c r="F498">
        <f>-629.193583139187 -34.3892015929553 -397.102881922859</f>
        <v>-1060.6856666550013</v>
      </c>
      <c r="G498">
        <f>-628.949285583749 -33.6113717201588 -486.195950997413</f>
        <v>-1148.7566083013207</v>
      </c>
      <c r="H498">
        <f>-624.027619175064 -31.2144139938962 -610.658166589072</f>
        <v>-1265.9001997580322</v>
      </c>
      <c r="I498">
        <f>-588.18134814827 -22.5033820957681 -685.117458575007</f>
        <v>-1295.8021888190451</v>
      </c>
      <c r="J498">
        <f>-629.925899353543 -4.81523937903307 -555.507277562425</f>
        <v>-1190.2484162950009</v>
      </c>
      <c r="K498" t="s">
        <v>5444</v>
      </c>
      <c r="L498" t="s">
        <v>5445</v>
      </c>
      <c r="M498" t="s">
        <v>5446</v>
      </c>
      <c r="N498">
        <f>-622.460906738874 -59.7231205078176 -556.269581320426</f>
        <v>-1238.4536085671175</v>
      </c>
      <c r="O498">
        <f>-609.325156368078 -193.694857521637 -528.397575891617</f>
        <v>-1331.417589781332</v>
      </c>
      <c r="P498">
        <f>-648.751222160084 -256.287649681275 -243.583681703398</f>
        <v>-1148.622553544757</v>
      </c>
      <c r="Q498">
        <f>-465.484820984546 -120.829687814274 -321.785017700419</f>
        <v>-908.09952649923912</v>
      </c>
      <c r="R498" t="s">
        <v>5447</v>
      </c>
      <c r="S498" t="s">
        <v>5448</v>
      </c>
      <c r="T498" t="s">
        <v>5449</v>
      </c>
      <c r="U498" t="s">
        <v>5450</v>
      </c>
      <c r="V498">
        <f>-577.872178290847 -120.219024009457 -95.7569545064365</f>
        <v>-793.84815680674058</v>
      </c>
      <c r="W498" t="s">
        <v>5451</v>
      </c>
      <c r="X498" t="s">
        <v>5452</v>
      </c>
      <c r="Y498" t="s">
        <v>5453</v>
      </c>
    </row>
    <row r="499" spans="1:25" x14ac:dyDescent="0.3">
      <c r="A499">
        <v>24900</v>
      </c>
      <c r="B499" t="s">
        <v>5454</v>
      </c>
      <c r="C499">
        <f>-592.107939297862 -25.7830096493533 -96.6954721307916</f>
        <v>-714.58642107800688</v>
      </c>
      <c r="D499">
        <f>-615.887076704792 -31.7908600100943 -209.897358979206</f>
        <v>-857.57529569409235</v>
      </c>
      <c r="E499">
        <f>-624.808653886895 -33.6443242719697 -308.099267835781</f>
        <v>-966.55224599464566</v>
      </c>
      <c r="F499">
        <f>-628.84785074387 -34.1002265676389 -397.103323470813</f>
        <v>-1060.0514007823219</v>
      </c>
      <c r="G499">
        <f>-628.503553484292 -33.2977483215427 -486.195967801285</f>
        <v>-1147.9972696071197</v>
      </c>
      <c r="H499">
        <f>-623.422006264146 -30.8680549126575 -610.651129247692</f>
        <v>-1264.9411904244955</v>
      </c>
      <c r="I499">
        <f>-587.536851724218 -22.2373883642931 -685.10114316214</f>
        <v>-1294.8753832506511</v>
      </c>
      <c r="J499">
        <f>-629.370352623446 -4.48064323064796 -555.500036342782</f>
        <v>-1189.3510321968761</v>
      </c>
      <c r="K499" t="s">
        <v>5455</v>
      </c>
      <c r="L499" t="s">
        <v>5456</v>
      </c>
      <c r="M499" t="s">
        <v>5457</v>
      </c>
      <c r="N499">
        <f>-621.945884399645 -59.3937974904803 -556.26898148697</f>
        <v>-1237.6086633770954</v>
      </c>
      <c r="O499">
        <f>-608.94476402083 -193.382958618527 -528.390746760919</f>
        <v>-1330.718469400276</v>
      </c>
      <c r="P499">
        <f>-648.638077343072 -255.955835693323 -243.609664227744</f>
        <v>-1148.2035772641391</v>
      </c>
      <c r="Q499">
        <f>-465.196823736327 -120.689124917829 -321.731923757254</f>
        <v>-907.61787241140996</v>
      </c>
      <c r="R499" t="s">
        <v>5458</v>
      </c>
      <c r="S499" t="s">
        <v>5459</v>
      </c>
      <c r="T499" t="s">
        <v>5460</v>
      </c>
      <c r="U499" t="s">
        <v>5461</v>
      </c>
      <c r="V499">
        <f>-577.785533602495 -120.023202740316 -95.7393488349891</f>
        <v>-793.54808517780009</v>
      </c>
      <c r="W499" t="s">
        <v>5462</v>
      </c>
      <c r="X499" t="s">
        <v>5463</v>
      </c>
      <c r="Y499" t="s">
        <v>5464</v>
      </c>
    </row>
    <row r="500" spans="1:25" x14ac:dyDescent="0.3">
      <c r="A500">
        <v>24950</v>
      </c>
      <c r="B500" t="s">
        <v>5465</v>
      </c>
      <c r="C500">
        <f>-592.056552016218 -25.6981255189237 -96.6863276453656</f>
        <v>-714.44100518050732</v>
      </c>
      <c r="D500">
        <f>-615.816666309125 -31.6756977317807 -209.893955796109</f>
        <v>-857.38631983701475</v>
      </c>
      <c r="E500">
        <f>-624.690196023298 -33.5158861978498 -308.100555627318</f>
        <v>-966.3066378484657</v>
      </c>
      <c r="F500">
        <f>-628.673074806083 -33.9642304339213 -397.107130207892</f>
        <v>-1059.7444354478964</v>
      </c>
      <c r="G500">
        <f>-628.259806473245 -33.1589964330724 -486.199319484915</f>
        <v>-1147.6181223912324</v>
      </c>
      <c r="H500">
        <f>-623.068729756075 -30.7306213857739 -610.649967660595</f>
        <v>-1264.4493188024439</v>
      </c>
      <c r="I500">
        <f>-587.154552401161 -22.1383604668702 -685.090405826424</f>
        <v>-1294.3833186944553</v>
      </c>
      <c r="J500">
        <f>-629.052329331447 -4.34096927917153 -555.503928853723</f>
        <v>-1188.8972274643415</v>
      </c>
      <c r="K500" t="s">
        <v>5466</v>
      </c>
      <c r="L500" t="s">
        <v>5467</v>
      </c>
      <c r="M500" t="s">
        <v>5468</v>
      </c>
      <c r="N500">
        <f>-621.653805324403 -59.2576418063539 -556.266872126462</f>
        <v>-1237.1783192572188</v>
      </c>
      <c r="O500">
        <f>-608.727565991765 -193.247999612329 -528.382448403836</f>
        <v>-1330.35801400793</v>
      </c>
      <c r="P500">
        <f>-648.628317718782 -255.770438495106 -243.619296273208</f>
        <v>-1148.0180524870959</v>
      </c>
      <c r="Q500">
        <f>-465.058206445 -120.647485804601 -321.687567435434</f>
        <v>-907.39325968503499</v>
      </c>
      <c r="R500" t="s">
        <v>5469</v>
      </c>
      <c r="S500" t="s">
        <v>5470</v>
      </c>
      <c r="T500" t="s">
        <v>5471</v>
      </c>
      <c r="U500" t="s">
        <v>5472</v>
      </c>
      <c r="V500">
        <f>-577.781456804639 -119.976165732666 -95.7380737612474</f>
        <v>-793.49569629855239</v>
      </c>
      <c r="W500" t="s">
        <v>5473</v>
      </c>
      <c r="X500" t="s">
        <v>5474</v>
      </c>
      <c r="Y500" t="s">
        <v>5475</v>
      </c>
    </row>
    <row r="501" spans="1:25" x14ac:dyDescent="0.3">
      <c r="A501">
        <v>25000</v>
      </c>
      <c r="B501" t="s">
        <v>5476</v>
      </c>
      <c r="C501">
        <f>-591.917727319624 -25.3266047478694 -96.6560796775088</f>
        <v>-713.9004117450022</v>
      </c>
      <c r="D501">
        <f>-615.631388090619 -31.2558880332354 -209.875978908602</f>
        <v>-856.7632550324563</v>
      </c>
      <c r="E501">
        <f>-624.41686770622 -33.086562443249 -308.090652752876</f>
        <v>-965.59408290234501</v>
      </c>
      <c r="F501">
        <f>-628.300909153333 -33.5395445368356 -397.101545183954</f>
        <v>-1058.9419988741226</v>
      </c>
      <c r="G501">
        <f>-627.769356505687 -32.7525032490657 -486.193269324532</f>
        <v>-1146.7151290792849</v>
      </c>
      <c r="H501">
        <f>-622.392884642707 -30.3644124610316 -610.636827579233</f>
        <v>-1263.3941246829718</v>
      </c>
      <c r="I501">
        <f>-586.424794324956 -21.8843305700939 -685.064070762943</f>
        <v>-1293.3731956579927</v>
      </c>
      <c r="J501">
        <f>-628.422893238499 -3.95218840195867 -555.50670133839</f>
        <v>-1187.8817829788477</v>
      </c>
      <c r="K501" t="s">
        <v>5477</v>
      </c>
      <c r="L501" t="s">
        <v>5478</v>
      </c>
      <c r="M501" t="s">
        <v>5479</v>
      </c>
      <c r="N501">
        <f>-621.094716710607 -58.8785115007369 -556.24410302731</f>
        <v>-1236.217331238654</v>
      </c>
      <c r="O501">
        <f>-608.342386408167 -192.877674563751 -528.333594188464</f>
        <v>-1329.5536551603818</v>
      </c>
      <c r="P501">
        <f>-648.619869476958 -255.388060418981 -243.62074003085</f>
        <v>-1147.6286699267889</v>
      </c>
      <c r="Q501">
        <f>-464.749583778289 -120.647750663283 -321.643974395106</f>
        <v>-907.0413088366779</v>
      </c>
      <c r="R501" t="s">
        <v>5480</v>
      </c>
      <c r="S501" t="s">
        <v>5481</v>
      </c>
      <c r="T501" t="s">
        <v>5482</v>
      </c>
      <c r="U501" t="s">
        <v>5483</v>
      </c>
      <c r="V501">
        <f>-577.707580645062 -119.514657859069 -95.7326780706771</f>
        <v>-792.95491657480807</v>
      </c>
      <c r="W501" t="s">
        <v>5484</v>
      </c>
      <c r="X501" t="s">
        <v>5485</v>
      </c>
      <c r="Y501" t="s">
        <v>5486</v>
      </c>
    </row>
    <row r="502" spans="1:25" x14ac:dyDescent="0.3">
      <c r="A502">
        <v>25050</v>
      </c>
      <c r="B502" t="s">
        <v>5487</v>
      </c>
      <c r="C502">
        <f>-591.861841254551 -25.1574904835768 -96.6402905001765</f>
        <v>-713.65962223830434</v>
      </c>
      <c r="D502">
        <f>-615.562885497316 -31.0693892266017 -209.863742964593</f>
        <v>-856.49601768851073</v>
      </c>
      <c r="E502">
        <f>-624.319922378885 -32.9065138830906 -308.08071937767</f>
        <v>-965.30715563964566</v>
      </c>
      <c r="F502">
        <f>-628.171069336129 -33.3739482936721 -397.093141497782</f>
        <v>-1058.6381591275831</v>
      </c>
      <c r="G502">
        <f>-627.59936249195 -32.6108594111386 -486.184828726358</f>
        <v>-1146.3950506294466</v>
      </c>
      <c r="H502">
        <f>-622.159051121827 -30.2664127211981 -610.626497713991</f>
        <v>-1263.0519615570161</v>
      </c>
      <c r="I502">
        <f>-586.17336558239 -21.8615214520007 -685.053619779777</f>
        <v>-1293.0885068141679</v>
      </c>
      <c r="J502">
        <f>-628.19640415742 -3.83186267082965 -555.50765617124</f>
        <v>-1187.5359229994897</v>
      </c>
      <c r="K502" t="s">
        <v>5488</v>
      </c>
      <c r="L502" t="s">
        <v>5489</v>
      </c>
      <c r="M502" t="s">
        <v>5490</v>
      </c>
      <c r="N502">
        <f>-620.909704536596 -58.7640912663641 -556.224037583705</f>
        <v>-1235.8978333866651</v>
      </c>
      <c r="O502">
        <f>-608.252804563069 -192.772893183856 -528.308614874093</f>
        <v>-1329.3343126210179</v>
      </c>
      <c r="P502">
        <f>-648.663277125403 -255.243867713295 -243.6060045034</f>
        <v>-1147.5131493420981</v>
      </c>
      <c r="Q502">
        <f>-464.68503395955 -120.665265233204 -321.653988494162</f>
        <v>-907.00428768691609</v>
      </c>
      <c r="R502" t="s">
        <v>5491</v>
      </c>
      <c r="S502" t="s">
        <v>5492</v>
      </c>
      <c r="T502" t="s">
        <v>5493</v>
      </c>
      <c r="U502" t="s">
        <v>5494</v>
      </c>
      <c r="V502">
        <f>-577.668265503147 -119.364141310684 -95.7281350593852</f>
        <v>-792.7605418732162</v>
      </c>
      <c r="W502" t="s">
        <v>5495</v>
      </c>
      <c r="X502" t="s">
        <v>5496</v>
      </c>
      <c r="Y502" t="s">
        <v>5497</v>
      </c>
    </row>
    <row r="503" spans="1:25" x14ac:dyDescent="0.3">
      <c r="A503">
        <v>25100</v>
      </c>
      <c r="B503" t="s">
        <v>5498</v>
      </c>
      <c r="C503">
        <f>-591.792391637628 -24.9959143607939 -96.6325497478974</f>
        <v>-713.42085574631938</v>
      </c>
      <c r="D503">
        <f>-615.515149557207 -30.8875324037554 -209.852378597387</f>
        <v>-856.25506055834933</v>
      </c>
      <c r="E503">
        <f>-624.269084717764 -32.7829531910243 -308.068651160865</f>
        <v>-965.12068906965328</v>
      </c>
      <c r="F503">
        <f>-628.108263360449 -33.3352451071144 -397.081008279633</f>
        <v>-1058.5245167471962</v>
      </c>
      <c r="G503">
        <f>-627.51495834784 -32.6910445418666 -486.17348022336</f>
        <v>-1146.3794831130667</v>
      </c>
      <c r="H503">
        <f>-622.034265805862 -30.5495246606272 -610.617104490138</f>
        <v>-1263.2008949566271</v>
      </c>
      <c r="I503">
        <f>-586.041107029364 -22.350315789698 -685.063658397529</f>
        <v>-1293.455081216591</v>
      </c>
      <c r="J503">
        <f>-628.027858403143 -4.01707020623371 -555.540546992096</f>
        <v>-1187.5854756014728</v>
      </c>
      <c r="K503" t="s">
        <v>5499</v>
      </c>
      <c r="L503" t="s">
        <v>5500</v>
      </c>
      <c r="M503" t="s">
        <v>5501</v>
      </c>
      <c r="N503">
        <f>-620.864235468853 -58.9667043341154 -556.170708059496</f>
        <v>-1236.0016478624643</v>
      </c>
      <c r="O503">
        <f>-608.3981979165 -192.980624418926 -528.189722060442</f>
        <v>-1329.568544395868</v>
      </c>
      <c r="P503">
        <f>-648.977498234141 -255.24248218446 -243.465302271784</f>
        <v>-1147.6852826903848</v>
      </c>
      <c r="Q503">
        <f>-464.766952569222 -121.053623874041 -321.636391573434</f>
        <v>-907.45696801669703</v>
      </c>
      <c r="R503" t="s">
        <v>5502</v>
      </c>
      <c r="S503" t="s">
        <v>5503</v>
      </c>
      <c r="T503" t="s">
        <v>5504</v>
      </c>
      <c r="U503" t="s">
        <v>5505</v>
      </c>
      <c r="V503">
        <f>-577.669971113431 -119.289757085494 -95.7364280362449</f>
        <v>-792.69615623516984</v>
      </c>
      <c r="W503" t="s">
        <v>5506</v>
      </c>
      <c r="X503" t="s">
        <v>5507</v>
      </c>
      <c r="Y503" t="s">
        <v>5508</v>
      </c>
    </row>
    <row r="504" spans="1:25" x14ac:dyDescent="0.3">
      <c r="A504">
        <v>25150</v>
      </c>
      <c r="B504" t="s">
        <v>5509</v>
      </c>
      <c r="C504">
        <f>-591.764483521894 -24.8151755386314 -96.6269408559056</f>
        <v>-713.20659991643095</v>
      </c>
      <c r="D504">
        <f>-615.510932058101 -30.6986660601776 -209.84223051016</f>
        <v>-856.05182862843867</v>
      </c>
      <c r="E504">
        <f>-624.284985598217 -32.6245498456713 -308.056078969282</f>
        <v>-964.96561441317021</v>
      </c>
      <c r="F504">
        <f>-628.141780272259 -33.2204563268078 -397.067488899396</f>
        <v>-1058.4297254984629</v>
      </c>
      <c r="G504">
        <f>-627.565628680358 -32.6372601534088 -486.160560193723</f>
        <v>-1146.3634490274899</v>
      </c>
      <c r="H504">
        <f>-622.107767215387 -30.6001651159545 -610.606702140782</f>
        <v>-1263.3146344721235</v>
      </c>
      <c r="I504">
        <f>-586.127234322884 -22.5090141102228 -685.071314277997</f>
        <v>-1293.7075627111037</v>
      </c>
      <c r="J504">
        <f>-628.050515859445 -4.01638786991725 -555.549668615605</f>
        <v>-1187.6165723449672</v>
      </c>
      <c r="K504" t="s">
        <v>5510</v>
      </c>
      <c r="L504" t="s">
        <v>5511</v>
      </c>
      <c r="M504" t="s">
        <v>5512</v>
      </c>
      <c r="N504">
        <f>-620.968512388395 -58.9769009436119 -556.138591595919</f>
        <v>-1236.0840049279259</v>
      </c>
      <c r="O504">
        <f>-608.636232762331 -193.004329731905 -528.12120142816</f>
        <v>-1329.7617639223961</v>
      </c>
      <c r="P504">
        <f>-649.206405877355 -255.052160855783 -243.34881008167</f>
        <v>-1147.607376814808</v>
      </c>
      <c r="Q504">
        <f>-464.869019621548 -121.1028317931 -321.631501642487</f>
        <v>-907.603353057135</v>
      </c>
      <c r="R504" t="s">
        <v>5513</v>
      </c>
      <c r="S504" t="s">
        <v>5514</v>
      </c>
      <c r="T504" t="s">
        <v>5515</v>
      </c>
      <c r="U504" t="s">
        <v>5516</v>
      </c>
      <c r="V504">
        <f>-577.658905536645 -119.102571812224 -95.7322207136655</f>
        <v>-792.49369806253446</v>
      </c>
      <c r="W504" t="s">
        <v>5517</v>
      </c>
      <c r="X504" t="s">
        <v>5518</v>
      </c>
      <c r="Y504" t="s">
        <v>5519</v>
      </c>
    </row>
    <row r="505" spans="1:25" x14ac:dyDescent="0.3">
      <c r="A505">
        <v>25200</v>
      </c>
      <c r="B505" t="s">
        <v>5520</v>
      </c>
      <c r="C505">
        <f>-591.725077869765 -24.4511589712431 -96.6094691118357</f>
        <v>-712.78570595284373</v>
      </c>
      <c r="D505">
        <f>-615.505463500641 -30.3227426929848 -209.818365438967</f>
        <v>-855.64657163259278</v>
      </c>
      <c r="E505">
        <f>-624.328855533824 -32.2886071719522 -308.026825886344</f>
        <v>-964.64428859212023</v>
      </c>
      <c r="F505">
        <f>-628.237889032602 -32.9430727842621 -397.035591810558</f>
        <v>-1058.2165536274219</v>
      </c>
      <c r="G505">
        <f>-627.720817021214 -32.443674826477 -486.129440264823</f>
        <v>-1146.2939321125141</v>
      </c>
      <c r="H505">
        <f>-622.352379732081 -30.5517509979713 -610.581986943849</f>
        <v>-1263.4861176739014</v>
      </c>
      <c r="I505">
        <f>-586.425628789293 -22.6842189330644 -685.096319375731</f>
        <v>-1294.2061670980884</v>
      </c>
      <c r="J505">
        <f>-628.15186767831 -3.89058855947201 -555.546876728554</f>
        <v>-1187.5893329663361</v>
      </c>
      <c r="K505" t="s">
        <v>5521</v>
      </c>
      <c r="L505" t="s">
        <v>5522</v>
      </c>
      <c r="M505" t="s">
        <v>5523</v>
      </c>
      <c r="N505">
        <f>-621.277644729248 -58.8779830102304 -556.086219333307</f>
        <v>-1236.2418470727853</v>
      </c>
      <c r="O505">
        <f>-609.338274839631 -192.937457710343 -528.058471773128</f>
        <v>-1330.3342043231019</v>
      </c>
      <c r="P505">
        <f>-649.928160459161 -254.752592744487 -243.238289987317</f>
        <v>-1147.9190431909651</v>
      </c>
      <c r="Q505">
        <f>-465.272774679334 -121.329348121527 -321.669777545506</f>
        <v>-908.27190034636703</v>
      </c>
      <c r="R505" t="s">
        <v>5524</v>
      </c>
      <c r="S505" t="s">
        <v>5525</v>
      </c>
      <c r="T505" t="s">
        <v>5526</v>
      </c>
      <c r="U505" t="s">
        <v>5527</v>
      </c>
      <c r="V505">
        <f>-577.721934819025 -118.751526841732 -95.7091424374676</f>
        <v>-792.1826040982246</v>
      </c>
      <c r="W505" t="s">
        <v>5528</v>
      </c>
      <c r="X505" t="s">
        <v>5529</v>
      </c>
      <c r="Y505" t="s">
        <v>5530</v>
      </c>
    </row>
    <row r="506" spans="1:25" x14ac:dyDescent="0.3">
      <c r="A506">
        <v>25250</v>
      </c>
      <c r="B506" t="s">
        <v>5531</v>
      </c>
      <c r="C506">
        <f>-591.7060918577 -24.313643734791 -96.6149557545073</f>
        <v>-712.63469134699824</v>
      </c>
      <c r="D506">
        <f>-615.492330393123 -30.1630090470235 -209.82370124242</f>
        <v>-855.47904068256639</v>
      </c>
      <c r="E506">
        <f>-624.335588552333 -32.1324923670195 -308.030523906088</f>
        <v>-964.49860482544045</v>
      </c>
      <c r="F506">
        <f>-628.26851973771 -32.7993045062842 -397.038031198747</f>
        <v>-1058.1058554427411</v>
      </c>
      <c r="G506">
        <f>-627.780917408063 -32.3228121419634 -486.132123450557</f>
        <v>-1146.2358530005833</v>
      </c>
      <c r="H506">
        <f>-622.459547939726 -30.4748990035632 -610.587327036136</f>
        <v>-1263.5217739794252</v>
      </c>
      <c r="I506">
        <f>-586.561354452599 -22.7123652457417 -685.126444388171</f>
        <v>-1294.4001640865117</v>
      </c>
      <c r="J506">
        <f>-628.181532532771 -3.78720950729848 -555.556916556942</f>
        <v>-1187.5256585970114</v>
      </c>
      <c r="K506" t="s">
        <v>5532</v>
      </c>
      <c r="L506" t="s">
        <v>5533</v>
      </c>
      <c r="M506" t="s">
        <v>5534</v>
      </c>
      <c r="N506">
        <f>-621.420980705827 -58.7889212865451 -556.084484642563</f>
        <v>-1236.2943866349351</v>
      </c>
      <c r="O506">
        <f>-609.73573261045 -192.867935380927 -528.053245132704</f>
        <v>-1330.656913124081</v>
      </c>
      <c r="P506">
        <f>-650.384584438728 -254.594005961346 -243.222058695779</f>
        <v>-1148.2006490958529</v>
      </c>
      <c r="Q506">
        <f>-465.436851879582 -121.57981461562 -321.659396015298</f>
        <v>-908.67606251050006</v>
      </c>
      <c r="R506" t="s">
        <v>5535</v>
      </c>
      <c r="S506" t="s">
        <v>5536</v>
      </c>
      <c r="T506" t="s">
        <v>5537</v>
      </c>
      <c r="U506" t="s">
        <v>5538</v>
      </c>
      <c r="V506">
        <f>-577.799485850017 -118.651748272034 -95.7011099236732</f>
        <v>-792.15234404572425</v>
      </c>
      <c r="W506" t="s">
        <v>5539</v>
      </c>
      <c r="X506" t="s">
        <v>5540</v>
      </c>
      <c r="Y506" t="s">
        <v>5541</v>
      </c>
    </row>
    <row r="507" spans="1:25" x14ac:dyDescent="0.3">
      <c r="A507">
        <v>25300</v>
      </c>
      <c r="B507" t="s">
        <v>5542</v>
      </c>
      <c r="C507">
        <f>-591.712334381156 -23.9259654403511 -96.6132054037564</f>
        <v>-712.25150522526349</v>
      </c>
      <c r="D507">
        <f>-615.496429642755 -29.6606043362085 -209.828247580454</f>
        <v>-854.98528155941744</v>
      </c>
      <c r="E507">
        <f>-624.388923528713 -31.6061073214264 -308.031002890836</f>
        <v>-964.02603374097544</v>
      </c>
      <c r="F507">
        <f>-628.387594267227 -32.2788259995828 -397.035580164225</f>
        <v>-1057.7020004310348</v>
      </c>
      <c r="G507">
        <f>-627.98712887324 -31.8371224705243 -486.130421247242</f>
        <v>-1145.9546725910063</v>
      </c>
      <c r="H507">
        <f>-622.809440118614 -30.0679280514644 -610.592855589196</f>
        <v>-1263.4702237592744</v>
      </c>
      <c r="I507">
        <f>-586.988546389948 -22.5108357403692 -685.190234442701</f>
        <v>-1294.6896165730182</v>
      </c>
      <c r="J507">
        <f>-628.356891807812 -3.33209022536016 -555.567886412021</f>
        <v>-1187.256868445193</v>
      </c>
      <c r="K507" t="s">
        <v>5543</v>
      </c>
      <c r="L507" t="s">
        <v>5544</v>
      </c>
      <c r="M507" t="s">
        <v>5545</v>
      </c>
      <c r="N507">
        <f>-621.818855957091 -58.3608499482971 -556.078099713112</f>
        <v>-1236.2578056185002</v>
      </c>
      <c r="O507">
        <f>-610.676416325395 -192.467047342272 -527.980800684931</f>
        <v>-1331.1242643525979</v>
      </c>
      <c r="P507">
        <f>-651.551225024329 -253.941406262898 -243.127581519475</f>
        <v>-1148.6202128067021</v>
      </c>
      <c r="Q507">
        <f>-465.955405131409 -121.809907136236 -321.526185094281</f>
        <v>-909.29149736192596</v>
      </c>
      <c r="R507" t="s">
        <v>5546</v>
      </c>
      <c r="S507" t="s">
        <v>5547</v>
      </c>
      <c r="T507" t="s">
        <v>5548</v>
      </c>
      <c r="U507" t="s">
        <v>5549</v>
      </c>
      <c r="V507">
        <f>-578.12151303047 -118.226369973201 -95.7238228823325</f>
        <v>-792.07170588600354</v>
      </c>
      <c r="W507" t="s">
        <v>5550</v>
      </c>
      <c r="X507" t="s">
        <v>5551</v>
      </c>
      <c r="Y507" t="s">
        <v>5552</v>
      </c>
    </row>
    <row r="508" spans="1:25" x14ac:dyDescent="0.3">
      <c r="A508">
        <v>25350</v>
      </c>
      <c r="B508" t="s">
        <v>5553</v>
      </c>
      <c r="C508">
        <f>-591.731311523451 -23.7045189131511 -96.6068298083657</f>
        <v>-712.04266024496781</v>
      </c>
      <c r="D508">
        <f>-615.535196751438 -29.3785495693087 -209.820705156924</f>
        <v>-854.73445147767063</v>
      </c>
      <c r="E508">
        <f>-624.461907560041 -31.3171143159182 -308.020601503523</f>
        <v>-963.79962337948223</v>
      </c>
      <c r="F508">
        <f>-628.498769627239 -32.0000667865963 -397.023350085415</f>
        <v>-1057.5221864992504</v>
      </c>
      <c r="G508">
        <f>-628.143742926258 -31.5858548300728 -486.118375921053</f>
        <v>-1145.8479736773838</v>
      </c>
      <c r="H508">
        <f>-623.037285885725 -29.873192638313 -610.584516405717</f>
        <v>-1263.494994929755</v>
      </c>
      <c r="I508">
        <f>-587.262700527489 -22.426480478719 -685.21533648494</f>
        <v>-1294.904517491148</v>
      </c>
      <c r="J508">
        <f>-628.495717371855 -3.10559667232133 -555.5662432681</f>
        <v>-1187.1675573122764</v>
      </c>
      <c r="K508" t="s">
        <v>5554</v>
      </c>
      <c r="L508" t="s">
        <v>5555</v>
      </c>
      <c r="M508" t="s">
        <v>5556</v>
      </c>
      <c r="N508">
        <f>-622.07301548619 -58.1480398273751 -556.060118718134</f>
        <v>-1236.2811740316993</v>
      </c>
      <c r="O508">
        <f>-611.194498426307 -192.267397853078 -527.926518627037</f>
        <v>-1331.388414906422</v>
      </c>
      <c r="P508">
        <f>-652.189158466232 -253.552132365562 -243.049671020568</f>
        <v>-1148.790961852362</v>
      </c>
      <c r="Q508">
        <f>-466.258364669512 -121.910923853516 -321.479288714801</f>
        <v>-909.64857723782893</v>
      </c>
      <c r="R508" t="s">
        <v>5557</v>
      </c>
      <c r="S508" t="s">
        <v>5558</v>
      </c>
      <c r="T508" t="s">
        <v>5559</v>
      </c>
      <c r="U508" t="s">
        <v>5560</v>
      </c>
      <c r="V508">
        <f>-578.317716642704 -118.006746283057 -95.7295372290251</f>
        <v>-792.05400015478619</v>
      </c>
      <c r="W508" t="s">
        <v>5561</v>
      </c>
      <c r="X508" t="s">
        <v>5562</v>
      </c>
      <c r="Y508" t="s">
        <v>5563</v>
      </c>
    </row>
    <row r="509" spans="1:25" x14ac:dyDescent="0.3">
      <c r="A509">
        <v>25400</v>
      </c>
      <c r="B509" t="s">
        <v>5564</v>
      </c>
      <c r="C509">
        <f>-591.683648049999 -23.4091876992063 -96.5802724389627</f>
        <v>-711.67310818816793</v>
      </c>
      <c r="D509">
        <f>-615.557219403042 -28.9806774841104 -209.784563718955</f>
        <v>-854.32246060610748</v>
      </c>
      <c r="E509">
        <f>-624.58109056504 -30.9019491086876 -307.975866871868</f>
        <v>-963.4589065455956</v>
      </c>
      <c r="F509">
        <f>-628.72147877254 -31.5959204288188 -396.973873731182</f>
        <v>-1057.2912729325408</v>
      </c>
      <c r="G509">
        <f>-628.485246537761 -31.2206674150032 -486.069540034321</f>
        <v>-1145.7754539870853</v>
      </c>
      <c r="H509">
        <f>-623.560842424866 -29.5916541686693 -610.544015901702</f>
        <v>-1263.6965124952371</v>
      </c>
      <c r="I509">
        <f>-587.880717219809 -22.3635852911505 -685.241461337797</f>
        <v>-1295.4857638487565</v>
      </c>
      <c r="J509">
        <f>-628.832945714317 -2.7750384233284 -555.531495315729</f>
        <v>-1187.1394794533744</v>
      </c>
      <c r="K509" t="s">
        <v>5565</v>
      </c>
      <c r="L509" t="s">
        <v>5566</v>
      </c>
      <c r="M509" t="s">
        <v>5567</v>
      </c>
      <c r="N509">
        <f>-622.622700635969 -57.8419915796627 -556.006474531767</f>
        <v>-1236.4711667473987</v>
      </c>
      <c r="O509">
        <f>-612.230649377917 -191.988796037602 -527.809510337957</f>
        <v>-1332.0289557534761</v>
      </c>
      <c r="P509">
        <f>-653.422650914622 -252.970816732181 -242.89613615154</f>
        <v>-1149.289603798343</v>
      </c>
      <c r="Q509">
        <f>-466.942027023108 -122.130674940956 -321.360843001983</f>
        <v>-910.43354496604707</v>
      </c>
      <c r="R509" t="s">
        <v>5568</v>
      </c>
      <c r="S509" t="s">
        <v>5569</v>
      </c>
      <c r="T509" t="s">
        <v>5570</v>
      </c>
      <c r="U509" t="s">
        <v>5571</v>
      </c>
      <c r="V509">
        <f>-578.587959136429 -117.751483936694 -95.7059826405366</f>
        <v>-792.0454257136596</v>
      </c>
      <c r="W509" t="s">
        <v>5572</v>
      </c>
      <c r="X509" t="s">
        <v>5573</v>
      </c>
      <c r="Y509" t="s">
        <v>5574</v>
      </c>
    </row>
    <row r="510" spans="1:25" x14ac:dyDescent="0.3">
      <c r="A510">
        <v>25450</v>
      </c>
      <c r="B510" t="s">
        <v>5575</v>
      </c>
      <c r="C510">
        <f>-591.604577377604 -23.2351656513665 -96.5609535868218</f>
        <v>-711.4006966157923</v>
      </c>
      <c r="D510">
        <f>-615.503096398577 -28.7665417680939 -209.762114595903</f>
        <v>-854.03175276257389</v>
      </c>
      <c r="E510">
        <f>-624.580529452228 -30.683396484141 -307.948599461029</f>
        <v>-963.21252539739794</v>
      </c>
      <c r="F510">
        <f>-628.782411711377 -31.3853008676833 -396.943408634009</f>
        <v>-1057.1111212130693</v>
      </c>
      <c r="G510">
        <f>-628.620507509426 -31.0308975657765 -486.039389816354</f>
        <v>-1145.6907948915566</v>
      </c>
      <c r="H510">
        <f>-623.813368513866 -29.4451392699798 -610.519097599485</f>
        <v>-1263.7776053833309</v>
      </c>
      <c r="I510">
        <f>-588.18109853505 -22.3281588191837 -685.250157282076</f>
        <v>-1295.7594146363097</v>
      </c>
      <c r="J510">
        <f>-628.986859660785 -2.60416564308684 -555.509029040856</f>
        <v>-1187.1000543447278</v>
      </c>
      <c r="K510" t="s">
        <v>5576</v>
      </c>
      <c r="L510" t="s">
        <v>5577</v>
      </c>
      <c r="M510" t="s">
        <v>5578</v>
      </c>
      <c r="N510">
        <f>-622.870623848411 -57.6818286040915 -555.974475013293</f>
        <v>-1236.5269274657956</v>
      </c>
      <c r="O510">
        <f>-612.684004769363 -191.84175003613 -527.77392209259</f>
        <v>-1332.2996768980831</v>
      </c>
      <c r="P510">
        <f>-653.882650479825 -252.758227633293 -242.847620598338</f>
        <v>-1149.488498711456</v>
      </c>
      <c r="Q510">
        <f>-467.2250044096 -122.181350277305 -321.329802444761</f>
        <v>-910.736157131666</v>
      </c>
      <c r="R510" t="s">
        <v>5579</v>
      </c>
      <c r="S510" t="s">
        <v>5580</v>
      </c>
      <c r="T510" t="s">
        <v>5581</v>
      </c>
      <c r="U510" t="s">
        <v>5582</v>
      </c>
      <c r="V510">
        <f>-578.578208264488 -117.545445914133 -95.7009678045404</f>
        <v>-791.82462198316136</v>
      </c>
      <c r="W510" t="s">
        <v>5583</v>
      </c>
      <c r="X510" t="s">
        <v>5584</v>
      </c>
      <c r="Y510" t="s">
        <v>5585</v>
      </c>
    </row>
    <row r="511" spans="1:25" x14ac:dyDescent="0.3">
      <c r="A511">
        <v>25500</v>
      </c>
      <c r="B511" t="s">
        <v>5586</v>
      </c>
      <c r="C511">
        <f>-591.54356747549 -23.0287432257524 -96.5292710425264</f>
        <v>-711.10158174376875</v>
      </c>
      <c r="D511">
        <f>-615.497313750369 -28.5184182708288 -209.720601065016</f>
        <v>-853.73633308621379</v>
      </c>
      <c r="E511">
        <f>-624.677621695395 -30.4467893390597 -307.897345391162</f>
        <v>-963.02175642561679</v>
      </c>
      <c r="F511">
        <f>-628.994547928759 -31.1786505399468 -396.886548062297</f>
        <v>-1057.0597465310027</v>
      </c>
      <c r="G511">
        <f>-628.96956310151 -30.875439577756 -485.982848644474</f>
        <v>-1145.8278513237399</v>
      </c>
      <c r="H511">
        <f>-624.376359021723 -29.3842365346418 -610.471710788436</f>
        <v>-1264.2323063448007</v>
      </c>
      <c r="I511">
        <f>-588.855669817088 -22.4762042087664 -685.275387691401</f>
        <v>-1296.6072617172554</v>
      </c>
      <c r="J511">
        <f>-629.385123613029 -2.49379759340104 -555.47056064013</f>
        <v>-1187.3494818465601</v>
      </c>
      <c r="K511" t="s">
        <v>5587</v>
      </c>
      <c r="L511" t="s">
        <v>5588</v>
      </c>
      <c r="M511" t="s">
        <v>5589</v>
      </c>
      <c r="N511">
        <f>-623.410132812007 -57.5871064257045 -555.91004059555</f>
        <v>-1236.9072798332613</v>
      </c>
      <c r="O511">
        <f>-613.487417939805 -191.766552649754 -527.695635404855</f>
        <v>-1332.949605994414</v>
      </c>
      <c r="P511">
        <f>-654.599890177259 -252.62937858168 -242.745186570939</f>
        <v>-1149.9744553298781</v>
      </c>
      <c r="Q511">
        <f>-467.76155247453 -122.305002765672 -321.217132712625</f>
        <v>-911.28368795282699</v>
      </c>
      <c r="R511" t="s">
        <v>5590</v>
      </c>
      <c r="S511" t="s">
        <v>5591</v>
      </c>
      <c r="T511" t="s">
        <v>5592</v>
      </c>
      <c r="U511" t="s">
        <v>5593</v>
      </c>
      <c r="V511">
        <f>-578.669207412448 -117.447058315133 -95.6853449163118</f>
        <v>-791.8016106438929</v>
      </c>
      <c r="W511" t="s">
        <v>5594</v>
      </c>
      <c r="X511" t="s">
        <v>5595</v>
      </c>
      <c r="Y511" t="s">
        <v>5596</v>
      </c>
    </row>
    <row r="512" spans="1:25" x14ac:dyDescent="0.3">
      <c r="A512">
        <v>25550</v>
      </c>
      <c r="B512" t="s">
        <v>5597</v>
      </c>
      <c r="C512">
        <f>-591.566233212806 -22.8501050868704 -96.5330232684422</f>
        <v>-710.94936156811855</v>
      </c>
      <c r="D512">
        <f>-615.531056861568 -28.321101563728 -209.723139302929</f>
        <v>-853.575297728225</v>
      </c>
      <c r="E512">
        <f>-624.744453552085 -30.2479207091658 -307.896688232424</f>
        <v>-962.88906249367483</v>
      </c>
      <c r="F512">
        <f>-629.10098263206 -30.9843675071222 -396.883906412725</f>
        <v>-1056.9692565519072</v>
      </c>
      <c r="G512">
        <f>-629.125142062825 -30.6923302476002 -485.980171896476</f>
        <v>-1145.7976442069012</v>
      </c>
      <c r="H512">
        <f>-624.610190167955 -29.2239297561748 -610.472218655886</f>
        <v>-1264.3063385800158</v>
      </c>
      <c r="I512">
        <f>-589.163487896475 -22.395209245376 -685.318291660543</f>
        <v>-1296.876988802394</v>
      </c>
      <c r="J512">
        <f>-629.561020058419 -2.32091718481115 -555.472055846987</f>
        <v>-1187.353993090217</v>
      </c>
      <c r="K512" t="s">
        <v>5598</v>
      </c>
      <c r="L512" t="s">
        <v>5599</v>
      </c>
      <c r="M512" t="s">
        <v>5600</v>
      </c>
      <c r="N512">
        <f>-623.632880989859 -57.4192223274276 -555.906966549091</f>
        <v>-1236.9590698663776</v>
      </c>
      <c r="O512">
        <f>-613.767615343172 -191.603020841098 -527.675052864991</f>
        <v>-1333.045689049261</v>
      </c>
      <c r="P512">
        <f>-654.926638521028 -252.389260643532 -242.714950388375</f>
        <v>-1150.030849552935</v>
      </c>
      <c r="Q512">
        <f>-468.016675728134 -122.134586186067 -321.132227478143</f>
        <v>-911.28348939234399</v>
      </c>
      <c r="R512" t="s">
        <v>5601</v>
      </c>
      <c r="S512" t="s">
        <v>5602</v>
      </c>
      <c r="T512" t="s">
        <v>5603</v>
      </c>
      <c r="U512" t="s">
        <v>5604</v>
      </c>
      <c r="V512">
        <f>-578.747258970526 -117.266377560589 -95.6950923738327</f>
        <v>-791.70872890494775</v>
      </c>
      <c r="W512" t="s">
        <v>5605</v>
      </c>
      <c r="X512" t="s">
        <v>5606</v>
      </c>
      <c r="Y512" t="s">
        <v>5607</v>
      </c>
    </row>
    <row r="513" spans="1:25" x14ac:dyDescent="0.3">
      <c r="A513">
        <v>25600</v>
      </c>
      <c r="B513" t="s">
        <v>5608</v>
      </c>
      <c r="C513">
        <f>-591.646573448545 -22.5143705970868 -96.5392061788259</f>
        <v>-710.70015022445773</v>
      </c>
      <c r="D513">
        <f>-615.576485367895 -27.9559452568619 -209.737919240353</f>
        <v>-853.27034986510989</v>
      </c>
      <c r="E513">
        <f>-624.820028609849 -29.8795733463521 -307.908904320247</f>
        <v>-962.60850627644822</v>
      </c>
      <c r="F513">
        <f>-629.228085492797 -30.6225639766242 -396.893429155008</f>
        <v>-1056.7440786244292</v>
      </c>
      <c r="G513">
        <f>-629.327824548775 -30.3471929551258 -485.989701368579</f>
        <v>-1145.6647188724799</v>
      </c>
      <c r="H513">
        <f>-624.943944346593 -28.9129931575555 -610.48684082331</f>
        <v>-1264.3437783274585</v>
      </c>
      <c r="I513">
        <f>-589.65829212519 -22.207419262859 -685.420192268983</f>
        <v>-1297.2859036570321</v>
      </c>
      <c r="J513">
        <f>-629.801469033129 -1.99110310836454 -555.487589003824</f>
        <v>-1187.2801611453176</v>
      </c>
      <c r="K513" t="s">
        <v>5609</v>
      </c>
      <c r="L513" t="s">
        <v>5610</v>
      </c>
      <c r="M513" t="s">
        <v>5611</v>
      </c>
      <c r="N513">
        <f>-623.944727924804 -57.0970777147063 -555.916152220865</f>
        <v>-1236.9579578603752</v>
      </c>
      <c r="O513">
        <f>-614.160035693773 -191.281708384324 -527.675049366817</f>
        <v>-1333.116793444914</v>
      </c>
      <c r="P513">
        <f>-655.553598365497 -252.084674762816 -242.752772006518</f>
        <v>-1150.3910451348311</v>
      </c>
      <c r="Q513">
        <f>-468.480099380733 -121.855769057005 -320.821786472537</f>
        <v>-911.15765491027491</v>
      </c>
      <c r="R513" t="s">
        <v>5612</v>
      </c>
      <c r="S513" t="s">
        <v>5613</v>
      </c>
      <c r="T513" t="s">
        <v>5614</v>
      </c>
      <c r="U513" t="s">
        <v>5615</v>
      </c>
      <c r="V513">
        <f>-578.885177619347 -117.007842423953 -95.7154004660504</f>
        <v>-791.60842050935037</v>
      </c>
      <c r="W513" t="s">
        <v>5616</v>
      </c>
      <c r="X513" t="s">
        <v>5617</v>
      </c>
      <c r="Y513" t="s">
        <v>5618</v>
      </c>
    </row>
    <row r="514" spans="1:25" x14ac:dyDescent="0.3">
      <c r="A514">
        <v>25650</v>
      </c>
      <c r="B514" t="s">
        <v>5619</v>
      </c>
      <c r="C514">
        <f>-591.666302528913 -22.3568459769899 -96.5450503049825</f>
        <v>-710.56819881088541</v>
      </c>
      <c r="D514">
        <f>-615.57517835423 -27.7813621877181 -209.749191194747</f>
        <v>-853.10573173669513</v>
      </c>
      <c r="E514">
        <f>-624.826411558657 -29.7029941283677 -307.919345392889</f>
        <v>-962.44875107991368</v>
      </c>
      <c r="F514">
        <f>-629.251902444516 -30.4486929677691 -396.903072745841</f>
        <v>-1056.6036681581261</v>
      </c>
      <c r="G514">
        <f>-629.379592597169 -30.1813511312726 -485.999394080253</f>
        <v>-1145.5603378086946</v>
      </c>
      <c r="H514">
        <f>-625.045702328221 -28.7638530489592 -610.498411015284</f>
        <v>-1264.3079663924641</v>
      </c>
      <c r="I514">
        <f>-589.837475787507 -22.107073997674 -685.472461948894</f>
        <v>-1297.417011734075</v>
      </c>
      <c r="J514">
        <f>-629.865028603472 -1.83292847410553 -555.500103589916</f>
        <v>-1187.1980606674933</v>
      </c>
      <c r="K514" t="s">
        <v>5620</v>
      </c>
      <c r="L514" t="s">
        <v>5621</v>
      </c>
      <c r="M514" t="s">
        <v>5622</v>
      </c>
      <c r="N514">
        <f>-624.040659627247 -56.9423571581062 -555.924885518399</f>
        <v>-1236.9079023037523</v>
      </c>
      <c r="O514">
        <f>-614.323211635506 -191.131903692169 -527.678991534781</f>
        <v>-1333.1341068624561</v>
      </c>
      <c r="P514">
        <f>-655.863955849868 -251.929089641756 -242.776881718225</f>
        <v>-1150.5699272098491</v>
      </c>
      <c r="Q514">
        <f>-468.608855647006 -121.854704714751 -320.668008016062</f>
        <v>-911.13156837781901</v>
      </c>
      <c r="R514" t="s">
        <v>5623</v>
      </c>
      <c r="S514" t="s">
        <v>5624</v>
      </c>
      <c r="T514" t="s">
        <v>5625</v>
      </c>
      <c r="U514" t="s">
        <v>5626</v>
      </c>
      <c r="V514">
        <f>-578.936399245669 -116.876442698923 -95.7198729416961</f>
        <v>-791.53271488628809</v>
      </c>
      <c r="W514" t="s">
        <v>5627</v>
      </c>
      <c r="X514" t="s">
        <v>5628</v>
      </c>
      <c r="Y514" t="s">
        <v>5629</v>
      </c>
    </row>
    <row r="515" spans="1:25" x14ac:dyDescent="0.3">
      <c r="A515">
        <v>25700</v>
      </c>
      <c r="B515" t="s">
        <v>5630</v>
      </c>
      <c r="C515">
        <f>-591.708221065808 -22.1479320704061 -96.5733662110238</f>
        <v>-710.42951934723783</v>
      </c>
      <c r="D515">
        <f>-615.595503099734 -27.5551535410905 -209.782838003579</f>
        <v>-852.93349464440348</v>
      </c>
      <c r="E515">
        <f>-624.875389766147 -29.4886332798067 -307.94999121159</f>
        <v>-962.3140142575437</v>
      </c>
      <c r="F515">
        <f>-629.345820848961 -30.2566367091349 -396.931237194889</f>
        <v>-1056.533694752985</v>
      </c>
      <c r="G515">
        <f>-629.537344695868 -30.023647205797 -486.027666115614</f>
        <v>-1145.5886580172792</v>
      </c>
      <c r="H515">
        <f>-625.312187485822 -28.667616324394 -610.531035409489</f>
        <v>-1264.5108392197051</v>
      </c>
      <c r="I515">
        <f>-590.242962221196 -22.1026541095644 -685.57826086367</f>
        <v>-1297.9238771944304</v>
      </c>
      <c r="J515">
        <f>-630.044498854847 -1.7052943198355 -555.540689140652</f>
        <v>-1187.2904823153344</v>
      </c>
      <c r="K515" t="s">
        <v>5631</v>
      </c>
      <c r="L515" t="s">
        <v>5632</v>
      </c>
      <c r="M515" t="s">
        <v>5633</v>
      </c>
      <c r="N515">
        <f>-624.29841961718 -56.8232762202988 -555.945909991048</f>
        <v>-1237.0676058285267</v>
      </c>
      <c r="O515">
        <f>-614.686865429595 -191.015199343479 -527.690881826576</f>
        <v>-1333.3929465996498</v>
      </c>
      <c r="P515">
        <f>-656.682370036897 -252.172306671414 -242.932338534987</f>
        <v>-1151.7870152432979</v>
      </c>
      <c r="Q515">
        <f>-469.233854566035 -122.14029265875 -320.428312491816</f>
        <v>-911.80245971660099</v>
      </c>
      <c r="R515" t="s">
        <v>5634</v>
      </c>
      <c r="S515" t="s">
        <v>5635</v>
      </c>
      <c r="T515" t="s">
        <v>5636</v>
      </c>
      <c r="U515" t="s">
        <v>5637</v>
      </c>
      <c r="V515">
        <f>-578.956298092399 -116.700059416501 -95.7554949955118</f>
        <v>-791.41185250441185</v>
      </c>
      <c r="W515" t="s">
        <v>5638</v>
      </c>
      <c r="X515" t="s">
        <v>5639</v>
      </c>
      <c r="Y515" t="s">
        <v>5640</v>
      </c>
    </row>
    <row r="516" spans="1:25" x14ac:dyDescent="0.3">
      <c r="A516">
        <v>25750</v>
      </c>
      <c r="B516" t="s">
        <v>5630</v>
      </c>
      <c r="C516">
        <f>-591.708221065808 -22.1479320704061 -96.5733662110238</f>
        <v>-710.42951934723783</v>
      </c>
      <c r="D516">
        <f>-615.595503099734 -27.5551535410905 -209.782838003579</f>
        <v>-852.93349464440348</v>
      </c>
      <c r="E516">
        <f>-624.875389766147 -29.4886332798067 -307.94999121159</f>
        <v>-962.3140142575437</v>
      </c>
      <c r="F516">
        <f>-629.345820848961 -30.2566367091349 -396.931237194889</f>
        <v>-1056.533694752985</v>
      </c>
      <c r="G516">
        <f>-629.537344695868 -30.023647205797 -486.027666115614</f>
        <v>-1145.5886580172792</v>
      </c>
      <c r="H516">
        <f>-625.312187485822 -28.667616324394 -610.531035409489</f>
        <v>-1264.5108392197051</v>
      </c>
      <c r="I516">
        <f>-590.242962221196 -22.1026541095644 -685.57826086367</f>
        <v>-1297.9238771944304</v>
      </c>
      <c r="J516">
        <f>-630.044498854847 -1.7052943198355 -555.540689140652</f>
        <v>-1187.2904823153344</v>
      </c>
      <c r="K516" t="s">
        <v>5631</v>
      </c>
      <c r="L516" t="s">
        <v>5632</v>
      </c>
      <c r="M516" t="s">
        <v>5633</v>
      </c>
      <c r="N516">
        <f>-624.29841961718 -56.8232762202988 -555.945909991048</f>
        <v>-1237.0676058285267</v>
      </c>
      <c r="O516">
        <f>-614.686865429595 -191.015199343479 -527.690881826576</f>
        <v>-1333.3929465996498</v>
      </c>
      <c r="P516">
        <f>-656.682370036897 -252.172306671414 -242.932338534987</f>
        <v>-1151.7870152432979</v>
      </c>
      <c r="Q516">
        <f>-469.233854566035 -122.14029265875 -320.428312491816</f>
        <v>-911.80245971660099</v>
      </c>
      <c r="R516" t="s">
        <v>5634</v>
      </c>
      <c r="S516" t="s">
        <v>5635</v>
      </c>
      <c r="T516" t="s">
        <v>5636</v>
      </c>
      <c r="U516" t="s">
        <v>5637</v>
      </c>
      <c r="V516">
        <f>-578.956298092399 -116.700059416501 -95.7554949955118</f>
        <v>-791.41185250441185</v>
      </c>
      <c r="W516" t="s">
        <v>5638</v>
      </c>
      <c r="X516" t="s">
        <v>5639</v>
      </c>
      <c r="Y516" t="s">
        <v>5640</v>
      </c>
    </row>
    <row r="517" spans="1:25" x14ac:dyDescent="0.3">
      <c r="A517">
        <v>25800</v>
      </c>
      <c r="B517" t="s">
        <v>5641</v>
      </c>
      <c r="C517">
        <f>-591.753465082144 -22.1285421455516 -96.5838047432941</f>
        <v>-710.46581197098965</v>
      </c>
      <c r="D517">
        <f>-615.632211101337 -27.5295055924232 -209.795499204347</f>
        <v>-852.95721589810728</v>
      </c>
      <c r="E517">
        <f>-624.917736332642 -29.4617676537548 -307.962118569635</f>
        <v>-962.34162255603178</v>
      </c>
      <c r="F517">
        <f>-629.398140488647 -30.2315263465707 -396.942851038015</f>
        <v>-1056.5725178732328</v>
      </c>
      <c r="G517">
        <f>-629.604488524391 -30.0041185369478 -486.039114427999</f>
        <v>-1145.6477214893378</v>
      </c>
      <c r="H517">
        <f>-625.404899903324 -28.6604627946097 -610.543609629542</f>
        <v>-1264.6089723274756</v>
      </c>
      <c r="I517">
        <f>-590.387634417034 -22.1279414004109 -685.617917549829</f>
        <v>-1298.1334933672738</v>
      </c>
      <c r="J517">
        <f>-630.105088704326 -1.69058057245798 -555.554203820999</f>
        <v>-1187.3498730977831</v>
      </c>
      <c r="K517" t="s">
        <v>5642</v>
      </c>
      <c r="L517" t="s">
        <v>5643</v>
      </c>
      <c r="M517" t="s">
        <v>5644</v>
      </c>
      <c r="N517">
        <f>-624.400716751274 -56.8128445427487 -555.956640969094</f>
        <v>-1237.1702022631166</v>
      </c>
      <c r="O517">
        <f>-614.900982490285 -191.026347591663 -527.741897029694</f>
        <v>-1333.6692271116419</v>
      </c>
      <c r="P517">
        <f>-657.339768643336 -252.224078467112 -243.057897634766</f>
        <v>-1152.6217447452141</v>
      </c>
      <c r="Q517">
        <f>-469.596780035074 -122.272405294506 -319.973408910963</f>
        <v>-911.84259424054289</v>
      </c>
      <c r="R517" t="s">
        <v>5645</v>
      </c>
      <c r="S517" t="s">
        <v>5646</v>
      </c>
      <c r="T517" t="s">
        <v>5647</v>
      </c>
      <c r="U517" t="s">
        <v>5648</v>
      </c>
      <c r="V517">
        <f>-578.958524688013 -116.662193008951 -95.7617786568957</f>
        <v>-791.38249635385966</v>
      </c>
      <c r="W517" t="s">
        <v>5649</v>
      </c>
      <c r="X517" t="s">
        <v>5650</v>
      </c>
      <c r="Y517" t="s">
        <v>5651</v>
      </c>
    </row>
    <row r="518" spans="1:25" x14ac:dyDescent="0.3">
      <c r="A518">
        <v>25850</v>
      </c>
      <c r="B518" t="s">
        <v>5652</v>
      </c>
      <c r="C518">
        <f>-592.279551488058 -22.0989969706022 -96.6637048982171</f>
        <v>-711.04225335687738</v>
      </c>
      <c r="D518">
        <f>-616.064456632788 -27.5674563460916 -209.891631316005</f>
        <v>-853.52354429488469</v>
      </c>
      <c r="E518">
        <f>-625.286037504379 -29.4563885399832 -308.065330449392</f>
        <v>-962.80775649375414</v>
      </c>
      <c r="F518">
        <f>-629.713744041932 -30.152346275853 -397.049339403987</f>
        <v>-1056.9154297217719</v>
      </c>
      <c r="G518">
        <f>-629.871421945307 -29.8195867042723 -486.145354615219</f>
        <v>-1145.8363632647984</v>
      </c>
      <c r="H518">
        <f>-625.607287594708 -28.2995746578397 -610.645658509216</f>
        <v>-1264.5525207617638</v>
      </c>
      <c r="I518">
        <f>-590.709250475299 -21.7824939249053 -685.776636114756</f>
        <v>-1298.2683805149604</v>
      </c>
      <c r="J518">
        <f>-630.282054769805 -1.40213105895555 -555.61847389864</f>
        <v>-1187.3026597274006</v>
      </c>
      <c r="K518" t="s">
        <v>5653</v>
      </c>
      <c r="L518" t="s">
        <v>5654</v>
      </c>
      <c r="M518" t="s">
        <v>5655</v>
      </c>
      <c r="N518">
        <f>-624.685369618055 -56.534872073461 -556.099975623205</f>
        <v>-1237.320217314721</v>
      </c>
      <c r="O518">
        <f>-615.503224436343 -190.779514350988 -527.972707438856</f>
        <v>-1334.2554462261869</v>
      </c>
      <c r="P518">
        <f>-659.325686684059 -251.988642331223 -243.500937516302</f>
        <v>-1154.815266531584</v>
      </c>
      <c r="Q518">
        <f>-470.991331487808 -122.3520061579 -319.496690891491</f>
        <v>-912.84002853719903</v>
      </c>
      <c r="R518" t="s">
        <v>5656</v>
      </c>
      <c r="S518" t="s">
        <v>5657</v>
      </c>
      <c r="T518" t="s">
        <v>5658</v>
      </c>
      <c r="U518" t="s">
        <v>5659</v>
      </c>
      <c r="V518">
        <f>-579.357289842915 -116.564102746174 -95.8212877574016</f>
        <v>-791.7426803464906</v>
      </c>
      <c r="W518" t="s">
        <v>5660</v>
      </c>
      <c r="X518" t="s">
        <v>5661</v>
      </c>
      <c r="Y518" t="s">
        <v>5662</v>
      </c>
    </row>
    <row r="519" spans="1:25" x14ac:dyDescent="0.3">
      <c r="A519">
        <v>25900</v>
      </c>
      <c r="B519" t="s">
        <v>5663</v>
      </c>
      <c r="C519">
        <f>-593.131353615646 -22.2076130994685 -96.75817439402</f>
        <v>-712.09714110913455</v>
      </c>
      <c r="D519">
        <f>-616.788981838896 -27.7316860924989 -210.010144600631</f>
        <v>-854.53081253202595</v>
      </c>
      <c r="E519">
        <f>-625.906416871053 -29.5996094851109 -308.193982595868</f>
        <v>-963.70000895203202</v>
      </c>
      <c r="F519">
        <f>-630.241090159535 -30.2522370396673 -397.182911054009</f>
        <v>-1057.6762382532113</v>
      </c>
      <c r="G519">
        <f>-630.306525195129 -29.8536549903104 -486.278746904193</f>
        <v>-1146.4389270896322</v>
      </c>
      <c r="H519">
        <f>-625.913810156023 -28.2187699087108 -610.773152465411</f>
        <v>-1264.9057325301449</v>
      </c>
      <c r="I519">
        <f>-591.062185080648 -21.6844726522384 -685.92418813405</f>
        <v>-1298.6708458669364</v>
      </c>
      <c r="J519">
        <f>-630.646972629121 -1.372132560708 -555.726070448001</f>
        <v>-1187.74517563783</v>
      </c>
      <c r="K519" t="s">
        <v>5664</v>
      </c>
      <c r="L519" t="s">
        <v>5665</v>
      </c>
      <c r="M519" t="s">
        <v>5666</v>
      </c>
      <c r="N519">
        <f>-625.046692138979 -56.5041140127615 -556.252556830532</f>
        <v>-1237.8033629822726</v>
      </c>
      <c r="O519">
        <f>-615.815558170835 -190.777020348736 -528.229797889426</f>
        <v>-1334.8223764089969</v>
      </c>
      <c r="P519">
        <f>-659.876081785883 -252.384330201067 -243.880619528069</f>
        <v>-1156.141031515019</v>
      </c>
      <c r="Q519">
        <f>-471.611531987803 -122.420888843902 -319.490321150968</f>
        <v>-913.5227419826731</v>
      </c>
      <c r="R519" t="s">
        <v>5667</v>
      </c>
      <c r="S519" t="s">
        <v>5668</v>
      </c>
      <c r="T519" t="s">
        <v>5669</v>
      </c>
      <c r="U519" t="s">
        <v>5670</v>
      </c>
      <c r="V519">
        <f>-580.133173119705 -116.721346975241 -95.8990790247327</f>
        <v>-792.75359911967871</v>
      </c>
      <c r="W519" t="s">
        <v>5671</v>
      </c>
      <c r="X519" t="s">
        <v>5672</v>
      </c>
      <c r="Y519" t="s">
        <v>5673</v>
      </c>
    </row>
    <row r="520" spans="1:25" x14ac:dyDescent="0.3">
      <c r="A520">
        <v>25950</v>
      </c>
      <c r="B520" t="s">
        <v>5674</v>
      </c>
      <c r="C520">
        <f>-593.654496945052 -22.4406225325442 -96.8007949260815</f>
        <v>-712.89591440367769</v>
      </c>
      <c r="D520">
        <f>-617.241987412892 -27.9697843306344 -210.067187625542</f>
        <v>-855.27895936906839</v>
      </c>
      <c r="E520">
        <f>-626.281814538974 -29.8167455781488 -308.258403325072</f>
        <v>-964.3569634421948</v>
      </c>
      <c r="F520">
        <f>-630.53916219525 -30.4408683019985 -397.251218322993</f>
        <v>-1058.2312488202415</v>
      </c>
      <c r="G520">
        <f>-630.519987899211 -30.004051985967 -486.347156399916</f>
        <v>-1146.8711962850939</v>
      </c>
      <c r="H520">
        <f>-626.001663410506 -28.3057860354077 -610.836013304701</f>
        <v>-1265.1434627506146</v>
      </c>
      <c r="I520">
        <f>-591.158353133739 -21.7465891553525 -685.988954643494</f>
        <v>-1298.8938969325854</v>
      </c>
      <c r="J520">
        <f>-630.803040360218 -1.48856935191134 -555.780697872315</f>
        <v>-1188.0723075844444</v>
      </c>
      <c r="K520" t="s">
        <v>5675</v>
      </c>
      <c r="L520" t="s">
        <v>5676</v>
      </c>
      <c r="M520" t="s">
        <v>5677</v>
      </c>
      <c r="N520">
        <f>-625.176925987784 -56.6176570493507 -556.328439670069</f>
        <v>-1238.1230227072037</v>
      </c>
      <c r="O520">
        <f>-615.861483423064 -190.885080689972 -528.357999532114</f>
        <v>-1335.1045636451499</v>
      </c>
      <c r="P520">
        <f>-660.002781733007 -252.68527766412 -244.063357931026</f>
        <v>-1156.7514173281531</v>
      </c>
      <c r="Q520">
        <f>-471.841502373568 -122.525348124797 -319.592264181284</f>
        <v>-913.95911467964902</v>
      </c>
      <c r="R520" t="s">
        <v>5678</v>
      </c>
      <c r="S520" t="s">
        <v>5679</v>
      </c>
      <c r="T520" t="s">
        <v>5680</v>
      </c>
      <c r="U520" t="s">
        <v>5681</v>
      </c>
      <c r="V520">
        <f>-580.662854749745 -116.98356611262 -95.9376423994556</f>
        <v>-793.58406326182057</v>
      </c>
      <c r="W520" t="s">
        <v>5682</v>
      </c>
      <c r="X520" t="s">
        <v>5683</v>
      </c>
      <c r="Y520" t="s">
        <v>5684</v>
      </c>
    </row>
    <row r="521" spans="1:25" x14ac:dyDescent="0.3">
      <c r="A521">
        <v>26000</v>
      </c>
      <c r="B521" t="s">
        <v>5685</v>
      </c>
      <c r="C521">
        <f>-594.732672395054 -22.9736360544055 -96.858849997577</f>
        <v>-714.56515844703642</v>
      </c>
      <c r="D521">
        <f>-618.242042926143 -28.4886815109012 -210.142245664496</f>
        <v>-856.8729701015402</v>
      </c>
      <c r="E521">
        <f>-627.176412315368 -30.29707748397 -308.343830296764</f>
        <v>-965.81732009610209</v>
      </c>
      <c r="F521">
        <f>-631.322410045325 -30.8771288593332 -397.342222921876</f>
        <v>-1059.5417618265342</v>
      </c>
      <c r="G521">
        <f>-631.176171301358 -30.3875853426123 -486.437534712735</f>
        <v>-1148.0012913567052</v>
      </c>
      <c r="H521">
        <f>-626.463436490337 -28.6073731215297 -610.918324285601</f>
        <v>-1265.9891338974676</v>
      </c>
      <c r="I521">
        <f>-591.624616943913 -22.0032209343353 -686.069273817594</f>
        <v>-1299.6971116958423</v>
      </c>
      <c r="J521">
        <f>-631.35963179259 -1.82722355801934 -555.853170441361</f>
        <v>-1189.0400257919705</v>
      </c>
      <c r="K521" t="s">
        <v>5686</v>
      </c>
      <c r="L521" t="s">
        <v>5687</v>
      </c>
      <c r="M521" t="s">
        <v>5688</v>
      </c>
      <c r="N521">
        <f>-625.714973999496 -56.9540324524022 -556.427762590836</f>
        <v>-1239.0967690427342</v>
      </c>
      <c r="O521">
        <f>-616.314541047337 -191.242499148058 -528.536874831625</f>
        <v>-1336.0939150270201</v>
      </c>
      <c r="P521">
        <f>-660.466118665621 -253.24945924702 -244.28875349435</f>
        <v>-1158.004331406991</v>
      </c>
      <c r="Q521">
        <f>-472.577458585956 -122.75714492096 -319.922667786712</f>
        <v>-915.25727129362804</v>
      </c>
      <c r="R521" t="s">
        <v>5689</v>
      </c>
      <c r="S521" t="s">
        <v>5690</v>
      </c>
      <c r="T521" t="s">
        <v>5691</v>
      </c>
      <c r="U521" t="s">
        <v>5692</v>
      </c>
      <c r="V521">
        <f>-581.721203381851 -117.524888131399 -96.0005859621026</f>
        <v>-795.2466774753525</v>
      </c>
      <c r="W521" t="s">
        <v>5693</v>
      </c>
      <c r="X521" t="s">
        <v>5694</v>
      </c>
      <c r="Y521" t="s">
        <v>5695</v>
      </c>
    </row>
    <row r="522" spans="1:25" x14ac:dyDescent="0.3">
      <c r="A522">
        <v>26050</v>
      </c>
      <c r="B522" t="s">
        <v>5696</v>
      </c>
      <c r="C522">
        <f>-595.207333021169 -23.1507098919342 -96.8751455781165</f>
        <v>-715.23318849121972</v>
      </c>
      <c r="D522">
        <f>-618.689991012729 -28.6813948396102 -210.163308102885</f>
        <v>-857.53469395522427</v>
      </c>
      <c r="E522">
        <f>-627.590462751913 -30.4874496898528 -308.368089253611</f>
        <v>-966.44600169537694</v>
      </c>
      <c r="F522">
        <f>-631.701244317389 -31.0597723906396 -397.368145455149</f>
        <v>-1060.1291621631776</v>
      </c>
      <c r="G522">
        <f>-631.514975006572 -30.5568054999937 -486.463350990067</f>
        <v>-1148.5351314966326</v>
      </c>
      <c r="H522">
        <f>-626.741568260035 -28.7524958064569 -610.941350711127</f>
        <v>-1266.4354147776189</v>
      </c>
      <c r="I522">
        <f>-591.889136786194 -22.1366898806016 -686.084996414605</f>
        <v>-1300.1108230814007</v>
      </c>
      <c r="J522">
        <f>-631.663715094248 -1.983029260075 -555.873440904922</f>
        <v>-1189.520185259245</v>
      </c>
      <c r="K522" t="s">
        <v>5697</v>
      </c>
      <c r="L522" t="s">
        <v>5698</v>
      </c>
      <c r="M522" t="s">
        <v>5699</v>
      </c>
      <c r="N522">
        <f>-626.020497324319 -57.1100120508358 -556.456042447714</f>
        <v>-1239.5865518228688</v>
      </c>
      <c r="O522">
        <f>-616.60400089997 -191.391193912955 -528.562228390146</f>
        <v>-1336.5574232030708</v>
      </c>
      <c r="P522">
        <f>-660.734933078237 -253.393240888405 -244.309816787248</f>
        <v>-1158.4379907538901</v>
      </c>
      <c r="Q522">
        <f>-472.901827223603 -122.892986514673 -320.067830305045</f>
        <v>-915.86264404332087</v>
      </c>
      <c r="R522" t="s">
        <v>5700</v>
      </c>
      <c r="S522" t="s">
        <v>5701</v>
      </c>
      <c r="T522" t="s">
        <v>5702</v>
      </c>
      <c r="U522" t="s">
        <v>5703</v>
      </c>
      <c r="V522">
        <f>-582.169972629431 -117.686602593981 -96.0133961426473</f>
        <v>-795.86997136605919</v>
      </c>
      <c r="W522" t="s">
        <v>5704</v>
      </c>
      <c r="X522" t="s">
        <v>5705</v>
      </c>
      <c r="Y522" t="s">
        <v>5706</v>
      </c>
    </row>
    <row r="523" spans="1:25" x14ac:dyDescent="0.3">
      <c r="A523">
        <v>26100</v>
      </c>
      <c r="B523" t="s">
        <v>5707</v>
      </c>
      <c r="C523">
        <f>-596.13599223949 -23.7220180389111 -96.8977813844883</f>
        <v>-716.75579166288935</v>
      </c>
      <c r="D523">
        <f>-619.624399606208 -29.2692756592062 -210.18387226241</f>
        <v>-859.07754752782421</v>
      </c>
      <c r="E523">
        <f>-628.479348731839 -31.0927633620581 -308.392506497214</f>
        <v>-967.96461859111105</v>
      </c>
      <c r="F523">
        <f>-632.528454187046 -31.6831573640191 -397.395254103892</f>
        <v>-1061.6068656549571</v>
      </c>
      <c r="G523">
        <f>-632.259886752969 -31.2012635990004 -486.490377274605</f>
        <v>-1149.9515276265745</v>
      </c>
      <c r="H523">
        <f>-627.349637780313 -29.4296728129611 -610.963562818149</f>
        <v>-1267.742873411423</v>
      </c>
      <c r="I523">
        <f>-592.464474739531 -22.8132378827681 -686.091873142659</f>
        <v>-1301.3695857649582</v>
      </c>
      <c r="J523">
        <f>-632.327992935519 -2.64530022071722 -555.907981495442</f>
        <v>-1190.8812746516783</v>
      </c>
      <c r="K523" t="s">
        <v>5708</v>
      </c>
      <c r="L523" t="s">
        <v>5709</v>
      </c>
      <c r="M523" t="s">
        <v>5710</v>
      </c>
      <c r="N523">
        <f>-626.692766044153 -57.773211927416 -556.470243430168</f>
        <v>-1240.9362214017369</v>
      </c>
      <c r="O523">
        <f>-617.261016218226 -192.046755055061 -528.540494494955</f>
        <v>-1337.8482657682421</v>
      </c>
      <c r="P523">
        <f>-661.567036886161 -253.894980508186 -244.281932373034</f>
        <v>-1159.7439497673809</v>
      </c>
      <c r="Q523">
        <f>-473.645404024305 -123.616100524453 -320.20123557834</f>
        <v>-917.46274012709796</v>
      </c>
      <c r="R523" t="s">
        <v>5711</v>
      </c>
      <c r="S523" t="s">
        <v>5712</v>
      </c>
      <c r="T523" t="s">
        <v>5713</v>
      </c>
      <c r="U523" t="s">
        <v>5714</v>
      </c>
      <c r="V523">
        <f>-583.109424443425 -118.38452470358 -96.0329304461696</f>
        <v>-797.52687959317473</v>
      </c>
      <c r="W523" t="s">
        <v>5715</v>
      </c>
      <c r="X523" t="s">
        <v>5716</v>
      </c>
      <c r="Y523" t="s">
        <v>5717</v>
      </c>
    </row>
    <row r="524" spans="1:25" x14ac:dyDescent="0.3">
      <c r="A524">
        <v>26150</v>
      </c>
      <c r="B524" t="s">
        <v>5718</v>
      </c>
      <c r="C524">
        <f>-596.552406168648 -23.8719263164051 -96.9124990797527</f>
        <v>-717.33683156480572</v>
      </c>
      <c r="D524">
        <f>-620.060969774959 -29.4340732686846 -210.193673460725</f>
        <v>-859.68871650436859</v>
      </c>
      <c r="E524">
        <f>-628.912071896855 -31.2765606936416 -308.402222656545</f>
        <v>-968.59085524704165</v>
      </c>
      <c r="F524">
        <f>-632.94912576524 -31.886978043698 -397.405513467222</f>
        <v>-1062.24161727616</v>
      </c>
      <c r="G524">
        <f>-632.659692605926 -31.4281905382682 -486.500679482158</f>
        <v>-1150.5885626263521</v>
      </c>
      <c r="H524">
        <f>-627.711248610007 -29.6920908161726 -610.972744884249</f>
        <v>-1268.3760843104287</v>
      </c>
      <c r="I524">
        <f>-592.827198951725 -23.0861768173568 -686.102592182642</f>
        <v>-1302.0159679517237</v>
      </c>
      <c r="J524">
        <f>-632.710577008799 -2.89241600195078 -555.926456576976</f>
        <v>-1191.5294495877256</v>
      </c>
      <c r="K524" t="s">
        <v>5719</v>
      </c>
      <c r="L524" t="s">
        <v>5720</v>
      </c>
      <c r="M524" t="s">
        <v>5721</v>
      </c>
      <c r="N524">
        <f>-627.067028175056 -58.0196709461343 -556.470942522502</f>
        <v>-1241.5576416436922</v>
      </c>
      <c r="O524">
        <f>-617.603188724768 -192.284576482649 -528.506482299103</f>
        <v>-1338.3942475065201</v>
      </c>
      <c r="P524">
        <f>-662.033857488188 -254.009995938749 -244.240575752308</f>
        <v>-1160.2844291792449</v>
      </c>
      <c r="Q524">
        <f>-473.988427754745 -123.955140247811 -320.23742046619</f>
        <v>-918.18098846874591</v>
      </c>
      <c r="R524" t="s">
        <v>5722</v>
      </c>
      <c r="S524" t="s">
        <v>5723</v>
      </c>
      <c r="T524" t="s">
        <v>5724</v>
      </c>
      <c r="U524" t="s">
        <v>5725</v>
      </c>
      <c r="V524">
        <f>-583.501265907004 -118.431046899858 -96.0365521793952</f>
        <v>-797.96886498625724</v>
      </c>
      <c r="W524" t="s">
        <v>5726</v>
      </c>
      <c r="X524" t="s">
        <v>5727</v>
      </c>
      <c r="Y524" t="s">
        <v>5728</v>
      </c>
    </row>
    <row r="525" spans="1:25" x14ac:dyDescent="0.3">
      <c r="A525">
        <v>26200</v>
      </c>
      <c r="B525" t="s">
        <v>5729</v>
      </c>
      <c r="C525">
        <f>-597.246250202213 -24.3540732567883 -96.9161319640027</f>
        <v>-718.516455423004</v>
      </c>
      <c r="D525">
        <f>-620.805025184441 -29.9433233417735 -210.185543329057</f>
        <v>-860.93389185527144</v>
      </c>
      <c r="E525">
        <f>-629.67691600504 -31.8293205919122 -308.391326496066</f>
        <v>-969.89756309301811</v>
      </c>
      <c r="F525">
        <f>-633.72349776949 -32.488026335255 -397.393838639128</f>
        <v>-1063.605362743873</v>
      </c>
      <c r="G525">
        <f>-633.434400610779 -32.0866410538088 -486.489302134617</f>
        <v>-1152.0103437992047</v>
      </c>
      <c r="H525">
        <f>-628.476688215843 -30.4407441378273 -610.962177333465</f>
        <v>-1269.8796096871351</v>
      </c>
      <c r="I525">
        <f>-593.633618608648 -23.8893785774578 -686.115896532141</f>
        <v>-1303.6388937182469</v>
      </c>
      <c r="J525">
        <f>-633.485285945566 -3.60170717119195 -555.935952854075</f>
        <v>-1193.022945970833</v>
      </c>
      <c r="K525" t="s">
        <v>5730</v>
      </c>
      <c r="L525" t="s">
        <v>5731</v>
      </c>
      <c r="M525" t="s">
        <v>5732</v>
      </c>
      <c r="N525">
        <f>-627.831338097875 -58.728255671035 -556.439644362233</f>
        <v>-1242.9992381311431</v>
      </c>
      <c r="O525">
        <f>-618.341249685477 -192.977288856853 -528.373001380138</f>
        <v>-1339.6915399224681</v>
      </c>
      <c r="P525">
        <f>-662.641051040045 -254.485455582467 -244.039630610118</f>
        <v>-1161.16613723263</v>
      </c>
      <c r="Q525">
        <f>-474.541595704078 -124.721473675916 -320.399149711034</f>
        <v>-919.66221909102796</v>
      </c>
      <c r="R525" t="s">
        <v>5733</v>
      </c>
      <c r="S525" t="s">
        <v>5734</v>
      </c>
      <c r="T525" t="s">
        <v>5735</v>
      </c>
      <c r="U525" t="s">
        <v>5736</v>
      </c>
      <c r="V525">
        <f>-584.144721885066 -118.985265958036 -96.0349936085198</f>
        <v>-799.16498145162188</v>
      </c>
      <c r="W525" t="s">
        <v>5737</v>
      </c>
      <c r="X525" t="s">
        <v>5738</v>
      </c>
      <c r="Y525" t="s">
        <v>5739</v>
      </c>
    </row>
    <row r="526" spans="1:25" x14ac:dyDescent="0.3">
      <c r="A526">
        <v>26250</v>
      </c>
      <c r="B526" t="s">
        <v>5740</v>
      </c>
      <c r="C526">
        <f>-597.559272553646 -24.6125478367628 -96.9072536613409</f>
        <v>-719.07907405174967</v>
      </c>
      <c r="D526">
        <f>-621.160803624137 -30.2255436204896 -210.166710652993</f>
        <v>-861.55305789761951</v>
      </c>
      <c r="E526">
        <f>-630.068555064032 -32.1144539749082 -308.369214747201</f>
        <v>-970.55222378614121</v>
      </c>
      <c r="F526">
        <f>-634.1470043565 -32.7686200257845 -397.370235459098</f>
        <v>-1064.2858598413825</v>
      </c>
      <c r="G526">
        <f>-633.889432064024 -32.3549238702283 -486.465753201317</f>
        <v>-1152.7101091355694</v>
      </c>
      <c r="H526">
        <f>-628.97531527259 -30.6837015309316 -610.940044753184</f>
        <v>-1270.5990615567057</v>
      </c>
      <c r="I526">
        <f>-594.17937332465 -24.1356750252696 -686.115861006895</f>
        <v>-1304.4309093568145</v>
      </c>
      <c r="J526">
        <f>-633.984006881847 -3.85793271983357 -555.907261849344</f>
        <v>-1193.7492014510244</v>
      </c>
      <c r="K526" t="s">
        <v>5741</v>
      </c>
      <c r="L526" t="s">
        <v>5742</v>
      </c>
      <c r="M526" t="s">
        <v>5743</v>
      </c>
      <c r="N526">
        <f>-628.291601034695 -58.9804873495106 -556.422780073053</f>
        <v>-1243.6948684572585</v>
      </c>
      <c r="O526">
        <f>-618.723686505291 -193.212620509099 -528.315894783966</f>
        <v>-1340.2522017983561</v>
      </c>
      <c r="P526">
        <f>-662.94063394456 -254.552803749379 -243.933316649693</f>
        <v>-1161.426754343632</v>
      </c>
      <c r="Q526">
        <f>-474.864194253021 -124.883540341652 -320.510011868897</f>
        <v>-920.25774646357002</v>
      </c>
      <c r="R526" t="s">
        <v>5744</v>
      </c>
      <c r="S526" t="s">
        <v>5745</v>
      </c>
      <c r="T526" t="s">
        <v>5746</v>
      </c>
      <c r="U526" t="s">
        <v>5747</v>
      </c>
      <c r="V526">
        <f>-584.446046340154 -119.268400841354 -96.0218900686837</f>
        <v>-799.7363372501917</v>
      </c>
      <c r="W526" t="s">
        <v>5748</v>
      </c>
      <c r="X526" t="s">
        <v>5749</v>
      </c>
      <c r="Y526" t="s">
        <v>5750</v>
      </c>
    </row>
    <row r="527" spans="1:25" x14ac:dyDescent="0.3">
      <c r="A527">
        <v>26300</v>
      </c>
      <c r="B527" t="s">
        <v>5751</v>
      </c>
      <c r="C527">
        <f>-598.260627586667 -24.8821420013053 -96.9194784097929</f>
        <v>-720.06224799776521</v>
      </c>
      <c r="D527">
        <f>-621.989009077375 -30.5903008721343 -210.147560288729</f>
        <v>-862.72687023823835</v>
      </c>
      <c r="E527">
        <f>-630.991635526471 -32.4891901735184 -308.341251816924</f>
        <v>-971.8220775169134</v>
      </c>
      <c r="F527">
        <f>-635.150075474537 -33.1230906868839 -397.338750371891</f>
        <v>-1065.6119165333118</v>
      </c>
      <c r="G527">
        <f>-634.966388149417 -32.658185245054 -486.434158333446</f>
        <v>-1154.0587317279169</v>
      </c>
      <c r="H527">
        <f>-630.149378831944 -30.8816483351522 -610.910926561799</f>
        <v>-1271.9419537288952</v>
      </c>
      <c r="I527">
        <f>-595.45075637633 -24.2791969091936 -686.126823363409</f>
        <v>-1305.8567766489327</v>
      </c>
      <c r="J527">
        <f>-635.19927353092 -4.11107617011658 -555.854952194345</f>
        <v>-1195.1653018953816</v>
      </c>
      <c r="K527" t="s">
        <v>5752</v>
      </c>
      <c r="L527" t="s">
        <v>5753</v>
      </c>
      <c r="M527" t="s">
        <v>5754</v>
      </c>
      <c r="N527">
        <f>-629.338900789582 -59.21564226228 -556.414654896977</f>
        <v>-1244.9691979488389</v>
      </c>
      <c r="O527">
        <f>-619.388441347119 -193.409815904001 -528.287241720962</f>
        <v>-1341.085498972082</v>
      </c>
      <c r="P527">
        <f>-663.289052198191 -254.545577434584 -243.811599781588</f>
        <v>-1161.646229414363</v>
      </c>
      <c r="Q527">
        <f>-475.541155207233 -124.597383534493 -320.720966393018</f>
        <v>-920.85950513474393</v>
      </c>
      <c r="R527" t="s">
        <v>5755</v>
      </c>
      <c r="S527" t="s">
        <v>5756</v>
      </c>
      <c r="T527" t="s">
        <v>5757</v>
      </c>
      <c r="U527" t="s">
        <v>5758</v>
      </c>
      <c r="V527">
        <f>-585.016061291026 -119.531812821723 -96.008920702075</f>
        <v>-800.55679481482389</v>
      </c>
      <c r="W527" t="s">
        <v>5759</v>
      </c>
      <c r="X527" t="s">
        <v>5760</v>
      </c>
      <c r="Y527" t="s">
        <v>5761</v>
      </c>
    </row>
    <row r="528" spans="1:25" x14ac:dyDescent="0.3">
      <c r="A528">
        <v>26350</v>
      </c>
      <c r="B528" t="s">
        <v>5762</v>
      </c>
      <c r="C528">
        <f>-598.651430438269 -25.1074329153635 -96.9211548283391</f>
        <v>-720.6800181819716</v>
      </c>
      <c r="D528">
        <f>-622.450011308973 -30.8862475459428 -210.130946979986</f>
        <v>-863.46720583490173</v>
      </c>
      <c r="E528">
        <f>-631.502248003413 -32.7941071642208 -308.319875851315</f>
        <v>-972.61623101894884</v>
      </c>
      <c r="F528">
        <f>-635.700709294733 -33.4162235959973 -397.315530549804</f>
        <v>-1066.4324634405343</v>
      </c>
      <c r="G528">
        <f>-635.552299305874 -32.9186606743426 -486.410869618399</f>
        <v>-1154.8818295986157</v>
      </c>
      <c r="H528">
        <f>-630.779199870192 -31.0746403282187 -610.888361852023</f>
        <v>-1272.7422020504337</v>
      </c>
      <c r="I528">
        <f>-596.134042180451 -24.4244399920278 -686.124693458932</f>
        <v>-1306.6831756314109</v>
      </c>
      <c r="J528">
        <f>-635.86136893214 -4.33950800038929 -555.818298638925</f>
        <v>-1196.0191755714541</v>
      </c>
      <c r="K528" t="s">
        <v>5763</v>
      </c>
      <c r="L528" t="s">
        <v>5764</v>
      </c>
      <c r="M528" t="s">
        <v>5765</v>
      </c>
      <c r="N528">
        <f>-629.897887102811 -59.4326460281334 -556.405708539014</f>
        <v>-1245.7362416699584</v>
      </c>
      <c r="O528">
        <f>-619.718104048964 -193.619090067537 -528.315820673374</f>
        <v>-1341.653014789875</v>
      </c>
      <c r="P528">
        <f>-663.335141289341 -254.807448163228 -243.807872812577</f>
        <v>-1161.9504622651459</v>
      </c>
      <c r="Q528">
        <f>-475.80423920116 -124.623446425608 -320.847980231293</f>
        <v>-921.27566585806085</v>
      </c>
      <c r="R528" t="s">
        <v>5766</v>
      </c>
      <c r="S528" t="s">
        <v>5767</v>
      </c>
      <c r="T528" t="s">
        <v>5768</v>
      </c>
      <c r="U528" t="s">
        <v>5769</v>
      </c>
      <c r="V528">
        <f>-585.254201701149 -119.878065360482 -95.9966063093152</f>
        <v>-801.12887337094617</v>
      </c>
      <c r="W528" t="s">
        <v>5770</v>
      </c>
      <c r="X528" t="s">
        <v>5771</v>
      </c>
      <c r="Y528" t="s">
        <v>5772</v>
      </c>
    </row>
    <row r="529" spans="1:25" x14ac:dyDescent="0.3">
      <c r="A529">
        <v>26400</v>
      </c>
      <c r="B529" t="s">
        <v>5773</v>
      </c>
      <c r="C529">
        <f>-599.468452620948 -25.467411400881 -96.9807689278093</f>
        <v>-721.91663294963837</v>
      </c>
      <c r="D529">
        <f>-623.423911010278 -31.4390937544895 -210.147443240859</f>
        <v>-865.01044800562636</v>
      </c>
      <c r="E529">
        <f>-632.601162078928 -33.383031585764 -308.32415872512</f>
        <v>-974.30835238981206</v>
      </c>
      <c r="F529">
        <f>-636.907364853851 -33.9886007946577 -397.314742087039</f>
        <v>-1068.2107077355477</v>
      </c>
      <c r="G529">
        <f>-636.861338365524 -33.423170523504 -486.409748769128</f>
        <v>-1156.6942576581559</v>
      </c>
      <c r="H529">
        <f>-632.225197901619 -31.4306013284779 -610.890113700201</f>
        <v>-1274.5459129302981</v>
      </c>
      <c r="I529">
        <f>-597.668541332886 -24.6447606985275 -686.155132347482</f>
        <v>-1308.4684343788954</v>
      </c>
      <c r="J529">
        <f>-637.382106801703 -4.77607269471923 -555.787858235853</f>
        <v>-1197.9460377322753</v>
      </c>
      <c r="K529" t="s">
        <v>5774</v>
      </c>
      <c r="L529" t="s">
        <v>5775</v>
      </c>
      <c r="M529" t="s">
        <v>5776</v>
      </c>
      <c r="N529">
        <f>-631.148460090304 -59.8386679437656 -556.437014432493</f>
        <v>-1247.4241424665624</v>
      </c>
      <c r="O529">
        <f>-620.340977135658 -193.994912495933 -528.448970584866</f>
        <v>-1342.784860216457</v>
      </c>
      <c r="P529">
        <f>-663.427046769227 -255.426089113758 -243.912473262145</f>
        <v>-1162.7656091451299</v>
      </c>
      <c r="Q529">
        <f>-476.395274883315 -124.674164933552 -321.203751790701</f>
        <v>-922.27319160756792</v>
      </c>
      <c r="R529" t="s">
        <v>5777</v>
      </c>
      <c r="S529" t="s">
        <v>5778</v>
      </c>
      <c r="T529" t="s">
        <v>5779</v>
      </c>
      <c r="U529" t="s">
        <v>5780</v>
      </c>
      <c r="V529">
        <f>-585.614574643189 -120.300431022058 -95.990991741196</f>
        <v>-801.90599740644302</v>
      </c>
      <c r="W529" t="s">
        <v>5781</v>
      </c>
      <c r="X529" t="s">
        <v>5782</v>
      </c>
      <c r="Y529" t="s">
        <v>5783</v>
      </c>
    </row>
    <row r="530" spans="1:25" x14ac:dyDescent="0.3">
      <c r="A530">
        <v>26450</v>
      </c>
      <c r="B530" t="s">
        <v>5784</v>
      </c>
      <c r="C530">
        <f>-599.939247122664 -25.6155328708508 -97.0182495544777</f>
        <v>-722.57302954799252</v>
      </c>
      <c r="D530">
        <f>-623.966256389436 -31.6906392054709 -210.164259706477</f>
        <v>-865.8211553013839</v>
      </c>
      <c r="E530">
        <f>-633.205624871005 -33.6678180863041 -308.33444991332</f>
        <v>-975.20789287062917</v>
      </c>
      <c r="F530">
        <f>-637.567741845191 -34.2824148354298 -397.322370387663</f>
        <v>-1069.1725270682837</v>
      </c>
      <c r="G530">
        <f>-637.576992144822 -33.7043507455383 -486.41734233619</f>
        <v>-1157.6986852265504</v>
      </c>
      <c r="H530">
        <f>-633.017463546017 -31.6712021362923 -610.899808507732</f>
        <v>-1275.5884741900413</v>
      </c>
      <c r="I530">
        <f>-598.48928082835 -24.7906528812484 -686.16907660244</f>
        <v>-1309.4490103120384</v>
      </c>
      <c r="J530">
        <f>-638.220471580483 -5.04392571843937 -555.788679156008</f>
        <v>-1199.0530764549303</v>
      </c>
      <c r="K530" t="s">
        <v>5785</v>
      </c>
      <c r="L530" t="s">
        <v>5786</v>
      </c>
      <c r="M530" t="s">
        <v>5787</v>
      </c>
      <c r="N530">
        <f>-631.82739212791 -60.0879030911583 -556.453513142938</f>
        <v>-1248.3688083620063</v>
      </c>
      <c r="O530">
        <f>-620.64998421961 -194.21961231061 -528.488035757784</f>
        <v>-1343.357632288004</v>
      </c>
      <c r="P530">
        <f>-663.379386624946 -255.698976182395 -243.908209937084</f>
        <v>-1162.9865727444251</v>
      </c>
      <c r="Q530">
        <f>-476.690040973788 -124.569783761229 -321.3880688893</f>
        <v>-922.64789362431702</v>
      </c>
      <c r="R530" t="s">
        <v>5788</v>
      </c>
      <c r="S530" t="s">
        <v>5789</v>
      </c>
      <c r="T530" t="s">
        <v>5790</v>
      </c>
      <c r="U530" t="s">
        <v>5791</v>
      </c>
      <c r="V530">
        <f>-585.846280518863 -120.504344422461 -95.9983827313662</f>
        <v>-802.34900767269016</v>
      </c>
      <c r="W530" t="s">
        <v>5792</v>
      </c>
      <c r="X530" t="s">
        <v>5793</v>
      </c>
      <c r="Y530" t="s">
        <v>5794</v>
      </c>
    </row>
    <row r="531" spans="1:25" x14ac:dyDescent="0.3">
      <c r="A531">
        <v>26500</v>
      </c>
      <c r="B531" t="s">
        <v>5795</v>
      </c>
      <c r="C531">
        <f>-601.053519975558 -25.9644456498795 -97.0865019247309</f>
        <v>-724.10446755016835</v>
      </c>
      <c r="D531">
        <f>-625.203490680355 -32.2294307752618 -210.195967196929</f>
        <v>-867.62888865254581</v>
      </c>
      <c r="E531">
        <f>-634.564298284524 -34.2993942786632 -308.352806797406</f>
        <v>-977.21649936059316</v>
      </c>
      <c r="F531">
        <f>-639.041980170954 -34.9718883177422 -397.334420478436</f>
        <v>-1071.3482889671322</v>
      </c>
      <c r="G531">
        <f>-639.172679235853 -34.4227045023233 -486.429453102255</f>
        <v>-1160.0248368404314</v>
      </c>
      <c r="H531">
        <f>-634.788859267791 -32.3986549591789 -610.918386471983</f>
        <v>-1278.1059006989531</v>
      </c>
      <c r="I531">
        <f>-600.304024823709 -25.3226704326173 -686.189566884102</f>
        <v>-1311.8162621404283</v>
      </c>
      <c r="J531">
        <f>-640.082679077593 -5.78729918918498 -555.808338157554</f>
        <v>-1201.678316424332</v>
      </c>
      <c r="K531" t="s">
        <v>5796</v>
      </c>
      <c r="L531" t="s">
        <v>5797</v>
      </c>
      <c r="M531" t="s">
        <v>5798</v>
      </c>
      <c r="N531">
        <f>-633.353216337432 -60.7914380889819 -556.46561668326</f>
        <v>-1250.6102711096737</v>
      </c>
      <c r="O531">
        <f>-621.308408657096 -194.838925455424 -528.458584836963</f>
        <v>-1344.6059189494831</v>
      </c>
      <c r="P531">
        <f>-663.260969510225 -256.430323087983 -243.787341056184</f>
        <v>-1163.4786336543921</v>
      </c>
      <c r="Q531">
        <f>-477.589532815615 -124.113856366104 -321.693503577837</f>
        <v>-923.39689275955607</v>
      </c>
      <c r="R531" t="s">
        <v>5799</v>
      </c>
      <c r="S531" t="s">
        <v>5800</v>
      </c>
      <c r="T531" t="s">
        <v>5801</v>
      </c>
      <c r="U531" t="s">
        <v>5802</v>
      </c>
      <c r="V531">
        <f>-586.530612014102 -120.953709898624 -96.0245910685786</f>
        <v>-803.50891298130455</v>
      </c>
      <c r="W531" t="s">
        <v>5803</v>
      </c>
      <c r="X531" t="s">
        <v>5804</v>
      </c>
      <c r="Y531" t="s">
        <v>5805</v>
      </c>
    </row>
    <row r="532" spans="1:25" x14ac:dyDescent="0.3">
      <c r="A532">
        <v>26550</v>
      </c>
      <c r="B532" t="s">
        <v>5806</v>
      </c>
      <c r="C532">
        <f>-601.691165120186 -25.9269639497697 -97.1325189425559</f>
        <v>-724.75064801251165</v>
      </c>
      <c r="D532">
        <f>-625.902717029882 -32.3016993816739 -210.222674700224</f>
        <v>-868.42709111177987</v>
      </c>
      <c r="E532">
        <f>-635.324119854739 -34.4410619622706 -308.372159515195</f>
        <v>-978.13734133220464</v>
      </c>
      <c r="F532">
        <f>-639.859116738574 -35.167362705542 -397.350456927701</f>
        <v>-1072.376936371817</v>
      </c>
      <c r="G532">
        <f>-640.049862469558 -34.6618843560218 -486.445623316533</f>
        <v>-1161.1573701421128</v>
      </c>
      <c r="H532">
        <f>-635.752740379171 -32.6883440287065 -610.938480343666</f>
        <v>-1279.3795647515435</v>
      </c>
      <c r="I532">
        <f>-601.271386651104 -25.54268000053 -686.204764559935</f>
        <v>-1313.018831211569</v>
      </c>
      <c r="J532">
        <f>-641.085257974012 -6.06418119282921 -555.838388785728</f>
        <v>-1202.9878279525692</v>
      </c>
      <c r="K532" t="s">
        <v>5807</v>
      </c>
      <c r="L532" t="s">
        <v>5808</v>
      </c>
      <c r="M532" t="s">
        <v>5809</v>
      </c>
      <c r="N532">
        <f>-634.202163018411 -61.0494732843832 -556.472416578321</f>
        <v>-1251.7240528811153</v>
      </c>
      <c r="O532">
        <f>-621.752655948099 -195.049410210177 -528.413609287081</f>
        <v>-1345.2156754453572</v>
      </c>
      <c r="P532">
        <f>-663.278433129013 -256.573556315761 -243.665329376445</f>
        <v>-1163.5173188212191</v>
      </c>
      <c r="Q532">
        <f>-478.104741668775 -123.719947402769 -321.84126461139</f>
        <v>-923.66595368293395</v>
      </c>
      <c r="R532" t="s">
        <v>5810</v>
      </c>
      <c r="S532" t="s">
        <v>5811</v>
      </c>
      <c r="T532" t="s">
        <v>5812</v>
      </c>
      <c r="U532" t="s">
        <v>5813</v>
      </c>
      <c r="V532">
        <f>-586.963833036495 -120.849171057666 -96.0400458517202</f>
        <v>-803.85304994588114</v>
      </c>
      <c r="W532" t="s">
        <v>5814</v>
      </c>
      <c r="X532" t="s">
        <v>5815</v>
      </c>
      <c r="Y532" t="s">
        <v>5816</v>
      </c>
    </row>
    <row r="533" spans="1:25" x14ac:dyDescent="0.3">
      <c r="A533">
        <v>26600</v>
      </c>
      <c r="B533" t="s">
        <v>5817</v>
      </c>
      <c r="C533">
        <f>-603.117527994059 -26.0448642540484 -97.2256843842964</f>
        <v>-726.38807663240379</v>
      </c>
      <c r="D533">
        <f>-627.448840825642 -32.5977076825368 -210.279938809516</f>
        <v>-870.32648731769484</v>
      </c>
      <c r="E533">
        <f>-636.950830760934 -34.8502326994676 -308.41908010101</f>
        <v>-980.22014356141153</v>
      </c>
      <c r="F533">
        <f>-641.549168079343 -35.6646544015443 -397.393501739224</f>
        <v>-1074.6073242201114</v>
      </c>
      <c r="G533">
        <f>-641.793739951437 -35.2313349735364 -486.488935547779</f>
        <v>-1163.5140104727525</v>
      </c>
      <c r="H533">
        <f>-637.561706392411 -33.3410608665301 -610.985305102203</f>
        <v>-1281.8880723611442</v>
      </c>
      <c r="I533">
        <f>-603.037291002361 -26.1184519171743 -686.224304924164</f>
        <v>-1315.3800478436992</v>
      </c>
      <c r="J533">
        <f>-642.984131783946 -6.69506456549652 -555.904475373451</f>
        <v>-1205.5836717228935</v>
      </c>
      <c r="K533" t="s">
        <v>5818</v>
      </c>
      <c r="L533" t="s">
        <v>5819</v>
      </c>
      <c r="M533" t="s">
        <v>5820</v>
      </c>
      <c r="N533">
        <f>-635.863850514862 -61.6506367522562 -556.496811391434</f>
        <v>-1254.0112986585523</v>
      </c>
      <c r="O533">
        <f>-622.845033085217 -195.567015886731 -528.279231111746</f>
        <v>-1346.691280083694</v>
      </c>
      <c r="P533">
        <f>-663.693276360897 -256.96502708846 -243.405589604171</f>
        <v>-1164.0638930535279</v>
      </c>
      <c r="Q533">
        <f>-479.311191199904 -123.352601838179 -322.157269741706</f>
        <v>-924.82106277978892</v>
      </c>
      <c r="R533" t="s">
        <v>5821</v>
      </c>
      <c r="S533" t="s">
        <v>5822</v>
      </c>
      <c r="T533" t="s">
        <v>5823</v>
      </c>
      <c r="U533" t="s">
        <v>5824</v>
      </c>
      <c r="V533">
        <f>-588.017617552557 -121.152110140885 -96.080683411188</f>
        <v>-805.25041110463007</v>
      </c>
      <c r="W533" t="s">
        <v>5825</v>
      </c>
      <c r="X533" t="s">
        <v>5826</v>
      </c>
      <c r="Y533" t="s">
        <v>5827</v>
      </c>
    </row>
    <row r="534" spans="1:25" x14ac:dyDescent="0.3">
      <c r="A534">
        <v>26650</v>
      </c>
      <c r="B534" t="s">
        <v>5828</v>
      </c>
      <c r="C534">
        <f>-604.608346769725 -25.975384337866 -97.3508619633806</f>
        <v>-727.93459307097157</v>
      </c>
      <c r="D534">
        <f>-629.04432218958 -32.6615678265009 -210.374745310584</f>
        <v>-872.08063532666495</v>
      </c>
      <c r="E534">
        <f>-638.577065371207 -35.0222012118272 -308.508462307299</f>
        <v>-982.10772889033319</v>
      </c>
      <c r="F534">
        <f>-643.1788303736 -35.9331322937501 -397.481629978361</f>
        <v>-1076.5935926457112</v>
      </c>
      <c r="G534">
        <f>-643.402414775947 -35.5941347558314 -486.577571615335</f>
        <v>-1165.5741211471134</v>
      </c>
      <c r="H534">
        <f>-639.115439244697 -33.8339754051631 -611.073906401709</f>
        <v>-1284.0233210515689</v>
      </c>
      <c r="I534">
        <f>-604.483417848323 -26.630744923091 -686.265365811057</f>
        <v>-1317.379528582471</v>
      </c>
      <c r="J534">
        <f>-644.612377659857 -7.13707730057899 -556.02519326608</f>
        <v>-1207.7746482265161</v>
      </c>
      <c r="K534" t="s">
        <v>5829</v>
      </c>
      <c r="L534" t="s">
        <v>5830</v>
      </c>
      <c r="M534" t="s">
        <v>5831</v>
      </c>
      <c r="N534">
        <f>-637.391538161284 -62.0800907615749 -556.553294718612</f>
        <v>-1256.0249236414709</v>
      </c>
      <c r="O534">
        <f>-624.133980767115 -195.937731834252 -528.18030160406</f>
        <v>-1348.2520142054268</v>
      </c>
      <c r="P534">
        <f>-664.698622608796 -257.033617340015 -243.201397686391</f>
        <v>-1164.9336376352019</v>
      </c>
      <c r="Q534">
        <f>-480.735471857123 -123.120958274425 -322.421542019944</f>
        <v>-926.27797215149201</v>
      </c>
      <c r="R534" t="s">
        <v>5832</v>
      </c>
      <c r="S534" t="s">
        <v>5833</v>
      </c>
      <c r="T534" t="s">
        <v>5834</v>
      </c>
      <c r="U534" t="s">
        <v>5835</v>
      </c>
      <c r="V534">
        <f>-589.307645519041 -121.096691567302 -96.1497327348892</f>
        <v>-806.55406982123225</v>
      </c>
      <c r="W534" t="s">
        <v>5836</v>
      </c>
      <c r="X534" t="s">
        <v>5837</v>
      </c>
      <c r="Y534" t="s">
        <v>5838</v>
      </c>
    </row>
    <row r="535" spans="1:25" x14ac:dyDescent="0.3">
      <c r="A535">
        <v>26700</v>
      </c>
      <c r="B535" t="s">
        <v>5839</v>
      </c>
      <c r="C535">
        <f>-605.36711748603 -25.9738262960288 -97.4048429616299</f>
        <v>-728.74578674368877</v>
      </c>
      <c r="D535">
        <f>-629.870111952914 -32.7138839734046 -210.41095738545</f>
        <v>-872.99495331176854</v>
      </c>
      <c r="E535">
        <f>-639.428418643909 -35.1232891604539 -308.541002147375</f>
        <v>-983.0927099517379</v>
      </c>
      <c r="F535">
        <f>-644.040204133728 -36.0799297464123 -397.51319253252</f>
        <v>-1077.6333264126604</v>
      </c>
      <c r="G535">
        <f>-644.26056209995 -35.7881390534533 -486.609316297487</f>
        <v>-1166.6580174508904</v>
      </c>
      <c r="H535">
        <f>-639.955194793875 -34.095990729516 -611.105977431555</f>
        <v>-1285.1571629549458</v>
      </c>
      <c r="I535">
        <f>-605.255400391427 -26.9359665658124 -686.270282026149</f>
        <v>-1318.4616489833884</v>
      </c>
      <c r="J535">
        <f>-645.46166397384 -7.36901038467113 -556.072571742642</f>
        <v>-1208.9032461011532</v>
      </c>
      <c r="K535" t="s">
        <v>5840</v>
      </c>
      <c r="L535" t="s">
        <v>5841</v>
      </c>
      <c r="M535" t="s">
        <v>5842</v>
      </c>
      <c r="N535">
        <f>-638.237800966396 -62.3120957763244 -556.569620892553</f>
        <v>-1257.1195176352735</v>
      </c>
      <c r="O535">
        <f>-625.001168630847 -196.154608523122 -528.110494746815</f>
        <v>-1349.266271900784</v>
      </c>
      <c r="P535">
        <f>-665.484372142943 -257.151225743564 -243.09873932265</f>
        <v>-1165.734337209157</v>
      </c>
      <c r="Q535">
        <f>-481.541168719932 -123.315262486402 -322.494454462867</f>
        <v>-927.35088566920103</v>
      </c>
      <c r="R535" t="s">
        <v>5843</v>
      </c>
      <c r="S535" t="s">
        <v>5844</v>
      </c>
      <c r="T535" t="s">
        <v>5845</v>
      </c>
      <c r="U535" t="s">
        <v>5846</v>
      </c>
      <c r="V535">
        <f>-590.007637582228 -121.14379592992 -96.1792270578413</f>
        <v>-807.33066056998928</v>
      </c>
      <c r="W535" t="s">
        <v>5847</v>
      </c>
      <c r="X535" t="s">
        <v>5848</v>
      </c>
      <c r="Y535" t="s">
        <v>5849</v>
      </c>
    </row>
    <row r="536" spans="1:25" x14ac:dyDescent="0.3">
      <c r="A536">
        <v>26750</v>
      </c>
      <c r="B536" t="s">
        <v>5850</v>
      </c>
      <c r="C536">
        <f>-606.112872086843 -26.0036271605093 -97.4480056554432</f>
        <v>-729.56450490279553</v>
      </c>
      <c r="D536">
        <f>-630.67443783801 -32.782155854497 -210.439221627945</f>
        <v>-873.89581532045202</v>
      </c>
      <c r="E536">
        <f>-640.259950289949 -35.2372433052626 -308.565367830863</f>
        <v>-984.06256142607458</v>
      </c>
      <c r="F536">
        <f>-644.88682305467 -36.2399797105097 -397.536272272005</f>
        <v>-1078.6630750371846</v>
      </c>
      <c r="G536">
        <f>-645.112659853595 -36.000239480009 -486.632522281372</f>
        <v>-1167.7454216149761</v>
      </c>
      <c r="H536">
        <f>-640.804762582977 -34.3864482695344 -611.130169115249</f>
        <v>-1286.3213799677605</v>
      </c>
      <c r="I536">
        <f>-606.045154952528 -27.2971181219796 -686.273578413716</f>
        <v>-1319.6158514882236</v>
      </c>
      <c r="J536">
        <f>-646.303964110631 -7.62387004873449 -556.113403406034</f>
        <v>-1210.0412375653996</v>
      </c>
      <c r="K536" t="s">
        <v>5851</v>
      </c>
      <c r="L536" t="s">
        <v>5852</v>
      </c>
      <c r="M536" t="s">
        <v>5853</v>
      </c>
      <c r="N536">
        <f>-639.096925421478 -62.5693252040053 -556.576207002679</f>
        <v>-1258.2424576281624</v>
      </c>
      <c r="O536">
        <f>-625.894612008625 -196.393048787148 -528.02641502066</f>
        <v>-1350.3140758164332</v>
      </c>
      <c r="P536">
        <f>-666.389479571805 -257.219183893211 -242.979926805241</f>
        <v>-1166.5885902702571</v>
      </c>
      <c r="Q536">
        <f>-482.437743382776 -123.497759721148 -322.548840456158</f>
        <v>-928.48434356008204</v>
      </c>
      <c r="R536" t="s">
        <v>5854</v>
      </c>
      <c r="S536" t="s">
        <v>5855</v>
      </c>
      <c r="T536" t="s">
        <v>5856</v>
      </c>
      <c r="U536" t="s">
        <v>5857</v>
      </c>
      <c r="V536">
        <f>-590.711814226025 -121.215849512738 -96.2132198854762</f>
        <v>-808.14088362423922</v>
      </c>
      <c r="W536" t="s">
        <v>5858</v>
      </c>
      <c r="X536" t="s">
        <v>5859</v>
      </c>
      <c r="Y536" t="s">
        <v>5860</v>
      </c>
    </row>
    <row r="537" spans="1:25" x14ac:dyDescent="0.3">
      <c r="A537">
        <v>26800</v>
      </c>
      <c r="B537" t="s">
        <v>5861</v>
      </c>
      <c r="C537">
        <f>-607.559022633356 -26.025371333998 -97.5494248327987</f>
        <v>-731.13381880015277</v>
      </c>
      <c r="D537">
        <f>-632.277117220296 -32.8453729398188 -210.503980108104</f>
        <v>-875.62647026821878</v>
      </c>
      <c r="E537">
        <f>-641.952257347261 -35.3702144440128 -308.619549132962</f>
        <v>-985.94202092423586</v>
      </c>
      <c r="F537">
        <f>-646.641693342289 -36.4499646468898 -397.586265201781</f>
        <v>-1080.67792319096</v>
      </c>
      <c r="G537">
        <f>-646.911413395075 -36.3021061360569 -486.682648582971</f>
        <v>-1169.8961681141029</v>
      </c>
      <c r="H537">
        <f>-642.645113697316 -34.8329541314481 -611.183497069919</f>
        <v>-1288.6615648986831</v>
      </c>
      <c r="I537">
        <f>-607.798209294148 -27.8987271270989 -686.300878824121</f>
        <v>-1321.997815245368</v>
      </c>
      <c r="J537">
        <f>-648.085343933653 -8.00109314132919 -556.194552997462</f>
        <v>-1212.2809900724442</v>
      </c>
      <c r="K537" t="s">
        <v>5862</v>
      </c>
      <c r="L537" t="s">
        <v>5863</v>
      </c>
      <c r="M537" t="s">
        <v>5864</v>
      </c>
      <c r="N537">
        <f>-640.959642412179 -62.957733558755 -556.598893349859</f>
        <v>-1260.5162693207931</v>
      </c>
      <c r="O537">
        <f>-627.942251724968 -196.770909300891 -527.899823068255</f>
        <v>-1352.6129840941139</v>
      </c>
      <c r="P537">
        <f>-668.476421485412 -257.080939973013 -242.749221770884</f>
        <v>-1168.3065832293091</v>
      </c>
      <c r="Q537">
        <f>-484.335164479002 -123.900989823906 -322.786701700232</f>
        <v>-931.02285600314008</v>
      </c>
      <c r="R537" t="s">
        <v>5865</v>
      </c>
      <c r="S537" t="s">
        <v>5866</v>
      </c>
      <c r="T537" t="s">
        <v>5867</v>
      </c>
      <c r="U537" t="s">
        <v>5868</v>
      </c>
      <c r="V537">
        <f>-592.179308278814 -121.309477966586 -96.2676033814292</f>
        <v>-809.75638962682922</v>
      </c>
      <c r="W537" t="s">
        <v>5869</v>
      </c>
      <c r="X537" t="s">
        <v>5870</v>
      </c>
      <c r="Y537" t="s">
        <v>5871</v>
      </c>
    </row>
    <row r="538" spans="1:25" x14ac:dyDescent="0.3">
      <c r="A538">
        <v>26850</v>
      </c>
      <c r="B538" t="s">
        <v>5872</v>
      </c>
      <c r="C538">
        <f>-608.267683877116 -26.1056316040042 -97.5901471212634</f>
        <v>-731.96346260238363</v>
      </c>
      <c r="D538">
        <f>-633.082678647628 -32.9409787147317 -210.522492491251</f>
        <v>-876.5461498536107</v>
      </c>
      <c r="E538">
        <f>-642.837336817 -35.4994143550705 -308.629331242864</f>
        <v>-986.96608241493459</v>
      </c>
      <c r="F538">
        <f>-647.597140938412 -36.6178075221389 -397.591912027876</f>
        <v>-1081.806860488427</v>
      </c>
      <c r="G538">
        <f>-647.935575118179 -36.5171470440257 -486.68804105024</f>
        <v>-1171.1407632124447</v>
      </c>
      <c r="H538">
        <f>-643.763419465448 -35.1230386213399 -611.19293151829</f>
        <v>-1290.0793896050779</v>
      </c>
      <c r="I538">
        <f>-608.896642895299 -28.2665608500095 -686.308254356789</f>
        <v>-1323.4714581020976</v>
      </c>
      <c r="J538">
        <f>-649.132090361476 -8.25431906802123 -556.215085118501</f>
        <v>-1213.6014945479983</v>
      </c>
      <c r="K538" t="s">
        <v>5873</v>
      </c>
      <c r="L538" t="s">
        <v>5874</v>
      </c>
      <c r="M538" t="s">
        <v>5875</v>
      </c>
      <c r="N538">
        <f>-642.066615701854 -63.2188393092755 -556.593669848607</f>
        <v>-1261.8791248597363</v>
      </c>
      <c r="O538">
        <f>-629.160479315265 -197.031211545466 -527.847846094454</f>
        <v>-1354.039536955185</v>
      </c>
      <c r="P538">
        <f>-669.608576962116 -257.151622874476 -242.64489044777</f>
        <v>-1169.4050902843619</v>
      </c>
      <c r="Q538">
        <f>-485.370688948458 -124.241144122918 -322.907402917455</f>
        <v>-932.51923598883093</v>
      </c>
      <c r="R538" t="s">
        <v>5876</v>
      </c>
      <c r="S538" t="s">
        <v>5877</v>
      </c>
      <c r="T538" t="s">
        <v>5878</v>
      </c>
      <c r="U538" t="s">
        <v>5879</v>
      </c>
      <c r="V538">
        <f>-592.914000228838 -121.45780273617 -96.2877938574525</f>
        <v>-810.65959682246046</v>
      </c>
      <c r="W538" t="s">
        <v>5880</v>
      </c>
      <c r="X538" t="s">
        <v>5881</v>
      </c>
      <c r="Y538" t="s">
        <v>5882</v>
      </c>
    </row>
    <row r="539" spans="1:25" x14ac:dyDescent="0.3">
      <c r="A539">
        <v>26900</v>
      </c>
      <c r="B539" t="s">
        <v>5883</v>
      </c>
      <c r="C539">
        <f>-609.49920140127 -26.2373781624835 -97.6278981680005</f>
        <v>-733.36447773175405</v>
      </c>
      <c r="D539">
        <f>-634.518103563835 -33.0992659085211 -210.513678074683</f>
        <v>-878.13104754703909</v>
      </c>
      <c r="E539">
        <f>-644.478934804332 -35.6906855529464 -308.598823125856</f>
        <v>-988.76844348313443</v>
      </c>
      <c r="F539">
        <f>-649.437739240409 -36.8411140627136 -397.550125039435</f>
        <v>-1083.8289783425575</v>
      </c>
      <c r="G539">
        <f>-649.987665194507 -36.774711550443 -486.645236390644</f>
        <v>-1173.4076131355941</v>
      </c>
      <c r="H539">
        <f>-646.123846571796 -35.4304420752592 -611.1606174529</f>
        <v>-1292.7149060999552</v>
      </c>
      <c r="I539">
        <f>-611.214907480351 -28.6434235959464 -686.262766696964</f>
        <v>-1326.1210977732615</v>
      </c>
      <c r="J539">
        <f>-651.319070946357 -8.53482659963061 -556.179347257255</f>
        <v>-1216.0332448032427</v>
      </c>
      <c r="K539" t="s">
        <v>5884</v>
      </c>
      <c r="L539" t="s">
        <v>5885</v>
      </c>
      <c r="M539" t="s">
        <v>5886</v>
      </c>
      <c r="N539">
        <f>-644.329155912191 -63.5091843189119 -556.555906860264</f>
        <v>-1264.3942470913671</v>
      </c>
      <c r="O539">
        <f>-631.59106352943 -197.329461613375 -527.763209744954</f>
        <v>-1356.6837348877589</v>
      </c>
      <c r="P539">
        <f>-671.69249691378 -257.187916164045 -242.456336828989</f>
        <v>-1171.336749906814</v>
      </c>
      <c r="Q539">
        <f>-487.337867756859 -124.65542443412 -323.07523507555</f>
        <v>-935.06852726652892</v>
      </c>
      <c r="R539" t="s">
        <v>5887</v>
      </c>
      <c r="S539" t="s">
        <v>5888</v>
      </c>
      <c r="T539" t="s">
        <v>5889</v>
      </c>
      <c r="U539" t="s">
        <v>5890</v>
      </c>
      <c r="V539">
        <f>-594.235970167406 -121.609876959831 -96.3048437577137</f>
        <v>-812.15069088495068</v>
      </c>
      <c r="W539" t="s">
        <v>5891</v>
      </c>
      <c r="X539" t="s">
        <v>5892</v>
      </c>
      <c r="Y539" t="s">
        <v>5893</v>
      </c>
    </row>
    <row r="540" spans="1:25" x14ac:dyDescent="0.3">
      <c r="A540">
        <v>26950</v>
      </c>
      <c r="B540" t="s">
        <v>5894</v>
      </c>
      <c r="C540">
        <f>-610.03274781439 -26.3356329310207 -97.6374624979885</f>
        <v>-734.00584324339911</v>
      </c>
      <c r="D540">
        <f>-635.174791045556 -33.206005502052 -210.49533472517</f>
        <v>-878.87613127277803</v>
      </c>
      <c r="E540">
        <f>-645.261790572974 -35.809524369155 -308.567467456034</f>
        <v>-989.63878239816302</v>
      </c>
      <c r="F540">
        <f>-650.342820999916 -36.9725169605329 -397.51162596914</f>
        <v>-1084.8269639295888</v>
      </c>
      <c r="G540">
        <f>-651.022851799181 -36.92027374642 -486.605755271839</f>
        <v>-1174.54888081744</v>
      </c>
      <c r="H540">
        <f>-647.349137964488 -35.5974033555087 -611.127166767737</f>
        <v>-1294.0737080877338</v>
      </c>
      <c r="I540">
        <f>-612.397890280998 -28.8142326358923 -686.210051830741</f>
        <v>-1327.4221747476313</v>
      </c>
      <c r="J540">
        <f>-652.445789337006 -8.69058328743881 -556.142039254165</f>
        <v>-1217.2784118786099</v>
      </c>
      <c r="K540" t="s">
        <v>5895</v>
      </c>
      <c r="L540" t="s">
        <v>5896</v>
      </c>
      <c r="M540" t="s">
        <v>5897</v>
      </c>
      <c r="N540">
        <f>-645.485704284889 -63.6684695235878 -556.520769276047</f>
        <v>-1265.6749430845239</v>
      </c>
      <c r="O540">
        <f>-632.780025652774 -197.489246819623 -527.730714953707</f>
        <v>-1357.9999874261039</v>
      </c>
      <c r="P540">
        <f>-672.614216982226 -257.286204096495 -242.373468661303</f>
        <v>-1172.2738897400241</v>
      </c>
      <c r="Q540">
        <f>-488.253963115752 -124.867157251092 -323.165490515712</f>
        <v>-936.28661088255603</v>
      </c>
      <c r="R540" t="s">
        <v>5898</v>
      </c>
      <c r="S540" t="s">
        <v>5899</v>
      </c>
      <c r="T540" t="s">
        <v>5900</v>
      </c>
      <c r="U540" t="s">
        <v>5901</v>
      </c>
      <c r="V540">
        <f>-594.80303241276 -121.742911600421 -96.3065843029345</f>
        <v>-812.85252831611558</v>
      </c>
      <c r="W540" t="s">
        <v>5902</v>
      </c>
      <c r="X540" t="s">
        <v>5903</v>
      </c>
      <c r="Y540" t="s">
        <v>5904</v>
      </c>
    </row>
    <row r="541" spans="1:25" x14ac:dyDescent="0.3">
      <c r="A541">
        <v>27000</v>
      </c>
      <c r="B541" t="s">
        <v>5905</v>
      </c>
      <c r="C541">
        <f>-610.516997630481 -26.450534474985 -97.6410732098188</f>
        <v>-734.60860531528488</v>
      </c>
      <c r="D541">
        <f>-635.769929296713 -33.3467568806288 -210.472569241172</f>
        <v>-879.58925541851386</v>
      </c>
      <c r="E541">
        <f>-645.980177552485 -35.9665756814854 -308.531444757394</f>
        <v>-990.47819799136437</v>
      </c>
      <c r="F541">
        <f>-651.183844957843 -37.1412699505245 -397.468466562286</f>
        <v>-1085.7935814706534</v>
      </c>
      <c r="G541">
        <f>-651.997659738079 -37.0978628274445 -486.561493028424</f>
        <v>-1175.6570155939476</v>
      </c>
      <c r="H541">
        <f>-648.522231226218 -35.7842613429502 -611.088578690732</f>
        <v>-1295.3950712599003</v>
      </c>
      <c r="I541">
        <f>-613.513583576041 -28.9914520740199 -686.143770365211</f>
        <v>-1328.6488060152719</v>
      </c>
      <c r="J541">
        <f>-653.522485449036 -8.87224496633849 -556.097294074385</f>
        <v>-1218.4920244897594</v>
      </c>
      <c r="K541" t="s">
        <v>5906</v>
      </c>
      <c r="L541" t="s">
        <v>5907</v>
      </c>
      <c r="M541" t="s">
        <v>5908</v>
      </c>
      <c r="N541">
        <f>-646.580723823249 -63.8524809219113 -556.483512606131</f>
        <v>-1266.916717351291</v>
      </c>
      <c r="O541">
        <f>-633.896318121803 -197.678434539589 -527.708716502393</f>
        <v>-1359.283469163785</v>
      </c>
      <c r="P541">
        <f>-673.451002250075 -257.427654578038 -242.302533488087</f>
        <v>-1173.1811903161999</v>
      </c>
      <c r="Q541">
        <f>-489.086937583746 -125.087740223637 -323.215670948434</f>
        <v>-937.39034875581706</v>
      </c>
      <c r="R541" t="s">
        <v>5909</v>
      </c>
      <c r="S541" t="s">
        <v>5910</v>
      </c>
      <c r="T541" t="s">
        <v>5911</v>
      </c>
      <c r="U541" t="s">
        <v>5912</v>
      </c>
      <c r="V541">
        <f>-595.300206696218 -121.919240812517 -96.2977362372059</f>
        <v>-813.51718374594088</v>
      </c>
      <c r="W541" t="s">
        <v>5913</v>
      </c>
      <c r="X541" t="s">
        <v>5914</v>
      </c>
      <c r="Y541" t="s">
        <v>5915</v>
      </c>
    </row>
    <row r="542" spans="1:25" x14ac:dyDescent="0.3">
      <c r="A542">
        <v>27050</v>
      </c>
      <c r="B542" t="s">
        <v>5916</v>
      </c>
      <c r="C542">
        <f>-611.334719060337 -26.9234972039462 -97.6871527391247</f>
        <v>-735.9453690034079</v>
      </c>
      <c r="D542">
        <f>-636.802398276669 -33.8825582079794 -210.466542071218</f>
        <v>-881.1514985558664</v>
      </c>
      <c r="E542">
        <f>-647.235569951892 -36.5146020587149 -308.501690461645</f>
        <v>-992.2518624722519</v>
      </c>
      <c r="F542">
        <f>-652.655950277102 -37.6834662195065 -397.425783953448</f>
        <v>-1087.7652004500565</v>
      </c>
      <c r="G542">
        <f>-653.701101682288 -37.6168781260005 -486.51642445165</f>
        <v>-1177.8344042599385</v>
      </c>
      <c r="H542">
        <f>-650.563985440957 -36.2527229880141 -611.051860850293</f>
        <v>-1297.8685692792642</v>
      </c>
      <c r="I542">
        <f>-615.417397967304 -29.4224369976018 -686.039234316019</f>
        <v>-1330.8790692809248</v>
      </c>
      <c r="J542">
        <f>-655.418533747275 -9.36345722508122 -556.036399594894</f>
        <v>-1220.8183905672502</v>
      </c>
      <c r="K542" t="s">
        <v>5917</v>
      </c>
      <c r="L542" t="s">
        <v>5918</v>
      </c>
      <c r="M542" t="s">
        <v>5919</v>
      </c>
      <c r="N542">
        <f>-648.470406870917 -64.3425204948044 -556.463677679215</f>
        <v>-1269.2766050449363</v>
      </c>
      <c r="O542">
        <f>-635.749336688752 -198.180939292561 -527.759379500224</f>
        <v>-1361.6896554815371</v>
      </c>
      <c r="P542">
        <f>-674.961123213241 -257.905130906383 -242.300666619755</f>
        <v>-1175.1669207393791</v>
      </c>
      <c r="Q542">
        <f>-490.667437484251 -125.583691849952 -323.403940073866</f>
        <v>-939.65506940806904</v>
      </c>
      <c r="R542" t="s">
        <v>5920</v>
      </c>
      <c r="S542" t="s">
        <v>5921</v>
      </c>
      <c r="T542" t="s">
        <v>5922</v>
      </c>
      <c r="U542" t="s">
        <v>5923</v>
      </c>
      <c r="V542">
        <f>-596.096636702775 -122.419648527909 -96.3095568432772</f>
        <v>-814.8258420739611</v>
      </c>
      <c r="W542" t="s">
        <v>5924</v>
      </c>
      <c r="X542" t="s">
        <v>5925</v>
      </c>
      <c r="Y542" t="s">
        <v>5926</v>
      </c>
    </row>
    <row r="543" spans="1:25" x14ac:dyDescent="0.3">
      <c r="A543">
        <v>27100</v>
      </c>
      <c r="B543" t="s">
        <v>5927</v>
      </c>
      <c r="C543">
        <f>-612.165493062178 -27.2585968055093 -97.7096895015046</f>
        <v>-737.13377936919198</v>
      </c>
      <c r="D543">
        <f>-637.764359575484 -34.2614195594731 -210.45666882946</f>
        <v>-882.48244796441713</v>
      </c>
      <c r="E543">
        <f>-648.311180594854 -36.8850605381972 -308.479865025018</f>
        <v>-993.67610615806916</v>
      </c>
      <c r="F543">
        <f>-653.834025238656 -38.0284146774077 -397.39794638643</f>
        <v>-1089.2603863024938</v>
      </c>
      <c r="G543">
        <f>-654.981211766723 -37.9184899397437 -486.487301279168</f>
        <v>-1179.3870029856348</v>
      </c>
      <c r="H543">
        <f>-651.9860606704 -36.4745733161308 -611.025588913184</f>
        <v>-1299.4862228997149</v>
      </c>
      <c r="I543">
        <f>-616.745141999745 -29.6247367547667 -685.9667637234</f>
        <v>-1332.3366424779117</v>
      </c>
      <c r="J543">
        <f>-656.796159565511 -9.62282309667171 -555.987672754166</f>
        <v>-1222.4066554163487</v>
      </c>
      <c r="K543" t="s">
        <v>5928</v>
      </c>
      <c r="L543" t="s">
        <v>5929</v>
      </c>
      <c r="M543" t="s">
        <v>5930</v>
      </c>
      <c r="N543">
        <f>-649.812008956585 -64.597020339475 -556.457136894566</f>
        <v>-1270.866166190626</v>
      </c>
      <c r="O543">
        <f>-637.029739691143 -198.443701099857 -527.810367897862</f>
        <v>-1363.2838086888619</v>
      </c>
      <c r="P543">
        <f>-675.885237220228 -258.267632987725 -242.323793598794</f>
        <v>-1176.476663806747</v>
      </c>
      <c r="Q543">
        <f>-491.827492340004 -125.71601160792 -323.586820713428</f>
        <v>-941.13032466135201</v>
      </c>
      <c r="R543" t="s">
        <v>5931</v>
      </c>
      <c r="S543" t="s">
        <v>5932</v>
      </c>
      <c r="T543" t="s">
        <v>5933</v>
      </c>
      <c r="U543" t="s">
        <v>5934</v>
      </c>
      <c r="V543">
        <f>-596.903896161702 -122.715431894229 -96.3101108227505</f>
        <v>-815.92943887868159</v>
      </c>
      <c r="W543" t="s">
        <v>5935</v>
      </c>
      <c r="X543" t="s">
        <v>5936</v>
      </c>
      <c r="Y543" t="s">
        <v>5937</v>
      </c>
    </row>
    <row r="544" spans="1:25" x14ac:dyDescent="0.3">
      <c r="A544">
        <v>27150</v>
      </c>
      <c r="B544" t="s">
        <v>5938</v>
      </c>
      <c r="C544">
        <f>-612.602009681904 -27.4321368009885 -97.7076719399174</f>
        <v>-737.74181842280984</v>
      </c>
      <c r="D544">
        <f>-638.214832999969 -34.4393770415311 -210.451245575257</f>
        <v>-883.10545561675701</v>
      </c>
      <c r="E544">
        <f>-648.767637022979 -37.0510497074954 -308.474036158126</f>
        <v>-994.29272288860034</v>
      </c>
      <c r="F544">
        <f>-654.293443433233 -38.1770081114676 -397.392194334048</f>
        <v>-1089.8626458787485</v>
      </c>
      <c r="G544">
        <f>-655.441073045602 -38.0428925029037 -486.481513391078</f>
        <v>-1179.9654789395836</v>
      </c>
      <c r="H544">
        <f>-652.444061156672 -36.5579587951615 -611.019156827126</f>
        <v>-1300.0211767789597</v>
      </c>
      <c r="I544">
        <f>-617.159795004929 -29.7049933298458 -685.939685718333</f>
        <v>-1332.8044740531077</v>
      </c>
      <c r="J544">
        <f>-657.271556747285 -9.72631901296813 -555.973055337056</f>
        <v>-1222.9709310973092</v>
      </c>
      <c r="K544" t="s">
        <v>5939</v>
      </c>
      <c r="L544" t="s">
        <v>5940</v>
      </c>
      <c r="M544" t="s">
        <v>5941</v>
      </c>
      <c r="N544">
        <f>-650.254319284236 -64.6963112124419 -556.459661819227</f>
        <v>-1271.4102923159048</v>
      </c>
      <c r="O544">
        <f>-637.414285234163 -198.537620068465 -527.823595088491</f>
        <v>-1363.7755003911188</v>
      </c>
      <c r="P544">
        <f>-676.212484251634 -258.417066944823 -242.340966589384</f>
        <v>-1176.9705177858409</v>
      </c>
      <c r="Q544">
        <f>-492.234267563717 -125.780234473676 -323.645080938959</f>
        <v>-941.65958297635211</v>
      </c>
      <c r="R544" t="s">
        <v>5942</v>
      </c>
      <c r="S544" t="s">
        <v>5943</v>
      </c>
      <c r="T544" t="s">
        <v>5944</v>
      </c>
      <c r="U544" t="s">
        <v>5945</v>
      </c>
      <c r="V544">
        <f>-597.319087572712 -122.943970071293 -96.3157430180618</f>
        <v>-816.57880066206667</v>
      </c>
      <c r="W544" t="s">
        <v>5946</v>
      </c>
      <c r="X544" t="s">
        <v>5947</v>
      </c>
      <c r="Y544" t="s">
        <v>5948</v>
      </c>
    </row>
    <row r="545" spans="1:25" x14ac:dyDescent="0.3">
      <c r="A545">
        <v>27200</v>
      </c>
      <c r="B545" t="s">
        <v>5949</v>
      </c>
      <c r="C545">
        <f>-613.507634994635 -27.5364196371891 -97.7180164042885</f>
        <v>-738.76207103611262</v>
      </c>
      <c r="D545">
        <f>-639.128115414522 -34.5273762632714 -210.460803641781</f>
        <v>-884.11629531957442</v>
      </c>
      <c r="E545">
        <f>-649.682241082059 -37.1218103057972 -308.4838466948</f>
        <v>-995.28789808265628</v>
      </c>
      <c r="F545">
        <f>-655.207293292248 -38.2304485276009 -397.402331867057</f>
        <v>-1090.8400736869057</v>
      </c>
      <c r="G545">
        <f>-656.352520202408 -38.0763505013522 -486.491733970741</f>
        <v>-1180.9206046745012</v>
      </c>
      <c r="H545">
        <f>-653.350300765046 -36.5602355343456 -611.028854400895</f>
        <v>-1300.9393907002866</v>
      </c>
      <c r="I545">
        <f>-618.051990632163 -29.7282991833079 -685.944717772491</f>
        <v>-1333.725007587962</v>
      </c>
      <c r="J545">
        <f>-658.211847489437 -9.74650185537507 -555.976971792878</f>
        <v>-1223.9353211376902</v>
      </c>
      <c r="K545" t="s">
        <v>5950</v>
      </c>
      <c r="L545" t="s">
        <v>5951</v>
      </c>
      <c r="M545" t="s">
        <v>5952</v>
      </c>
      <c r="N545">
        <f>-651.131019004953 -64.7081417668039 -556.475289968874</f>
        <v>-1272.3144507406309</v>
      </c>
      <c r="O545">
        <f>-638.202381942878 -198.536545090788 -527.806590857694</f>
        <v>-1364.5455178913599</v>
      </c>
      <c r="P545">
        <f>-676.998034371422 -258.29619965272 -242.298385346311</f>
        <v>-1177.5926193704531</v>
      </c>
      <c r="Q545">
        <f>-493.017631225148 -125.699768903395 -323.663291286231</f>
        <v>-942.38069141477399</v>
      </c>
      <c r="R545" t="s">
        <v>5953</v>
      </c>
      <c r="S545" t="s">
        <v>5954</v>
      </c>
      <c r="T545" t="s">
        <v>5955</v>
      </c>
      <c r="U545" t="s">
        <v>5956</v>
      </c>
      <c r="V545">
        <f>-598.198179790497 -123.046113319123 -96.354985241451</f>
        <v>-817.59927835107101</v>
      </c>
      <c r="W545" t="s">
        <v>5957</v>
      </c>
      <c r="X545" t="s">
        <v>5958</v>
      </c>
      <c r="Y545" t="s">
        <v>5959</v>
      </c>
    </row>
    <row r="546" spans="1:25" x14ac:dyDescent="0.3">
      <c r="A546">
        <v>27250</v>
      </c>
      <c r="B546" t="s">
        <v>5960</v>
      </c>
      <c r="C546">
        <f>-613.959345057362 -27.4989634212682 -97.7339365756611</f>
        <v>-739.19224505429133</v>
      </c>
      <c r="D546">
        <f>-639.594893956811 -34.481747224231 -210.47370881427</f>
        <v>-884.55034999531199</v>
      </c>
      <c r="E546">
        <f>-650.144224340136 -37.0698211930389 -308.49768559564</f>
        <v>-995.71173112881502</v>
      </c>
      <c r="F546">
        <f>-655.657651835829 -38.1731967721632 -397.416827618126</f>
        <v>-1091.2476762261183</v>
      </c>
      <c r="G546">
        <f>-656.78409294263 -38.0139574421237 -486.506400749136</f>
        <v>-1181.3044511338896</v>
      </c>
      <c r="H546">
        <f>-653.748291129266 -36.4906309950168 -611.042671418057</f>
        <v>-1301.2815935423398</v>
      </c>
      <c r="I546">
        <f>-618.449586342782 -29.679503750411 -685.960117663315</f>
        <v>-1334.0892077565081</v>
      </c>
      <c r="J546">
        <f>-658.636259571825 -9.68165778661614 -555.990848986534</f>
        <v>-1224.3087663449751</v>
      </c>
      <c r="K546" t="s">
        <v>5961</v>
      </c>
      <c r="L546" t="s">
        <v>5962</v>
      </c>
      <c r="M546" t="s">
        <v>5963</v>
      </c>
      <c r="N546">
        <f>-651.532248926282 -64.6403293399867 -556.489927487729</f>
        <v>-1272.6625057539977</v>
      </c>
      <c r="O546">
        <f>-638.589233890754 -198.467775852061 -527.801594245255</f>
        <v>-1364.8586039880702</v>
      </c>
      <c r="P546">
        <f>-677.414086060331 -258.155961112271 -242.282505935815</f>
        <v>-1177.8525531084169</v>
      </c>
      <c r="Q546">
        <f>-493.427978158588 -125.590057533365 -323.684375594225</f>
        <v>-942.70241128617806</v>
      </c>
      <c r="R546" t="s">
        <v>5964</v>
      </c>
      <c r="S546" t="s">
        <v>5965</v>
      </c>
      <c r="T546" t="s">
        <v>5966</v>
      </c>
      <c r="U546" t="s">
        <v>5967</v>
      </c>
      <c r="V546">
        <f>-598.628044762802 -123.002139712135 -96.3699340303833</f>
        <v>-818.0001185053203</v>
      </c>
      <c r="W546" t="s">
        <v>5968</v>
      </c>
      <c r="X546" t="s">
        <v>5969</v>
      </c>
      <c r="Y546" t="s">
        <v>5970</v>
      </c>
    </row>
    <row r="547" spans="1:25" x14ac:dyDescent="0.3">
      <c r="A547">
        <v>27300</v>
      </c>
      <c r="B547" t="s">
        <v>5971</v>
      </c>
      <c r="C547">
        <f>-614.818834465583 -27.4796745808196 -97.7303993547057</f>
        <v>-740.02890840110831</v>
      </c>
      <c r="D547">
        <f>-640.543042503522 -34.4615269954011 -210.450235360502</f>
        <v>-885.45480485942505</v>
      </c>
      <c r="E547">
        <f>-651.075301961494 -37.0580171765287 -308.475702814443</f>
        <v>-996.6090219524657</v>
      </c>
      <c r="F547">
        <f>-656.535772230221 -38.1714977361353 -397.398036963934</f>
        <v>-1092.1053069302902</v>
      </c>
      <c r="G547">
        <f>-657.571844090189 -38.0244752661956 -486.48875904375</f>
        <v>-1182.0850784001345</v>
      </c>
      <c r="H547">
        <f>-654.370673170862 -36.5200064279525 -611.020939814165</f>
        <v>-1301.9116194129795</v>
      </c>
      <c r="I547">
        <f>-619.075861492476 -29.7807097605171 -685.94688188016</f>
        <v>-1334.8034531331532</v>
      </c>
      <c r="J547">
        <f>-659.356913008755 -9.70606580773347 -555.98046654099</f>
        <v>-1225.0434453574785</v>
      </c>
      <c r="K547" t="s">
        <v>5972</v>
      </c>
      <c r="L547" t="s">
        <v>5973</v>
      </c>
      <c r="M547" t="s">
        <v>5974</v>
      </c>
      <c r="N547">
        <f>-652.201845984529 -64.6581888222521 -556.460473783595</f>
        <v>-1273.320508590376</v>
      </c>
      <c r="O547">
        <f>-639.200452498101 -198.4564452668 -527.716490428939</f>
        <v>-1365.3733881938399</v>
      </c>
      <c r="P547">
        <f>-678.209023553739 -258.118370494687 -242.217037272507</f>
        <v>-1178.544431320933</v>
      </c>
      <c r="Q547">
        <f>-494.291410938648 -125.457261069445 -323.61847117713</f>
        <v>-943.36714318522309</v>
      </c>
      <c r="R547" t="s">
        <v>5975</v>
      </c>
      <c r="S547" t="s">
        <v>5976</v>
      </c>
      <c r="T547" t="s">
        <v>5977</v>
      </c>
      <c r="U547" t="s">
        <v>5978</v>
      </c>
      <c r="V547">
        <f>-599.476119053856 -123.033637808309 -96.3839441251325</f>
        <v>-818.89370098729751</v>
      </c>
      <c r="W547" t="s">
        <v>5979</v>
      </c>
      <c r="X547" t="s">
        <v>5980</v>
      </c>
      <c r="Y547" t="s">
        <v>5981</v>
      </c>
    </row>
    <row r="548" spans="1:25" x14ac:dyDescent="0.3">
      <c r="A548">
        <v>27350</v>
      </c>
      <c r="B548" t="s">
        <v>5982</v>
      </c>
      <c r="C548">
        <f>-615.241391056333 -27.4076992806829 -97.7068836759818</f>
        <v>-740.35597401299765</v>
      </c>
      <c r="D548">
        <f>-641.029942362731 -34.3887135657092 -210.411907169663</f>
        <v>-885.8305630981032</v>
      </c>
      <c r="E548">
        <f>-651.548892358637 -36.9959846220352 -308.438553953523</f>
        <v>-996.98343093419521</v>
      </c>
      <c r="F548">
        <f>-656.969767476395 -38.1235722389906 -397.363149082947</f>
        <v>-1092.4564887983327</v>
      </c>
      <c r="G548">
        <f>-657.93883023192 -37.9940597447335 -486.454563358276</f>
        <v>-1182.3874533349294</v>
      </c>
      <c r="H548">
        <f>-654.615393836349 -36.5173295619982 -610.984107986673</f>
        <v>-1302.1168313850203</v>
      </c>
      <c r="I548">
        <f>-619.34034998998 -29.8279564980812 -685.923657577443</f>
        <v>-1335.0919640655043</v>
      </c>
      <c r="J548">
        <f>-659.673356827038 -9.69341941732932 -555.954934015444</f>
        <v>-1225.3217102598114</v>
      </c>
      <c r="K548" t="s">
        <v>5983</v>
      </c>
      <c r="L548" t="s">
        <v>5984</v>
      </c>
      <c r="M548" t="s">
        <v>5985</v>
      </c>
      <c r="N548">
        <f>-652.482314951024 -64.6410003619642 -556.414560944226</f>
        <v>-1273.5378762572141</v>
      </c>
      <c r="O548">
        <f>-639.438106262317 -198.433861290027 -527.63298522334</f>
        <v>-1365.5049527756842</v>
      </c>
      <c r="P548">
        <f>-678.53412742504 -258.015687235651 -242.128644127676</f>
        <v>-1178.6784587883672</v>
      </c>
      <c r="Q548">
        <f>-494.596643729569 -125.383529616556 -323.532631403968</f>
        <v>-943.51280475009298</v>
      </c>
      <c r="R548" t="s">
        <v>5986</v>
      </c>
      <c r="S548" t="s">
        <v>5987</v>
      </c>
      <c r="T548" t="s">
        <v>5988</v>
      </c>
      <c r="U548" t="s">
        <v>5989</v>
      </c>
      <c r="V548">
        <f>-599.880292620109 -123.006345261485 -96.3777573488644</f>
        <v>-819.26439523045838</v>
      </c>
      <c r="W548" t="s">
        <v>5990</v>
      </c>
      <c r="X548" t="s">
        <v>5991</v>
      </c>
      <c r="Y548" t="s">
        <v>5992</v>
      </c>
    </row>
    <row r="549" spans="1:25" x14ac:dyDescent="0.3">
      <c r="A549">
        <v>27400</v>
      </c>
      <c r="B549" t="s">
        <v>5993</v>
      </c>
      <c r="C549">
        <f>-616.074965312185 -27.1548847280214 -97.673787249701</f>
        <v>-740.90363728990746</v>
      </c>
      <c r="D549">
        <f>-641.985320368934 -34.138665682641 -210.350783932994</f>
        <v>-886.47476998456898</v>
      </c>
      <c r="E549">
        <f>-652.536054108809 -36.7601462110679 -308.373529606278</f>
        <v>-997.6697299261549</v>
      </c>
      <c r="F549">
        <f>-657.956210342874 -37.9043534771101 -397.297988495284</f>
        <v>-1093.158552315268</v>
      </c>
      <c r="G549">
        <f>-658.895308739277 -37.7944600266853 -486.389726493137</f>
        <v>-1183.0794952590993</v>
      </c>
      <c r="H549">
        <f>-655.499347029502 -36.3479830221233 -610.917523535375</f>
        <v>-1302.7648535870003</v>
      </c>
      <c r="I549">
        <f>-620.306576576769 -29.7804495494704 -685.906694162609</f>
        <v>-1335.9937202888484</v>
      </c>
      <c r="J549">
        <f>-660.616115690946 -9.51419963265266 -555.898753891796</f>
        <v>-1226.0290692153947</v>
      </c>
      <c r="K549" t="s">
        <v>5994</v>
      </c>
      <c r="L549" t="s">
        <v>5995</v>
      </c>
      <c r="M549" t="s">
        <v>5996</v>
      </c>
      <c r="N549">
        <f>-653.371388155869 -64.4549171660108 -556.339409122295</f>
        <v>-1274.1657144441747</v>
      </c>
      <c r="O549">
        <f>-640.27107790164 -198.223687019835 -527.485606976227</f>
        <v>-1365.9803718977018</v>
      </c>
      <c r="P549">
        <f>-679.391547674501 -257.522400480493 -241.925743682006</f>
        <v>-1178.8396918369999</v>
      </c>
      <c r="Q549">
        <f>-495.350017572173 -125.099063324339 -323.434199894154</f>
        <v>-943.88328079066605</v>
      </c>
      <c r="R549" t="s">
        <v>5997</v>
      </c>
      <c r="S549" t="s">
        <v>5998</v>
      </c>
      <c r="T549" t="s">
        <v>5999</v>
      </c>
      <c r="U549" t="s">
        <v>6000</v>
      </c>
      <c r="V549">
        <f>-600.705298041549 -122.790098141243 -96.3695424188115</f>
        <v>-819.86493860160351</v>
      </c>
      <c r="W549" t="s">
        <v>6001</v>
      </c>
      <c r="X549" t="s">
        <v>6002</v>
      </c>
      <c r="Y549" t="s">
        <v>6003</v>
      </c>
    </row>
    <row r="550" spans="1:25" x14ac:dyDescent="0.3">
      <c r="A550">
        <v>27450</v>
      </c>
      <c r="B550" t="s">
        <v>6004</v>
      </c>
      <c r="C550">
        <f>-616.450130748498 -27.1320327016294 -97.6599530053863</f>
        <v>-741.24211645551384</v>
      </c>
      <c r="D550">
        <f>-642.408633427631 -34.1352461503689 -210.324590774531</f>
        <v>-886.86847035253084</v>
      </c>
      <c r="E550">
        <f>-652.982931960221 -36.773559016229 -308.344513765958</f>
        <v>-998.10100474240801</v>
      </c>
      <c r="F550">
        <f>-658.417093003257 -37.9331100122331 -397.267864355582</f>
        <v>-1093.6180673710721</v>
      </c>
      <c r="G550">
        <f>-659.362724596103 -37.8387274741876 -486.359606317543</f>
        <v>-1183.5610583878338</v>
      </c>
      <c r="H550">
        <f>-655.968360659716 -36.4139696044167 -610.887794766873</f>
        <v>-1303.2701250310056</v>
      </c>
      <c r="I550">
        <f>-620.829309737448 -29.9259868870765 -685.908945370577</f>
        <v>-1336.6642419951017</v>
      </c>
      <c r="J550">
        <f>-661.089514011642 -9.57118489021946 -555.87373453758</f>
        <v>-1226.5344334394415</v>
      </c>
      <c r="K550" t="s">
        <v>6005</v>
      </c>
      <c r="L550" t="s">
        <v>6006</v>
      </c>
      <c r="M550" t="s">
        <v>6007</v>
      </c>
      <c r="N550">
        <f>-653.834644656871 -64.5106806129845 -556.304388576988</f>
        <v>-1274.6497138468435</v>
      </c>
      <c r="O550">
        <f>-640.71542926424 -198.267427233283 -527.405111696598</f>
        <v>-1366.3879681941212</v>
      </c>
      <c r="P550">
        <f>-679.7070531436 -257.425394055052 -241.798449374247</f>
        <v>-1178.930896572899</v>
      </c>
      <c r="Q550">
        <f>-495.728100429613 -124.985688545027 -323.421557209408</f>
        <v>-944.13534618404799</v>
      </c>
      <c r="R550" t="s">
        <v>6008</v>
      </c>
      <c r="S550" t="s">
        <v>6009</v>
      </c>
      <c r="T550" t="s">
        <v>6010</v>
      </c>
      <c r="U550" t="s">
        <v>6011</v>
      </c>
      <c r="V550">
        <f>-601.060097175041 -122.842980728112 -96.3581753187419</f>
        <v>-820.261253221895</v>
      </c>
      <c r="W550" t="s">
        <v>6012</v>
      </c>
      <c r="X550" t="s">
        <v>6013</v>
      </c>
      <c r="Y550" t="s">
        <v>6014</v>
      </c>
    </row>
    <row r="551" spans="1:25" x14ac:dyDescent="0.3">
      <c r="A551">
        <v>27500</v>
      </c>
      <c r="B551" t="s">
        <v>6015</v>
      </c>
      <c r="C551">
        <f>-617.069435886167 -26.9423354676992 -97.6516798293652</f>
        <v>-741.66345118323136</v>
      </c>
      <c r="D551">
        <f>-643.128194190418 -33.992369332241 -210.290350816469</f>
        <v>-887.41091433912788</v>
      </c>
      <c r="E551">
        <f>-653.723464379212 -36.6624527945512 -308.307054879624</f>
        <v>-998.69297205338717</v>
      </c>
      <c r="F551">
        <f>-659.150006592811 -37.8476741953928 -397.230533743438</f>
        <v>-1094.2282145316417</v>
      </c>
      <c r="G551">
        <f>-660.061262985501 -37.7754347927935 -486.322569753838</f>
        <v>-1184.1592675321326</v>
      </c>
      <c r="H551">
        <f>-656.590714637091 -36.3781880944848 -610.848961051078</f>
        <v>-1303.8178637826538</v>
      </c>
      <c r="I551">
        <f>-621.557231399473 -30.0383002811941 -685.932084251789</f>
        <v>-1337.5276159324562</v>
      </c>
      <c r="J551">
        <f>-661.756387734278 -9.52467054901695 -555.844236964428</f>
        <v>-1227.125295247723</v>
      </c>
      <c r="K551" t="s">
        <v>6016</v>
      </c>
      <c r="L551" t="s">
        <v>6017</v>
      </c>
      <c r="M551" t="s">
        <v>6018</v>
      </c>
      <c r="N551">
        <f>-654.479376323376 -64.461344135192 -556.257895147554</f>
        <v>-1275.1986156061221</v>
      </c>
      <c r="O551">
        <f>-641.329144981396 -198.200662226535 -527.278510496019</f>
        <v>-1366.8083177039498</v>
      </c>
      <c r="P551">
        <f>-680.210493642222 -257.173341728549 -241.618401069216</f>
        <v>-1179.002236439987</v>
      </c>
      <c r="Q551">
        <f>-496.350107359456 -124.717869498749 -323.482724023406</f>
        <v>-944.55070088161096</v>
      </c>
      <c r="R551" t="s">
        <v>6019</v>
      </c>
      <c r="S551" t="s">
        <v>6020</v>
      </c>
      <c r="T551" t="s">
        <v>6021</v>
      </c>
      <c r="U551" t="s">
        <v>6022</v>
      </c>
      <c r="V551">
        <f>-601.609685162998 -122.734964146678 -96.3384926553709</f>
        <v>-820.68314196504684</v>
      </c>
      <c r="W551" t="s">
        <v>6023</v>
      </c>
      <c r="X551" t="s">
        <v>6024</v>
      </c>
      <c r="Y551" t="s">
        <v>6025</v>
      </c>
    </row>
    <row r="552" spans="1:25" x14ac:dyDescent="0.3">
      <c r="A552">
        <v>27550</v>
      </c>
      <c r="B552" t="s">
        <v>6026</v>
      </c>
      <c r="C552">
        <f>-617.328954027388 -26.8135132406592 -97.6654276235229</f>
        <v>-741.80789489157007</v>
      </c>
      <c r="D552">
        <f>-643.419893997527 -33.8884893075842 -210.295034339681</f>
        <v>-887.60341764479222</v>
      </c>
      <c r="E552">
        <f>-654.023104994077 -36.5898897300465 -308.309963328256</f>
        <v>-998.9229580523795</v>
      </c>
      <c r="F552">
        <f>-659.448681703292 -37.8077278796391 -397.233046225838</f>
        <v>-1094.489455808769</v>
      </c>
      <c r="G552">
        <f>-660.350662102879 -37.7730397439004 -486.325344921247</f>
        <v>-1184.4490467680264</v>
      </c>
      <c r="H552">
        <f>-656.858514380904 -36.4332325450039 -610.851821816154</f>
        <v>-1304.1435687420619</v>
      </c>
      <c r="I552">
        <f>-621.880157210975 -30.1695756183972 -685.967079071916</f>
        <v>-1338.0168119012883</v>
      </c>
      <c r="J552">
        <f>-662.032081032066 -9.55400665754541 -555.860278528214</f>
        <v>-1227.4463662178255</v>
      </c>
      <c r="K552" t="s">
        <v>6027</v>
      </c>
      <c r="L552" t="s">
        <v>6028</v>
      </c>
      <c r="M552" t="s">
        <v>6029</v>
      </c>
      <c r="N552">
        <f>-654.75844553438 -64.4914179923479 -556.247409608157</f>
        <v>-1275.4972731348848</v>
      </c>
      <c r="O552">
        <f>-641.5965234811 -198.219991769559 -527.232652309594</f>
        <v>-1367.049167560253</v>
      </c>
      <c r="P552">
        <f>-680.408621014194 -257.044879625826 -241.532630493395</f>
        <v>-1178.9861311334148</v>
      </c>
      <c r="Q552">
        <f>-496.587869442305 -124.574419649505 -323.461912222317</f>
        <v>-944.62420131412705</v>
      </c>
      <c r="R552" t="s">
        <v>6030</v>
      </c>
      <c r="S552" t="s">
        <v>6031</v>
      </c>
      <c r="T552" t="s">
        <v>6032</v>
      </c>
      <c r="U552" t="s">
        <v>6033</v>
      </c>
      <c r="V552">
        <f>-601.854495503526 -122.574630311356 -96.3314699452692</f>
        <v>-820.7605957601512</v>
      </c>
      <c r="W552" t="s">
        <v>6034</v>
      </c>
      <c r="X552" t="s">
        <v>6035</v>
      </c>
      <c r="Y552" t="s">
        <v>6036</v>
      </c>
    </row>
    <row r="553" spans="1:25" x14ac:dyDescent="0.3">
      <c r="A553">
        <v>27600</v>
      </c>
      <c r="B553" t="s">
        <v>6037</v>
      </c>
      <c r="C553">
        <f>-617.743852422263 -26.8320115928063 -97.6449803071334</f>
        <v>-742.22084432220277</v>
      </c>
      <c r="D553">
        <f>-643.859097452961 -33.9461443509704 -210.266428422693</f>
        <v>-888.07167022662441</v>
      </c>
      <c r="E553">
        <f>-654.458907927174 -36.7103505331083 -308.280065187898</f>
        <v>-999.44932364818033</v>
      </c>
      <c r="F553">
        <f>-659.871001998334 -37.9981727570491 -397.203010366999</f>
        <v>-1095.0721851223821</v>
      </c>
      <c r="G553">
        <f>-660.749277503038 -38.0473474767452 -486.295556266725</f>
        <v>-1185.0921812465083</v>
      </c>
      <c r="H553">
        <f>-657.212934511574 -36.8405090041617 -610.822041930071</f>
        <v>-1304.8754854458066</v>
      </c>
      <c r="I553">
        <f>-622.3693465208 -30.7081997808623 -686.010633999928</f>
        <v>-1339.0881803015905</v>
      </c>
      <c r="J553">
        <f>-662.394069227105 -9.90120243770753 -555.860780013003</f>
        <v>-1228.1560516778154</v>
      </c>
      <c r="K553" t="s">
        <v>6038</v>
      </c>
      <c r="L553" t="s">
        <v>6039</v>
      </c>
      <c r="M553" t="s">
        <v>6040</v>
      </c>
      <c r="N553">
        <f>-655.144128711434 -64.8419674269545 -556.187376855853</f>
        <v>-1276.1734729942414</v>
      </c>
      <c r="O553">
        <f>-642.027858925153 -198.558420397889 -527.073819684682</f>
        <v>-1367.6600990077241</v>
      </c>
      <c r="P553">
        <f>-680.82537350008 -257.333448403265 -241.361718151243</f>
        <v>-1179.5205400545879</v>
      </c>
      <c r="Q553">
        <f>-496.981605162983 -125.013674320101 -323.482515791665</f>
        <v>-945.47779527474904</v>
      </c>
      <c r="R553" t="s">
        <v>6041</v>
      </c>
      <c r="S553" t="s">
        <v>6042</v>
      </c>
      <c r="T553" t="s">
        <v>6043</v>
      </c>
      <c r="U553" t="s">
        <v>6044</v>
      </c>
      <c r="V553">
        <f>-602.216839351283 -122.635437643245 -96.3129868804974</f>
        <v>-821.16526387502552</v>
      </c>
      <c r="W553" t="s">
        <v>6045</v>
      </c>
      <c r="X553" t="s">
        <v>6046</v>
      </c>
      <c r="Y553" t="s">
        <v>6047</v>
      </c>
    </row>
    <row r="554" spans="1:25" x14ac:dyDescent="0.3">
      <c r="A554">
        <v>27650</v>
      </c>
      <c r="B554" t="s">
        <v>6048</v>
      </c>
      <c r="C554">
        <f>-617.885764284721 -26.9260910196037 -97.6400463103685</f>
        <v>-742.45190161469316</v>
      </c>
      <c r="D554">
        <f>-644.008109509266 -34.0513904889929 -210.259141006099</f>
        <v>-888.3186410043578</v>
      </c>
      <c r="E554">
        <f>-654.590538741956 -36.8365936807872 -308.274094343221</f>
        <v>-999.70122676596429</v>
      </c>
      <c r="F554">
        <f>-659.977306027458 -38.1483690675552 -397.19831720271</f>
        <v>-1095.3239922977232</v>
      </c>
      <c r="G554">
        <f>-660.820493549159 -38.2272682488708 -486.290996980371</f>
        <v>-1185.3387587784009</v>
      </c>
      <c r="H554">
        <f>-657.224874563854 -37.0681592069432 -610.816311633467</f>
        <v>-1305.1093454042641</v>
      </c>
      <c r="I554">
        <f>-622.485323723171 -30.9877425151767 -686.057426720825</f>
        <v>-1339.5304929591725</v>
      </c>
      <c r="J554">
        <f>-662.426049135906 -10.1069321037087 -555.867591443338</f>
        <v>-1228.4005726829528</v>
      </c>
      <c r="K554" t="s">
        <v>6049</v>
      </c>
      <c r="L554" t="s">
        <v>6050</v>
      </c>
      <c r="M554" t="s">
        <v>6051</v>
      </c>
      <c r="N554">
        <f>-655.188204513678 -65.0495556704058 -556.170139290026</f>
        <v>-1276.4078994741099</v>
      </c>
      <c r="O554">
        <f>-642.094505348427 -198.753633716461 -527.006001269455</f>
        <v>-1367.8541403343429</v>
      </c>
      <c r="P554">
        <f>-680.980426468138 -257.417373442175 -241.283019805</f>
        <v>-1179.6808197153132</v>
      </c>
      <c r="Q554">
        <f>-497.045475780209 -125.264953981084 -323.469018094143</f>
        <v>-945.77944785543605</v>
      </c>
      <c r="R554" t="s">
        <v>6052</v>
      </c>
      <c r="S554" t="s">
        <v>6053</v>
      </c>
      <c r="T554" t="s">
        <v>6054</v>
      </c>
      <c r="U554" t="s">
        <v>6055</v>
      </c>
      <c r="V554">
        <f>-602.313214308963 -122.764691229287 -96.3156275221334</f>
        <v>-821.39353306038333</v>
      </c>
      <c r="W554" t="s">
        <v>6056</v>
      </c>
      <c r="X554" t="s">
        <v>6057</v>
      </c>
      <c r="Y554" t="s">
        <v>6058</v>
      </c>
    </row>
    <row r="555" spans="1:25" x14ac:dyDescent="0.3">
      <c r="A555">
        <v>27700</v>
      </c>
      <c r="B555" t="s">
        <v>6059</v>
      </c>
      <c r="C555">
        <f>-618.076187917851 -26.9212858734102 -97.6825654760229</f>
        <v>-742.68003926728409</v>
      </c>
      <c r="D555">
        <f>-644.217154976729 -34.0863701996668 -210.294845543271</f>
        <v>-888.59837071966683</v>
      </c>
      <c r="E555">
        <f>-654.770081727669 -36.9154023770864 -308.311592525365</f>
        <v>-999.99707663012032</v>
      </c>
      <c r="F555">
        <f>-660.111441072717 -38.2726504654479 -397.23775813578</f>
        <v>-1095.6218496739448</v>
      </c>
      <c r="G555">
        <f>-660.89011788286 -38.4030887603428 -486.331189531824</f>
        <v>-1185.6243961750267</v>
      </c>
      <c r="H555">
        <f>-657.184244148301 -37.3235254751532 -610.854016350021</f>
        <v>-1305.3617859734752</v>
      </c>
      <c r="I555">
        <f>-622.611956424548 -31.3334505868088 -686.179206000387</f>
        <v>-1340.1246130117438</v>
      </c>
      <c r="J555">
        <f>-662.41896806971 -10.3253249116797 -555.926652531342</f>
        <v>-1228.6709455127316</v>
      </c>
      <c r="K555" t="s">
        <v>6060</v>
      </c>
      <c r="L555" t="s">
        <v>6061</v>
      </c>
      <c r="M555" t="s">
        <v>6062</v>
      </c>
      <c r="N555">
        <f>-655.21095088778 -65.2719895481405 -556.188472786381</f>
        <v>-1276.6714132223015</v>
      </c>
      <c r="O555">
        <f>-642.186214662067 -198.961279375827 -526.919287325771</f>
        <v>-1368.0667813636651</v>
      </c>
      <c r="P555">
        <f>-681.300056725038 -257.406328440582 -241.182439793519</f>
        <v>-1179.8888249591389</v>
      </c>
      <c r="Q555">
        <f>-497.243501916542 -125.504179009043 -323.498288877702</f>
        <v>-946.24596980328693</v>
      </c>
      <c r="R555" t="s">
        <v>6063</v>
      </c>
      <c r="S555" t="s">
        <v>6064</v>
      </c>
      <c r="T555" t="s">
        <v>6065</v>
      </c>
      <c r="U555" t="s">
        <v>6066</v>
      </c>
      <c r="V555">
        <f>-602.430225350693 -122.665238574956 -96.3304611814623</f>
        <v>-821.42592510711131</v>
      </c>
      <c r="W555" t="s">
        <v>6067</v>
      </c>
      <c r="X555" t="s">
        <v>6068</v>
      </c>
      <c r="Y555" t="s">
        <v>6069</v>
      </c>
    </row>
    <row r="556" spans="1:25" x14ac:dyDescent="0.3">
      <c r="A556">
        <v>27750</v>
      </c>
      <c r="B556" t="s">
        <v>6070</v>
      </c>
      <c r="C556">
        <f>-618.122196772747 -27.0242751876365 -97.6937773515389</f>
        <v>-742.84024931192232</v>
      </c>
      <c r="D556">
        <f>-644.27398168721 -34.1912888496872 -210.303371965305</f>
        <v>-888.76864250220228</v>
      </c>
      <c r="E556">
        <f>-654.825934085693 -37.0332809442687 -308.319958794668</f>
        <v>-1000.1791738246297</v>
      </c>
      <c r="F556">
        <f>-660.162124457545 -38.4071165011894 -397.246266628582</f>
        <v>-1095.8155075873165</v>
      </c>
      <c r="G556">
        <f>-660.931267526445 -38.5595886607907 -486.339493261915</f>
        <v>-1185.8303494491506</v>
      </c>
      <c r="H556">
        <f>-657.207468278509 -37.5166254612716 -610.862052953124</f>
        <v>-1305.5861466929045</v>
      </c>
      <c r="I556">
        <f>-622.687005718879 -31.5620392781886 -686.214011005443</f>
        <v>-1340.4630560025107</v>
      </c>
      <c r="J556">
        <f>-662.439760555765 -10.5007322134231 -555.943269976087</f>
        <v>-1228.8837627452751</v>
      </c>
      <c r="K556" t="s">
        <v>6071</v>
      </c>
      <c r="L556" t="s">
        <v>6072</v>
      </c>
      <c r="M556" t="s">
        <v>6073</v>
      </c>
      <c r="N556">
        <f>-655.252548734985 -65.4503798840493 -556.188529048269</f>
        <v>-1276.8914576673033</v>
      </c>
      <c r="O556">
        <f>-642.265528720249 -199.137939829083 -526.885689912865</f>
        <v>-1368.2891584621971</v>
      </c>
      <c r="P556">
        <f>-681.391667889547 -257.468698864739 -241.127255253933</f>
        <v>-1179.987622008219</v>
      </c>
      <c r="Q556">
        <f>-497.284115662431 -125.690399188261 -323.527389679762</f>
        <v>-946.501904530454</v>
      </c>
      <c r="R556" t="s">
        <v>6074</v>
      </c>
      <c r="S556" t="s">
        <v>6075</v>
      </c>
      <c r="T556" t="s">
        <v>6076</v>
      </c>
      <c r="U556" t="s">
        <v>6077</v>
      </c>
      <c r="V556">
        <f>-602.485000989288 -122.779069815981 -96.3276010303936</f>
        <v>-821.59167183566251</v>
      </c>
      <c r="W556" t="s">
        <v>6078</v>
      </c>
      <c r="X556" t="s">
        <v>6079</v>
      </c>
      <c r="Y556" t="s">
        <v>6080</v>
      </c>
    </row>
    <row r="557" spans="1:25" x14ac:dyDescent="0.3">
      <c r="A557">
        <v>27800</v>
      </c>
      <c r="B557" t="s">
        <v>6081</v>
      </c>
      <c r="C557">
        <f>-618.17043137399 -26.969172675485 -97.6995461468607</f>
        <v>-742.83915019633571</v>
      </c>
      <c r="D557">
        <f>-644.339513923402 -34.1446671027109 -210.30466386941</f>
        <v>-888.78884489552286</v>
      </c>
      <c r="E557">
        <f>-654.903624173833 -36.9959178370375 -308.319622400178</f>
        <v>-1000.2191644110485</v>
      </c>
      <c r="F557">
        <f>-660.249736885584 -38.3788298972891 -397.245117583138</f>
        <v>-1095.873684366011</v>
      </c>
      <c r="G557">
        <f>-661.027452164805 -38.541646873944 -486.338403048166</f>
        <v>-1185.907502086915</v>
      </c>
      <c r="H557">
        <f>-657.314418110956 -37.5144904345041 -610.861300329333</f>
        <v>-1305.6902088747929</v>
      </c>
      <c r="I557">
        <f>-622.83601150925 -31.5864014939348 -686.234600768552</f>
        <v>-1340.6570137717367</v>
      </c>
      <c r="J557">
        <f>-662.53179514806 -10.4903902036724 -555.94507159572</f>
        <v>-1228.9672569474524</v>
      </c>
      <c r="K557" t="s">
        <v>6082</v>
      </c>
      <c r="L557" t="s">
        <v>6083</v>
      </c>
      <c r="M557" t="s">
        <v>6084</v>
      </c>
      <c r="N557">
        <f>-655.364961483603 -65.442569290542 -556.184669560779</f>
        <v>-1276.9922003349238</v>
      </c>
      <c r="O557">
        <f>-642.421098608765 -199.127530817117 -526.854116891857</f>
        <v>-1368.402746317739</v>
      </c>
      <c r="P557">
        <f>-681.442624232126 -257.415333009636 -241.072773419031</f>
        <v>-1179.930730660793</v>
      </c>
      <c r="Q557">
        <f>-497.347084938457 -125.691628632168 -323.586738667799</f>
        <v>-946.62545223842403</v>
      </c>
      <c r="R557" t="s">
        <v>6085</v>
      </c>
      <c r="S557" t="s">
        <v>6086</v>
      </c>
      <c r="T557" t="s">
        <v>6087</v>
      </c>
      <c r="U557" t="s">
        <v>6088</v>
      </c>
      <c r="V557">
        <f>-602.559133418859 -122.622428923097 -96.328773518831</f>
        <v>-821.51033586078699</v>
      </c>
      <c r="W557" t="s">
        <v>6089</v>
      </c>
      <c r="X557" t="s">
        <v>6090</v>
      </c>
      <c r="Y557" t="s">
        <v>6091</v>
      </c>
    </row>
    <row r="558" spans="1:25" x14ac:dyDescent="0.3">
      <c r="A558">
        <v>27850</v>
      </c>
      <c r="B558" t="s">
        <v>6092</v>
      </c>
      <c r="C558">
        <f>-618.333416316208 -27.1207762548288 -97.6957093136278</f>
        <v>-743.14990188466459</v>
      </c>
      <c r="D558">
        <f>-644.542135573703 -34.2896916170444 -210.291966318383</f>
        <v>-889.12379350913034</v>
      </c>
      <c r="E558">
        <f>-655.132695760193 -37.139767112043 -308.304074414447</f>
        <v>-1000.576537286683</v>
      </c>
      <c r="F558">
        <f>-660.499608584085 -38.5233596498249 -397.228337453321</f>
        <v>-1096.2513056872308</v>
      </c>
      <c r="G558">
        <f>-661.295018285663 -38.6884098971659 -486.321561018089</f>
        <v>-1186.304989200918</v>
      </c>
      <c r="H558">
        <f>-657.603304608902 -37.6663697995009 -610.845176766289</f>
        <v>-1306.1148511746919</v>
      </c>
      <c r="I558">
        <f>-623.17705741379 -31.7534437361135 -686.243408684504</f>
        <v>-1341.1739098344074</v>
      </c>
      <c r="J558">
        <f>-662.792907696363 -10.6376483518573 -555.928565163535</f>
        <v>-1229.3591212117553</v>
      </c>
      <c r="K558" t="s">
        <v>6093</v>
      </c>
      <c r="L558" t="s">
        <v>6094</v>
      </c>
      <c r="M558" t="s">
        <v>6095</v>
      </c>
      <c r="N558">
        <f>-655.662697971187 -65.5946421717624 -556.168232032995</f>
        <v>-1277.4255721759444</v>
      </c>
      <c r="O558">
        <f>-642.790486084013 -199.274761698201 -526.804992977402</f>
        <v>-1368.8702407596161</v>
      </c>
      <c r="P558">
        <f>-681.630823730529 -257.515924703314 -240.989333270873</f>
        <v>-1180.1360817047159</v>
      </c>
      <c r="Q558">
        <f>-497.499447993402 -125.976247135754 -323.716929790367</f>
        <v>-947.19262491952293</v>
      </c>
      <c r="R558" t="s">
        <v>6096</v>
      </c>
      <c r="S558" t="s">
        <v>6097</v>
      </c>
      <c r="T558" t="s">
        <v>6098</v>
      </c>
      <c r="U558" t="s">
        <v>6099</v>
      </c>
      <c r="V558">
        <f>-602.77378698947 -122.795240282623 -96.3251182406497</f>
        <v>-821.89414551274263</v>
      </c>
      <c r="W558" t="s">
        <v>6100</v>
      </c>
      <c r="X558" t="s">
        <v>6101</v>
      </c>
      <c r="Y558" t="s">
        <v>6102</v>
      </c>
    </row>
    <row r="559" spans="1:25" x14ac:dyDescent="0.3">
      <c r="A559">
        <v>27900</v>
      </c>
      <c r="B559" t="s">
        <v>6103</v>
      </c>
      <c r="C559">
        <f>-618.430782596134 -27.3670661872929 -97.6980850953998</f>
        <v>-743.4959338788268</v>
      </c>
      <c r="D559">
        <f>-644.707893863918 -34.5205322183704 -210.279439353743</f>
        <v>-889.50786543603135</v>
      </c>
      <c r="E559">
        <f>-655.338866977218 -37.3642533876241 -308.287358097244</f>
        <v>-1000.9904784620861</v>
      </c>
      <c r="F559">
        <f>-660.73496702508 -38.7442037263486 -397.20983490815</f>
        <v>-1096.6890056595785</v>
      </c>
      <c r="G559">
        <f>-661.552215580386 -38.9079888481476 -486.302937159522</f>
        <v>-1186.7631415880555</v>
      </c>
      <c r="H559">
        <f>-657.883191010005 -37.8863941729503 -610.827093213091</f>
        <v>-1306.5966783960462</v>
      </c>
      <c r="I559">
        <f>-623.487592189749 -31.9591766321325 -686.238287377406</f>
        <v>-1341.6850561992874</v>
      </c>
      <c r="J559">
        <f>-663.049383249534 -10.8556393633946 -555.909394383719</f>
        <v>-1229.8144169966477</v>
      </c>
      <c r="K559" t="s">
        <v>6104</v>
      </c>
      <c r="L559" t="s">
        <v>6105</v>
      </c>
      <c r="M559" t="s">
        <v>6106</v>
      </c>
      <c r="N559">
        <f>-655.946062191686 -65.8161488716629 -556.150968218576</f>
        <v>-1277.9131792819248</v>
      </c>
      <c r="O559">
        <f>-643.131761132292 -199.502596256908 -526.78603986271</f>
        <v>-1369.4203972519099</v>
      </c>
      <c r="P559">
        <f>-681.929145894566 -257.693530966459 -240.954169140372</f>
        <v>-1180.5768460013969</v>
      </c>
      <c r="Q559">
        <f>-497.734088967243 -126.28264808789 -323.744380878579</f>
        <v>-947.76111793371206</v>
      </c>
      <c r="R559" t="s">
        <v>6107</v>
      </c>
      <c r="S559" t="s">
        <v>6108</v>
      </c>
      <c r="T559" t="s">
        <v>6109</v>
      </c>
      <c r="U559" t="s">
        <v>6110</v>
      </c>
      <c r="V559">
        <f>-602.944179880114 -123.031168371964 -96.3289828629652</f>
        <v>-822.30433111504317</v>
      </c>
      <c r="W559" t="s">
        <v>6111</v>
      </c>
      <c r="X559" t="s">
        <v>6112</v>
      </c>
      <c r="Y559" t="s">
        <v>6113</v>
      </c>
    </row>
    <row r="560" spans="1:25" x14ac:dyDescent="0.3">
      <c r="A560">
        <v>27950</v>
      </c>
      <c r="B560" t="s">
        <v>6114</v>
      </c>
      <c r="C560">
        <f>-618.45685224736 -27.462510172677 -97.7004034015447</f>
        <v>-743.61976582158161</v>
      </c>
      <c r="D560">
        <f>-644.756130601696 -34.611776518535 -210.276870360524</f>
        <v>-889.6447774807549</v>
      </c>
      <c r="E560">
        <f>-655.403443946898 -37.4539277595557 -308.283034649631</f>
        <v>-1001.1404063560847</v>
      </c>
      <c r="F560">
        <f>-660.813185550966 -38.8332366262453 -397.204683907011</f>
        <v>-1096.8511060842222</v>
      </c>
      <c r="G560">
        <f>-661.642773447429 -38.9973974237664 -486.297590182452</f>
        <v>-1186.9377610536474</v>
      </c>
      <c r="H560">
        <f>-657.989750137059 -37.977718186841 -610.822362163836</f>
        <v>-1306.789830487736</v>
      </c>
      <c r="I560">
        <f>-623.605767761329 -32.0482147541327 -686.238704376596</f>
        <v>-1341.8926868920578</v>
      </c>
      <c r="J560">
        <f>-663.142147747107 -10.9453741171076 -555.904084519939</f>
        <v>-1229.9916063841536</v>
      </c>
      <c r="K560" t="s">
        <v>6115</v>
      </c>
      <c r="L560" t="s">
        <v>6116</v>
      </c>
      <c r="M560" t="s">
        <v>6117</v>
      </c>
      <c r="N560">
        <f>-656.052439494123 -65.9075374602526 -556.146241946314</f>
        <v>-1278.1062189006896</v>
      </c>
      <c r="O560">
        <f>-643.27392166675 -199.595907897065 -526.779894108506</f>
        <v>-1369.649723672321</v>
      </c>
      <c r="P560">
        <f>-682.008548888964 -257.750734936305 -240.932281859668</f>
        <v>-1180.6915656849369</v>
      </c>
      <c r="Q560">
        <f>-497.766234518095 -126.431824096251 -323.763196881399</f>
        <v>-947.96125549574504</v>
      </c>
      <c r="R560" t="s">
        <v>6118</v>
      </c>
      <c r="S560" t="s">
        <v>6119</v>
      </c>
      <c r="T560" t="s">
        <v>6120</v>
      </c>
      <c r="U560" t="s">
        <v>6121</v>
      </c>
      <c r="V560">
        <f>-602.966509909734 -123.122144605248 -96.328119836</f>
        <v>-822.416774350982</v>
      </c>
      <c r="W560" t="s">
        <v>6122</v>
      </c>
      <c r="X560" t="s">
        <v>6123</v>
      </c>
      <c r="Y560" t="s">
        <v>6124</v>
      </c>
    </row>
    <row r="561" spans="1:25" x14ac:dyDescent="0.3">
      <c r="A561">
        <v>28000</v>
      </c>
      <c r="B561" t="s">
        <v>6125</v>
      </c>
      <c r="C561">
        <f>-618.45519095423 -27.7200376871499 -97.6925251905897</f>
        <v>-743.86775383196959</v>
      </c>
      <c r="D561">
        <f>-644.783318998159 -34.8557922986274 -210.262999040726</f>
        <v>-889.90211033751234</v>
      </c>
      <c r="E561">
        <f>-655.459996564639 -37.6829192123446 -308.266549149582</f>
        <v>-1001.4094649265655</v>
      </c>
      <c r="F561">
        <f>-660.897981984543 -39.0472531530172 -397.186721800889</f>
        <v>-1097.1319569384491</v>
      </c>
      <c r="G561">
        <f>-661.757426347764 -39.195824832321 -486.279209744454</f>
        <v>-1187.2324609245391</v>
      </c>
      <c r="H561">
        <f>-658.147671677184 -38.1531425385288 -610.805230628531</f>
        <v>-1307.1060448442438</v>
      </c>
      <c r="I561">
        <f>-623.809614313313 -32.2130230630096 -686.2414867902</f>
        <v>-1342.2641241665226</v>
      </c>
      <c r="J561">
        <f>-663.267673582282 -11.1291620552563 -555.879816840793</f>
        <v>-1230.2766524783312</v>
      </c>
      <c r="K561" t="s">
        <v>6126</v>
      </c>
      <c r="L561" t="s">
        <v>6127</v>
      </c>
      <c r="M561" t="s">
        <v>6128</v>
      </c>
      <c r="N561">
        <f>-656.204633624631 -66.094763841143 -556.135253666427</f>
        <v>-1278.434651132201</v>
      </c>
      <c r="O561">
        <f>-643.469386219798 -199.787758321025 -526.768747143579</f>
        <v>-1370.025891684402</v>
      </c>
      <c r="P561">
        <f>-682.005183669486 -257.903531196293 -240.886394673846</f>
        <v>-1180.7951095396249</v>
      </c>
      <c r="Q561">
        <f>-497.767397683937 -126.682277047498 -323.882033453794</f>
        <v>-948.33170818522899</v>
      </c>
      <c r="R561" t="s">
        <v>6129</v>
      </c>
      <c r="S561" t="s">
        <v>6130</v>
      </c>
      <c r="T561" t="s">
        <v>6131</v>
      </c>
      <c r="U561" t="s">
        <v>6132</v>
      </c>
      <c r="V561">
        <f>-602.966804638342 -123.409780964991 -96.3315952787451</f>
        <v>-822.70818088207807</v>
      </c>
      <c r="W561" t="s">
        <v>6133</v>
      </c>
      <c r="X561" t="s">
        <v>6134</v>
      </c>
      <c r="Y561" t="s">
        <v>6135</v>
      </c>
    </row>
    <row r="562" spans="1:25" x14ac:dyDescent="0.3">
      <c r="A562">
        <v>28050</v>
      </c>
      <c r="B562" t="s">
        <v>6136</v>
      </c>
      <c r="C562">
        <f>-618.469747018219 -27.8271228528365 -97.6927012716752</f>
        <v>-743.98957114273071</v>
      </c>
      <c r="D562">
        <f>-644.815566317972 -34.9625686987793 -210.259143410667</f>
        <v>-890.03727842741819</v>
      </c>
      <c r="E562">
        <f>-655.507548739727 -37.7816769585008 -308.261132671384</f>
        <v>-1001.5503583696118</v>
      </c>
      <c r="F562">
        <f>-660.959239952973 -39.1357258150758 -397.180710946415</f>
        <v>-1097.2756767144638</v>
      </c>
      <c r="G562">
        <f>-661.832287022666 -39.2708532285242 -486.27317396305</f>
        <v>-1187.3763142142402</v>
      </c>
      <c r="H562">
        <f>-658.241355779095 -38.2063311897891 -610.799436809768</f>
        <v>-1307.2471237786522</v>
      </c>
      <c r="I562">
        <f>-623.936197043548 -32.2501859281219 -686.249352013358</f>
        <v>-1342.4357349850279</v>
      </c>
      <c r="J562">
        <f>-663.351021430001 -11.1918036979812 -555.868288732365</f>
        <v>-1230.4111138603471</v>
      </c>
      <c r="K562" t="s">
        <v>6137</v>
      </c>
      <c r="L562" t="s">
        <v>6138</v>
      </c>
      <c r="M562" t="s">
        <v>6139</v>
      </c>
      <c r="N562">
        <f>-656.292031928186 -66.157788048563 -556.134693171244</f>
        <v>-1278.584513147993</v>
      </c>
      <c r="O562">
        <f>-643.551135764071 -199.854051221558 -526.772580574602</f>
        <v>-1370.1777675602309</v>
      </c>
      <c r="P562">
        <f>-681.985437103271 -257.965669493972 -240.875548879807</f>
        <v>-1180.8266554770501</v>
      </c>
      <c r="Q562">
        <f>-497.810024291446 -126.696523270098 -323.933955902637</f>
        <v>-948.44050346418112</v>
      </c>
      <c r="R562" t="s">
        <v>6140</v>
      </c>
      <c r="S562" t="s">
        <v>6141</v>
      </c>
      <c r="T562" t="s">
        <v>6142</v>
      </c>
      <c r="U562" t="s">
        <v>6143</v>
      </c>
      <c r="V562">
        <f>-602.997203975095 -123.508615997132 -96.333557330848</f>
        <v>-822.83937730307491</v>
      </c>
      <c r="W562" t="s">
        <v>6144</v>
      </c>
      <c r="X562" t="s">
        <v>6145</v>
      </c>
      <c r="Y562" t="s">
        <v>6146</v>
      </c>
    </row>
    <row r="563" spans="1:25" x14ac:dyDescent="0.3">
      <c r="A563">
        <v>28100</v>
      </c>
      <c r="B563" t="s">
        <v>6147</v>
      </c>
      <c r="C563">
        <f>-618.466640816735 -28.0237256663368 -97.664979153001</f>
        <v>-744.15534563607275</v>
      </c>
      <c r="D563">
        <f>-644.827107576843 -35.1264998259478 -210.230057615737</f>
        <v>-890.18366501852779</v>
      </c>
      <c r="E563">
        <f>-655.545855054053 -37.9187951119168 -308.229811304378</f>
        <v>-1001.6944614703478</v>
      </c>
      <c r="F563">
        <f>-661.027803928603 -39.2483063913739 -397.147953868843</f>
        <v>-1097.42406418882</v>
      </c>
      <c r="G563">
        <f>-661.937353785846 -39.3578285581455 -486.240010830476</f>
        <v>-1187.5351931744674</v>
      </c>
      <c r="H563">
        <f>-658.403896649371 -38.2562402223371 -610.767613882687</f>
        <v>-1307.427750754395</v>
      </c>
      <c r="I563">
        <f>-624.175320685732 -32.2700486981948 -686.250041676749</f>
        <v>-1342.6954110606757</v>
      </c>
      <c r="J563">
        <f>-663.492405836567 -11.2585838210578 -555.826285624358</f>
        <v>-1230.5772752819826</v>
      </c>
      <c r="K563" t="s">
        <v>6148</v>
      </c>
      <c r="L563" t="s">
        <v>6149</v>
      </c>
      <c r="M563" t="s">
        <v>6150</v>
      </c>
      <c r="N563">
        <f>-656.425144001991 -66.2234371801547 -556.112066989848</f>
        <v>-1278.7606481719938</v>
      </c>
      <c r="O563">
        <f>-643.632658120162 -199.914470818355 -526.766057744781</f>
        <v>-1370.313186683298</v>
      </c>
      <c r="P563">
        <f>-681.771747390919 -258.049777879632 -240.834411435302</f>
        <v>-1180.655936705853</v>
      </c>
      <c r="Q563">
        <f>-497.701393803079 -126.71091176184 -324.01547422697</f>
        <v>-948.42777979188895</v>
      </c>
      <c r="R563" t="s">
        <v>6151</v>
      </c>
      <c r="S563" t="s">
        <v>6152</v>
      </c>
      <c r="T563" t="s">
        <v>6153</v>
      </c>
      <c r="U563" t="s">
        <v>6154</v>
      </c>
      <c r="V563">
        <f>-603.041041797897 -123.616339762229 -96.3322670110009</f>
        <v>-822.98964857112696</v>
      </c>
      <c r="W563" t="s">
        <v>6155</v>
      </c>
      <c r="X563" t="s">
        <v>6156</v>
      </c>
      <c r="Y563" t="s">
        <v>6157</v>
      </c>
    </row>
    <row r="564" spans="1:25" x14ac:dyDescent="0.3">
      <c r="A564">
        <v>28150</v>
      </c>
      <c r="B564" t="s">
        <v>6158</v>
      </c>
      <c r="C564">
        <f>-618.469428286685 -28.0577924540439 -97.6521374434167</f>
        <v>-744.1793581841456</v>
      </c>
      <c r="D564">
        <f>-644.846873451787 -35.1436890832008 -210.214285580277</f>
        <v>-890.20484811526478</v>
      </c>
      <c r="E564">
        <f>-655.581130339996 -37.9223502469613 -308.212730540227</f>
        <v>-1001.7162111271844</v>
      </c>
      <c r="F564">
        <f>-661.07753035988 -39.2392397929004 -397.13018754558</f>
        <v>-1097.4469576983604</v>
      </c>
      <c r="G564">
        <f>-662.00202038363 -39.3352885416477 -486.222051376623</f>
        <v>-1187.5593603019008</v>
      </c>
      <c r="H564">
        <f>-658.490126124015 -38.2141352482199 -610.750111679203</f>
        <v>-1307.4543730514379</v>
      </c>
      <c r="I564">
        <f>-624.299331118095 -32.2192255733639 -686.249026229115</f>
        <v>-1342.7675829205739</v>
      </c>
      <c r="J564">
        <f>-663.573758748502 -11.225727756791 -555.803840787406</f>
        <v>-1230.6033272926989</v>
      </c>
      <c r="K564" t="s">
        <v>6159</v>
      </c>
      <c r="L564" t="s">
        <v>6160</v>
      </c>
      <c r="M564" t="s">
        <v>6161</v>
      </c>
      <c r="N564">
        <f>-656.49733278275 -66.1893416816228 -556.099136214608</f>
        <v>-1278.7858106789809</v>
      </c>
      <c r="O564">
        <f>-643.670273895143 -199.881197047926 -526.765066917875</f>
        <v>-1370.316537860944</v>
      </c>
      <c r="P564">
        <f>-681.707390298831 -258.102223470466 -240.837334817589</f>
        <v>-1180.6469485868861</v>
      </c>
      <c r="Q564">
        <f>-497.683989692961 -126.712192997693 -324.041464772996</f>
        <v>-948.43764746364991</v>
      </c>
      <c r="R564" t="s">
        <v>6162</v>
      </c>
      <c r="S564" t="s">
        <v>6163</v>
      </c>
      <c r="T564" t="s">
        <v>6164</v>
      </c>
      <c r="U564" t="s">
        <v>6165</v>
      </c>
      <c r="V564">
        <f>-603.063166093162 -123.613007902157 -96.3327359923363</f>
        <v>-823.00890998765533</v>
      </c>
      <c r="W564" t="s">
        <v>6166</v>
      </c>
      <c r="X564" t="s">
        <v>6167</v>
      </c>
      <c r="Y564" t="s">
        <v>6168</v>
      </c>
    </row>
    <row r="565" spans="1:25" x14ac:dyDescent="0.3">
      <c r="A565">
        <v>28200</v>
      </c>
      <c r="B565" t="s">
        <v>6169</v>
      </c>
      <c r="C565">
        <f>-618.468105203675 -28.3285945121916 -97.6235191001084</f>
        <v>-744.42021881597498</v>
      </c>
      <c r="D565">
        <f>-644.8657773128 -35.3927778434183 -210.182252726206</f>
        <v>-890.44080788242434</v>
      </c>
      <c r="E565">
        <f>-655.627027572354 -38.1498760727864 -308.178570333428</f>
        <v>-1001.9554739785683</v>
      </c>
      <c r="F565">
        <f>-661.151854079734 -39.4456782494003 -397.094449205622</f>
        <v>-1097.6919815347565</v>
      </c>
      <c r="G565">
        <f>-662.108636634533 -39.5191362715786 -486.186102688534</f>
        <v>-1187.8138755946457</v>
      </c>
      <c r="H565">
        <f>-658.64607974081 -38.3641114932373 -610.715098616308</f>
        <v>-1307.7252898503552</v>
      </c>
      <c r="I565">
        <f>-624.541951039456 -32.354737987019 -686.252024250629</f>
        <v>-1343.148713277104</v>
      </c>
      <c r="J565">
        <f>-663.71566366192 -11.3917377649418 -555.759763614573</f>
        <v>-1230.8671650414349</v>
      </c>
      <c r="K565" t="s">
        <v>6170</v>
      </c>
      <c r="L565" t="s">
        <v>6171</v>
      </c>
      <c r="M565" t="s">
        <v>6172</v>
      </c>
      <c r="N565">
        <f>-656.623905963641 -66.3531376830705 -556.072265456931</f>
        <v>-1279.0493091036424</v>
      </c>
      <c r="O565">
        <f>-643.73759434676 -200.051242735825 -526.79485118804</f>
        <v>-1370.5836882706249</v>
      </c>
      <c r="P565">
        <f>-681.747459074784 -258.336401448179 -240.876646754324</f>
        <v>-1180.960507277287</v>
      </c>
      <c r="Q565">
        <f>-497.714026850076 -126.995447820777 -324.135888136051</f>
        <v>-948.84536280690395</v>
      </c>
      <c r="R565" t="s">
        <v>6173</v>
      </c>
      <c r="S565" t="s">
        <v>6174</v>
      </c>
      <c r="T565" t="s">
        <v>6175</v>
      </c>
      <c r="U565" t="s">
        <v>6176</v>
      </c>
      <c r="V565">
        <f>-603.056228791722 -123.911510175916 -96.3258134806892</f>
        <v>-823.2935524483272</v>
      </c>
      <c r="W565" t="s">
        <v>6177</v>
      </c>
      <c r="X565" t="s">
        <v>6178</v>
      </c>
      <c r="Y565" t="s">
        <v>6179</v>
      </c>
    </row>
    <row r="566" spans="1:25" x14ac:dyDescent="0.3">
      <c r="A566">
        <v>28250</v>
      </c>
      <c r="B566" t="s">
        <v>6180</v>
      </c>
      <c r="C566">
        <f>-618.441117195821 -28.4969006034908 -97.6136334411235</f>
        <v>-744.55165124043526</v>
      </c>
      <c r="D566">
        <f>-644.844797075992 -35.5578908696962 -210.171257641298</f>
        <v>-890.57394558698616</v>
      </c>
      <c r="E566">
        <f>-655.62759383921 -38.3189168406007 -308.164893758034</f>
        <v>-1002.1114044378446</v>
      </c>
      <c r="F566">
        <f>-661.17862673881 -39.6209055044226 -397.079094982305</f>
        <v>-1097.8786272255375</v>
      </c>
      <c r="G566">
        <f>-662.168494989621 -39.7031438694817 -486.170477651847</f>
        <v>-1188.0421165109497</v>
      </c>
      <c r="H566">
        <f>-658.759176425243 -38.5627984316329 -610.70104256122</f>
        <v>-1308.0230174180961</v>
      </c>
      <c r="I566">
        <f>-624.695054898145 -32.561205062698 -686.256540206581</f>
        <v>-1343.5128001674241</v>
      </c>
      <c r="J566">
        <f>-663.805024028104 -11.5836865059948 -555.746701459566</f>
        <v>-1231.1354119936648</v>
      </c>
      <c r="K566" t="s">
        <v>6181</v>
      </c>
      <c r="L566" t="s">
        <v>6182</v>
      </c>
      <c r="M566" t="s">
        <v>6183</v>
      </c>
      <c r="N566">
        <f>-656.713953202292 -66.5454786131871 -556.055870835405</f>
        <v>-1279.3153026508842</v>
      </c>
      <c r="O566">
        <f>-643.810511488647 -200.247486621764 -526.802052093843</f>
        <v>-1370.8600502042541</v>
      </c>
      <c r="P566">
        <f>-681.80446252342 -258.580454154733 -240.891300561688</f>
        <v>-1181.2762172398411</v>
      </c>
      <c r="Q566">
        <f>-497.728812555509 -127.291104296877 -324.138783620554</f>
        <v>-949.15870047294004</v>
      </c>
      <c r="R566" t="s">
        <v>6184</v>
      </c>
      <c r="S566" t="s">
        <v>6185</v>
      </c>
      <c r="T566" t="s">
        <v>6186</v>
      </c>
      <c r="U566" t="s">
        <v>6187</v>
      </c>
      <c r="V566">
        <f>-603.068059356724 -124.083979984316 -96.3233278930198</f>
        <v>-823.47536723405983</v>
      </c>
      <c r="W566" t="s">
        <v>6188</v>
      </c>
      <c r="X566" t="s">
        <v>6189</v>
      </c>
      <c r="Y566" t="s">
        <v>6190</v>
      </c>
    </row>
    <row r="567" spans="1:25" x14ac:dyDescent="0.3">
      <c r="A567">
        <v>28300</v>
      </c>
      <c r="B567" t="s">
        <v>6191</v>
      </c>
      <c r="C567">
        <f>-618.426478349197 -28.8127994461015 -97.6055779026481</f>
        <v>-744.84485569794663</v>
      </c>
      <c r="D567">
        <f>-644.8734730949 -35.8628501286912 -210.153647314596</f>
        <v>-890.88997053818719</v>
      </c>
      <c r="E567">
        <f>-655.756324878281 -38.6376046704713 -308.135999065436</f>
        <v>-1002.5299286141883</v>
      </c>
      <c r="F567">
        <f>-661.423487341308 -39.9600725766286 -397.042465781188</f>
        <v>-1098.4260256991247</v>
      </c>
      <c r="G567">
        <f>-662.555370626743 -40.0702742361127 -486.132113244654</f>
        <v>-1188.7577581075097</v>
      </c>
      <c r="H567">
        <f>-659.371602572864 -38.9764481829923 -610.669178226284</f>
        <v>-1309.0172289821403</v>
      </c>
      <c r="I567">
        <f>-625.415081935273 -32.9782215554574 -686.273371738533</f>
        <v>-1344.6666752292633</v>
      </c>
      <c r="J567">
        <f>-664.318561288871 -11.9769779306259 -555.715857191399</f>
        <v>-1232.0113964108959</v>
      </c>
      <c r="K567" t="s">
        <v>6192</v>
      </c>
      <c r="L567" t="s">
        <v>6193</v>
      </c>
      <c r="M567" t="s">
        <v>6194</v>
      </c>
      <c r="N567">
        <f>-657.226669973909 -66.9386512037768 -556.017238543992</f>
        <v>-1280.1825597216778</v>
      </c>
      <c r="O567">
        <f>-644.292064997254 -200.637830526038 -526.754070198913</f>
        <v>-1371.6839657222049</v>
      </c>
      <c r="P567">
        <f>-682.264738478135 -258.978246444062 -240.842047608345</f>
        <v>-1182.0850325305419</v>
      </c>
      <c r="Q567">
        <f>-498.022290892218 -127.887919818459 -324.034174878918</f>
        <v>-949.94438558959496</v>
      </c>
      <c r="R567" t="s">
        <v>6195</v>
      </c>
      <c r="S567" t="s">
        <v>6196</v>
      </c>
      <c r="T567" t="s">
        <v>6197</v>
      </c>
      <c r="U567" t="s">
        <v>6198</v>
      </c>
      <c r="V567">
        <f>-603.131558861893 -124.408227893256 -96.3215628651575</f>
        <v>-823.86134962030656</v>
      </c>
      <c r="W567" t="s">
        <v>6199</v>
      </c>
      <c r="X567" t="s">
        <v>6200</v>
      </c>
      <c r="Y567" t="s">
        <v>6201</v>
      </c>
    </row>
    <row r="568" spans="1:25" x14ac:dyDescent="0.3">
      <c r="A568">
        <v>28350</v>
      </c>
      <c r="B568" t="s">
        <v>6202</v>
      </c>
      <c r="C568">
        <f>-618.441641674165 -28.8048680775732 -97.6122670973274</f>
        <v>-744.85877684906563</v>
      </c>
      <c r="D568">
        <f>-644.917902190613 -35.8335965587539 -210.154886075742</f>
        <v>-890.90638482510894</v>
      </c>
      <c r="E568">
        <f>-655.856974493132 -38.6150746773062 -308.130588502018</f>
        <v>-1002.6026376724562</v>
      </c>
      <c r="F568">
        <f>-661.588054610053 -39.9522481538852 -397.032996607125</f>
        <v>-1098.5732993710631</v>
      </c>
      <c r="G568">
        <f>-662.797241553566 -40.0850386383484 -486.121468525737</f>
        <v>-1189.0037487176514</v>
      </c>
      <c r="H568">
        <f>-659.735548410052 -39.0305471477134 -610.661982526121</f>
        <v>-1309.4280780838865</v>
      </c>
      <c r="I568">
        <f>-625.839898603852 -33.0409240983192 -686.294139955683</f>
        <v>-1345.1749626578544</v>
      </c>
      <c r="J568">
        <f>-664.634423145544 -12.0146008333215 -555.712332236841</f>
        <v>-1232.3613562157066</v>
      </c>
      <c r="K568" t="s">
        <v>6203</v>
      </c>
      <c r="L568" t="s">
        <v>6204</v>
      </c>
      <c r="M568" t="s">
        <v>6205</v>
      </c>
      <c r="N568">
        <f>-657.531266381142 -66.9748148035735 -556.003146552669</f>
        <v>-1280.5092277373847</v>
      </c>
      <c r="O568">
        <f>-644.556005075632 -200.661753819535 -526.728135544775</f>
        <v>-1371.9458944399421</v>
      </c>
      <c r="P568">
        <f>-682.535055366604 -258.923751793302 -240.800943487811</f>
        <v>-1182.2597506477171</v>
      </c>
      <c r="Q568">
        <f>-498.22968391563 -127.898399340934 -323.956051514317</f>
        <v>-950.08413477088095</v>
      </c>
      <c r="R568" t="s">
        <v>6206</v>
      </c>
      <c r="S568" t="s">
        <v>6207</v>
      </c>
      <c r="T568" t="s">
        <v>6208</v>
      </c>
      <c r="U568" t="s">
        <v>6209</v>
      </c>
      <c r="V568">
        <f>-603.189321746101 -124.336107140185 -96.335172675062</f>
        <v>-823.86060156134806</v>
      </c>
      <c r="W568" t="s">
        <v>6210</v>
      </c>
      <c r="X568" t="s">
        <v>6211</v>
      </c>
      <c r="Y568" t="s">
        <v>6212</v>
      </c>
    </row>
    <row r="569" spans="1:25" x14ac:dyDescent="0.3">
      <c r="A569">
        <v>28400</v>
      </c>
      <c r="B569" t="s">
        <v>6213</v>
      </c>
      <c r="C569">
        <f>-618.629951691919 -28.6401879245475 -97.623697027099</f>
        <v>-744.89383664356546</v>
      </c>
      <c r="D569">
        <f>-645.186879742362 -35.6315748653765 -210.149563860468</f>
        <v>-890.96801846820642</v>
      </c>
      <c r="E569">
        <f>-656.219456686208 -38.4316756150763 -308.114335694832</f>
        <v>-1002.7654679961163</v>
      </c>
      <c r="F569">
        <f>-662.045655885953 -39.8035426918789 -397.009885170493</f>
        <v>-1098.8590837483248</v>
      </c>
      <c r="G569">
        <f>-663.36084795601 -39.9875638724859 -486.096701244078</f>
        <v>-1189.445113072574</v>
      </c>
      <c r="H569">
        <f>-660.459042874811 -39.0205831530614 -610.641832325118</f>
        <v>-1310.1214583529904</v>
      </c>
      <c r="I569">
        <f>-626.6634630363 -33.0500417360656 -686.320365874615</f>
        <v>-1346.0338706469806</v>
      </c>
      <c r="J569">
        <f>-665.296002878896 -11.9670379968559 -555.705282215813</f>
        <v>-1232.9683230915648</v>
      </c>
      <c r="K569" t="s">
        <v>6214</v>
      </c>
      <c r="L569" t="s">
        <v>6215</v>
      </c>
      <c r="M569" t="s">
        <v>6216</v>
      </c>
      <c r="N569">
        <f>-658.176013289847 -66.9252864890926 -555.966065223031</f>
        <v>-1281.0673650019708</v>
      </c>
      <c r="O569">
        <f>-645.1099018844 -200.591723643738 -526.6241085287</f>
        <v>-1372.325734056838</v>
      </c>
      <c r="P569">
        <f>-682.994742304746 -258.691846042481 -240.651500058755</f>
        <v>-1182.338088405982</v>
      </c>
      <c r="Q569">
        <f>-498.690538821799 -127.679504976635 -323.82958623826</f>
        <v>-950.19963003669409</v>
      </c>
      <c r="R569" t="s">
        <v>6217</v>
      </c>
      <c r="S569" t="s">
        <v>6218</v>
      </c>
      <c r="T569" t="s">
        <v>6219</v>
      </c>
      <c r="U569" t="s">
        <v>6220</v>
      </c>
      <c r="V569">
        <f>-603.517054576913 -124.10075501371 -96.3520698566102</f>
        <v>-823.96987944723321</v>
      </c>
      <c r="W569" t="s">
        <v>6221</v>
      </c>
      <c r="X569" t="s">
        <v>6222</v>
      </c>
      <c r="Y569" t="s">
        <v>6223</v>
      </c>
    </row>
    <row r="570" spans="1:25" x14ac:dyDescent="0.3">
      <c r="A570">
        <v>28450</v>
      </c>
      <c r="B570" t="s">
        <v>6224</v>
      </c>
      <c r="C570">
        <f>-618.822703273616 -28.5383832317755 -97.6327037419045</f>
        <v>-744.99379024729592</v>
      </c>
      <c r="D570">
        <f>-645.41611218301 -35.5266793994626 -210.150101517247</f>
        <v>-891.09289309971962</v>
      </c>
      <c r="E570">
        <f>-656.488428410926 -38.3469188174195 -308.109816423021</f>
        <v>-1002.9451636513664</v>
      </c>
      <c r="F570">
        <f>-662.35432704457 -39.7458155176407 -397.002341399994</f>
        <v>-1099.1024839622048</v>
      </c>
      <c r="G570">
        <f>-663.712832382179 -39.9655321290661 -486.088605313754</f>
        <v>-1189.7669698249993</v>
      </c>
      <c r="H570">
        <f>-660.875457920114 -39.0573612812591 -610.635547502597</f>
        <v>-1310.56836670397</v>
      </c>
      <c r="I570">
        <f>-627.122364518866 -33.1057137439507 -686.334494381418</f>
        <v>-1346.5625726442347</v>
      </c>
      <c r="J570">
        <f>-665.687786277718 -11.9784002539047 -555.709397766206</f>
        <v>-1233.3755842978289</v>
      </c>
      <c r="K570" t="s">
        <v>6225</v>
      </c>
      <c r="L570" t="s">
        <v>6226</v>
      </c>
      <c r="M570" t="s">
        <v>6227</v>
      </c>
      <c r="N570">
        <f>-658.560407166608 -66.9356744141461 -555.947737071676</f>
        <v>-1281.4438186524301</v>
      </c>
      <c r="O570">
        <f>-645.427773056429 -200.591760602919 -526.586731470377</f>
        <v>-1372.6062651297252</v>
      </c>
      <c r="P570">
        <f>-683.256690831969 -258.635786423007 -240.595331727824</f>
        <v>-1182.4878089828001</v>
      </c>
      <c r="Q570">
        <f>-499.063462017478 -127.487070864589 -323.8041477563</f>
        <v>-950.35468063836697</v>
      </c>
      <c r="R570" t="s">
        <v>6228</v>
      </c>
      <c r="S570" t="s">
        <v>6229</v>
      </c>
      <c r="T570" t="s">
        <v>6230</v>
      </c>
      <c r="U570" t="s">
        <v>6231</v>
      </c>
      <c r="V570">
        <f>-603.700634112694 -123.954172800238 -96.3560145821251</f>
        <v>-824.01082149505714</v>
      </c>
      <c r="W570" t="s">
        <v>6232</v>
      </c>
      <c r="X570" t="s">
        <v>6233</v>
      </c>
      <c r="Y570" t="s">
        <v>6234</v>
      </c>
    </row>
    <row r="571" spans="1:25" x14ac:dyDescent="0.3">
      <c r="A571">
        <v>28500</v>
      </c>
      <c r="B571" t="s">
        <v>6235</v>
      </c>
      <c r="C571">
        <f>-619.224887667005 -28.3693278526998 -97.657904520124</f>
        <v>-745.25212003982881</v>
      </c>
      <c r="D571">
        <f>-645.88303950321 -35.458219354922 -210.153662172426</f>
        <v>-891.49492103055809</v>
      </c>
      <c r="E571">
        <f>-657.039622362492 -38.340844502113 -308.102067474925</f>
        <v>-1003.4825343395299</v>
      </c>
      <c r="F571">
        <f>-662.992780404743 -39.7874131071615 -396.988058173374</f>
        <v>-1099.7682516852785</v>
      </c>
      <c r="G571">
        <f>-664.449646972603 -40.0456753789576 -486.072509921563</f>
        <v>-1190.5678322731237</v>
      </c>
      <c r="H571">
        <f>-661.761141311446 -39.1814763694124 -610.623195670803</f>
        <v>-1311.5658133516613</v>
      </c>
      <c r="I571">
        <f>-628.075838936971 -33.2513454326147 -686.353947944497</f>
        <v>-1347.6811323140828</v>
      </c>
      <c r="J571">
        <f>-666.546287532156 -12.0881154677738 -555.701646169676</f>
        <v>-1234.3360491696058</v>
      </c>
      <c r="K571" t="s">
        <v>6236</v>
      </c>
      <c r="L571" t="s">
        <v>6237</v>
      </c>
      <c r="M571" t="s">
        <v>6238</v>
      </c>
      <c r="N571">
        <f>-659.342108971341 -67.0353921671212 -555.927396091239</f>
        <v>-1282.3048972297011</v>
      </c>
      <c r="O571">
        <f>-645.96656968315 -200.663774133803 -526.566757476891</f>
        <v>-1373.1971012938441</v>
      </c>
      <c r="P571">
        <f>-683.855668287269 -258.755666188527 -240.59297932472</f>
        <v>-1183.204313800516</v>
      </c>
      <c r="Q571">
        <f>-499.903140235595 -127.22344514391 -323.729193829397</f>
        <v>-950.85577920890205</v>
      </c>
      <c r="R571" t="s">
        <v>6239</v>
      </c>
      <c r="S571" t="s">
        <v>6240</v>
      </c>
      <c r="T571" t="s">
        <v>6241</v>
      </c>
      <c r="U571" t="s">
        <v>6242</v>
      </c>
      <c r="V571">
        <f>-603.911663946244 -123.851609985916 -96.3605524104046</f>
        <v>-824.12382634256448</v>
      </c>
      <c r="W571" t="s">
        <v>6243</v>
      </c>
      <c r="X571" t="s">
        <v>6244</v>
      </c>
      <c r="Y571" t="s">
        <v>6245</v>
      </c>
    </row>
    <row r="572" spans="1:25" x14ac:dyDescent="0.3">
      <c r="A572">
        <v>28550</v>
      </c>
      <c r="B572" t="s">
        <v>6246</v>
      </c>
      <c r="C572">
        <f>-619.432693053914 -28.365650694516 -97.6706485811191</f>
        <v>-745.46899232954911</v>
      </c>
      <c r="D572">
        <f>-646.110498126484 -35.4980799315008 -210.159036315105</f>
        <v>-891.76761437308983</v>
      </c>
      <c r="E572">
        <f>-657.301310250602 -38.4157260358752 -308.102458275548</f>
        <v>-1003.8194945620252</v>
      </c>
      <c r="F572">
        <f>-663.292352476817 -39.8936285477168 -396.985260646426</f>
        <v>-1100.1712416709597</v>
      </c>
      <c r="G572">
        <f>-664.793957479188 -40.1826701196633 -486.068986087204</f>
        <v>-1191.0456136860553</v>
      </c>
      <c r="H572">
        <f>-662.174988148177 -39.3605726921455 -610.621345880795</f>
        <v>-1312.1569067211176</v>
      </c>
      <c r="I572">
        <f>-628.507935101642 -33.4474366621716 -686.361553174208</f>
        <v>-1348.3169249380217</v>
      </c>
      <c r="J572">
        <f>-666.957956379708 -12.2522908223841 -555.707078882674</f>
        <v>-1234.917326084766</v>
      </c>
      <c r="K572" t="s">
        <v>6247</v>
      </c>
      <c r="L572" t="s">
        <v>6248</v>
      </c>
      <c r="M572" t="s">
        <v>6249</v>
      </c>
      <c r="N572">
        <f>-659.697012858754 -67.1922883849863 -555.916907200959</f>
        <v>-1282.8062084446992</v>
      </c>
      <c r="O572">
        <f>-646.160551944495 -200.807832691849 -526.562693707468</f>
        <v>-1373.5310783438119</v>
      </c>
      <c r="P572">
        <f>-683.95845475455 -258.917702781145 -240.58054479349</f>
        <v>-1183.456702329185</v>
      </c>
      <c r="Q572">
        <f>-500.144589644726 -127.157226751172 -323.661771670661</f>
        <v>-950.96358806655894</v>
      </c>
      <c r="R572" t="s">
        <v>6250</v>
      </c>
      <c r="S572" t="s">
        <v>6251</v>
      </c>
      <c r="T572" t="s">
        <v>6252</v>
      </c>
      <c r="U572" t="s">
        <v>6253</v>
      </c>
      <c r="V572">
        <f>-604.058159781711 -123.852707178828 -96.3622488426859</f>
        <v>-824.27311580322487</v>
      </c>
      <c r="W572" t="s">
        <v>6254</v>
      </c>
      <c r="X572" t="s">
        <v>6255</v>
      </c>
      <c r="Y572" t="s">
        <v>6256</v>
      </c>
    </row>
    <row r="573" spans="1:25" x14ac:dyDescent="0.3">
      <c r="A573">
        <v>28600</v>
      </c>
      <c r="B573" t="s">
        <v>6257</v>
      </c>
      <c r="C573">
        <f>-619.688928460326 -28.3471408292753 -97.687988262478</f>
        <v>-745.72405755207933</v>
      </c>
      <c r="D573">
        <f>-646.378367615422 -35.5044023078819 -210.172003281079</f>
        <v>-892.05477320438297</v>
      </c>
      <c r="E573">
        <f>-657.600272762199 -38.4550647958913 -308.110966967085</f>
        <v>-1004.1663045251753</v>
      </c>
      <c r="F573">
        <f>-663.628047094406 -39.9675032451964 -396.990787460535</f>
        <v>-1100.5863378001375</v>
      </c>
      <c r="G573">
        <f>-665.175141732843 -40.2951179333588 -486.073447899647</f>
        <v>-1191.5437075658488</v>
      </c>
      <c r="H573">
        <f>-662.629144934715 -39.5311846988402 -610.627702631313</f>
        <v>-1312.7880322648682</v>
      </c>
      <c r="I573">
        <f>-628.976173517924 -33.6345846327304 -686.375444698261</f>
        <v>-1348.9862028489156</v>
      </c>
      <c r="J573">
        <f>-667.410282524262 -12.4013385610526 -555.723922705613</f>
        <v>-1235.5355437909275</v>
      </c>
      <c r="K573" t="s">
        <v>6258</v>
      </c>
      <c r="L573" t="s">
        <v>6259</v>
      </c>
      <c r="M573" t="s">
        <v>6260</v>
      </c>
      <c r="N573">
        <f>-660.088786755026 -67.3333492104672 -555.911136891343</f>
        <v>-1283.3332728568362</v>
      </c>
      <c r="O573">
        <f>-646.38749468445 -200.93047311136 -526.539918269708</f>
        <v>-1373.857886065518</v>
      </c>
      <c r="P573">
        <f>-684.03845857183 -259.080356098017 -240.546532136852</f>
        <v>-1183.6653468066991</v>
      </c>
      <c r="Q573">
        <f>-500.429217998237 -127.033086143104 -323.625166574876</f>
        <v>-951.08747071621701</v>
      </c>
      <c r="R573" t="s">
        <v>6261</v>
      </c>
      <c r="S573" t="s">
        <v>6262</v>
      </c>
      <c r="T573" t="s">
        <v>6263</v>
      </c>
      <c r="U573" t="s">
        <v>6264</v>
      </c>
      <c r="V573">
        <f>-604.293330556944 -123.797884220732 -96.3720474703081</f>
        <v>-824.46326224798418</v>
      </c>
      <c r="W573" t="s">
        <v>6265</v>
      </c>
      <c r="X573" t="s">
        <v>6266</v>
      </c>
      <c r="Y573" t="s">
        <v>6267</v>
      </c>
    </row>
    <row r="574" spans="1:25" x14ac:dyDescent="0.3">
      <c r="A574">
        <v>28650</v>
      </c>
      <c r="B574" t="s">
        <v>6268</v>
      </c>
      <c r="C574">
        <f>-620.292423424855 -28.3523215877474 -97.715035736121</f>
        <v>-746.35978074872332</v>
      </c>
      <c r="D574">
        <f>-647.029403579804 -35.5223189507026 -210.187059788233</f>
        <v>-892.7387823187396</v>
      </c>
      <c r="E574">
        <f>-658.345150797707 -38.5208723667263 -308.113633501014</f>
        <v>-1004.9796566654472</v>
      </c>
      <c r="F574">
        <f>-664.47967878255 -40.0908336306895 -396.985142788156</f>
        <v>-1101.5556552013954</v>
      </c>
      <c r="G574">
        <f>-666.155774787137 -40.4884022386591 -486.065253304875</f>
        <v>-1192.7094303306712</v>
      </c>
      <c r="H574">
        <f>-663.813413020253 -39.8344909072191 -610.624124022924</f>
        <v>-1314.272027950396</v>
      </c>
      <c r="I574">
        <f>-630.232583433389 -33.9570494225677 -686.405409738729</f>
        <v>-1350.5950425946858</v>
      </c>
      <c r="J574">
        <f>-668.551807237883 -12.6625162902205 -555.73752784485</f>
        <v>-1236.9518513729536</v>
      </c>
      <c r="K574" t="s">
        <v>6269</v>
      </c>
      <c r="L574" t="s">
        <v>6270</v>
      </c>
      <c r="M574" t="s">
        <v>6271</v>
      </c>
      <c r="N574">
        <f>-661.136635150423 -67.5821227270143 -555.886409990093</f>
        <v>-1284.6051678675303</v>
      </c>
      <c r="O574">
        <f>-647.107997365901 -201.132129391366 -526.440786889904</f>
        <v>-1374.6809136471711</v>
      </c>
      <c r="P574">
        <f>-684.487141790811 -259.263986741861 -240.407977660376</f>
        <v>-1184.159106193048</v>
      </c>
      <c r="Q574">
        <f>-501.277153902562 -126.733064625058 -323.59773017072</f>
        <v>-951.60794869834012</v>
      </c>
      <c r="R574" t="s">
        <v>6272</v>
      </c>
      <c r="S574" t="s">
        <v>6273</v>
      </c>
      <c r="T574" t="s">
        <v>6274</v>
      </c>
      <c r="U574" t="s">
        <v>6275</v>
      </c>
      <c r="V574">
        <f>-604.84246857042 -123.887713118837 -96.3956900619706</f>
        <v>-825.12587175122769</v>
      </c>
      <c r="W574" t="s">
        <v>6276</v>
      </c>
      <c r="X574" t="s">
        <v>6277</v>
      </c>
      <c r="Y574" t="s">
        <v>6278</v>
      </c>
    </row>
    <row r="575" spans="1:25" x14ac:dyDescent="0.3">
      <c r="A575">
        <v>28700</v>
      </c>
      <c r="B575" t="s">
        <v>6279</v>
      </c>
      <c r="C575">
        <f>-620.806801725927 -28.3079199922943 -97.729485491122</f>
        <v>-746.84420720934327</v>
      </c>
      <c r="D575">
        <f>-647.602170452134 -35.4913553230469 -210.186617682538</f>
        <v>-893.28014345771896</v>
      </c>
      <c r="E575">
        <f>-659.023819848857 -38.5119144438786 -308.100278840506</f>
        <v>-1005.6360131332416</v>
      </c>
      <c r="F575">
        <f>-665.27699809376 -40.1049695661709 -396.963046443078</f>
        <v>-1102.3450141030089</v>
      </c>
      <c r="G575">
        <f>-667.094837770359 -40.5277940046028 -486.040397700545</f>
        <v>-1193.6630294755068</v>
      </c>
      <c r="H575">
        <f>-664.974755856012 -39.910509003917 -610.603314120375</f>
        <v>-1315.4885789803041</v>
      </c>
      <c r="I575">
        <f>-631.480816056354 -34.0351043208082 -686.423299925115</f>
        <v>-1351.9392203022771</v>
      </c>
      <c r="J575">
        <f>-669.644689470056 -12.7262606117426 -555.716966132297</f>
        <v>-1238.0879162140957</v>
      </c>
      <c r="K575" t="s">
        <v>6280</v>
      </c>
      <c r="L575" t="s">
        <v>6281</v>
      </c>
      <c r="M575" t="s">
        <v>6282</v>
      </c>
      <c r="N575">
        <f>-662.170708102177 -67.6379482143919 -555.861865296724</f>
        <v>-1285.6705216132927</v>
      </c>
      <c r="O575">
        <f>-647.916474440304 -201.15817521367 -526.395406403887</f>
        <v>-1375.470056057861</v>
      </c>
      <c r="P575">
        <f>-684.997365470144 -259.290287761204 -240.323895831665</f>
        <v>-1184.6115490630129</v>
      </c>
      <c r="Q575">
        <f>-502.035164545724 -126.505009595456 -323.653296131511</f>
        <v>-952.193470272691</v>
      </c>
      <c r="R575" t="s">
        <v>6283</v>
      </c>
      <c r="S575" t="s">
        <v>6284</v>
      </c>
      <c r="T575" t="s">
        <v>6285</v>
      </c>
      <c r="U575" t="s">
        <v>6286</v>
      </c>
      <c r="V575">
        <f>-605.332268480269 -123.774033596642 -96.415011316015</f>
        <v>-825.521313392926</v>
      </c>
      <c r="W575" t="s">
        <v>6287</v>
      </c>
      <c r="X575" t="s">
        <v>6288</v>
      </c>
      <c r="Y575" t="s">
        <v>6289</v>
      </c>
    </row>
    <row r="576" spans="1:25" x14ac:dyDescent="0.3">
      <c r="A576">
        <v>28750</v>
      </c>
      <c r="B576" t="s">
        <v>6290</v>
      </c>
      <c r="C576">
        <f>-621.022724289963 -28.3348619156318 -97.7371053696389</f>
        <v>-747.0946915752337</v>
      </c>
      <c r="D576">
        <f>-647.854981357062 -35.531419620557 -210.184869741253</f>
        <v>-893.57127071887203</v>
      </c>
      <c r="E576">
        <f>-659.338446071955 -38.5623585202998 -308.090863735589</f>
        <v>-1005.9916683278437</v>
      </c>
      <c r="F576">
        <f>-665.659730774218 -40.1640353693908 -396.948719612275</f>
        <v>-1102.7724857558837</v>
      </c>
      <c r="G576">
        <f>-667.558036489899 -40.5943496696009 -486.024175973199</f>
        <v>-1194.176562132699</v>
      </c>
      <c r="H576">
        <f>-665.563187167518 -39.9862661501684 -610.589333972195</f>
        <v>-1316.1387872898813</v>
      </c>
      <c r="I576">
        <f>-632.121481722154 -34.1111991179478 -686.432411292706</f>
        <v>-1352.6650921328078</v>
      </c>
      <c r="J576">
        <f>-670.187350383929 -12.7993860057995 -555.700373221611</f>
        <v>-1238.6871096113396</v>
      </c>
      <c r="K576" t="s">
        <v>6291</v>
      </c>
      <c r="L576" t="s">
        <v>6292</v>
      </c>
      <c r="M576" t="s">
        <v>6293</v>
      </c>
      <c r="N576">
        <f>-662.694612136594 -67.7083883272961 -555.848436974732</f>
        <v>-1286.2514374386219</v>
      </c>
      <c r="O576">
        <f>-648.371830166859 -201.221337980895 -526.376853572789</f>
        <v>-1375.9700217205429</v>
      </c>
      <c r="P576">
        <f>-685.361139192478 -259.32430371207 -240.287628575851</f>
        <v>-1184.9730714803991</v>
      </c>
      <c r="Q576">
        <f>-502.438967857313 -126.522534648665 -323.678345112867</f>
        <v>-952.63984761884512</v>
      </c>
      <c r="R576" t="s">
        <v>6294</v>
      </c>
      <c r="S576" t="s">
        <v>6295</v>
      </c>
      <c r="T576" t="s">
        <v>6296</v>
      </c>
      <c r="U576" t="s">
        <v>6297</v>
      </c>
      <c r="V576">
        <f>-605.56025099872 -123.820215519808 -96.4196019286812</f>
        <v>-825.80006844720924</v>
      </c>
      <c r="W576" t="s">
        <v>6298</v>
      </c>
      <c r="X576" t="s">
        <v>6299</v>
      </c>
      <c r="Y576" t="s">
        <v>6300</v>
      </c>
    </row>
    <row r="577" spans="1:25" x14ac:dyDescent="0.3">
      <c r="A577">
        <v>28800</v>
      </c>
      <c r="B577" t="s">
        <v>6301</v>
      </c>
      <c r="C577">
        <f>-621.224818274357 -28.411643759415 -97.730002007858</f>
        <v>-747.36646404163002</v>
      </c>
      <c r="D577">
        <f>-648.101316167837 -35.6129613904377 -210.166696345766</f>
        <v>-893.88097390404073</v>
      </c>
      <c r="E577">
        <f>-659.653315747554 -38.6455959377308 -308.064633834186</f>
        <v>-1006.3635455194708</v>
      </c>
      <c r="F577">
        <f>-666.048995280841 -40.2472157333245 -396.917081397164</f>
        <v>-1103.2132924113296</v>
      </c>
      <c r="G577">
        <f>-668.034069604492 -40.675748924843 -485.990893321331</f>
        <v>-1194.7007118506658</v>
      </c>
      <c r="H577">
        <f>-666.173636071189 -40.062886320814 -610.557946768806</f>
        <v>-1316.7944691608091</v>
      </c>
      <c r="I577">
        <f>-632.794053766468 -34.1840402590055 -686.428024723034</f>
        <v>-1353.4061187485077</v>
      </c>
      <c r="J577">
        <f>-670.747451243751 -12.8793617986653 -555.663088153711</f>
        <v>-1239.2899011961272</v>
      </c>
      <c r="K577" t="s">
        <v>6302</v>
      </c>
      <c r="L577" t="s">
        <v>6303</v>
      </c>
      <c r="M577" t="s">
        <v>6304</v>
      </c>
      <c r="N577">
        <f>-663.237172837229 -67.7859485424622 -555.821109541146</f>
        <v>-1286.8442309208372</v>
      </c>
      <c r="O577">
        <f>-648.85818254449 -201.290907741837 -526.351929624315</f>
        <v>-1376.5010199106418</v>
      </c>
      <c r="P577">
        <f>-685.762115108639 -259.34652594691 -240.242163156131</f>
        <v>-1185.35080421168</v>
      </c>
      <c r="Q577">
        <f>-502.86029904581 -126.532427732892 -323.65800527346</f>
        <v>-953.05073205216195</v>
      </c>
      <c r="R577" t="s">
        <v>6305</v>
      </c>
      <c r="S577" t="s">
        <v>6306</v>
      </c>
      <c r="T577" t="s">
        <v>6307</v>
      </c>
      <c r="U577" t="s">
        <v>6308</v>
      </c>
      <c r="V577">
        <f>-605.742621666704 -123.9392933286 -96.4188751743643</f>
        <v>-826.10079016966836</v>
      </c>
      <c r="W577" t="s">
        <v>6309</v>
      </c>
      <c r="X577" t="s">
        <v>6310</v>
      </c>
      <c r="Y577" t="s">
        <v>6311</v>
      </c>
    </row>
    <row r="578" spans="1:25" x14ac:dyDescent="0.3">
      <c r="A578">
        <v>28850</v>
      </c>
      <c r="B578" t="s">
        <v>6312</v>
      </c>
      <c r="C578">
        <f>-621.548287612963 -28.5678756026421 -97.732968034559</f>
        <v>-747.84913125016408</v>
      </c>
      <c r="D578">
        <f>-648.544674333496 -35.8077012785936 -210.13850850637</f>
        <v>-894.49088411845969</v>
      </c>
      <c r="E578">
        <f>-660.238598794276 -38.8567960010284 -308.019111204771</f>
        <v>-1007.1145060000754</v>
      </c>
      <c r="F578">
        <f>-666.778221140073 -40.4662138961339 -396.860962709168</f>
        <v>-1104.1053977453748</v>
      </c>
      <c r="G578">
        <f>-668.922959442613 -40.8949706317792 -485.930900657054</f>
        <v>-1195.7488307314461</v>
      </c>
      <c r="H578">
        <f>-667.301862821597 -40.2735798087292 -610.501406482141</f>
        <v>-1318.0768491124672</v>
      </c>
      <c r="I578">
        <f>-634.045395216952 -34.3756786699885 -686.42397319425</f>
        <v>-1354.8450470811904</v>
      </c>
      <c r="J578">
        <f>-671.789750028612 -13.0964084005911 -555.596321925673</f>
        <v>-1240.4824803548763</v>
      </c>
      <c r="K578" t="s">
        <v>6313</v>
      </c>
      <c r="L578" t="s">
        <v>6314</v>
      </c>
      <c r="M578" t="s">
        <v>6315</v>
      </c>
      <c r="N578">
        <f>-664.240699856993 -67.9977476013886 -555.7719541118</f>
        <v>-1288.0104015701818</v>
      </c>
      <c r="O578">
        <f>-649.73044068944 -201.496662235204 -526.341597159461</f>
        <v>-1377.5687000841049</v>
      </c>
      <c r="P578">
        <f>-686.486986219901 -259.524242990131 -240.207119925974</f>
        <v>-1186.2183491360061</v>
      </c>
      <c r="Q578">
        <f>-503.631674767382 -126.684492417577 -323.684153497505</f>
        <v>-954.00032068246401</v>
      </c>
      <c r="R578" t="s">
        <v>6316</v>
      </c>
      <c r="S578" t="s">
        <v>6317</v>
      </c>
      <c r="T578" t="s">
        <v>6318</v>
      </c>
      <c r="U578" t="s">
        <v>6319</v>
      </c>
      <c r="V578">
        <f>-606.012917782342 -124.077902632864 -96.4149658234652</f>
        <v>-826.50578623867125</v>
      </c>
      <c r="W578" t="s">
        <v>6320</v>
      </c>
      <c r="X578" t="s">
        <v>6321</v>
      </c>
      <c r="Y578" t="s">
        <v>6322</v>
      </c>
    </row>
    <row r="579" spans="1:25" x14ac:dyDescent="0.3">
      <c r="A579">
        <v>28900</v>
      </c>
      <c r="B579" t="s">
        <v>6323</v>
      </c>
      <c r="C579">
        <f>-621.868153122053 -28.8078230771314 -97.7257690764443</f>
        <v>-748.40174527562863</v>
      </c>
      <c r="D579">
        <f>-648.920880512646 -36.0900353862557 -210.115049458538</f>
        <v>-895.12596535743978</v>
      </c>
      <c r="E579">
        <f>-660.720239326021 -39.1666221207713 -307.982011110469</f>
        <v>-1007.8688725572613</v>
      </c>
      <c r="F579">
        <f>-667.378053748934 -40.7979161399942 -396.814922305607</f>
        <v>-1104.9908921945353</v>
      </c>
      <c r="G579">
        <f>-669.66381881745 -41.2449580028292 -485.881196584536</f>
        <v>-1196.7899734048151</v>
      </c>
      <c r="H579">
        <f>-668.263702708193 -40.646017612069 -610.454429042336</f>
        <v>-1319.364149362598</v>
      </c>
      <c r="I579">
        <f>-635.095781648879 -34.7309154453787 -686.414397053795</f>
        <v>-1356.2410941480528</v>
      </c>
      <c r="J579">
        <f>-672.665816827272 -13.4606051256819 -555.54655591635</f>
        <v>-1241.6729778693038</v>
      </c>
      <c r="K579" t="s">
        <v>6324</v>
      </c>
      <c r="L579" t="s">
        <v>6325</v>
      </c>
      <c r="M579" t="s">
        <v>6326</v>
      </c>
      <c r="N579">
        <f>-665.093842739359 -68.3587239408693 -555.725266998533</f>
        <v>-1289.1778336787613</v>
      </c>
      <c r="O579">
        <f>-650.47287020937 -201.847034832495 -526.303558209216</f>
        <v>-1378.6234632510809</v>
      </c>
      <c r="P579">
        <f>-686.851624704702 -259.933199517926 -240.132590210382</f>
        <v>-1186.91741443301</v>
      </c>
      <c r="Q579">
        <f>-504.194319321285 -126.916209016039 -323.760613493564</f>
        <v>-954.87114183088806</v>
      </c>
      <c r="R579" t="s">
        <v>6327</v>
      </c>
      <c r="S579" t="s">
        <v>6328</v>
      </c>
      <c r="T579" t="s">
        <v>6329</v>
      </c>
      <c r="U579" t="s">
        <v>6330</v>
      </c>
      <c r="V579">
        <f>-606.287461184983 -124.273701306206 -96.4008981714013</f>
        <v>-826.96206066259037</v>
      </c>
      <c r="W579" t="s">
        <v>6331</v>
      </c>
      <c r="X579" t="s">
        <v>6332</v>
      </c>
      <c r="Y579" t="s">
        <v>6333</v>
      </c>
    </row>
    <row r="580" spans="1:25" x14ac:dyDescent="0.3">
      <c r="A580">
        <v>28950</v>
      </c>
      <c r="B580" t="s">
        <v>6334</v>
      </c>
      <c r="C580">
        <f>-622.04562774968 -28.9036222901827 -97.7184508142798</f>
        <v>-748.66770085414248</v>
      </c>
      <c r="D580">
        <f>-649.124053741313 -36.1973918767717 -210.100686389255</f>
        <v>-895.42213200733966</v>
      </c>
      <c r="E580">
        <f>-660.969460828888 -39.283723203713 -307.961891316217</f>
        <v>-1008.215075348818</v>
      </c>
      <c r="F580">
        <f>-667.678611887725 -40.9236060577837 -396.790721929892</f>
        <v>-1105.3929398754008</v>
      </c>
      <c r="G580">
        <f>-670.025567308737 -41.378992859951 -485.855387434753</f>
        <v>-1197.2599476034411</v>
      </c>
      <c r="H580">
        <f>-668.720874543298 -40.7911260612184 -610.429780298701</f>
        <v>-1319.9417809032175</v>
      </c>
      <c r="I580">
        <f>-635.60021765677 -34.8708864514758 -686.409970445391</f>
        <v>-1356.8810745536368</v>
      </c>
      <c r="J580">
        <f>-673.087326613509 -13.6017130399953 -555.52092951299</f>
        <v>-1242.2099691664944</v>
      </c>
      <c r="K580" t="s">
        <v>6335</v>
      </c>
      <c r="L580" t="s">
        <v>6336</v>
      </c>
      <c r="M580" t="s">
        <v>6337</v>
      </c>
      <c r="N580">
        <f>-665.502641270151 -68.4980140750021 -555.700495677458</f>
        <v>-1289.7011510226112</v>
      </c>
      <c r="O580">
        <f>-650.811689593635 -201.978803517678 -526.267731458397</f>
        <v>-1379.0582245697101</v>
      </c>
      <c r="P580">
        <f>-687.082224076038 -260.046581685532 -240.079367725481</f>
        <v>-1187.208173487051</v>
      </c>
      <c r="Q580">
        <f>-504.541653484881 -126.918861585997 -323.78616599972</f>
        <v>-955.24668107059802</v>
      </c>
      <c r="R580" t="s">
        <v>6338</v>
      </c>
      <c r="S580" t="s">
        <v>6339</v>
      </c>
      <c r="T580" t="s">
        <v>6340</v>
      </c>
      <c r="U580" t="s">
        <v>6341</v>
      </c>
      <c r="V580">
        <f>-606.456051033478 -124.384362770944 -96.3879072117717</f>
        <v>-827.22832101619372</v>
      </c>
      <c r="W580" t="s">
        <v>6342</v>
      </c>
      <c r="X580" t="s">
        <v>6343</v>
      </c>
      <c r="Y580" t="s">
        <v>6344</v>
      </c>
    </row>
    <row r="581" spans="1:25" x14ac:dyDescent="0.3">
      <c r="A581">
        <v>29000</v>
      </c>
      <c r="B581" t="s">
        <v>6345</v>
      </c>
      <c r="C581">
        <f>-622.417968387071 -29.1808479867373 -97.7221924911987</f>
        <v>-749.321008865007</v>
      </c>
      <c r="D581">
        <f>-649.551089734099 -36.4952190318834 -210.089979103614</f>
        <v>-896.13628786959646</v>
      </c>
      <c r="E581">
        <f>-661.480358960536 -39.6137779879834 -307.939891700102</f>
        <v>-1009.0340286486214</v>
      </c>
      <c r="F581">
        <f>-668.280574106395 -41.2884121257634 -396.761148699644</f>
        <v>-1106.3301349318024</v>
      </c>
      <c r="G581">
        <f>-670.733685793732 -41.7833885877226 -485.822726725446</f>
        <v>-1198.3398011069005</v>
      </c>
      <c r="H581">
        <f>-669.593560088626 -41.2553962339209 -610.398948946685</f>
        <v>-1321.247905269232</v>
      </c>
      <c r="I581">
        <f>-636.560283596204 -35.3406013996816 -686.417738843122</f>
        <v>-1358.3186238390076</v>
      </c>
      <c r="J581">
        <f>-673.912856517455 -14.0429959947817 -555.49780521688</f>
        <v>-1243.4536577291167</v>
      </c>
      <c r="K581" t="s">
        <v>6346</v>
      </c>
      <c r="L581" t="s">
        <v>6347</v>
      </c>
      <c r="M581" t="s">
        <v>6348</v>
      </c>
      <c r="N581">
        <f>-666.277733565263 -68.9324253420845 -555.660485651043</f>
        <v>-1290.8706445583905</v>
      </c>
      <c r="O581">
        <f>-651.402368751455 -202.388024103915 -526.213520722701</f>
        <v>-1380.003913578071</v>
      </c>
      <c r="P581">
        <f>-687.482238874182 -260.34331807676 -239.978239748441</f>
        <v>-1187.8037966993829</v>
      </c>
      <c r="Q581">
        <f>-505.133744733046 -127.008013187726 -323.773319331123</f>
        <v>-955.9150772518949</v>
      </c>
      <c r="R581" t="s">
        <v>6349</v>
      </c>
      <c r="S581" t="s">
        <v>6350</v>
      </c>
      <c r="T581" t="s">
        <v>6351</v>
      </c>
      <c r="U581" t="s">
        <v>6352</v>
      </c>
      <c r="V581">
        <f>-606.796836197234 -124.704185911195 -96.3841974762879</f>
        <v>-827.88521958471688</v>
      </c>
      <c r="W581" t="s">
        <v>6353</v>
      </c>
      <c r="X581" t="s">
        <v>6354</v>
      </c>
      <c r="Y581" t="s">
        <v>6355</v>
      </c>
    </row>
    <row r="582" spans="1:25" x14ac:dyDescent="0.3">
      <c r="A582">
        <v>29050</v>
      </c>
      <c r="B582" t="s">
        <v>6356</v>
      </c>
      <c r="C582">
        <f>-622.570408366687 -29.2768952610156 -97.7256396198603</f>
        <v>-749.57294324756299</v>
      </c>
      <c r="D582">
        <f>-649.729749070771 -36.6082997865387 -210.085985180133</f>
        <v>-896.42403403744277</v>
      </c>
      <c r="E582">
        <f>-661.699450068056 -39.7490465978096 -307.930277901016</f>
        <v>-1009.3787745668816</v>
      </c>
      <c r="F582">
        <f>-668.54341114823 -41.4465852347457 -396.747736623547</f>
        <v>-1106.7377330065228</v>
      </c>
      <c r="G582">
        <f>-671.047731340451 -41.9673142063443 -485.807751889733</f>
        <v>-1198.8227974365284</v>
      </c>
      <c r="H582">
        <f>-669.986636525111 -41.4780494739575 -610.384787851899</f>
        <v>-1321.8494738509676</v>
      </c>
      <c r="I582">
        <f>-636.986553357298 -35.5751098329563 -686.418867298616</f>
        <v>-1358.9805304888703</v>
      </c>
      <c r="J582">
        <f>-674.279003547654 -14.2496852568208 -555.489373339978</f>
        <v>-1244.0180621444529</v>
      </c>
      <c r="K582" t="s">
        <v>6357</v>
      </c>
      <c r="L582" t="s">
        <v>6358</v>
      </c>
      <c r="M582" t="s">
        <v>6359</v>
      </c>
      <c r="N582">
        <f>-666.628146484556 -69.1369642401083 -555.63982703643</f>
        <v>-1291.4049377610945</v>
      </c>
      <c r="O582">
        <f>-651.674796263569 -202.581468938732 -526.181929290024</f>
        <v>-1380.4381944923248</v>
      </c>
      <c r="P582">
        <f>-687.643471853628 -260.503265734351 -239.925937787402</f>
        <v>-1188.0726753753809</v>
      </c>
      <c r="Q582">
        <f>-505.390424529671 -127.064097446748 -323.763103343221</f>
        <v>-956.21762531963998</v>
      </c>
      <c r="R582" t="s">
        <v>6360</v>
      </c>
      <c r="S582" t="s">
        <v>6361</v>
      </c>
      <c r="T582" t="s">
        <v>6362</v>
      </c>
      <c r="U582" t="s">
        <v>6363</v>
      </c>
      <c r="V582">
        <f>-606.93606345233 -124.773772740694 -96.3843537264396</f>
        <v>-828.09418991946359</v>
      </c>
      <c r="W582" t="s">
        <v>6364</v>
      </c>
      <c r="X582" t="s">
        <v>6365</v>
      </c>
      <c r="Y582" t="s">
        <v>6366</v>
      </c>
    </row>
    <row r="583" spans="1:25" x14ac:dyDescent="0.3">
      <c r="A583">
        <v>29100</v>
      </c>
      <c r="B583" t="s">
        <v>6367</v>
      </c>
      <c r="C583">
        <f>-622.707349168639 -29.4785203682275 -97.7247294982787</f>
        <v>-749.9105990351452</v>
      </c>
      <c r="D583">
        <f>-649.881793839329 -36.8288170230026 -210.080176292851</f>
        <v>-896.79078715518256</v>
      </c>
      <c r="E583">
        <f>-661.883554121887 -39.9929098274388 -307.919846507783</f>
        <v>-1009.7963104571088</v>
      </c>
      <c r="F583">
        <f>-668.764091351435 -41.7144753969833 -396.733974444605</f>
        <v>-1107.2125411930233</v>
      </c>
      <c r="G583">
        <f>-671.312626977334 -42.2621917985655 -485.792641159293</f>
        <v>-1199.3674599351925</v>
      </c>
      <c r="H583">
        <f>-670.32137985011 -41.8138995940119 -610.370390399623</f>
        <v>-1322.505669843745</v>
      </c>
      <c r="I583">
        <f>-637.347722055037 -35.9249517261892 -686.417133560352</f>
        <v>-1359.6898073415782</v>
      </c>
      <c r="J583">
        <f>-674.586756737109 -14.5680072893936 -555.481600679094</f>
        <v>-1244.6363647055964</v>
      </c>
      <c r="K583" t="s">
        <v>6368</v>
      </c>
      <c r="L583" t="s">
        <v>6369</v>
      </c>
      <c r="M583" t="s">
        <v>6370</v>
      </c>
      <c r="N583">
        <f>-666.928377000728 -69.4542846586112 -555.618168673575</f>
        <v>-1292.0008303329141</v>
      </c>
      <c r="O583">
        <f>-651.916313418826 -202.890028843072 -526.147141555035</f>
        <v>-1380.9534838169329</v>
      </c>
      <c r="P583">
        <f>-687.760310918867 -260.781236932517 -239.869251315712</f>
        <v>-1188.410799167096</v>
      </c>
      <c r="Q583">
        <f>-505.582785514761 -127.265510176315 -323.748654677536</f>
        <v>-956.59695036861206</v>
      </c>
      <c r="R583" t="s">
        <v>6371</v>
      </c>
      <c r="S583" t="s">
        <v>6372</v>
      </c>
      <c r="T583" t="s">
        <v>6373</v>
      </c>
      <c r="U583" t="s">
        <v>6374</v>
      </c>
      <c r="V583">
        <f>-607.06155149506 -125.023251865905 -96.3838362914751</f>
        <v>-828.46863965244006</v>
      </c>
      <c r="W583" t="s">
        <v>6375</v>
      </c>
      <c r="X583" t="s">
        <v>6376</v>
      </c>
      <c r="Y583" t="s">
        <v>6377</v>
      </c>
    </row>
    <row r="584" spans="1:25" x14ac:dyDescent="0.3">
      <c r="A584">
        <v>29150</v>
      </c>
      <c r="B584" t="s">
        <v>6378</v>
      </c>
      <c r="C584">
        <f>-622.973978421669 -29.6292381584447 -97.7723964025979</f>
        <v>-750.37561298271157</v>
      </c>
      <c r="D584">
        <f>-650.203552594 -37.0825452880322 -210.107701843726</f>
        <v>-897.39379972575819</v>
      </c>
      <c r="E584">
        <f>-662.276882224175 -40.3217211535753 -307.936196160064</f>
        <v>-1010.5347995378143</v>
      </c>
      <c r="F584">
        <f>-669.23159932963 -42.1071877148008 -396.743239756041</f>
        <v>-1108.0820268004718</v>
      </c>
      <c r="G584">
        <f>-671.863428404786 -42.7151978923494 -485.798990260854</f>
        <v>-1200.3776165579893</v>
      </c>
      <c r="H584">
        <f>-670.997918383393 -42.3473989725901 -610.378078329225</f>
        <v>-1323.7233956852081</v>
      </c>
      <c r="I584">
        <f>-638.085519239191 -36.4968836679841 -686.454242925393</f>
        <v>-1361.036645832568</v>
      </c>
      <c r="J584">
        <f>-675.203797141505 -15.0654535202279 -555.502510975102</f>
        <v>-1245.771761636835</v>
      </c>
      <c r="K584" t="s">
        <v>6379</v>
      </c>
      <c r="L584" t="s">
        <v>6380</v>
      </c>
      <c r="M584" t="s">
        <v>6381</v>
      </c>
      <c r="N584">
        <f>-667.553893537012 -69.9529549332415 -555.611384331304</f>
        <v>-1293.1182328015575</v>
      </c>
      <c r="O584">
        <f>-652.438634226477 -203.371807784819 -526.127881025648</f>
        <v>-1381.938323036944</v>
      </c>
      <c r="P584">
        <f>-688.072387949681 -261.184296095709 -239.807820680795</f>
        <v>-1189.0645047261851</v>
      </c>
      <c r="Q584">
        <f>-506.087835400317 -127.476357007908 -323.7999015281</f>
        <v>-957.36409393632493</v>
      </c>
      <c r="R584" t="s">
        <v>6382</v>
      </c>
      <c r="S584" t="s">
        <v>6383</v>
      </c>
      <c r="T584" t="s">
        <v>6384</v>
      </c>
      <c r="U584" t="s">
        <v>6385</v>
      </c>
      <c r="V584">
        <f>-607.296370576843 -125.101544851151 -96.3736587353893</f>
        <v>-828.77157416338321</v>
      </c>
      <c r="W584" t="s">
        <v>6386</v>
      </c>
      <c r="X584" t="s">
        <v>6387</v>
      </c>
      <c r="Y584" t="s">
        <v>6388</v>
      </c>
    </row>
    <row r="585" spans="1:25" x14ac:dyDescent="0.3">
      <c r="A585">
        <v>29200</v>
      </c>
      <c r="B585" t="s">
        <v>6389</v>
      </c>
      <c r="C585">
        <f>-623.197744479991 -29.9593088100542 -97.8005660164088</f>
        <v>-750.95761930645392</v>
      </c>
      <c r="D585">
        <f>-650.457017781141 -37.580625802038 -210.117353367883</f>
        <v>-898.15499695106189</v>
      </c>
      <c r="E585">
        <f>-662.570626834677 -40.9237480396071 -307.937381958059</f>
        <v>-1011.4317568323431</v>
      </c>
      <c r="F585">
        <f>-669.566745743943 -42.789411768214 -396.739432727434</f>
        <v>-1109.095590239591</v>
      </c>
      <c r="G585">
        <f>-672.244310029367 -43.4655276237868 -485.793388694595</f>
        <v>-1201.5032263477488</v>
      </c>
      <c r="H585">
        <f>-671.446740376103 -43.181848401267 -610.373180819257</f>
        <v>-1325.0017695966269</v>
      </c>
      <c r="I585">
        <f>-638.596772411073 -37.3834588719876 -686.480224315673</f>
        <v>-1362.4604555987335</v>
      </c>
      <c r="J585">
        <f>-675.597281991909 -15.8593229754733 -555.513611112813</f>
        <v>-1246.9702160801953</v>
      </c>
      <c r="K585" t="s">
        <v>6390</v>
      </c>
      <c r="L585" t="s">
        <v>6391</v>
      </c>
      <c r="M585" t="s">
        <v>6392</v>
      </c>
      <c r="N585">
        <f>-667.998134202582 -70.7539181133733 -555.58999247177</f>
        <v>-1294.3420447877252</v>
      </c>
      <c r="O585">
        <f>-652.890009797811 -204.175526890061 -526.097497714317</f>
        <v>-1383.1630344021892</v>
      </c>
      <c r="P585">
        <f>-688.271618816556 -262.038168716083 -239.756311000267</f>
        <v>-1190.0660985329062</v>
      </c>
      <c r="Q585">
        <f>-506.446764153885 -128.177076369103 -323.850037858153</f>
        <v>-958.47387838114093</v>
      </c>
      <c r="R585" t="s">
        <v>6393</v>
      </c>
      <c r="S585" t="s">
        <v>6394</v>
      </c>
      <c r="T585" t="s">
        <v>6395</v>
      </c>
      <c r="U585" t="s">
        <v>6396</v>
      </c>
      <c r="V585">
        <f>-607.427021022052 -125.343310100034 -96.3323407189408</f>
        <v>-829.1026718410269</v>
      </c>
      <c r="W585" t="s">
        <v>6397</v>
      </c>
      <c r="X585" t="s">
        <v>6398</v>
      </c>
      <c r="Y585" t="s">
        <v>6399</v>
      </c>
    </row>
    <row r="586" spans="1:25" x14ac:dyDescent="0.3">
      <c r="A586">
        <v>29250</v>
      </c>
      <c r="B586" t="s">
        <v>6400</v>
      </c>
      <c r="C586">
        <f>-623.256393158077 -30.0738201409197 -97.8033575342932</f>
        <v>-751.13357083328992</v>
      </c>
      <c r="D586">
        <f>-650.534745563862 -37.7553846738797 -210.111470747097</f>
        <v>-898.40160098483864</v>
      </c>
      <c r="E586">
        <f>-662.661018490747 -41.1327616883866 -307.928632240364</f>
        <v>-1011.7224124194976</v>
      </c>
      <c r="F586">
        <f>-669.6665084706 -43.0237460131141 -396.729493067344</f>
        <v>-1109.419747551058</v>
      </c>
      <c r="G586">
        <f>-672.351293746648 -43.7199913390966 -485.783071853865</f>
        <v>-1201.8543569396097</v>
      </c>
      <c r="H586">
        <f>-671.561204238127 -43.4596222076285 -610.362888821067</f>
        <v>-1325.3837152668225</v>
      </c>
      <c r="I586">
        <f>-638.732761387162 -37.694714579043 -686.481802737018</f>
        <v>-1362.909278703223</v>
      </c>
      <c r="J586">
        <f>-675.698799483186 -16.1254919927321 -555.508208950835</f>
        <v>-1247.3325004267531</v>
      </c>
      <c r="K586" t="s">
        <v>6401</v>
      </c>
      <c r="L586" t="s">
        <v>6402</v>
      </c>
      <c r="M586" t="s">
        <v>6403</v>
      </c>
      <c r="N586">
        <f>-668.118974696306 -71.0227791866954 -555.574807991384</f>
        <v>-1294.7165618743854</v>
      </c>
      <c r="O586">
        <f>-653.025819492318 -204.439911672396 -526.070780963619</f>
        <v>-1383.536512128333</v>
      </c>
      <c r="P586">
        <f>-688.386660833731 -262.287472394259 -239.723968123003</f>
        <v>-1190.3981013509929</v>
      </c>
      <c r="Q586">
        <f>-506.551617535886 -128.469512192253 -323.864526517039</f>
        <v>-958.8856562451781</v>
      </c>
      <c r="R586" t="s">
        <v>6404</v>
      </c>
      <c r="S586" t="s">
        <v>6405</v>
      </c>
      <c r="T586" t="s">
        <v>6406</v>
      </c>
      <c r="U586" t="s">
        <v>6407</v>
      </c>
      <c r="V586">
        <f>-607.473740551645 -125.305091994187 -96.3040893597101</f>
        <v>-829.08292190554221</v>
      </c>
      <c r="W586" t="s">
        <v>6408</v>
      </c>
      <c r="X586" t="s">
        <v>6409</v>
      </c>
      <c r="Y586" t="s">
        <v>6410</v>
      </c>
    </row>
    <row r="587" spans="1:25" x14ac:dyDescent="0.3">
      <c r="A587">
        <v>29300</v>
      </c>
      <c r="B587" t="s">
        <v>6411</v>
      </c>
      <c r="C587">
        <f>-623.341587448737 -30.2808895191602 -97.8398606464385</f>
        <v>-751.46233761433564</v>
      </c>
      <c r="D587">
        <f>-650.636212499456 -38.0113045792214 -210.140531279607</f>
        <v>-898.7880483582843</v>
      </c>
      <c r="E587">
        <f>-662.788940195497 -41.4449728249022 -307.952584017799</f>
        <v>-1012.1864970381982</v>
      </c>
      <c r="F587">
        <f>-669.823095375556 -43.3933435410754 -396.74982047155</f>
        <v>-1109.9662593881815</v>
      </c>
      <c r="G587">
        <f>-672.54109767506 -44.1542709789582 -485.801881351391</f>
        <v>-1202.4972500054091</v>
      </c>
      <c r="H587">
        <f>-671.802190986305 -43.9928638426194 -610.382259048447</f>
        <v>-1326.1773138773715</v>
      </c>
      <c r="I587">
        <f>-639.011254687241 -38.3189417969427 -686.52415454508</f>
        <v>-1363.8543510292639</v>
      </c>
      <c r="J587">
        <f>-675.893561106704 -16.6120931236524 -555.54731617742</f>
        <v>-1248.0529704077765</v>
      </c>
      <c r="K587" t="s">
        <v>6412</v>
      </c>
      <c r="L587" t="s">
        <v>6413</v>
      </c>
      <c r="M587" t="s">
        <v>6414</v>
      </c>
      <c r="N587">
        <f>-668.361105339537 -71.5159201127739 -555.573857673388</f>
        <v>-1295.450883125699</v>
      </c>
      <c r="O587">
        <f>-653.305512823181 -204.924537413759 -526.008979399911</f>
        <v>-1384.239029636851</v>
      </c>
      <c r="P587">
        <f>-688.589196672463 -262.596976530519 -239.61745510803</f>
        <v>-1190.8036283110121</v>
      </c>
      <c r="Q587">
        <f>-506.725661589361 -128.854976182164 -323.817023495893</f>
        <v>-959.39766126741802</v>
      </c>
      <c r="R587" t="s">
        <v>6415</v>
      </c>
      <c r="S587" t="s">
        <v>6416</v>
      </c>
      <c r="T587" t="s">
        <v>6417</v>
      </c>
      <c r="U587" t="s">
        <v>6418</v>
      </c>
      <c r="V587">
        <f>-607.567781231992 -125.514607282146 -96.283959223317</f>
        <v>-829.36634773745493</v>
      </c>
      <c r="W587" t="s">
        <v>6419</v>
      </c>
      <c r="X587" t="s">
        <v>6420</v>
      </c>
      <c r="Y587" t="s">
        <v>6421</v>
      </c>
    </row>
    <row r="588" spans="1:25" x14ac:dyDescent="0.3">
      <c r="A588">
        <v>29350</v>
      </c>
      <c r="B588" t="s">
        <v>6422</v>
      </c>
      <c r="C588">
        <f>-623.356698087848 -30.3199078566743 -97.8680701411308</f>
        <v>-751.54467608565312</v>
      </c>
      <c r="D588">
        <f>-650.64959793951 -38.0769462383603 -210.167418036037</f>
        <v>-898.89396221390734</v>
      </c>
      <c r="E588">
        <f>-662.812045616223 -41.5435902056124 -307.976982131113</f>
        <v>-1012.3326179529485</v>
      </c>
      <c r="F588">
        <f>-669.859808446481 -43.5254955604609 -396.772557901806</f>
        <v>-1110.1578619087479</v>
      </c>
      <c r="G588">
        <f>-672.596042896833 -44.3240417798146 -485.823674253403</f>
        <v>-1202.7437589300505</v>
      </c>
      <c r="H588">
        <f>-671.887500989222 -44.2191063109761 -610.404178136015</f>
        <v>-1326.5107854362132</v>
      </c>
      <c r="I588">
        <f>-639.112100464868 -38.5854409553126 -686.55578868613</f>
        <v>-1364.2533301063106</v>
      </c>
      <c r="J588">
        <f>-675.952168426312 -16.8115168844745 -555.580597519508</f>
        <v>-1248.3442828302946</v>
      </c>
      <c r="K588" t="s">
        <v>6423</v>
      </c>
      <c r="L588" t="s">
        <v>6424</v>
      </c>
      <c r="M588" t="s">
        <v>6425</v>
      </c>
      <c r="N588">
        <f>-668.446421875088 -71.7190351523627 -555.584245189535</f>
        <v>-1295.7497022169857</v>
      </c>
      <c r="O588">
        <f>-653.419953296682 -205.12205552593 -525.976089024651</f>
        <v>-1384.5180978472631</v>
      </c>
      <c r="P588">
        <f>-688.625812329634 -262.695976947217 -239.555111891215</f>
        <v>-1190.8769011680661</v>
      </c>
      <c r="Q588">
        <f>-506.747029654117 -129.018031716012 -323.823659145055</f>
        <v>-959.58872051518392</v>
      </c>
      <c r="R588" t="s">
        <v>6426</v>
      </c>
      <c r="S588" t="s">
        <v>6427</v>
      </c>
      <c r="T588" t="s">
        <v>6428</v>
      </c>
      <c r="U588" t="s">
        <v>6429</v>
      </c>
      <c r="V588">
        <f>-607.588519414125 -125.532727555796 -96.281692593511</f>
        <v>-829.40293956343203</v>
      </c>
      <c r="W588" t="s">
        <v>6430</v>
      </c>
      <c r="X588" t="s">
        <v>6431</v>
      </c>
      <c r="Y588" t="s">
        <v>6432</v>
      </c>
    </row>
    <row r="589" spans="1:25" x14ac:dyDescent="0.3">
      <c r="A589">
        <v>29400</v>
      </c>
      <c r="B589" t="s">
        <v>6433</v>
      </c>
      <c r="C589">
        <f>-623.269077709545 -30.1596850875717 -97.8959361839953</f>
        <v>-751.32469898111196</v>
      </c>
      <c r="D589">
        <f>-650.600237803976 -37.9366281559162 -210.184664210379</f>
        <v>-898.72153017027119</v>
      </c>
      <c r="E589">
        <f>-662.782791684042 -41.441882451332 -307.99038392067</f>
        <v>-1012.215058056044</v>
      </c>
      <c r="F589">
        <f>-669.843671592158 -43.4674564738704 -396.783824393787</f>
        <v>-1110.0949524598154</v>
      </c>
      <c r="G589">
        <f>-672.5877511732 -44.3184799114606 -485.834362981619</f>
        <v>-1202.7405940662795</v>
      </c>
      <c r="H589">
        <f>-671.884677341678 -44.2966124318023 -610.414847184002</f>
        <v>-1326.5961369574823</v>
      </c>
      <c r="I589">
        <f>-639.144585310535 -38.7278859740657 -686.586486542719</f>
        <v>-1364.4589578273196</v>
      </c>
      <c r="J589">
        <f>-675.915636460424 -16.8482135329789 -555.609324219668</f>
        <v>-1248.3731742130708</v>
      </c>
      <c r="K589" t="s">
        <v>6434</v>
      </c>
      <c r="L589" t="s">
        <v>6435</v>
      </c>
      <c r="M589" t="s">
        <v>6436</v>
      </c>
      <c r="N589">
        <f>-668.47258667738 -71.7642858657252 -555.576972466849</f>
        <v>-1295.8138450099543</v>
      </c>
      <c r="O589">
        <f>-653.560513129645 -205.164782724622 -525.897192298464</f>
        <v>-1384.622488152731</v>
      </c>
      <c r="P589">
        <f>-688.477162010021 -262.593785321242 -239.411662731472</f>
        <v>-1190.4826100627349</v>
      </c>
      <c r="Q589">
        <f>-506.732144317029 -128.860035649324 -323.879963300889</f>
        <v>-959.47214326724202</v>
      </c>
      <c r="R589" t="s">
        <v>6437</v>
      </c>
      <c r="S589" t="s">
        <v>6438</v>
      </c>
      <c r="T589" t="s">
        <v>6439</v>
      </c>
      <c r="U589" t="s">
        <v>6440</v>
      </c>
      <c r="V589">
        <f>-607.560299119651 -125.257732227414 -96.2867039379745</f>
        <v>-829.1047352850394</v>
      </c>
      <c r="W589" t="s">
        <v>6441</v>
      </c>
      <c r="X589" t="s">
        <v>6442</v>
      </c>
      <c r="Y589" t="s">
        <v>6443</v>
      </c>
    </row>
    <row r="590" spans="1:25" x14ac:dyDescent="0.3">
      <c r="A590">
        <v>29450</v>
      </c>
      <c r="B590" t="s">
        <v>6444</v>
      </c>
      <c r="C590">
        <f>-623.185513017371 -30.1298766515465 -97.9162615594425</f>
        <v>-751.23165122836008</v>
      </c>
      <c r="D590">
        <f>-650.527291005122 -37.8829048032856 -210.204041665194</f>
        <v>-898.61423747360163</v>
      </c>
      <c r="E590">
        <f>-662.703351487947 -41.3856158629369 -308.010661262677</f>
        <v>-1012.0996286135609</v>
      </c>
      <c r="F590">
        <f>-669.752008329759 -43.4154714611708 -396.805035223119</f>
        <v>-1109.9725150140487</v>
      </c>
      <c r="G590">
        <f>-672.477813480532 -44.2778363698324 -485.855935494515</f>
        <v>-1202.6115853448794</v>
      </c>
      <c r="H590">
        <f>-671.742502145115 -44.2789155274621 -610.436252890201</f>
        <v>-1326.4576705627783</v>
      </c>
      <c r="I590">
        <f>-639.009685557421 -38.7418185707027 -686.613219301221</f>
        <v>-1364.3647234293446</v>
      </c>
      <c r="J590">
        <f>-675.770127396189 -16.8180287090083 -555.63677161046</f>
        <v>-1248.2249277156573</v>
      </c>
      <c r="K590" t="s">
        <v>6445</v>
      </c>
      <c r="L590" t="s">
        <v>6446</v>
      </c>
      <c r="M590" t="s">
        <v>6447</v>
      </c>
      <c r="N590">
        <f>-668.3620065966 -71.7388320004721 -555.592576279542</f>
        <v>-1295.693414876614</v>
      </c>
      <c r="O590">
        <f>-653.523065503155 -205.138116190629 -525.874959930862</f>
        <v>-1384.536141624646</v>
      </c>
      <c r="P590">
        <f>-688.328739284988 -262.545844451059 -239.3717126727</f>
        <v>-1190.246296408747</v>
      </c>
      <c r="Q590">
        <f>-506.603612367584 -128.864398273818 -323.965720676455</f>
        <v>-959.433731317857</v>
      </c>
      <c r="R590" t="s">
        <v>6448</v>
      </c>
      <c r="S590" t="s">
        <v>6449</v>
      </c>
      <c r="T590" t="s">
        <v>6450</v>
      </c>
      <c r="U590" t="s">
        <v>6451</v>
      </c>
      <c r="V590">
        <f>-607.557849079614 -125.284413079238 -96.2944465287767</f>
        <v>-829.1367086876287</v>
      </c>
      <c r="W590" t="s">
        <v>6452</v>
      </c>
      <c r="X590" t="s">
        <v>6453</v>
      </c>
      <c r="Y590" t="s">
        <v>6454</v>
      </c>
    </row>
    <row r="591" spans="1:25" x14ac:dyDescent="0.3">
      <c r="A591">
        <v>29500</v>
      </c>
      <c r="B591" t="s">
        <v>6455</v>
      </c>
      <c r="C591">
        <f>-622.88123824185 -30.0640348658003 -97.9476223692138</f>
        <v>-750.89289547686417</v>
      </c>
      <c r="D591">
        <f>-650.225840831521 -37.7659081112336 -210.238202026182</f>
        <v>-898.22995096893658</v>
      </c>
      <c r="E591">
        <f>-662.374853134841 -41.2629832328998 -308.048347962985</f>
        <v>-1011.6861843307258</v>
      </c>
      <c r="F591">
        <f>-669.387324269746 -43.3026166257785 -396.845335999266</f>
        <v>-1109.5352768947905</v>
      </c>
      <c r="G591">
        <f>-672.065110246402 -44.1904575238358 -485.897536616856</f>
        <v>-1202.1531043870937</v>
      </c>
      <c r="H591">
        <f>-671.250424536324 -44.2441773016989 -610.477387577731</f>
        <v>-1325.9719894157538</v>
      </c>
      <c r="I591">
        <f>-638.528482274012 -38.8053647576894 -686.66611423134</f>
        <v>-1363.9999612630413</v>
      </c>
      <c r="J591">
        <f>-675.254522071377 -16.7523181094725 -555.691580453463</f>
        <v>-1247.6984206343125</v>
      </c>
      <c r="K591" t="s">
        <v>6456</v>
      </c>
      <c r="L591" t="s">
        <v>6457</v>
      </c>
      <c r="M591" t="s">
        <v>6458</v>
      </c>
      <c r="N591">
        <f>-667.963352760869 -71.6887009522794 -555.620192520743</f>
        <v>-1295.2722462338916</v>
      </c>
      <c r="O591">
        <f>-653.366963361839 -205.105956310152 -525.862017178433</f>
        <v>-1384.3349368504241</v>
      </c>
      <c r="P591">
        <f>-688.136973474205 -262.336817193276 -239.319126791538</f>
        <v>-1189.792917459019</v>
      </c>
      <c r="Q591">
        <f>-506.222925014801 -129.028513001582 -324.095609237615</f>
        <v>-959.34704725399797</v>
      </c>
      <c r="R591" t="s">
        <v>6459</v>
      </c>
      <c r="S591" t="s">
        <v>6460</v>
      </c>
      <c r="T591" t="s">
        <v>6461</v>
      </c>
      <c r="U591" t="s">
        <v>6462</v>
      </c>
      <c r="V591">
        <f>-607.375917945806 -125.121453094752 -96.3256748447453</f>
        <v>-828.82304588530337</v>
      </c>
      <c r="W591" t="s">
        <v>6463</v>
      </c>
      <c r="X591" t="s">
        <v>6464</v>
      </c>
      <c r="Y591" t="s">
        <v>6465</v>
      </c>
    </row>
    <row r="592" spans="1:25" x14ac:dyDescent="0.3">
      <c r="A592">
        <v>29550</v>
      </c>
      <c r="B592" t="s">
        <v>6466</v>
      </c>
      <c r="C592">
        <f>-622.687536633329 -29.9061487181377 -97.9605665750382</f>
        <v>-750.554251926505</v>
      </c>
      <c r="D592">
        <f>-650.018962881524 -37.5598234706893 -210.257670523994</f>
        <v>-897.83645687620719</v>
      </c>
      <c r="E592">
        <f>-662.147354397703 -41.0367255740334 -308.071106549831</f>
        <v>-1011.2551865215673</v>
      </c>
      <c r="F592">
        <f>-669.137525582572 -43.0663217420566 -396.87009628174</f>
        <v>-1109.0739436063686</v>
      </c>
      <c r="G592">
        <f>-671.789233853316 -43.9529595420202 -485.923115308154</f>
        <v>-1201.6653087034902</v>
      </c>
      <c r="H592">
        <f>-670.934497284857 -44.0146221184775 -610.502583489015</f>
        <v>-1325.4517028923497</v>
      </c>
      <c r="I592">
        <f>-638.224204858641 -38.6228214428493 -686.699652078873</f>
        <v>-1363.5466783803631</v>
      </c>
      <c r="J592">
        <f>-674.919172764479 -16.5145279298092 -555.719733133659</f>
        <v>-1247.1534338279471</v>
      </c>
      <c r="K592" t="s">
        <v>6467</v>
      </c>
      <c r="L592" t="s">
        <v>6468</v>
      </c>
      <c r="M592" t="s">
        <v>6469</v>
      </c>
      <c r="N592">
        <f>-667.702098621616 -71.4605080448526 -555.642956037132</f>
        <v>-1294.8055627036006</v>
      </c>
      <c r="O592">
        <f>-653.295580245519 -204.902190339278 -525.882314880272</f>
        <v>-1384.080085465069</v>
      </c>
      <c r="P592">
        <f>-688.130111399356 -261.961425802601 -239.313013694623</f>
        <v>-1189.4045508965801</v>
      </c>
      <c r="Q592">
        <f>-505.944032496949 -129.054876329945 -324.135989223346</f>
        <v>-959.13489805023994</v>
      </c>
      <c r="R592" t="s">
        <v>6470</v>
      </c>
      <c r="S592" t="s">
        <v>6471</v>
      </c>
      <c r="T592" t="s">
        <v>6472</v>
      </c>
      <c r="U592" t="s">
        <v>6473</v>
      </c>
      <c r="V592">
        <f>-607.261662642457 -124.914107539496 -96.3393718550045</f>
        <v>-828.51514203695763</v>
      </c>
      <c r="W592" t="s">
        <v>6474</v>
      </c>
      <c r="X592" t="s">
        <v>6475</v>
      </c>
      <c r="Y592" t="s">
        <v>6476</v>
      </c>
    </row>
    <row r="593" spans="1:25" x14ac:dyDescent="0.3">
      <c r="A593">
        <v>29600</v>
      </c>
      <c r="B593" t="s">
        <v>6477</v>
      </c>
      <c r="C593">
        <f>-622.162742112213 -29.9207557698821 -97.9726829108027</f>
        <v>-750.05618079289786</v>
      </c>
      <c r="D593">
        <f>-649.483368658536 -37.4705713509929 -210.279297442302</f>
        <v>-897.23323745183097</v>
      </c>
      <c r="E593">
        <f>-661.568878010657 -40.8904470452208 -308.100144720664</f>
        <v>-1010.5594697765418</v>
      </c>
      <c r="F593">
        <f>-668.50688596344 -42.8799833290313 -396.904134376288</f>
        <v>-1108.2910036687595</v>
      </c>
      <c r="G593">
        <f>-671.093033229522 -43.7400501173487 -485.959237655685</f>
        <v>-1200.7923210025556</v>
      </c>
      <c r="H593">
        <f>-670.132399959315 -43.7786379028389 -610.538204371246</f>
        <v>-1324.4492422333999</v>
      </c>
      <c r="I593">
        <f>-637.441560794181 -38.4669421399117 -686.749254315829</f>
        <v>-1362.6577572499218</v>
      </c>
      <c r="J593">
        <f>-674.074509929642 -16.2771981674846 -555.752842229843</f>
        <v>-1246.1045503269697</v>
      </c>
      <c r="K593" t="s">
        <v>6478</v>
      </c>
      <c r="L593" t="s">
        <v>6479</v>
      </c>
      <c r="M593" t="s">
        <v>6480</v>
      </c>
      <c r="N593">
        <f>-667.035704510081 -71.2463705034852 -555.681487924711</f>
        <v>-1293.9635629382772</v>
      </c>
      <c r="O593">
        <f>-653.112451922963 -204.73471030578 -525.915039366105</f>
        <v>-1383.7622015948482</v>
      </c>
      <c r="P593">
        <f>-688.206018074544 -261.666285827165 -239.351899251046</f>
        <v>-1189.2242031527549</v>
      </c>
      <c r="Q593">
        <f>-505.333695286137 -129.7199685455 -324.197405064172</f>
        <v>-959.251068895809</v>
      </c>
      <c r="R593" t="s">
        <v>6481</v>
      </c>
      <c r="S593" t="s">
        <v>6482</v>
      </c>
      <c r="T593" t="s">
        <v>6483</v>
      </c>
      <c r="U593" t="s">
        <v>6484</v>
      </c>
      <c r="V593">
        <f>-606.96411353467 -125.032058186666 -96.3484167874502</f>
        <v>-828.34458850878616</v>
      </c>
      <c r="W593" t="s">
        <v>6485</v>
      </c>
      <c r="X593" t="s">
        <v>6486</v>
      </c>
      <c r="Y593" t="s">
        <v>6487</v>
      </c>
    </row>
    <row r="594" spans="1:25" x14ac:dyDescent="0.3">
      <c r="A594">
        <v>29650</v>
      </c>
      <c r="B594" t="s">
        <v>6488</v>
      </c>
      <c r="C594">
        <f>-621.857943749382 -29.9842095030613 -97.9582033119798</f>
        <v>-749.80035656442305</v>
      </c>
      <c r="D594">
        <f>-649.170915202467 -37.4684999193462 -210.27120564819</f>
        <v>-896.91062077000311</v>
      </c>
      <c r="E594">
        <f>-661.234788396514 -40.8460144823932 -308.096164518287</f>
        <v>-1010.1769673971942</v>
      </c>
      <c r="F594">
        <f>-668.147559149084 -42.8021362486782 -396.902829195653</f>
        <v>-1107.8525245934152</v>
      </c>
      <c r="G594">
        <f>-670.7024807099 -43.6344800981236 -485.959089450945</f>
        <v>-1200.2960502589685</v>
      </c>
      <c r="H594">
        <f>-669.692024768155 -43.6404012212483 -610.537662211693</f>
        <v>-1323.8700882010962</v>
      </c>
      <c r="I594">
        <f>-637.007488962046 -38.3558133981098 -686.753206107637</f>
        <v>-1362.1165084677928</v>
      </c>
      <c r="J594">
        <f>-673.61486164978 -16.1479632427959 -555.746278165618</f>
        <v>-1245.5091030581939</v>
      </c>
      <c r="K594" t="s">
        <v>6489</v>
      </c>
      <c r="L594" t="s">
        <v>6490</v>
      </c>
      <c r="M594" t="s">
        <v>6491</v>
      </c>
      <c r="N594">
        <f>-666.658418039992 -71.1276958303087 -555.687305142781</f>
        <v>-1293.4734190130816</v>
      </c>
      <c r="O594">
        <f>-652.961221385115 -204.639907526215 -525.935344921681</f>
        <v>-1383.5364738330109</v>
      </c>
      <c r="P594">
        <f>-688.206320600222 -261.595317102041 -239.39552932078</f>
        <v>-1189.197167023043</v>
      </c>
      <c r="Q594">
        <f>-505.085518261509 -129.988158726046 -324.231785696493</f>
        <v>-959.30546268404805</v>
      </c>
      <c r="R594" t="s">
        <v>6492</v>
      </c>
      <c r="S594" t="s">
        <v>6493</v>
      </c>
      <c r="T594" t="s">
        <v>6494</v>
      </c>
      <c r="U594" t="s">
        <v>6495</v>
      </c>
      <c r="V594">
        <f>-606.758630431239 -125.100732321571 -96.3627174328099</f>
        <v>-828.22208018561992</v>
      </c>
      <c r="W594" t="s">
        <v>6496</v>
      </c>
      <c r="X594" t="s">
        <v>6497</v>
      </c>
      <c r="Y594" t="s">
        <v>6498</v>
      </c>
    </row>
    <row r="595" spans="1:25" x14ac:dyDescent="0.3">
      <c r="A595">
        <v>29700</v>
      </c>
      <c r="B595" t="s">
        <v>6499</v>
      </c>
      <c r="C595">
        <f>-621.381192628534 -29.9489992467988 -97.9285598109333</f>
        <v>-749.25875168626612</v>
      </c>
      <c r="D595">
        <f>-648.681879278734 -37.3064216397536 -210.252908131245</f>
        <v>-896.24120904973256</v>
      </c>
      <c r="E595">
        <f>-660.711623197168 -40.6136577117759 -308.084440650698</f>
        <v>-1009.4097215596419</v>
      </c>
      <c r="F595">
        <f>-667.584240815724 -42.52055996579 -396.895298290116</f>
        <v>-1107.0000990716298</v>
      </c>
      <c r="G595">
        <f>-670.089917815863 -43.3179588539562 -485.953277087974</f>
        <v>-1199.3611537577931</v>
      </c>
      <c r="H595">
        <f>-669.001275998213 -43.2907565297518 -610.531114132976</f>
        <v>-1322.8231466609409</v>
      </c>
      <c r="I595">
        <f>-636.281890814362 -38.050488503209 -686.734820054957</f>
        <v>-1361.067199372528</v>
      </c>
      <c r="J595">
        <f>-672.89890239263 -15.8053734412217 -555.73445190161</f>
        <v>-1244.4387277354617</v>
      </c>
      <c r="K595" t="s">
        <v>6500</v>
      </c>
      <c r="L595" t="s">
        <v>6501</v>
      </c>
      <c r="M595" t="s">
        <v>6502</v>
      </c>
      <c r="N595">
        <f>-666.061702303251 -70.8002012698317 -555.686705075865</f>
        <v>-1292.5486086489477</v>
      </c>
      <c r="O595">
        <f>-652.703439138887 -204.358625450437 -525.991416790094</f>
        <v>-1383.0534813794179</v>
      </c>
      <c r="P595">
        <f>-688.175314111342 -261.269435406913 -239.470790443952</f>
        <v>-1188.915539962207</v>
      </c>
      <c r="Q595">
        <f>-504.632864762937 -130.230855654599 -324.276132851208</f>
        <v>-959.13985326874399</v>
      </c>
      <c r="R595" t="s">
        <v>6503</v>
      </c>
      <c r="S595" t="s">
        <v>6504</v>
      </c>
      <c r="T595" t="s">
        <v>6505</v>
      </c>
      <c r="U595" t="s">
        <v>6506</v>
      </c>
      <c r="V595">
        <f>-606.487411689271 -125.042177620643 -96.3707526803745</f>
        <v>-827.90034199028844</v>
      </c>
      <c r="W595" t="s">
        <v>6507</v>
      </c>
      <c r="X595" t="s">
        <v>6508</v>
      </c>
      <c r="Y595" t="s">
        <v>6509</v>
      </c>
    </row>
    <row r="596" spans="1:25" x14ac:dyDescent="0.3">
      <c r="A596">
        <v>29750</v>
      </c>
      <c r="B596" t="s">
        <v>6510</v>
      </c>
      <c r="C596">
        <f>-621.232712993805 -29.9073901675774 -97.9170475589285</f>
        <v>-749.05715072031091</v>
      </c>
      <c r="D596">
        <f>-648.512010744765 -37.2221753137935 -210.249293187656</f>
        <v>-895.98347924621453</v>
      </c>
      <c r="E596">
        <f>-660.515998954057 -40.4947041623475 -308.08513875971</f>
        <v>-1009.0958418761145</v>
      </c>
      <c r="F596">
        <f>-667.362396895541 -42.3708993397145 -396.898761837599</f>
        <v>-1106.6320580728545</v>
      </c>
      <c r="G596">
        <f>-669.838828925083 -43.1388278755445 -485.957871057791</f>
        <v>-1198.9355278584185</v>
      </c>
      <c r="H596">
        <f>-668.706324405308 -43.071397253664 -610.535290488078</f>
        <v>-1322.3130121470499</v>
      </c>
      <c r="I596">
        <f>-635.957903492986 -37.8330708529188 -686.726645844709</f>
        <v>-1360.5176201906138</v>
      </c>
      <c r="J596">
        <f>-672.603249887057 -15.6012231646771 -555.730950593556</f>
        <v>-1243.93542364529</v>
      </c>
      <c r="K596" t="s">
        <v>6511</v>
      </c>
      <c r="L596" t="s">
        <v>6512</v>
      </c>
      <c r="M596" t="s">
        <v>6513</v>
      </c>
      <c r="N596">
        <f>-665.806084197594 -70.6008888522788 -555.69891430721</f>
        <v>-1292.1058873570828</v>
      </c>
      <c r="O596">
        <f>-652.562322045701 -204.181386299168 -526.036351468496</f>
        <v>-1382.7800598133649</v>
      </c>
      <c r="P596">
        <f>-688.083329143853 -261.13150193972 -239.529543242021</f>
        <v>-1188.744374325594</v>
      </c>
      <c r="Q596">
        <f>-504.433390933427 -130.227035107051 -324.309098635089</f>
        <v>-958.96952467556707</v>
      </c>
      <c r="R596" t="s">
        <v>6514</v>
      </c>
      <c r="S596" t="s">
        <v>6515</v>
      </c>
      <c r="T596" t="s">
        <v>6516</v>
      </c>
      <c r="U596" t="s">
        <v>6517</v>
      </c>
      <c r="V596">
        <f>-606.387054001547 -125.013907435108 -96.3814862564416</f>
        <v>-827.78244769309651</v>
      </c>
      <c r="W596" t="s">
        <v>6518</v>
      </c>
      <c r="X596" t="s">
        <v>6519</v>
      </c>
      <c r="Y596" t="s">
        <v>6520</v>
      </c>
    </row>
    <row r="597" spans="1:25" x14ac:dyDescent="0.3">
      <c r="A597">
        <v>29800</v>
      </c>
      <c r="B597" t="s">
        <v>6521</v>
      </c>
      <c r="C597">
        <f>-620.983264432678 -29.8035957165021 -97.9124142111176</f>
        <v>-748.69927436029764</v>
      </c>
      <c r="D597">
        <f>-648.23305352943 -37.0753376502612 -210.254683500535</f>
        <v>-895.56307468022624</v>
      </c>
      <c r="E597">
        <f>-660.178657529836 -40.2917803299085 -308.099558682089</f>
        <v>-1008.5699965418335</v>
      </c>
      <c r="F597">
        <f>-666.958776108362 -42.1096478010315 -396.919487437636</f>
        <v>-1105.9879113470297</v>
      </c>
      <c r="G597">
        <f>-669.355282639422 -42.8120813587966 -485.981155612498</f>
        <v>-1198.1485196107164</v>
      </c>
      <c r="H597">
        <f>-668.096754815185 -42.6462117432282 -610.557317766119</f>
        <v>-1321.3002843245322</v>
      </c>
      <c r="I597">
        <f>-635.265081831977 -37.3697559957575 -686.710116115878</f>
        <v>-1359.3449539436124</v>
      </c>
      <c r="J597">
        <f>-672.032779660598 -15.2173614129888 -555.735085831544</f>
        <v>-1242.9852269051307</v>
      </c>
      <c r="K597" t="s">
        <v>6522</v>
      </c>
      <c r="L597" t="s">
        <v>6523</v>
      </c>
      <c r="M597" t="s">
        <v>6524</v>
      </c>
      <c r="N597">
        <f>-665.268360459116 -70.2210658081231 -555.739927229541</f>
        <v>-1291.22935349678</v>
      </c>
      <c r="O597">
        <f>-652.122987666673 -203.835717318699 -526.197595247547</f>
        <v>-1382.156300232919</v>
      </c>
      <c r="P597">
        <f>-687.818392947309 -260.968634030976 -239.748774168718</f>
        <v>-1188.535801147003</v>
      </c>
      <c r="Q597">
        <f>-504.084549420342 -130.122986144101 -324.43721220282</f>
        <v>-958.64474776726297</v>
      </c>
      <c r="R597" t="s">
        <v>6525</v>
      </c>
      <c r="S597" t="s">
        <v>6526</v>
      </c>
      <c r="T597" t="s">
        <v>6527</v>
      </c>
      <c r="U597" t="s">
        <v>6528</v>
      </c>
      <c r="V597">
        <f>-606.19104310287 -124.846920213319 -96.3999260311513</f>
        <v>-827.43788934734027</v>
      </c>
      <c r="W597" t="s">
        <v>6529</v>
      </c>
      <c r="X597" t="s">
        <v>6530</v>
      </c>
      <c r="Y597" t="s">
        <v>6531</v>
      </c>
    </row>
    <row r="598" spans="1:25" x14ac:dyDescent="0.3">
      <c r="A598">
        <v>29850</v>
      </c>
      <c r="B598" t="s">
        <v>6532</v>
      </c>
      <c r="C598">
        <f>-620.876746394733 -29.7716792747237 -97.9095234061383</f>
        <v>-748.55794907559505</v>
      </c>
      <c r="D598">
        <f>-648.110715057809 -37.0355234315452 -210.256264828248</f>
        <v>-895.40250331760217</v>
      </c>
      <c r="E598">
        <f>-660.027389190603 -40.2302586591843 -308.105246622257</f>
        <v>-1008.3628944720443</v>
      </c>
      <c r="F598">
        <f>-666.775113024759 -42.0230350628144 -396.928141670419</f>
        <v>-1105.7262897579924</v>
      </c>
      <c r="G598">
        <f>-669.132774836834 -42.6950839871326 -485.991175845085</f>
        <v>-1197.8190346690517</v>
      </c>
      <c r="H598">
        <f>-667.813295785842 -42.4811111428101 -610.566487932271</f>
        <v>-1320.8608948609231</v>
      </c>
      <c r="I598">
        <f>-634.933787728628 -37.1669836697224 -686.69609718355</f>
        <v>-1358.7968685819005</v>
      </c>
      <c r="J598">
        <f>-671.778027283768 -15.0736152725699 -555.735645099362</f>
        <v>-1242.5872876557</v>
      </c>
      <c r="K598" t="s">
        <v>6533</v>
      </c>
      <c r="L598" t="s">
        <v>6534</v>
      </c>
      <c r="M598" t="s">
        <v>6535</v>
      </c>
      <c r="N598">
        <f>-665.009883108623 -70.0769237462782 -555.758464771698</f>
        <v>-1290.8452716265992</v>
      </c>
      <c r="O598">
        <f>-651.867807902478 -203.703961479748 -526.269352717601</f>
        <v>-1381.8411220998269</v>
      </c>
      <c r="P598">
        <f>-687.544989120876 -261.05405593546 -239.861806760411</f>
        <v>-1188.460851816747</v>
      </c>
      <c r="Q598">
        <f>-503.881744525664 -130.064291173752 -324.48079757507</f>
        <v>-958.42683327448594</v>
      </c>
      <c r="R598" t="s">
        <v>6536</v>
      </c>
      <c r="S598" t="s">
        <v>6537</v>
      </c>
      <c r="T598" t="s">
        <v>6538</v>
      </c>
      <c r="U598" t="s">
        <v>6539</v>
      </c>
      <c r="V598">
        <f>-606.051997217387 -124.807155060581 -96.412964082667</f>
        <v>-827.27211636063498</v>
      </c>
      <c r="W598" t="s">
        <v>6540</v>
      </c>
      <c r="X598" t="s">
        <v>6541</v>
      </c>
      <c r="Y598" t="s">
        <v>6542</v>
      </c>
    </row>
    <row r="599" spans="1:25" x14ac:dyDescent="0.3">
      <c r="A599">
        <v>29900</v>
      </c>
      <c r="B599" t="s">
        <v>6543</v>
      </c>
      <c r="C599">
        <f>-620.848354110956 -29.7078274537314 -97.908775375515</f>
        <v>-748.46495694020246</v>
      </c>
      <c r="D599">
        <f>-648.01505205067 -36.9630863321054 -210.272250003526</f>
        <v>-895.25038838630132</v>
      </c>
      <c r="E599">
        <f>-659.860669575671 -40.1303238936259 -308.130983752895</f>
        <v>-1008.1219772221918</v>
      </c>
      <c r="F599">
        <f>-666.538623035819 -41.8902281717092 -396.95968503639</f>
        <v>-1105.3885362439182</v>
      </c>
      <c r="G599">
        <f>-668.821109576953 -42.5216009461772 -486.02499502326</f>
        <v>-1197.36770554639</v>
      </c>
      <c r="H599">
        <f>-667.390918917168 -42.2426112945745 -610.599042888581</f>
        <v>-1320.2325731003236</v>
      </c>
      <c r="I599">
        <f>-634.411526949833 -36.8732304416239 -686.681564195734</f>
        <v>-1357.966321587191</v>
      </c>
      <c r="J599">
        <f>-671.415120033446 -14.8651275782511 -555.757569782667</f>
        <v>-1242.0378173943641</v>
      </c>
      <c r="K599" t="s">
        <v>6544</v>
      </c>
      <c r="L599" t="s">
        <v>6545</v>
      </c>
      <c r="M599" t="s">
        <v>6546</v>
      </c>
      <c r="N599">
        <f>-664.625394993394 -69.8656119872638 -555.802716369557</f>
        <v>-1290.2937233502148</v>
      </c>
      <c r="O599">
        <f>-651.443914507967 -203.507409839438 -526.407845130822</f>
        <v>-1381.3591694782269</v>
      </c>
      <c r="P599">
        <f>-687.147129821589 -261.142790618295 -240.060724276849</f>
        <v>-1188.3506447167331</v>
      </c>
      <c r="Q599">
        <f>-503.650036537255 -129.816061275073 -324.517923924262</f>
        <v>-957.98402173658997</v>
      </c>
      <c r="R599" t="s">
        <v>6547</v>
      </c>
      <c r="S599" t="s">
        <v>6548</v>
      </c>
      <c r="T599" t="s">
        <v>6549</v>
      </c>
      <c r="U599" t="s">
        <v>6550</v>
      </c>
      <c r="V599">
        <f>-606.019644573445 -124.725199594141 -96.422754151243</f>
        <v>-827.16759831882905</v>
      </c>
      <c r="W599" t="s">
        <v>6551</v>
      </c>
      <c r="X599" t="s">
        <v>6552</v>
      </c>
      <c r="Y599" t="s">
        <v>6553</v>
      </c>
    </row>
    <row r="600" spans="1:25" x14ac:dyDescent="0.3">
      <c r="A600">
        <v>29950</v>
      </c>
      <c r="B600" t="s">
        <v>6554</v>
      </c>
      <c r="C600">
        <f>-620.92805279995 -29.7188428112304 -97.9056605059455</f>
        <v>-748.55255611712596</v>
      </c>
      <c r="D600">
        <f>-648.057602638418 -36.9555102626616 -210.279378629032</f>
        <v>-895.29249153011165</v>
      </c>
      <c r="E600">
        <f>-659.872630421738 -40.1036359123866 -308.142213628106</f>
        <v>-1008.1184799622306</v>
      </c>
      <c r="F600">
        <f>-666.523376491434 -41.8453020104928 -396.973410469939</f>
        <v>-1105.3420889718657</v>
      </c>
      <c r="G600">
        <f>-668.779198740976 -42.4577759484014 -486.039624810947</f>
        <v>-1197.2765995003242</v>
      </c>
      <c r="H600">
        <f>-667.312173441709 -42.1516120330491 -610.613057349316</f>
        <v>-1320.076842824074</v>
      </c>
      <c r="I600">
        <f>-634.272106650083 -36.7779354950299 -686.669091080071</f>
        <v>-1357.7191332251837</v>
      </c>
      <c r="J600">
        <f>-671.352078432105 -14.7859295425274 -555.766837620049</f>
        <v>-1241.9048455946813</v>
      </c>
      <c r="K600" t="s">
        <v>6555</v>
      </c>
      <c r="L600" t="s">
        <v>6556</v>
      </c>
      <c r="M600" t="s">
        <v>6557</v>
      </c>
      <c r="N600">
        <f>-664.563377963136 -69.7866479801887 -555.822083728921</f>
        <v>-1290.1721096722458</v>
      </c>
      <c r="O600">
        <f>-651.384222361493 -203.438740254102 -526.44985000131</f>
        <v>-1381.272812616905</v>
      </c>
      <c r="P600">
        <f>-687.096781069574 -261.144005818263 -240.118046348689</f>
        <v>-1188.3588332365259</v>
      </c>
      <c r="Q600">
        <f>-503.648344705243 -129.701272393654 -324.500136675149</f>
        <v>-957.84975377404589</v>
      </c>
      <c r="R600" t="s">
        <v>6558</v>
      </c>
      <c r="S600" t="s">
        <v>6559</v>
      </c>
      <c r="T600" t="s">
        <v>6560</v>
      </c>
      <c r="U600" t="s">
        <v>6561</v>
      </c>
      <c r="V600">
        <f>-606.114494883593 -124.765004056755 -96.424699370553</f>
        <v>-827.30419831090092</v>
      </c>
      <c r="W600" t="s">
        <v>6562</v>
      </c>
      <c r="X600" t="s">
        <v>6563</v>
      </c>
      <c r="Y600" t="s">
        <v>6564</v>
      </c>
    </row>
    <row r="601" spans="1:25" x14ac:dyDescent="0.3">
      <c r="A601">
        <v>30000</v>
      </c>
      <c r="B601" t="s">
        <v>6565</v>
      </c>
      <c r="C601">
        <f>-621.143128329529 -29.5633560331805 -97.8944879584019</f>
        <v>-748.60097232111139</v>
      </c>
      <c r="D601">
        <f>-648.255861252342 -36.7697099483823 -210.274176610581</f>
        <v>-895.29974781130534</v>
      </c>
      <c r="E601">
        <f>-660.036358519453 -39.8823414784742 -308.142383572598</f>
        <v>-1008.0610835705252</v>
      </c>
      <c r="F601">
        <f>-666.647687887518 -41.5885598116797 -396.977167082643</f>
        <v>-1105.2134147818408</v>
      </c>
      <c r="G601">
        <f>-668.855767942666 -42.1622665877492 -486.04477423469</f>
        <v>-1197.0628087651053</v>
      </c>
      <c r="H601">
        <f>-667.313200234025 -41.7992305884547 -610.617225357719</f>
        <v>-1319.7296561801986</v>
      </c>
      <c r="I601">
        <f>-634.094689842103 -36.4439381367013 -686.596695453059</f>
        <v>-1357.1353234318633</v>
      </c>
      <c r="J601">
        <f>-671.368469212118 -14.4564534317026 -555.760746015956</f>
        <v>-1241.5856686597767</v>
      </c>
      <c r="K601" t="s">
        <v>6566</v>
      </c>
      <c r="L601" t="s">
        <v>6567</v>
      </c>
      <c r="M601" t="s">
        <v>6568</v>
      </c>
      <c r="N601">
        <f>-664.615529188435 -69.4614984951371 -555.837362639284</f>
        <v>-1289.914390322856</v>
      </c>
      <c r="O601">
        <f>-651.570708814859 -203.133852587114 -526.503681124931</f>
        <v>-1381.2082425269041</v>
      </c>
      <c r="P601">
        <f>-687.355506571236 -260.895866924412 -240.192281948679</f>
        <v>-1188.4436554443271</v>
      </c>
      <c r="Q601">
        <f>-503.975470817311 -129.353635783852 -324.568302089114</f>
        <v>-957.89740869027708</v>
      </c>
      <c r="R601" t="s">
        <v>6569</v>
      </c>
      <c r="S601" t="s">
        <v>6570</v>
      </c>
      <c r="T601" t="s">
        <v>6571</v>
      </c>
      <c r="U601" t="s">
        <v>6572</v>
      </c>
      <c r="V601">
        <f>-606.358800431583 -124.591268415768 -96.4478336695915</f>
        <v>-827.39790251694251</v>
      </c>
      <c r="W601" t="s">
        <v>6573</v>
      </c>
      <c r="X601" t="s">
        <v>6574</v>
      </c>
      <c r="Y601" t="s">
        <v>6575</v>
      </c>
    </row>
    <row r="602" spans="1:25" x14ac:dyDescent="0.3">
      <c r="A602">
        <v>30050</v>
      </c>
      <c r="B602" t="s">
        <v>6576</v>
      </c>
      <c r="C602">
        <f>-621.257937497268 -29.4991432252466 -97.8981528757297</f>
        <v>-748.65523359824431</v>
      </c>
      <c r="D602">
        <f>-648.385534742658 -36.6926932638628 -210.275068898172</f>
        <v>-895.3532969046928</v>
      </c>
      <c r="E602">
        <f>-660.154889602559 -39.7883568684051 -308.145056877307</f>
        <v>-1008.0883033482712</v>
      </c>
      <c r="F602">
        <f>-666.746328363029 -41.4765543274202 -396.981830611924</f>
        <v>-1105.2047133023732</v>
      </c>
      <c r="G602">
        <f>-668.924607050108 -42.0304409040473 -486.050229865521</f>
        <v>-1197.0052778196762</v>
      </c>
      <c r="H602">
        <f>-667.330006211124 -41.6377045682884 -610.622047495769</f>
        <v>-1319.5897582751813</v>
      </c>
      <c r="I602">
        <f>-633.950791517805 -36.2737326577283 -686.530370752467</f>
        <v>-1356.7548949280003</v>
      </c>
      <c r="J602">
        <f>-671.392828527912 -14.306136947708 -555.760387688066</f>
        <v>-1241.459353163686</v>
      </c>
      <c r="K602" t="s">
        <v>6577</v>
      </c>
      <c r="L602" t="s">
        <v>6578</v>
      </c>
      <c r="M602" t="s">
        <v>6579</v>
      </c>
      <c r="N602">
        <f>-664.670694193363 -69.3150308398303 -555.847807679408</f>
        <v>-1289.8335327126015</v>
      </c>
      <c r="O602">
        <f>-651.73481082201 -203.000557694139 -526.528691777211</f>
        <v>-1381.26406029336</v>
      </c>
      <c r="P602">
        <f>-687.575075506603 -260.737344638797 -240.219269196585</f>
        <v>-1188.5316893419849</v>
      </c>
      <c r="Q602">
        <f>-504.172378967718 -129.258506185168 -324.644505699641</f>
        <v>-958.07539085252688</v>
      </c>
      <c r="R602" t="s">
        <v>6580</v>
      </c>
      <c r="S602" t="s">
        <v>6581</v>
      </c>
      <c r="T602" t="s">
        <v>6582</v>
      </c>
      <c r="U602" t="s">
        <v>6583</v>
      </c>
      <c r="V602">
        <f>-606.511380066842 -124.542359658868 -96.4469950208158</f>
        <v>-827.50073474652584</v>
      </c>
      <c r="W602" t="s">
        <v>6584</v>
      </c>
      <c r="X602" t="s">
        <v>6585</v>
      </c>
      <c r="Y602" t="s">
        <v>6586</v>
      </c>
    </row>
    <row r="603" spans="1:25" x14ac:dyDescent="0.3">
      <c r="A603">
        <v>30100</v>
      </c>
      <c r="B603" t="s">
        <v>6587</v>
      </c>
      <c r="C603">
        <f>-621.463846512214 -29.3756790681921 -97.8811429150867</f>
        <v>-748.72066849549276</v>
      </c>
      <c r="D603">
        <f>-648.617857715931 -36.5341901977226 -210.253837186033</f>
        <v>-895.40588509968666</v>
      </c>
      <c r="E603">
        <f>-660.392313160953 -39.6124194024949 -308.123950369096</f>
        <v>-1008.1286829325438</v>
      </c>
      <c r="F603">
        <f>-666.981345393208 -41.2897947775361 -396.960828022413</f>
        <v>-1105.2319681931572</v>
      </c>
      <c r="G603">
        <f>-669.150059862726 -41.8381282832174 -486.029574855044</f>
        <v>-1197.0177630009875</v>
      </c>
      <c r="H603">
        <f>-667.53457848797 -41.4433306462283 -610.601072793466</f>
        <v>-1319.5789819276642</v>
      </c>
      <c r="I603">
        <f>-633.721152264789 -36.0514414916427 -686.315098405776</f>
        <v>-1356.0876921622075</v>
      </c>
      <c r="J603">
        <f>-671.564510742594 -14.1076077816294 -555.739197510854</f>
        <v>-1241.4113160350776</v>
      </c>
      <c r="K603" t="s">
        <v>6588</v>
      </c>
      <c r="L603" t="s">
        <v>6589</v>
      </c>
      <c r="M603" t="s">
        <v>6590</v>
      </c>
      <c r="N603">
        <f>-664.926468775112 -69.1265574008277 -555.827465602142</f>
        <v>-1289.8804917780817</v>
      </c>
      <c r="O603">
        <f>-652.190608777328 -202.827225239724 -526.493782074097</f>
        <v>-1381.5116160911489</v>
      </c>
      <c r="P603">
        <f>-688.026789780164 -260.449791306142 -240.160655078519</f>
        <v>-1188.637236164825</v>
      </c>
      <c r="Q603">
        <f>-504.565288551845 -129.115677838154 -324.683502226813</f>
        <v>-958.36446861681202</v>
      </c>
      <c r="R603" t="s">
        <v>6591</v>
      </c>
      <c r="S603" t="s">
        <v>6592</v>
      </c>
      <c r="T603" t="s">
        <v>6593</v>
      </c>
      <c r="U603" t="s">
        <v>6594</v>
      </c>
      <c r="V603">
        <f>-606.830824432 -124.334881229055 -96.4344833382005</f>
        <v>-827.60018899925547</v>
      </c>
      <c r="W603" t="s">
        <v>6595</v>
      </c>
      <c r="X603" t="s">
        <v>6596</v>
      </c>
      <c r="Y603" t="s">
        <v>6597</v>
      </c>
    </row>
    <row r="604" spans="1:25" x14ac:dyDescent="0.3">
      <c r="A604">
        <v>30150</v>
      </c>
      <c r="B604" t="s">
        <v>6598</v>
      </c>
      <c r="C604">
        <f>-621.598568740498 -29.3671291007349 -97.8692521498543</f>
        <v>-748.83494999108723</v>
      </c>
      <c r="D604">
        <f>-648.782523321938 -36.5228327130465 -210.235042876423</f>
        <v>-895.54039891140746</v>
      </c>
      <c r="E604">
        <f>-660.570858344643 -39.6084469604625 -308.103146794689</f>
        <v>-1008.2824520997946</v>
      </c>
      <c r="F604">
        <f>-667.167588232747 -41.2966510113652 -396.93924675863</f>
        <v>-1105.4034860027423</v>
      </c>
      <c r="G604">
        <f>-669.338921910606 -41.8604436090914 -486.007891222548</f>
        <v>-1197.2072567422454</v>
      </c>
      <c r="H604">
        <f>-667.722008438282 -41.4924192957815 -610.579396511883</f>
        <v>-1319.7938242459466</v>
      </c>
      <c r="I604">
        <f>-633.699959006948 -36.0986545828323 -686.199836085585</f>
        <v>-1355.9984496753655</v>
      </c>
      <c r="J604">
        <f>-671.732677350546 -14.142419848916 -555.723185745137</f>
        <v>-1241.5982829445991</v>
      </c>
      <c r="K604" t="s">
        <v>6599</v>
      </c>
      <c r="L604" t="s">
        <v>6600</v>
      </c>
      <c r="M604" t="s">
        <v>6601</v>
      </c>
      <c r="N604">
        <f>-665.134350361157 -69.1662085050392 -555.800173472333</f>
        <v>-1290.1007323385293</v>
      </c>
      <c r="O604">
        <f>-652.501520646388 -202.866070367294 -526.445193218364</f>
        <v>-1381.8127842320459</v>
      </c>
      <c r="P604">
        <f>-688.280835965868 -260.449325899115 -240.097174458461</f>
        <v>-1188.8273363234441</v>
      </c>
      <c r="Q604">
        <f>-504.784425560305 -129.215060082223 -324.699076939857</f>
        <v>-958.69856258238497</v>
      </c>
      <c r="R604" t="s">
        <v>6602</v>
      </c>
      <c r="S604" t="s">
        <v>6603</v>
      </c>
      <c r="T604" t="s">
        <v>6604</v>
      </c>
      <c r="U604" t="s">
        <v>6605</v>
      </c>
      <c r="V604">
        <f>-606.960852866591 -124.398420262876 -96.4228294515149</f>
        <v>-827.78210258098193</v>
      </c>
      <c r="W604" t="s">
        <v>6606</v>
      </c>
      <c r="X604" t="s">
        <v>6607</v>
      </c>
      <c r="Y604" t="s">
        <v>6608</v>
      </c>
    </row>
    <row r="605" spans="1:25" x14ac:dyDescent="0.3">
      <c r="A605">
        <v>30200</v>
      </c>
      <c r="B605" t="s">
        <v>6609</v>
      </c>
      <c r="C605">
        <f>-621.873570033282 -29.2888173058141 -97.8729786249497</f>
        <v>-749.03536596404581</v>
      </c>
      <c r="D605">
        <f>-649.134182787919 -36.4638452891102 -210.218941246135</f>
        <v>-895.81696932316413</v>
      </c>
      <c r="E605">
        <f>-660.953481563956 -39.5594069533133 -308.083032390192</f>
        <v>-1008.5959209074613</v>
      </c>
      <c r="F605">
        <f>-667.563689111527 -41.2545401504542 -396.918125712064</f>
        <v>-1105.7363549740453</v>
      </c>
      <c r="G605">
        <f>-669.733666010502 -41.8240958100596 -485.98667689614</f>
        <v>-1197.5444387167017</v>
      </c>
      <c r="H605">
        <f>-668.098869629154 -41.463362206862 -610.558018170536</f>
        <v>-1320.1202500065519</v>
      </c>
      <c r="I605">
        <f>-633.753773321832 -36.0610673280303 -686.031485080086</f>
        <v>-1355.8463257299481</v>
      </c>
      <c r="J605">
        <f>-672.088271547984 -14.1065978131019 -555.703570940669</f>
        <v>-1241.8984403017548</v>
      </c>
      <c r="K605" t="s">
        <v>6610</v>
      </c>
      <c r="L605" t="s">
        <v>6611</v>
      </c>
      <c r="M605" t="s">
        <v>6612</v>
      </c>
      <c r="N605">
        <f>-665.548232023281 -69.1373934049155 -555.777006911815</f>
        <v>-1290.4626323400116</v>
      </c>
      <c r="O605">
        <f>-653.075556291838 -202.861850769997 -526.430980513777</f>
        <v>-1382.3683875756119</v>
      </c>
      <c r="P605">
        <f>-688.870578424331 -260.336657370195 -240.063067788049</f>
        <v>-1189.270303582575</v>
      </c>
      <c r="Q605">
        <f>-505.283690010885 -129.290392538104 -324.760187573129</f>
        <v>-959.33427012211791</v>
      </c>
      <c r="R605" t="s">
        <v>6613</v>
      </c>
      <c r="S605" t="s">
        <v>6614</v>
      </c>
      <c r="T605" t="s">
        <v>6615</v>
      </c>
      <c r="U605" t="s">
        <v>6616</v>
      </c>
      <c r="V605">
        <f>-607.247543264527 -124.313351909853 -96.4044419953381</f>
        <v>-827.96533716971805</v>
      </c>
      <c r="W605" t="s">
        <v>6617</v>
      </c>
      <c r="X605" t="s">
        <v>6618</v>
      </c>
      <c r="Y605" t="s">
        <v>6619</v>
      </c>
    </row>
    <row r="606" spans="1:25" x14ac:dyDescent="0.3">
      <c r="A606">
        <v>30250</v>
      </c>
      <c r="B606" t="s">
        <v>6620</v>
      </c>
      <c r="C606">
        <f>-622.057500828623 -29.2604828728781 -97.8733523909061</f>
        <v>-749.19133609240725</v>
      </c>
      <c r="D606">
        <f>-649.347908841792 -36.4351396809482 -210.212051713983</f>
        <v>-895.99510023672315</v>
      </c>
      <c r="E606">
        <f>-661.188896136437 -39.5324293230337 -308.073510106287</f>
        <v>-1008.7948355657578</v>
      </c>
      <c r="F606">
        <f>-667.816936754082 -41.2301225263268 -396.907062532961</f>
        <v>-1105.9541218133697</v>
      </c>
      <c r="G606">
        <f>-670.002984741681 -41.8036457768783 -485.975321839178</f>
        <v>-1197.7819523577373</v>
      </c>
      <c r="H606">
        <f>-668.388622377729 -41.4504746686948 -610.546864111578</f>
        <v>-1320.3859611580019</v>
      </c>
      <c r="I606">
        <f>-633.921764802936 -36.0423333287154 -685.964493075373</f>
        <v>-1355.9285912070243</v>
      </c>
      <c r="J606">
        <f>-672.359399686341 -14.0893165202085 -555.693297114179</f>
        <v>-1242.1420133207284</v>
      </c>
      <c r="K606" t="s">
        <v>6621</v>
      </c>
      <c r="L606" t="s">
        <v>6622</v>
      </c>
      <c r="M606" t="s">
        <v>6623</v>
      </c>
      <c r="N606">
        <f>-665.838585142684 -69.1225167881388 -555.764902982938</f>
        <v>-1290.7260049137608</v>
      </c>
      <c r="O606">
        <f>-653.409223329192 -202.847495895243 -526.413440555252</f>
        <v>-1382.6701597796869</v>
      </c>
      <c r="P606">
        <f>-689.132738545593 -260.299974844922 -240.032199250399</f>
        <v>-1189.464912640914</v>
      </c>
      <c r="Q606">
        <f>-505.547755179907 -129.291386487671 -324.791622542815</f>
        <v>-959.63076421039295</v>
      </c>
      <c r="R606" t="s">
        <v>6624</v>
      </c>
      <c r="S606" t="s">
        <v>6625</v>
      </c>
      <c r="T606" t="s">
        <v>6626</v>
      </c>
      <c r="U606" t="s">
        <v>6627</v>
      </c>
      <c r="V606">
        <f>-607.464682155289 -124.299340566644 -96.3943254146881</f>
        <v>-828.15834813662104</v>
      </c>
      <c r="W606" t="s">
        <v>6628</v>
      </c>
      <c r="X606" t="s">
        <v>6629</v>
      </c>
      <c r="Y606" t="s">
        <v>6630</v>
      </c>
    </row>
    <row r="607" spans="1:25" x14ac:dyDescent="0.3">
      <c r="A607">
        <v>30300</v>
      </c>
      <c r="B607" t="s">
        <v>6631</v>
      </c>
      <c r="C607">
        <f>-622.502275027402 -29.2358837707791 -97.8562121351217</f>
        <v>-749.5943709333028</v>
      </c>
      <c r="D607">
        <f>-649.845074637628 -36.4243656622114 -210.181258236157</f>
        <v>-896.45069853599637</v>
      </c>
      <c r="E607">
        <f>-661.762042879302 -39.5484435680253 -308.032687741397</f>
        <v>-1009.3431741887243</v>
      </c>
      <c r="F607">
        <f>-668.471268323083 -41.2769431495592 -396.859596788295</f>
        <v>-1106.6078082609372</v>
      </c>
      <c r="G607">
        <f>-670.750565862924 -41.8884739614089 -485.925136049401</f>
        <v>-1198.5641758737338</v>
      </c>
      <c r="H607">
        <f>-669.279175366851 -41.5961966203392 -610.49874866012</f>
        <v>-1321.3741206473101</v>
      </c>
      <c r="I607">
        <f>-634.550439606125 -36.2010576700752 -685.796920663121</f>
        <v>-1356.5484179393211</v>
      </c>
      <c r="J607">
        <f>-673.160420645061 -14.2051670511266 -555.653682245201</f>
        <v>-1243.0192699413888</v>
      </c>
      <c r="K607" t="s">
        <v>6632</v>
      </c>
      <c r="L607" t="s">
        <v>6633</v>
      </c>
      <c r="M607" t="s">
        <v>6634</v>
      </c>
      <c r="N607">
        <f>-666.692890033738 -69.2445339417479 -555.706414700446</f>
        <v>-1291.6438386759319</v>
      </c>
      <c r="O607">
        <f>-654.307912853669 -202.965724857702 -526.324536907055</f>
        <v>-1383.5981746184261</v>
      </c>
      <c r="P607">
        <f>-689.521107060996 -260.374619223074 -239.871288697213</f>
        <v>-1189.767014981283</v>
      </c>
      <c r="Q607">
        <f>-506.144372290081 -129.134436939401 -324.723290659823</f>
        <v>-960.0020998893051</v>
      </c>
      <c r="R607" t="s">
        <v>6635</v>
      </c>
      <c r="S607" t="s">
        <v>6636</v>
      </c>
      <c r="T607" t="s">
        <v>6637</v>
      </c>
      <c r="U607" t="s">
        <v>6638</v>
      </c>
      <c r="V607">
        <f>-607.934001934845 -124.321390051327 -96.3806257420649</f>
        <v>-828.63601772823699</v>
      </c>
      <c r="W607" t="s">
        <v>6639</v>
      </c>
      <c r="X607" t="s">
        <v>6640</v>
      </c>
      <c r="Y607" t="s">
        <v>6641</v>
      </c>
    </row>
    <row r="608" spans="1:25" x14ac:dyDescent="0.3">
      <c r="A608">
        <v>30350</v>
      </c>
      <c r="B608" t="s">
        <v>6642</v>
      </c>
      <c r="C608">
        <f>-622.744135249865 -29.1960239187717 -97.8442743939301</f>
        <v>-749.78443356256685</v>
      </c>
      <c r="D608">
        <f>-650.126872997025 -36.3891285179075 -210.159320516391</f>
        <v>-896.6753220313235</v>
      </c>
      <c r="E608">
        <f>-662.105085786695 -39.5230999354364 -308.002748129505</f>
        <v>-1009.6309338516364</v>
      </c>
      <c r="F608">
        <f>-668.880389902963 -41.2629429560773 -396.824627682184</f>
        <v>-1106.9679605412243</v>
      </c>
      <c r="G608">
        <f>-671.236606284449 -41.8884956333645 -485.887992171677</f>
        <v>-1199.0130940894906</v>
      </c>
      <c r="H608">
        <f>-669.88396670998 -41.6190759825834 -610.463006382038</f>
        <v>-1321.9660490746014</v>
      </c>
      <c r="I608">
        <f>-634.968895908372 -36.2297806050744 -685.675422145022</f>
        <v>-1356.8740986584685</v>
      </c>
      <c r="J608">
        <f>-673.699972454898 -14.216347620034 -555.619161198787</f>
        <v>-1243.5354812737189</v>
      </c>
      <c r="K608" t="s">
        <v>6643</v>
      </c>
      <c r="L608" t="s">
        <v>6644</v>
      </c>
      <c r="M608" t="s">
        <v>6645</v>
      </c>
      <c r="N608">
        <f>-667.258460205639 -69.258923314355 -555.668218188473</f>
        <v>-1292.1856017084669</v>
      </c>
      <c r="O608">
        <f>-654.892733576035 -202.982536770239 -526.285242050095</f>
        <v>-1384.1605123963691</v>
      </c>
      <c r="P608">
        <f>-689.733385158066 -260.265926903461 -239.761326615731</f>
        <v>-1189.7606386772579</v>
      </c>
      <c r="Q608">
        <f>-506.265640168307 -129.249101067574 -324.761705446168</f>
        <v>-960.27644668204903</v>
      </c>
      <c r="R608" t="s">
        <v>6646</v>
      </c>
      <c r="S608" t="s">
        <v>6647</v>
      </c>
      <c r="T608" t="s">
        <v>6648</v>
      </c>
      <c r="U608" t="s">
        <v>6649</v>
      </c>
      <c r="V608">
        <f>-608.189571768184 -124.316022820269 -96.3712156185786</f>
        <v>-828.87681020703167</v>
      </c>
      <c r="W608" t="s">
        <v>6650</v>
      </c>
      <c r="X608" t="s">
        <v>6651</v>
      </c>
      <c r="Y608" t="s">
        <v>6652</v>
      </c>
    </row>
    <row r="609" spans="1:25" x14ac:dyDescent="0.3">
      <c r="A609">
        <v>30400</v>
      </c>
      <c r="B609" t="s">
        <v>6653</v>
      </c>
      <c r="C609">
        <f>-623.239064589096 -28.8588115987436 -97.8270262950032</f>
        <v>-749.92490248284275</v>
      </c>
      <c r="D609">
        <f>-650.813897203781 -36.0463074602005 -210.095299466878</f>
        <v>-896.95550413085959</v>
      </c>
      <c r="E609">
        <f>-662.998997804518 -39.197997799886 -307.912738175068</f>
        <v>-1010.109733779472</v>
      </c>
      <c r="F609">
        <f>-669.977895031659 -40.9636803834278 -396.718320197769</f>
        <v>-1107.659895612856</v>
      </c>
      <c r="G609">
        <f>-672.553957737347 -41.6257687836473 -485.775432235984</f>
        <v>-1199.9551587569783</v>
      </c>
      <c r="H609">
        <f>-671.52511391008 -41.4193944816925 -610.353598875816</f>
        <v>-1323.2981072675884</v>
      </c>
      <c r="I609">
        <f>-636.19948181664 -36.0549705653088 -685.37583314676</f>
        <v>-1357.6302855287088</v>
      </c>
      <c r="J609">
        <f>-675.163740884031 -13.9850201520342 -555.513669765552</f>
        <v>-1244.6624308016171</v>
      </c>
      <c r="K609" t="s">
        <v>6654</v>
      </c>
      <c r="L609" t="s">
        <v>6655</v>
      </c>
      <c r="M609" t="s">
        <v>6656</v>
      </c>
      <c r="N609">
        <f>-668.791897456179 -69.0354970654306 -555.55215769235</f>
        <v>-1293.3795522139594</v>
      </c>
      <c r="O609">
        <f>-656.503099223591 -202.754758004353 -526.101477181869</f>
        <v>-1385.3593344098131</v>
      </c>
      <c r="P609">
        <f>-690.220372901318 -259.576750218953 -239.351338773353</f>
        <v>-1189.148461893624</v>
      </c>
      <c r="Q609">
        <f>-505.961236157542 -130.06592738339 -324.945447775026</f>
        <v>-960.97261131595792</v>
      </c>
      <c r="R609" t="s">
        <v>6657</v>
      </c>
      <c r="S609" t="s">
        <v>6658</v>
      </c>
      <c r="T609" t="s">
        <v>6659</v>
      </c>
      <c r="U609" t="s">
        <v>6660</v>
      </c>
      <c r="V609">
        <f>-608.680191288066 -123.971295203674 -96.3554623014119</f>
        <v>-829.00694879315188</v>
      </c>
      <c r="W609" t="s">
        <v>6661</v>
      </c>
      <c r="X609" t="s">
        <v>6662</v>
      </c>
      <c r="Y609" t="s">
        <v>6663</v>
      </c>
    </row>
    <row r="610" spans="1:25" x14ac:dyDescent="0.3">
      <c r="A610">
        <v>30450</v>
      </c>
      <c r="B610" t="s">
        <v>6664</v>
      </c>
      <c r="C610">
        <f>-623.50511880732 -28.7819680677503 -97.8095867661096</f>
        <v>-750.0966736411799</v>
      </c>
      <c r="D610">
        <f>-651.187983487037 -35.9608156305424 -210.051937001744</f>
        <v>-897.20073611932332</v>
      </c>
      <c r="E610">
        <f>-663.481930117907 -39.1046452382786 -307.855989764863</f>
        <v>-1010.4425651210487</v>
      </c>
      <c r="F610">
        <f>-670.565414222012 -40.8636520986076 -396.653315166705</f>
        <v>-1108.0823814873247</v>
      </c>
      <c r="G610">
        <f>-673.252004885877 -41.5204230803131 -485.707183618572</f>
        <v>-1200.4796115847621</v>
      </c>
      <c r="H610">
        <f>-672.38360876872 -41.3077915316144 -610.286616534537</f>
        <v>-1323.9780168348714</v>
      </c>
      <c r="I610">
        <f>-636.868759538265 -35.9510186693574 -685.219974438306</f>
        <v>-1358.0397526459283</v>
      </c>
      <c r="J610">
        <f>-675.925992848696 -13.873222146342 -555.440402839798</f>
        <v>-1245.2396178348358</v>
      </c>
      <c r="K610" t="s">
        <v>6665</v>
      </c>
      <c r="L610" t="s">
        <v>6666</v>
      </c>
      <c r="M610" t="s">
        <v>6667</v>
      </c>
      <c r="N610">
        <f>-669.605538094742 -68.9295600876951 -555.490269784612</f>
        <v>-1294.0253679670491</v>
      </c>
      <c r="O610">
        <f>-657.445634074773 -202.664395335071 -526.038126259963</f>
        <v>-1386.1481556698068</v>
      </c>
      <c r="P610">
        <f>-690.472061355145 -259.382734326238 -239.18722319266</f>
        <v>-1189.0420188740429</v>
      </c>
      <c r="Q610">
        <f>-505.909386136451 -130.609301475971 -325.238958755183</f>
        <v>-961.75764636760505</v>
      </c>
      <c r="R610" t="s">
        <v>6668</v>
      </c>
      <c r="S610" t="s">
        <v>6669</v>
      </c>
      <c r="T610" t="s">
        <v>6670</v>
      </c>
      <c r="U610" t="s">
        <v>6671</v>
      </c>
      <c r="V610">
        <f>-608.952896723995 -123.968767118679 -96.3453841076625</f>
        <v>-829.26704795033652</v>
      </c>
      <c r="W610" t="s">
        <v>6672</v>
      </c>
      <c r="X610" t="s">
        <v>6673</v>
      </c>
      <c r="Y610" t="s">
        <v>6674</v>
      </c>
    </row>
    <row r="611" spans="1:25" x14ac:dyDescent="0.3">
      <c r="A611">
        <v>30500</v>
      </c>
      <c r="B611" t="s">
        <v>6675</v>
      </c>
      <c r="C611">
        <f>-624.109810355045 -28.6655481389605 -97.7611817558629</f>
        <v>-750.53654024986849</v>
      </c>
      <c r="D611">
        <f>-651.99108495984 -35.808746477212 -209.956721916512</f>
        <v>-897.75655335356407</v>
      </c>
      <c r="E611">
        <f>-664.46461434541 -38.8987512249446 -307.739807864724</f>
        <v>-1011.1031734350786</v>
      </c>
      <c r="F611">
        <f>-671.71343083427 -40.6000222905138 -396.524946007115</f>
        <v>-1108.8383991318988</v>
      </c>
      <c r="G611">
        <f>-674.567845056828 -41.1917440787452 -485.573927376318</f>
        <v>-1201.333516511891</v>
      </c>
      <c r="H611">
        <f>-673.935933031696 -40.8815485055602 -610.154565212146</f>
        <v>-1324.9720467494021</v>
      </c>
      <c r="I611">
        <f>-638.161081103815 -35.5282391417425 -684.964479326887</f>
        <v>-1358.6537995724445</v>
      </c>
      <c r="J611">
        <f>-677.319972741746 -13.4836614097337 -555.280000053737</f>
        <v>-1246.0836342052166</v>
      </c>
      <c r="K611" t="s">
        <v>6676</v>
      </c>
      <c r="L611" t="s">
        <v>6677</v>
      </c>
      <c r="M611" t="s">
        <v>6678</v>
      </c>
      <c r="N611">
        <f>-671.108029670877 -68.5525030060957 -555.385638857363</f>
        <v>-1295.0461715343358</v>
      </c>
      <c r="O611">
        <f>-659.178443886686 -202.329787987294 -526.054045360445</f>
        <v>-1387.562277234425</v>
      </c>
      <c r="P611">
        <f>-691.342724251945 -259.215051961853 -239.138167873325</f>
        <v>-1189.6959440871231</v>
      </c>
      <c r="Q611">
        <f>-506.390490536145 -131.409814191657 -325.794695388656</f>
        <v>-963.5950001164581</v>
      </c>
      <c r="R611" t="s">
        <v>6679</v>
      </c>
      <c r="S611" t="s">
        <v>6680</v>
      </c>
      <c r="T611" t="s">
        <v>6681</v>
      </c>
      <c r="U611" t="s">
        <v>6682</v>
      </c>
      <c r="V611">
        <f>-609.575375307627 -123.934709326308 -96.3145068239762</f>
        <v>-829.82459145791131</v>
      </c>
      <c r="W611" t="s">
        <v>6683</v>
      </c>
      <c r="X611" t="s">
        <v>6684</v>
      </c>
      <c r="Y611" t="s">
        <v>6685</v>
      </c>
    </row>
    <row r="612" spans="1:25" x14ac:dyDescent="0.3">
      <c r="A612">
        <v>30550</v>
      </c>
      <c r="B612" t="s">
        <v>6686</v>
      </c>
      <c r="C612">
        <f>-624.477212085335 -28.6493153266729 -97.7522833608394</f>
        <v>-750.87881077284737</v>
      </c>
      <c r="D612">
        <f>-652.472953112694 -35.7610130958872 -209.921256177927</f>
        <v>-898.15522238650817</v>
      </c>
      <c r="E612">
        <f>-665.029387725299 -38.8055180539923 -307.695102911537</f>
        <v>-1011.5300086908283</v>
      </c>
      <c r="F612">
        <f>-672.346614951575 -40.4584996544102 -396.475608393115</f>
        <v>-1109.2807229991001</v>
      </c>
      <c r="G612">
        <f>-675.262397280048 -40.9955457182464 -485.523047076691</f>
        <v>-1201.7809900749853</v>
      </c>
      <c r="H612">
        <f>-674.708764955153 -40.6024305921796 -610.103706961952</f>
        <v>-1325.4149025092847</v>
      </c>
      <c r="I612">
        <f>-638.86315631609 -35.2371154577352 -684.878999144341</f>
        <v>-1358.9792709181661</v>
      </c>
      <c r="J612">
        <f>-678.033626836446 -13.2382301568089 -555.208639011585</f>
        <v>-1246.48049600484</v>
      </c>
      <c r="K612" t="s">
        <v>6687</v>
      </c>
      <c r="L612" t="s">
        <v>6688</v>
      </c>
      <c r="M612" t="s">
        <v>6689</v>
      </c>
      <c r="N612">
        <f>-671.871148199362 -68.3124263063844 -555.35518209442</f>
        <v>-1295.5387566001664</v>
      </c>
      <c r="O612">
        <f>-660.03876473612 -202.11433830543 -526.111226776749</f>
        <v>-1388.2643298182991</v>
      </c>
      <c r="P612">
        <f>-691.960554567407 -259.243974372088 -239.216794927649</f>
        <v>-1190.4213238671441</v>
      </c>
      <c r="Q612">
        <f>-506.836481590874 -131.785428753403 -326.016992078321</f>
        <v>-964.63890242259799</v>
      </c>
      <c r="R612" t="s">
        <v>6690</v>
      </c>
      <c r="S612" t="s">
        <v>6691</v>
      </c>
      <c r="T612" t="s">
        <v>6692</v>
      </c>
      <c r="U612" t="s">
        <v>6693</v>
      </c>
      <c r="V612">
        <f>-609.991260914596 -123.933502260406 -96.3125888762183</f>
        <v>-830.23735205122034</v>
      </c>
      <c r="W612" t="s">
        <v>6694</v>
      </c>
      <c r="X612" t="s">
        <v>6695</v>
      </c>
      <c r="Y612" t="s">
        <v>6696</v>
      </c>
    </row>
    <row r="613" spans="1:25" x14ac:dyDescent="0.3">
      <c r="A613">
        <v>30600</v>
      </c>
      <c r="B613" t="s">
        <v>6697</v>
      </c>
      <c r="C613">
        <f>-625.426265001716 -28.6990239705021 -97.7030625903004</f>
        <v>-751.82835156251861</v>
      </c>
      <c r="D613">
        <f>-653.572707805501 -35.7736818416804 -209.836578634372</f>
        <v>-899.18296828155337</v>
      </c>
      <c r="E613">
        <f>-666.23826179093 -38.7265939451097 -307.599196138719</f>
        <v>-1012.5640518747587</v>
      </c>
      <c r="F613">
        <f>-673.644920122982 -40.2735954034561 -396.374276638538</f>
        <v>-1110.2927921649759</v>
      </c>
      <c r="G613">
        <f>-676.640514217916 -40.6815976534936 -485.41963312223</f>
        <v>-1202.7417449936395</v>
      </c>
      <c r="H613">
        <f>-676.188027969324 -40.0850754410017 -610.000013792488</f>
        <v>-1326.2731172028136</v>
      </c>
      <c r="I613">
        <f>-640.246969936192 -34.673406592736 -684.726013099891</f>
        <v>-1359.6463896288192</v>
      </c>
      <c r="J613">
        <f>-679.43413603966 -12.8067692938746 -555.057583630925</f>
        <v>-1247.2984889644595</v>
      </c>
      <c r="K613" t="s">
        <v>6698</v>
      </c>
      <c r="L613" t="s">
        <v>6699</v>
      </c>
      <c r="M613" t="s">
        <v>6700</v>
      </c>
      <c r="N613">
        <f>-673.340192061396 -67.8883595726901 -555.299174181836</f>
        <v>-1296.5277258159222</v>
      </c>
      <c r="O613">
        <f>-661.661674922375 -201.751594690014 -526.277435033655</f>
        <v>-1389.6907046460442</v>
      </c>
      <c r="P613">
        <f>-692.977120925523 -259.531339215176 -239.446477990654</f>
        <v>-1191.9549381313529</v>
      </c>
      <c r="Q613">
        <f>-507.729172889251 -132.542786684825 -326.670096478582</f>
        <v>-966.94205605265802</v>
      </c>
      <c r="R613" t="s">
        <v>6701</v>
      </c>
      <c r="S613" t="s">
        <v>6702</v>
      </c>
      <c r="T613" t="s">
        <v>6703</v>
      </c>
      <c r="U613" t="s">
        <v>6704</v>
      </c>
      <c r="V613">
        <f>-610.987402271241 -124.080484524121 -96.3055936237326</f>
        <v>-831.37348041909468</v>
      </c>
      <c r="W613" t="s">
        <v>6705</v>
      </c>
      <c r="X613" t="s">
        <v>6706</v>
      </c>
      <c r="Y613" t="s">
        <v>6707</v>
      </c>
    </row>
    <row r="614" spans="1:25" x14ac:dyDescent="0.3">
      <c r="A614">
        <v>30650</v>
      </c>
      <c r="B614" t="s">
        <v>6708</v>
      </c>
      <c r="C614">
        <f>-625.957784240372 -28.7793648196034 -97.6834450514776</f>
        <v>-752.42059411145306</v>
      </c>
      <c r="D614">
        <f>-654.204839351227 -35.8344442534594 -209.792847155026</f>
        <v>-899.83213075971241</v>
      </c>
      <c r="E614">
        <f>-666.935453257371 -38.7438312039601 -307.548389153848</f>
        <v>-1013.2276736151791</v>
      </c>
      <c r="F614">
        <f>-674.392069161546 -40.2403492118535 -396.319901895702</f>
        <v>-1110.9523202691016</v>
      </c>
      <c r="G614">
        <f>-677.428521125165 -40.5869905387119 -485.364351210448</f>
        <v>-1203.379862874325</v>
      </c>
      <c r="H614">
        <f>-677.023355200596 -39.8930940485966 -609.944355881856</f>
        <v>-1326.8608051310487</v>
      </c>
      <c r="I614">
        <f>-641.042005864565 -34.4433958621421 -684.648255215572</f>
        <v>-1360.1336569422792</v>
      </c>
      <c r="J614">
        <f>-680.243673138716 -12.6572031066723 -554.979310109439</f>
        <v>-1247.8801863548274</v>
      </c>
      <c r="K614" t="s">
        <v>6709</v>
      </c>
      <c r="L614" t="s">
        <v>6710</v>
      </c>
      <c r="M614" t="s">
        <v>6711</v>
      </c>
      <c r="N614">
        <f>-674.159681378008 -67.7396858703772 -555.266349052271</f>
        <v>-1297.1657163006562</v>
      </c>
      <c r="O614">
        <f>-662.486405411731 -201.623895808174 -526.34227055581</f>
        <v>-1390.4525717757151</v>
      </c>
      <c r="P614">
        <f>-693.475763451912 -259.714381670531 -239.53845855424</f>
        <v>-1192.728603676683</v>
      </c>
      <c r="Q614">
        <f>-508.159448391551 -132.892973076502 -326.860207609976</f>
        <v>-967.912629078029</v>
      </c>
      <c r="R614" t="s">
        <v>6712</v>
      </c>
      <c r="S614" t="s">
        <v>6713</v>
      </c>
      <c r="T614" t="s">
        <v>6714</v>
      </c>
      <c r="U614" t="s">
        <v>6715</v>
      </c>
      <c r="V614">
        <f>-611.570393142352 -124.209729487524 -96.3019828513019</f>
        <v>-832.0821054811779</v>
      </c>
      <c r="W614" t="s">
        <v>6716</v>
      </c>
      <c r="X614" t="s">
        <v>6717</v>
      </c>
      <c r="Y614" t="s">
        <v>6718</v>
      </c>
    </row>
    <row r="615" spans="1:25" x14ac:dyDescent="0.3">
      <c r="A615">
        <v>30700</v>
      </c>
      <c r="B615" t="s">
        <v>6719</v>
      </c>
      <c r="C615">
        <f>-626.90035582426 -29.0205709835473 -97.6195737508789</f>
        <v>-753.54050055868618</v>
      </c>
      <c r="D615">
        <f>-655.323669252722 -36.0811373878337 -209.68431811882</f>
        <v>-901.08912475937564</v>
      </c>
      <c r="E615">
        <f>-668.164834483919 -38.9378207870213 -307.426898391737</f>
        <v>-1014.5295536626772</v>
      </c>
      <c r="F615">
        <f>-675.704274027347 -40.3629132345545 -396.192617841809</f>
        <v>-1112.2598051037105</v>
      </c>
      <c r="G615">
        <f>-678.806105423845 -40.6140004887882 -485.235038243172</f>
        <v>-1204.6551441558051</v>
      </c>
      <c r="H615">
        <f>-678.473798782136 -39.7612984196126 -609.814174564405</f>
        <v>-1328.0492717661537</v>
      </c>
      <c r="I615">
        <f>-642.409548385846 -34.1961534206503 -684.469662724795</f>
        <v>-1361.0753645312911</v>
      </c>
      <c r="J615">
        <f>-681.672073527242 -12.5965933061384 -554.812606515369</f>
        <v>-1249.0812733487494</v>
      </c>
      <c r="K615" t="s">
        <v>6720</v>
      </c>
      <c r="L615" t="s">
        <v>6721</v>
      </c>
      <c r="M615" t="s">
        <v>6722</v>
      </c>
      <c r="N615">
        <f>-675.56791174898 -67.6763564626988 -555.173480973287</f>
        <v>-1298.4177491849659</v>
      </c>
      <c r="O615">
        <f>-663.828864302825 -201.595598195451 -526.421410389864</f>
        <v>-1391.8458728881401</v>
      </c>
      <c r="P615">
        <f>-694.216386810312 -260.288227970878 -239.67597752584</f>
        <v>-1194.1805923070299</v>
      </c>
      <c r="Q615">
        <f>-508.910943907433 -133.584627886329 -327.191548925088</f>
        <v>-969.68712071885</v>
      </c>
      <c r="R615" t="s">
        <v>6723</v>
      </c>
      <c r="S615" t="s">
        <v>6724</v>
      </c>
      <c r="T615" t="s">
        <v>6725</v>
      </c>
      <c r="U615" t="s">
        <v>6726</v>
      </c>
      <c r="V615">
        <f>-612.550491026386 -124.504960097443 -96.2701808819101</f>
        <v>-833.32563200573907</v>
      </c>
      <c r="W615" t="s">
        <v>6727</v>
      </c>
      <c r="X615" t="s">
        <v>6728</v>
      </c>
      <c r="Y615" t="s">
        <v>6729</v>
      </c>
    </row>
    <row r="616" spans="1:25" x14ac:dyDescent="0.3">
      <c r="A616">
        <v>30750</v>
      </c>
      <c r="B616" t="s">
        <v>6730</v>
      </c>
      <c r="C616">
        <f>-627.288951709305 -29.2190862772534 -97.5794618949842</f>
        <v>-754.08749988154261</v>
      </c>
      <c r="D616">
        <f>-655.783771056844 -36.2900577235923 -209.625264655217</f>
        <v>-901.69909343565337</v>
      </c>
      <c r="E616">
        <f>-668.673224119287 -39.1206645562509 -307.362273515244</f>
        <v>-1015.156162190782</v>
      </c>
      <c r="F616">
        <f>-676.250803055239 -40.5077310479905 -396.125389317023</f>
        <v>-1112.8839234202526</v>
      </c>
      <c r="G616">
        <f>-679.385226494171 -40.7059153237692 -485.166862719647</f>
        <v>-1205.2580045375871</v>
      </c>
      <c r="H616">
        <f>-679.092491964821 -39.7630601512151 -609.745350955478</f>
        <v>-1328.600903071514</v>
      </c>
      <c r="I616">
        <f>-642.993678766388 -34.1110220174223 -684.377654767581</f>
        <v>-1361.4823555513913</v>
      </c>
      <c r="J616">
        <f>-682.289344994444 -12.640002138666 -554.723266901623</f>
        <v>-1249.652614034733</v>
      </c>
      <c r="K616" t="s">
        <v>6731</v>
      </c>
      <c r="L616" t="s">
        <v>6732</v>
      </c>
      <c r="M616" t="s">
        <v>6733</v>
      </c>
      <c r="N616">
        <f>-676.153310050386 -67.7159045521406 -555.125669118693</f>
        <v>-1298.9948837212196</v>
      </c>
      <c r="O616">
        <f>-664.361884029518 -201.647790570787 -526.454171307453</f>
        <v>-1392.463845907758</v>
      </c>
      <c r="P616">
        <f>-694.45211019369 -260.633750450468 -239.737501741767</f>
        <v>-1194.8233623859251</v>
      </c>
      <c r="Q616">
        <f>-509.21501766515 -133.880253615061 -327.325578138123</f>
        <v>-970.420849418334</v>
      </c>
      <c r="R616" t="s">
        <v>6734</v>
      </c>
      <c r="S616" t="s">
        <v>6735</v>
      </c>
      <c r="T616" t="s">
        <v>6736</v>
      </c>
      <c r="U616" t="s">
        <v>6737</v>
      </c>
      <c r="V616">
        <f>-612.95624041452 -124.732332739252 -96.2417774619564</f>
        <v>-833.93035061572846</v>
      </c>
      <c r="W616" t="s">
        <v>6738</v>
      </c>
      <c r="X616" t="s">
        <v>6739</v>
      </c>
      <c r="Y616" t="s">
        <v>6740</v>
      </c>
    </row>
    <row r="617" spans="1:25" x14ac:dyDescent="0.3">
      <c r="A617">
        <v>30800</v>
      </c>
      <c r="B617" t="s">
        <v>6741</v>
      </c>
      <c r="C617">
        <f>-627.942047185267 -29.4285544156135 -97.5299014750389</f>
        <v>-754.90050307591935</v>
      </c>
      <c r="D617">
        <f>-656.597078298481 -36.5130826809716 -209.534098188658</f>
        <v>-902.64425916811069</v>
      </c>
      <c r="E617">
        <f>-669.595790612083 -39.3039428964059 -307.257629801369</f>
        <v>-1016.1573633098578</v>
      </c>
      <c r="F617">
        <f>-677.260584310734 -40.63304016756 -396.014226013354</f>
        <v>-1113.9078504916479</v>
      </c>
      <c r="G617">
        <f>-680.470589438215 -40.7492666361557 -485.053104276797</f>
        <v>-1206.2729603511677</v>
      </c>
      <c r="H617">
        <f>-680.271531068843 -39.6656607161356 -609.630777822455</f>
        <v>-1329.5679696074335</v>
      </c>
      <c r="I617">
        <f>-644.103274300742 -33.8021301643907 -684.212879473584</f>
        <v>-1362.1182839387168</v>
      </c>
      <c r="J617">
        <f>-683.485877345801 -12.6114308836854 -554.575734792485</f>
        <v>-1250.6730430219714</v>
      </c>
      <c r="K617" t="s">
        <v>6742</v>
      </c>
      <c r="L617" t="s">
        <v>6743</v>
      </c>
      <c r="M617" t="s">
        <v>6744</v>
      </c>
      <c r="N617">
        <f>-677.232453703158 -67.6736051830079 -555.044764205211</f>
        <v>-1299.9508230913768</v>
      </c>
      <c r="O617">
        <f>-665.165341811068 -201.602582469866 -526.473628970358</f>
        <v>-1393.2415532512919</v>
      </c>
      <c r="P617">
        <f>-694.720363316472 -261.007085638842 -239.787802369099</f>
        <v>-1195.5152513244129</v>
      </c>
      <c r="Q617">
        <f>-509.678247503011 -134.066755707052 -327.517067484435</f>
        <v>-971.26207069449811</v>
      </c>
      <c r="R617" t="s">
        <v>6745</v>
      </c>
      <c r="S617" t="s">
        <v>6746</v>
      </c>
      <c r="T617" t="s">
        <v>6747</v>
      </c>
      <c r="U617" t="s">
        <v>6748</v>
      </c>
      <c r="V617">
        <f>-613.593176658377 -124.882115026259 -96.210855386626</f>
        <v>-834.6861470712621</v>
      </c>
      <c r="W617" t="s">
        <v>6749</v>
      </c>
      <c r="X617" t="s">
        <v>6750</v>
      </c>
      <c r="Y617" t="s">
        <v>6751</v>
      </c>
    </row>
    <row r="618" spans="1:25" x14ac:dyDescent="0.3">
      <c r="A618">
        <v>30850</v>
      </c>
      <c r="B618" t="s">
        <v>6752</v>
      </c>
      <c r="C618">
        <f>-628.250645213685 -29.5899766626192 -97.5096183787226</f>
        <v>-755.35024025502673</v>
      </c>
      <c r="D618">
        <f>-656.96521173507 -36.6827666614636 -209.497909891194</f>
        <v>-903.14588828772764</v>
      </c>
      <c r="E618">
        <f>-670.008660967106 -39.4527550817677 -307.216233652233</f>
        <v>-1016.6776497011067</v>
      </c>
      <c r="F618">
        <f>-677.711175126076 -40.751032764774 -395.969942749957</f>
        <v>-1114.4321506408069</v>
      </c>
      <c r="G618">
        <f>-680.956438840379 -40.8232142626921 -485.007564595469</f>
        <v>-1206.78721769854</v>
      </c>
      <c r="H618">
        <f>-680.803955191757 -39.6637395028674 -609.584729743779</f>
        <v>-1330.0524244384035</v>
      </c>
      <c r="I618">
        <f>-644.616663477583 -33.6755117113498 -684.147692781236</f>
        <v>-1362.4398679701687</v>
      </c>
      <c r="J618">
        <f>-684.036455593886 -12.6474460854408 -554.512120520222</f>
        <v>-1251.1960221995487</v>
      </c>
      <c r="K618" t="s">
        <v>6753</v>
      </c>
      <c r="L618" t="s">
        <v>6754</v>
      </c>
      <c r="M618" t="s">
        <v>6755</v>
      </c>
      <c r="N618">
        <f>-677.705587216329 -67.7004751596754 -555.016701668572</f>
        <v>-1300.4227640445765</v>
      </c>
      <c r="O618">
        <f>-665.488025339311 -201.622451527737 -526.483128081908</f>
        <v>-1393.593604948956</v>
      </c>
      <c r="P618">
        <f>-694.704975638779 -261.223934582742 -239.803450544932</f>
        <v>-1195.732360766453</v>
      </c>
      <c r="Q618">
        <f>-509.724612162853 -134.260321341952 -327.629115566918</f>
        <v>-971.614049071723</v>
      </c>
      <c r="R618" t="s">
        <v>6756</v>
      </c>
      <c r="S618" t="s">
        <v>6757</v>
      </c>
      <c r="T618" t="s">
        <v>6758</v>
      </c>
      <c r="U618" t="s">
        <v>6759</v>
      </c>
      <c r="V618">
        <f>-613.833490219817 -125.111127717878 -96.2003496927254</f>
        <v>-835.14496763042041</v>
      </c>
      <c r="W618" t="s">
        <v>6760</v>
      </c>
      <c r="X618" t="s">
        <v>6761</v>
      </c>
      <c r="Y618" t="s">
        <v>6762</v>
      </c>
    </row>
    <row r="619" spans="1:25" x14ac:dyDescent="0.3">
      <c r="A619">
        <v>30900</v>
      </c>
      <c r="B619" t="s">
        <v>6763</v>
      </c>
      <c r="C619">
        <f>-628.75689618849 -29.9745220695022 -97.4654968406678</f>
        <v>-756.19691509866004</v>
      </c>
      <c r="D619">
        <f>-657.597973822305 -37.1112121176714 -209.418544931896</f>
        <v>-904.12773087187236</v>
      </c>
      <c r="E619">
        <f>-670.725304037393 -39.8732532840043 -307.125823374611</f>
        <v>-1017.7243806960082</v>
      </c>
      <c r="F619">
        <f>-678.493501616349 -41.144523126804 -395.874109035842</f>
        <v>-1115.5121337789951</v>
      </c>
      <c r="G619">
        <f>-681.794671184406 -41.1677377565672 -484.909750969945</f>
        <v>-1207.8721599109181</v>
      </c>
      <c r="H619">
        <f>-681.710101111365 -39.9152563105204 -609.486080461065</f>
        <v>-1331.1114378829502</v>
      </c>
      <c r="I619">
        <f>-645.517866259906 -33.701265976589 -684.02809209328</f>
        <v>-1363.2472243297748</v>
      </c>
      <c r="J619">
        <f>-685.005902147744 -12.950973209415 -554.391662495943</f>
        <v>-1252.348537853102</v>
      </c>
      <c r="K619" t="s">
        <v>6764</v>
      </c>
      <c r="L619" t="s">
        <v>6765</v>
      </c>
      <c r="M619" t="s">
        <v>6766</v>
      </c>
      <c r="N619">
        <f>-678.48872618277 -67.9818402003579 -554.940559972182</f>
        <v>-1301.41112635531</v>
      </c>
      <c r="O619">
        <f>-665.826370495869 -201.876845244109 -526.474014375751</f>
        <v>-1394.1772301157291</v>
      </c>
      <c r="P619">
        <f>-694.452763004919 -261.879904912335 -239.818486767114</f>
        <v>-1196.1511546843681</v>
      </c>
      <c r="Q619">
        <f>-509.685422550053 -134.72474531255 -327.815370276284</f>
        <v>-972.22553813888703</v>
      </c>
      <c r="R619" t="s">
        <v>6767</v>
      </c>
      <c r="S619" t="s">
        <v>6768</v>
      </c>
      <c r="T619" t="s">
        <v>6769</v>
      </c>
      <c r="U619" t="s">
        <v>6770</v>
      </c>
      <c r="V619">
        <f>-614.248746861381 -125.541625871207 -96.1750858236824</f>
        <v>-835.96545855627039</v>
      </c>
      <c r="W619" t="s">
        <v>6771</v>
      </c>
      <c r="X619" t="s">
        <v>6772</v>
      </c>
      <c r="Y619" t="s">
        <v>6773</v>
      </c>
    </row>
    <row r="620" spans="1:25" x14ac:dyDescent="0.3">
      <c r="A620">
        <v>30950</v>
      </c>
      <c r="B620" t="s">
        <v>6774</v>
      </c>
      <c r="C620">
        <f>-628.967427773989 -30.2023496450595 -97.4440258899917</f>
        <v>-756.61380330904024</v>
      </c>
      <c r="D620">
        <f>-657.858411426554 -37.3893679781909 -209.381028132664</f>
        <v>-904.62880753740887</v>
      </c>
      <c r="E620">
        <f>-671.01274291386 -40.1552059886412 -307.084460227979</f>
        <v>-1018.2524091304803</v>
      </c>
      <c r="F620">
        <f>-678.798789883229 -41.4137755617803 -395.831454779594</f>
        <v>-1116.0440202246034</v>
      </c>
      <c r="G620">
        <f>-682.111275903343 -41.4072137102526 -484.866695111477</f>
        <v>-1208.3851847250726</v>
      </c>
      <c r="H620">
        <f>-682.035703023236 -40.0942155797131 -609.442354846817</f>
        <v>-1331.5722734497663</v>
      </c>
      <c r="I620">
        <f>-645.845023360555 -33.7547700655662 -683.974667934187</f>
        <v>-1363.5744613603083</v>
      </c>
      <c r="J620">
        <f>-685.3810568444 -13.1631221440134 -554.334887571878</f>
        <v>-1252.8790665602914</v>
      </c>
      <c r="K620" t="s">
        <v>6775</v>
      </c>
      <c r="L620" t="s">
        <v>6776</v>
      </c>
      <c r="M620" t="s">
        <v>6777</v>
      </c>
      <c r="N620">
        <f>-678.756859386791 -68.1809010789541 -554.91056984832</f>
        <v>-1301.8483303140652</v>
      </c>
      <c r="O620">
        <f>-665.850835623826 -202.060674706598 -526.473681248132</f>
        <v>-1394.385191578556</v>
      </c>
      <c r="P620">
        <f>-694.211824963071 -262.328513081477 -239.847354782017</f>
        <v>-1196.3876928265649</v>
      </c>
      <c r="Q620">
        <f>-509.563037873501 -135.012419018429 -327.860641145717</f>
        <v>-972.43609803764707</v>
      </c>
      <c r="R620" t="s">
        <v>6778</v>
      </c>
      <c r="S620" t="s">
        <v>6779</v>
      </c>
      <c r="T620" t="s">
        <v>6780</v>
      </c>
      <c r="U620" t="s">
        <v>6781</v>
      </c>
      <c r="V620">
        <f>-614.35846573757 -125.753558952895 -96.1583197162377</f>
        <v>-836.27034440670263</v>
      </c>
      <c r="W620" t="s">
        <v>6782</v>
      </c>
      <c r="X620" t="s">
        <v>6783</v>
      </c>
      <c r="Y620" t="s">
        <v>6784</v>
      </c>
    </row>
    <row r="621" spans="1:25" x14ac:dyDescent="0.3">
      <c r="A621">
        <v>31000</v>
      </c>
      <c r="B621" t="s">
        <v>6785</v>
      </c>
      <c r="C621">
        <f>-629.345916453075 -30.4946201245002 -97.4386327816086</f>
        <v>-757.27916935918381</v>
      </c>
      <c r="D621">
        <f>-658.314267740588 -37.8017478384468 -209.347701410704</f>
        <v>-905.46371698973871</v>
      </c>
      <c r="E621">
        <f>-671.516296502113 -40.5986365046551 -307.043943764758</f>
        <v>-1019.1588767715261</v>
      </c>
      <c r="F621">
        <f>-679.337704096417 -41.8559821206306 -395.787899890575</f>
        <v>-1116.9815861076227</v>
      </c>
      <c r="G621">
        <f>-682.678077070821 -41.8155306921844 -484.822015653228</f>
        <v>-1209.3156234162334</v>
      </c>
      <c r="H621">
        <f>-682.633783754975 -40.4198553620072 -609.396768018571</f>
        <v>-1332.4504071355532</v>
      </c>
      <c r="I621">
        <f>-646.453467370676 -33.7921005617595 -683.909121760643</f>
        <v>-1364.1546896930786</v>
      </c>
      <c r="J621">
        <f>-686.097727153602 -13.5416560692724 -554.270792282981</f>
        <v>-1253.9101755058555</v>
      </c>
      <c r="K621" t="s">
        <v>6786</v>
      </c>
      <c r="L621" t="s">
        <v>6787</v>
      </c>
      <c r="M621" t="s">
        <v>6788</v>
      </c>
      <c r="N621">
        <f>-679.208789055694 -68.5265449371565 -554.884385477172</f>
        <v>-1302.6197194700226</v>
      </c>
      <c r="O621">
        <f>-665.653921968386 -202.350906247727 -526.511963772076</f>
        <v>-1394.5167919881892</v>
      </c>
      <c r="P621">
        <f>-693.8303219514 -262.738139668126 -239.892593691622</f>
        <v>-1196.4610553111481</v>
      </c>
      <c r="Q621">
        <f>-509.145613016754 -135.485026214696 -327.921481308634</f>
        <v>-972.55212054008393</v>
      </c>
      <c r="R621" t="s">
        <v>6789</v>
      </c>
      <c r="S621" t="s">
        <v>6790</v>
      </c>
      <c r="T621" t="s">
        <v>6791</v>
      </c>
      <c r="U621" t="s">
        <v>6792</v>
      </c>
      <c r="V621">
        <f>-614.475757205323 -125.98992312105 -96.1400816811313</f>
        <v>-836.60576200750427</v>
      </c>
      <c r="W621" t="s">
        <v>6793</v>
      </c>
      <c r="X621" t="s">
        <v>6794</v>
      </c>
      <c r="Y621" t="s">
        <v>6795</v>
      </c>
    </row>
    <row r="622" spans="1:25" x14ac:dyDescent="0.3">
      <c r="A622">
        <v>31050</v>
      </c>
      <c r="B622" t="s">
        <v>6796</v>
      </c>
      <c r="C622">
        <f>-629.520395277801 -30.6770776396502 -97.4318083935683</f>
        <v>-757.62928131101944</v>
      </c>
      <c r="D622">
        <f>-658.510067241329 -38.0731682799965 -209.329590834612</f>
        <v>-905.91282635593745</v>
      </c>
      <c r="E622">
        <f>-671.74075227211 -40.9142125858612 -307.020577220815</f>
        <v>-1019.6755420787861</v>
      </c>
      <c r="F622">
        <f>-679.592086265459 -42.1986472452202 -395.761482347963</f>
        <v>-1117.5522158586423</v>
      </c>
      <c r="G622">
        <f>-682.966809921473 -42.1709578795201 -484.79433062483</f>
        <v>-1209.9320984258231</v>
      </c>
      <c r="H622">
        <f>-682.975142666973 -40.7768680238125 -609.369160298718</f>
        <v>-1333.1211709895038</v>
      </c>
      <c r="I622">
        <f>-646.804129381398 -33.9809888465154 -683.870875877805</f>
        <v>-1364.6559941057185</v>
      </c>
      <c r="J622">
        <f>-686.498983302401 -13.9085188613567 -554.242195134491</f>
        <v>-1254.6496972982486</v>
      </c>
      <c r="K622" t="s">
        <v>6797</v>
      </c>
      <c r="L622" t="s">
        <v>6798</v>
      </c>
      <c r="M622" t="s">
        <v>6799</v>
      </c>
      <c r="N622">
        <f>-679.443919438965 -68.8722494244444 -554.857711174025</f>
        <v>-1303.1738800374344</v>
      </c>
      <c r="O622">
        <f>-665.447676045164 -202.653853516483 -526.490271020577</f>
        <v>-1394.5918005822241</v>
      </c>
      <c r="P622">
        <f>-693.556889585571 -263.129658813537 -239.882937938436</f>
        <v>-1196.569486337544</v>
      </c>
      <c r="Q622">
        <f>-508.921935817398 -135.841986165426 -327.966034355468</f>
        <v>-972.72995633829191</v>
      </c>
      <c r="R622" t="s">
        <v>6800</v>
      </c>
      <c r="S622" t="s">
        <v>6801</v>
      </c>
      <c r="T622" t="s">
        <v>6802</v>
      </c>
      <c r="U622" t="s">
        <v>6803</v>
      </c>
      <c r="V622">
        <f>-614.443009473137 -126.171448191344 -96.1221938919911</f>
        <v>-836.736651556472</v>
      </c>
      <c r="W622" t="s">
        <v>6804</v>
      </c>
      <c r="X622" t="s">
        <v>6805</v>
      </c>
      <c r="Y622" t="s">
        <v>6806</v>
      </c>
    </row>
    <row r="623" spans="1:25" x14ac:dyDescent="0.3">
      <c r="A623">
        <v>31100</v>
      </c>
      <c r="B623" t="s">
        <v>6807</v>
      </c>
      <c r="C623">
        <f>-629.899256236338 -31.0186526777986 -97.4252597343009</f>
        <v>-758.34316864843754</v>
      </c>
      <c r="D623">
        <f>-658.932047473221 -38.6249585624944 -209.297832126787</f>
        <v>-906.85483816250235</v>
      </c>
      <c r="E623">
        <f>-672.229001437929 -41.5751084293072 -306.976508535045</f>
        <v>-1020.7806184022812</v>
      </c>
      <c r="F623">
        <f>-680.152246281064 -42.9295880438162 -395.71013643788</f>
        <v>-1118.7919707627602</v>
      </c>
      <c r="G623">
        <f>-683.61120631981 -42.9390842076214 -484.739744411623</f>
        <v>-1211.2900349390543</v>
      </c>
      <c r="H623">
        <f>-683.750689909874 -41.5608695606886 -609.314613228454</f>
        <v>-1334.6261726990167</v>
      </c>
      <c r="I623">
        <f>-647.614186757189 -34.3636017076135 -683.795353880937</f>
        <v>-1365.7731423457394</v>
      </c>
      <c r="J623">
        <f>-687.427392310978 -14.7133577912002 -554.187418341681</f>
        <v>-1256.3281684438593</v>
      </c>
      <c r="K623" t="s">
        <v>6808</v>
      </c>
      <c r="L623" t="s">
        <v>6809</v>
      </c>
      <c r="M623" t="s">
        <v>6810</v>
      </c>
      <c r="N623">
        <f>-679.951245662761 -69.6213784979383 -554.803246688811</f>
        <v>-1304.3758708495102</v>
      </c>
      <c r="O623">
        <f>-664.843803357165 -203.280940877891 -526.443525344697</f>
        <v>-1394.5682695797532</v>
      </c>
      <c r="P623">
        <f>-692.38132988522 -264.130785130728 -239.85986632948</f>
        <v>-1196.3719813454279</v>
      </c>
      <c r="Q623">
        <f>-508.288359152899 -136.097169983058 -327.9963608716</f>
        <v>-972.38189000755699</v>
      </c>
      <c r="R623" t="s">
        <v>6811</v>
      </c>
      <c r="S623" t="s">
        <v>6812</v>
      </c>
      <c r="T623" t="s">
        <v>6813</v>
      </c>
      <c r="U623" t="s">
        <v>6814</v>
      </c>
      <c r="V623">
        <f>-614.332719377533 -126.447119929369 -96.1069165582035</f>
        <v>-836.88675586510544</v>
      </c>
      <c r="W623" t="s">
        <v>6815</v>
      </c>
      <c r="X623" t="s">
        <v>6816</v>
      </c>
      <c r="Y623" t="s">
        <v>6817</v>
      </c>
    </row>
    <row r="624" spans="1:25" x14ac:dyDescent="0.3">
      <c r="A624">
        <v>31150</v>
      </c>
      <c r="B624" t="s">
        <v>6818</v>
      </c>
      <c r="C624">
        <f>-630.159642137524 -31.2632735679213 -97.4530750562673</f>
        <v>-758.8759907617125</v>
      </c>
      <c r="D624">
        <f>-659.237437316004 -38.9954912540354 -209.305361926135</f>
        <v>-907.53829049617445</v>
      </c>
      <c r="E624">
        <f>-672.582188716943 -42.0091442576447 -306.9755641319</f>
        <v>-1021.5668971064878</v>
      </c>
      <c r="F624">
        <f>-680.552042682137 -43.403789047832 -395.70426143384</f>
        <v>-1119.6600931638091</v>
      </c>
      <c r="G624">
        <f>-684.061542925642 -43.4335460340837 -484.731975339601</f>
        <v>-1212.2270642993267</v>
      </c>
      <c r="H624">
        <f>-684.27590754649 -42.061383272026 -609.306767873183</f>
        <v>-1335.644058691699</v>
      </c>
      <c r="I624">
        <f>-648.161781452431 -34.6405333852747 -683.776423377155</f>
        <v>-1366.5787382148606</v>
      </c>
      <c r="J624">
        <f>-688.047430302515 -15.2289357117115 -554.17870214417</f>
        <v>-1257.4550681583964</v>
      </c>
      <c r="K624" t="s">
        <v>6819</v>
      </c>
      <c r="L624" t="s">
        <v>6820</v>
      </c>
      <c r="M624" t="s">
        <v>6821</v>
      </c>
      <c r="N624">
        <f>-680.315756899485 -70.1015252324121 -554.796382407796</f>
        <v>-1305.2136645396931</v>
      </c>
      <c r="O624">
        <f>-664.539566754337 -203.682126894286 -526.4384975942</f>
        <v>-1394.660191242823</v>
      </c>
      <c r="P624">
        <f>-691.674917372657 -264.701722248125 -239.852529487519</f>
        <v>-1196.229169108301</v>
      </c>
      <c r="Q624">
        <f>-507.897212947366 -136.226172076553 -328.003946916212</f>
        <v>-972.12733194013094</v>
      </c>
      <c r="R624" t="s">
        <v>6822</v>
      </c>
      <c r="S624" t="s">
        <v>6823</v>
      </c>
      <c r="T624" t="s">
        <v>6824</v>
      </c>
      <c r="U624" t="s">
        <v>6825</v>
      </c>
      <c r="V624">
        <f>-614.317213066633 -126.688402739942 -96.1106095469803</f>
        <v>-837.11622535355536</v>
      </c>
      <c r="W624" t="s">
        <v>6826</v>
      </c>
      <c r="X624" t="s">
        <v>6827</v>
      </c>
      <c r="Y624" t="s">
        <v>6828</v>
      </c>
    </row>
    <row r="625" spans="1:25" x14ac:dyDescent="0.3">
      <c r="A625">
        <v>31200</v>
      </c>
      <c r="B625" t="s">
        <v>6829</v>
      </c>
      <c r="C625">
        <f>-630.921848671582 -31.9590698005995 -97.5044515994867</f>
        <v>-760.38537007166826</v>
      </c>
      <c r="D625">
        <f>-660.097437818794 -40.0184819126907 -209.308007423474</f>
        <v>-909.42392715495873</v>
      </c>
      <c r="E625">
        <f>-673.526931601262 -43.1673140352131 -306.962540550433</f>
        <v>-1023.6567861869081</v>
      </c>
      <c r="F625">
        <f>-681.572645677081 -44.6289821103005 -395.683285490939</f>
        <v>-1121.8849132783205</v>
      </c>
      <c r="G625">
        <f>-685.157661359631 -44.6651903148618 -484.707836668069</f>
        <v>-1214.5306883425617</v>
      </c>
      <c r="H625">
        <f>-685.477017746188 -43.2374368929436 -609.281905974803</f>
        <v>-1337.9963606139345</v>
      </c>
      <c r="I625">
        <f>-649.43016812812 -35.3081178161524 -683.731689143112</f>
        <v>-1368.4699750873845</v>
      </c>
      <c r="J625">
        <f>-689.505904254653 -16.4740587626188 -554.138396115734</f>
        <v>-1260.1183591330059</v>
      </c>
      <c r="K625" t="s">
        <v>6830</v>
      </c>
      <c r="L625" t="s">
        <v>6831</v>
      </c>
      <c r="M625" t="s">
        <v>6832</v>
      </c>
      <c r="N625">
        <f>-681.167086043048 -71.2574529994713 -554.787655115741</f>
        <v>-1307.2121941582604</v>
      </c>
      <c r="O625">
        <f>-663.849778039453 -204.66641425558 -526.489887982063</f>
        <v>-1395.0060802770959</v>
      </c>
      <c r="P625">
        <f>-690.479144988546 -265.845875187583 -239.890451129299</f>
        <v>-1196.2154713054279</v>
      </c>
      <c r="Q625">
        <f>-507.322936617825 -136.560935354816 -328.151951055647</f>
        <v>-972.03582302828795</v>
      </c>
      <c r="R625" t="s">
        <v>6833</v>
      </c>
      <c r="S625" t="s">
        <v>6834</v>
      </c>
      <c r="T625" t="s">
        <v>6835</v>
      </c>
      <c r="U625" t="s">
        <v>6836</v>
      </c>
      <c r="V625">
        <f>-614.250585725335 -127.46674190462 -96.1489793067274</f>
        <v>-837.86630693668235</v>
      </c>
      <c r="W625" t="s">
        <v>6837</v>
      </c>
      <c r="X625" t="s">
        <v>6838</v>
      </c>
      <c r="Y625" t="s">
        <v>6839</v>
      </c>
    </row>
    <row r="626" spans="1:25" x14ac:dyDescent="0.3">
      <c r="A626">
        <v>31250</v>
      </c>
      <c r="B626" t="s">
        <v>6840</v>
      </c>
      <c r="C626">
        <f>-631.369958832112 -32.2717379768851 -97.5314381460556</f>
        <v>-761.17313495505277</v>
      </c>
      <c r="D626">
        <f>-660.639050843624 -40.5484782995529 -209.294837457263</f>
        <v>-910.48236660043995</v>
      </c>
      <c r="E626">
        <f>-674.119545825984 -43.7570741010373 -306.940264816907</f>
        <v>-1024.8168847439283</v>
      </c>
      <c r="F626">
        <f>-682.197897436321 -45.2252608182323 -395.657877469209</f>
        <v>-1123.0810357237624</v>
      </c>
      <c r="G626">
        <f>-685.802190746289 -45.2176137601889 -484.681726011561</f>
        <v>-1215.7015305180389</v>
      </c>
      <c r="H626">
        <f>-686.134189147919 -43.6762546961313 -609.254461504635</f>
        <v>-1339.0649053486852</v>
      </c>
      <c r="I626">
        <f>-650.123536145226 -35.4230286233528 -683.686573107483</f>
        <v>-1369.2331378760618</v>
      </c>
      <c r="J626">
        <f>-690.338745284735 -16.9912893167236 -554.085915903783</f>
        <v>-1261.4159505052417</v>
      </c>
      <c r="K626" t="s">
        <v>6841</v>
      </c>
      <c r="L626" t="s">
        <v>6842</v>
      </c>
      <c r="M626" t="s">
        <v>6843</v>
      </c>
      <c r="N626">
        <f>-681.637440331344 -71.7176300613306 -554.786376963299</f>
        <v>-1308.1414473559735</v>
      </c>
      <c r="O626">
        <f>-663.449097357687 -205.031636765339 -526.588685819924</f>
        <v>-1395.0694199429499</v>
      </c>
      <c r="P626">
        <f>-689.984704734801 -266.21546168834 -239.981544501279</f>
        <v>-1196.1817109244198</v>
      </c>
      <c r="Q626">
        <f>-507.170846291633 -136.46713627882 -328.272572883235</f>
        <v>-971.91055545368795</v>
      </c>
      <c r="R626" t="s">
        <v>6844</v>
      </c>
      <c r="S626" t="s">
        <v>6845</v>
      </c>
      <c r="T626" t="s">
        <v>6846</v>
      </c>
      <c r="U626" t="s">
        <v>6847</v>
      </c>
      <c r="V626">
        <f>-614.127038190007 -127.712572283581 -96.1806505582167</f>
        <v>-838.02026103180481</v>
      </c>
      <c r="W626" t="s">
        <v>6848</v>
      </c>
      <c r="X626" t="s">
        <v>6849</v>
      </c>
      <c r="Y626" t="s">
        <v>6850</v>
      </c>
    </row>
    <row r="627" spans="1:25" x14ac:dyDescent="0.3">
      <c r="A627">
        <v>31300</v>
      </c>
      <c r="B627" t="s">
        <v>6851</v>
      </c>
      <c r="C627">
        <f>-632.388213654756 -33.0844448900209 -97.6137770851053</f>
        <v>-763.0864356298822</v>
      </c>
      <c r="D627">
        <f>-661.890175782373 -41.9184790526838 -209.273267735054</f>
        <v>-913.08192257011081</v>
      </c>
      <c r="E627">
        <f>-675.471090526597 -45.2697015151045 -306.899974956394</f>
        <v>-1027.6407669980954</v>
      </c>
      <c r="F627">
        <f>-683.595183858659 -46.7415727715481 -395.613455708611</f>
        <v>-1125.9502123388181</v>
      </c>
      <c r="G627">
        <f>-687.199697627958 -46.6076367893838 -484.637202828802</f>
        <v>-1218.4445372461439</v>
      </c>
      <c r="H627">
        <f>-687.483476367057 -44.7533158986236 -609.20557903556</f>
        <v>-1341.4423713012407</v>
      </c>
      <c r="I627">
        <f>-651.547863324989 -35.6819979018599 -683.578798942398</f>
        <v>-1370.8086601692467</v>
      </c>
      <c r="J627">
        <f>-692.134014704184 -18.277994378748 -553.971980080834</f>
        <v>-1264.3839891637658</v>
      </c>
      <c r="K627" t="s">
        <v>6852</v>
      </c>
      <c r="L627" t="s">
        <v>6853</v>
      </c>
      <c r="M627" t="s">
        <v>6854</v>
      </c>
      <c r="N627">
        <f>-682.583267000291 -72.8606066050565 -554.80630878152</f>
        <v>-1310.2501823868674</v>
      </c>
      <c r="O627">
        <f>-662.360340319765 -205.940159993402 -526.894608704502</f>
        <v>-1395.195109017669</v>
      </c>
      <c r="P627">
        <f>-688.876487796257 -267.554070284173 -240.377958761471</f>
        <v>-1196.8085168419011</v>
      </c>
      <c r="Q627">
        <f>-507.017899032804 -136.398799805206 -328.56304577258</f>
        <v>-971.97974461058993</v>
      </c>
      <c r="R627" t="s">
        <v>6855</v>
      </c>
      <c r="S627" t="s">
        <v>6856</v>
      </c>
      <c r="T627" t="s">
        <v>6857</v>
      </c>
      <c r="U627" t="s">
        <v>6858</v>
      </c>
      <c r="V627">
        <f>-613.696051135178 -128.497894776895 -96.2363465364978</f>
        <v>-838.43029244857075</v>
      </c>
      <c r="W627" t="s">
        <v>6859</v>
      </c>
      <c r="X627" t="s">
        <v>6860</v>
      </c>
      <c r="Y627" t="s">
        <v>6861</v>
      </c>
    </row>
    <row r="628" spans="1:25" x14ac:dyDescent="0.3">
      <c r="A628">
        <v>31350</v>
      </c>
      <c r="B628" t="s">
        <v>6862</v>
      </c>
      <c r="C628">
        <f>-632.919316826945 -33.6842690191797 -97.6938990175023</f>
        <v>-764.29748486362701</v>
      </c>
      <c r="D628">
        <f>-662.54815718086 -42.8401632224623 -209.293753714585</f>
        <v>-914.68207411790729</v>
      </c>
      <c r="E628">
        <f>-676.185539737843 -46.2743338344019 -306.909742899394</f>
        <v>-1029.3696164716389</v>
      </c>
      <c r="F628">
        <f>-684.336710935211 -47.7488074329419 -395.62050341872</f>
        <v>-1127.706021786873</v>
      </c>
      <c r="G628">
        <f>-687.943891129344 -47.5420286416163 -484.644102903772</f>
        <v>-1220.1300226747323</v>
      </c>
      <c r="H628">
        <f>-688.205361702738 -45.5071803038418 -609.20972391124</f>
        <v>-1342.9222659178197</v>
      </c>
      <c r="I628">
        <f>-652.308592326315 -35.9495925966326 -683.54079736145</f>
        <v>-1371.7989822843974</v>
      </c>
      <c r="J628">
        <f>-693.102320857665 -19.154447751313 -553.938985872678</f>
        <v>-1266.195754481656</v>
      </c>
      <c r="K628" t="s">
        <v>6863</v>
      </c>
      <c r="L628" t="s">
        <v>6864</v>
      </c>
      <c r="M628" t="s">
        <v>6865</v>
      </c>
      <c r="N628">
        <f>-683.078228699983 -73.6508391385844 -554.850117474845</f>
        <v>-1311.5791853134124</v>
      </c>
      <c r="O628">
        <f>-661.738239036676 -206.586745048471 -527.105459701094</f>
        <v>-1395.4304437862411</v>
      </c>
      <c r="P628">
        <f>-688.186821418574 -268.528027661189 -240.653188573154</f>
        <v>-1197.3680376529171</v>
      </c>
      <c r="Q628">
        <f>-506.994122845798 -136.440302204751 -328.817366760417</f>
        <v>-972.25179181096587</v>
      </c>
      <c r="R628" t="s">
        <v>6866</v>
      </c>
      <c r="S628" t="s">
        <v>6867</v>
      </c>
      <c r="T628" t="s">
        <v>6868</v>
      </c>
      <c r="U628" t="s">
        <v>6869</v>
      </c>
      <c r="V628">
        <f>-613.428730246283 -129.099215766647 -96.2817129996055</f>
        <v>-838.80965901253546</v>
      </c>
      <c r="W628" t="s">
        <v>6870</v>
      </c>
      <c r="X628" t="s">
        <v>6871</v>
      </c>
      <c r="Y628" t="s">
        <v>6872</v>
      </c>
    </row>
    <row r="629" spans="1:25" x14ac:dyDescent="0.3">
      <c r="A629">
        <v>31400</v>
      </c>
      <c r="B629" t="s">
        <v>6873</v>
      </c>
      <c r="C629">
        <f>-634.010537748833 -35.3012916878861 -97.8926066515959</f>
        <v>-767.20443608831499</v>
      </c>
      <c r="D629">
        <f>-663.762069183458 -45.1428930749067 -209.401363697697</f>
        <v>-918.30632595606176</v>
      </c>
      <c r="E629">
        <f>-677.455813458446 -48.7612890977338 -307.002944340123</f>
        <v>-1033.2200468963028</v>
      </c>
      <c r="F629">
        <f>-685.632603955251 -50.2508553623826 -395.711219400725</f>
        <v>-1131.5946787183586</v>
      </c>
      <c r="G629">
        <f>-689.23997261125 -49.901289399336 -484.734266072211</f>
        <v>-1223.875528082797</v>
      </c>
      <c r="H629">
        <f>-689.474188204229 -47.5013766384338 -609.293501370424</f>
        <v>-1346.2690662130867</v>
      </c>
      <c r="I629">
        <f>-653.645388091522 -36.8589169878605 -683.509763946842</f>
        <v>-1374.0140690262247</v>
      </c>
      <c r="J629">
        <f>-694.890948690429 -21.4089313838374 -553.947662997311</f>
        <v>-1270.2475430715774</v>
      </c>
      <c r="K629" t="s">
        <v>6874</v>
      </c>
      <c r="L629" t="s">
        <v>6875</v>
      </c>
      <c r="M629" t="s">
        <v>6876</v>
      </c>
      <c r="N629">
        <f>-683.851304204485 -75.7058862856001 -555.014610395816</f>
        <v>-1314.5718008859012</v>
      </c>
      <c r="O629">
        <f>-660.156512462279 -208.337219501026 -527.699578521171</f>
        <v>-1396.1933104844761</v>
      </c>
      <c r="P629">
        <f>-686.120853490673 -271.152385309442 -241.393177394743</f>
        <v>-1198.6664161948579</v>
      </c>
      <c r="Q629">
        <f>-506.387109919136 -137.030764219578 -329.472944770154</f>
        <v>-972.89081890886791</v>
      </c>
      <c r="R629" t="s">
        <v>6877</v>
      </c>
      <c r="S629" t="s">
        <v>6878</v>
      </c>
      <c r="T629" t="s">
        <v>6879</v>
      </c>
      <c r="U629" t="s">
        <v>6880</v>
      </c>
      <c r="V629">
        <f>-612.922167069459 -130.498644323245 -96.4093631102661</f>
        <v>-839.83017450297007</v>
      </c>
      <c r="W629" t="s">
        <v>6881</v>
      </c>
      <c r="X629" t="s">
        <v>6882</v>
      </c>
      <c r="Y629" t="s">
        <v>6883</v>
      </c>
    </row>
    <row r="630" spans="1:25" x14ac:dyDescent="0.3">
      <c r="A630">
        <v>31450</v>
      </c>
      <c r="B630" t="s">
        <v>6884</v>
      </c>
      <c r="C630">
        <f>-634.676976622428 -35.9873175844969 -97.9799460769103</f>
        <v>-768.64424028383519</v>
      </c>
      <c r="D630">
        <f>-664.390934642223 -46.1644864853494 -209.468689613065</f>
        <v>-920.0241107406373</v>
      </c>
      <c r="E630">
        <f>-678.073497685451 -49.8806166010116 -307.068030688222</f>
        <v>-1035.0221449746846</v>
      </c>
      <c r="F630">
        <f>-686.246332419565 -51.3866215507862 -395.776287030713</f>
        <v>-1133.4092410010642</v>
      </c>
      <c r="G630">
        <f>-689.856567543273 -50.9777631214627 -484.799092645608</f>
        <v>-1225.6334233103437</v>
      </c>
      <c r="H630">
        <f>-690.101489604906 -48.4153808360971 -609.355077928034</f>
        <v>-1347.871948369037</v>
      </c>
      <c r="I630">
        <f>-654.297250634305 -37.1876722263969 -683.496921242747</f>
        <v>-1374.981844103449</v>
      </c>
      <c r="J630">
        <f>-695.779792545946 -22.4507009718368 -553.975477693929</f>
        <v>-1272.2059712117116</v>
      </c>
      <c r="K630" t="s">
        <v>6885</v>
      </c>
      <c r="L630" t="s">
        <v>6886</v>
      </c>
      <c r="M630" t="s">
        <v>6887</v>
      </c>
      <c r="N630">
        <f>-684.207678196019 -76.6352047287201 -555.112892916241</f>
        <v>-1315.9557758409801</v>
      </c>
      <c r="O630">
        <f>-659.266814533716 -209.082352735439 -528.017929323298</f>
        <v>-1396.367096592453</v>
      </c>
      <c r="P630">
        <f>-684.910957521697 -272.254390399312 -241.761166608033</f>
        <v>-1198.9265145290419</v>
      </c>
      <c r="Q630">
        <f>-506.061341312985 -137.003241241625 -329.913489154036</f>
        <v>-972.97807170864598</v>
      </c>
      <c r="R630" t="s">
        <v>6888</v>
      </c>
      <c r="S630" t="s">
        <v>6889</v>
      </c>
      <c r="T630" t="s">
        <v>6890</v>
      </c>
      <c r="U630" t="s">
        <v>6891</v>
      </c>
      <c r="V630">
        <f>-612.835955162914 -130.944995898189 -96.4608591842107</f>
        <v>-840.24181024531367</v>
      </c>
      <c r="W630" t="s">
        <v>6892</v>
      </c>
      <c r="X630" t="s">
        <v>6893</v>
      </c>
      <c r="Y630" t="s">
        <v>6894</v>
      </c>
    </row>
    <row r="631" spans="1:25" x14ac:dyDescent="0.3">
      <c r="A631">
        <v>31500</v>
      </c>
      <c r="B631" t="s">
        <v>6895</v>
      </c>
      <c r="C631">
        <f>-636.119290531811 -37.6379335302688 -98.1185258192756</f>
        <v>-771.87574988135543</v>
      </c>
      <c r="D631">
        <f>-665.602936501818 -48.4086818955752 -209.612494745374</f>
        <v>-923.62411314276721</v>
      </c>
      <c r="E631">
        <f>-679.179310881302 -52.2966385750985 -307.220148693517</f>
        <v>-1038.6960981499174</v>
      </c>
      <c r="F631">
        <f>-687.290435472251 -53.8300620734353 -395.933679610059</f>
        <v>-1137.0541771557455</v>
      </c>
      <c r="G631">
        <f>-690.874856174842 -53.3121441784429 -484.956872916961</f>
        <v>-1229.1438732702459</v>
      </c>
      <c r="H631">
        <f>-691.121572926818 -50.4526649192721 -609.50624181034</f>
        <v>-1351.0804796564303</v>
      </c>
      <c r="I631">
        <f>-655.398251872112 -38.0660378679049 -683.502495786896</f>
        <v>-1376.9667855269131</v>
      </c>
      <c r="J631">
        <f>-697.332912450166 -24.7397277310301 -554.066437825986</f>
        <v>-1276.139078007182</v>
      </c>
      <c r="K631" t="s">
        <v>6896</v>
      </c>
      <c r="L631" t="s">
        <v>6897</v>
      </c>
      <c r="M631" t="s">
        <v>6898</v>
      </c>
      <c r="N631">
        <f>-684.693184402815 -78.6822772491354 -555.330025761876</f>
        <v>-1318.7054874138262</v>
      </c>
      <c r="O631">
        <f>-657.207739918421 -210.687030178289 -528.52843310917</f>
        <v>-1396.4232032058799</v>
      </c>
      <c r="P631">
        <f>-681.886954301654 -274.434556938322 -242.314552853056</f>
        <v>-1198.636064093032</v>
      </c>
      <c r="Q631">
        <f>-505.157854442679 -136.786576685817 -331.031896104415</f>
        <v>-972.97632723291099</v>
      </c>
      <c r="R631" t="s">
        <v>6899</v>
      </c>
      <c r="S631" t="s">
        <v>6900</v>
      </c>
      <c r="T631" t="s">
        <v>6901</v>
      </c>
      <c r="U631" t="s">
        <v>6902</v>
      </c>
      <c r="V631">
        <f>-612.815199508235 -132.354311407398 -96.5744693233137</f>
        <v>-841.74398023894662</v>
      </c>
      <c r="W631" t="s">
        <v>6903</v>
      </c>
      <c r="X631" t="s">
        <v>6904</v>
      </c>
      <c r="Y631" t="s">
        <v>6905</v>
      </c>
    </row>
    <row r="632" spans="1:25" x14ac:dyDescent="0.3">
      <c r="A632">
        <v>31550</v>
      </c>
      <c r="B632" t="s">
        <v>6906</v>
      </c>
      <c r="C632">
        <f>-636.88729207663 -38.4843200210389 -98.169505792917</f>
        <v>-773.54111789058595</v>
      </c>
      <c r="D632">
        <f>-666.23023719175 -49.4916812230397 -209.67764319673</f>
        <v>-925.39956161151963</v>
      </c>
      <c r="E632">
        <f>-679.719433007526 -53.4504956609635 -307.294433179945</f>
        <v>-1040.4643618484345</v>
      </c>
      <c r="F632">
        <f>-687.764450083565 -54.9979974242804 -396.013717991375</f>
        <v>-1138.7761654992203</v>
      </c>
      <c r="G632">
        <f>-691.296298641046 -54.440314216444 -485.038741609156</f>
        <v>-1230.7753544666459</v>
      </c>
      <c r="H632">
        <f>-691.484397842407 -51.46742916684 -609.585596361196</f>
        <v>-1352.5374233704431</v>
      </c>
      <c r="I632">
        <f>-655.812200906044 -38.5612691561785 -683.517849830048</f>
        <v>-1377.8913198922705</v>
      </c>
      <c r="J632">
        <f>-697.97332716659 -25.8651017834247 -554.126550326571</f>
        <v>-1277.9649792765858</v>
      </c>
      <c r="K632" t="s">
        <v>6907</v>
      </c>
      <c r="L632" t="s">
        <v>6908</v>
      </c>
      <c r="M632" t="s">
        <v>6909</v>
      </c>
      <c r="N632">
        <f>-684.82998484664 -79.6861644624903 -555.430983628085</f>
        <v>-1319.9471329372152</v>
      </c>
      <c r="O632">
        <f>-656.118977867818 -211.451924583478 -528.748914581756</f>
        <v>-1396.319817033052</v>
      </c>
      <c r="P632">
        <f>-680.167497165935 -275.65083917876 -242.582218625432</f>
        <v>-1198.4005549701269</v>
      </c>
      <c r="Q632">
        <f>-504.569455239328 -136.733193602922 -331.565820667496</f>
        <v>-972.86846950974609</v>
      </c>
      <c r="R632" t="s">
        <v>6910</v>
      </c>
      <c r="S632" t="s">
        <v>6911</v>
      </c>
      <c r="T632" t="s">
        <v>6912</v>
      </c>
      <c r="U632" t="s">
        <v>6913</v>
      </c>
      <c r="V632">
        <f>-612.919573224556 -133.1277875731 -96.6093651312575</f>
        <v>-842.65672592891349</v>
      </c>
      <c r="W632" t="s">
        <v>6914</v>
      </c>
      <c r="X632" t="s">
        <v>6915</v>
      </c>
      <c r="Y632" t="s">
        <v>6916</v>
      </c>
    </row>
    <row r="633" spans="1:25" x14ac:dyDescent="0.3">
      <c r="A633">
        <v>31600</v>
      </c>
      <c r="B633" t="s">
        <v>6917</v>
      </c>
      <c r="C633">
        <f>-638.322940793438 -40.1002623495153 -98.2938311577149</f>
        <v>-776.71703430066816</v>
      </c>
      <c r="D633">
        <f>-667.405522812132 -51.5612574072017 -209.824428321841</f>
        <v>-928.79120854117457</v>
      </c>
      <c r="E633">
        <f>-680.727078117752 -55.6706608704138 -307.457939427582</f>
        <v>-1043.8556784157477</v>
      </c>
      <c r="F633">
        <f>-688.641196899175 -57.2643607027444 -396.188367766167</f>
        <v>-1142.0939253680865</v>
      </c>
      <c r="G633">
        <f>-692.065088820197 -56.6549266212145 -485.217205197953</f>
        <v>-1233.9372206393646</v>
      </c>
      <c r="H633">
        <f>-692.126837002492 -53.506106632474 -609.759940906356</f>
        <v>-1355.392884541322</v>
      </c>
      <c r="I633">
        <f>-656.553337392713 -39.7382887770186 -683.584056203081</f>
        <v>-1379.8756823728127</v>
      </c>
      <c r="J633">
        <f>-699.139043541972 -28.1004816427665 -554.274020712899</f>
        <v>-1281.5135458976374</v>
      </c>
      <c r="K633" t="s">
        <v>6918</v>
      </c>
      <c r="L633" t="s">
        <v>6919</v>
      </c>
      <c r="M633" t="s">
        <v>6920</v>
      </c>
      <c r="N633">
        <f>-685.06022353903 -81.6831530312734 -555.635655298988</f>
        <v>-1322.3790318692913</v>
      </c>
      <c r="O633">
        <f>-654.068296417563 -212.958737008123 -529.108176836245</f>
        <v>-1396.135210261931</v>
      </c>
      <c r="P633">
        <f>-676.495095216314 -278.351475921323 -243.080188783313</f>
        <v>-1197.92675992095</v>
      </c>
      <c r="Q633">
        <f>-503.151351924422 -136.832095220375 -332.383554876129</f>
        <v>-972.36700202092595</v>
      </c>
      <c r="R633" t="s">
        <v>6921</v>
      </c>
      <c r="S633" t="s">
        <v>6922</v>
      </c>
      <c r="T633" t="s">
        <v>6923</v>
      </c>
      <c r="U633" t="s">
        <v>6924</v>
      </c>
      <c r="V633">
        <f>-613.086725728429 -134.443694401449 -96.6735436672225</f>
        <v>-844.20396379710041</v>
      </c>
      <c r="W633" t="s">
        <v>6925</v>
      </c>
      <c r="X633" t="s">
        <v>6926</v>
      </c>
      <c r="Y633" t="s">
        <v>6927</v>
      </c>
    </row>
    <row r="634" spans="1:25" x14ac:dyDescent="0.3">
      <c r="A634">
        <v>31650</v>
      </c>
      <c r="B634" t="s">
        <v>6928</v>
      </c>
      <c r="C634">
        <f>-638.96268778422 -40.7880059170143 -98.3518825851987</f>
        <v>-778.10257628643296</v>
      </c>
      <c r="D634">
        <f>-667.927742871031 -52.4742571358501 -209.889579022222</f>
        <v>-930.2915790291031</v>
      </c>
      <c r="E634">
        <f>-681.171497934537 -56.6658969781246 -307.530276691233</f>
        <v>-1045.3676716038945</v>
      </c>
      <c r="F634">
        <f>-689.023387419784 -58.29256981606 -396.265495604331</f>
        <v>-1143.581452840175</v>
      </c>
      <c r="G634">
        <f>-692.394109153812 -57.6716623452727 -485.296471025037</f>
        <v>-1235.3622425241217</v>
      </c>
      <c r="H634">
        <f>-692.391157311071 -54.459399643913 -609.83751813722</f>
        <v>-1356.6880750922039</v>
      </c>
      <c r="I634">
        <f>-656.859926188373 -40.3405952739413 -683.615698200695</f>
        <v>-1380.8162196630092</v>
      </c>
      <c r="J634">
        <f>-699.649412927518 -29.1398571271845 -554.343831263608</f>
        <v>-1283.1331013183105</v>
      </c>
      <c r="K634" t="s">
        <v>6929</v>
      </c>
      <c r="L634" t="s">
        <v>6930</v>
      </c>
      <c r="M634" t="s">
        <v>6931</v>
      </c>
      <c r="N634">
        <f>-685.135521904968 -82.6058850245133 -555.722538385645</f>
        <v>-1323.4639453151262</v>
      </c>
      <c r="O634">
        <f>-653.090352286738 -213.648299406567 -529.270666105698</f>
        <v>-1396.0093177990029</v>
      </c>
      <c r="P634">
        <f>-674.863580084452 -279.637703155667 -243.329023299073</f>
        <v>-1197.830306539192</v>
      </c>
      <c r="Q634">
        <f>-502.491773093096 -136.925629250923 -332.615814409896</f>
        <v>-972.03321675391499</v>
      </c>
      <c r="R634" t="s">
        <v>6932</v>
      </c>
      <c r="S634" t="s">
        <v>6933</v>
      </c>
      <c r="T634" t="s">
        <v>6934</v>
      </c>
      <c r="U634" t="s">
        <v>6935</v>
      </c>
      <c r="V634">
        <f>-613.124274099672 -134.930623380414 -96.7111108945095</f>
        <v>-844.76600837459546</v>
      </c>
      <c r="W634" t="s">
        <v>6936</v>
      </c>
      <c r="X634" t="s">
        <v>6937</v>
      </c>
      <c r="Y634" t="s">
        <v>6938</v>
      </c>
    </row>
    <row r="635" spans="1:25" x14ac:dyDescent="0.3">
      <c r="A635">
        <v>31700</v>
      </c>
      <c r="B635" t="s">
        <v>6939</v>
      </c>
      <c r="C635">
        <f>-640.141681878037 -42.2401638975316 -98.4116504909512</f>
        <v>-780.79349626651981</v>
      </c>
      <c r="D635">
        <f>-668.877197474104 -54.3418556447238 -209.964392239538</f>
        <v>-933.18344535836582</v>
      </c>
      <c r="E635">
        <f>-681.974697532734 -58.7047643165104 -307.617382218701</f>
        <v>-1048.2968440679454</v>
      </c>
      <c r="F635">
        <f>-689.712341799676 -60.4190226140512 -396.360930590038</f>
        <v>-1146.4922950037651</v>
      </c>
      <c r="G635">
        <f>-692.988489514503 -59.8128522560891 -485.395461801812</f>
        <v>-1238.1968035724042</v>
      </c>
      <c r="H635">
        <f>-692.874006091878 -56.54394952334 -609.935068848364</f>
        <v>-1359.353024463582</v>
      </c>
      <c r="I635">
        <f>-657.400228679767 -41.8293944998247 -683.624374563131</f>
        <v>-1382.8539977427226</v>
      </c>
      <c r="J635">
        <f>-700.589253792834 -31.3635002849442 -554.439734232368</f>
        <v>-1286.3924883101463</v>
      </c>
      <c r="K635" t="s">
        <v>6940</v>
      </c>
      <c r="L635" t="s">
        <v>6941</v>
      </c>
      <c r="M635" t="s">
        <v>6942</v>
      </c>
      <c r="N635">
        <f>-685.25945430559 -84.6012045641667 -555.822957262139</f>
        <v>-1325.6836161318956</v>
      </c>
      <c r="O635">
        <f>-651.241788420509 -215.162874900118 -529.471171719924</f>
        <v>-1395.875835040551</v>
      </c>
      <c r="P635">
        <f>-672.236461018885 -281.911511294103 -243.647673336218</f>
        <v>-1197.7956456492061</v>
      </c>
      <c r="Q635">
        <f>-501.487390101339 -137.210000554619 -332.850209707086</f>
        <v>-971.54760036304401</v>
      </c>
      <c r="R635" t="s">
        <v>6943</v>
      </c>
      <c r="S635" t="s">
        <v>6944</v>
      </c>
      <c r="T635" t="s">
        <v>6945</v>
      </c>
      <c r="U635" t="s">
        <v>6946</v>
      </c>
      <c r="V635">
        <f>-613.052942388332 -136.126676735128 -96.7593632402135</f>
        <v>-845.93898236367352</v>
      </c>
      <c r="W635" t="s">
        <v>6947</v>
      </c>
      <c r="X635" t="s">
        <v>6948</v>
      </c>
      <c r="Y635" t="s">
        <v>6949</v>
      </c>
    </row>
    <row r="636" spans="1:25" x14ac:dyDescent="0.3">
      <c r="A636">
        <v>31750</v>
      </c>
      <c r="B636" t="s">
        <v>6950</v>
      </c>
      <c r="C636">
        <f>-640.67090783054 -42.8988107465425 -98.425279467923</f>
        <v>-781.99499804500556</v>
      </c>
      <c r="D636">
        <f>-669.311792604989 -55.2139451920508 -209.979110683093</f>
        <v>-934.50484848013286</v>
      </c>
      <c r="E636">
        <f>-682.345131238536 -59.6817703630328 -307.635813356475</f>
        <v>-1049.6627149580438</v>
      </c>
      <c r="F636">
        <f>-690.030438181092 -61.462852902216 -396.382613725442</f>
        <v>-1147.87590480875</v>
      </c>
      <c r="G636">
        <f>-693.260386671138 -60.8928883683066 -485.419097200193</f>
        <v>-1239.5723722396376</v>
      </c>
      <c r="H636">
        <f>-693.088297569497 -57.6419224411579 -609.959057443399</f>
        <v>-1360.6892774540538</v>
      </c>
      <c r="I636">
        <f>-657.63536421183 -42.6699487446003 -683.606634864661</f>
        <v>-1383.9119478210914</v>
      </c>
      <c r="J636">
        <f>-701.01592516238 -32.5080543821002 -554.472636503728</f>
        <v>-1287.9966160482081</v>
      </c>
      <c r="K636" t="s">
        <v>6951</v>
      </c>
      <c r="L636" t="s">
        <v>6952</v>
      </c>
      <c r="M636" t="s">
        <v>6953</v>
      </c>
      <c r="N636">
        <f>-685.312116685762 -85.6369871577318 -555.837739506364</f>
        <v>-1326.7868433498579</v>
      </c>
      <c r="O636">
        <f>-650.360797809336 -215.953724031042 -529.488147495648</f>
        <v>-1395.8026693360259</v>
      </c>
      <c r="P636">
        <f>-671.195069339675 -282.872270805858 -243.692619347055</f>
        <v>-1197.759959492588</v>
      </c>
      <c r="Q636">
        <f>-501.199143774492 -137.252217464895 -332.838846886936</f>
        <v>-971.29020812632302</v>
      </c>
      <c r="R636" t="s">
        <v>6954</v>
      </c>
      <c r="S636" t="s">
        <v>6955</v>
      </c>
      <c r="T636" t="s">
        <v>6956</v>
      </c>
      <c r="U636" t="s">
        <v>6957</v>
      </c>
      <c r="V636">
        <f>-613.00839449398 -136.68035007516 -96.7626761107364</f>
        <v>-846.45142067987638</v>
      </c>
      <c r="W636" t="s">
        <v>6958</v>
      </c>
      <c r="X636" t="s">
        <v>6959</v>
      </c>
      <c r="Y636" t="s">
        <v>6960</v>
      </c>
    </row>
    <row r="637" spans="1:25" x14ac:dyDescent="0.3">
      <c r="A637">
        <v>31800</v>
      </c>
      <c r="B637" t="s">
        <v>6961</v>
      </c>
      <c r="C637">
        <f>-641.321443661188 -43.5600436287748 -98.4374166128487</f>
        <v>-783.31890390281148</v>
      </c>
      <c r="D637">
        <f>-669.863805318972 -56.1748060881763 -209.983038457735</f>
        <v>-936.02164986488333</v>
      </c>
      <c r="E637">
        <f>-682.836680736593 -60.801808346872 -307.640289443789</f>
        <v>-1051.278778527254</v>
      </c>
      <c r="F637">
        <f>-690.475017475034 -62.6923877023892 -396.388990357009</f>
        <v>-1149.5563955344321</v>
      </c>
      <c r="G637">
        <f>-693.666705806669 -62.1934643448725 -485.427153544352</f>
        <v>-1241.2873236958935</v>
      </c>
      <c r="H637">
        <f>-693.450083656722 -59.00217347955 -609.968679256624</f>
        <v>-1362.420936392896</v>
      </c>
      <c r="I637">
        <f>-658.035856937345 -43.6930807478992 -683.565464484644</f>
        <v>-1385.2944021698881</v>
      </c>
      <c r="J637">
        <f>-701.648812161645 -33.9171715570021 -554.499327571744</f>
        <v>-1290.065311290391</v>
      </c>
      <c r="K637" t="s">
        <v>6962</v>
      </c>
      <c r="L637" t="s">
        <v>6963</v>
      </c>
      <c r="M637" t="s">
        <v>6964</v>
      </c>
      <c r="N637">
        <f>-685.442038976124 -86.8958795132729 -555.82873630771</f>
        <v>-1328.1666547971067</v>
      </c>
      <c r="O637">
        <f>-649.231992595981 -216.863112801929 -529.4504090401</f>
        <v>-1395.5455144380098</v>
      </c>
      <c r="P637">
        <f>-669.835589178921 -283.839310924152 -243.651637175609</f>
        <v>-1197.3265372786821</v>
      </c>
      <c r="Q637">
        <f>-500.999462701189 -136.896258972785 -332.831177369796</f>
        <v>-970.72689904377</v>
      </c>
      <c r="R637" t="s">
        <v>6965</v>
      </c>
      <c r="S637" t="s">
        <v>6966</v>
      </c>
      <c r="T637" t="s">
        <v>6967</v>
      </c>
      <c r="U637" t="s">
        <v>6968</v>
      </c>
      <c r="V637">
        <f>-612.901442156614 -137.015115847645 -96.7735746546747</f>
        <v>-846.69013265893375</v>
      </c>
      <c r="W637" t="s">
        <v>6969</v>
      </c>
      <c r="X637" t="s">
        <v>6970</v>
      </c>
      <c r="Y637" t="s">
        <v>6971</v>
      </c>
    </row>
    <row r="638" spans="1:25" x14ac:dyDescent="0.3">
      <c r="A638">
        <v>31850</v>
      </c>
      <c r="B638" t="s">
        <v>6972</v>
      </c>
      <c r="C638">
        <f>-641.754616768625 -44.2469057641611 -98.5210349355498</f>
        <v>-784.52255746833589</v>
      </c>
      <c r="D638">
        <f>-670.226733828043 -57.1201975851776 -210.055041524967</f>
        <v>-937.40197293818767</v>
      </c>
      <c r="E638">
        <f>-683.155544267756 -61.9020504489723 -307.710785092523</f>
        <v>-1052.7683798092512</v>
      </c>
      <c r="F638">
        <f>-690.759560669176 -63.9083242827329 -396.459815784396</f>
        <v>-1151.1277007363051</v>
      </c>
      <c r="G638">
        <f>-693.923640038741 -63.4975814507848 -485.499479001576</f>
        <v>-1242.9207004911018</v>
      </c>
      <c r="H638">
        <f>-693.675617749884 -60.3992015302131 -610.043254823783</f>
        <v>-1364.1180741038802</v>
      </c>
      <c r="I638">
        <f>-658.294440214789 -44.843361202344 -683.604344740005</f>
        <v>-1386.742146157138</v>
      </c>
      <c r="J638">
        <f>-702.092467924392 -35.336109226806 -554.596780579161</f>
        <v>-1292.025357730359</v>
      </c>
      <c r="K638" t="s">
        <v>6973</v>
      </c>
      <c r="L638" t="s">
        <v>6974</v>
      </c>
      <c r="M638" t="s">
        <v>6975</v>
      </c>
      <c r="N638">
        <f>-685.477048155545 -88.1891584056216 -555.878535671501</f>
        <v>-1329.5447422326677</v>
      </c>
      <c r="O638">
        <f>-648.232374767478 -217.843964768079 -529.402257723288</f>
        <v>-1395.478597258845</v>
      </c>
      <c r="P638">
        <f>-668.410506823477 -284.750904497101 -243.556997916504</f>
        <v>-1196.7184092370821</v>
      </c>
      <c r="Q638">
        <f>-500.690699877208 -136.587527699465 -332.823722895662</f>
        <v>-970.10195047233492</v>
      </c>
      <c r="R638" t="s">
        <v>6976</v>
      </c>
      <c r="S638" t="s">
        <v>6977</v>
      </c>
      <c r="T638" t="s">
        <v>6978</v>
      </c>
      <c r="U638" t="s">
        <v>6979</v>
      </c>
      <c r="V638">
        <f>-612.804789898488 -137.47232003921 -96.7995736512665</f>
        <v>-847.07668358896456</v>
      </c>
      <c r="W638" t="s">
        <v>6980</v>
      </c>
      <c r="X638" t="s">
        <v>6981</v>
      </c>
      <c r="Y638" t="s">
        <v>6982</v>
      </c>
    </row>
    <row r="639" spans="1:25" x14ac:dyDescent="0.3">
      <c r="A639">
        <v>31900</v>
      </c>
      <c r="B639" t="s">
        <v>6983</v>
      </c>
      <c r="C639">
        <f>-641.925620484503 -44.7013666217661 -98.5855211727564</f>
        <v>-785.21250827902554</v>
      </c>
      <c r="D639">
        <f>-670.365284941086 -57.724401288431 -210.110469491222</f>
        <v>-938.20015572073896</v>
      </c>
      <c r="E639">
        <f>-683.276179378104 -62.5968481655093 -307.764016582727</f>
        <v>-1053.6370441263402</v>
      </c>
      <c r="F639">
        <f>-690.867692782284 -64.6706977051285 -396.512567575154</f>
        <v>-1152.0509580625667</v>
      </c>
      <c r="G639">
        <f>-694.023451920561 -64.3114201473261 -485.55285349598</f>
        <v>-1243.8877255638672</v>
      </c>
      <c r="H639">
        <f>-693.768594549749 -61.2675462700153 -610.097858982104</f>
        <v>-1365.1339998018682</v>
      </c>
      <c r="I639">
        <f>-658.417227312851 -45.5841797994162 -683.646114345806</f>
        <v>-1387.6475214580732</v>
      </c>
      <c r="J639">
        <f>-702.30272096881 -36.2162647336347 -554.664103850079</f>
        <v>-1293.1830895525236</v>
      </c>
      <c r="K639" t="s">
        <v>6984</v>
      </c>
      <c r="L639" t="s">
        <v>6985</v>
      </c>
      <c r="M639" t="s">
        <v>6986</v>
      </c>
      <c r="N639">
        <f>-685.458802333779 -88.9976796858065 -555.91942638588</f>
        <v>-1330.3759084054655</v>
      </c>
      <c r="O639">
        <f>-647.635319641853 -218.468194854794 -529.363529714905</f>
        <v>-1395.4670442115521</v>
      </c>
      <c r="P639">
        <f>-667.502735979738 -285.256701286778 -243.468728463552</f>
        <v>-1196.228165730068</v>
      </c>
      <c r="Q639">
        <f>-500.441328356881 -136.389118990804 -332.798670903139</f>
        <v>-969.62911825082392</v>
      </c>
      <c r="R639" t="s">
        <v>6987</v>
      </c>
      <c r="S639" t="s">
        <v>6988</v>
      </c>
      <c r="T639" t="s">
        <v>6989</v>
      </c>
      <c r="U639" t="s">
        <v>6990</v>
      </c>
      <c r="V639">
        <f>-612.691255577393 -137.744844564452 -96.819552501789</f>
        <v>-847.25565264363399</v>
      </c>
      <c r="W639" t="s">
        <v>6991</v>
      </c>
      <c r="X639" t="s">
        <v>6992</v>
      </c>
      <c r="Y639" t="s">
        <v>6993</v>
      </c>
    </row>
    <row r="640" spans="1:25" x14ac:dyDescent="0.3">
      <c r="A640">
        <v>31950</v>
      </c>
      <c r="B640" t="s">
        <v>6994</v>
      </c>
      <c r="C640">
        <f>-642.338591408714 -45.1926310892391 -98.7342447861672</f>
        <v>-786.26546728412029</v>
      </c>
      <c r="D640">
        <f>-670.761692771404 -58.4585858603077 -210.234842474093</f>
        <v>-939.45512110580466</v>
      </c>
      <c r="E640">
        <f>-683.676249233295 -63.5107420879536 -307.878742894815</f>
        <v>-1055.0657342160637</v>
      </c>
      <c r="F640">
        <f>-691.277024370322 -65.7384353965064 -396.622848049911</f>
        <v>-1153.6383078167394</v>
      </c>
      <c r="G640">
        <f>-694.448927719975 -65.5214371821542 -485.662884115097</f>
        <v>-1245.6332490172263</v>
      </c>
      <c r="H640">
        <f>-694.223823046926 -62.6639202847368 -610.212441619199</f>
        <v>-1367.1001849508618</v>
      </c>
      <c r="I640">
        <f>-658.954421421168 -46.8095148477296 -683.763352332634</f>
        <v>-1389.5272886015316</v>
      </c>
      <c r="J640">
        <f>-702.923534759067 -37.5874568917984 -554.815667771008</f>
        <v>-1295.3266594218735</v>
      </c>
      <c r="K640" t="s">
        <v>6995</v>
      </c>
      <c r="L640" t="s">
        <v>6996</v>
      </c>
      <c r="M640" t="s">
        <v>6997</v>
      </c>
      <c r="N640">
        <f>-685.722321106511 -90.2552934917694 -555.992901373433</f>
        <v>-1331.9705159717134</v>
      </c>
      <c r="O640">
        <f>-646.967564333167 -219.411903174231 -529.26192565158</f>
        <v>-1395.6413931589782</v>
      </c>
      <c r="P640">
        <f>-666.479516333066 -285.8642073902 -243.264349673131</f>
        <v>-1195.608073396397</v>
      </c>
      <c r="Q640">
        <f>-500.443922881363 -135.953684939381 -332.762414766375</f>
        <v>-969.1600225871191</v>
      </c>
      <c r="R640" t="s">
        <v>6998</v>
      </c>
      <c r="S640" t="s">
        <v>6999</v>
      </c>
      <c r="T640" t="s">
        <v>7000</v>
      </c>
      <c r="U640" t="s">
        <v>7001</v>
      </c>
      <c r="V640">
        <f>-612.531522176076 -138.039847146162 -96.888247575742</f>
        <v>-847.45961689798003</v>
      </c>
      <c r="W640" t="s">
        <v>7002</v>
      </c>
      <c r="X640" t="s">
        <v>7003</v>
      </c>
      <c r="Y640" t="s">
        <v>7004</v>
      </c>
    </row>
    <row r="641" spans="1:25" x14ac:dyDescent="0.3">
      <c r="A641">
        <v>32000</v>
      </c>
      <c r="B641" t="s">
        <v>7005</v>
      </c>
      <c r="C641">
        <f>-642.773268419491 -45.4927523771838 -98.772025872565</f>
        <v>-787.03804666923986</v>
      </c>
      <c r="D641">
        <f>-671.206676395772 -58.9981397157311 -210.241187935118</f>
        <v>-940.44600404662106</v>
      </c>
      <c r="E641">
        <f>-684.137217877003 -64.2153989251282 -307.874390213503</f>
        <v>-1056.2270070156342</v>
      </c>
      <c r="F641">
        <f>-691.753434071207 -66.5795873113299 -396.613524043246</f>
        <v>-1154.9465454257829</v>
      </c>
      <c r="G641">
        <f>-694.942244584906 -66.4845191278823 -485.653291640328</f>
        <v>-1247.0800553531162</v>
      </c>
      <c r="H641">
        <f>-694.741603903415 -63.7822252597488 -610.206268931666</f>
        <v>-1368.7300980948298</v>
      </c>
      <c r="I641">
        <f>-659.575739696331 -47.8078934228964 -683.780803509713</f>
        <v>-1391.1644366289404</v>
      </c>
      <c r="J641">
        <f>-703.574573689649 -38.6842676198969 -554.840429430584</f>
        <v>-1297.0992707401299</v>
      </c>
      <c r="K641" t="s">
        <v>7006</v>
      </c>
      <c r="L641" t="s">
        <v>7007</v>
      </c>
      <c r="M641" t="s">
        <v>7008</v>
      </c>
      <c r="N641">
        <f>-686.085143670837 -91.2584567258364 -555.952923858183</f>
        <v>-1333.2965242548564</v>
      </c>
      <c r="O641">
        <f>-646.602967572591 -220.178428528782 -529.0994389261</f>
        <v>-1395.880835027473</v>
      </c>
      <c r="P641">
        <f>-666.044020202271 -286.335274591644 -243.028592126128</f>
        <v>-1195.407886920043</v>
      </c>
      <c r="Q641">
        <f>-500.683089860206 -135.810778535386 -332.744839499329</f>
        <v>-969.23870789492094</v>
      </c>
      <c r="R641" t="s">
        <v>7009</v>
      </c>
      <c r="S641" t="s">
        <v>7010</v>
      </c>
      <c r="T641" t="s">
        <v>7011</v>
      </c>
      <c r="U641" t="s">
        <v>7012</v>
      </c>
      <c r="V641">
        <f>-612.322312910139 -138.334074178159 -96.9184317000851</f>
        <v>-847.57481878838303</v>
      </c>
      <c r="W641" t="s">
        <v>7013</v>
      </c>
      <c r="X641" t="s">
        <v>7014</v>
      </c>
      <c r="Y641" t="s">
        <v>7015</v>
      </c>
    </row>
    <row r="642" spans="1:25" x14ac:dyDescent="0.3">
      <c r="A642">
        <v>32050</v>
      </c>
      <c r="B642" t="s">
        <v>7016</v>
      </c>
      <c r="C642">
        <f>-642.905033278534 -45.7277535345696 -98.7881370056817</f>
        <v>-787.42092381878535</v>
      </c>
      <c r="D642">
        <f>-671.373376826859 -59.3527478523898 -210.233792748688</f>
        <v>-940.95991742793683</v>
      </c>
      <c r="E642">
        <f>-684.322313730122 -64.6480866469801 -307.860291991012</f>
        <v>-1056.8306923681141</v>
      </c>
      <c r="F642">
        <f>-691.949670708831 -67.0742905316184 -396.596911693136</f>
        <v>-1155.6208729335854</v>
      </c>
      <c r="G642">
        <f>-695.144016219806 -67.0316897267468 -485.636426850769</f>
        <v>-1247.8121327973217</v>
      </c>
      <c r="H642">
        <f>-694.945516541607 -64.3927772382945 -610.190836579752</f>
        <v>-1369.5291303596537</v>
      </c>
      <c r="I642">
        <f>-659.819778021539 -48.3599065745727 -683.771751549034</f>
        <v>-1391.9514361451456</v>
      </c>
      <c r="J642">
        <f>-703.845106974383 -39.2892064259711 -554.838201044053</f>
        <v>-1297.9725144444071</v>
      </c>
      <c r="K642" t="s">
        <v>7017</v>
      </c>
      <c r="L642" t="s">
        <v>7018</v>
      </c>
      <c r="M642" t="s">
        <v>7019</v>
      </c>
      <c r="N642">
        <f>-686.220632583349 -91.8188715346175 -555.923023548344</f>
        <v>-1333.9625276663105</v>
      </c>
      <c r="O642">
        <f>-646.413156583713 -220.622626376995 -529.024484651796</f>
        <v>-1396.060267612504</v>
      </c>
      <c r="P642">
        <f>-665.796381355566 -286.704912307243 -242.932553721529</f>
        <v>-1195.4338473843382</v>
      </c>
      <c r="Q642">
        <f>-500.713819932047 -135.926216424941 -332.734594200497</f>
        <v>-969.37463055748503</v>
      </c>
      <c r="R642" t="s">
        <v>7020</v>
      </c>
      <c r="S642" t="s">
        <v>7021</v>
      </c>
      <c r="T642" t="s">
        <v>7022</v>
      </c>
      <c r="U642" t="s">
        <v>7023</v>
      </c>
      <c r="V642">
        <f>-612.229245143339 -138.491326244187 -96.9275582507508</f>
        <v>-847.64812963827683</v>
      </c>
      <c r="W642" t="s">
        <v>7024</v>
      </c>
      <c r="X642" t="s">
        <v>7025</v>
      </c>
      <c r="Y642" t="s">
        <v>7026</v>
      </c>
    </row>
    <row r="643" spans="1:25" x14ac:dyDescent="0.3">
      <c r="A643">
        <v>32100</v>
      </c>
      <c r="B643" t="s">
        <v>7027</v>
      </c>
      <c r="C643">
        <f>-643.253805565566 -46.1740319622588 -98.8045810007416</f>
        <v>-788.23241852856643</v>
      </c>
      <c r="D643">
        <f>-671.749950594517 -59.9879010267894 -210.21979057581</f>
        <v>-941.95764219711646</v>
      </c>
      <c r="E643">
        <f>-684.719105290424 -65.409638946554 -307.836755162241</f>
        <v>-1057.965499399219</v>
      </c>
      <c r="F643">
        <f>-692.36162917144 -67.938225775061 -396.569123689978</f>
        <v>-1156.8689786364789</v>
      </c>
      <c r="G643">
        <f>-695.568331782896 -67.9849664621323 -485.60822529774</f>
        <v>-1249.1615235427685</v>
      </c>
      <c r="H643">
        <f>-695.383932059886 -65.4571119512924 -610.165051502294</f>
        <v>-1371.0060955134722</v>
      </c>
      <c r="I643">
        <f>-660.315015620848 -49.3293002546542 -683.752285564121</f>
        <v>-1393.3966014396233</v>
      </c>
      <c r="J643">
        <f>-704.393802254392 -40.3436167610557 -554.834707199953</f>
        <v>-1299.5721262154007</v>
      </c>
      <c r="K643" t="s">
        <v>7028</v>
      </c>
      <c r="L643" t="s">
        <v>7029</v>
      </c>
      <c r="M643" t="s">
        <v>7030</v>
      </c>
      <c r="N643">
        <f>-686.536402483677 -92.795419162344 -555.87275525616</f>
        <v>-1335.2045769021811</v>
      </c>
      <c r="O643">
        <f>-646.153461611724 -221.401750092495 -528.875008025021</f>
        <v>-1396.43021972924</v>
      </c>
      <c r="P643">
        <f>-665.27408485113 -287.301548601573 -242.723154906433</f>
        <v>-1195.2987883591361</v>
      </c>
      <c r="Q643">
        <f>-500.659006058072 -136.064701825624 -332.61302471964</f>
        <v>-969.33673260333603</v>
      </c>
      <c r="R643" t="s">
        <v>7031</v>
      </c>
      <c r="S643" t="s">
        <v>7032</v>
      </c>
      <c r="T643" t="s">
        <v>7033</v>
      </c>
      <c r="U643" t="s">
        <v>7034</v>
      </c>
      <c r="V643">
        <f>-612.144473885445 -138.757295695792 -96.9120537137827</f>
        <v>-847.81382329501969</v>
      </c>
      <c r="W643" t="s">
        <v>7035</v>
      </c>
      <c r="X643" t="s">
        <v>7036</v>
      </c>
      <c r="Y643" t="s">
        <v>7037</v>
      </c>
    </row>
    <row r="644" spans="1:25" x14ac:dyDescent="0.3">
      <c r="A644">
        <v>32150</v>
      </c>
      <c r="B644" t="s">
        <v>7038</v>
      </c>
      <c r="C644">
        <f>-643.455895251403 -46.3203271111058 -98.8129472687971</f>
        <v>-788.58916963130594</v>
      </c>
      <c r="D644">
        <f>-671.952259686205 -60.2047468945971 -210.219401461881</f>
        <v>-942.37640804268312</v>
      </c>
      <c r="E644">
        <f>-684.918396693144 -65.6695405902658 -307.8343207769</f>
        <v>-1058.4222580603098</v>
      </c>
      <c r="F644">
        <f>-692.556593380044 -68.2308646554851 -396.566163500485</f>
        <v>-1157.3536215360141</v>
      </c>
      <c r="G644">
        <f>-695.757568619091 -68.3030588257332 -485.605454766933</f>
        <v>-1249.6660822117572</v>
      </c>
      <c r="H644">
        <f>-695.563768779089 -65.8030515562903 -610.162662709211</f>
        <v>-1371.5294830445901</v>
      </c>
      <c r="I644">
        <f>-660.518357460088 -49.6399043171862 -683.753603497213</f>
        <v>-1393.9118652744874</v>
      </c>
      <c r="J644">
        <f>-704.627534925808 -40.6940377534236 -554.839244972715</f>
        <v>-1300.1608176519467</v>
      </c>
      <c r="K644" t="s">
        <v>7039</v>
      </c>
      <c r="L644" t="s">
        <v>7040</v>
      </c>
      <c r="M644" t="s">
        <v>7041</v>
      </c>
      <c r="N644">
        <f>-686.670592427106 -93.1122931746446 -555.863263080631</f>
        <v>-1335.6461486823816</v>
      </c>
      <c r="O644">
        <f>-646.049873028065 -221.63434448539 -528.819800720352</f>
        <v>-1396.5040182338071</v>
      </c>
      <c r="P644">
        <f>-665.102026232048 -287.455225465383 -242.645386810662</f>
        <v>-1195.2026385080931</v>
      </c>
      <c r="Q644">
        <f>-500.645503774366 -136.068724622241 -332.573445078592</f>
        <v>-969.28767347519897</v>
      </c>
      <c r="R644" t="s">
        <v>7042</v>
      </c>
      <c r="S644" t="s">
        <v>7043</v>
      </c>
      <c r="T644" t="s">
        <v>7044</v>
      </c>
      <c r="U644" t="s">
        <v>7045</v>
      </c>
      <c r="V644">
        <f>-612.129730350651 -138.887266762074 -96.9069523856816</f>
        <v>-847.92394949840661</v>
      </c>
      <c r="W644" t="s">
        <v>7046</v>
      </c>
      <c r="X644" t="s">
        <v>7047</v>
      </c>
      <c r="Y644" t="s">
        <v>7048</v>
      </c>
    </row>
    <row r="645" spans="1:25" x14ac:dyDescent="0.3">
      <c r="A645">
        <v>32200</v>
      </c>
      <c r="B645" t="s">
        <v>7049</v>
      </c>
      <c r="C645">
        <f>-643.850999267743 -46.6369683020938 -98.827454886395</f>
        <v>-789.31542245623177</v>
      </c>
      <c r="D645">
        <f>-672.282738039723 -60.6082892609913 -210.239666144196</f>
        <v>-943.13069344491032</v>
      </c>
      <c r="E645">
        <f>-685.167041239966 -66.1399396818031 -307.861555329575</f>
        <v>-1059.168536251344</v>
      </c>
      <c r="F645">
        <f>-692.720789651726 -68.7586693540359 -396.598979465958</f>
        <v>-1158.0784384717199</v>
      </c>
      <c r="G645">
        <f>-695.827558279815 -68.8838120418117 -485.641491766388</f>
        <v>-1250.3528620880147</v>
      </c>
      <c r="H645">
        <f>-695.49226045475 -66.452178831506 -610.199897757708</f>
        <v>-1372.1443370439638</v>
      </c>
      <c r="I645">
        <f>-660.450432096507 -50.2345364218687 -683.780314304306</f>
        <v>-1394.4652828226817</v>
      </c>
      <c r="J645">
        <f>-704.698041308386 -41.3400977034291 -554.901160395878</f>
        <v>-1300.9392994076932</v>
      </c>
      <c r="K645" t="s">
        <v>7050</v>
      </c>
      <c r="L645" t="s">
        <v>7051</v>
      </c>
      <c r="M645" t="s">
        <v>7052</v>
      </c>
      <c r="N645">
        <f>-686.581563879158 -93.7043088048974 -555.874647246245</f>
        <v>-1336.1605199303003</v>
      </c>
      <c r="O645">
        <f>-645.607764584393 -222.082801391398 -528.702731009553</f>
        <v>-1396.393296985344</v>
      </c>
      <c r="P645">
        <f>-664.629751531397 -287.768582398473 -242.495159656395</f>
        <v>-1194.8934935862649</v>
      </c>
      <c r="Q645">
        <f>-500.477449609773 -136.197064506178 -332.666964849057</f>
        <v>-969.34147896500804</v>
      </c>
      <c r="R645" t="s">
        <v>7053</v>
      </c>
      <c r="S645" t="s">
        <v>7054</v>
      </c>
      <c r="T645" t="s">
        <v>7055</v>
      </c>
      <c r="U645" t="s">
        <v>7056</v>
      </c>
      <c r="V645">
        <f>-612.268905188537 -139.102872209068 -96.902690562581</f>
        <v>-848.27446796018603</v>
      </c>
      <c r="W645" t="s">
        <v>7057</v>
      </c>
      <c r="X645" t="s">
        <v>7058</v>
      </c>
      <c r="Y645" t="s">
        <v>7059</v>
      </c>
    </row>
    <row r="646" spans="1:25" x14ac:dyDescent="0.3">
      <c r="A646">
        <v>32250</v>
      </c>
      <c r="B646" t="s">
        <v>7060</v>
      </c>
      <c r="C646">
        <f>-644.021626051159 -46.782984238331 -98.830512851623</f>
        <v>-789.63512314111301</v>
      </c>
      <c r="D646">
        <f>-672.427946537859 -60.7714344177189 -210.246981741185</f>
        <v>-943.44636269676289</v>
      </c>
      <c r="E646">
        <f>-685.263638769151 -66.3223234377977 -307.874254017082</f>
        <v>-1059.4602162240308</v>
      </c>
      <c r="F646">
        <f>-692.762622076987 -68.9603719810366 -396.615685970041</f>
        <v>-1158.3386800280646</v>
      </c>
      <c r="G646">
        <f>-695.804022529107 -69.1058458082015 -485.660596974426</f>
        <v>-1250.5704653117346</v>
      </c>
      <c r="H646">
        <f>-695.366568897284 -66.703966746614 -610.219158192987</f>
        <v>-1372.2896938368849</v>
      </c>
      <c r="I646">
        <f>-660.310223835631 -50.4686798203112 -683.788905520691</f>
        <v>-1394.5678091766331</v>
      </c>
      <c r="J646">
        <f>-704.644276987918 -41.5878991184102 -554.934254928564</f>
        <v>-1301.1664310348922</v>
      </c>
      <c r="K646" t="s">
        <v>7061</v>
      </c>
      <c r="L646" t="s">
        <v>7062</v>
      </c>
      <c r="M646" t="s">
        <v>7063</v>
      </c>
      <c r="N646">
        <f>-686.473893345742 -93.9339755849378 -555.879889355872</f>
        <v>-1336.2877582865517</v>
      </c>
      <c r="O646">
        <f>-645.391617810561 -222.261114802374 -528.627368204639</f>
        <v>-1396.2801008175738</v>
      </c>
      <c r="P646">
        <f>-664.432668525331 -287.838295696665 -242.39636820355</f>
        <v>-1194.667332425546</v>
      </c>
      <c r="Q646">
        <f>-500.400609454382 -136.234583705148 -332.732634654281</f>
        <v>-969.367827813811</v>
      </c>
      <c r="R646" t="s">
        <v>7064</v>
      </c>
      <c r="S646" t="s">
        <v>7065</v>
      </c>
      <c r="T646" t="s">
        <v>7066</v>
      </c>
      <c r="U646" t="s">
        <v>7067</v>
      </c>
      <c r="V646">
        <f>-612.384325322198 -139.167674742925 -96.8989082414421</f>
        <v>-848.45090830656511</v>
      </c>
      <c r="W646" t="s">
        <v>7068</v>
      </c>
      <c r="X646" t="s">
        <v>7069</v>
      </c>
      <c r="Y646" t="s">
        <v>7070</v>
      </c>
    </row>
    <row r="647" spans="1:25" x14ac:dyDescent="0.3">
      <c r="A647">
        <v>32300</v>
      </c>
      <c r="B647" t="s">
        <v>7071</v>
      </c>
      <c r="C647">
        <f>-644.328664964665 -46.9986897218751 -98.8406039812033</f>
        <v>-790.16795866774339</v>
      </c>
      <c r="D647">
        <f>-672.742069366502 -61.0074746590426 -210.252602399541</f>
        <v>-944.00214642508558</v>
      </c>
      <c r="E647">
        <f>-685.477656015879 -66.5852531054448 -307.891513225876</f>
        <v>-1059.9544223471999</v>
      </c>
      <c r="F647">
        <f>-692.843090419056 -69.2506632978417 -396.643419351871</f>
        <v>-1158.7371730687687</v>
      </c>
      <c r="G647">
        <f>-695.7081391193 -69.4267988335042 -485.693866184902</f>
        <v>-1250.8288041377061</v>
      </c>
      <c r="H647">
        <f>-694.979405568998 -67.0706447368243 -610.252081249476</f>
        <v>-1372.3021315552983</v>
      </c>
      <c r="I647">
        <f>-659.9118149994 -50.7970523952895 -683.80788399797</f>
        <v>-1394.5167513926594</v>
      </c>
      <c r="J647">
        <f>-704.410363910331 -41.9426740076167 -554.99852360765</f>
        <v>-1301.3515615255976</v>
      </c>
      <c r="K647" t="s">
        <v>7072</v>
      </c>
      <c r="L647" t="s">
        <v>7073</v>
      </c>
      <c r="M647" t="s">
        <v>7074</v>
      </c>
      <c r="N647">
        <f>-686.189748862462 -94.2723724405643 -555.881923598002</f>
        <v>-1336.3440449010282</v>
      </c>
      <c r="O647">
        <f>-645.061469755199 -222.542395015141 -528.450598704443</f>
        <v>-1396.054463474783</v>
      </c>
      <c r="P647">
        <f>-664.244243180658 -287.787098294816 -242.152875449907</f>
        <v>-1194.184216925381</v>
      </c>
      <c r="Q647">
        <f>-500.14850591155 -136.380030542918 -332.703071468523</f>
        <v>-969.23160792299086</v>
      </c>
      <c r="R647" t="s">
        <v>7075</v>
      </c>
      <c r="S647" t="s">
        <v>7076</v>
      </c>
      <c r="T647" t="s">
        <v>7077</v>
      </c>
      <c r="U647" t="s">
        <v>7078</v>
      </c>
      <c r="V647">
        <f>-612.574817827491 -139.295857797209 -96.9142309578906</f>
        <v>-848.78490658259057</v>
      </c>
      <c r="W647" t="s">
        <v>7079</v>
      </c>
      <c r="X647" t="s">
        <v>7080</v>
      </c>
      <c r="Y647" t="s">
        <v>7081</v>
      </c>
    </row>
    <row r="648" spans="1:25" x14ac:dyDescent="0.3">
      <c r="A648">
        <v>32350</v>
      </c>
      <c r="B648" t="s">
        <v>7082</v>
      </c>
      <c r="C648">
        <f>-644.447489287559 -47.1109079261496 -98.8502680177404</f>
        <v>-790.40866523144905</v>
      </c>
      <c r="D648">
        <f>-672.875389029461 -61.1252364148056 -210.257898077281</f>
        <v>-944.25852352154754</v>
      </c>
      <c r="E648">
        <f>-685.525966949657 -66.7137760825755 -307.907214027238</f>
        <v>-1060.1469570594704</v>
      </c>
      <c r="F648">
        <f>-692.774915682422 -69.3911747168247 -396.668273758044</f>
        <v>-1158.8343641572908</v>
      </c>
      <c r="G648">
        <f>-695.483670190158 -69.5812801828539 -485.723718679692</f>
        <v>-1250.7886690527039</v>
      </c>
      <c r="H648">
        <f>-694.495342387952 -67.2469661006224 -610.280452593088</f>
        <v>-1372.0227610816623</v>
      </c>
      <c r="I648">
        <f>-659.57292653082 -50.8288231675333 -683.873198441218</f>
        <v>-1394.2749481395713</v>
      </c>
      <c r="J648">
        <f>-704.043815467096 -42.1102054902137 -555.051104941909</f>
        <v>-1301.2051258992187</v>
      </c>
      <c r="K648" t="s">
        <v>7083</v>
      </c>
      <c r="L648" t="s">
        <v>7084</v>
      </c>
      <c r="M648" t="s">
        <v>7085</v>
      </c>
      <c r="N648">
        <f>-685.816588195291 -94.438290097818 -555.88712472481</f>
        <v>-1336.142003017919</v>
      </c>
      <c r="O648">
        <f>-644.770442504345 -222.719419017996 -528.365543589303</f>
        <v>-1395.8554051116439</v>
      </c>
      <c r="P648">
        <f>-664.181155370581 -287.798774965054 -242.045564885025</f>
        <v>-1194.0254952206601</v>
      </c>
      <c r="Q648">
        <f>-499.969787171253 -136.580382699206 -332.701615139449</f>
        <v>-969.25178500990808</v>
      </c>
      <c r="R648" t="s">
        <v>7086</v>
      </c>
      <c r="S648" t="s">
        <v>7087</v>
      </c>
      <c r="T648" t="s">
        <v>7088</v>
      </c>
      <c r="U648" t="s">
        <v>7089</v>
      </c>
      <c r="V648">
        <f>-612.649157205093 -139.392920577183 -96.9195881469641</f>
        <v>-848.9616659292401</v>
      </c>
      <c r="W648" t="s">
        <v>7090</v>
      </c>
      <c r="X648" t="s">
        <v>7091</v>
      </c>
      <c r="Y648" t="s">
        <v>7092</v>
      </c>
    </row>
    <row r="649" spans="1:25" x14ac:dyDescent="0.3">
      <c r="A649">
        <v>32400</v>
      </c>
      <c r="B649" t="s">
        <v>7093</v>
      </c>
      <c r="C649">
        <f>-644.667940386074 -47.4636888919887 -98.875738704132</f>
        <v>-791.00736798219464</v>
      </c>
      <c r="D649">
        <f>-673.109007333042 -61.4433593123164 -210.284487835774</f>
        <v>-944.83685448113238</v>
      </c>
      <c r="E649">
        <f>-685.48139063076 -67.0093713541633 -307.970710037327</f>
        <v>-1060.4614720222503</v>
      </c>
      <c r="F649">
        <f>-692.3616892687 -69.6677668997172 -396.761609680288</f>
        <v>-1158.7910658487053</v>
      </c>
      <c r="G649">
        <f>-694.584882907271 -69.8396624867299 -485.830556048876</f>
        <v>-1250.2551014428768</v>
      </c>
      <c r="H649">
        <f>-692.796295728071 -67.4805266141575 -610.377982804514</f>
        <v>-1370.6548051467425</v>
      </c>
      <c r="I649">
        <f>-658.755531797826 -50.3898962202095 -684.230268609817</f>
        <v>-1393.3756966278524</v>
      </c>
      <c r="J649">
        <f>-702.69498302647 -42.3532090149561 -555.20605489835</f>
        <v>-1300.2542469397761</v>
      </c>
      <c r="K649" t="s">
        <v>7094</v>
      </c>
      <c r="L649" t="s">
        <v>7095</v>
      </c>
      <c r="M649" t="s">
        <v>7096</v>
      </c>
      <c r="N649">
        <f>-684.471717537346 -94.6842903460611 -555.935565481824</f>
        <v>-1335.0915733652309</v>
      </c>
      <c r="O649">
        <f>-643.733729184247 -223.022072408193 -528.218683979382</f>
        <v>-1394.974485571822</v>
      </c>
      <c r="P649">
        <f>-664.395872598566 -287.707818734928 -241.89708625674</f>
        <v>-1194.0007775902341</v>
      </c>
      <c r="Q649">
        <f>-499.702637695964 -137.229368909708 -332.90929039037</f>
        <v>-969.84129699604205</v>
      </c>
      <c r="R649" t="s">
        <v>7097</v>
      </c>
      <c r="S649" t="s">
        <v>7098</v>
      </c>
      <c r="T649" t="s">
        <v>7099</v>
      </c>
      <c r="U649" t="s">
        <v>7100</v>
      </c>
      <c r="V649">
        <f>-612.888458301083 -139.761386219522 -96.9319213354003</f>
        <v>-849.58176585600529</v>
      </c>
      <c r="W649" t="s">
        <v>7101</v>
      </c>
      <c r="X649" t="s">
        <v>7102</v>
      </c>
      <c r="Y649" t="s">
        <v>7103</v>
      </c>
    </row>
    <row r="650" spans="1:25" x14ac:dyDescent="0.3">
      <c r="A650">
        <v>32450</v>
      </c>
      <c r="B650" t="s">
        <v>7104</v>
      </c>
      <c r="C650">
        <f>-644.815020341977 -47.6455093310058 -98.8718421514799</f>
        <v>-791.3323718244626</v>
      </c>
      <c r="D650">
        <f>-673.260083712777 -61.5850847033197 -210.284546066333</f>
        <v>-945.12971448242979</v>
      </c>
      <c r="E650">
        <f>-685.500000551987 -67.1336129671191 -307.98840845137</f>
        <v>-1060.622021970476</v>
      </c>
      <c r="F650">
        <f>-692.205697881212 -69.7821722650929 -396.79298009102</f>
        <v>-1158.780850237325</v>
      </c>
      <c r="G650">
        <f>-694.199450356363 -69.9500547496176 -485.867353685937</f>
        <v>-1250.0168587919175</v>
      </c>
      <c r="H650">
        <f>-692.033116447794 -67.5916438431782 -610.408779708923</f>
        <v>-1370.0335399998953</v>
      </c>
      <c r="I650">
        <f>-658.677493384232 -50.096404538746 -684.478657867444</f>
        <v>-1393.2525557904219</v>
      </c>
      <c r="J650">
        <f>-702.08975830484 -42.4606737862816 -555.267098541806</f>
        <v>-1299.8175306329276</v>
      </c>
      <c r="K650" t="s">
        <v>7105</v>
      </c>
      <c r="L650" t="s">
        <v>7106</v>
      </c>
      <c r="M650" t="s">
        <v>7107</v>
      </c>
      <c r="N650">
        <f>-683.883168147217 -94.7983066371984 -555.941495895063</f>
        <v>-1334.6229706794784</v>
      </c>
      <c r="O650">
        <f>-643.285087759318 -223.152841816198 -528.088338478476</f>
        <v>-1394.526268053992</v>
      </c>
      <c r="P650">
        <f>-665.014436105531 -287.598564793951 -241.791634983412</f>
        <v>-1194.4046358828941</v>
      </c>
      <c r="Q650">
        <f>-500.028937850961 -137.66409518887 -333.17171376399</f>
        <v>-970.86474680382094</v>
      </c>
      <c r="R650" t="s">
        <v>7108</v>
      </c>
      <c r="S650" t="s">
        <v>7109</v>
      </c>
      <c r="T650" t="s">
        <v>7110</v>
      </c>
      <c r="U650" t="s">
        <v>7111</v>
      </c>
      <c r="V650">
        <f>-613.086282008978 -139.925529015084 -96.9304708364572</f>
        <v>-849.94228186051907</v>
      </c>
      <c r="W650" t="s">
        <v>7112</v>
      </c>
      <c r="X650" t="s">
        <v>7113</v>
      </c>
      <c r="Y650" t="s">
        <v>7114</v>
      </c>
    </row>
    <row r="651" spans="1:25" x14ac:dyDescent="0.3">
      <c r="A651">
        <v>32500</v>
      </c>
      <c r="B651" t="s">
        <v>7115</v>
      </c>
      <c r="C651">
        <f>-645.238813126727 -47.6315868360806 -98.8265229170061</f>
        <v>-791.69692287981366</v>
      </c>
      <c r="D651">
        <f>-673.630455730284 -61.4939058870065 -210.262467378087</f>
        <v>-945.38682899537741</v>
      </c>
      <c r="E651">
        <f>-685.55324115673 -66.9939515199459 -308.008284710644</f>
        <v>-1060.5554773873198</v>
      </c>
      <c r="F651">
        <f>-691.862622156375 -69.6041279765334 -396.843158642551</f>
        <v>-1158.3099087754595</v>
      </c>
      <c r="G651">
        <f>-693.350798491868 -69.7392450477763 -485.927445516262</f>
        <v>-1249.0174890559063</v>
      </c>
      <c r="H651">
        <f>-690.364736534725 -67.340530377259 -610.451092483898</f>
        <v>-1368.1563593958822</v>
      </c>
      <c r="I651">
        <f>-658.406624085331 -49.1227206030005 -684.961641332294</f>
        <v>-1392.4909860206255</v>
      </c>
      <c r="J651">
        <f>-700.778556356943 -42.2254494592678 -555.368507446745</f>
        <v>-1298.3725132629556</v>
      </c>
      <c r="K651" t="s">
        <v>7116</v>
      </c>
      <c r="L651" t="s">
        <v>7117</v>
      </c>
      <c r="M651" t="s">
        <v>7118</v>
      </c>
      <c r="N651">
        <f>-682.578943269087 -94.5667894477072 -555.94018269328</f>
        <v>-1333.085915410074</v>
      </c>
      <c r="O651">
        <f>-642.168317373293 -222.917164387426 -527.794917162965</f>
        <v>-1392.880398923684</v>
      </c>
      <c r="P651">
        <f>-665.957032942872 -286.500669327367 -241.469173343766</f>
        <v>-1193.926875614005</v>
      </c>
      <c r="Q651">
        <f>-500.355006863653 -137.630810458665 -333.472572432095</f>
        <v>-971.45838975441302</v>
      </c>
      <c r="R651" t="s">
        <v>7119</v>
      </c>
      <c r="S651" t="s">
        <v>7120</v>
      </c>
      <c r="T651" t="s">
        <v>7121</v>
      </c>
      <c r="U651" t="s">
        <v>7122</v>
      </c>
      <c r="V651">
        <f>-613.506895075477 -139.803606088843 -96.9373215169098</f>
        <v>-850.24782268122988</v>
      </c>
      <c r="W651" t="s">
        <v>7123</v>
      </c>
      <c r="X651" t="s">
        <v>7124</v>
      </c>
      <c r="Y651" t="s">
        <v>7125</v>
      </c>
    </row>
    <row r="652" spans="1:25" x14ac:dyDescent="0.3">
      <c r="A652">
        <v>32550</v>
      </c>
      <c r="B652" t="s">
        <v>7126</v>
      </c>
      <c r="C652">
        <f>-645.366958659508 -47.5996461320761 -98.7876978542447</f>
        <v>-791.75430264582883</v>
      </c>
      <c r="D652">
        <f>-673.667075839937 -61.415911472839 -210.252584216778</f>
        <v>-945.33557152955393</v>
      </c>
      <c r="E652">
        <f>-685.396254865628 -66.8747824800053 -308.024254612028</f>
        <v>-1060.2952919576612</v>
      </c>
      <c r="F652">
        <f>-691.484335946071 -69.4466306494199 -396.875616584069</f>
        <v>-1157.80658317956</v>
      </c>
      <c r="G652">
        <f>-692.705430149798 -69.5420657059523 -485.963851274973</f>
        <v>-1248.2113471307232</v>
      </c>
      <c r="H652">
        <f>-689.298579436757 -67.0864780733862 -610.475732735349</f>
        <v>-1366.8607902454921</v>
      </c>
      <c r="I652">
        <f>-657.890868779752 -48.6130529506563 -685.1570497783</f>
        <v>-1391.6609715087084</v>
      </c>
      <c r="J652">
        <f>-699.904831321163 -41.9987023869464 -555.41727980286</f>
        <v>-1297.3208135109694</v>
      </c>
      <c r="K652" t="s">
        <v>7127</v>
      </c>
      <c r="L652" t="s">
        <v>7128</v>
      </c>
      <c r="M652" t="s">
        <v>7129</v>
      </c>
      <c r="N652">
        <f>-681.690754876211 -94.3353967616504 -555.951208960728</f>
        <v>-1331.9773605985893</v>
      </c>
      <c r="O652">
        <f>-641.303233390431 -222.664513202284 -527.676631768076</f>
        <v>-1391.6443783607911</v>
      </c>
      <c r="P652">
        <f>-665.895618848851 -285.943476447254 -241.351377605725</f>
        <v>-1193.1904729018299</v>
      </c>
      <c r="Q652">
        <f>-500.012402523877 -137.455782763186 -333.46560226934</f>
        <v>-970.93378755640299</v>
      </c>
      <c r="R652" t="s">
        <v>7130</v>
      </c>
      <c r="S652" t="s">
        <v>7131</v>
      </c>
      <c r="T652" t="s">
        <v>7132</v>
      </c>
      <c r="U652" t="s">
        <v>7133</v>
      </c>
      <c r="V652">
        <f>-613.608481663379 -139.695366264375 -96.938491282361</f>
        <v>-850.24233921011512</v>
      </c>
      <c r="W652" t="s">
        <v>7134</v>
      </c>
      <c r="X652" t="s">
        <v>7135</v>
      </c>
      <c r="Y652" t="s">
        <v>7136</v>
      </c>
    </row>
    <row r="653" spans="1:25" x14ac:dyDescent="0.3">
      <c r="A653">
        <v>32600</v>
      </c>
      <c r="B653" t="s">
        <v>7137</v>
      </c>
      <c r="C653">
        <f>-645.404447132813 -47.6362538497467 -98.7558653078084</f>
        <v>-791.79656629036811</v>
      </c>
      <c r="D653">
        <f>-673.515861110259 -61.3951901181597 -210.275723612933</f>
        <v>-945.18677484135173</v>
      </c>
      <c r="E653">
        <f>-684.92135801488 -66.7790860183214 -308.08973586887</f>
        <v>-1059.7901799020715</v>
      </c>
      <c r="F653">
        <f>-690.651944436025 -69.2719640427098 -396.967002455168</f>
        <v>-1156.8909109339029</v>
      </c>
      <c r="G653">
        <f>-691.451379496608 -69.2768296128693 -486.060330390652</f>
        <v>-1246.7885395001292</v>
      </c>
      <c r="H653">
        <f>-687.389288851143 -66.6825505782766 -610.549620858543</f>
        <v>-1364.6214602879627</v>
      </c>
      <c r="I653">
        <f>-656.634244525765 -47.8848043833319 -685.421436042979</f>
        <v>-1389.9404849520761</v>
      </c>
      <c r="J653">
        <f>-698.311235982796 -41.6652333633022 -555.520935747885</f>
        <v>-1295.4974050939832</v>
      </c>
      <c r="K653" t="s">
        <v>7138</v>
      </c>
      <c r="L653" t="s">
        <v>7139</v>
      </c>
      <c r="M653" t="s">
        <v>7140</v>
      </c>
      <c r="N653">
        <f>-680.0424640799 -93.9832034390565 -556.015080702295</f>
        <v>-1330.0407482212515</v>
      </c>
      <c r="O653">
        <f>-639.619030547529 -222.273621431841 -527.624309537097</f>
        <v>-1389.5169615164668</v>
      </c>
      <c r="P653">
        <f>-665.155907013333 -285.464316991492 -241.362164637378</f>
        <v>-1191.9823886422032</v>
      </c>
      <c r="Q653">
        <f>-498.830157308486 -137.250137773658 -333.118143221262</f>
        <v>-969.19843830340596</v>
      </c>
      <c r="R653" t="s">
        <v>7141</v>
      </c>
      <c r="S653" t="s">
        <v>7142</v>
      </c>
      <c r="T653" t="s">
        <v>7143</v>
      </c>
      <c r="U653" t="s">
        <v>7144</v>
      </c>
      <c r="V653">
        <f>-613.645592793068 -139.55423616765 -96.9413729115739</f>
        <v>-850.14120187229184</v>
      </c>
      <c r="W653" t="s">
        <v>7145</v>
      </c>
      <c r="X653" t="s">
        <v>7146</v>
      </c>
      <c r="Y653" t="s">
        <v>7147</v>
      </c>
    </row>
    <row r="654" spans="1:25" x14ac:dyDescent="0.3">
      <c r="A654">
        <v>32650</v>
      </c>
      <c r="B654" t="s">
        <v>7148</v>
      </c>
      <c r="C654">
        <f>-645.344068308992 -47.6387116130697 -98.755410380433</f>
        <v>-791.73819030249467</v>
      </c>
      <c r="D654">
        <f>-673.390163432368 -61.3912963178802 -210.292428973612</f>
        <v>-945.07388872386025</v>
      </c>
      <c r="E654">
        <f>-684.694776853638 -66.7430953841892 -308.120035671226</f>
        <v>-1059.5579079090533</v>
      </c>
      <c r="F654">
        <f>-690.315785754257 -69.1966980252071 -397.005511039025</f>
        <v>-1156.5179948184891</v>
      </c>
      <c r="G654">
        <f>-690.9876454039 -69.1514462467163 -486.099633004418</f>
        <v>-1246.2387246550343</v>
      </c>
      <c r="H654">
        <f>-686.728532793245 -66.4763032387409 -610.580676614089</f>
        <v>-1363.7855126460749</v>
      </c>
      <c r="I654">
        <f>-656.124352187608 -47.5938341037697 -685.493029374957</f>
        <v>-1389.2112156663347</v>
      </c>
      <c r="J654">
        <f>-697.757730132522 -41.5017373207547 -555.554042406641</f>
        <v>-1294.8135098599178</v>
      </c>
      <c r="K654" t="s">
        <v>7149</v>
      </c>
      <c r="L654" t="s">
        <v>7150</v>
      </c>
      <c r="M654" t="s">
        <v>7151</v>
      </c>
      <c r="N654">
        <f>-679.447745778922 -93.8052942749691 -556.051567637437</f>
        <v>-1329.3046076913281</v>
      </c>
      <c r="O654">
        <f>-638.961473259465 -222.076685997957 -527.66137961579</f>
        <v>-1388.6995388732121</v>
      </c>
      <c r="P654">
        <f>-664.737364396227 -285.530371403276 -241.478908824138</f>
        <v>-1191.746644623641</v>
      </c>
      <c r="Q654">
        <f>-498.35569592763 -137.194335740737 -332.936195953058</f>
        <v>-968.48622762142497</v>
      </c>
      <c r="R654" t="s">
        <v>7152</v>
      </c>
      <c r="S654" t="s">
        <v>7153</v>
      </c>
      <c r="T654" t="s">
        <v>7154</v>
      </c>
      <c r="U654" t="s">
        <v>7155</v>
      </c>
      <c r="V654">
        <f>-613.521455601466 -139.590585804066 -96.9398137704717</f>
        <v>-850.05185517600364</v>
      </c>
      <c r="W654" t="s">
        <v>7156</v>
      </c>
      <c r="X654" t="s">
        <v>7157</v>
      </c>
      <c r="Y654" t="s">
        <v>7158</v>
      </c>
    </row>
    <row r="655" spans="1:25" x14ac:dyDescent="0.3">
      <c r="A655">
        <v>32700</v>
      </c>
      <c r="B655" t="s">
        <v>7159</v>
      </c>
      <c r="C655">
        <f>-644.98125529361 -47.6110757164847 -98.7716338772298</f>
        <v>-791.36396488732453</v>
      </c>
      <c r="D655">
        <f>-672.968794794818 -61.3560447563237 -210.324263301128</f>
        <v>-944.64910285226972</v>
      </c>
      <c r="E655">
        <f>-684.164100994178 -66.6470758778812 -308.167680523416</f>
        <v>-1058.9788573954752</v>
      </c>
      <c r="F655">
        <f>-689.662165116009 -69.0246262845858 -397.062973924281</f>
        <v>-1155.7497653248756</v>
      </c>
      <c r="G655">
        <f>-690.187026464112 -68.8819337354286 -486.158135517651</f>
        <v>-1245.2270957171916</v>
      </c>
      <c r="H655">
        <f>-685.697678533268 -66.0482361506816 -610.627513823748</f>
        <v>-1362.3734285076976</v>
      </c>
      <c r="I655">
        <f>-655.095105653354 -47.1593581779892 -685.538745048978</f>
        <v>-1387.7932088803213</v>
      </c>
      <c r="J655">
        <f>-696.864117276917 -41.1562329269068 -555.591013994789</f>
        <v>-1293.6113641986128</v>
      </c>
      <c r="K655" t="s">
        <v>7160</v>
      </c>
      <c r="L655" t="s">
        <v>7161</v>
      </c>
      <c r="M655" t="s">
        <v>7162</v>
      </c>
      <c r="N655">
        <f>-678.482273565797 -93.4342713889963 -556.118186443912</f>
        <v>-1328.0347313987054</v>
      </c>
      <c r="O655">
        <f>-637.869786771568 -221.690932183035 -527.833323370266</f>
        <v>-1387.3940423248691</v>
      </c>
      <c r="P655">
        <f>-664.117735239173 -285.809328335672 -241.841966551816</f>
        <v>-1191.7690301266612</v>
      </c>
      <c r="Q655">
        <f>-497.870267727718 -137.118596768291 -332.966614183532</f>
        <v>-967.95547867954099</v>
      </c>
      <c r="R655" t="s">
        <v>7163</v>
      </c>
      <c r="S655" t="s">
        <v>7164</v>
      </c>
      <c r="T655" t="s">
        <v>7165</v>
      </c>
      <c r="U655" t="s">
        <v>7166</v>
      </c>
      <c r="V655">
        <f>-613.009819708323 -139.475630934652 -96.9551219282325</f>
        <v>-849.44057257120755</v>
      </c>
      <c r="W655" t="s">
        <v>7167</v>
      </c>
      <c r="X655" t="s">
        <v>7168</v>
      </c>
      <c r="Y655" t="s">
        <v>7169</v>
      </c>
    </row>
    <row r="656" spans="1:25" x14ac:dyDescent="0.3">
      <c r="A656">
        <v>32750</v>
      </c>
      <c r="B656" t="s">
        <v>7170</v>
      </c>
      <c r="C656">
        <f>-644.712818965072 -47.5959170286641 -98.7808950405117</f>
        <v>-791.08963103424776</v>
      </c>
      <c r="D656">
        <f>-672.681631131973 -61.3438484138892 -210.337894142442</f>
        <v>-944.36337368830414</v>
      </c>
      <c r="E656">
        <f>-683.847239296495 -66.5930724486485 -308.186912944571</f>
        <v>-1058.6272246897145</v>
      </c>
      <c r="F656">
        <f>-689.31252122773 -68.9153855969937 -397.085677749118</f>
        <v>-1155.3135845738418</v>
      </c>
      <c r="G656">
        <f>-689.798713402276 -68.7003819161002 -486.180901284638</f>
        <v>-1244.6799966030144</v>
      </c>
      <c r="H656">
        <f>-685.249088951565 -65.7475710698947 -610.645396945522</f>
        <v>-1361.6420569669817</v>
      </c>
      <c r="I656">
        <f>-654.57054553469 -46.9056758098759 -685.537609383264</f>
        <v>-1387.0138307278298</v>
      </c>
      <c r="J656">
        <f>-696.448159871849 -40.9101966680207 -555.590784068943</f>
        <v>-1292.9491406088127</v>
      </c>
      <c r="K656" t="s">
        <v>7171</v>
      </c>
      <c r="L656" t="s">
        <v>7172</v>
      </c>
      <c r="M656" t="s">
        <v>7173</v>
      </c>
      <c r="N656">
        <f>-678.054065572585 -93.1836192951572 -556.158572686844</f>
        <v>-1327.3962575545861</v>
      </c>
      <c r="O656">
        <f>-637.427029525084 -221.447907245697 -527.938176912904</f>
        <v>-1386.8131136836851</v>
      </c>
      <c r="P656">
        <f>-663.807217244784 -285.732212896684 -241.996307341735</f>
        <v>-1191.5357374832031</v>
      </c>
      <c r="Q656">
        <f>-497.614462922164 -136.963508026315 -333.093700260949</f>
        <v>-967.67167120942804</v>
      </c>
      <c r="R656" t="s">
        <v>7174</v>
      </c>
      <c r="S656" t="s">
        <v>7175</v>
      </c>
      <c r="T656" t="s">
        <v>7176</v>
      </c>
      <c r="U656" t="s">
        <v>7177</v>
      </c>
      <c r="V656">
        <f>-612.704957804071 -139.419248080344 -96.9711829672146</f>
        <v>-849.09538885162965</v>
      </c>
      <c r="W656" t="s">
        <v>7178</v>
      </c>
      <c r="X656" t="s">
        <v>7179</v>
      </c>
      <c r="Y656" t="s">
        <v>7180</v>
      </c>
    </row>
    <row r="657" spans="1:25" x14ac:dyDescent="0.3">
      <c r="A657">
        <v>32800</v>
      </c>
      <c r="B657" t="s">
        <v>7181</v>
      </c>
      <c r="C657">
        <f>-644.1413854342 -47.4236423207155 -98.7915058421182</f>
        <v>-790.35653359703372</v>
      </c>
      <c r="D657">
        <f>-672.090988808585 -61.1231026099739 -210.359156476762</f>
        <v>-943.57324789532095</v>
      </c>
      <c r="E657">
        <f>-683.237140208561 -66.3038948213585 -308.214068971938</f>
        <v>-1057.7551040018575</v>
      </c>
      <c r="F657">
        <f>-688.683460026127 -68.5537262527267 -397.115876704231</f>
        <v>-1154.3530629830848</v>
      </c>
      <c r="G657">
        <f>-689.149342042427 -68.2561088483395 -486.210894362548</f>
        <v>-1243.6163452533144</v>
      </c>
      <c r="H657">
        <f>-684.569815415816 -65.1775292121592 -610.671196854534</f>
        <v>-1360.4185414825092</v>
      </c>
      <c r="I657">
        <f>-653.566980331252 -46.6231675426719 -685.501621510666</f>
        <v>-1385.6917693845899</v>
      </c>
      <c r="J657">
        <f>-695.765463632643 -40.3900215233614 -555.593615791724</f>
        <v>-1291.7491009477285</v>
      </c>
      <c r="K657" t="s">
        <v>7182</v>
      </c>
      <c r="L657" t="s">
        <v>7183</v>
      </c>
      <c r="M657" t="s">
        <v>7184</v>
      </c>
      <c r="N657">
        <f>-677.404517087547 -92.6744575644268 -556.211293369922</f>
        <v>-1326.2902680218958</v>
      </c>
      <c r="O657">
        <f>-636.829289673939 -220.959821420864 -528.039522307759</f>
        <v>-1385.828633402562</v>
      </c>
      <c r="P657">
        <f>-663.356703199411 -285.487415593749 -242.165986845437</f>
        <v>-1191.010105638597</v>
      </c>
      <c r="Q657">
        <f>-497.224508094166 -136.672917799353 -333.298913748311</f>
        <v>-967.19633964183004</v>
      </c>
      <c r="R657" t="s">
        <v>7185</v>
      </c>
      <c r="S657" t="s">
        <v>7186</v>
      </c>
      <c r="T657" t="s">
        <v>7187</v>
      </c>
      <c r="U657" t="s">
        <v>7188</v>
      </c>
      <c r="V657">
        <f>-612.168363635313 -139.149650052604 -96.9985303699282</f>
        <v>-848.31654405784514</v>
      </c>
      <c r="W657" t="s">
        <v>7189</v>
      </c>
      <c r="X657" t="s">
        <v>7190</v>
      </c>
      <c r="Y657" t="s">
        <v>7191</v>
      </c>
    </row>
    <row r="658" spans="1:25" x14ac:dyDescent="0.3">
      <c r="A658">
        <v>32850</v>
      </c>
      <c r="B658" t="s">
        <v>7192</v>
      </c>
      <c r="C658">
        <f>-643.884557541265 -47.2395501790782 -98.7936723837672</f>
        <v>-789.91778010411042</v>
      </c>
      <c r="D658">
        <f>-671.820237226112 -60.9070340608881 -210.368882491012</f>
        <v>-943.09615377801208</v>
      </c>
      <c r="E658">
        <f>-682.963725988316 -66.0575140212692 -308.225727644733</f>
        <v>-1057.2469676543183</v>
      </c>
      <c r="F658">
        <f>-688.411644926607 -68.2788113123045 -397.128053899966</f>
        <v>-1153.8185101388774</v>
      </c>
      <c r="G658">
        <f>-688.882994008768 -67.9515956269285 -486.222992179017</f>
        <v>-1243.0575818147136</v>
      </c>
      <c r="H658">
        <f>-684.315209027464 -64.8309524276748 -610.682689441625</f>
        <v>-1359.8288508967639</v>
      </c>
      <c r="I658">
        <f>-653.078685380735 -46.5145923985086 -685.474538921963</f>
        <v>-1385.0678167012065</v>
      </c>
      <c r="J658">
        <f>-695.490421109348 -40.0566370612139 -555.594870653508</f>
        <v>-1291.14192882407</v>
      </c>
      <c r="K658" t="s">
        <v>7193</v>
      </c>
      <c r="L658" t="s">
        <v>7194</v>
      </c>
      <c r="M658" t="s">
        <v>7195</v>
      </c>
      <c r="N658">
        <f>-677.160144656654 -92.351647516979 -556.2333331876</f>
        <v>-1325.745125361233</v>
      </c>
      <c r="O658">
        <f>-636.626566139202 -220.661313986575 -528.09005881905</f>
        <v>-1385.3779389448271</v>
      </c>
      <c r="P658">
        <f>-663.359106783178 -285.263659787048 -242.252493520888</f>
        <v>-1190.8752600911141</v>
      </c>
      <c r="Q658">
        <f>-497.121178219591 -136.550596847279 -333.358170554246</f>
        <v>-967.02994562111598</v>
      </c>
      <c r="R658" t="s">
        <v>7196</v>
      </c>
      <c r="S658" t="s">
        <v>7197</v>
      </c>
      <c r="T658" t="s">
        <v>7198</v>
      </c>
      <c r="U658" t="s">
        <v>7199</v>
      </c>
      <c r="V658">
        <f>-611.958524942411 -138.873781859036 -97.0017230824614</f>
        <v>-847.83402988390833</v>
      </c>
      <c r="W658" t="s">
        <v>7200</v>
      </c>
      <c r="X658" t="s">
        <v>7201</v>
      </c>
      <c r="Y658" t="s">
        <v>7202</v>
      </c>
    </row>
    <row r="659" spans="1:25" x14ac:dyDescent="0.3">
      <c r="A659">
        <v>32900</v>
      </c>
      <c r="B659" t="s">
        <v>7203</v>
      </c>
      <c r="C659">
        <f>-643.383034586227 -46.9740763615504 -98.8118740360698</f>
        <v>-789.16898498384717</v>
      </c>
      <c r="D659">
        <f>-671.285451659907 -60.549056299652 -210.406571469252</f>
        <v>-942.24107942881096</v>
      </c>
      <c r="E659">
        <f>-682.404954280601 -65.5953391803072 -308.271563504115</f>
        <v>-1056.2718569650233</v>
      </c>
      <c r="F659">
        <f>-687.833190847991 -67.7120682941782 -397.177741155978</f>
        <v>-1152.7230002981471</v>
      </c>
      <c r="G659">
        <f>-688.286601700616 -67.2709220041844 -486.272177741671</f>
        <v>-1241.8297014464713</v>
      </c>
      <c r="H659">
        <f>-683.695741956077 -63.9815536376288 -610.726781392409</f>
        <v>-1358.4040769861149</v>
      </c>
      <c r="I659">
        <f>-651.871977781506 -46.2824140314723 -685.419495727984</f>
        <v>-1383.5738875409622</v>
      </c>
      <c r="J659">
        <f>-694.841123420391 -39.2680855768915 -555.605652811249</f>
        <v>-1289.7148618085316</v>
      </c>
      <c r="K659" t="s">
        <v>7204</v>
      </c>
      <c r="L659" t="s">
        <v>7205</v>
      </c>
      <c r="M659" t="s">
        <v>7206</v>
      </c>
      <c r="N659">
        <f>-676.590786495533 -91.5900114348161 -556.315195502619</f>
        <v>-1324.4959934329681</v>
      </c>
      <c r="O659">
        <f>-636.250870019256 -219.985338642179 -528.283777919546</f>
        <v>-1384.5199865809809</v>
      </c>
      <c r="P659">
        <f>-663.375756917828 -284.963990116932 -242.568467835231</f>
        <v>-1190.9082148699908</v>
      </c>
      <c r="Q659">
        <f>-496.820242746736 -136.375499905259 -333.296597264286</f>
        <v>-966.49233991628103</v>
      </c>
      <c r="R659" t="s">
        <v>7207</v>
      </c>
      <c r="S659" t="s">
        <v>7208</v>
      </c>
      <c r="T659" t="s">
        <v>7209</v>
      </c>
      <c r="U659" t="s">
        <v>7210</v>
      </c>
      <c r="V659">
        <f>-611.519417206993 -138.622894772408 -97.0343708790336</f>
        <v>-847.17668285843467</v>
      </c>
      <c r="W659" t="s">
        <v>7211</v>
      </c>
      <c r="X659" t="s">
        <v>7212</v>
      </c>
      <c r="Y659" t="s">
        <v>7213</v>
      </c>
    </row>
    <row r="660" spans="1:25" x14ac:dyDescent="0.3">
      <c r="A660">
        <v>32950</v>
      </c>
      <c r="B660" t="s">
        <v>7214</v>
      </c>
      <c r="C660">
        <f>-643.1645375784 -46.846973496194 -98.8163804856366</f>
        <v>-788.82789156023057</v>
      </c>
      <c r="D660">
        <f>-671.026883232764 -60.343501200381 -210.430643399884</f>
        <v>-941.80102783302891</v>
      </c>
      <c r="E660">
        <f>-682.09533457256 -65.3137941615552 -308.305383432678</f>
        <v>-1055.7145121667932</v>
      </c>
      <c r="F660">
        <f>-687.470600820772 -67.3590223844589 -397.216257123816</f>
        <v>-1152.0458803290469</v>
      </c>
      <c r="G660">
        <f>-687.864114799907 -66.8440658032916 -486.310678729806</f>
        <v>-1241.0188593330047</v>
      </c>
      <c r="H660">
        <f>-683.18206301154 -63.4501105784506 -610.759048299125</f>
        <v>-1357.3912218891155</v>
      </c>
      <c r="I660">
        <f>-651.0252686868 -46.1614272679983 -685.405362194326</f>
        <v>-1382.5920581491243</v>
      </c>
      <c r="J660">
        <f>-694.337921924423 -38.7725502432099 -555.623848001414</f>
        <v>-1288.7343201690469</v>
      </c>
      <c r="K660" t="s">
        <v>7215</v>
      </c>
      <c r="L660" t="s">
        <v>7216</v>
      </c>
      <c r="M660" t="s">
        <v>7217</v>
      </c>
      <c r="N660">
        <f>-676.146860501298 -91.1146698616394 -556.366992108568</f>
        <v>-1323.6285224715052</v>
      </c>
      <c r="O660">
        <f>-635.960282824857 -219.573288335873 -528.419085465741</f>
        <v>-1383.952656626471</v>
      </c>
      <c r="P660">
        <f>-663.494211994523 -284.822978052823 -242.804680404053</f>
        <v>-1191.121870451399</v>
      </c>
      <c r="Q660">
        <f>-496.684398671484 -136.350812327312 -333.255762193276</f>
        <v>-966.29097319207199</v>
      </c>
      <c r="R660" t="s">
        <v>7218</v>
      </c>
      <c r="S660" t="s">
        <v>7219</v>
      </c>
      <c r="T660" t="s">
        <v>7220</v>
      </c>
      <c r="U660" t="s">
        <v>7221</v>
      </c>
      <c r="V660">
        <f>-611.351981032058 -138.445258141195 -97.0584866684791</f>
        <v>-846.85572584173212</v>
      </c>
      <c r="W660" t="s">
        <v>7222</v>
      </c>
      <c r="X660" t="s">
        <v>7223</v>
      </c>
      <c r="Y660" t="s">
        <v>7224</v>
      </c>
    </row>
    <row r="661" spans="1:25" x14ac:dyDescent="0.3">
      <c r="A661">
        <v>33000</v>
      </c>
      <c r="B661" t="s">
        <v>7225</v>
      </c>
      <c r="C661">
        <f>-642.630264624203 -46.9838329555903 -98.8068444000472</f>
        <v>-788.42094197984056</v>
      </c>
      <c r="D661">
        <f>-670.319201945695 -60.1778736126518 -210.500345561925</f>
        <v>-940.99742112027172</v>
      </c>
      <c r="E661">
        <f>-681.171217427553 -64.8944513950532 -308.411812205599</f>
        <v>-1054.4774810282051</v>
      </c>
      <c r="F661">
        <f>-686.324481734301 -66.7120450253352 -397.340887504183</f>
        <v>-1150.3774142638192</v>
      </c>
      <c r="G661">
        <f>-686.469702794834 -65.9734987766774 -486.434537296248</f>
        <v>-1238.8777388677595</v>
      </c>
      <c r="H661">
        <f>-681.41367215922 -62.2718726449986 -610.859500322417</f>
        <v>-1354.5450451266356</v>
      </c>
      <c r="I661">
        <f>-648.587857512805 -45.9616371435941 -685.434684666059</f>
        <v>-1379.9841793224582</v>
      </c>
      <c r="J661">
        <f>-692.661092746175 -37.7050469048638 -555.693472400501</f>
        <v>-1286.0596120515397</v>
      </c>
      <c r="K661" t="s">
        <v>7226</v>
      </c>
      <c r="L661" t="s">
        <v>7227</v>
      </c>
      <c r="M661" t="s">
        <v>7228</v>
      </c>
      <c r="N661">
        <f>-674.616029910735 -90.0964577066977 -556.518892988666</f>
        <v>-1321.2313806060988</v>
      </c>
      <c r="O661">
        <f>-634.871818288256 -218.727196260396 -528.735942879237</f>
        <v>-1382.3349574278891</v>
      </c>
      <c r="P661">
        <f>-663.649065102661 -284.561144966363 -243.378446649167</f>
        <v>-1191.588656718191</v>
      </c>
      <c r="Q661">
        <f>-496.118902691165 -136.4515259229 -333.08918073958</f>
        <v>-965.65960935364501</v>
      </c>
      <c r="R661" t="s">
        <v>7229</v>
      </c>
      <c r="S661" t="s">
        <v>7230</v>
      </c>
      <c r="T661" t="s">
        <v>7231</v>
      </c>
      <c r="U661" t="s">
        <v>7232</v>
      </c>
      <c r="V661">
        <f>-611.078775842557 -138.475730966031 -97.1038213928115</f>
        <v>-846.65832820139951</v>
      </c>
      <c r="W661" t="s">
        <v>7233</v>
      </c>
      <c r="X661" t="s">
        <v>7234</v>
      </c>
      <c r="Y661" t="s">
        <v>7235</v>
      </c>
    </row>
    <row r="662" spans="1:25" x14ac:dyDescent="0.3">
      <c r="A662">
        <v>33050</v>
      </c>
      <c r="B662" t="s">
        <v>7236</v>
      </c>
      <c r="C662">
        <f>-642.334541627675 -47.3904018855692 -98.7817165876463</f>
        <v>-788.50666010089049</v>
      </c>
      <c r="D662">
        <f>-669.835039459419 -60.2363915408781 -210.562385869425</f>
        <v>-940.63381686972207</v>
      </c>
      <c r="E662">
        <f>-680.485533523746 -64.7220863411322 -308.506812606644</f>
        <v>-1053.7144324715223</v>
      </c>
      <c r="F662">
        <f>-685.442479514267 -66.3572172699932 -397.450623143657</f>
        <v>-1149.2503199279172</v>
      </c>
      <c r="G662">
        <f>-685.377727403498 -65.4628679586322 -486.542950937361</f>
        <v>-1237.3835462994912</v>
      </c>
      <c r="H662">
        <f>-680.014935623718 -61.5719384941859 -610.949165727317</f>
        <v>-1352.5360398452208</v>
      </c>
      <c r="I662">
        <f>-646.898026382435 -45.7881170484266 -685.508963868394</f>
        <v>-1378.1951072992556</v>
      </c>
      <c r="J662">
        <f>-691.339522194329 -37.0689428873654 -555.770574881364</f>
        <v>-1284.1790399630586</v>
      </c>
      <c r="K662" t="s">
        <v>7237</v>
      </c>
      <c r="L662" t="s">
        <v>7238</v>
      </c>
      <c r="M662" t="s">
        <v>7239</v>
      </c>
      <c r="N662">
        <f>-673.410086926451 -89.4993011634667 -556.637677564536</f>
        <v>-1319.5470656544537</v>
      </c>
      <c r="O662">
        <f>-634.001520755047 -218.260905636708 -528.936449741632</f>
        <v>-1381.1988761333869</v>
      </c>
      <c r="P662">
        <f>-663.605300016444 -284.276431559103 -243.705330492659</f>
        <v>-1191.587062068206</v>
      </c>
      <c r="Q662">
        <f>-495.621014331248 -136.40369093033 -332.956730038649</f>
        <v>-964.98143530022708</v>
      </c>
      <c r="R662" t="s">
        <v>7240</v>
      </c>
      <c r="S662" t="s">
        <v>7241</v>
      </c>
      <c r="T662" t="s">
        <v>7242</v>
      </c>
      <c r="U662" t="s">
        <v>7243</v>
      </c>
      <c r="V662">
        <f>-611.019616082529 -138.984105899803 -97.1235345924565</f>
        <v>-847.12725657478848</v>
      </c>
      <c r="W662" t="s">
        <v>7244</v>
      </c>
      <c r="X662" t="s">
        <v>7245</v>
      </c>
      <c r="Y662" t="s">
        <v>7246</v>
      </c>
    </row>
    <row r="663" spans="1:25" x14ac:dyDescent="0.3">
      <c r="A663">
        <v>33100</v>
      </c>
      <c r="B663" t="s">
        <v>7247</v>
      </c>
      <c r="C663">
        <f>-641.345476575837 -49.618974111692 -98.4823832051379</f>
        <v>-789.44683389266686</v>
      </c>
      <c r="D663">
        <f>-668.288325581381 -61.4927502846298 -210.506099281869</f>
        <v>-940.28717514787968</v>
      </c>
      <c r="E663">
        <f>-678.306336426582 -65.3652429813154 -308.543310776179</f>
        <v>-1052.2148901840765</v>
      </c>
      <c r="F663">
        <f>-682.635609708199 -66.5292686173948 -397.527396618782</f>
        <v>-1146.6922749443759</v>
      </c>
      <c r="G663">
        <f>-681.889205588941 -65.2499573210091 -486.611765744908</f>
        <v>-1233.7509286548579</v>
      </c>
      <c r="H663">
        <f>-675.519983528056 -60.9103066147134 -610.955727292163</f>
        <v>-1347.3860174349325</v>
      </c>
      <c r="I663">
        <f>-641.94907623641 -46.2518872387083 -685.542280586322</f>
        <v>-1373.7432440614402</v>
      </c>
      <c r="J663">
        <f>-687.100350592428 -36.5422181519518 -555.770647974898</f>
        <v>-1279.4132167192779</v>
      </c>
      <c r="K663" t="s">
        <v>7248</v>
      </c>
      <c r="L663" t="s">
        <v>7249</v>
      </c>
      <c r="M663" t="s">
        <v>7250</v>
      </c>
      <c r="N663">
        <f>-669.545130553499 -89.0978586455238 -556.705676872045</f>
        <v>-1315.3486660710678</v>
      </c>
      <c r="O663">
        <f>-631.224971754331 -218.213397097206 -529.122232927279</f>
        <v>-1378.5606017788159</v>
      </c>
      <c r="P663">
        <f>-663.192111412017 -284.816814536998 -244.283149274883</f>
        <v>-1192.2920752238979</v>
      </c>
      <c r="Q663">
        <f>-494.081854406094 -137.496689053905 -332.313543768195</f>
        <v>-963.89208722819399</v>
      </c>
      <c r="R663" t="s">
        <v>7251</v>
      </c>
      <c r="S663" t="s">
        <v>7252</v>
      </c>
      <c r="T663" t="s">
        <v>7253</v>
      </c>
      <c r="U663" t="s">
        <v>7254</v>
      </c>
      <c r="V663">
        <f>-610.993907474344 -141.641712172133 -96.8972983012502</f>
        <v>-849.53291794772724</v>
      </c>
      <c r="W663" t="s">
        <v>7255</v>
      </c>
      <c r="X663" t="s">
        <v>7256</v>
      </c>
      <c r="Y663" t="s">
        <v>7257</v>
      </c>
    </row>
    <row r="664" spans="1:25" x14ac:dyDescent="0.3">
      <c r="A664">
        <v>33150</v>
      </c>
      <c r="B664" t="s">
        <v>7258</v>
      </c>
      <c r="C664">
        <f>-641.015182908285 -51.2111834360878 -97.9687741284922</f>
        <v>-790.19514047286509</v>
      </c>
      <c r="D664">
        <f>-667.659227451606 -62.4909047754417 -210.125319326961</f>
        <v>-940.27545155400867</v>
      </c>
      <c r="E664">
        <f>-677.25373567345 -65.9906237974793 -308.218929469398</f>
        <v>-1051.4632889403274</v>
      </c>
      <c r="F664">
        <f>-681.13660596553 -66.8681341234196 -397.226707840798</f>
        <v>-1145.2314479297474</v>
      </c>
      <c r="G664">
        <f>-679.881610690935 -65.3539361420484 -486.30183795471</f>
        <v>-1231.5373847876933</v>
      </c>
      <c r="H664">
        <f>-672.738527449814 -60.7396138541632 -610.593896477452</f>
        <v>-1344.0720377814291</v>
      </c>
      <c r="I664">
        <f>-638.960050169645 -46.702219989106 -685.206141997007</f>
        <v>-1370.8684121557581</v>
      </c>
      <c r="J664">
        <f>-684.535829407618 -36.4515250972772 -555.419321657815</f>
        <v>-1276.4066761627103</v>
      </c>
      <c r="K664" t="s">
        <v>7259</v>
      </c>
      <c r="L664" t="s">
        <v>7260</v>
      </c>
      <c r="M664" t="s">
        <v>7261</v>
      </c>
      <c r="N664">
        <f>-667.227863245034 -89.0887200553182 -556.378785959613</f>
        <v>-1312.695369259965</v>
      </c>
      <c r="O664">
        <f>-629.67344984852 -218.432821408701 -528.862949434989</f>
        <v>-1376.96922069221</v>
      </c>
      <c r="P664">
        <f>-663.350499861537 -285.401408260002 -244.306717878147</f>
        <v>-1193.058625999686</v>
      </c>
      <c r="Q664">
        <f>-493.45095522858 -138.524034025335 -331.553841274208</f>
        <v>-963.52883052812308</v>
      </c>
      <c r="R664" t="s">
        <v>7262</v>
      </c>
      <c r="S664" t="s">
        <v>7263</v>
      </c>
      <c r="T664" t="s">
        <v>7264</v>
      </c>
      <c r="U664" t="s">
        <v>7265</v>
      </c>
      <c r="V664">
        <f>-611.154605541493 -143.357112758321 -96.5232772507368</f>
        <v>-851.03499555055078</v>
      </c>
      <c r="W664" t="s">
        <v>7266</v>
      </c>
      <c r="X664" t="s">
        <v>7267</v>
      </c>
      <c r="Y664" t="s">
        <v>7268</v>
      </c>
    </row>
    <row r="665" spans="1:25" x14ac:dyDescent="0.3">
      <c r="A665">
        <v>33200</v>
      </c>
      <c r="B665" t="s">
        <v>7269</v>
      </c>
      <c r="C665">
        <f>-639.939385844837 -55.6640974245506 -95.8771498614195</f>
        <v>-791.48063313080718</v>
      </c>
      <c r="D665">
        <f>-665.512628773273 -65.5069319435661 -208.417628876055</f>
        <v>-939.43718959289413</v>
      </c>
      <c r="E665">
        <f>-673.846787181235 -68.12092608912 -306.653875395185</f>
        <v>-1048.62158866554</v>
      </c>
      <c r="F665">
        <f>-676.462385756396 -68.3279196338813 -395.712040959658</f>
        <v>-1140.5023463499351</v>
      </c>
      <c r="G665">
        <f>-673.815579969384 -66.2774501916869 -484.745897236746</f>
        <v>-1224.8389273978169</v>
      </c>
      <c r="H665">
        <f>-664.602458188007 -61.0544429617585 -608.877486172293</f>
        <v>-1334.5343873220584</v>
      </c>
      <c r="I665">
        <f>-630.179219102458 -48.3987877794384 -683.442242172927</f>
        <v>-1362.0202490548234</v>
      </c>
      <c r="J665">
        <f>-676.989442966406 -36.9309485398005 -553.760027457166</f>
        <v>-1267.6804189633726</v>
      </c>
      <c r="K665" t="s">
        <v>7270</v>
      </c>
      <c r="L665" t="s">
        <v>7271</v>
      </c>
      <c r="M665" t="s">
        <v>7272</v>
      </c>
      <c r="N665">
        <f>-660.323907101004 -89.7746671813496 -554.746739111792</f>
        <v>-1304.8453133941457</v>
      </c>
      <c r="O665">
        <f>-624.855885450435 -219.748931568923 -527.405304707727</f>
        <v>-1372.0101217270851</v>
      </c>
      <c r="P665">
        <f>-662.461987490295 -287.912759819502 -243.626086760043</f>
        <v>-1194.00083406984</v>
      </c>
      <c r="Q665">
        <f>-490.803098914812 -142.041620765717 -329.099396798477</f>
        <v>-961.94411647900597</v>
      </c>
      <c r="R665" t="s">
        <v>7273</v>
      </c>
      <c r="S665" t="s">
        <v>7274</v>
      </c>
      <c r="T665" t="s">
        <v>7275</v>
      </c>
      <c r="U665" t="s">
        <v>7276</v>
      </c>
      <c r="V665">
        <f>-611.401769654843 -149.080532866888 -94.567493522649</f>
        <v>-855.04979604437995</v>
      </c>
      <c r="W665" t="s">
        <v>7277</v>
      </c>
      <c r="X665" t="s">
        <v>7278</v>
      </c>
      <c r="Y665" t="s">
        <v>7279</v>
      </c>
    </row>
    <row r="666" spans="1:25" x14ac:dyDescent="0.3">
      <c r="A666">
        <v>33250</v>
      </c>
      <c r="B666" t="s">
        <v>7280</v>
      </c>
      <c r="C666">
        <f>-639.722761296612 -58.7458176550805 -94.2402539529171</f>
        <v>-792.70883290460961</v>
      </c>
      <c r="D666">
        <f>-664.49588681887 -68.0885381125107 -207.002033509738</f>
        <v>-939.58645844111868</v>
      </c>
      <c r="E666">
        <f>-672.012371129439 -70.3241507146771 -305.313720514752</f>
        <v>-1047.6502423588681</v>
      </c>
      <c r="F666">
        <f>-673.839062147103 -70.2102470181648 -394.391647086893</f>
        <v>-1138.4409562521607</v>
      </c>
      <c r="G666">
        <f>-670.354478194765 -67.8651407025202 -483.389516719413</f>
        <v>-1221.609135616698</v>
      </c>
      <c r="H666">
        <f>-659.921293244357 -62.2604767838708 -607.407743661225</f>
        <v>-1329.5895136894528</v>
      </c>
      <c r="I666">
        <f>-625.051150291962 -50.2563483864707 -681.872510558552</f>
        <v>-1357.1800092369847</v>
      </c>
      <c r="J666">
        <f>-672.651260053625 -38.2449472424933 -552.32136039596</f>
        <v>-1263.2175676920783</v>
      </c>
      <c r="K666" t="s">
        <v>7281</v>
      </c>
      <c r="L666" t="s">
        <v>7282</v>
      </c>
      <c r="M666" t="s">
        <v>7283</v>
      </c>
      <c r="N666">
        <f>-656.373625977697 -91.2085922112594 -553.345472025042</f>
        <v>-1300.9276902139984</v>
      </c>
      <c r="O666">
        <f>-622.254587363218 -221.568276918083 -526.139316267871</f>
        <v>-1369.962180549172</v>
      </c>
      <c r="P666">
        <f>-662.316103263548 -290.386672613074 -242.854442510342</f>
        <v>-1195.557218386964</v>
      </c>
      <c r="Q666">
        <f>-489.585919283618 -145.177882510811 -327.291172392514</f>
        <v>-962.05497418694301</v>
      </c>
      <c r="R666" t="s">
        <v>7284</v>
      </c>
      <c r="S666" t="s">
        <v>7285</v>
      </c>
      <c r="T666" t="s">
        <v>7286</v>
      </c>
      <c r="U666" t="s">
        <v>7287</v>
      </c>
      <c r="V666">
        <f>-611.860766114022 -151.981710871075 -92.9542827619891</f>
        <v>-856.79675974708607</v>
      </c>
      <c r="W666" t="s">
        <v>7288</v>
      </c>
      <c r="X666" t="s">
        <v>7289</v>
      </c>
      <c r="Y666" t="s">
        <v>7290</v>
      </c>
    </row>
    <row r="667" spans="1:25" x14ac:dyDescent="0.3">
      <c r="A667">
        <v>33300</v>
      </c>
      <c r="B667" t="s">
        <v>7291</v>
      </c>
      <c r="C667">
        <f>-638.645999599203 -65.6020867965134 -90.7284053535938</f>
        <v>-794.97649174931018</v>
      </c>
      <c r="D667">
        <f>-661.676527505645 -74.4760058010343 -203.896685539643</f>
        <v>-940.04921884632222</v>
      </c>
      <c r="E667">
        <f>-667.241011012636 -76.2092612444483 -302.34822398284</f>
        <v>-1045.7984962399244</v>
      </c>
      <c r="F667">
        <f>-667.122219394536 -75.6090913882739 -391.442955894154</f>
        <v>-1134.174266676964</v>
      </c>
      <c r="G667">
        <f>-661.514222790392 -72.756694870569 -480.317255309681</f>
        <v>-1214.5881729706421</v>
      </c>
      <c r="H667">
        <f>-647.931997625025 -66.4298134882516 -603.99556115146</f>
        <v>-1318.3573722647366</v>
      </c>
      <c r="I667">
        <f>-611.814281071848 -55.4319780132086 -678.019710012536</f>
        <v>-1345.2659690975925</v>
      </c>
      <c r="J667">
        <f>-661.74614821551 -42.6410090338834 -549.072122934393</f>
        <v>-1253.4592801837862</v>
      </c>
      <c r="K667" t="s">
        <v>7292</v>
      </c>
      <c r="L667" t="s">
        <v>7293</v>
      </c>
      <c r="M667" t="s">
        <v>7294</v>
      </c>
      <c r="N667">
        <f>-646.071653975055 -95.7868637958951 -550.06948940738</f>
        <v>-1291.9280071783301</v>
      </c>
      <c r="O667">
        <f>-614.371052018212 -226.767353630548 -522.906502028491</f>
        <v>-1364.0449076772511</v>
      </c>
      <c r="P667">
        <f>-661.532393741189 -297.313088325481 -241.143565545232</f>
        <v>-1199.9890476119019</v>
      </c>
      <c r="Q667">
        <f>-486.4682230781 -153.60452000177 -323.309649660052</f>
        <v>-963.3823927399219</v>
      </c>
      <c r="R667" t="s">
        <v>7295</v>
      </c>
      <c r="S667" t="s">
        <v>7296</v>
      </c>
      <c r="T667" t="s">
        <v>7297</v>
      </c>
      <c r="U667" t="s">
        <v>7298</v>
      </c>
      <c r="V667">
        <f>-610.321519956493 -158.681511313625 -90.0867599848948</f>
        <v>-859.08979125501287</v>
      </c>
      <c r="W667" t="s">
        <v>7299</v>
      </c>
      <c r="X667" t="s">
        <v>7300</v>
      </c>
      <c r="Y667" t="s">
        <v>7301</v>
      </c>
    </row>
    <row r="668" spans="1:25" x14ac:dyDescent="0.3">
      <c r="A668">
        <v>33350</v>
      </c>
      <c r="B668" t="s">
        <v>7302</v>
      </c>
      <c r="C668">
        <f>-637.923558296068 -68.6170374459365 -89.620553724612</f>
        <v>-796.16114946661651</v>
      </c>
      <c r="D668">
        <f>-660.314924327463 -77.501362931635 -202.916172834599</f>
        <v>-940.732460093697</v>
      </c>
      <c r="E668">
        <f>-664.880436168348 -79.1463026762367 -301.420657356492</f>
        <v>-1045.4473962010766</v>
      </c>
      <c r="F668">
        <f>-663.677756462418 -78.4319576139386 -390.506444723277</f>
        <v>-1132.6161587996335</v>
      </c>
      <c r="G668">
        <f>-656.807639421992 -75.4363070900814 -479.287468026401</f>
        <v>-1211.5314145384743</v>
      </c>
      <c r="H668">
        <f>-641.279347677016 -68.8831298025132 -602.724559976687</f>
        <v>-1312.8870374562161</v>
      </c>
      <c r="I668">
        <f>-604.288024029851 -58.2010184429415 -676.36270915537</f>
        <v>-1338.8517516281627</v>
      </c>
      <c r="J668">
        <f>-655.875552044775 -45.1710703292744 -547.970587911659</f>
        <v>-1249.0172102857082</v>
      </c>
      <c r="K668" t="s">
        <v>7303</v>
      </c>
      <c r="L668" t="s">
        <v>7304</v>
      </c>
      <c r="M668" t="s">
        <v>7305</v>
      </c>
      <c r="N668">
        <f>-640.349563192522 -98.3626458537345 -548.841422833049</f>
        <v>-1287.5536318793056</v>
      </c>
      <c r="O668">
        <f>-609.527705264662 -229.507330855365 -521.447376470149</f>
        <v>-1360.482412590176</v>
      </c>
      <c r="P668">
        <f>-660.979404829641 -301.044058976283 -240.686936470115</f>
        <v>-1202.7104002760389</v>
      </c>
      <c r="Q668">
        <f>-484.704221884676 -157.980237459633 -321.375668778677</f>
        <v>-964.06012812298593</v>
      </c>
      <c r="R668" t="s">
        <v>7306</v>
      </c>
      <c r="S668" t="s">
        <v>7307</v>
      </c>
      <c r="T668" t="s">
        <v>7308</v>
      </c>
      <c r="U668" t="s">
        <v>7309</v>
      </c>
      <c r="V668">
        <f>-609.434258795172 -161.272113907197 -89.1654084691796</f>
        <v>-859.87178117154861</v>
      </c>
      <c r="W668" t="s">
        <v>7310</v>
      </c>
      <c r="X668" t="s">
        <v>7311</v>
      </c>
      <c r="Y668" t="s">
        <v>7312</v>
      </c>
    </row>
    <row r="669" spans="1:25" x14ac:dyDescent="0.3">
      <c r="A669">
        <v>33400</v>
      </c>
      <c r="B669" t="s">
        <v>7313</v>
      </c>
      <c r="C669">
        <f>-637.411264748296 -73.025704702404 -89.1600094159916</f>
        <v>-799.59697886669164</v>
      </c>
      <c r="D669">
        <f>-658.175479098429 -81.8629080001049 -202.76874985664</f>
        <v>-942.80713695517397</v>
      </c>
      <c r="E669">
        <f>-660.583729329205 -83.4822102476135 -301.349973402839</f>
        <v>-1045.4159129796574</v>
      </c>
      <c r="F669">
        <f>-657.128561530938 -82.7629509660468 -390.376767908133</f>
        <v>-1130.2682804051178</v>
      </c>
      <c r="G669">
        <f>-647.711968968307 -79.7884788365201 -478.924673558151</f>
        <v>-1206.4251213629782</v>
      </c>
      <c r="H669">
        <f>-628.326308616187 -73.3006893228035 -601.818560375899</f>
        <v>-1303.4455583148895</v>
      </c>
      <c r="I669">
        <f>-589.452450457344 -63.1247358068947 -674.552966348786</f>
        <v>-1327.1301526130246</v>
      </c>
      <c r="J669">
        <f>-644.574095085551 -49.5435979799375 -547.551439059553</f>
        <v>-1241.6691321250414</v>
      </c>
      <c r="K669" t="s">
        <v>7314</v>
      </c>
      <c r="L669" t="s">
        <v>7315</v>
      </c>
      <c r="M669" t="s">
        <v>7316</v>
      </c>
      <c r="N669">
        <f>-629.139896241885 -102.767692698423 -547.92661576156</f>
        <v>-1279.8342047018682</v>
      </c>
      <c r="O669">
        <f>-599.553655271294 -233.993225750615 -519.592687572223</f>
        <v>-1353.139568594132</v>
      </c>
      <c r="P669">
        <f>-659.615886821324 -307.583838524347 -241.082104708331</f>
        <v>-1208.2818300540021</v>
      </c>
      <c r="Q669">
        <f>-481.489345464155 -164.560781000144 -317.673531382083</f>
        <v>-963.72365784638191</v>
      </c>
      <c r="R669" t="s">
        <v>7317</v>
      </c>
      <c r="S669" t="s">
        <v>7318</v>
      </c>
      <c r="T669" t="s">
        <v>7319</v>
      </c>
      <c r="U669" t="s">
        <v>7320</v>
      </c>
      <c r="V669">
        <f>-608.975361322443 -165.313423215653 -88.7571123258318</f>
        <v>-863.04589686392774</v>
      </c>
      <c r="W669" t="s">
        <v>7321</v>
      </c>
      <c r="X669" t="s">
        <v>7322</v>
      </c>
      <c r="Y669" t="s">
        <v>7323</v>
      </c>
    </row>
    <row r="670" spans="1:25" x14ac:dyDescent="0.3">
      <c r="A670">
        <v>33450</v>
      </c>
      <c r="B670" t="s">
        <v>7324</v>
      </c>
      <c r="C670">
        <f>-637.524806823129 -74.5286427726552 -89.4786867274447</f>
        <v>-801.53213632322888</v>
      </c>
      <c r="D670">
        <f>-657.22973096542 -83.2415671008091 -203.285699919178</f>
        <v>-943.75699798540711</v>
      </c>
      <c r="E670">
        <f>-658.548585094221 -84.9117768227044 -301.886519359058</f>
        <v>-1045.3468812759834</v>
      </c>
      <c r="F670">
        <f>-654.039909453924 -84.3080350028041 -390.867155164002</f>
        <v>-1129.2150996207301</v>
      </c>
      <c r="G670">
        <f>-643.50532539156 -81.5209783369223 -479.295113999003</f>
        <v>-1204.3214177274854</v>
      </c>
      <c r="H670">
        <f>-622.493857121938 -75.3734909912696 -601.939014478187</f>
        <v>-1299.8063625913946</v>
      </c>
      <c r="I670">
        <f>-582.665913399414 -65.4861995330895 -674.195470045375</f>
        <v>-1322.3475829778786</v>
      </c>
      <c r="J670">
        <f>-639.459718241504 -51.4668045554769 -547.958105957748</f>
        <v>-1238.884628754729</v>
      </c>
      <c r="K670" t="s">
        <v>7325</v>
      </c>
      <c r="L670" t="s">
        <v>7326</v>
      </c>
      <c r="M670" t="s">
        <v>7327</v>
      </c>
      <c r="N670">
        <f>-624.020206067674 -104.690711304477 -547.98073590356</f>
        <v>-1276.6916532757109</v>
      </c>
      <c r="O670">
        <f>-594.841201005507 -235.857243924652 -519.013704468662</f>
        <v>-1349.7121493988211</v>
      </c>
      <c r="P670">
        <f>-658.893833128352 -310.250429982651 -241.607569894234</f>
        <v>-1210.7518330052369</v>
      </c>
      <c r="Q670">
        <f>-480.256166973527 -166.701578375173 -315.992921852946</f>
        <v>-962.95066720164596</v>
      </c>
      <c r="R670" t="s">
        <v>7328</v>
      </c>
      <c r="S670" t="s">
        <v>7329</v>
      </c>
      <c r="T670" t="s">
        <v>7330</v>
      </c>
      <c r="U670" t="s">
        <v>7331</v>
      </c>
      <c r="V670">
        <f>-609.155468071236 -166.502893857939 -88.9709698195064</f>
        <v>-864.62933174868147</v>
      </c>
      <c r="W670" t="s">
        <v>7332</v>
      </c>
      <c r="X670" t="s">
        <v>7333</v>
      </c>
      <c r="Y670" t="s">
        <v>7334</v>
      </c>
    </row>
    <row r="671" spans="1:25" x14ac:dyDescent="0.3">
      <c r="A671">
        <v>33500</v>
      </c>
      <c r="B671" t="s">
        <v>7335</v>
      </c>
      <c r="C671">
        <f>-637.941239130542 -75.5716885440179 -90.6117948983605</f>
        <v>-804.1247225729204</v>
      </c>
      <c r="D671">
        <f>-655.448342760434 -84.0164485921046 -204.797647003012</f>
        <v>-944.26243835555056</v>
      </c>
      <c r="E671">
        <f>-654.63381910636 -85.8482645476937 -303.401134062998</f>
        <v>-1043.8832177170516</v>
      </c>
      <c r="F671">
        <f>-648.108102188019 -85.5527243731186 -392.25815577924</f>
        <v>-1125.9189823403776</v>
      </c>
      <c r="G671">
        <f>-635.477933414049 -83.236208339952 -480.424805620332</f>
        <v>-1199.1389473743329</v>
      </c>
      <c r="H671">
        <f>-611.464478253355 -77.9174240835172 -602.555295720291</f>
        <v>-1291.9371980571632</v>
      </c>
      <c r="I671">
        <f>-569.871267879259 -68.7281806639825 -673.90362451044</f>
        <v>-1312.5030730536814</v>
      </c>
      <c r="J671">
        <f>-629.807370778779 -53.6648727871616 -549.182395956426</f>
        <v>-1232.6546395223668</v>
      </c>
      <c r="K671" t="s">
        <v>7336</v>
      </c>
      <c r="L671" t="s">
        <v>7337</v>
      </c>
      <c r="M671" t="s">
        <v>7338</v>
      </c>
      <c r="N671">
        <f>-614.255886813098 -106.851019296274 -548.441096432984</f>
        <v>-1269.5480025423558</v>
      </c>
      <c r="O671">
        <f>-585.583662781797 -237.814200450027 -518.043042177402</f>
        <v>-1341.4409054092259</v>
      </c>
      <c r="P671">
        <f>-656.766547313485 -313.019432823129 -242.600917922845</f>
        <v>-1212.3868980594591</v>
      </c>
      <c r="Q671">
        <f>-477.466473066392 -168.615316659889 -313.662860036447</f>
        <v>-959.74464976272793</v>
      </c>
      <c r="R671" t="s">
        <v>7339</v>
      </c>
      <c r="S671" t="s">
        <v>7340</v>
      </c>
      <c r="T671" t="s">
        <v>7341</v>
      </c>
      <c r="U671" t="s">
        <v>7342</v>
      </c>
      <c r="V671">
        <f>-608.919329808593 -167.186983065834 -89.9273855606865</f>
        <v>-866.03369843511348</v>
      </c>
      <c r="W671" t="s">
        <v>7343</v>
      </c>
      <c r="X671" t="s">
        <v>7344</v>
      </c>
      <c r="Y671" t="s">
        <v>7345</v>
      </c>
    </row>
    <row r="672" spans="1:25" x14ac:dyDescent="0.3">
      <c r="A672">
        <v>33550</v>
      </c>
      <c r="B672" t="s">
        <v>7346</v>
      </c>
      <c r="C672">
        <f>-638.001602403191 -75.8601399855817 -91.216298790428</f>
        <v>-805.07804117920068</v>
      </c>
      <c r="D672">
        <f>-654.610387294671 -84.2034335781198 -205.543720090864</f>
        <v>-944.35754096365474</v>
      </c>
      <c r="E672">
        <f>-652.838961142942 -86.1014756599309 -304.133453398509</f>
        <v>-1043.0738902013818</v>
      </c>
      <c r="F672">
        <f>-645.379141989465 -85.9279525393897 -392.917259721478</f>
        <v>-1124.2243542503327</v>
      </c>
      <c r="G672">
        <f>-631.751185752912 -83.794354261915 -480.939712428207</f>
        <v>-1196.4852524430339</v>
      </c>
      <c r="H672">
        <f>-606.281880576558 -78.7948718722623 -602.788521153643</f>
        <v>-1287.8652736024633</v>
      </c>
      <c r="I672">
        <f>-563.842569179035 -69.9442820329127 -673.679930473971</f>
        <v>-1307.4667816859187</v>
      </c>
      <c r="J672">
        <f>-625.308643718558 -54.417511613334 -549.712687492632</f>
        <v>-1229.4388428245238</v>
      </c>
      <c r="K672" t="s">
        <v>7347</v>
      </c>
      <c r="L672" t="s">
        <v>7348</v>
      </c>
      <c r="M672" t="s">
        <v>7349</v>
      </c>
      <c r="N672">
        <f>-609.670699850548 -107.572345648751 -548.625002297603</f>
        <v>-1265.8680477969019</v>
      </c>
      <c r="O672">
        <f>-581.200859838261 -238.426713831056 -517.590733834482</f>
        <v>-1337.2183075037988</v>
      </c>
      <c r="P672">
        <f>-655.255093220137 -313.700595927136 -242.925572897954</f>
        <v>-1211.881262045227</v>
      </c>
      <c r="Q672">
        <f>-475.867900159006 -168.922147723492 -312.999155919606</f>
        <v>-957.789203802104</v>
      </c>
      <c r="R672" t="s">
        <v>7350</v>
      </c>
      <c r="S672" t="s">
        <v>7351</v>
      </c>
      <c r="T672" t="s">
        <v>7352</v>
      </c>
      <c r="U672" t="s">
        <v>7353</v>
      </c>
      <c r="V672">
        <f>-608.742903733042 -167.795017256777 -90.3057767801668</f>
        <v>-866.84369776998574</v>
      </c>
      <c r="W672" t="s">
        <v>7354</v>
      </c>
      <c r="X672" t="s">
        <v>7355</v>
      </c>
      <c r="Y672" t="s">
        <v>7356</v>
      </c>
    </row>
    <row r="673" spans="1:25" x14ac:dyDescent="0.3">
      <c r="A673">
        <v>33600</v>
      </c>
      <c r="B673" t="s">
        <v>7357</v>
      </c>
      <c r="C673">
        <f>-637.938162743591 -76.1199128560365 -92.1315871213881</f>
        <v>-806.18966272101557</v>
      </c>
      <c r="D673">
        <f>-652.992342414806 -84.340867875553 -206.682971838153</f>
        <v>-944.01618212851201</v>
      </c>
      <c r="E673">
        <f>-649.558308547963 -86.4045299964589 -305.225347269091</f>
        <v>-1041.188185813513</v>
      </c>
      <c r="F673">
        <f>-640.472586029143 -86.4926840157639 -393.857613114718</f>
        <v>-1120.8228831596248</v>
      </c>
      <c r="G673">
        <f>-625.105777697039 -84.7319856633487 -481.601588823392</f>
        <v>-1191.4393521837796</v>
      </c>
      <c r="H673">
        <f>-597.097403756978 -80.37033404843 -602.916552052316</f>
        <v>-1280.3842898577241</v>
      </c>
      <c r="I673">
        <f>-553.074342571779 -72.1089610947932 -672.907633783901</f>
        <v>-1298.0909374504731</v>
      </c>
      <c r="J673">
        <f>-617.304221537781 -55.7392513262706 -550.397035090954</f>
        <v>-1223.4405079550056</v>
      </c>
      <c r="K673" t="s">
        <v>7358</v>
      </c>
      <c r="L673" t="s">
        <v>7359</v>
      </c>
      <c r="M673" t="s">
        <v>7360</v>
      </c>
      <c r="N673">
        <f>-601.540884392601 -108.840075718148 -548.666756713173</f>
        <v>-1259.047716823922</v>
      </c>
      <c r="O673">
        <f>-573.368864449386 -239.465987212723 -516.396561452845</f>
        <v>-1329.2314131149542</v>
      </c>
      <c r="P673">
        <f>-651.16412067251 -314.42861507354 -242.681884149089</f>
        <v>-1208.274619895139</v>
      </c>
      <c r="Q673">
        <f>-472.180037264762 -168.557355579824 -311.508493887901</f>
        <v>-952.24588673248695</v>
      </c>
      <c r="R673" t="s">
        <v>7361</v>
      </c>
      <c r="S673" t="s">
        <v>7362</v>
      </c>
      <c r="T673" t="s">
        <v>7363</v>
      </c>
      <c r="U673" t="s">
        <v>7364</v>
      </c>
      <c r="V673">
        <f>-608.342614352982 -168.200275650349 -90.7158175323746</f>
        <v>-867.25870753570553</v>
      </c>
      <c r="W673" t="s">
        <v>7365</v>
      </c>
      <c r="X673" t="s">
        <v>7366</v>
      </c>
      <c r="Y673" t="s">
        <v>7367</v>
      </c>
    </row>
    <row r="674" spans="1:25" x14ac:dyDescent="0.3">
      <c r="A674">
        <v>33650</v>
      </c>
      <c r="B674" t="s">
        <v>7368</v>
      </c>
      <c r="C674">
        <f>-637.386330381728 -76.2239380492434 -92.4021002949205</f>
        <v>-806.01236872589197</v>
      </c>
      <c r="D674">
        <f>-651.777595423406 -84.4134631393486 -207.040950369097</f>
        <v>-943.23200893185151</v>
      </c>
      <c r="E674">
        <f>-647.673163830905 -86.5692917901204 -305.555628706792</f>
        <v>-1039.7980843278174</v>
      </c>
      <c r="F674">
        <f>-637.944404005372 -86.7899123194718 -394.119526179453</f>
        <v>-1118.8538425042968</v>
      </c>
      <c r="G674">
        <f>-621.901669270749 -85.2097887497617 -481.745869305544</f>
        <v>-1188.8573273260547</v>
      </c>
      <c r="H674">
        <f>-592.917868640336 -81.1507126455098 -602.841945696042</f>
        <v>-1276.9105269818879</v>
      </c>
      <c r="I674">
        <f>-548.234992264388 -73.1324995018923 -672.442061867854</f>
        <v>-1293.8095536341343</v>
      </c>
      <c r="J674">
        <f>-613.600870151557 -56.4056144110168 -550.561854607259</f>
        <v>-1220.5683391698328</v>
      </c>
      <c r="K674" t="s">
        <v>7369</v>
      </c>
      <c r="L674" t="s">
        <v>7370</v>
      </c>
      <c r="M674" t="s">
        <v>7371</v>
      </c>
      <c r="N674">
        <f>-597.743597198534 -109.468218743616 -548.545122638384</f>
        <v>-1255.7569385805341</v>
      </c>
      <c r="O674">
        <f>-569.586162264057 -239.953131116048 -515.698598966894</f>
        <v>-1325.2378923469989</v>
      </c>
      <c r="P674">
        <f>-648.956838051473 -314.639362549861 -242.360932658498</f>
        <v>-1205.9571332598321</v>
      </c>
      <c r="Q674">
        <f>-470.109986430538 -168.361574403335 -310.679754934822</f>
        <v>-949.15131576869499</v>
      </c>
      <c r="R674" t="s">
        <v>7372</v>
      </c>
      <c r="S674" t="s">
        <v>7373</v>
      </c>
      <c r="T674" t="s">
        <v>7374</v>
      </c>
      <c r="U674" t="s">
        <v>7375</v>
      </c>
      <c r="V674">
        <f>-607.520384498199 -168.255350415041 -90.778819593445</f>
        <v>-866.55455450668489</v>
      </c>
      <c r="W674" t="s">
        <v>7376</v>
      </c>
      <c r="X674" t="s">
        <v>7377</v>
      </c>
      <c r="Y674" t="s">
        <v>7378</v>
      </c>
    </row>
    <row r="675" spans="1:25" x14ac:dyDescent="0.3">
      <c r="A675">
        <v>33700</v>
      </c>
      <c r="B675" t="s">
        <v>7379</v>
      </c>
      <c r="C675">
        <f>-636.631182027703 -75.9291030173196 -92.7680784675201</f>
        <v>-805.32836351254264</v>
      </c>
      <c r="D675">
        <f>-649.860177470767 -83.976738428596 -207.556874937701</f>
        <v>-941.39379083706399</v>
      </c>
      <c r="E675">
        <f>-644.670643269216 -86.3168955399383 -306.016143883904</f>
        <v>-1037.0036826930584</v>
      </c>
      <c r="F675">
        <f>-633.931222284676 -86.831671843661 -394.461924524402</f>
        <v>-1115.224818652739</v>
      </c>
      <c r="G675">
        <f>-616.853946057963 -85.6715642941664 -481.899002556352</f>
        <v>-1184.4245129084813</v>
      </c>
      <c r="H675">
        <f>-586.404329266762 -82.3313943593486 -602.657073026128</f>
        <v>-1271.3927966522388</v>
      </c>
      <c r="I675">
        <f>-540.702799489283 -74.7424156663591 -671.641098191045</f>
        <v>-1287.0863133466871</v>
      </c>
      <c r="J675">
        <f>-607.8370937903 -57.3137607621306 -550.810362104621</f>
        <v>-1215.9612166570516</v>
      </c>
      <c r="K675" t="s">
        <v>7380</v>
      </c>
      <c r="L675" t="s">
        <v>7381</v>
      </c>
      <c r="M675" t="s">
        <v>7382</v>
      </c>
      <c r="N675">
        <f>-591.770355908528 -110.288635232745 -548.224441070504</f>
        <v>-1250.2834322117769</v>
      </c>
      <c r="O675">
        <f>-563.395079981095 -240.46610662485 -514.344475910237</f>
        <v>-1318.205662516182</v>
      </c>
      <c r="P675">
        <f>-645.787561526309 -314.793747235937 -241.80434029317</f>
        <v>-1202.385649055416</v>
      </c>
      <c r="Q675">
        <f>-467.107055920298 -167.815118406891 -309.04582496895</f>
        <v>-943.96799929613906</v>
      </c>
      <c r="R675" t="s">
        <v>7383</v>
      </c>
      <c r="S675" t="s">
        <v>7384</v>
      </c>
      <c r="T675" t="s">
        <v>7385</v>
      </c>
      <c r="U675" t="s">
        <v>7386</v>
      </c>
      <c r="V675">
        <f>-606.222827413744 -167.834010515721 -91.0004283964922</f>
        <v>-865.05726632595724</v>
      </c>
      <c r="W675" t="s">
        <v>7387</v>
      </c>
      <c r="X675" t="s">
        <v>7388</v>
      </c>
      <c r="Y675" t="s">
        <v>7389</v>
      </c>
    </row>
    <row r="676" spans="1:25" x14ac:dyDescent="0.3">
      <c r="A676">
        <v>33750</v>
      </c>
      <c r="B676" t="s">
        <v>7390</v>
      </c>
      <c r="C676">
        <f>-636.77394119017 -75.4151685513439 -92.9103411107633</f>
        <v>-805.09945085227719</v>
      </c>
      <c r="D676">
        <f>-649.551619794196 -83.3793360962743 -207.755982225435</f>
        <v>-940.68693811590526</v>
      </c>
      <c r="E676">
        <f>-643.948705262223 -85.7985238503542 -306.190867682918</f>
        <v>-1035.9380967954953</v>
      </c>
      <c r="F676">
        <f>-632.827179633502 -86.4472053461699 -394.588328491838</f>
        <v>-1113.86271347151</v>
      </c>
      <c r="G676">
        <f>-615.361879370676 -85.4826294031138 -481.951230680702</f>
        <v>-1182.7957394544919</v>
      </c>
      <c r="H676">
        <f>-584.365213693791 -82.4799939607163 -602.578812832097</f>
        <v>-1269.4240204866044</v>
      </c>
      <c r="I676">
        <f>-538.285112146303 -75.0897165781726 -671.332229148872</f>
        <v>-1284.7070578733476</v>
      </c>
      <c r="J676">
        <f>-606.087345882698 -57.3349518084519 -550.914603988445</f>
        <v>-1214.336901679595</v>
      </c>
      <c r="K676" t="s">
        <v>7391</v>
      </c>
      <c r="L676" t="s">
        <v>7392</v>
      </c>
      <c r="M676" t="s">
        <v>7393</v>
      </c>
      <c r="N676">
        <f>-589.923199912059 -110.267511498111 -548.078494096423</f>
        <v>-1248.2692055065932</v>
      </c>
      <c r="O676">
        <f>-561.415517935082 -240.29649830465 -513.75507662365</f>
        <v>-1315.4670928633818</v>
      </c>
      <c r="P676">
        <f>-645.02338281591 -314.52102659803 -241.557294544954</f>
        <v>-1201.1017039588939</v>
      </c>
      <c r="Q676">
        <f>-466.292160297326 -167.362687473102 -308.269051957231</f>
        <v>-941.92389972765898</v>
      </c>
      <c r="R676" t="s">
        <v>7394</v>
      </c>
      <c r="S676" t="s">
        <v>7395</v>
      </c>
      <c r="T676" t="s">
        <v>7396</v>
      </c>
      <c r="U676" t="s">
        <v>7397</v>
      </c>
      <c r="V676">
        <f>-606.130736904449 -167.230332622539 -91.1637789560991</f>
        <v>-864.52484848308711</v>
      </c>
      <c r="W676" t="s">
        <v>7398</v>
      </c>
      <c r="X676" t="s">
        <v>7399</v>
      </c>
      <c r="Y676" t="s">
        <v>7400</v>
      </c>
    </row>
    <row r="677" spans="1:25" x14ac:dyDescent="0.3">
      <c r="A677">
        <v>33800</v>
      </c>
      <c r="B677" t="s">
        <v>7401</v>
      </c>
      <c r="C677">
        <f>-637.189083897386 -74.9044749874095 -93.0653660321087</f>
        <v>-805.1589249169042</v>
      </c>
      <c r="D677">
        <f>-649.617398477927 -82.8039892896467 -207.953811145587</f>
        <v>-940.37519891316072</v>
      </c>
      <c r="E677">
        <f>-643.686095062422 -85.2944778456875 -306.367641062886</f>
        <v>-1035.3482139709956</v>
      </c>
      <c r="F677">
        <f>-632.258034189071 -86.0595621862822 -394.725198489791</f>
        <v>-1113.0427948651443</v>
      </c>
      <c r="G677">
        <f>-614.478439455375 -85.2624633798765 -482.026328608876</f>
        <v>-1181.7672314441274</v>
      </c>
      <c r="H677">
        <f>-583.03601630442 -82.5469872083492 -602.545304708633</f>
        <v>-1268.1283082214022</v>
      </c>
      <c r="I677">
        <f>-536.63645105277 -75.3581636355103 -671.104955390012</f>
        <v>-1283.0995700782923</v>
      </c>
      <c r="J677">
        <f>-604.989560465352 -57.2921848832664 -551.032692034217</f>
        <v>-1213.3144373828354</v>
      </c>
      <c r="K677" t="s">
        <v>7402</v>
      </c>
      <c r="L677" t="s">
        <v>7403</v>
      </c>
      <c r="M677" t="s">
        <v>7404</v>
      </c>
      <c r="N677">
        <f>-588.755067421267 -110.191605461738 -547.989086743027</f>
        <v>-1246.935759626032</v>
      </c>
      <c r="O677">
        <f>-560.162217291702 -240.10473712405 -513.275240037986</f>
        <v>-1313.5421944537379</v>
      </c>
      <c r="P677">
        <f>-644.744042635758 -314.143164745402 -241.327885529112</f>
        <v>-1200.2150929102718</v>
      </c>
      <c r="Q677">
        <f>-465.930415334305 -166.879707618639 -307.585076467819</f>
        <v>-940.39519942076299</v>
      </c>
      <c r="R677" t="s">
        <v>7405</v>
      </c>
      <c r="S677" t="s">
        <v>7406</v>
      </c>
      <c r="T677" t="s">
        <v>7407</v>
      </c>
      <c r="U677" t="s">
        <v>7408</v>
      </c>
      <c r="V677">
        <f>-606.317985202234 -166.787530837556 -91.3266369494818</f>
        <v>-864.4321529892718</v>
      </c>
      <c r="W677" t="s">
        <v>7409</v>
      </c>
      <c r="X677" t="s">
        <v>7410</v>
      </c>
      <c r="Y677" t="s">
        <v>7411</v>
      </c>
    </row>
    <row r="678" spans="1:25" x14ac:dyDescent="0.3">
      <c r="A678">
        <v>33850</v>
      </c>
      <c r="B678" t="s">
        <v>7412</v>
      </c>
      <c r="C678">
        <f>-638.393376057618 -73.695888390604 -93.4085808791732</f>
        <v>-805.49784532739511</v>
      </c>
      <c r="D678">
        <f>-650.282172935456 -81.3792443877663 -208.36880563218</f>
        <v>-940.03022295540222</v>
      </c>
      <c r="E678">
        <f>-643.820174050212 -83.9214405103829 -306.747867895488</f>
        <v>-1034.4894824560829</v>
      </c>
      <c r="F678">
        <f>-631.889600534948 -84.826033086091 -395.037595098476</f>
        <v>-1111.7532287195149</v>
      </c>
      <c r="G678">
        <f>-613.588325680692 -84.2584632509283 -482.232712800338</f>
        <v>-1180.0795017319583</v>
      </c>
      <c r="H678">
        <f>-581.400051529054 -81.9561117730783 -602.56313423771</f>
        <v>-1265.9192975398423</v>
      </c>
      <c r="I678">
        <f>-534.469181968372 -75.1022062999947 -670.794854289861</f>
        <v>-1280.3662425582277</v>
      </c>
      <c r="J678">
        <f>-603.695982280985 -56.532836103555 -551.28104597415</f>
        <v>-1211.50986435869</v>
      </c>
      <c r="K678" t="s">
        <v>7413</v>
      </c>
      <c r="L678" t="s">
        <v>7414</v>
      </c>
      <c r="M678" t="s">
        <v>7415</v>
      </c>
      <c r="N678">
        <f>-587.433083030131 -109.405604098151 -547.942305879574</f>
        <v>-1244.7809930078561</v>
      </c>
      <c r="O678">
        <f>-558.979887709546 -239.174776429986 -512.585642569764</f>
        <v>-1310.740306709296</v>
      </c>
      <c r="P678">
        <f>-644.896287298184 -312.553813817447 -240.877772259985</f>
        <v>-1198.327873375616</v>
      </c>
      <c r="Q678">
        <f>-465.795049996036 -165.404053592225 -306.608916654128</f>
        <v>-937.80802024238915</v>
      </c>
      <c r="R678" t="s">
        <v>7416</v>
      </c>
      <c r="S678" t="s">
        <v>7417</v>
      </c>
      <c r="T678" t="s">
        <v>7418</v>
      </c>
      <c r="U678" t="s">
        <v>7419</v>
      </c>
      <c r="V678">
        <f>-607.344229938801 -165.557696538301 -91.6715214002033</f>
        <v>-864.5734478773054</v>
      </c>
      <c r="W678" t="s">
        <v>7420</v>
      </c>
      <c r="X678" t="s">
        <v>7421</v>
      </c>
      <c r="Y678" t="s">
        <v>7422</v>
      </c>
    </row>
    <row r="679" spans="1:25" x14ac:dyDescent="0.3">
      <c r="A679">
        <v>33900</v>
      </c>
      <c r="B679" t="s">
        <v>7423</v>
      </c>
      <c r="C679">
        <f>-639.491802651128 -72.1982801685219 -93.631572385002</f>
        <v>-805.32165520465185</v>
      </c>
      <c r="D679">
        <f>-651.075813021537 -79.6431352693166 -208.638692576126</f>
        <v>-939.35764086697964</v>
      </c>
      <c r="E679">
        <f>-644.222752409012 -82.1882887878361 -306.991027526787</f>
        <v>-1033.402068723635</v>
      </c>
      <c r="F679">
        <f>-631.891137186236 -83.1743725203479 -395.224846018027</f>
        <v>-1110.2903557246109</v>
      </c>
      <c r="G679">
        <f>-613.144572555766 -82.7662748426089 -482.3263100224</f>
        <v>-1178.237157420775</v>
      </c>
      <c r="H679">
        <f>-580.290939432038 -80.7668985526113 -602.482226213315</f>
        <v>-1263.5400641979645</v>
      </c>
      <c r="I679">
        <f>-532.919327253265 -74.2140052737517 -670.438171701092</f>
        <v>-1277.5715042281086</v>
      </c>
      <c r="J679">
        <f>-602.802021329392 -55.1925359030859 -551.369439104147</f>
        <v>-1209.363996336625</v>
      </c>
      <c r="K679" t="s">
        <v>7424</v>
      </c>
      <c r="L679" t="s">
        <v>7425</v>
      </c>
      <c r="M679" t="s">
        <v>7426</v>
      </c>
      <c r="N679">
        <f>-586.694453063338 -108.100881691092 -547.845651791831</f>
        <v>-1242.640986546261</v>
      </c>
      <c r="O679">
        <f>-558.806497253919 -237.859419861674 -512.005208811375</f>
        <v>-1308.6711259269682</v>
      </c>
      <c r="P679">
        <f>-645.924275801018 -310.399659171305 -240.454831652261</f>
        <v>-1196.778766624584</v>
      </c>
      <c r="Q679">
        <f>-466.188466028449 -164.012775010275 -306.157025905177</f>
        <v>-936.35826694390107</v>
      </c>
      <c r="R679" t="s">
        <v>7427</v>
      </c>
      <c r="S679" t="s">
        <v>7428</v>
      </c>
      <c r="T679" t="s">
        <v>7429</v>
      </c>
      <c r="U679" t="s">
        <v>7430</v>
      </c>
      <c r="V679">
        <f>-608.523398119618 -164.125797530873 -91.8889267668128</f>
        <v>-864.53812241730384</v>
      </c>
      <c r="W679" t="s">
        <v>7431</v>
      </c>
      <c r="X679" t="s">
        <v>7432</v>
      </c>
      <c r="Y679" t="s">
        <v>7433</v>
      </c>
    </row>
    <row r="680" spans="1:25" x14ac:dyDescent="0.3">
      <c r="A680">
        <v>33950</v>
      </c>
      <c r="B680" t="s">
        <v>7434</v>
      </c>
      <c r="C680">
        <f>-640.185236872463 -71.4756164213273 -93.7080059885225</f>
        <v>-805.36885928231277</v>
      </c>
      <c r="D680">
        <f>-651.673380149148 -78.8047042259788 -208.731993000211</f>
        <v>-939.21007737533773</v>
      </c>
      <c r="E680">
        <f>-644.664542336329 -81.3362563346162 -307.073853138786</f>
        <v>-1033.0746518097312</v>
      </c>
      <c r="F680">
        <f>-632.164645512204 -82.3428305806575 -395.283728109616</f>
        <v>-1109.7912042024775</v>
      </c>
      <c r="G680">
        <f>-613.223497516611 -81.9884795247574 -482.343150794733</f>
        <v>-1177.5551278361013</v>
      </c>
      <c r="H680">
        <f>-580.072136408295 -80.0984168847797 -602.419197861205</f>
        <v>-1262.5897511542798</v>
      </c>
      <c r="I680">
        <f>-532.504954300278 -73.6862204450199 -670.251718283858</f>
        <v>-1276.442893029156</v>
      </c>
      <c r="J680">
        <f>-602.649560760918 -54.4583042746011 -551.368620980669</f>
        <v>-1208.4764860161881</v>
      </c>
      <c r="K680" t="s">
        <v>7435</v>
      </c>
      <c r="L680" t="s">
        <v>7436</v>
      </c>
      <c r="M680" t="s">
        <v>7437</v>
      </c>
      <c r="N680">
        <f>-586.671288197952 -107.402144271471 -547.790576800351</f>
        <v>-1241.864009269774</v>
      </c>
      <c r="O680">
        <f>-559.16549398008 -237.198734688961 -511.80352901187</f>
        <v>-1308.1677576809111</v>
      </c>
      <c r="P680">
        <f>-646.973222133884 -309.300075251641 -240.358517876397</f>
        <v>-1196.6318152619219</v>
      </c>
      <c r="Q680">
        <f>-466.780347832432 -163.402785203082 -305.897587198924</f>
        <v>-936.0807202344381</v>
      </c>
      <c r="R680" t="s">
        <v>7438</v>
      </c>
      <c r="S680" t="s">
        <v>7439</v>
      </c>
      <c r="T680" t="s">
        <v>7440</v>
      </c>
      <c r="U680" t="s">
        <v>7441</v>
      </c>
      <c r="V680">
        <f>-609.37902514411 -163.534161330726 -91.9927209936595</f>
        <v>-864.90590746849546</v>
      </c>
      <c r="W680" t="s">
        <v>7442</v>
      </c>
      <c r="X680" t="s">
        <v>7443</v>
      </c>
      <c r="Y680" t="s">
        <v>7444</v>
      </c>
    </row>
    <row r="681" spans="1:25" x14ac:dyDescent="0.3">
      <c r="A681">
        <v>34000</v>
      </c>
      <c r="B681" t="s">
        <v>7445</v>
      </c>
      <c r="C681">
        <f>-640.995210935494 -70.7270770733861 -93.8059851285482</f>
        <v>-805.5282731374283</v>
      </c>
      <c r="D681">
        <f>-652.40234289354 -77.9404509814501 -208.845402200894</f>
        <v>-939.18819607588409</v>
      </c>
      <c r="E681">
        <f>-645.257348123198 -80.4539118904531 -307.177922089355</f>
        <v>-1032.8891821030061</v>
      </c>
      <c r="F681">
        <f>-632.609249503933 -81.4752971288592 -395.366589442497</f>
        <v>-1109.4511360752892</v>
      </c>
      <c r="G681">
        <f>-613.495901343471 -81.1680987308183 -482.388481265733</f>
        <v>-1177.0524813400223</v>
      </c>
      <c r="H681">
        <f>-580.080189698233 -79.3777068458754 -602.392647545936</f>
        <v>-1261.8505440900444</v>
      </c>
      <c r="I681">
        <f>-532.338844241373 -73.1072676276599 -670.116119481902</f>
        <v>-1275.5622313509348</v>
      </c>
      <c r="J681">
        <f>-602.704126654903 -53.6741130732539 -551.394777375636</f>
        <v>-1207.7730171037929</v>
      </c>
      <c r="K681" t="s">
        <v>7446</v>
      </c>
      <c r="L681" t="s">
        <v>7447</v>
      </c>
      <c r="M681" t="s">
        <v>7448</v>
      </c>
      <c r="N681">
        <f>-586.865477931239 -106.657103679105 -547.774733016362</f>
        <v>-1241.2973146267059</v>
      </c>
      <c r="O681">
        <f>-559.785807183651 -236.505036687271 -511.66316734334</f>
        <v>-1307.9540112142618</v>
      </c>
      <c r="P681">
        <f>-648.388252075371 -308.232459543721 -240.377410758487</f>
        <v>-1196.998122377579</v>
      </c>
      <c r="Q681">
        <f>-467.643794004472 -162.909974415904 -305.674304681923</f>
        <v>-936.22807310229894</v>
      </c>
      <c r="R681" t="s">
        <v>7449</v>
      </c>
      <c r="S681" t="s">
        <v>7450</v>
      </c>
      <c r="T681" t="s">
        <v>7451</v>
      </c>
      <c r="U681" t="s">
        <v>7452</v>
      </c>
      <c r="V681">
        <f>-610.343789873961 -162.866041752728 -92.1180275890558</f>
        <v>-865.32785921574487</v>
      </c>
      <c r="W681" t="s">
        <v>7453</v>
      </c>
      <c r="X681" t="s">
        <v>7454</v>
      </c>
      <c r="Y681" t="s">
        <v>7455</v>
      </c>
    </row>
    <row r="682" spans="1:25" x14ac:dyDescent="0.3">
      <c r="A682">
        <v>34050</v>
      </c>
      <c r="B682" t="s">
        <v>7456</v>
      </c>
      <c r="C682">
        <f>-642.74517323637 -69.1987938992802 -94.0133737154415</f>
        <v>-805.95734085109166</v>
      </c>
      <c r="D682">
        <f>-654.048262922252 -76.2430359221113 -209.073567458776</f>
        <v>-939.36486630313925</v>
      </c>
      <c r="E682">
        <f>-646.680193802844 -78.7281391203708 -307.39026034177</f>
        <v>-1032.7985932649847</v>
      </c>
      <c r="F682">
        <f>-633.779492104831 -79.7695532215082 -395.542058295245</f>
        <v>-1109.0911036215841</v>
      </c>
      <c r="G682">
        <f>-614.364715216938 -79.5303679308582 -482.497558841621</f>
        <v>-1176.3926419894171</v>
      </c>
      <c r="H682">
        <f>-580.479004517016 -77.8864251253738 -602.371987496387</f>
        <v>-1260.7374171387769</v>
      </c>
      <c r="I682">
        <f>-532.444497599192 -71.8933189267347 -669.912973185659</f>
        <v>-1274.2507897115856</v>
      </c>
      <c r="J682">
        <f>-603.157913060926 -52.0747803198146 -551.452908007287</f>
        <v>-1206.6856013880276</v>
      </c>
      <c r="K682" t="s">
        <v>7457</v>
      </c>
      <c r="L682" t="s">
        <v>7458</v>
      </c>
      <c r="M682" t="s">
        <v>7459</v>
      </c>
      <c r="N682">
        <f>-587.622986742507 -105.144754959202 -547.789459890977</f>
        <v>-1240.5572015926859</v>
      </c>
      <c r="O682">
        <f>-561.415084914638 -235.134084934628 -511.528519443151</f>
        <v>-1308.0776892924171</v>
      </c>
      <c r="P682">
        <f>-651.753061103854 -306.219516199903 -240.646318557765</f>
        <v>-1198.6188958615219</v>
      </c>
      <c r="Q682">
        <f>-469.674468344659 -162.253897360395 -305.238403320879</f>
        <v>-937.16676902593292</v>
      </c>
      <c r="R682" t="s">
        <v>7460</v>
      </c>
      <c r="S682" t="s">
        <v>7461</v>
      </c>
      <c r="T682" t="s">
        <v>7462</v>
      </c>
      <c r="U682" t="s">
        <v>7463</v>
      </c>
      <c r="V682">
        <f>-612.472175227579 -161.653268540191 -92.3457269828366</f>
        <v>-866.47117075060657</v>
      </c>
      <c r="W682" t="s">
        <v>7464</v>
      </c>
      <c r="X682" t="s">
        <v>7465</v>
      </c>
      <c r="Y682" t="s">
        <v>7466</v>
      </c>
    </row>
    <row r="683" spans="1:25" x14ac:dyDescent="0.3">
      <c r="A683">
        <v>34100</v>
      </c>
      <c r="B683" t="s">
        <v>7467</v>
      </c>
      <c r="C683">
        <f>-644.328423290251 -67.5969583997297 -94.127217216591</f>
        <v>-806.05259890657169</v>
      </c>
      <c r="D683">
        <f>-655.57496709054 -74.5014845485276 -209.201411357924</f>
        <v>-939.27786299699164</v>
      </c>
      <c r="E683">
        <f>-648.026236773551 -76.9834495231981 -307.504578073157</f>
        <v>-1032.5142643699062</v>
      </c>
      <c r="F683">
        <f>-634.912075930467 -78.0671825204287 -395.624314655698</f>
        <v>-1108.6035731065938</v>
      </c>
      <c r="G683">
        <f>-615.235165290333 -77.9179406209242 -482.521045625121</f>
        <v>-1175.6741515363783</v>
      </c>
      <c r="H683">
        <f>-580.934829242967 -76.4504827982711 -602.279807335906</f>
        <v>-1259.665119377144</v>
      </c>
      <c r="I683">
        <f>-532.658835667469 -70.7201620584547 -669.671311357621</f>
        <v>-1273.0503090835446</v>
      </c>
      <c r="J683">
        <f>-603.62657789972 -50.5134492950283 -551.430295471382</f>
        <v>-1205.5703226661303</v>
      </c>
      <c r="K683" t="s">
        <v>7468</v>
      </c>
      <c r="L683" t="s">
        <v>7469</v>
      </c>
      <c r="M683" t="s">
        <v>7470</v>
      </c>
      <c r="N683">
        <f>-588.430748029417 -103.678936646087 -547.729452388109</f>
        <v>-1239.8391370636132</v>
      </c>
      <c r="O683">
        <f>-563.104144917038 -233.807195736536 -511.366637249655</f>
        <v>-1308.2779779032289</v>
      </c>
      <c r="P683">
        <f>-654.767513609784 -304.215268386263 -240.753026072891</f>
        <v>-1199.735808068938</v>
      </c>
      <c r="Q683">
        <f>-471.444661686863 -161.633995563374 -304.894781331206</f>
        <v>-937.97343858144302</v>
      </c>
      <c r="R683" t="s">
        <v>7471</v>
      </c>
      <c r="S683" t="s">
        <v>7472</v>
      </c>
      <c r="T683" t="s">
        <v>7473</v>
      </c>
      <c r="U683" t="s">
        <v>7474</v>
      </c>
      <c r="V683">
        <f>-614.362541433755 -160.307960788993 -92.4806971972262</f>
        <v>-867.1511994199742</v>
      </c>
      <c r="W683" t="s">
        <v>7475</v>
      </c>
      <c r="X683" t="s">
        <v>7476</v>
      </c>
      <c r="Y683" t="s">
        <v>7477</v>
      </c>
    </row>
    <row r="684" spans="1:25" x14ac:dyDescent="0.3">
      <c r="A684">
        <v>34150</v>
      </c>
      <c r="B684" t="s">
        <v>7478</v>
      </c>
      <c r="C684">
        <f>-645.570507472673 -66.2498342898787 -94.1850012561545</f>
        <v>-806.00534301870607</v>
      </c>
      <c r="D684">
        <f>-656.848646642064 -73.0703438337523 -209.261119856981</f>
        <v>-939.18011033279731</v>
      </c>
      <c r="E684">
        <f>-649.188364776554 -75.5937766821493 -307.554587478213</f>
        <v>-1032.3367289369162</v>
      </c>
      <c r="F684">
        <f>-635.919710953958 -76.7600862725876 -395.650215790859</f>
        <v>-1108.3300130174046</v>
      </c>
      <c r="G684">
        <f>-616.035948793665 -76.7426158371827 -482.500008289725</f>
        <v>-1175.2785729205727</v>
      </c>
      <c r="H684">
        <f>-581.393827669561 -75.5120904827108 -602.162907506333</f>
        <v>-1259.068825658605</v>
      </c>
      <c r="I684">
        <f>-532.901419473544 -70.0377539687079 -669.420225546277</f>
        <v>-1272.3593989885289</v>
      </c>
      <c r="J684">
        <f>-604.056625715505 -49.4219496419483 -551.378868971955</f>
        <v>-1204.8574443294083</v>
      </c>
      <c r="K684" t="s">
        <v>7479</v>
      </c>
      <c r="L684" t="s">
        <v>7480</v>
      </c>
      <c r="M684" t="s">
        <v>7481</v>
      </c>
      <c r="N684">
        <f>-589.219525055268 -102.685217706024 -547.631214675136</f>
        <v>-1239.5359574364279</v>
      </c>
      <c r="O684">
        <f>-564.750532395434 -232.948005617413 -511.146322653086</f>
        <v>-1308.8448606659329</v>
      </c>
      <c r="P684">
        <f>-657.119208745973 -302.626387121004 -240.583671337529</f>
        <v>-1200.3292672045059</v>
      </c>
      <c r="Q684">
        <f>-472.835966282807 -161.261127173703 -304.665032174826</f>
        <v>-938.76212563133606</v>
      </c>
      <c r="R684" t="s">
        <v>7482</v>
      </c>
      <c r="S684" t="s">
        <v>7483</v>
      </c>
      <c r="T684" t="s">
        <v>7484</v>
      </c>
      <c r="U684" t="s">
        <v>7485</v>
      </c>
      <c r="V684">
        <f>-616.006009797192 -159.104642065171 -92.5689624668993</f>
        <v>-867.67961432926222</v>
      </c>
      <c r="W684" t="s">
        <v>7486</v>
      </c>
      <c r="X684" t="s">
        <v>7487</v>
      </c>
      <c r="Y684" t="s">
        <v>7488</v>
      </c>
    </row>
    <row r="685" spans="1:25" x14ac:dyDescent="0.3">
      <c r="A685">
        <v>34200</v>
      </c>
      <c r="B685" t="s">
        <v>7489</v>
      </c>
      <c r="C685">
        <f>-646.110092633839 -65.6179639161995 -94.1928739203611</f>
        <v>-805.92093047039964</v>
      </c>
      <c r="D685">
        <f>-657.42710359123 -72.4020428869791 -209.26724069306</f>
        <v>-939.09638717126904</v>
      </c>
      <c r="E685">
        <f>-649.741237444454 -74.9491559651724 -307.558214039185</f>
        <v>-1032.2486074488113</v>
      </c>
      <c r="F685">
        <f>-636.4267393578 -76.1586300565418 -395.646204385701</f>
        <v>-1108.231573800043</v>
      </c>
      <c r="G685">
        <f>-616.474651335634 -76.2078671312632 -482.480261425582</f>
        <v>-1175.1627798924792</v>
      </c>
      <c r="H685">
        <f>-581.714528818545 -75.0956547054963 -602.110184899219</f>
        <v>-1258.9203684232602</v>
      </c>
      <c r="I685">
        <f>-533.145454028953 -69.7422078989788 -669.321901465493</f>
        <v>-1272.209563393425</v>
      </c>
      <c r="J685">
        <f>-604.348719064036 -48.9318121951246 -551.351304364828</f>
        <v>-1204.6318356239885</v>
      </c>
      <c r="K685" t="s">
        <v>7490</v>
      </c>
      <c r="L685" t="s">
        <v>7491</v>
      </c>
      <c r="M685" t="s">
        <v>7492</v>
      </c>
      <c r="N685">
        <f>-589.672749444934 -102.238322847984 -547.582546726129</f>
        <v>-1239.4936190190469</v>
      </c>
      <c r="O685">
        <f>-565.573667303352 -232.55135678759 -511.026443895726</f>
        <v>-1309.151467986668</v>
      </c>
      <c r="P685">
        <f>-658.223273267009 -301.84190141625 -240.460267446907</f>
        <v>-1200.5254421301659</v>
      </c>
      <c r="Q685">
        <f>-473.502560389709 -161.04394351443 -304.530847374255</f>
        <v>-939.07735127839396</v>
      </c>
      <c r="R685" t="s">
        <v>7493</v>
      </c>
      <c r="S685" t="s">
        <v>7494</v>
      </c>
      <c r="T685" t="s">
        <v>7495</v>
      </c>
      <c r="U685" t="s">
        <v>7496</v>
      </c>
      <c r="V685">
        <f>-616.73829536129 -158.557563179543 -92.5850760255463</f>
        <v>-867.88093456637932</v>
      </c>
      <c r="W685" t="s">
        <v>7497</v>
      </c>
      <c r="X685" t="s">
        <v>7498</v>
      </c>
      <c r="Y685" t="s">
        <v>7499</v>
      </c>
    </row>
    <row r="686" spans="1:25" x14ac:dyDescent="0.3">
      <c r="A686">
        <v>34250</v>
      </c>
      <c r="B686" t="s">
        <v>7500</v>
      </c>
      <c r="C686">
        <f>-646.631142916786 -64.9932791446316 -94.195903942348</f>
        <v>-805.82032600376556</v>
      </c>
      <c r="D686">
        <f>-658.004088644008 -71.7417892085522 -209.266863089002</f>
        <v>-939.01274094156213</v>
      </c>
      <c r="E686">
        <f>-650.315771843515 -74.3184782663815 -307.556833508627</f>
        <v>-1032.1910836185234</v>
      </c>
      <c r="F686">
        <f>-636.979510712736 -75.5779646242077 -395.640820146451</f>
        <v>-1108.1982954833948</v>
      </c>
      <c r="G686">
        <f>-616.986640605518 -75.701309063953 -482.465451683399</f>
        <v>-1175.1534013528699</v>
      </c>
      <c r="H686">
        <f>-582.150057124162 -74.7179848809254 -602.074251830374</f>
        <v>-1258.9422938354614</v>
      </c>
      <c r="I686">
        <f>-533.534748242947 -69.4854033334954 -669.262029828307</f>
        <v>-1272.2821814047493</v>
      </c>
      <c r="J686">
        <f>-604.748201460653 -48.4793558924198 -551.338005517839</f>
        <v>-1204.5655628709119</v>
      </c>
      <c r="K686" t="s">
        <v>7501</v>
      </c>
      <c r="L686" t="s">
        <v>7502</v>
      </c>
      <c r="M686" t="s">
        <v>7503</v>
      </c>
      <c r="N686">
        <f>-590.211654958196 -101.82204710754 -547.542599864195</f>
        <v>-1239.5763019299311</v>
      </c>
      <c r="O686">
        <f>-566.445358424383 -232.174513505544 -510.909394394272</f>
        <v>-1309.5292663241989</v>
      </c>
      <c r="P686">
        <f>-659.37960241317 -301.095701844315 -240.346442948747</f>
        <v>-1200.821747206232</v>
      </c>
      <c r="Q686">
        <f>-474.275673985947 -160.823930449356 -304.465340836753</f>
        <v>-939.56494527205609</v>
      </c>
      <c r="R686" t="s">
        <v>7504</v>
      </c>
      <c r="S686" t="s">
        <v>7505</v>
      </c>
      <c r="T686" t="s">
        <v>7506</v>
      </c>
      <c r="U686" t="s">
        <v>7507</v>
      </c>
      <c r="V686">
        <f>-617.473391460746 -157.964897306875 -92.6092907633058</f>
        <v>-868.0475795309269</v>
      </c>
      <c r="W686" t="s">
        <v>7508</v>
      </c>
      <c r="X686" t="s">
        <v>7509</v>
      </c>
      <c r="Y686" t="s">
        <v>7510</v>
      </c>
    </row>
    <row r="687" spans="1:25" x14ac:dyDescent="0.3">
      <c r="A687">
        <v>34300</v>
      </c>
      <c r="B687" t="s">
        <v>7511</v>
      </c>
      <c r="C687">
        <f>-647.08200382573 -64.4819336161084 -94.1931215418698</f>
        <v>-805.75705898370825</v>
      </c>
      <c r="D687">
        <f>-658.512214670196 -71.194238544316 -209.260642108591</f>
        <v>-938.96709532310308</v>
      </c>
      <c r="E687">
        <f>-650.828664038393 -73.8033715074296 -307.550020502609</f>
        <v>-1032.1820560484316</v>
      </c>
      <c r="F687">
        <f>-637.479734897166 -75.1162782086686 -395.631435147416</f>
        <v>-1108.2274482532507</v>
      </c>
      <c r="G687">
        <f>-617.457297624385 -75.3175514718378 -482.449088361917</f>
        <v>-1175.2239374581397</v>
      </c>
      <c r="H687">
        <f>-582.562681017333 -74.468581560733 -602.041974706814</f>
        <v>-1259.0732372848802</v>
      </c>
      <c r="I687">
        <f>-533.925502074273 -69.3486499146388 -669.222635257539</f>
        <v>-1272.4967872464508</v>
      </c>
      <c r="J687">
        <f>-605.122795167721 -48.1545792261295 -551.327835372644</f>
        <v>-1204.6052097664947</v>
      </c>
      <c r="K687" t="s">
        <v>7512</v>
      </c>
      <c r="L687" t="s">
        <v>7513</v>
      </c>
      <c r="M687" t="s">
        <v>7514</v>
      </c>
      <c r="N687">
        <f>-590.713382860834 -101.529683980823 -547.50227109252</f>
        <v>-1239.7453379341771</v>
      </c>
      <c r="O687">
        <f>-567.253317687029 -231.914228309763 -510.793070394579</f>
        <v>-1309.9606163913709</v>
      </c>
      <c r="P687">
        <f>-660.393525122987 -300.487277911553 -240.212482830837</f>
        <v>-1201.0932858653769</v>
      </c>
      <c r="Q687">
        <f>-474.964559656442 -160.694828435453 -304.438922976318</f>
        <v>-940.09831106821298</v>
      </c>
      <c r="R687" t="s">
        <v>7515</v>
      </c>
      <c r="S687" t="s">
        <v>7516</v>
      </c>
      <c r="T687" t="s">
        <v>7517</v>
      </c>
      <c r="U687" t="s">
        <v>7518</v>
      </c>
      <c r="V687">
        <f>-618.115815725569 -157.525775140721 -92.6314069889172</f>
        <v>-868.27299785520722</v>
      </c>
      <c r="W687" t="s">
        <v>7519</v>
      </c>
      <c r="X687" t="s">
        <v>7520</v>
      </c>
      <c r="Y687" t="s">
        <v>7521</v>
      </c>
    </row>
    <row r="688" spans="1:25" x14ac:dyDescent="0.3">
      <c r="A688">
        <v>34350</v>
      </c>
      <c r="B688" t="s">
        <v>7522</v>
      </c>
      <c r="C688">
        <f>-647.746090982409 -63.5481262053941 -94.1826941348929</f>
        <v>-805.47691132269597</v>
      </c>
      <c r="D688">
        <f>-659.321427274664 -70.274561849862 -209.234902022792</f>
        <v>-938.83089114731797</v>
      </c>
      <c r="E688">
        <f>-651.690652632234 -72.9779510871215 -307.525877803674</f>
        <v>-1032.1944815230295</v>
      </c>
      <c r="F688">
        <f>-638.361275669081 -74.408192814952 -395.608387723975</f>
        <v>-1108.3778562080081</v>
      </c>
      <c r="G688">
        <f>-618.330339693709 -74.7606965776433 -482.423501302059</f>
        <v>-1175.5145375734114</v>
      </c>
      <c r="H688">
        <f>-583.395054005415 -74.1592328086888 -602.006024039826</f>
        <v>-1259.5603108539299</v>
      </c>
      <c r="I688">
        <f>-534.752996902869 -69.2500038021237 -669.198816691324</f>
        <v>-1273.2018173963168</v>
      </c>
      <c r="J688">
        <f>-605.862148606378 -47.7085447487979 -551.32168625978</f>
        <v>-1204.8923796149559</v>
      </c>
      <c r="K688" t="s">
        <v>7523</v>
      </c>
      <c r="L688" t="s">
        <v>7524</v>
      </c>
      <c r="M688" t="s">
        <v>7525</v>
      </c>
      <c r="N688">
        <f>-591.674544959589 -101.139312466509 -547.445593166448</f>
        <v>-1240.2594505925458</v>
      </c>
      <c r="O688">
        <f>-568.740445457597 -231.58756970942 -510.6217681528</f>
        <v>-1310.949783319817</v>
      </c>
      <c r="P688">
        <f>-662.042824853627 -299.496398761067 -239.929670010503</f>
        <v>-1201.4688936251971</v>
      </c>
      <c r="Q688">
        <f>-476.107254380492 -160.519571816439 -304.460575753833</f>
        <v>-941.08740195076393</v>
      </c>
      <c r="R688" t="s">
        <v>7526</v>
      </c>
      <c r="S688" t="s">
        <v>7527</v>
      </c>
      <c r="T688" t="s">
        <v>7528</v>
      </c>
      <c r="U688" t="s">
        <v>7529</v>
      </c>
      <c r="V688">
        <f>-619.09933623832 -156.57235620919 -92.6365044075634</f>
        <v>-868.30819685507333</v>
      </c>
      <c r="W688" t="s">
        <v>7530</v>
      </c>
      <c r="X688" t="s">
        <v>7531</v>
      </c>
      <c r="Y688" t="s">
        <v>7532</v>
      </c>
    </row>
    <row r="689" spans="1:25" x14ac:dyDescent="0.3">
      <c r="A689">
        <v>34400</v>
      </c>
      <c r="B689" t="s">
        <v>7533</v>
      </c>
      <c r="C689">
        <f>-648.253541384047 -62.6808872355617 -94.1729993023924</f>
        <v>-805.10742792200119</v>
      </c>
      <c r="D689">
        <f>-659.967597339291 -69.4283480346284 -209.209766765279</f>
        <v>-938.60571213919843</v>
      </c>
      <c r="E689">
        <f>-652.397977663185 -72.2222508808236 -307.502993785626</f>
        <v>-1032.1232223296347</v>
      </c>
      <c r="F689">
        <f>-639.10090043864 -73.7623107278375 -395.58853631521</f>
        <v>-1108.4517474816876</v>
      </c>
      <c r="G689">
        <f>-619.079639133186 -74.254025368044 -482.405289362563</f>
        <v>-1175.7389538637931</v>
      </c>
      <c r="H689">
        <f>-584.134448996462 -73.8779041350209 -601.985833787799</f>
        <v>-1259.998186919282</v>
      </c>
      <c r="I689">
        <f>-535.503541157989 -69.1657771110547 -669.200915922715</f>
        <v>-1273.8702341917588</v>
      </c>
      <c r="J689">
        <f>-606.52643446712 -47.3089743825389 -551.330099286719</f>
        <v>-1205.1655081363779</v>
      </c>
      <c r="K689" t="s">
        <v>7534</v>
      </c>
      <c r="L689" t="s">
        <v>7535</v>
      </c>
      <c r="M689" t="s">
        <v>7536</v>
      </c>
      <c r="N689">
        <f>-592.497824381798 -100.777769357842 -547.398649771269</f>
        <v>-1240.674243510909</v>
      </c>
      <c r="O689">
        <f>-569.945605070393 -231.249885970053 -510.424544283665</f>
        <v>-1311.6200353241111</v>
      </c>
      <c r="P689">
        <f>-663.22732753599 -298.635059813985 -239.59432470685</f>
        <v>-1201.4567120568249</v>
      </c>
      <c r="Q689">
        <f>-476.908973338616 -160.329748562507 -304.463586840535</f>
        <v>-941.70230874165804</v>
      </c>
      <c r="R689" t="s">
        <v>7537</v>
      </c>
      <c r="S689" t="s">
        <v>7538</v>
      </c>
      <c r="T689" t="s">
        <v>7539</v>
      </c>
      <c r="U689" t="s">
        <v>7540</v>
      </c>
      <c r="V689">
        <f>-619.840146140588 -155.725765010768 -92.6033674376058</f>
        <v>-868.16927858896179</v>
      </c>
      <c r="W689" t="s">
        <v>7541</v>
      </c>
      <c r="X689" t="s">
        <v>7542</v>
      </c>
      <c r="Y689" t="s">
        <v>7543</v>
      </c>
    </row>
    <row r="690" spans="1:25" x14ac:dyDescent="0.3">
      <c r="A690">
        <v>34450</v>
      </c>
      <c r="B690" t="s">
        <v>7544</v>
      </c>
      <c r="C690">
        <f>-648.459700660195 -62.3693238814875 -94.1651543070111</f>
        <v>-804.99417884869365</v>
      </c>
      <c r="D690">
        <f>-660.229560318143 -69.1298129418512 -209.195560732726</f>
        <v>-938.55493399272018</v>
      </c>
      <c r="E690">
        <f>-652.67842041488 -71.9658153571114 -307.488946997976</f>
        <v>-1032.1331827699673</v>
      </c>
      <c r="F690">
        <f>-639.386594428552 -73.5562121528131 -395.574299011851</f>
        <v>-1108.5171055932162</v>
      </c>
      <c r="G690">
        <f>-619.359103600173 -74.1106503846544 -482.389249788239</f>
        <v>-1175.8590037730664</v>
      </c>
      <c r="H690">
        <f>-584.393753690839 -73.8352148850752 -601.964130887854</f>
        <v>-1260.1930994637682</v>
      </c>
      <c r="I690">
        <f>-535.76803730901 -69.2120877683491 -669.189077052133</f>
        <v>-1274.1692021294921</v>
      </c>
      <c r="J690">
        <f>-606.765696395794 -47.2156277356376 -551.32621694023</f>
        <v>-1205.3075410716615</v>
      </c>
      <c r="K690" t="s">
        <v>7545</v>
      </c>
      <c r="L690" t="s">
        <v>7546</v>
      </c>
      <c r="M690" t="s">
        <v>7547</v>
      </c>
      <c r="N690">
        <f>-592.794860595588 -100.697174258179 -547.364213506882</f>
        <v>-1240.856248360649</v>
      </c>
      <c r="O690">
        <f>-570.397010945576 -231.170643792014 -510.315282034474</f>
        <v>-1311.8829367720639</v>
      </c>
      <c r="P690">
        <f>-663.67280866262 -298.327480822789 -239.426454217864</f>
        <v>-1201.4267437032729</v>
      </c>
      <c r="Q690">
        <f>-477.199941816754 -160.297090644528 -304.436867207755</f>
        <v>-941.93389966903703</v>
      </c>
      <c r="R690" t="s">
        <v>7548</v>
      </c>
      <c r="S690" t="s">
        <v>7549</v>
      </c>
      <c r="T690" t="s">
        <v>7550</v>
      </c>
      <c r="U690" t="s">
        <v>7551</v>
      </c>
      <c r="V690">
        <f>-620.13135683235 -155.479418144114 -92.5929744456099</f>
        <v>-868.20374942207388</v>
      </c>
      <c r="W690" t="s">
        <v>7552</v>
      </c>
      <c r="X690" t="s">
        <v>7553</v>
      </c>
      <c r="Y690" t="s">
        <v>7554</v>
      </c>
    </row>
    <row r="691" spans="1:25" x14ac:dyDescent="0.3">
      <c r="A691">
        <v>34500</v>
      </c>
      <c r="B691" t="s">
        <v>7555</v>
      </c>
      <c r="C691">
        <f>-648.750301325403 -61.6671321019838 -94.1788620141095</f>
        <v>-804.59629544149641</v>
      </c>
      <c r="D691">
        <f>-660.531527841349 -68.4337217985599 -209.207744874356</f>
        <v>-938.17299451426481</v>
      </c>
      <c r="E691">
        <f>-652.957970394859 -71.3356347840212 -307.497495275006</f>
        <v>-1031.7911004538862</v>
      </c>
      <c r="F691">
        <f>-639.63359625102 -73.0098314806357 -395.57644070952</f>
        <v>-1108.2198684411758</v>
      </c>
      <c r="G691">
        <f>-619.561484360367 -73.673152183916 -482.380273739985</f>
        <v>-1175.614910284268</v>
      </c>
      <c r="H691">
        <f>-584.521725523742 -73.575960697249 -601.93373237567</f>
        <v>-1260.0314185966611</v>
      </c>
      <c r="I691">
        <f>-535.903658930106 -69.0986546038218 -669.17403386632</f>
        <v>-1274.1763474002478</v>
      </c>
      <c r="J691">
        <f>-606.887532264583 -46.8702337447503 -551.338455479007</f>
        <v>-1205.0962214883402</v>
      </c>
      <c r="K691" t="s">
        <v>7556</v>
      </c>
      <c r="L691" t="s">
        <v>7557</v>
      </c>
      <c r="M691" t="s">
        <v>7558</v>
      </c>
      <c r="N691">
        <f>-592.99441897129 -100.367228043143 -547.309947092764</f>
        <v>-1240.6715941071971</v>
      </c>
      <c r="O691">
        <f>-570.808019641969 -230.823188126378 -510.075425611827</f>
        <v>-1311.706633380174</v>
      </c>
      <c r="P691">
        <f>-664.202623120295 -297.423855930252 -239.090214862035</f>
        <v>-1200.7166939125821</v>
      </c>
      <c r="Q691">
        <f>-477.485426256968 -159.845458554106 -304.357033082462</f>
        <v>-941.687917893536</v>
      </c>
      <c r="R691" t="s">
        <v>7559</v>
      </c>
      <c r="S691" t="s">
        <v>7560</v>
      </c>
      <c r="T691" t="s">
        <v>7561</v>
      </c>
      <c r="U691" t="s">
        <v>7562</v>
      </c>
      <c r="V691">
        <f>-620.546960631229 -154.623254720005 -92.6060119303718</f>
        <v>-867.77622728160577</v>
      </c>
      <c r="W691" t="s">
        <v>7563</v>
      </c>
      <c r="X691" t="s">
        <v>7564</v>
      </c>
      <c r="Y691" t="s">
        <v>7565</v>
      </c>
    </row>
    <row r="692" spans="1:25" x14ac:dyDescent="0.3">
      <c r="A692">
        <v>34550</v>
      </c>
      <c r="B692" t="s">
        <v>7566</v>
      </c>
      <c r="C692">
        <f>-648.844049445082 -61.3910008677502 -94.1805555684298</f>
        <v>-804.41560588126197</v>
      </c>
      <c r="D692">
        <f>-660.621308788451 -68.1569432776313 -209.209898306117</f>
        <v>-937.98815037219924</v>
      </c>
      <c r="E692">
        <f>-653.028042754991 -71.0926836834776 -307.497067948492</f>
        <v>-1031.6177943869607</v>
      </c>
      <c r="F692">
        <f>-639.679413909843 -72.8122237679357 -395.571477629671</f>
        <v>-1108.0631153074496</v>
      </c>
      <c r="G692">
        <f>-619.577065684645 -73.5355228151375 -482.367938662823</f>
        <v>-1175.4805271626055</v>
      </c>
      <c r="H692">
        <f>-584.488801295874 -73.5384738823649 -601.907085393361</f>
        <v>-1259.9343605715999</v>
      </c>
      <c r="I692">
        <f>-535.87395428643 -69.1323034767624 -669.154457029218</f>
        <v>-1274.1607147924105</v>
      </c>
      <c r="J692">
        <f>-606.859942425021 -46.7861204123303 -551.338784943001</f>
        <v>-1204.9848477803523</v>
      </c>
      <c r="K692" t="s">
        <v>7567</v>
      </c>
      <c r="L692" t="s">
        <v>7568</v>
      </c>
      <c r="M692" t="s">
        <v>7569</v>
      </c>
      <c r="N692">
        <f>-592.998789157404 -100.28813634392 -547.268839603775</f>
        <v>-1240.555765105099</v>
      </c>
      <c r="O692">
        <f>-570.88739275663 -230.733155016857 -509.941061656268</f>
        <v>-1311.561609429755</v>
      </c>
      <c r="P692">
        <f>-664.309696696713 -297.091642677756 -238.905935795093</f>
        <v>-1200.307275169562</v>
      </c>
      <c r="Q692">
        <f>-477.507117956183 -159.677935506021 -304.274837916786</f>
        <v>-941.45989137899005</v>
      </c>
      <c r="R692" t="s">
        <v>7570</v>
      </c>
      <c r="S692" t="s">
        <v>7571</v>
      </c>
      <c r="T692" t="s">
        <v>7572</v>
      </c>
      <c r="U692" t="s">
        <v>7573</v>
      </c>
      <c r="V692">
        <f>-620.657085698241 -154.318073775469 -92.608392216305</f>
        <v>-867.58355169001493</v>
      </c>
      <c r="W692" t="s">
        <v>7574</v>
      </c>
      <c r="X692" t="s">
        <v>7575</v>
      </c>
      <c r="Y692" t="s">
        <v>7576</v>
      </c>
    </row>
    <row r="693" spans="1:25" x14ac:dyDescent="0.3">
      <c r="A693">
        <v>34600</v>
      </c>
      <c r="B693" t="s">
        <v>7577</v>
      </c>
      <c r="C693">
        <f>-648.883047767368 -61.1461646337133 -94.1621998053176</f>
        <v>-804.19141220639892</v>
      </c>
      <c r="D693">
        <f>-660.656410363672 -67.9295667442207 -209.190885931705</f>
        <v>-937.77686303959763</v>
      </c>
      <c r="E693">
        <f>-653.033803111099 -70.9312093119901 -307.473806577034</f>
        <v>-1031.4388190001232</v>
      </c>
      <c r="F693">
        <f>-639.648736868198 -72.7306338935614 -395.541063712925</f>
        <v>-1107.9204344746843</v>
      </c>
      <c r="G693">
        <f>-619.500310000284 -73.5547088154613 -482.325922744595</f>
        <v>-1175.3809415603403</v>
      </c>
      <c r="H693">
        <f>-584.338356432239 -73.720007379392 -601.843399024672</f>
        <v>-1259.9017628363031</v>
      </c>
      <c r="I693">
        <f>-535.738104970382 -69.4206815876 -669.108178777773</f>
        <v>-1274.266965335755</v>
      </c>
      <c r="J693">
        <f>-606.726277538508 -46.8950304907771 -551.321003442413</f>
        <v>-1204.9423114716983</v>
      </c>
      <c r="K693" t="s">
        <v>7578</v>
      </c>
      <c r="L693" t="s">
        <v>7579</v>
      </c>
      <c r="M693" t="s">
        <v>7580</v>
      </c>
      <c r="N693">
        <f>-592.896445124193 -100.399585219602 -547.178303538129</f>
        <v>-1240.4743338819239</v>
      </c>
      <c r="O693">
        <f>-570.846730797189 -230.801800196097 -509.672374699416</f>
        <v>-1311.3209056927021</v>
      </c>
      <c r="P693">
        <f>-664.244215273182 -296.828759417372 -238.547853599823</f>
        <v>-1199.6208282903769</v>
      </c>
      <c r="Q693">
        <f>-477.362228914185 -159.583231401691 -304.043104107307</f>
        <v>-940.98856442318288</v>
      </c>
      <c r="R693" t="s">
        <v>7581</v>
      </c>
      <c r="S693" t="s">
        <v>7582</v>
      </c>
      <c r="T693" t="s">
        <v>7583</v>
      </c>
      <c r="U693" t="s">
        <v>7584</v>
      </c>
      <c r="V693">
        <f>-620.749154369157 -154.137692475825 -92.586914009319</f>
        <v>-867.47376085430108</v>
      </c>
      <c r="W693" t="s">
        <v>7585</v>
      </c>
      <c r="X693" t="s">
        <v>7586</v>
      </c>
      <c r="Y693" t="s">
        <v>7587</v>
      </c>
    </row>
    <row r="694" spans="1:25" x14ac:dyDescent="0.3">
      <c r="A694">
        <v>34650</v>
      </c>
      <c r="B694" t="s">
        <v>7588</v>
      </c>
      <c r="C694">
        <f>-648.832856354019 -61.0718207050073 -94.1481133396613</f>
        <v>-804.05279039868765</v>
      </c>
      <c r="D694">
        <f>-660.608438268808 -67.8640147484007 -209.175957471857</f>
        <v>-937.64841048906567</v>
      </c>
      <c r="E694">
        <f>-652.987164125886 -70.89461941359 -307.45812450631</f>
        <v>-1031.3399080457862</v>
      </c>
      <c r="F694">
        <f>-639.602944233559 -72.7289444458291 -395.524866615061</f>
        <v>-1107.8567552944492</v>
      </c>
      <c r="G694">
        <f>-619.455233927048 -73.5964174268597 -482.309496434005</f>
        <v>-1175.3611477879126</v>
      </c>
      <c r="H694">
        <f>-584.29397036783 -73.8315609365775 -601.82695407041</f>
        <v>-1259.9524853748176</v>
      </c>
      <c r="I694">
        <f>-535.717689701741 -69.5676990902492 -669.111412174107</f>
        <v>-1274.3968009660973</v>
      </c>
      <c r="J694">
        <f>-606.68117239137 -46.976939755495 -551.319969036364</f>
        <v>-1204.9780811832288</v>
      </c>
      <c r="K694" t="s">
        <v>7589</v>
      </c>
      <c r="L694" t="s">
        <v>7590</v>
      </c>
      <c r="M694" t="s">
        <v>7591</v>
      </c>
      <c r="N694">
        <f>-592.852248221698 -100.479298840394 -547.14637916306</f>
        <v>-1240.477926225152</v>
      </c>
      <c r="O694">
        <f>-570.788624245863 -230.858808336435 -509.559873638682</f>
        <v>-1311.2073062209802</v>
      </c>
      <c r="P694">
        <f>-664.118621047763 -296.76823477098 -238.383399178094</f>
        <v>-1199.2702549968371</v>
      </c>
      <c r="Q694">
        <f>-477.246430131774 -159.561609015291 -303.988420391967</f>
        <v>-940.79645953903196</v>
      </c>
      <c r="R694" t="s">
        <v>7592</v>
      </c>
      <c r="S694" t="s">
        <v>7593</v>
      </c>
      <c r="T694" t="s">
        <v>7594</v>
      </c>
      <c r="U694" t="s">
        <v>7595</v>
      </c>
      <c r="V694">
        <f>-620.70880966725 -154.005970542991 -92.5737620177099</f>
        <v>-867.28854222795087</v>
      </c>
      <c r="W694" t="s">
        <v>7596</v>
      </c>
      <c r="X694" t="s">
        <v>7597</v>
      </c>
      <c r="Y694" t="s">
        <v>7598</v>
      </c>
    </row>
    <row r="695" spans="1:25" x14ac:dyDescent="0.3">
      <c r="A695">
        <v>34700</v>
      </c>
      <c r="B695" t="s">
        <v>7599</v>
      </c>
      <c r="C695">
        <f>-648.608094857925 -61.040423467737 -94.1364514670911</f>
        <v>-803.78496979275315</v>
      </c>
      <c r="D695">
        <f>-660.430740179309 -67.87875434687 -209.156759719982</f>
        <v>-937.46625424616104</v>
      </c>
      <c r="E695">
        <f>-652.860423289913 -70.9689168880002 -307.441068213445</f>
        <v>-1031.2704083913582</v>
      </c>
      <c r="F695">
        <f>-639.525920618221 -72.8673799956591 -395.513915276497</f>
        <v>-1107.9072158903771</v>
      </c>
      <c r="G695">
        <f>-619.430895167527 -73.810122992278 -482.310017112452</f>
        <v>-1175.551035272257</v>
      </c>
      <c r="H695">
        <f>-584.345870692972 -74.1629894934043 -601.849672011244</f>
        <v>-1260.3585321976202</v>
      </c>
      <c r="I695">
        <f>-535.911977367442 -69.9589786558716 -669.240344681549</f>
        <v>-1275.1113007048625</v>
      </c>
      <c r="J695">
        <f>-606.694239387367 -47.2567098555455 -551.352880238802</f>
        <v>-1205.3038294817145</v>
      </c>
      <c r="K695" t="s">
        <v>7600</v>
      </c>
      <c r="L695" t="s">
        <v>7601</v>
      </c>
      <c r="M695" t="s">
        <v>7602</v>
      </c>
      <c r="N695">
        <f>-592.875898513761 -100.758661193145 -547.139221636248</f>
        <v>-1240.773781343154</v>
      </c>
      <c r="O695">
        <f>-570.759939540273 -231.104175640022 -509.453597815227</f>
        <v>-1311.317712995522</v>
      </c>
      <c r="P695">
        <f>-663.757420205733 -296.820112789819 -238.116058750598</f>
        <v>-1198.6935917461501</v>
      </c>
      <c r="Q695">
        <f>-476.988307887757 -159.605085831662 -303.99613409581</f>
        <v>-940.58952781522908</v>
      </c>
      <c r="R695" t="s">
        <v>7603</v>
      </c>
      <c r="S695" t="s">
        <v>7604</v>
      </c>
      <c r="T695" t="s">
        <v>7605</v>
      </c>
      <c r="U695" t="s">
        <v>7606</v>
      </c>
      <c r="V695">
        <f>-620.447928972716 -153.914339360851 -92.55133166496</f>
        <v>-866.91359999852705</v>
      </c>
      <c r="W695" t="s">
        <v>7607</v>
      </c>
      <c r="X695" t="s">
        <v>7608</v>
      </c>
      <c r="Y695" t="s">
        <v>7609</v>
      </c>
    </row>
    <row r="696" spans="1:25" x14ac:dyDescent="0.3">
      <c r="A696">
        <v>34750</v>
      </c>
      <c r="B696" t="s">
        <v>7610</v>
      </c>
      <c r="C696">
        <f>-648.451788145573 -61.1504100117935 -94.1204122984078</f>
        <v>-803.72261045577432</v>
      </c>
      <c r="D696">
        <f>-660.296933665097 -68.0189955827583 -209.136629950448</f>
        <v>-937.45255919830322</v>
      </c>
      <c r="E696">
        <f>-652.770960004633 -71.1159218684749 -307.42411110997</f>
        <v>-1031.310992983078</v>
      </c>
      <c r="F696">
        <f>-639.485930188328 -73.0132862667643 -395.50454205879</f>
        <v>-1108.0037585138823</v>
      </c>
      <c r="G696">
        <f>-619.449301046678 -73.9480103155989 -482.314071787999</f>
        <v>-1175.7113831502759</v>
      </c>
      <c r="H696">
        <f>-584.454626870587 -74.2826969178933 -601.880214731787</f>
        <v>-1260.6175385202673</v>
      </c>
      <c r="I696">
        <f>-536.133786589715 -70.0673601602871 -669.351396357623</f>
        <v>-1275.5525431076251</v>
      </c>
      <c r="J696">
        <f>-606.768147774747 -47.3849345498564 -551.363539724005</f>
        <v>-1205.5166220486085</v>
      </c>
      <c r="K696" t="s">
        <v>7611</v>
      </c>
      <c r="L696" t="s">
        <v>7612</v>
      </c>
      <c r="M696" t="s">
        <v>7613</v>
      </c>
      <c r="N696">
        <f>-592.939918405044 -100.885841150287 -547.166624429661</f>
        <v>-1240.9923839849921</v>
      </c>
      <c r="O696">
        <f>-570.739656710914 -231.225827585625 -509.499842675189</f>
        <v>-1311.465326971728</v>
      </c>
      <c r="P696">
        <f>-663.501770245937 -296.88738081401 -238.068612473919</f>
        <v>-1198.457763533866</v>
      </c>
      <c r="Q696">
        <f>-476.816639481109 -159.61391670238 -304.064840331392</f>
        <v>-940.49539651488101</v>
      </c>
      <c r="R696" t="s">
        <v>7614</v>
      </c>
      <c r="S696" t="s">
        <v>7615</v>
      </c>
      <c r="T696" t="s">
        <v>7616</v>
      </c>
      <c r="U696" t="s">
        <v>7617</v>
      </c>
      <c r="V696">
        <f>-620.314074207177 -154.060108128893 -92.517811986442</f>
        <v>-866.89199432251201</v>
      </c>
      <c r="W696" t="s">
        <v>7618</v>
      </c>
      <c r="X696" t="s">
        <v>7619</v>
      </c>
      <c r="Y696" t="s">
        <v>7620</v>
      </c>
    </row>
    <row r="697" spans="1:25" x14ac:dyDescent="0.3">
      <c r="A697">
        <v>34800</v>
      </c>
      <c r="B697" t="s">
        <v>7621</v>
      </c>
      <c r="C697">
        <f>-648.074981831683 -61.3509750561236 -94.1189692077547</f>
        <v>-803.54492609556132</v>
      </c>
      <c r="D697">
        <f>-659.98002729422 -68.3213984477388 -209.122971398868</f>
        <v>-937.42439714082684</v>
      </c>
      <c r="E697">
        <f>-652.626961922539 -71.4195178429745 -307.423441848422</f>
        <v>-1031.4699216139354</v>
      </c>
      <c r="F697">
        <f>-639.54456911245 -73.2856037138193 -395.534698808027</f>
        <v>-1108.3648716342964</v>
      </c>
      <c r="G697">
        <f>-619.754435750354 -74.1579961382092 -482.401526486813</f>
        <v>-1176.3139583753762</v>
      </c>
      <c r="H697">
        <f>-585.147385907805 -74.3737942996324 -602.080796718544</f>
        <v>-1261.6019769259815</v>
      </c>
      <c r="I697">
        <f>-537.16450772053 -70.0486481780314 -669.785745943787</f>
        <v>-1276.9989018423485</v>
      </c>
      <c r="J697">
        <f>-607.302621323704 -47.5279008081191 -551.466853821344</f>
        <v>-1206.2973759531669</v>
      </c>
      <c r="K697" t="s">
        <v>7622</v>
      </c>
      <c r="L697" t="s">
        <v>7623</v>
      </c>
      <c r="M697" t="s">
        <v>7624</v>
      </c>
      <c r="N697">
        <f>-593.449883461364 -101.029686125018 -547.36473077432</f>
        <v>-1241.8443003607022</v>
      </c>
      <c r="O697">
        <f>-571.001269256442 -231.363698969264 -509.852290661198</f>
        <v>-1312.2172588869039</v>
      </c>
      <c r="P697">
        <f>-662.826783202969 -297.197113686219 -238.144383518503</f>
        <v>-1198.1682804076909</v>
      </c>
      <c r="Q697">
        <f>-476.456261143181 -159.592350682904 -304.339671360651</f>
        <v>-940.38828318673598</v>
      </c>
      <c r="R697" t="s">
        <v>7625</v>
      </c>
      <c r="S697" t="s">
        <v>7626</v>
      </c>
      <c r="T697" t="s">
        <v>7627</v>
      </c>
      <c r="U697" t="s">
        <v>7628</v>
      </c>
      <c r="V697">
        <f>-619.981337940705 -154.114069268086 -92.4619602085201</f>
        <v>-866.55736741731107</v>
      </c>
      <c r="W697" t="s">
        <v>7629</v>
      </c>
      <c r="X697" t="s">
        <v>7630</v>
      </c>
      <c r="Y697" t="s">
        <v>7631</v>
      </c>
    </row>
    <row r="698" spans="1:25" x14ac:dyDescent="0.3">
      <c r="A698">
        <v>34850</v>
      </c>
      <c r="B698" t="s">
        <v>7632</v>
      </c>
      <c r="C698">
        <f>-647.969141450133 -61.4207355373292 -94.1118620294571</f>
        <v>-803.50173901691926</v>
      </c>
      <c r="D698">
        <f>-659.929290731383 -68.4415709695884 -209.107026663452</f>
        <v>-937.47788836442339</v>
      </c>
      <c r="E698">
        <f>-652.709380938275 -71.5276924881634 -307.417676779503</f>
        <v>-1031.6547502059414</v>
      </c>
      <c r="F698">
        <f>-639.779973578546 -73.3636050875349 -395.552304129703</f>
        <v>-1108.6958827957837</v>
      </c>
      <c r="G698">
        <f>-620.173418017365 -74.1881930031939 -482.461046085873</f>
        <v>-1176.822657106432</v>
      </c>
      <c r="H698">
        <f>-585.852841195853 -74.3204190358471 -602.222882658848</f>
        <v>-1262.3961428905482</v>
      </c>
      <c r="I698">
        <f>-538.090305216084 -69.9205082992899 -670.078716177224</f>
        <v>-1278.0895296925978</v>
      </c>
      <c r="J698">
        <f>-607.878578455966 -47.5076392348479 -551.535193515253</f>
        <v>-1206.921411206067</v>
      </c>
      <c r="K698" t="s">
        <v>7633</v>
      </c>
      <c r="L698" t="s">
        <v>7634</v>
      </c>
      <c r="M698" t="s">
        <v>7635</v>
      </c>
      <c r="N698">
        <f>-594.032671574811 -101.016922294917 -547.508278877738</f>
        <v>-1242.557872747466</v>
      </c>
      <c r="O698">
        <f>-571.445219753952 -231.371182215711 -510.154632804238</f>
        <v>-1312.971034773901</v>
      </c>
      <c r="P698">
        <f>-662.537566044545 -297.512437621261 -238.274593222175</f>
        <v>-1198.324596887981</v>
      </c>
      <c r="Q698">
        <f>-476.480532641361 -159.539942644117 -304.586175504336</f>
        <v>-940.6066507898139</v>
      </c>
      <c r="R698" t="s">
        <v>7636</v>
      </c>
      <c r="S698" t="s">
        <v>7637</v>
      </c>
      <c r="T698" t="s">
        <v>7638</v>
      </c>
      <c r="U698" t="s">
        <v>7639</v>
      </c>
      <c r="V698">
        <f>-619.893234588296 -154.073695359078 -92.4398776063132</f>
        <v>-866.40680755368714</v>
      </c>
      <c r="W698" t="s">
        <v>7640</v>
      </c>
      <c r="X698" t="s">
        <v>7641</v>
      </c>
      <c r="Y698" t="s">
        <v>7642</v>
      </c>
    </row>
    <row r="699" spans="1:25" x14ac:dyDescent="0.3">
      <c r="A699">
        <v>34900</v>
      </c>
      <c r="B699" t="s">
        <v>7643</v>
      </c>
      <c r="C699">
        <f>-648.086147611385 -61.4758409318974 -94.1365459554498</f>
        <v>-803.69853449873222</v>
      </c>
      <c r="D699">
        <f>-660.193751864187 -68.5695141886993 -209.111767721649</f>
        <v>-937.87503377453527</v>
      </c>
      <c r="E699">
        <f>-653.298391920635 -71.5928197265511 -307.447798911759</f>
        <v>-1032.3390105589451</v>
      </c>
      <c r="F699">
        <f>-640.737059578609 -73.3307384241456 -395.637568337995</f>
        <v>-1109.7053663407496</v>
      </c>
      <c r="G699">
        <f>-621.56858652532 -74.0210348208568 -482.645221449831</f>
        <v>-1178.2348427960078</v>
      </c>
      <c r="H699">
        <f>-587.928634311048 -73.9332676619814 -602.600019235781</f>
        <v>-1264.4619212088105</v>
      </c>
      <c r="I699">
        <f>-540.665012960574 -69.3881291308434 -670.794701776849</f>
        <v>-1280.8478438682664</v>
      </c>
      <c r="J699">
        <f>-609.596901065814 -47.1944364358424 -551.719461939245</f>
        <v>-1208.5107994409013</v>
      </c>
      <c r="K699" t="s">
        <v>7644</v>
      </c>
      <c r="L699" t="s">
        <v>7645</v>
      </c>
      <c r="M699" t="s">
        <v>7646</v>
      </c>
      <c r="N699">
        <f>-595.86688604987 -100.749284020462 -547.908288957377</f>
        <v>-1244.5244590277089</v>
      </c>
      <c r="O699">
        <f>-573.227069967745 -231.247115193822 -511.066617322059</f>
        <v>-1315.5408024836261</v>
      </c>
      <c r="P699">
        <f>-662.526078689701 -298.121709191641 -238.771449105282</f>
        <v>-1199.4192369866239</v>
      </c>
      <c r="Q699">
        <f>-477.163669164421 -159.375995366607 -305.414000216074</f>
        <v>-941.95366474710193</v>
      </c>
      <c r="R699" t="s">
        <v>7647</v>
      </c>
      <c r="S699" t="s">
        <v>7648</v>
      </c>
      <c r="T699" t="s">
        <v>7649</v>
      </c>
      <c r="U699" t="s">
        <v>7650</v>
      </c>
      <c r="V699">
        <f>-620.037840218576 -154.028057025258 -92.4929363701536</f>
        <v>-866.55883361398764</v>
      </c>
      <c r="W699" t="s">
        <v>7651</v>
      </c>
      <c r="X699" t="s">
        <v>7652</v>
      </c>
      <c r="Y699" t="s">
        <v>7653</v>
      </c>
    </row>
    <row r="700" spans="1:25" x14ac:dyDescent="0.3">
      <c r="A700">
        <v>34950</v>
      </c>
      <c r="B700" t="s">
        <v>7654</v>
      </c>
      <c r="C700">
        <f>-648.227655913411 -61.4823165945967 -94.2102500668163</f>
        <v>-803.92022257482404</v>
      </c>
      <c r="D700">
        <f>-660.420675197152 -68.5845390863467 -209.175925094094</f>
        <v>-938.18113937759267</v>
      </c>
      <c r="E700">
        <f>-653.705587249958 -71.549148070813 -307.526150306888</f>
        <v>-1032.7808856276588</v>
      </c>
      <c r="F700">
        <f>-641.347834680619 -73.2111188965777 -395.746214923529</f>
        <v>-1110.3051685007258</v>
      </c>
      <c r="G700">
        <f>-622.420927584915 -73.805983532093 -482.807381227339</f>
        <v>-1179.034292344347</v>
      </c>
      <c r="H700">
        <f>-589.15568480415 -73.5664960833302 -602.866540222724</f>
        <v>-1265.5887211102042</v>
      </c>
      <c r="I700">
        <f>-542.1682656768 -68.9493537129229 -671.246864301692</f>
        <v>-1282.364483691415</v>
      </c>
      <c r="J700">
        <f>-610.607811836329 -46.8764529045445 -551.868941389551</f>
        <v>-1209.3532061304245</v>
      </c>
      <c r="K700" t="s">
        <v>7655</v>
      </c>
      <c r="L700" t="s">
        <v>7656</v>
      </c>
      <c r="M700" t="s">
        <v>7657</v>
      </c>
      <c r="N700">
        <f>-596.980400113362 -100.467390947182 -548.199919537228</f>
        <v>-1245.6477105977719</v>
      </c>
      <c r="O700">
        <f>-574.417777215275 -231.061975268142 -511.662795679557</f>
        <v>-1317.142548162974</v>
      </c>
      <c r="P700">
        <f>-662.875975047496 -298.372519993594 -239.200527417817</f>
        <v>-1200.4490224589069</v>
      </c>
      <c r="Q700">
        <f>-477.861323867542 -159.218859770294 -305.959157223585</f>
        <v>-943.0393408614209</v>
      </c>
      <c r="R700" t="s">
        <v>7658</v>
      </c>
      <c r="S700" t="s">
        <v>7659</v>
      </c>
      <c r="T700" t="s">
        <v>7660</v>
      </c>
      <c r="U700" t="s">
        <v>7661</v>
      </c>
      <c r="V700">
        <f>-620.254634514563 -153.959194239443 -92.6013426067032</f>
        <v>-866.8151713607092</v>
      </c>
      <c r="W700" t="s">
        <v>7662</v>
      </c>
      <c r="X700" t="s">
        <v>7663</v>
      </c>
      <c r="Y700" t="s">
        <v>7664</v>
      </c>
    </row>
    <row r="701" spans="1:25" x14ac:dyDescent="0.3">
      <c r="A701">
        <v>35000</v>
      </c>
      <c r="B701" t="s">
        <v>7665</v>
      </c>
      <c r="C701">
        <f>-648.671691910504 -61.5017313332147 -94.3576776915861</f>
        <v>-804.53110093530483</v>
      </c>
      <c r="D701">
        <f>-661.08021234126 -68.5162005342754 -209.305685619494</f>
        <v>-938.90209849502935</v>
      </c>
      <c r="E701">
        <f>-654.729036987575 -71.3287998997947 -307.68465969238</f>
        <v>-1033.7424965797497</v>
      </c>
      <c r="F701">
        <f>-642.768436996286 -72.8261595349383 -395.962187154278</f>
        <v>-1111.5567836855023</v>
      </c>
      <c r="G701">
        <f>-624.302339948722 -73.2347393239382 -483.123472815977</f>
        <v>-1180.6605520886371</v>
      </c>
      <c r="H701">
        <f>-591.743230457008 -72.715475717742 -603.37506149146</f>
        <v>-1267.83376766621</v>
      </c>
      <c r="I701">
        <f>-545.303386460429 -67.9859677212705 -672.121055514631</f>
        <v>-1285.4104096963306</v>
      </c>
      <c r="J701">
        <f>-612.75772311091 -46.1072862563311 -552.152869742189</f>
        <v>-1211.0178791094299</v>
      </c>
      <c r="K701" t="s">
        <v>7666</v>
      </c>
      <c r="L701" t="s">
        <v>7667</v>
      </c>
      <c r="M701" t="s">
        <v>7668</v>
      </c>
      <c r="N701">
        <f>-599.384000731197 -99.7806242000448 -548.763640768887</f>
        <v>-1247.9282657001288</v>
      </c>
      <c r="O701">
        <f>-577.081864203421 -230.584755589101 -512.840677065615</f>
        <v>-1320.5072968581369</v>
      </c>
      <c r="P701">
        <f>-664.493394909812 -298.668555562564 -240.232871052816</f>
        <v>-1203.3948215251921</v>
      </c>
      <c r="Q701">
        <f>-479.993726087102 -158.823248630991 -306.971574822339</f>
        <v>-945.78854954043197</v>
      </c>
      <c r="R701" t="s">
        <v>7669</v>
      </c>
      <c r="S701" t="s">
        <v>7670</v>
      </c>
      <c r="T701" t="s">
        <v>7671</v>
      </c>
      <c r="U701" t="s">
        <v>7672</v>
      </c>
      <c r="V701">
        <f>-621.033719818405 -153.779704677474 -92.8049028583697</f>
        <v>-867.61832735424866</v>
      </c>
      <c r="W701" t="s">
        <v>7673</v>
      </c>
      <c r="X701" t="s">
        <v>7674</v>
      </c>
      <c r="Y701" t="s">
        <v>7675</v>
      </c>
    </row>
    <row r="702" spans="1:25" x14ac:dyDescent="0.3">
      <c r="A702">
        <v>35050</v>
      </c>
      <c r="B702" t="s">
        <v>7676</v>
      </c>
      <c r="C702">
        <f>-648.919904591135 -61.4263180091192 -94.408392856643</f>
        <v>-804.75461545689723</v>
      </c>
      <c r="D702">
        <f>-661.452857886894 -68.3767335560971 -209.34677433789</f>
        <v>-939.17636578088104</v>
      </c>
      <c r="E702">
        <f>-655.273163691668 -71.1110469856482 -307.738772928653</f>
        <v>-1034.1229836059692</v>
      </c>
      <c r="F702">
        <f>-643.492412428547 -72.529610549802 -396.041996181167</f>
        <v>-1112.064019159516</v>
      </c>
      <c r="G702">
        <f>-625.228824611901 -72.8540285935416 -483.246155256487</f>
        <v>-1181.3290084619296</v>
      </c>
      <c r="H702">
        <f>-592.974657026559 -72.2132699888434 -603.579368893926</f>
        <v>-1268.7672959093284</v>
      </c>
      <c r="I702">
        <f>-546.797343950799 -67.4288492043104 -672.498113731069</f>
        <v>-1286.7243068861785</v>
      </c>
      <c r="J702">
        <f>-613.768704792398 -45.6329569169884 -552.252892475631</f>
        <v>-1211.6545541850173</v>
      </c>
      <c r="K702" t="s">
        <v>7677</v>
      </c>
      <c r="L702" t="s">
        <v>7678</v>
      </c>
      <c r="M702" t="s">
        <v>7679</v>
      </c>
      <c r="N702">
        <f>-600.567517250994 -99.3574983324116 -549.00055848509</f>
        <v>-1248.9255740684957</v>
      </c>
      <c r="O702">
        <f>-578.489124287117 -230.29378371033 -513.397905759454</f>
        <v>-1322.180813756901</v>
      </c>
      <c r="P702">
        <f>-665.579751311592 -298.537094328386 -240.727164743684</f>
        <v>-1204.844010383662</v>
      </c>
      <c r="Q702">
        <f>-481.006916553239 -158.658277312919 -307.192747204822</f>
        <v>-946.85794107098002</v>
      </c>
      <c r="R702" t="s">
        <v>7680</v>
      </c>
      <c r="S702" t="s">
        <v>7681</v>
      </c>
      <c r="T702" t="s">
        <v>7682</v>
      </c>
      <c r="U702" t="s">
        <v>7683</v>
      </c>
      <c r="V702">
        <f>-621.520361272392 -153.681493931598 -92.8957382806028</f>
        <v>-868.09759348459284</v>
      </c>
      <c r="W702" t="s">
        <v>7684</v>
      </c>
      <c r="X702" t="s">
        <v>7685</v>
      </c>
      <c r="Y702" t="s">
        <v>7686</v>
      </c>
    </row>
    <row r="703" spans="1:25" x14ac:dyDescent="0.3">
      <c r="A703">
        <v>35100</v>
      </c>
      <c r="B703" t="s">
        <v>7687</v>
      </c>
      <c r="C703">
        <f>-649.5324612475 -61.3111281439652 -94.4173524984535</f>
        <v>-805.26094188991874</v>
      </c>
      <c r="D703">
        <f>-662.308674768471 -68.1094597329195 -209.338056457089</f>
        <v>-939.75619095847946</v>
      </c>
      <c r="E703">
        <f>-656.469611643809 -70.6359591120682 -307.756459028536</f>
        <v>-1034.8620297844132</v>
      </c>
      <c r="F703">
        <f>-645.046887961583 -71.8387334294559 -396.109742764986</f>
        <v>-1112.9953641560251</v>
      </c>
      <c r="G703">
        <f>-627.186875183863 -71.9265477268281 -483.398189265936</f>
        <v>-1182.5116121766271</v>
      </c>
      <c r="H703">
        <f>-595.541007413079 -70.9377522181562 -603.890430458056</f>
        <v>-1270.3691900892914</v>
      </c>
      <c r="I703">
        <f>-549.900880744517 -66.0614773330514 -673.159557051845</f>
        <v>-1289.1219151294135</v>
      </c>
      <c r="J703">
        <f>-615.833408302219 -44.4443084238917 -552.318871923773</f>
        <v>-1212.5965886498839</v>
      </c>
      <c r="K703" t="s">
        <v>7688</v>
      </c>
      <c r="L703" t="s">
        <v>7689</v>
      </c>
      <c r="M703" t="s">
        <v>7690</v>
      </c>
      <c r="N703">
        <f>-603.10023482481 -98.3015324334554 -549.416665473428</f>
        <v>-1250.8184327316935</v>
      </c>
      <c r="O703">
        <f>-581.834511451695 -229.581677098854 -514.577019559649</f>
        <v>-1325.9932081101979</v>
      </c>
      <c r="P703">
        <f>-668.419856066115 -298.023981655462 -241.795306968859</f>
        <v>-1208.239144690436</v>
      </c>
      <c r="Q703">
        <f>-483.07591760848 -158.731860187174 -307.340658023423</f>
        <v>-949.14843581907689</v>
      </c>
      <c r="R703" t="s">
        <v>7691</v>
      </c>
      <c r="S703" t="s">
        <v>7692</v>
      </c>
      <c r="T703" t="s">
        <v>7693</v>
      </c>
      <c r="U703" t="s">
        <v>7694</v>
      </c>
      <c r="V703">
        <f>-622.746513925569 -153.589165188008 -92.9844150812971</f>
        <v>-869.32009419487417</v>
      </c>
      <c r="W703" t="s">
        <v>7695</v>
      </c>
      <c r="X703" t="s">
        <v>7696</v>
      </c>
      <c r="Y703" t="s">
        <v>7697</v>
      </c>
    </row>
    <row r="704" spans="1:25" x14ac:dyDescent="0.3">
      <c r="A704">
        <v>35150</v>
      </c>
      <c r="B704" t="s">
        <v>7698</v>
      </c>
      <c r="C704">
        <f>-649.738634278327 -61.1640157703999 -94.3877150524334</f>
        <v>-805.29036510116043</v>
      </c>
      <c r="D704">
        <f>-662.643620771035 -67.861848835982 -209.300019334649</f>
        <v>-939.805488941666</v>
      </c>
      <c r="E704">
        <f>-656.990241239071 -70.2729306698766 -307.73210098256</f>
        <v>-1034.9952728915075</v>
      </c>
      <c r="F704">
        <f>-645.764152921145 -71.3600442729911 -396.112126977196</f>
        <v>-1113.2363241713319</v>
      </c>
      <c r="G704">
        <f>-628.127411228996 -71.3244143413638 -483.446001835236</f>
        <v>-1182.8978274055958</v>
      </c>
      <c r="H704">
        <f>-596.819369669286 -70.1564767877414 -604.024769105847</f>
        <v>-1271.0006155628744</v>
      </c>
      <c r="I704">
        <f>-551.459883665043 -65.2368277451936 -673.475139980064</f>
        <v>-1290.1718513903006</v>
      </c>
      <c r="J704">
        <f>-616.833416348206 -43.7066470051448 -552.322219178873</f>
        <v>-1212.8622825322236</v>
      </c>
      <c r="K704" t="s">
        <v>7699</v>
      </c>
      <c r="L704" t="s">
        <v>7700</v>
      </c>
      <c r="M704" t="s">
        <v>7701</v>
      </c>
      <c r="N704">
        <f>-604.3595593451 -97.6342232702617 -549.605823598868</f>
        <v>-1251.5996062142299</v>
      </c>
      <c r="O704">
        <f>-583.557239864747 -229.091167310584 -515.177335175696</f>
        <v>-1327.825742351027</v>
      </c>
      <c r="P704">
        <f>-669.98069979971 -297.730081133084 -242.393791585381</f>
        <v>-1210.104572518175</v>
      </c>
      <c r="Q704">
        <f>-484.349016403339 -158.598614641876 -307.464125815057</f>
        <v>-950.41175686027213</v>
      </c>
      <c r="R704" t="s">
        <v>7702</v>
      </c>
      <c r="S704" t="s">
        <v>7703</v>
      </c>
      <c r="T704" t="s">
        <v>7704</v>
      </c>
      <c r="U704" t="s">
        <v>7705</v>
      </c>
      <c r="V704">
        <f>-623.301690825692 -153.369765241902 -93.0127076323682</f>
        <v>-869.68416369996226</v>
      </c>
      <c r="W704" t="s">
        <v>7706</v>
      </c>
      <c r="X704" t="s">
        <v>7707</v>
      </c>
      <c r="Y704" t="s">
        <v>7708</v>
      </c>
    </row>
    <row r="705" spans="1:25" x14ac:dyDescent="0.3">
      <c r="A705">
        <v>35200</v>
      </c>
      <c r="B705" t="s">
        <v>7709</v>
      </c>
      <c r="C705">
        <f>-650.006774101614 -60.7322076853808 -94.3428246736354</f>
        <v>-805.08180646063022</v>
      </c>
      <c r="D705">
        <f>-663.200329525743 -67.2131691748469 -209.234700767376</f>
        <v>-939.64819946796592</v>
      </c>
      <c r="E705">
        <f>-657.956870240499 -69.4021781729988 -307.694778783546</f>
        <v>-1035.0538271970438</v>
      </c>
      <c r="F705">
        <f>-647.164093670115 -70.2735357852289 -396.131030878268</f>
        <v>-1113.5686603336119</v>
      </c>
      <c r="G705">
        <f>-630.01859541712 -70.0134890310908 -483.562204576255</f>
        <v>-1183.5942890244658</v>
      </c>
      <c r="H705">
        <f>-599.453902414123 -68.5256861524025 -604.328192551942</f>
        <v>-1272.3077811184676</v>
      </c>
      <c r="I705">
        <f>-554.673899085461 -63.5095603128042 -674.146518176178</f>
        <v>-1292.3299775744431</v>
      </c>
      <c r="J705">
        <f>-618.864304829269 -42.1455601619778 -552.360473909654</f>
        <v>-1213.3703389009008</v>
      </c>
      <c r="K705" t="s">
        <v>7710</v>
      </c>
      <c r="L705" t="s">
        <v>7711</v>
      </c>
      <c r="M705" t="s">
        <v>7712</v>
      </c>
      <c r="N705">
        <f>-606.943597470404 -96.215306235694 -550.009693135056</f>
        <v>-1253.1685968411539</v>
      </c>
      <c r="O705">
        <f>-587.221039737669 -228.067578585207 -516.459713145158</f>
        <v>-1331.7483314680339</v>
      </c>
      <c r="P705">
        <f>-673.232225648901 -297.187333402648 -243.667352012564</f>
        <v>-1214.0869110641129</v>
      </c>
      <c r="Q705">
        <f>-486.830553086814 -158.82342251645 -308.170991493625</f>
        <v>-953.82496709688905</v>
      </c>
      <c r="R705" t="s">
        <v>7713</v>
      </c>
      <c r="S705" t="s">
        <v>7714</v>
      </c>
      <c r="T705" t="s">
        <v>7715</v>
      </c>
      <c r="U705" t="s">
        <v>7716</v>
      </c>
      <c r="V705">
        <f>-624.557243995468 -153.04073010857 -93.1225079068163</f>
        <v>-870.7204820108542</v>
      </c>
      <c r="W705" t="s">
        <v>7717</v>
      </c>
      <c r="X705" t="s">
        <v>7718</v>
      </c>
      <c r="Y705" t="s">
        <v>7719</v>
      </c>
    </row>
    <row r="706" spans="1:25" x14ac:dyDescent="0.3">
      <c r="A706">
        <v>35250</v>
      </c>
      <c r="B706" t="s">
        <v>7720</v>
      </c>
      <c r="C706">
        <f>-650.145782315006 -60.455374064167 -94.3501625632556</f>
        <v>-804.95131894242866</v>
      </c>
      <c r="D706">
        <f>-663.528194095419 -66.8464137863709 -209.225233348819</f>
        <v>-939.59984123060894</v>
      </c>
      <c r="E706">
        <f>-658.534743612131 -68.9267849370599 -307.70060923001</f>
        <v>-1035.162137779201</v>
      </c>
      <c r="F706">
        <f>-648.002027328566 -69.6856604680277 -396.169495899069</f>
        <v>-1113.8571836956626</v>
      </c>
      <c r="G706">
        <f>-631.148265001453 -69.3015885041679 -483.6567931899</f>
        <v>-1184.1066466955208</v>
      </c>
      <c r="H706">
        <f>-601.021945064207 -67.6289611993722 -604.530368838929</f>
        <v>-1273.1812751025082</v>
      </c>
      <c r="I706">
        <f>-556.540323572596 -62.5468983600186 -674.534634697008</f>
        <v>-1293.6218566296225</v>
      </c>
      <c r="J706">
        <f>-620.104530410092 -41.2966749005943 -552.417278268889</f>
        <v>-1213.8184835795755</v>
      </c>
      <c r="K706" t="s">
        <v>7721</v>
      </c>
      <c r="L706" t="s">
        <v>7722</v>
      </c>
      <c r="M706" t="s">
        <v>7723</v>
      </c>
      <c r="N706">
        <f>-608.453563949582 -95.4332934634583 -550.262536637856</f>
        <v>-1254.1493940508963</v>
      </c>
      <c r="O706">
        <f>-589.281169718001 -227.46619933642 -517.129263804988</f>
        <v>-1333.876632859409</v>
      </c>
      <c r="P706">
        <f>-674.855809920231 -296.788689733097 -244.250928685666</f>
        <v>-1215.895428338994</v>
      </c>
      <c r="Q706">
        <f>-488.001117547202 -159.079801714913 -308.84555439284</f>
        <v>-955.92647365495498</v>
      </c>
      <c r="R706" t="s">
        <v>7724</v>
      </c>
      <c r="S706" t="s">
        <v>7725</v>
      </c>
      <c r="T706" t="s">
        <v>7726</v>
      </c>
      <c r="U706" t="s">
        <v>7727</v>
      </c>
      <c r="V706">
        <f>-625.338692809896 -152.683506264544 -93.2240879399574</f>
        <v>-871.24628701439735</v>
      </c>
      <c r="W706" t="s">
        <v>7728</v>
      </c>
      <c r="X706" t="s">
        <v>7729</v>
      </c>
      <c r="Y706" t="s">
        <v>7730</v>
      </c>
    </row>
    <row r="707" spans="1:25" x14ac:dyDescent="0.3">
      <c r="A707">
        <v>35300</v>
      </c>
      <c r="B707" t="s">
        <v>7731</v>
      </c>
      <c r="C707">
        <f>-650.475705537597 -59.5912590817184 -94.4621780834951</f>
        <v>-804.52914270281053</v>
      </c>
      <c r="D707">
        <f>-664.299553689702 -65.8342839400291 -209.293120440682</f>
        <v>-939.42695807041309</v>
      </c>
      <c r="E707">
        <f>-659.844011108895 -67.6861648939214 -307.79889710979</f>
        <v>-1035.3290731126062</v>
      </c>
      <c r="F707">
        <f>-649.859815102307 -68.1885263352518 -396.333075137146</f>
        <v>-1114.3814165747049</v>
      </c>
      <c r="G707">
        <f>-633.612420067425 -67.4984082826616 -483.933235392492</f>
        <v>-1185.0440637425786</v>
      </c>
      <c r="H707">
        <f>-604.390679078778 -65.3439633909562 -605.021064141448</f>
        <v>-1274.7557066111822</v>
      </c>
      <c r="I707">
        <f>-560.480796658476 -59.9985399563664 -675.365862230791</f>
        <v>-1295.8451988456334</v>
      </c>
      <c r="J707">
        <f>-622.895772755681 -39.1785466822846 -552.616426748967</f>
        <v>-1214.6907461869328</v>
      </c>
      <c r="K707" t="s">
        <v>7732</v>
      </c>
      <c r="L707" t="s">
        <v>7733</v>
      </c>
      <c r="M707" t="s">
        <v>7734</v>
      </c>
      <c r="N707">
        <f>-611.603698482855 -93.4055026636523 -550.856246081744</f>
        <v>-1255.8654472282512</v>
      </c>
      <c r="O707">
        <f>-593.264886252318 -225.729685014078 -518.413590839824</f>
        <v>-1337.4081621062201</v>
      </c>
      <c r="P707">
        <f>-677.679546096485 -295.444207524515 -245.273960608979</f>
        <v>-1218.3977142299789</v>
      </c>
      <c r="Q707">
        <f>-490.148111239382 -158.881164776651 -310.338201480027</f>
        <v>-959.36747749606002</v>
      </c>
      <c r="R707" t="s">
        <v>7735</v>
      </c>
      <c r="S707" t="s">
        <v>7736</v>
      </c>
      <c r="T707" t="s">
        <v>7737</v>
      </c>
      <c r="U707" t="s">
        <v>7738</v>
      </c>
      <c r="V707">
        <f>-627.005952098247 -151.572825701931 -93.5372504363435</f>
        <v>-872.11602823652152</v>
      </c>
      <c r="W707" t="s">
        <v>7739</v>
      </c>
      <c r="X707" t="s">
        <v>7740</v>
      </c>
      <c r="Y707" t="s">
        <v>7741</v>
      </c>
    </row>
    <row r="708" spans="1:25" x14ac:dyDescent="0.3">
      <c r="A708">
        <v>35350</v>
      </c>
      <c r="B708" t="s">
        <v>7742</v>
      </c>
      <c r="C708">
        <f>-650.583019282679 -58.824163824341 -94.5859570854727</f>
        <v>-803.99314019249266</v>
      </c>
      <c r="D708">
        <f>-664.658594492809 -65.01276929049 -209.389333171933</f>
        <v>-939.06069695523206</v>
      </c>
      <c r="E708">
        <f>-660.478473386815 -66.7488523870127 -307.909205791272</f>
        <v>-1035.1365315650996</v>
      </c>
      <c r="F708">
        <f>-650.766583184554 -67.1119579162032 -396.474289213981</f>
        <v>-1114.3528303147382</v>
      </c>
      <c r="G708">
        <f>-634.813230245113 -66.2470584366423 -484.126966484975</f>
        <v>-1185.1872551667302</v>
      </c>
      <c r="H708">
        <f>-606.023804080547 -63.8080683261519 -605.312933067163</f>
        <v>-1275.1448054738621</v>
      </c>
      <c r="I708">
        <f>-562.372190119632 -58.2715078748528 -675.80341115579</f>
        <v>-1296.4471091502746</v>
      </c>
      <c r="J708">
        <f>-624.295269273334 -37.7559651137735 -552.770130138889</f>
        <v>-1214.8213645259966</v>
      </c>
      <c r="K708" t="s">
        <v>7743</v>
      </c>
      <c r="L708" t="s">
        <v>7744</v>
      </c>
      <c r="M708" t="s">
        <v>7745</v>
      </c>
      <c r="N708">
        <f>-613.089983509564 -92.0067061086 -551.199993358227</f>
        <v>-1256.2966829763909</v>
      </c>
      <c r="O708">
        <f>-594.977047245289 -224.429686067408 -519.039657457999</f>
        <v>-1338.4463907706961</v>
      </c>
      <c r="P708">
        <f>-678.660431179892 -294.193987337474 -245.687821887486</f>
        <v>-1218.542240404852</v>
      </c>
      <c r="Q708">
        <f>-490.810033718101 -158.123968147054 -310.865045149752</f>
        <v>-959.79904701490705</v>
      </c>
      <c r="R708" t="s">
        <v>7746</v>
      </c>
      <c r="S708" t="s">
        <v>7747</v>
      </c>
      <c r="T708" t="s">
        <v>7748</v>
      </c>
      <c r="U708" t="s">
        <v>7749</v>
      </c>
      <c r="V708">
        <f>-627.655131334662 -150.522914045401 -93.7537087402457</f>
        <v>-871.9317541203086</v>
      </c>
      <c r="W708" t="s">
        <v>7750</v>
      </c>
      <c r="X708" t="s">
        <v>7751</v>
      </c>
      <c r="Y708" t="s">
        <v>7752</v>
      </c>
    </row>
    <row r="709" spans="1:25" x14ac:dyDescent="0.3">
      <c r="A709">
        <v>35400</v>
      </c>
      <c r="B709" t="s">
        <v>7753</v>
      </c>
      <c r="C709">
        <f>-650.33023646736 -57.2817272915763 -94.9656933348596</f>
        <v>-802.57765709379589</v>
      </c>
      <c r="D709">
        <f>-665.062082256271 -63.5374028883429 -209.683104337825</f>
        <v>-938.28258948243888</v>
      </c>
      <c r="E709">
        <f>-661.569401433671 -65.1640488561412 -308.23159978505</f>
        <v>-1034.9650500748621</v>
      </c>
      <c r="F709">
        <f>-652.526436293766 -65.3512898142727 -396.868016607464</f>
        <v>-1114.7457427155027</v>
      </c>
      <c r="G709">
        <f>-637.285574991595 -64.2310944829019 -484.644493220599</f>
        <v>-1186.1611626950958</v>
      </c>
      <c r="H709">
        <f>-609.533984008788 -61.3491663156983 -606.06268842806</f>
        <v>-1276.9458387525465</v>
      </c>
      <c r="I709">
        <f>-566.524486812572 -55.4622677197895 -676.918410028377</f>
        <v>-1298.9051645607385</v>
      </c>
      <c r="J709">
        <f>-627.263554366979 -35.4702031520496 -553.249178730886</f>
        <v>-1215.9829362499145</v>
      </c>
      <c r="K709" t="s">
        <v>7754</v>
      </c>
      <c r="L709" t="s">
        <v>7755</v>
      </c>
      <c r="M709" t="s">
        <v>7756</v>
      </c>
      <c r="N709">
        <f>-616.228688235412 -89.7645569290081 -552.015840162733</f>
        <v>-1258.0090853271531</v>
      </c>
      <c r="O709">
        <f>-598.30589003255 -222.359834152392 -520.46118033874</f>
        <v>-1341.126904523682</v>
      </c>
      <c r="P709">
        <f>-679.809310314765 -292.179483558358 -246.465619537424</f>
        <v>-1218.454413410547</v>
      </c>
      <c r="Q709">
        <f>-491.382507236871 -156.717825001331 -311.244568047327</f>
        <v>-959.34490028552898</v>
      </c>
      <c r="R709" t="s">
        <v>7757</v>
      </c>
      <c r="S709" t="s">
        <v>7758</v>
      </c>
      <c r="T709" t="s">
        <v>7759</v>
      </c>
      <c r="U709" t="s">
        <v>7760</v>
      </c>
      <c r="V709">
        <f>-628.250272158115 -148.772712791519 -94.1810364050674</f>
        <v>-871.20402135470135</v>
      </c>
      <c r="W709" t="s">
        <v>7761</v>
      </c>
      <c r="X709" t="s">
        <v>7762</v>
      </c>
      <c r="Y709" t="s">
        <v>7763</v>
      </c>
    </row>
    <row r="710" spans="1:25" x14ac:dyDescent="0.3">
      <c r="A710">
        <v>35450</v>
      </c>
      <c r="B710" t="s">
        <v>7764</v>
      </c>
      <c r="C710">
        <f>-650.008693335925 -56.6916155449362 -95.1755839669648</f>
        <v>-801.87589284782609</v>
      </c>
      <c r="D710">
        <f>-665.136997318739 -63.0084998424585 -209.837938621505</f>
        <v>-937.98343578270249</v>
      </c>
      <c r="E710">
        <f>-662.085471661705 -64.6027532272174 -308.401621990653</f>
        <v>-1035.0898468795754</v>
      </c>
      <c r="F710">
        <f>-653.480094460665 -64.7214411616872 -397.081847080823</f>
        <v>-1115.2833827031752</v>
      </c>
      <c r="G710">
        <f>-638.713058474416 -63.4924243508818 -484.937770040522</f>
        <v>-1187.1432528658199</v>
      </c>
      <c r="H710">
        <f>-611.659115357533 -60.4141457175112 -606.508412121803</f>
        <v>-1278.5816731968471</v>
      </c>
      <c r="I710">
        <f>-569.076086125885 -54.3627186845197 -677.607507368076</f>
        <v>-1301.0463121784805</v>
      </c>
      <c r="J710">
        <f>-629.048495241751 -34.6129745227197 -553.543977863289</f>
        <v>-1217.2054476277597</v>
      </c>
      <c r="K710" t="s">
        <v>7765</v>
      </c>
      <c r="L710" t="s">
        <v>7766</v>
      </c>
      <c r="M710" t="s">
        <v>7767</v>
      </c>
      <c r="N710">
        <f>-618.079905017614 -88.92439898586 -552.478227253047</f>
        <v>-1259.4825312565208</v>
      </c>
      <c r="O710">
        <f>-600.183876908865 -221.594203098428 -521.215024880481</f>
        <v>-1342.9931048877741</v>
      </c>
      <c r="P710">
        <f>-680.320546092407 -291.426937436135 -246.819841458688</f>
        <v>-1218.56732498723</v>
      </c>
      <c r="Q710">
        <f>-491.448258992225 -156.55373864097 -311.529614335768</f>
        <v>-959.53161196896303</v>
      </c>
      <c r="R710" t="s">
        <v>7768</v>
      </c>
      <c r="S710" t="s">
        <v>7769</v>
      </c>
      <c r="T710" t="s">
        <v>7770</v>
      </c>
      <c r="U710" t="s">
        <v>7771</v>
      </c>
      <c r="V710">
        <f>-628.281901024297 -148.187585040014 -94.3700952521972</f>
        <v>-870.8395813165082</v>
      </c>
      <c r="W710" t="s">
        <v>7772</v>
      </c>
      <c r="X710" t="s">
        <v>7773</v>
      </c>
      <c r="Y710" t="s">
        <v>7774</v>
      </c>
    </row>
    <row r="711" spans="1:25" x14ac:dyDescent="0.3">
      <c r="A711">
        <v>35500</v>
      </c>
      <c r="B711" t="s">
        <v>7775</v>
      </c>
      <c r="C711">
        <f>-649.184001366147 -56.1232067473821 -95.5554968611229</f>
        <v>-800.86270497465205</v>
      </c>
      <c r="D711">
        <f>-665.203962547056 -62.6306528137718 -210.086008378056</f>
        <v>-937.92062373888382</v>
      </c>
      <c r="E711">
        <f>-663.111530193579 -64.2387309179913 -308.6746102947</f>
        <v>-1036.0248714062704</v>
      </c>
      <c r="F711">
        <f>-655.447176102183 -64.3009396757458 -397.441115122786</f>
        <v>-1117.1892309007148</v>
      </c>
      <c r="G711">
        <f>-641.690111844381 -62.9438126868744 -485.458898298726</f>
        <v>-1190.0928228299813</v>
      </c>
      <c r="H711">
        <f>-616.115065217145 -59.607953872554 -607.342387328564</f>
        <v>-1283.0654064182631</v>
      </c>
      <c r="I711">
        <f>-574.482879957512 -53.2925205468734 -678.979790565299</f>
        <v>-1306.7551910696843</v>
      </c>
      <c r="J711">
        <f>-632.791890385142 -33.9054744339944 -554.101709281362</f>
        <v>-1220.7990741004983</v>
      </c>
      <c r="K711" t="s">
        <v>7776</v>
      </c>
      <c r="L711" t="s">
        <v>7777</v>
      </c>
      <c r="M711" t="s">
        <v>7778</v>
      </c>
      <c r="N711">
        <f>-621.94686820317 -88.2463412149605 -553.313404984869</f>
        <v>-1263.5066144029993</v>
      </c>
      <c r="O711">
        <f>-604.026522984819 -221.029704998629 -522.598950553565</f>
        <v>-1347.6551785370129</v>
      </c>
      <c r="P711">
        <f>-681.129080021793 -290.835902040544 -247.329197479551</f>
        <v>-1219.2941795418878</v>
      </c>
      <c r="Q711">
        <f>-491.685955941742 -157.011382960629 -312.545499648002</f>
        <v>-961.24283855037311</v>
      </c>
      <c r="R711" t="s">
        <v>7779</v>
      </c>
      <c r="S711" t="s">
        <v>7780</v>
      </c>
      <c r="T711" t="s">
        <v>7781</v>
      </c>
      <c r="U711" t="s">
        <v>7782</v>
      </c>
      <c r="V711">
        <f>-628.136722071147 -147.689295200413 -94.673847337257</f>
        <v>-870.49986460881701</v>
      </c>
      <c r="W711" t="s">
        <v>7783</v>
      </c>
      <c r="X711" t="s">
        <v>7784</v>
      </c>
      <c r="Y711" t="s">
        <v>7785</v>
      </c>
    </row>
    <row r="712" spans="1:25" x14ac:dyDescent="0.3">
      <c r="A712">
        <v>35550</v>
      </c>
      <c r="B712" t="s">
        <v>7786</v>
      </c>
      <c r="C712">
        <f>-648.684573203516 -55.9399506667725 -95.7297206194417</f>
        <v>-800.35424448973015</v>
      </c>
      <c r="D712">
        <f>-665.214250624237 -62.5434124123915 -210.182224653739</f>
        <v>-937.93988769036753</v>
      </c>
      <c r="E712">
        <f>-663.639352817397 -64.1876826846058 -308.779838584825</f>
        <v>-1036.6068740868277</v>
      </c>
      <c r="F712">
        <f>-656.472472096296 -64.261867907456 -397.58780376888</f>
        <v>-1118.322143772632</v>
      </c>
      <c r="G712">
        <f>-643.23989380992 -62.8958741831634 -485.685832394077</f>
        <v>-1191.8216003871603</v>
      </c>
      <c r="H712">
        <f>-618.423621363595 -59.525535804259 -607.72533307832</f>
        <v>-1285.6744902461739</v>
      </c>
      <c r="I712">
        <f>-577.286979514385 -53.1410619883873 -679.642173729219</f>
        <v>-1310.0702152319914</v>
      </c>
      <c r="J712">
        <f>-634.726674417294 -33.8296059535533 -554.365600013982</f>
        <v>-1222.9218803848294</v>
      </c>
      <c r="K712" t="s">
        <v>7787</v>
      </c>
      <c r="L712" t="s">
        <v>7788</v>
      </c>
      <c r="M712" t="s">
        <v>7789</v>
      </c>
      <c r="N712">
        <f>-623.961444243646 -88.1876898022932 -553.677941265358</f>
        <v>-1265.8270753112972</v>
      </c>
      <c r="O712">
        <f>-605.992134411622 -221.018963786574 -523.174546322186</f>
        <v>-1350.1856445203821</v>
      </c>
      <c r="P712">
        <f>-681.537329287734 -290.753216637989 -247.454893299587</f>
        <v>-1219.7454392253101</v>
      </c>
      <c r="Q712">
        <f>-492.267036889382 -157.040103106178 -313.397600678618</f>
        <v>-962.70474067417797</v>
      </c>
      <c r="R712" t="s">
        <v>7790</v>
      </c>
      <c r="S712" t="s">
        <v>7791</v>
      </c>
      <c r="T712" t="s">
        <v>7792</v>
      </c>
      <c r="U712" t="s">
        <v>7793</v>
      </c>
      <c r="V712">
        <f>-627.836395028949 -147.428823650539 -94.814714070497</f>
        <v>-870.07993274998501</v>
      </c>
      <c r="W712" t="s">
        <v>7794</v>
      </c>
      <c r="X712" t="s">
        <v>7795</v>
      </c>
      <c r="Y712" t="s">
        <v>7796</v>
      </c>
    </row>
    <row r="713" spans="1:25" x14ac:dyDescent="0.3">
      <c r="A713">
        <v>35600</v>
      </c>
      <c r="B713" t="s">
        <v>7797</v>
      </c>
      <c r="C713">
        <f>-647.654489555943 -55.3129334047391 -96.0426721232423</f>
        <v>-799.01009508392428</v>
      </c>
      <c r="D713">
        <f>-665.24459910539 -62.1250720036236 -210.324798640814</f>
        <v>-937.69446974982759</v>
      </c>
      <c r="E713">
        <f>-664.738661204988 -63.8429079814878 -308.932381387001</f>
        <v>-1037.5139505734769</v>
      </c>
      <c r="F713">
        <f>-658.597002101714 -63.938191015543 -397.817147494799</f>
        <v>-1120.352340612056</v>
      </c>
      <c r="G713">
        <f>-646.442837687137 -62.5483447633687 -486.070266921321</f>
        <v>-1195.0614493718267</v>
      </c>
      <c r="H713">
        <f>-623.1842710183 -59.096433133308 -608.413731327198</f>
        <v>-1290.6944354788061</v>
      </c>
      <c r="I713">
        <f>-583.014439886301 -52.6133224399775 -680.866362098188</f>
        <v>-1316.4941244244665</v>
      </c>
      <c r="J713">
        <f>-638.727477275183 -33.4207295792726 -554.818221201774</f>
        <v>-1226.9664280562297</v>
      </c>
      <c r="K713" t="s">
        <v>7798</v>
      </c>
      <c r="L713" t="s">
        <v>7799</v>
      </c>
      <c r="M713" t="s">
        <v>7800</v>
      </c>
      <c r="N713">
        <f>-628.110929670922 -87.8102198317055 -554.334507646964</f>
        <v>-1270.2556571495916</v>
      </c>
      <c r="O713">
        <f>-610.038988726926 -220.708713575267 -524.168445187935</f>
        <v>-1354.916147490128</v>
      </c>
      <c r="P713">
        <f>-682.376256675141 -290.133122059635 -247.512070770674</f>
        <v>-1220.0214495054499</v>
      </c>
      <c r="Q713">
        <f>-494.029601445986 -155.949079697026 -315.121444375238</f>
        <v>-965.10012551825002</v>
      </c>
      <c r="R713" t="s">
        <v>7801</v>
      </c>
      <c r="S713" t="s">
        <v>7802</v>
      </c>
      <c r="T713" t="s">
        <v>7803</v>
      </c>
      <c r="U713" t="s">
        <v>7804</v>
      </c>
      <c r="V713">
        <f>-626.932607637084 -146.929013690582 -94.992956472517</f>
        <v>-868.85457780018294</v>
      </c>
      <c r="W713" t="s">
        <v>7805</v>
      </c>
      <c r="X713" t="s">
        <v>7806</v>
      </c>
      <c r="Y713" t="s">
        <v>7807</v>
      </c>
    </row>
    <row r="714" spans="1:25" x14ac:dyDescent="0.3">
      <c r="A714">
        <v>35650</v>
      </c>
      <c r="B714" t="s">
        <v>7808</v>
      </c>
      <c r="C714">
        <f>-646.952586130933 -55.2916714144881 -96.1096866494479</f>
        <v>-798.35394419486897</v>
      </c>
      <c r="D714">
        <f>-665.088722157292 -62.1955921334541 -210.301033055094</f>
        <v>-937.58534734583998</v>
      </c>
      <c r="E714">
        <f>-665.117194736208 -63.9466510245182 -308.909168839523</f>
        <v>-1037.9730146002494</v>
      </c>
      <c r="F714">
        <f>-659.482597437846 -64.0520690591621 -397.827529981969</f>
        <v>-1121.3621964789772</v>
      </c>
      <c r="G714">
        <f>-647.857030130346 -62.6521278626516 -486.151495419686</f>
        <v>-1196.6606534126836</v>
      </c>
      <c r="H714">
        <f>-625.357489243558 -59.1644399118891 -608.635966062528</f>
        <v>-1293.1578952179752</v>
      </c>
      <c r="I714">
        <f>-585.652003671801 -52.6481021534279 -681.341125875887</f>
        <v>-1319.6412317011159</v>
      </c>
      <c r="J714">
        <f>-640.5390887164 -33.498747724635 -554.932131990125</f>
        <v>-1228.9699684311599</v>
      </c>
      <c r="K714" t="s">
        <v>7809</v>
      </c>
      <c r="L714" t="s">
        <v>7810</v>
      </c>
      <c r="M714" t="s">
        <v>7811</v>
      </c>
      <c r="N714">
        <f>-629.977698582558 -87.89973151008 -554.541145274531</f>
        <v>-1272.4185753671691</v>
      </c>
      <c r="O714">
        <f>-611.822171451312 -220.818465052446 -524.525959534091</f>
        <v>-1357.1665960378491</v>
      </c>
      <c r="P714">
        <f>-682.654464520987 -289.998349441013 -247.419257516439</f>
        <v>-1220.0720714784391</v>
      </c>
      <c r="Q714">
        <f>-494.667733567339 -155.616775510131 -315.635570066608</f>
        <v>-965.92007914407793</v>
      </c>
      <c r="R714" t="s">
        <v>7812</v>
      </c>
      <c r="S714" t="s">
        <v>7813</v>
      </c>
      <c r="T714" t="s">
        <v>7814</v>
      </c>
      <c r="U714" t="s">
        <v>7815</v>
      </c>
      <c r="V714">
        <f>-626.320771659541 -146.99622642267 -95.0267455607298</f>
        <v>-868.34374364294081</v>
      </c>
      <c r="W714" t="s">
        <v>7816</v>
      </c>
      <c r="X714" t="s">
        <v>7817</v>
      </c>
      <c r="Y714" t="s">
        <v>7818</v>
      </c>
    </row>
    <row r="715" spans="1:25" x14ac:dyDescent="0.3">
      <c r="A715">
        <v>35700</v>
      </c>
      <c r="B715" t="s">
        <v>7819</v>
      </c>
      <c r="C715">
        <f>-645.623903007646 -55.192655925338 -96.1336674529487</f>
        <v>-796.95022638593275</v>
      </c>
      <c r="D715">
        <f>-664.833240922061 -62.2712701575091 -210.138525286694</f>
        <v>-937.24303636626405</v>
      </c>
      <c r="E715">
        <f>-665.935218283052 -64.0608298938075 -308.739977363063</f>
        <v>-1038.7360255399226</v>
      </c>
      <c r="F715">
        <f>-661.327095328927 -64.1542124755839 -397.717577338146</f>
        <v>-1123.198885142657</v>
      </c>
      <c r="G715">
        <f>-650.77915199092 -62.6957108931551 -486.175638046299</f>
        <v>-1199.6505009303742</v>
      </c>
      <c r="H715">
        <f>-629.834068581148 -59.0766632262347 -608.931679312073</f>
        <v>-1297.8424111194558</v>
      </c>
      <c r="I715">
        <f>-591.046368420298 -52.4619392837681 -682.121798292953</f>
        <v>-1325.6301059970192</v>
      </c>
      <c r="J715">
        <f>-644.276536372031 -33.4575668709258 -555.002185631495</f>
        <v>-1232.7362888744519</v>
      </c>
      <c r="K715" t="s">
        <v>7820</v>
      </c>
      <c r="L715" t="s">
        <v>7821</v>
      </c>
      <c r="M715" t="s">
        <v>7822</v>
      </c>
      <c r="N715">
        <f>-633.82533805367 -87.8809318415385 -554.823551542496</f>
        <v>-1276.5298214377044</v>
      </c>
      <c r="O715">
        <f>-615.594524158202 -220.86910981904 -525.140289975919</f>
        <v>-1361.603923953161</v>
      </c>
      <c r="P715">
        <f>-683.515818576711 -289.402884413727 -247.145527496754</f>
        <v>-1220.0642304871922</v>
      </c>
      <c r="Q715">
        <f>-495.441676522617 -155.788569806205 -316.616481423577</f>
        <v>-967.84672775239892</v>
      </c>
      <c r="R715" t="s">
        <v>7823</v>
      </c>
      <c r="S715" t="s">
        <v>7824</v>
      </c>
      <c r="T715" t="s">
        <v>7825</v>
      </c>
      <c r="U715" t="s">
        <v>7826</v>
      </c>
      <c r="V715">
        <f>-625.17772019256 -147.02285256843 -95.0682358709939</f>
        <v>-867.26880863198392</v>
      </c>
      <c r="W715" t="s">
        <v>7827</v>
      </c>
      <c r="X715" t="s">
        <v>7828</v>
      </c>
      <c r="Y715" t="s">
        <v>7829</v>
      </c>
    </row>
    <row r="716" spans="1:25" x14ac:dyDescent="0.3">
      <c r="A716">
        <v>35750</v>
      </c>
      <c r="B716" t="s">
        <v>7830</v>
      </c>
      <c r="C716">
        <f>-645.003165177935 -54.977944800162 -96.146731582711</f>
        <v>-796.12784156080806</v>
      </c>
      <c r="D716">
        <f>-664.731199842589 -62.1540033276237 -210.056860981549</f>
        <v>-936.94206415176177</v>
      </c>
      <c r="E716">
        <f>-666.368134059681 -63.9566630333535 -308.650663387588</f>
        <v>-1038.9754604806226</v>
      </c>
      <c r="F716">
        <f>-662.276769085458 -64.0336512994445 -397.653370184641</f>
        <v>-1123.9637905695436</v>
      </c>
      <c r="G716">
        <f>-652.275740673245 -62.5316625897252 -486.17438805438</f>
        <v>-1200.9817913173501</v>
      </c>
      <c r="H716">
        <f>-632.124255381886 -58.8240762888271 -609.060519254178</f>
        <v>-1300.008850924891</v>
      </c>
      <c r="I716">
        <f>-593.764927828701 -52.1144662045422 -682.467320249505</f>
        <v>-1328.3467142827481</v>
      </c>
      <c r="J716">
        <f>-646.180190056026 -33.2366076965218 -555.013881323628</f>
        <v>-1234.4306790761757</v>
      </c>
      <c r="K716" t="s">
        <v>7831</v>
      </c>
      <c r="L716" t="s">
        <v>7832</v>
      </c>
      <c r="M716" t="s">
        <v>7833</v>
      </c>
      <c r="N716">
        <f>-635.803583959924 -87.6746470146446 -554.954830266648</f>
        <v>-1278.4330612412166</v>
      </c>
      <c r="O716">
        <f>-617.62388545923 -220.718022258147 -525.477487077308</f>
        <v>-1363.819394794685</v>
      </c>
      <c r="P716">
        <f>-683.972559761245 -289.051947929112 -247.054196505239</f>
        <v>-1220.0787041955959</v>
      </c>
      <c r="Q716">
        <f>-495.816556318448 -155.951244756281 -317.285091603452</f>
        <v>-969.05289267818102</v>
      </c>
      <c r="R716" t="s">
        <v>7834</v>
      </c>
      <c r="S716" t="s">
        <v>7835</v>
      </c>
      <c r="T716" t="s">
        <v>7836</v>
      </c>
      <c r="U716" t="s">
        <v>7837</v>
      </c>
      <c r="V716">
        <f>-624.647130297664 -146.833604445895 -95.1020257226727</f>
        <v>-866.58276046623166</v>
      </c>
      <c r="W716" t="s">
        <v>7838</v>
      </c>
      <c r="X716" t="s">
        <v>7839</v>
      </c>
      <c r="Y716" t="s">
        <v>7840</v>
      </c>
    </row>
    <row r="717" spans="1:25" x14ac:dyDescent="0.3">
      <c r="A717">
        <v>35800</v>
      </c>
      <c r="B717" t="s">
        <v>7841</v>
      </c>
      <c r="C717">
        <f>-643.986270455949 -54.2214731908094 -96.2138049312094</f>
        <v>-794.42154857796788</v>
      </c>
      <c r="D717">
        <f>-664.729058979379 -61.6109868037167 -209.929928049975</f>
        <v>-936.26997383307071</v>
      </c>
      <c r="E717">
        <f>-667.424150829117 -63.450776317054 -308.499655855096</f>
        <v>-1039.374583001267</v>
      </c>
      <c r="F717">
        <f>-664.359404953372 -63.5014780661085 -397.543739333961</f>
        <v>-1125.4046223534415</v>
      </c>
      <c r="G717">
        <f>-655.449726966636 -61.9143629700006 -486.179716749322</f>
        <v>-1203.5438066859588</v>
      </c>
      <c r="H717">
        <f>-636.886403608718 -58.0257431048033 -609.310207104598</f>
        <v>-1304.2223538181192</v>
      </c>
      <c r="I717">
        <f>-599.317628546669 -51.0610212423227 -683.10113134385</f>
        <v>-1333.4797811328417</v>
      </c>
      <c r="J717">
        <f>-650.164985252258 -32.503265016009 -555.036841161487</f>
        <v>-1237.705091429754</v>
      </c>
      <c r="K717" t="s">
        <v>7842</v>
      </c>
      <c r="L717" t="s">
        <v>7843</v>
      </c>
      <c r="M717" t="s">
        <v>7844</v>
      </c>
      <c r="N717">
        <f>-639.945360608468 -86.9706748233066 -555.216316646241</f>
        <v>-1282.1323520780156</v>
      </c>
      <c r="O717">
        <f>-621.842025896042 -220.105648297188 -526.139343906054</f>
        <v>-1368.0870180992838</v>
      </c>
      <c r="P717">
        <f>-685.085678830935 -287.906445263137 -246.864392396618</f>
        <v>-1219.85651649069</v>
      </c>
      <c r="Q717">
        <f>-496.994086890206 -155.53862888761 -318.636131899674</f>
        <v>-971.16884767749002</v>
      </c>
      <c r="R717" t="s">
        <v>7845</v>
      </c>
      <c r="S717" t="s">
        <v>7846</v>
      </c>
      <c r="T717" t="s">
        <v>7847</v>
      </c>
      <c r="U717" t="s">
        <v>7848</v>
      </c>
      <c r="V717">
        <f>-623.738491003715 -146.20452601561 -95.2232969889078</f>
        <v>-865.1663140082328</v>
      </c>
      <c r="W717" t="s">
        <v>7849</v>
      </c>
      <c r="X717" t="s">
        <v>7850</v>
      </c>
      <c r="Y717" t="s">
        <v>7851</v>
      </c>
    </row>
    <row r="718" spans="1:25" x14ac:dyDescent="0.3">
      <c r="A718">
        <v>35850</v>
      </c>
      <c r="B718" t="s">
        <v>7852</v>
      </c>
      <c r="C718">
        <f>-643.553745820018 -53.5740268153849 -96.314550541732</f>
        <v>-793.44232317713488</v>
      </c>
      <c r="D718">
        <f>-664.812577352919 -61.087561528004 -209.927203017771</f>
        <v>-935.82734189869404</v>
      </c>
      <c r="E718">
        <f>-668.028520380591 -62.9815255590898 -308.480340819584</f>
        <v>-1039.4903867592648</v>
      </c>
      <c r="F718">
        <f>-665.463576340216 -63.0587207071642 -397.540157401776</f>
        <v>-1126.0624544491561</v>
      </c>
      <c r="G718">
        <f>-657.080694102853 -61.4753488355088 -486.227645691199</f>
        <v>-1204.7836886295609</v>
      </c>
      <c r="H718">
        <f>-639.279324300521 -57.5679353583839 -609.469912822018</f>
        <v>-1306.3171724809231</v>
      </c>
      <c r="I718">
        <f>-602.089890871672 -50.4637115451382 -683.439513002813</f>
        <v>-1335.9931154196231</v>
      </c>
      <c r="J718">
        <f>-652.182490956435 -32.0463928786144 -555.105665802851</f>
        <v>-1239.3345496379004</v>
      </c>
      <c r="K718" t="s">
        <v>7853</v>
      </c>
      <c r="L718" t="s">
        <v>7854</v>
      </c>
      <c r="M718" t="s">
        <v>7855</v>
      </c>
      <c r="N718">
        <f>-642.043233115319 -86.528437992486 -555.368480052654</f>
        <v>-1283.9401511604592</v>
      </c>
      <c r="O718">
        <f>-623.950322348971 -219.689435275001 -526.421485977729</f>
        <v>-1370.0612436017009</v>
      </c>
      <c r="P718">
        <f>-685.6086389947 -287.203111888821 -246.722780459034</f>
        <v>-1219.5345313425551</v>
      </c>
      <c r="Q718">
        <f>-497.843342606191 -154.766821730086 -319.218854385583</f>
        <v>-971.82901872185994</v>
      </c>
      <c r="R718" t="s">
        <v>7856</v>
      </c>
      <c r="S718" t="s">
        <v>7857</v>
      </c>
      <c r="T718" t="s">
        <v>7858</v>
      </c>
      <c r="U718" t="s">
        <v>7859</v>
      </c>
      <c r="V718">
        <f>-623.360763848326 -145.631570070607 -95.3157275703202</f>
        <v>-864.30806148925319</v>
      </c>
      <c r="W718" t="s">
        <v>7860</v>
      </c>
      <c r="X718" t="s">
        <v>7861</v>
      </c>
      <c r="Y718" t="s">
        <v>7862</v>
      </c>
    </row>
    <row r="719" spans="1:25" x14ac:dyDescent="0.3">
      <c r="A719">
        <v>35900</v>
      </c>
      <c r="B719" t="s">
        <v>7863</v>
      </c>
      <c r="C719">
        <f>-642.89721045955 -52.4657968692181 -96.5390816395529</f>
        <v>-791.9020889683211</v>
      </c>
      <c r="D719">
        <f>-664.860999280129 -60.1628709445921 -210.005265555963</f>
        <v>-935.0291357806841</v>
      </c>
      <c r="E719">
        <f>-668.823423750425 -62.1869564723825 -308.528654167754</f>
        <v>-1039.5390343905615</v>
      </c>
      <c r="F719">
        <f>-666.987865196661 -62.3669615169724 -397.606292330696</f>
        <v>-1126.9611190443295</v>
      </c>
      <c r="G719">
        <f>-659.38588715634 -60.8704895664307 -486.365660653164</f>
        <v>-1206.6220373759347</v>
      </c>
      <c r="H719">
        <f>-642.726822989842 -57.0664015082024 -609.770754738291</f>
        <v>-1309.5639792363354</v>
      </c>
      <c r="I719">
        <f>-606.109650747981 -49.7743903576589 -684.007181474852</f>
        <v>-1339.891222580492</v>
      </c>
      <c r="J719">
        <f>-655.078215709781 -31.4904153191542 -555.304080732586</f>
        <v>-1241.8727117615213</v>
      </c>
      <c r="K719" t="s">
        <v>7864</v>
      </c>
      <c r="L719" t="s">
        <v>7865</v>
      </c>
      <c r="M719" t="s">
        <v>7866</v>
      </c>
      <c r="N719">
        <f>-645.037086066842 -85.990311695798 -555.628519452313</f>
        <v>-1286.655917214953</v>
      </c>
      <c r="O719">
        <f>-626.883555879485 -219.171399729168 -526.789939443609</f>
        <v>-1372.844895052262</v>
      </c>
      <c r="P719">
        <f>-686.448616173464 -286.273345791521 -246.539086716918</f>
        <v>-1219.261048681903</v>
      </c>
      <c r="Q719">
        <f>-499.316688222713 -153.419752285546 -319.904020450414</f>
        <v>-972.64046095867297</v>
      </c>
      <c r="R719" t="s">
        <v>7867</v>
      </c>
      <c r="S719" t="s">
        <v>7868</v>
      </c>
      <c r="T719" t="s">
        <v>7869</v>
      </c>
      <c r="U719" t="s">
        <v>7870</v>
      </c>
      <c r="V719">
        <f>-622.826002777798 -144.60564665183 -95.4964846727319</f>
        <v>-862.92813410235976</v>
      </c>
      <c r="W719" t="s">
        <v>7871</v>
      </c>
      <c r="X719" t="s">
        <v>7872</v>
      </c>
      <c r="Y719" t="s">
        <v>7873</v>
      </c>
    </row>
    <row r="720" spans="1:25" x14ac:dyDescent="0.3">
      <c r="A720">
        <v>35950</v>
      </c>
      <c r="B720" t="s">
        <v>7874</v>
      </c>
      <c r="C720">
        <f>-642.177489516724 -51.0046099697648 -96.8261807773315</f>
        <v>-790.00828026382032</v>
      </c>
      <c r="D720">
        <f>-664.842947384985 -58.9660066187196 -210.13591388983</f>
        <v>-933.94486789353459</v>
      </c>
      <c r="E720">
        <f>-669.545686138664 -61.1630345413082 -308.623103121492</f>
        <v>-1039.3318238014642</v>
      </c>
      <c r="F720">
        <f>-668.432273559742 -61.4739195636857 -397.712388064568</f>
        <v>-1127.6185811879959</v>
      </c>
      <c r="G720">
        <f>-661.602552683445 -60.0820305983863 -486.536176016694</f>
        <v>-1208.2207592985253</v>
      </c>
      <c r="H720">
        <f>-646.072502824588 -56.3947052444839 -610.091893157245</f>
        <v>-1312.5591012263169</v>
      </c>
      <c r="I720">
        <f>-610.068505585972 -48.9441203133497 -684.611941731628</f>
        <v>-1343.6245676309497</v>
      </c>
      <c r="J720">
        <f>-657.883324642852 -30.7595659594144 -555.533267611717</f>
        <v>-1244.1761582139834</v>
      </c>
      <c r="K720" t="s">
        <v>7875</v>
      </c>
      <c r="L720" t="s">
        <v>7876</v>
      </c>
      <c r="M720" t="s">
        <v>7877</v>
      </c>
      <c r="N720">
        <f>-647.929723483559 -85.2751150983186 -555.909002909937</f>
        <v>-1289.1138414918146</v>
      </c>
      <c r="O720">
        <f>-629.727790163664 -218.462592566554 -527.133415369439</f>
        <v>-1375.3237980996571</v>
      </c>
      <c r="P720">
        <f>-687.369276229305 -284.730084914205 -246.282390208852</f>
        <v>-1218.381751352362</v>
      </c>
      <c r="Q720">
        <f>-500.38234157132 -152.36945334632 -320.897241846547</f>
        <v>-973.64903676418703</v>
      </c>
      <c r="R720" t="s">
        <v>7878</v>
      </c>
      <c r="S720" t="s">
        <v>7879</v>
      </c>
      <c r="T720" t="s">
        <v>7880</v>
      </c>
      <c r="U720" t="s">
        <v>7881</v>
      </c>
      <c r="V720">
        <f>-622.270148214674 -143.06966165182 -95.7083911933812</f>
        <v>-861.04820105987528</v>
      </c>
      <c r="W720" t="s">
        <v>7882</v>
      </c>
      <c r="X720" t="s">
        <v>7883</v>
      </c>
      <c r="Y720" t="s">
        <v>7884</v>
      </c>
    </row>
    <row r="721" spans="1:25" x14ac:dyDescent="0.3">
      <c r="A721">
        <v>36000</v>
      </c>
      <c r="B721" t="s">
        <v>7885</v>
      </c>
      <c r="C721">
        <f>-641.102259605304 -48.9078170129117 -97.3222302136049</f>
        <v>-787.33230683182057</v>
      </c>
      <c r="D721">
        <f>-664.71292215723 -57.2858463727473 -210.408730669157</f>
        <v>-932.40749919913424</v>
      </c>
      <c r="E721">
        <f>-670.388349983187 -59.7444991902735 -308.838317348385</f>
        <v>-1038.9711665218456</v>
      </c>
      <c r="F721">
        <f>-670.215044663855 -60.2503297064789 -397.933612236849</f>
        <v>-1128.3989866071829</v>
      </c>
      <c r="G721">
        <f>-664.382460543505 -59.0118113412121 -486.830609403967</f>
        <v>-1210.2248812886842</v>
      </c>
      <c r="H721">
        <f>-650.301598066333 -55.4939308074021 -610.564917835775</f>
        <v>-1316.3604467095101</v>
      </c>
      <c r="I721">
        <f>-615.224523566724 -47.9398799421248 -685.515359688962</f>
        <v>-1348.6797631978106</v>
      </c>
      <c r="J721">
        <f>-661.408683470649 -29.7725014273235 -555.899200748047</f>
        <v>-1247.0803856460193</v>
      </c>
      <c r="K721" t="s">
        <v>7886</v>
      </c>
      <c r="L721" t="s">
        <v>7887</v>
      </c>
      <c r="M721" t="s">
        <v>7888</v>
      </c>
      <c r="N721">
        <f>-651.58712156553 -84.3114434876341 -556.331941404404</f>
        <v>-1292.230506457568</v>
      </c>
      <c r="O721">
        <f>-633.460805873908 -217.529528325951 -527.639957388197</f>
        <v>-1378.630291588056</v>
      </c>
      <c r="P721">
        <f>-688.366847774985 -282.90516144239 -246.032936757188</f>
        <v>-1217.304945974563</v>
      </c>
      <c r="Q721">
        <f>-501.62493157696 -151.279445735299 -322.537941764585</f>
        <v>-975.44231907684411</v>
      </c>
      <c r="R721" t="s">
        <v>7889</v>
      </c>
      <c r="S721" t="s">
        <v>7890</v>
      </c>
      <c r="T721" t="s">
        <v>7891</v>
      </c>
      <c r="U721" t="s">
        <v>7892</v>
      </c>
      <c r="V721">
        <f>-621.235634512087 -140.964946401942 -96.0185344832762</f>
        <v>-858.21911539730525</v>
      </c>
      <c r="W721" t="s">
        <v>7893</v>
      </c>
      <c r="X721" t="s">
        <v>7894</v>
      </c>
      <c r="Y721" t="s">
        <v>7895</v>
      </c>
    </row>
    <row r="722" spans="1:25" x14ac:dyDescent="0.3">
      <c r="A722">
        <v>36050</v>
      </c>
      <c r="B722" t="s">
        <v>7896</v>
      </c>
      <c r="C722">
        <f>-640.458978594149 -47.9757995203845 -97.6118229690276</f>
        <v>-786.04660108356109</v>
      </c>
      <c r="D722">
        <f>-664.552112667928 -56.5706235238574 -210.580260027841</f>
        <v>-931.70299621962636</v>
      </c>
      <c r="E722">
        <f>-670.695249250334 -59.1760248181339 -308.978069776841</f>
        <v>-1038.8493438453088</v>
      </c>
      <c r="F722">
        <f>-670.964564573805 -59.797110837776 -398.072312304788</f>
        <v>-1128.8339877163689</v>
      </c>
      <c r="G722">
        <f>-665.592443486058 -58.6561673591279 -486.999710197096</f>
        <v>-1211.248321042282</v>
      </c>
      <c r="H722">
        <f>-652.172237089452 -55.2555168971563 -610.810703996115</f>
        <v>-1318.2384579827233</v>
      </c>
      <c r="I722">
        <f>-617.527597177616 -47.6965915821609 -685.961437710747</f>
        <v>-1351.1856264705239</v>
      </c>
      <c r="J722">
        <f>-662.957810940466 -29.4769727138225 -556.107276980148</f>
        <v>-1248.5420606344364</v>
      </c>
      <c r="K722" t="s">
        <v>7897</v>
      </c>
      <c r="L722" t="s">
        <v>7898</v>
      </c>
      <c r="M722" t="s">
        <v>7899</v>
      </c>
      <c r="N722">
        <f>-653.197876287661 -84.0270500027132 -556.547733428194</f>
        <v>-1293.7726597185681</v>
      </c>
      <c r="O722">
        <f>-635.089937240143 -217.247417823279 -527.882542314606</f>
        <v>-1380.2198973780278</v>
      </c>
      <c r="P722">
        <f>-688.804389331648 -282.298410389007 -245.97063643627</f>
        <v>-1217.073436156925</v>
      </c>
      <c r="Q722">
        <f>-502.248737298092 -150.935636202646 -323.376628997988</f>
        <v>-976.56100249872611</v>
      </c>
      <c r="R722" t="s">
        <v>7900</v>
      </c>
      <c r="S722" t="s">
        <v>7901</v>
      </c>
      <c r="T722" t="s">
        <v>7902</v>
      </c>
      <c r="U722" t="s">
        <v>7903</v>
      </c>
      <c r="V722">
        <f>-620.598032115137 -140.16149301743 -96.1573176213647</f>
        <v>-856.91684275393163</v>
      </c>
      <c r="W722" t="s">
        <v>7904</v>
      </c>
      <c r="X722" t="s">
        <v>7905</v>
      </c>
      <c r="Y722" t="s">
        <v>7906</v>
      </c>
    </row>
    <row r="723" spans="1:25" x14ac:dyDescent="0.3">
      <c r="A723">
        <v>36100</v>
      </c>
      <c r="B723" t="s">
        <v>7907</v>
      </c>
      <c r="C723">
        <f>-639.119070232185 -46.4601251008133 -98.1385503483843</f>
        <v>-783.71774568138267</v>
      </c>
      <c r="D723">
        <f>-664.04013199545 -55.3545876890769 -210.903965439788</f>
        <v>-930.29868512431494</v>
      </c>
      <c r="E723">
        <f>-671.004136218956 -58.2149356511491 -309.239988372299</f>
        <v>-1038.4590602424041</v>
      </c>
      <c r="F723">
        <f>-672.057436011795 -59.0615654704638 -398.326622017002</f>
        <v>-1129.4456234992608</v>
      </c>
      <c r="G723">
        <f>-667.508438496504 -58.1402466157158 -487.30249087245</f>
        <v>-1212.9511759846698</v>
      </c>
      <c r="H723">
        <f>-655.277175383158 -55.0387353336637 -611.24436588244</f>
        <v>-1321.5602765992617</v>
      </c>
      <c r="I723">
        <f>-621.437590619505 -47.5496219703044 -686.76797381017</f>
        <v>-1355.7551863999795</v>
      </c>
      <c r="J723">
        <f>-665.478320398413 -29.1174286119808 -556.496301777532</f>
        <v>-1251.0920507879259</v>
      </c>
      <c r="K723" t="s">
        <v>7908</v>
      </c>
      <c r="L723" t="s">
        <v>7909</v>
      </c>
      <c r="M723" t="s">
        <v>7910</v>
      </c>
      <c r="N723">
        <f>-655.840824499601 -83.6895512024065 -556.91092657813</f>
        <v>-1296.4413022801375</v>
      </c>
      <c r="O723">
        <f>-637.799379527093 -216.905908306715 -528.149796958217</f>
        <v>-1382.8550847920251</v>
      </c>
      <c r="P723">
        <f>-689.396032725689 -281.203944648983 -245.670128745622</f>
        <v>-1216.270106120294</v>
      </c>
      <c r="Q723">
        <f>-503.11076715763 -150.221415104965 -324.361185869987</f>
        <v>-977.69336813258201</v>
      </c>
      <c r="R723" t="s">
        <v>7911</v>
      </c>
      <c r="S723" t="s">
        <v>7912</v>
      </c>
      <c r="T723" t="s">
        <v>7913</v>
      </c>
      <c r="U723" t="s">
        <v>7914</v>
      </c>
      <c r="V723">
        <f>-619.275589945775 -138.791335368669 -96.3924511266847</f>
        <v>-854.45937644112871</v>
      </c>
      <c r="W723" t="s">
        <v>7915</v>
      </c>
      <c r="X723" t="s">
        <v>7916</v>
      </c>
      <c r="Y723" t="s">
        <v>7917</v>
      </c>
    </row>
    <row r="724" spans="1:25" x14ac:dyDescent="0.3">
      <c r="A724">
        <v>36150</v>
      </c>
      <c r="B724" t="s">
        <v>7918</v>
      </c>
      <c r="C724">
        <f>-638.387305726493 -45.8498005604006 -98.3088368650235</f>
        <v>-782.54594315191707</v>
      </c>
      <c r="D724">
        <f>-663.677555657812 -54.8332729886268 -210.98495362575</f>
        <v>-929.49578227218888</v>
      </c>
      <c r="E724">
        <f>-671.011181904751 -57.7936407152851 -309.291201968346</f>
        <v>-1038.0960245883821</v>
      </c>
      <c r="F724">
        <f>-672.418885825663 -58.7385444733284 -398.371849813791</f>
        <v>-1129.5292801127823</v>
      </c>
      <c r="G724">
        <f>-668.243639383202 -57.9232224286171 -487.367015075443</f>
        <v>-1213.5338768872621</v>
      </c>
      <c r="H724">
        <f>-656.553587998101 -54.9770470457315 -611.364993561128</f>
        <v>-1322.8956286049606</v>
      </c>
      <c r="I724">
        <f>-623.115869753408 -47.560332674655 -687.074512950508</f>
        <v>-1357.7507153785709</v>
      </c>
      <c r="J724">
        <f>-666.484205192378 -28.9816465530421 -556.602410936986</f>
        <v>-1252.0682626824059</v>
      </c>
      <c r="K724" t="s">
        <v>7919</v>
      </c>
      <c r="L724" t="s">
        <v>7920</v>
      </c>
      <c r="M724" t="s">
        <v>7921</v>
      </c>
      <c r="N724">
        <f>-656.911414807932 -83.5652480970255 -556.996900452999</f>
        <v>-1297.4735633579564</v>
      </c>
      <c r="O724">
        <f>-638.910979658884 -216.756991036916 -528.136949444778</f>
        <v>-1383.8049201405779</v>
      </c>
      <c r="P724">
        <f>-689.718651893311 -280.610524834226 -245.413462994312</f>
        <v>-1215.7426397218489</v>
      </c>
      <c r="Q724">
        <f>-503.493397486859 -149.883768807766 -324.669453181594</f>
        <v>-978.04661947621901</v>
      </c>
      <c r="R724" t="s">
        <v>7922</v>
      </c>
      <c r="S724" t="s">
        <v>7923</v>
      </c>
      <c r="T724" t="s">
        <v>7924</v>
      </c>
      <c r="U724" t="s">
        <v>7925</v>
      </c>
      <c r="V724">
        <f>-618.549247747182 -138.301623516861 -96.4745656659136</f>
        <v>-853.3254369299566</v>
      </c>
      <c r="W724" t="s">
        <v>7926</v>
      </c>
      <c r="X724" t="s">
        <v>7927</v>
      </c>
      <c r="Y724" t="s">
        <v>7928</v>
      </c>
    </row>
    <row r="725" spans="1:25" x14ac:dyDescent="0.3">
      <c r="A725">
        <v>36200</v>
      </c>
      <c r="B725" t="s">
        <v>7929</v>
      </c>
      <c r="C725">
        <f>-636.739631909454 -44.7768925484073 -98.4671332330199</f>
        <v>-779.98365769088127</v>
      </c>
      <c r="D725">
        <f>-662.667611536711 -53.9290378548203 -210.984648445748</f>
        <v>-927.58129783727929</v>
      </c>
      <c r="E725">
        <f>-670.672162111262 -57.0925140555701 -309.232315956431</f>
        <v>-1036.996992123263</v>
      </c>
      <c r="F725">
        <f>-672.734493789665 -58.2427728082278 -398.297783156795</f>
        <v>-1129.2750497546876</v>
      </c>
      <c r="G725">
        <f>-669.259712853761 -57.6541994107608 -487.324882829539</f>
        <v>-1214.2387950940608</v>
      </c>
      <c r="H725">
        <f>-658.594355640425 -55.0466945079303 -611.422595490382</f>
        <v>-1325.0636456387374</v>
      </c>
      <c r="I725">
        <f>-625.960196259494 -47.8595428992656 -687.50407385469</f>
        <v>-1361.3238130134496</v>
      </c>
      <c r="J725">
        <f>-668.012045995649 -28.8912260431453 -556.645677791202</f>
        <v>-1253.5489498299962</v>
      </c>
      <c r="K725" t="s">
        <v>7930</v>
      </c>
      <c r="L725" t="s">
        <v>7931</v>
      </c>
      <c r="M725" t="s">
        <v>7932</v>
      </c>
      <c r="N725">
        <f>-658.563293585946 -83.4969826320431 -556.980921643558</f>
        <v>-1299.0411978615471</v>
      </c>
      <c r="O725">
        <f>-640.696881436032 -216.660944315104 -527.925996589807</f>
        <v>-1385.2838223409431</v>
      </c>
      <c r="P725">
        <f>-689.975398758922 -279.584487501815 -244.723943265153</f>
        <v>-1214.2838295258898</v>
      </c>
      <c r="Q725">
        <f>-504.076518800511 -149.225511003319 -325.3404422684</f>
        <v>-978.64247207223002</v>
      </c>
      <c r="R725" t="s">
        <v>7933</v>
      </c>
      <c r="S725" t="s">
        <v>7934</v>
      </c>
      <c r="T725" t="s">
        <v>7935</v>
      </c>
      <c r="U725" t="s">
        <v>7936</v>
      </c>
      <c r="V725">
        <f>-616.835330952939 -137.340213255584 -96.5954950210195</f>
        <v>-850.77103922954245</v>
      </c>
      <c r="W725" t="s">
        <v>7937</v>
      </c>
      <c r="X725" t="s">
        <v>7938</v>
      </c>
      <c r="Y725" t="s">
        <v>7939</v>
      </c>
    </row>
    <row r="726" spans="1:25" x14ac:dyDescent="0.3">
      <c r="A726">
        <v>36250</v>
      </c>
      <c r="B726" t="s">
        <v>7940</v>
      </c>
      <c r="C726">
        <f>-635.893717154208 -44.3576504593059 -98.4871328689093</f>
        <v>-778.73850048242321</v>
      </c>
      <c r="D726">
        <f>-662.148598159288 -53.6069984221961 -210.920842601509</f>
        <v>-926.67643918299302</v>
      </c>
      <c r="E726">
        <f>-670.479973154403 -56.8530910524217 -309.138578750753</f>
        <v>-1036.4716429575778</v>
      </c>
      <c r="F726">
        <f>-672.854903423023 -58.0771735199612 -398.195230578577</f>
        <v>-1129.1273075215613</v>
      </c>
      <c r="G726">
        <f>-669.708855545455 -57.5623578808762 -487.235067500372</f>
        <v>-1214.5062809267033</v>
      </c>
      <c r="H726">
        <f>-659.518697378017 -55.0575758100409 -611.374880597908</f>
        <v>-1325.951153785966</v>
      </c>
      <c r="I726">
        <f>-627.236748091109 -47.987211138376 -687.617263891398</f>
        <v>-1362.8412231208831</v>
      </c>
      <c r="J726">
        <f>-668.708353475018 -28.85382016433 -556.582429183662</f>
        <v>-1254.1446028230102</v>
      </c>
      <c r="K726" t="s">
        <v>7941</v>
      </c>
      <c r="L726" t="s">
        <v>7942</v>
      </c>
      <c r="M726" t="s">
        <v>7943</v>
      </c>
      <c r="N726">
        <f>-659.297394018598 -83.4659305520553 -556.911798824549</f>
        <v>-1299.6751233952023</v>
      </c>
      <c r="O726">
        <f>-641.443283310587 -216.628653825684 -527.806868609693</f>
        <v>-1385.8788057459642</v>
      </c>
      <c r="P726">
        <f>-689.887125504462 -279.202597548418 -244.383369159961</f>
        <v>-1213.473092212841</v>
      </c>
      <c r="Q726">
        <f>-504.246923659781 -148.879362635069 -325.651079028613</f>
        <v>-978.77736532346296</v>
      </c>
      <c r="R726" t="s">
        <v>7944</v>
      </c>
      <c r="S726" t="s">
        <v>7945</v>
      </c>
      <c r="T726" t="s">
        <v>7946</v>
      </c>
      <c r="U726" t="s">
        <v>7947</v>
      </c>
      <c r="V726">
        <f>-615.974301347316 -136.945505422011 -96.6256259987031</f>
        <v>-849.54543276803008</v>
      </c>
      <c r="W726" t="s">
        <v>7948</v>
      </c>
      <c r="X726" t="s">
        <v>7949</v>
      </c>
      <c r="Y726" t="s">
        <v>7950</v>
      </c>
    </row>
    <row r="727" spans="1:25" x14ac:dyDescent="0.3">
      <c r="A727">
        <v>36300</v>
      </c>
      <c r="B727" t="s">
        <v>7951</v>
      </c>
      <c r="C727">
        <f>-634.527124313049 -43.669396955194 -98.6574345912968</f>
        <v>-776.85395585953972</v>
      </c>
      <c r="D727">
        <f>-661.529974660842 -53.1393947799636 -210.895593664512</f>
        <v>-925.56496310531759</v>
      </c>
      <c r="E727">
        <f>-670.612153701752 -56.542739803815 -309.041225662147</f>
        <v>-1036.1961191677142</v>
      </c>
      <c r="F727">
        <f>-673.706801495977 -57.8952723194031 -398.074113728837</f>
        <v>-1129.6761875442171</v>
      </c>
      <c r="G727">
        <f>-671.319152698529 -57.4942383856221 -487.137943629115</f>
        <v>-1215.9513347132661</v>
      </c>
      <c r="H727">
        <f>-662.226931205844 -55.1327726108394 -611.365894182986</f>
        <v>-1328.7255979996694</v>
      </c>
      <c r="I727">
        <f>-630.606630487784 -48.2747649049052 -687.904486890898</f>
        <v>-1366.7858822835872</v>
      </c>
      <c r="J727">
        <f>-670.920720505356 -28.8637374701832 -556.523697389338</f>
        <v>-1256.3081553648772</v>
      </c>
      <c r="K727" t="s">
        <v>7952</v>
      </c>
      <c r="L727" t="s">
        <v>7953</v>
      </c>
      <c r="M727" t="s">
        <v>7954</v>
      </c>
      <c r="N727">
        <f>-661.535154494768 -83.480196705123 -556.87492143203</f>
        <v>-1301.8902726319211</v>
      </c>
      <c r="O727">
        <f>-643.500035977147 -216.616451494905 -527.75606925477</f>
        <v>-1387.872556726822</v>
      </c>
      <c r="P727">
        <f>-690.037741084679 -278.521167263833 -243.866552345237</f>
        <v>-1212.4254606937491</v>
      </c>
      <c r="Q727">
        <f>-504.89248816217 -148.278181901391 -326.382393564438</f>
        <v>-979.55306362799911</v>
      </c>
      <c r="R727" t="s">
        <v>7955</v>
      </c>
      <c r="S727" t="s">
        <v>7956</v>
      </c>
      <c r="T727" t="s">
        <v>7957</v>
      </c>
      <c r="U727" t="s">
        <v>7958</v>
      </c>
      <c r="V727">
        <f>-614.485069751067 -136.518484796649 -96.7460018284116</f>
        <v>-847.74955637612766</v>
      </c>
      <c r="W727" t="s">
        <v>7959</v>
      </c>
      <c r="X727" t="s">
        <v>7960</v>
      </c>
      <c r="Y727" t="s">
        <v>7961</v>
      </c>
    </row>
    <row r="728" spans="1:25" x14ac:dyDescent="0.3">
      <c r="A728">
        <v>36350</v>
      </c>
      <c r="B728" t="s">
        <v>7962</v>
      </c>
      <c r="C728">
        <f>-634.016382969757 -43.4214048071478 -98.805898887401</f>
        <v>-776.24368666430587</v>
      </c>
      <c r="D728">
        <f>-661.355695435343 -52.9699347030485 -210.955792401263</f>
        <v>-925.2814225396545</v>
      </c>
      <c r="E728">
        <f>-670.823405853027 -56.4436494328003 -309.062654133182</f>
        <v>-1036.3297094190093</v>
      </c>
      <c r="F728">
        <f>-674.304696229451 -57.8601573751888 -398.080225805708</f>
        <v>-1130.2450794103479</v>
      </c>
      <c r="G728">
        <f>-672.340863415303 -57.5228730689932 -487.154692291719</f>
        <v>-1217.0184287760153</v>
      </c>
      <c r="H728">
        <f>-663.87842116159 -55.2497457418139 -611.428734427397</f>
        <v>-1330.5569013308009</v>
      </c>
      <c r="I728">
        <f>-632.569054167478 -48.4711431279338 -688.101996545349</f>
        <v>-1369.1421938407609</v>
      </c>
      <c r="J728">
        <f>-672.287376836209 -28.9405671153829 -556.561304794871</f>
        <v>-1257.7892487464628</v>
      </c>
      <c r="K728" t="s">
        <v>7963</v>
      </c>
      <c r="L728" t="s">
        <v>7964</v>
      </c>
      <c r="M728" t="s">
        <v>7965</v>
      </c>
      <c r="N728">
        <f>-662.917222580267 -83.559487959753 -556.922315617834</f>
        <v>-1303.399026157854</v>
      </c>
      <c r="O728">
        <f>-644.782432210117 -216.688357720365 -527.829363478021</f>
        <v>-1389.3001534085029</v>
      </c>
      <c r="P728">
        <f>-690.262290742761 -278.28212343992 -243.700818857768</f>
        <v>-1212.245233040449</v>
      </c>
      <c r="Q728">
        <f>-505.432159964445 -147.973390462625 -326.817304498926</f>
        <v>-980.22285492599599</v>
      </c>
      <c r="R728" t="s">
        <v>7966</v>
      </c>
      <c r="S728" t="s">
        <v>7967</v>
      </c>
      <c r="T728" t="s">
        <v>7968</v>
      </c>
      <c r="U728" t="s">
        <v>7969</v>
      </c>
      <c r="V728">
        <f>-613.919830214639 -136.406308663326 -96.8225563291222</f>
        <v>-847.14869520708714</v>
      </c>
      <c r="W728" t="s">
        <v>7970</v>
      </c>
      <c r="X728" t="s">
        <v>7971</v>
      </c>
      <c r="Y728" t="s">
        <v>7972</v>
      </c>
    </row>
    <row r="729" spans="1:25" x14ac:dyDescent="0.3">
      <c r="A729">
        <v>36400</v>
      </c>
      <c r="B729" t="s">
        <v>7973</v>
      </c>
      <c r="C729">
        <f>-633.193892877358 -42.9250566177896 -99.0121889745377</f>
        <v>-775.13113846968531</v>
      </c>
      <c r="D729">
        <f>-660.90109578975 -52.5575298230561 -211.064583779127</f>
        <v>-924.52320939193316</v>
      </c>
      <c r="E729">
        <f>-670.908617277456 -56.1033698726533 -309.115267718333</f>
        <v>-1036.1272548684422</v>
      </c>
      <c r="F729">
        <f>-674.967521199492 -57.5846739838369 -398.107164526838</f>
        <v>-1130.6593597101669</v>
      </c>
      <c r="G729">
        <f>-673.669278835327 -57.3112598740651 -487.194201854411</f>
        <v>-1218.174740563803</v>
      </c>
      <c r="H729">
        <f>-666.227385428519 -55.1254442738681 -611.535039083083</f>
        <v>-1332.8878687854701</v>
      </c>
      <c r="I729">
        <f>-635.492190722256 -48.3844174733783 -688.44377914176</f>
        <v>-1372.3203873373945</v>
      </c>
      <c r="J729">
        <f>-674.171068769567 -28.7750934154317 -556.618161411777</f>
        <v>-1259.5643235967757</v>
      </c>
      <c r="K729" t="s">
        <v>7974</v>
      </c>
      <c r="L729" t="s">
        <v>7975</v>
      </c>
      <c r="M729" t="s">
        <v>7976</v>
      </c>
      <c r="N729">
        <f>-664.833377299941 -83.3994257735357 -557.019447391545</f>
        <v>-1305.2522504650217</v>
      </c>
      <c r="O729">
        <f>-646.601296798072 -216.538344246611 -528.018719563781</f>
        <v>-1391.1583606084641</v>
      </c>
      <c r="P729">
        <f>-690.094452110439 -277.932138437948 -243.536109883055</f>
        <v>-1211.562700431442</v>
      </c>
      <c r="Q729">
        <f>-505.820354371503 -147.539880568876 -327.748886641905</f>
        <v>-981.10912158228393</v>
      </c>
      <c r="R729" t="s">
        <v>7977</v>
      </c>
      <c r="S729" t="s">
        <v>7978</v>
      </c>
      <c r="T729" t="s">
        <v>7979</v>
      </c>
      <c r="U729" t="s">
        <v>7980</v>
      </c>
      <c r="V729">
        <f>-613.069305478444 -135.856763544917 -96.929653218167</f>
        <v>-845.85572224152793</v>
      </c>
      <c r="W729" t="s">
        <v>7981</v>
      </c>
      <c r="X729" t="s">
        <v>7982</v>
      </c>
      <c r="Y729" t="s">
        <v>7983</v>
      </c>
    </row>
    <row r="730" spans="1:25" x14ac:dyDescent="0.3">
      <c r="A730">
        <v>36450</v>
      </c>
      <c r="B730" t="s">
        <v>7984</v>
      </c>
      <c r="C730">
        <f>-632.889142523242 -42.7397308440211 -99.070797320692</f>
        <v>-774.69967068795506</v>
      </c>
      <c r="D730">
        <f>-660.746169209602 -52.4191854827403 -211.082049450937</f>
        <v>-924.24740414327937</v>
      </c>
      <c r="E730">
        <f>-670.939760209884 -55.9818816113578 -309.112868963085</f>
        <v>-1036.0345107843268</v>
      </c>
      <c r="F730">
        <f>-675.189230616441 -57.4690553427574 -398.095764354878</f>
        <v>-1130.7540503140765</v>
      </c>
      <c r="G730">
        <f>-674.103348762556 -57.1925457902724 -487.185597882466</f>
        <v>-1218.4814924352945</v>
      </c>
      <c r="H730">
        <f>-666.980309188927 -54.9928225541122 -611.544956561864</f>
        <v>-1333.5180883049031</v>
      </c>
      <c r="I730">
        <f>-636.492748987072 -48.2152472413796 -688.548934603801</f>
        <v>-1373.2569308322527</v>
      </c>
      <c r="J730">
        <f>-674.7822109317 -28.6485646108181 -556.604904864236</f>
        <v>-1260.0356804067542</v>
      </c>
      <c r="K730" t="s">
        <v>7985</v>
      </c>
      <c r="L730" t="s">
        <v>7986</v>
      </c>
      <c r="M730" t="s">
        <v>7987</v>
      </c>
      <c r="N730">
        <f>-665.447332740867 -83.2731708215398 -557.03626460198</f>
        <v>-1305.7567681643868</v>
      </c>
      <c r="O730">
        <f>-647.16702295678 -216.417193396217 -528.093667299126</f>
        <v>-1391.677883652123</v>
      </c>
      <c r="P730">
        <f>-690.054006333506 -277.77275830168 -243.510868689937</f>
        <v>-1211.3376333251231</v>
      </c>
      <c r="Q730">
        <f>-505.950575798808 -147.42075605465 -328.158139712201</f>
        <v>-981.52947156565904</v>
      </c>
      <c r="R730" t="s">
        <v>7988</v>
      </c>
      <c r="S730" t="s">
        <v>7989</v>
      </c>
      <c r="T730" t="s">
        <v>7990</v>
      </c>
      <c r="U730" t="s">
        <v>7991</v>
      </c>
      <c r="V730">
        <f>-612.74465975666 -135.637348089916 -96.9655360021036</f>
        <v>-845.34754384867961</v>
      </c>
      <c r="W730" t="s">
        <v>7992</v>
      </c>
      <c r="X730" t="s">
        <v>7993</v>
      </c>
      <c r="Y730" t="s">
        <v>7994</v>
      </c>
    </row>
    <row r="731" spans="1:25" x14ac:dyDescent="0.3">
      <c r="A731">
        <v>36500</v>
      </c>
      <c r="B731" t="s">
        <v>7995</v>
      </c>
      <c r="C731">
        <f>-632.728786496011 -42.4776209975237 -99.0823105130899</f>
        <v>-774.28871800662455</v>
      </c>
      <c r="D731">
        <f>-660.692980246376 -52.1997468095985 -211.063118219506</f>
        <v>-923.95584527548056</v>
      </c>
      <c r="E731">
        <f>-671.018242472479 -55.7667269685425 -309.080190824155</f>
        <v>-1035.8651602651764</v>
      </c>
      <c r="F731">
        <f>-675.402014585604 -57.2452540758068 -398.056771747121</f>
        <v>-1130.7040404085317</v>
      </c>
      <c r="G731">
        <f>-674.465355769448 -56.9473119978281 -487.148023324979</f>
        <v>-1218.5606910922552</v>
      </c>
      <c r="H731">
        <f>-667.565881152316 -54.7048790036083 -611.519184266097</f>
        <v>-1333.7899444220213</v>
      </c>
      <c r="I731">
        <f>-637.282460650933 -47.8666356584587 -688.59827194738</f>
        <v>-1373.7473682567716</v>
      </c>
      <c r="J731">
        <f>-675.278776059236 -28.3810147708084 -556.556697694935</f>
        <v>-1260.2164885249795</v>
      </c>
      <c r="K731" t="s">
        <v>7996</v>
      </c>
      <c r="L731" t="s">
        <v>7997</v>
      </c>
      <c r="M731" t="s">
        <v>7998</v>
      </c>
      <c r="N731">
        <f>-665.92529182926 -83.002132573175 -557.022636914594</f>
        <v>-1305.9500613170289</v>
      </c>
      <c r="O731">
        <f>-647.567427139139 -216.146813231083 -528.158241463413</f>
        <v>-1391.872481833635</v>
      </c>
      <c r="P731">
        <f>-690.078676036288 -277.465207091684 -243.511039071755</f>
        <v>-1211.0549221997271</v>
      </c>
      <c r="Q731">
        <f>-506.0186408815 -147.220500360693 -328.417352647861</f>
        <v>-981.65649389005398</v>
      </c>
      <c r="R731" t="s">
        <v>7999</v>
      </c>
      <c r="S731" t="s">
        <v>8000</v>
      </c>
      <c r="T731" t="s">
        <v>8001</v>
      </c>
      <c r="U731" t="s">
        <v>8002</v>
      </c>
      <c r="V731">
        <f>-612.512265933579 -135.31396664312 -97.0004889529688</f>
        <v>-844.82672152966779</v>
      </c>
      <c r="W731" t="s">
        <v>8003</v>
      </c>
      <c r="X731" t="s">
        <v>8004</v>
      </c>
      <c r="Y731" t="s">
        <v>8005</v>
      </c>
    </row>
    <row r="732" spans="1:25" x14ac:dyDescent="0.3">
      <c r="A732">
        <v>36550</v>
      </c>
      <c r="B732" t="s">
        <v>8006</v>
      </c>
      <c r="C732">
        <f>-632.596889177765 -42.2021754883556 -99.1579108548337</f>
        <v>-773.9569755209543</v>
      </c>
      <c r="D732">
        <f>-660.757315999754 -52.0253209967707 -211.080767476173</f>
        <v>-923.86340447269777</v>
      </c>
      <c r="E732">
        <f>-671.285116656645 -55.6125706956165 -309.075361960271</f>
        <v>-1035.9730493125323</v>
      </c>
      <c r="F732">
        <f>-675.864310351602 -57.0838554689573 -398.042358822172</f>
        <v>-1130.9905246427311</v>
      </c>
      <c r="G732">
        <f>-675.134634911193 -56.753034450565 -487.135488853988</f>
        <v>-1219.023158215746</v>
      </c>
      <c r="H732">
        <f>-668.535697054055 -54.4375915618401 -611.521633773047</f>
        <v>-1334.4949223889421</v>
      </c>
      <c r="I732">
        <f>-638.503743140564 -47.4488861660128 -688.685533031973</f>
        <v>-1374.6381623385498</v>
      </c>
      <c r="J732">
        <f>-676.155113566934 -28.1529034128082 -556.52749083189</f>
        <v>-1260.8355078116322</v>
      </c>
      <c r="K732" t="s">
        <v>8007</v>
      </c>
      <c r="L732" t="s">
        <v>8008</v>
      </c>
      <c r="M732" t="s">
        <v>8009</v>
      </c>
      <c r="N732">
        <f>-666.723983188006 -82.7601757613197 -557.043520944794</f>
        <v>-1306.5276798941195</v>
      </c>
      <c r="O732">
        <f>-648.124614139444 -215.907475995405 -528.330574442182</f>
        <v>-1392.362664577031</v>
      </c>
      <c r="P732">
        <f>-690.098843212572 -277.228893650469 -243.604318110032</f>
        <v>-1210.932054973073</v>
      </c>
      <c r="Q732">
        <f>-506.121092454557 -146.941576597184 -328.623524785556</f>
        <v>-981.68619383729708</v>
      </c>
      <c r="R732" t="s">
        <v>8010</v>
      </c>
      <c r="S732" t="s">
        <v>8011</v>
      </c>
      <c r="T732" t="s">
        <v>8012</v>
      </c>
      <c r="U732" t="s">
        <v>8013</v>
      </c>
      <c r="V732">
        <f>-612.260574467265 -135.115881108 -97.0816244722752</f>
        <v>-844.45808004754019</v>
      </c>
      <c r="W732" t="s">
        <v>8014</v>
      </c>
      <c r="X732" t="s">
        <v>8015</v>
      </c>
      <c r="Y732" t="s">
        <v>8016</v>
      </c>
    </row>
    <row r="733" spans="1:25" x14ac:dyDescent="0.3">
      <c r="A733">
        <v>36600</v>
      </c>
      <c r="B733" t="s">
        <v>8017</v>
      </c>
      <c r="C733">
        <f>-632.644857715894 -42.0413101684651 -99.1927841621148</f>
        <v>-773.87895204647384</v>
      </c>
      <c r="D733">
        <f>-660.90056416989 -51.9180142808069 -211.08681212367</f>
        <v>-923.90539057436695</v>
      </c>
      <c r="E733">
        <f>-671.504161193758 -55.5201219809535 -309.072775044858</f>
        <v>-1036.0970582195696</v>
      </c>
      <c r="F733">
        <f>-676.148743028864 -56.9929077997325 -398.036228627594</f>
        <v>-1131.1778794561906</v>
      </c>
      <c r="G733">
        <f>-675.48111921284 -56.6512951021414 -487.129897493687</f>
        <v>-1219.2623118086683</v>
      </c>
      <c r="H733">
        <f>-668.964904859782 -54.308146507328 -611.519815082628</f>
        <v>-1334.7928664497381</v>
      </c>
      <c r="I733">
        <f>-638.997482453069 -47.2313412144741 -688.700715525887</f>
        <v>-1374.9295391934302</v>
      </c>
      <c r="J733">
        <f>-676.571972368038 -28.0399349419436 -556.516049104982</f>
        <v>-1261.1279564149636</v>
      </c>
      <c r="K733" t="s">
        <v>8018</v>
      </c>
      <c r="L733" t="s">
        <v>8019</v>
      </c>
      <c r="M733" t="s">
        <v>8020</v>
      </c>
      <c r="N733">
        <f>-667.092720731084 -82.638669508457 -557.047897772177</f>
        <v>-1306.7792880117181</v>
      </c>
      <c r="O733">
        <f>-648.360829882767 -215.772306412435 -528.380723968961</f>
        <v>-1392.513860264163</v>
      </c>
      <c r="P733">
        <f>-690.051834824799 -277.188542751171 -243.633214703338</f>
        <v>-1210.873592279308</v>
      </c>
      <c r="Q733">
        <f>-506.236649055423 -146.709547501693 -328.710189380358</f>
        <v>-981.65638593747406</v>
      </c>
      <c r="R733" t="s">
        <v>8021</v>
      </c>
      <c r="S733" t="s">
        <v>8022</v>
      </c>
      <c r="T733" t="s">
        <v>8023</v>
      </c>
      <c r="U733" t="s">
        <v>8024</v>
      </c>
      <c r="V733">
        <f>-612.231614689254 -134.929196876839 -97.1108969176669</f>
        <v>-844.27170848375988</v>
      </c>
      <c r="W733" t="s">
        <v>8025</v>
      </c>
      <c r="X733" t="s">
        <v>8026</v>
      </c>
      <c r="Y733" t="s">
        <v>8027</v>
      </c>
    </row>
    <row r="734" spans="1:25" x14ac:dyDescent="0.3">
      <c r="A734">
        <v>36650</v>
      </c>
      <c r="B734" t="s">
        <v>8028</v>
      </c>
      <c r="C734">
        <f>-632.743060108443 -42.0871454320647 -99.2088213123679</f>
        <v>-774.03902685287574</v>
      </c>
      <c r="D734">
        <f>-661.096880271471 -52.0352505944711 -211.071714384167</f>
        <v>-924.20384525010911</v>
      </c>
      <c r="E734">
        <f>-671.766008582295 -55.6535303501755 -309.049983256621</f>
        <v>-1036.4695221890915</v>
      </c>
      <c r="F734">
        <f>-676.461152785257 -57.1238436919258 -398.010875155367</f>
        <v>-1131.5958716325499</v>
      </c>
      <c r="G734">
        <f>-675.835049767674 -56.762407925715 -487.1046767371</f>
        <v>-1219.702134430489</v>
      </c>
      <c r="H734">
        <f>-669.367357019152 -54.3734545947166 -611.496338497597</f>
        <v>-1335.2371501114656</v>
      </c>
      <c r="I734">
        <f>-639.422133244562 -47.1125833235495 -688.668738606492</f>
        <v>-1375.2034551746035</v>
      </c>
      <c r="J734">
        <f>-677.000959711501 -28.1336853866244 -556.482520474144</f>
        <v>-1261.6171655722694</v>
      </c>
      <c r="K734" t="s">
        <v>8029</v>
      </c>
      <c r="L734" t="s">
        <v>8030</v>
      </c>
      <c r="M734" t="s">
        <v>8031</v>
      </c>
      <c r="N734">
        <f>-667.425938879072 -82.715559997197 -557.03303324461</f>
        <v>-1307.1745321208791</v>
      </c>
      <c r="O734">
        <f>-648.436905250845 -215.82845072768 -528.418847600162</f>
        <v>-1392.6842035786872</v>
      </c>
      <c r="P734">
        <f>-689.586514082718 -277.496417976978 -243.647089858713</f>
        <v>-1210.730021918409</v>
      </c>
      <c r="Q734">
        <f>-506.291553216411 -146.524167330451 -329.087770408773</f>
        <v>-981.90349095563488</v>
      </c>
      <c r="R734" t="s">
        <v>8032</v>
      </c>
      <c r="S734" t="s">
        <v>8033</v>
      </c>
      <c r="T734" t="s">
        <v>8034</v>
      </c>
      <c r="U734" t="s">
        <v>8035</v>
      </c>
      <c r="V734">
        <f>-612.134455844599 -135.055013047768 -97.1272261700029</f>
        <v>-844.31669506236983</v>
      </c>
      <c r="W734" t="s">
        <v>8036</v>
      </c>
      <c r="X734" t="s">
        <v>8037</v>
      </c>
      <c r="Y734" t="s">
        <v>8038</v>
      </c>
    </row>
    <row r="735" spans="1:25" x14ac:dyDescent="0.3">
      <c r="A735">
        <v>36700</v>
      </c>
      <c r="B735" t="s">
        <v>8039</v>
      </c>
      <c r="C735">
        <f>-632.734198061772 -42.1825584414364 -99.2131551523745</f>
        <v>-774.12991165558287</v>
      </c>
      <c r="D735">
        <f>-661.106458935236 -52.1584768149365 -211.068982363689</f>
        <v>-924.3339181138615</v>
      </c>
      <c r="E735">
        <f>-671.798492532618 -55.7815732182904 -309.044500566255</f>
        <v>-1036.6245663171635</v>
      </c>
      <c r="F735">
        <f>-676.516999020364 -57.2492825914725 -398.004150972829</f>
        <v>-1131.7704325846655</v>
      </c>
      <c r="G735">
        <f>-675.916791979693 -56.877723760311 -487.098272260551</f>
        <v>-1219.8927880005551</v>
      </c>
      <c r="H735">
        <f>-669.487811730637 -54.4665916470335 -611.491444185376</f>
        <v>-1335.4458475630465</v>
      </c>
      <c r="I735">
        <f>-639.545803843589 -47.1275905686726 -688.657819650047</f>
        <v>-1375.3312140623088</v>
      </c>
      <c r="J735">
        <f>-677.124526801554 -28.2402941813195 -556.471690380581</f>
        <v>-1261.8365113634545</v>
      </c>
      <c r="K735" t="s">
        <v>8040</v>
      </c>
      <c r="L735" t="s">
        <v>8041</v>
      </c>
      <c r="M735" t="s">
        <v>8042</v>
      </c>
      <c r="N735">
        <f>-667.509224640358 -82.814936244133 -557.032584286447</f>
        <v>-1307.356745170938</v>
      </c>
      <c r="O735">
        <f>-648.404292134289 -215.912845802131 -528.438575529145</f>
        <v>-1392.7557134655649</v>
      </c>
      <c r="P735">
        <f>-689.282488637969 -277.621076846159 -243.636342889596</f>
        <v>-1210.5399083737238</v>
      </c>
      <c r="Q735">
        <f>-506.287281671127 -146.355998586336 -329.269920804785</f>
        <v>-981.91320106224794</v>
      </c>
      <c r="R735" t="s">
        <v>8043</v>
      </c>
      <c r="S735" t="s">
        <v>8044</v>
      </c>
      <c r="T735" t="s">
        <v>8045</v>
      </c>
      <c r="U735" t="s">
        <v>8046</v>
      </c>
      <c r="V735">
        <f>-612.114018686757 -135.112388558267 -97.1256232734354</f>
        <v>-844.35203051845951</v>
      </c>
      <c r="W735" t="s">
        <v>8047</v>
      </c>
      <c r="X735" t="s">
        <v>8048</v>
      </c>
      <c r="Y735" t="s">
        <v>8049</v>
      </c>
    </row>
    <row r="736" spans="1:25" x14ac:dyDescent="0.3">
      <c r="A736">
        <v>36750</v>
      </c>
      <c r="B736" t="s">
        <v>8050</v>
      </c>
      <c r="C736">
        <f>-632.667770205696 -42.2499677387752 -99.2024678488627</f>
        <v>-774.12020579333398</v>
      </c>
      <c r="D736">
        <f>-660.9993495781 -52.2264149353543 -211.068622887556</f>
        <v>-924.29438740101034</v>
      </c>
      <c r="E736">
        <f>-671.671225187811 -55.8520162524287 -309.046250483627</f>
        <v>-1036.5694919238667</v>
      </c>
      <c r="F736">
        <f>-676.377765501273 -57.3221011532055 -398.006505388446</f>
        <v>-1131.7063720429244</v>
      </c>
      <c r="G736">
        <f>-675.772396723402 -56.9522846433729 -487.100520143837</f>
        <v>-1219.8252015106118</v>
      </c>
      <c r="H736">
        <f>-669.343443484301 -54.5423756153718 -611.493783447815</f>
        <v>-1335.3796025474878</v>
      </c>
      <c r="I736">
        <f>-639.331464734248 -47.0665147495283 -688.619760439319</f>
        <v>-1375.0177399230952</v>
      </c>
      <c r="J736">
        <f>-677.013374689019 -28.321249380522 -556.476041639081</f>
        <v>-1261.8106657086219</v>
      </c>
      <c r="K736" t="s">
        <v>8051</v>
      </c>
      <c r="L736" t="s">
        <v>8052</v>
      </c>
      <c r="M736" t="s">
        <v>8053</v>
      </c>
      <c r="N736">
        <f>-667.331613250266 -82.8843258963307 -557.032820173673</f>
        <v>-1307.2487593202695</v>
      </c>
      <c r="O736">
        <f>-648.120367650737 -215.971010474266 -528.428382909236</f>
        <v>-1392.5197610342389</v>
      </c>
      <c r="P736">
        <f>-688.445175039877 -277.667492293689 -243.544852244661</f>
        <v>-1209.657519578227</v>
      </c>
      <c r="Q736">
        <f>-505.943674783994 -146.004100622644 -329.619307386056</f>
        <v>-981.56708279269401</v>
      </c>
      <c r="R736" t="s">
        <v>8054</v>
      </c>
      <c r="S736" t="s">
        <v>8055</v>
      </c>
      <c r="T736" t="s">
        <v>8056</v>
      </c>
      <c r="U736" t="s">
        <v>8057</v>
      </c>
      <c r="V736">
        <f>-612.057779190107 -135.117858184447 -97.1460875219832</f>
        <v>-844.32172489653715</v>
      </c>
      <c r="W736" t="s">
        <v>8058</v>
      </c>
      <c r="X736" t="s">
        <v>8059</v>
      </c>
      <c r="Y736" t="s">
        <v>8060</v>
      </c>
    </row>
    <row r="737" spans="1:25" x14ac:dyDescent="0.3">
      <c r="A737">
        <v>36800</v>
      </c>
      <c r="B737" t="s">
        <v>8061</v>
      </c>
      <c r="C737">
        <f>-632.190697222145 -42.3051446326522 -99.1778988236284</f>
        <v>-773.67374067842559</v>
      </c>
      <c r="D737">
        <f>-660.484646877397 -52.2764358672044 -211.0539861969</f>
        <v>-923.81506894150152</v>
      </c>
      <c r="E737">
        <f>-671.156681597898 -55.9142945045814 -309.031064642685</f>
        <v>-1036.1020407451645</v>
      </c>
      <c r="F737">
        <f>-675.877618228835 -57.4006370323053 -397.990419619921</f>
        <v>-1131.2686748810613</v>
      </c>
      <c r="G737">
        <f>-675.301353063443 -57.0506788175325 -487.084643174345</f>
        <v>-1219.4366750553204</v>
      </c>
      <c r="H737">
        <f>-668.928637020279 -54.6710748981707 -611.481432835779</f>
        <v>-1335.0811447542287</v>
      </c>
      <c r="I737">
        <f>-638.849664860403 -47.0217129091195 -688.564258556785</f>
        <v>-1374.4356363263075</v>
      </c>
      <c r="J737">
        <f>-676.605604656135 -28.4422412747008 -556.468398376261</f>
        <v>-1261.5162443070967</v>
      </c>
      <c r="K737" t="s">
        <v>8062</v>
      </c>
      <c r="L737" t="s">
        <v>8063</v>
      </c>
      <c r="M737" t="s">
        <v>8064</v>
      </c>
      <c r="N737">
        <f>-666.860276869259 -82.9940979730753 -557.012643694622</f>
        <v>-1306.8670185369565</v>
      </c>
      <c r="O737">
        <f>-647.526303121067 -216.041106225407 -528.315107609722</f>
        <v>-1391.882516956196</v>
      </c>
      <c r="P737">
        <f>-687.55836214239 -277.535126571442 -243.346560280048</f>
        <v>-1208.4400489938801</v>
      </c>
      <c r="Q737">
        <f>-505.379682278603 -145.684581309915 -329.817501933254</f>
        <v>-980.88176552177197</v>
      </c>
      <c r="R737" t="s">
        <v>8065</v>
      </c>
      <c r="S737" t="s">
        <v>8066</v>
      </c>
      <c r="T737" t="s">
        <v>8067</v>
      </c>
      <c r="U737" t="s">
        <v>8068</v>
      </c>
      <c r="V737">
        <f>-611.531600985607 -135.13756903648 -97.1488418439665</f>
        <v>-843.81801186605344</v>
      </c>
      <c r="W737" t="s">
        <v>8069</v>
      </c>
      <c r="X737" t="s">
        <v>8070</v>
      </c>
      <c r="Y737" t="s">
        <v>8071</v>
      </c>
    </row>
    <row r="738" spans="1:25" x14ac:dyDescent="0.3">
      <c r="A738">
        <v>36850</v>
      </c>
      <c r="B738" t="s">
        <v>8072</v>
      </c>
      <c r="C738">
        <f>-631.87149120715 -42.2912626128871 -99.1808388828603</f>
        <v>-773.34359270289735</v>
      </c>
      <c r="D738">
        <f>-660.167807658263 -52.2816244310342 -211.054545281996</f>
        <v>-923.5039773712931</v>
      </c>
      <c r="E738">
        <f>-670.905996934658 -55.9496762497696 -309.023443432701</f>
        <v>-1035.8791166171286</v>
      </c>
      <c r="F738">
        <f>-675.712547115612 -57.4690975923797 -397.97753315944</f>
        <v>-1131.1591778674317</v>
      </c>
      <c r="G738">
        <f>-675.247446461805 -57.1581220530499 -487.072541030369</f>
        <v>-1219.4781095452238</v>
      </c>
      <c r="H738">
        <f>-669.056953714845 -54.8393731024211 -611.479560565447</f>
        <v>-1335.375887382713</v>
      </c>
      <c r="I738">
        <f>-638.938603078325 -47.0834753491278 -688.536428657259</f>
        <v>-1374.5585070847117</v>
      </c>
      <c r="J738">
        <f>-676.659278357426 -28.5848718527207 -556.468661290163</f>
        <v>-1261.7128115003097</v>
      </c>
      <c r="K738" t="s">
        <v>8073</v>
      </c>
      <c r="L738" t="s">
        <v>8074</v>
      </c>
      <c r="M738" t="s">
        <v>8075</v>
      </c>
      <c r="N738">
        <f>-666.902835877163 -83.1347779052948 -556.999902675554</f>
        <v>-1307.0375164580119</v>
      </c>
      <c r="O738">
        <f>-647.523034069104 -216.156151513045 -528.222487996134</f>
        <v>-1391.901673578283</v>
      </c>
      <c r="P738">
        <f>-687.304507834768 -277.344976630728 -243.153097675448</f>
        <v>-1207.802582140944</v>
      </c>
      <c r="Q738">
        <f>-505.258686850618 -145.45571253735 -329.844544548789</f>
        <v>-980.55894393675703</v>
      </c>
      <c r="R738" t="s">
        <v>8076</v>
      </c>
      <c r="S738" t="s">
        <v>8077</v>
      </c>
      <c r="T738" t="s">
        <v>8078</v>
      </c>
      <c r="U738" t="s">
        <v>8079</v>
      </c>
      <c r="V738">
        <f>-611.177750415143 -135.127097058101 -97.1548641217723</f>
        <v>-843.4597115950163</v>
      </c>
      <c r="W738" t="s">
        <v>8080</v>
      </c>
      <c r="X738" t="s">
        <v>8081</v>
      </c>
      <c r="Y738" t="s">
        <v>8082</v>
      </c>
    </row>
    <row r="739" spans="1:25" x14ac:dyDescent="0.3">
      <c r="A739">
        <v>36900</v>
      </c>
      <c r="B739" t="s">
        <v>8083</v>
      </c>
      <c r="C739">
        <f>-631.533488614407 -42.2707648506196 -99.1933331988643</f>
        <v>-772.99758666389084</v>
      </c>
      <c r="D739">
        <f>-659.86523248056 -52.2871756062368 -211.055818905563</f>
        <v>-923.20822699235987</v>
      </c>
      <c r="E739">
        <f>-670.722786570253 -55.9975733362895 -309.009860085021</f>
        <v>-1035.7302199915634</v>
      </c>
      <c r="F739">
        <f>-675.673137692561 -57.5643507855937 -397.955203178902</f>
        <v>-1131.1926916570567</v>
      </c>
      <c r="G739">
        <f>-675.387400857414 -57.3093481603925 -487.051129892041</f>
        <v>-1219.7478789098475</v>
      </c>
      <c r="H739">
        <f>-669.484408155724 -55.0778399763202 -611.473831027279</f>
        <v>-1336.0360791593232</v>
      </c>
      <c r="I739">
        <f>-639.320348657168 -47.2204760684718 -688.502517486877</f>
        <v>-1375.0433422125168</v>
      </c>
      <c r="J739">
        <f>-676.963315617493 -28.7852451429619 -556.464142224505</f>
        <v>-1262.2127029849598</v>
      </c>
      <c r="K739" t="s">
        <v>8084</v>
      </c>
      <c r="L739" t="s">
        <v>8085</v>
      </c>
      <c r="M739" t="s">
        <v>8086</v>
      </c>
      <c r="N739">
        <f>-667.200681014322 -83.3343126469879 -556.979248173546</f>
        <v>-1307.514241834856</v>
      </c>
      <c r="O739">
        <f>-647.786642565554 -216.331826061431 -528.106356084699</f>
        <v>-1392.2248247116841</v>
      </c>
      <c r="P739">
        <f>-687.134275751778 -277.178670475117 -242.903593125217</f>
        <v>-1207.216539352112</v>
      </c>
      <c r="Q739">
        <f>-505.259271439158 -145.284815831895 -329.945830108939</f>
        <v>-980.48991737999199</v>
      </c>
      <c r="R739" t="s">
        <v>8087</v>
      </c>
      <c r="S739" t="s">
        <v>8088</v>
      </c>
      <c r="T739" t="s">
        <v>8089</v>
      </c>
      <c r="U739" t="s">
        <v>8090</v>
      </c>
      <c r="V739">
        <f>-610.827546132687 -135.123529091697 -97.1564362876603</f>
        <v>-843.10751151204431</v>
      </c>
      <c r="W739" t="s">
        <v>8091</v>
      </c>
      <c r="X739" t="s">
        <v>8092</v>
      </c>
      <c r="Y739" t="s">
        <v>8093</v>
      </c>
    </row>
    <row r="740" spans="1:25" x14ac:dyDescent="0.3">
      <c r="A740">
        <v>36950</v>
      </c>
      <c r="B740" t="s">
        <v>8094</v>
      </c>
      <c r="C740">
        <f>-631.213463832883 -42.169311711297 -99.2149952191702</f>
        <v>-772.59777076335024</v>
      </c>
      <c r="D740">
        <f>-659.558045712967 -52.1933214419337 -211.073486844209</f>
        <v>-922.82485399910968</v>
      </c>
      <c r="E740">
        <f>-670.544587125472 -55.9432348144444 -309.011670824234</f>
        <v>-1035.4994927641505</v>
      </c>
      <c r="F740">
        <f>-675.659546413899 -57.5586559246577 -397.946897891398</f>
        <v>-1131.1651002299548</v>
      </c>
      <c r="G740">
        <f>-675.586560472707 -57.3651631544318 -487.04341909988</f>
        <v>-1219.9951427270189</v>
      </c>
      <c r="H740">
        <f>-670.030681078327 -55.2327808008755 -611.483827181174</f>
        <v>-1336.7472890603765</v>
      </c>
      <c r="I740">
        <f>-639.836900422553 -47.3038055594579 -688.493552116109</f>
        <v>-1375.63425809812</v>
      </c>
      <c r="J740">
        <f>-677.365548852954 -28.8981860399272 -556.474698640984</f>
        <v>-1262.7384335338652</v>
      </c>
      <c r="K740" t="s">
        <v>8095</v>
      </c>
      <c r="L740" t="s">
        <v>8096</v>
      </c>
      <c r="M740" t="s">
        <v>8097</v>
      </c>
      <c r="N740">
        <f>-667.585594167421 -83.4440993488051 -556.972892710623</f>
        <v>-1308.0025862268492</v>
      </c>
      <c r="O740">
        <f>-648.08895842678 -216.403677626102 -527.972223748189</f>
        <v>-1392.4648598010708</v>
      </c>
      <c r="P740">
        <f>-686.873720753092 -276.865114625145 -242.610378552996</f>
        <v>-1206.349213931233</v>
      </c>
      <c r="Q740">
        <f>-505.213910753132 -144.953319716393 -330.073901218612</f>
        <v>-980.24113168813687</v>
      </c>
      <c r="R740" t="s">
        <v>8098</v>
      </c>
      <c r="S740" t="s">
        <v>8099</v>
      </c>
      <c r="T740" t="s">
        <v>8100</v>
      </c>
      <c r="U740" t="s">
        <v>8101</v>
      </c>
      <c r="V740">
        <f>-610.449666686935 -135.044710437493 -97.1756575385576</f>
        <v>-842.67003466298559</v>
      </c>
      <c r="W740" t="s">
        <v>8102</v>
      </c>
      <c r="X740" t="s">
        <v>8103</v>
      </c>
      <c r="Y740" t="s">
        <v>8104</v>
      </c>
    </row>
    <row r="741" spans="1:25" x14ac:dyDescent="0.3">
      <c r="A741">
        <v>37000</v>
      </c>
      <c r="B741" t="s">
        <v>8105</v>
      </c>
      <c r="C741">
        <f>-630.493778270655 -42.4235141823185 -99.4076787817927</f>
        <v>-772.32497123476617</v>
      </c>
      <c r="D741">
        <f>-658.483716351892 -52.2939188751004 -211.369183182484</f>
        <v>-922.1468184094764</v>
      </c>
      <c r="E741">
        <f>-669.793993719694 -56.1272252322801 -309.267139363768</f>
        <v>-1035.1883583157421</v>
      </c>
      <c r="F741">
        <f>-675.460446218596 -57.9026784112521 -398.165993589596</f>
        <v>-1131.5291182194439</v>
      </c>
      <c r="G741">
        <f>-676.198908823633 -57.9501528272014 -487.259678790934</f>
        <v>-1221.4087404417683</v>
      </c>
      <c r="H741">
        <f>-672.048927586652 -56.2361804548451 -611.76133979754</f>
        <v>-1340.0464478390372</v>
      </c>
      <c r="I741">
        <f>-641.833427188853 -48.1809063028404 -688.749371047054</f>
        <v>-1378.7637045387473</v>
      </c>
      <c r="J741">
        <f>-678.815567119751 -29.7262184994936 -556.763640820732</f>
        <v>-1265.3054264399766</v>
      </c>
      <c r="K741" t="s">
        <v>8106</v>
      </c>
      <c r="L741" t="s">
        <v>8107</v>
      </c>
      <c r="M741" t="s">
        <v>8108</v>
      </c>
      <c r="N741">
        <f>-668.93464454558 -84.2547436868398 -557.184903513947</f>
        <v>-1310.3742917463669</v>
      </c>
      <c r="O741">
        <f>-648.982174489953 -217.069401656522 -527.84705355429</f>
        <v>-1393.898629700765</v>
      </c>
      <c r="P741">
        <f>-685.31669353705 -276.515475310099 -241.949885769729</f>
        <v>-1203.782054616878</v>
      </c>
      <c r="Q741">
        <f>-504.673999620395 -144.203257255808 -330.902567280023</f>
        <v>-979.77982415622614</v>
      </c>
      <c r="R741" t="s">
        <v>8109</v>
      </c>
      <c r="S741" t="s">
        <v>8110</v>
      </c>
      <c r="T741" t="s">
        <v>8111</v>
      </c>
      <c r="U741" t="s">
        <v>8112</v>
      </c>
      <c r="V741">
        <f>-609.695103972789 -135.501606120043 -97.3139064257297</f>
        <v>-842.51061651856162</v>
      </c>
      <c r="W741" t="s">
        <v>8113</v>
      </c>
      <c r="X741" t="s">
        <v>8114</v>
      </c>
      <c r="Y741" t="s">
        <v>8115</v>
      </c>
    </row>
    <row r="742" spans="1:25" x14ac:dyDescent="0.3">
      <c r="A742">
        <v>37050</v>
      </c>
      <c r="B742" t="s">
        <v>8116</v>
      </c>
      <c r="C742">
        <f>-630.449249291251 -42.6009046564909 -99.4597024915388</f>
        <v>-772.50985643928072</v>
      </c>
      <c r="D742">
        <f>-658.088468960285 -52.3055029549932 -211.522730921534</f>
        <v>-921.91670283681219</v>
      </c>
      <c r="E742">
        <f>-669.451777129063 -56.1338900601694 -309.414922186699</f>
        <v>-1035.0005893759314</v>
      </c>
      <c r="F742">
        <f>-675.312360148931 -57.9591164964271 -398.300035421254</f>
        <v>-1131.5715120666121</v>
      </c>
      <c r="G742">
        <f>-676.392388643446 -58.1094392634551 -487.390148831424</f>
        <v>-1221.8919767383252</v>
      </c>
      <c r="H742">
        <f>-672.874100373746 -56.5932041416241 -611.913782180379</f>
        <v>-1341.3810866957492</v>
      </c>
      <c r="I742">
        <f>-642.694709272523 -48.5807123112785 -688.920400248823</f>
        <v>-1380.1958218326245</v>
      </c>
      <c r="J742">
        <f>-679.372881230922 -29.9979635913662 -556.925081065387</f>
        <v>-1266.2959258876751</v>
      </c>
      <c r="K742" t="s">
        <v>8117</v>
      </c>
      <c r="L742" t="s">
        <v>8118</v>
      </c>
      <c r="M742" t="s">
        <v>8119</v>
      </c>
      <c r="N742">
        <f>-669.471855597344 -84.5229998369623 -557.309133041677</f>
        <v>-1311.3039884759833</v>
      </c>
      <c r="O742">
        <f>-649.366548998844 -217.289102182893 -527.862103362199</f>
        <v>-1394.517754543936</v>
      </c>
      <c r="P742">
        <f>-684.655507519773 -276.37482470874 -241.759429101864</f>
        <v>-1202.7897613303769</v>
      </c>
      <c r="Q742">
        <f>-504.462323645803 -143.781874607808 -331.204199657263</f>
        <v>-979.44839791087406</v>
      </c>
      <c r="R742" t="s">
        <v>8120</v>
      </c>
      <c r="S742" t="s">
        <v>8121</v>
      </c>
      <c r="T742" t="s">
        <v>8122</v>
      </c>
      <c r="U742" t="s">
        <v>8123</v>
      </c>
      <c r="V742">
        <f>-609.652554079962 -135.804123514214 -97.3968338097685</f>
        <v>-842.85351140394448</v>
      </c>
      <c r="W742" t="s">
        <v>8124</v>
      </c>
      <c r="X742" t="s">
        <v>8125</v>
      </c>
      <c r="Y742" t="s">
        <v>8126</v>
      </c>
    </row>
    <row r="743" spans="1:25" x14ac:dyDescent="0.3">
      <c r="A743">
        <v>37100</v>
      </c>
      <c r="B743" t="s">
        <v>8127</v>
      </c>
      <c r="C743">
        <f>-631.04100363476 -42.2578024715656 -99.5133788349718</f>
        <v>-772.81218494129746</v>
      </c>
      <c r="D743">
        <f>-657.398432872555 -51.4133541198643 -211.930766770562</f>
        <v>-920.74255376298129</v>
      </c>
      <c r="E743">
        <f>-668.662315914233 -55.1100342196053 -309.839544128751</f>
        <v>-1033.6118942625892</v>
      </c>
      <c r="F743">
        <f>-674.845599795348 -56.9492683717372 -398.702531856166</f>
        <v>-1130.4974000232512</v>
      </c>
      <c r="G743">
        <f>-676.664372428287 -57.243849345298 -487.780293234349</f>
        <v>-1221.688515007934</v>
      </c>
      <c r="H743">
        <f>-674.615400408222 -56.0622697863091 -612.34032755933</f>
        <v>-1343.017997753861</v>
      </c>
      <c r="I743">
        <f>-644.619596120658 -48.1981471067738 -689.434042652241</f>
        <v>-1382.2517858796728</v>
      </c>
      <c r="J743">
        <f>-680.482908885909 -29.3223306268858 -557.350825948559</f>
        <v>-1267.1560654613536</v>
      </c>
      <c r="K743" t="s">
        <v>8128</v>
      </c>
      <c r="L743" t="s">
        <v>8129</v>
      </c>
      <c r="M743" t="s">
        <v>8130</v>
      </c>
      <c r="N743">
        <f>-670.551171486257 -83.8421111274959 -557.704556635431</f>
        <v>-1312.0978392491838</v>
      </c>
      <c r="O743">
        <f>-650.153267992568 -216.533646803042 -528.076158579336</f>
        <v>-1394.7630733749461</v>
      </c>
      <c r="P743">
        <f>-683.140542910658 -274.698919598597 -241.510437932158</f>
        <v>-1199.3499004414132</v>
      </c>
      <c r="Q743">
        <f>-503.846655254741 -141.740937873891 -332.211932809691</f>
        <v>-977.79952593832297</v>
      </c>
      <c r="R743" t="s">
        <v>8131</v>
      </c>
      <c r="S743" t="s">
        <v>8132</v>
      </c>
      <c r="T743" t="s">
        <v>8133</v>
      </c>
      <c r="U743" t="s">
        <v>8134</v>
      </c>
      <c r="V743">
        <f>-610.210607747944 -135.660497736494 -97.6145728102365</f>
        <v>-843.48567829467447</v>
      </c>
      <c r="W743" t="s">
        <v>8135</v>
      </c>
      <c r="X743" t="s">
        <v>8136</v>
      </c>
      <c r="Y743" t="s">
        <v>8137</v>
      </c>
    </row>
    <row r="744" spans="1:25" x14ac:dyDescent="0.3">
      <c r="A744">
        <v>37150</v>
      </c>
      <c r="B744" t="s">
        <v>8138</v>
      </c>
      <c r="C744">
        <f>-631.576203921966 -41.8075965191856 -99.5641318154291</f>
        <v>-772.94793225658077</v>
      </c>
      <c r="D744">
        <f>-657.047962040933 -50.6182218968423 -212.213139761026</f>
        <v>-919.87932369880139</v>
      </c>
      <c r="E744">
        <f>-668.165128277908 -54.2032346954102 -310.142721016275</f>
        <v>-1032.5110839895933</v>
      </c>
      <c r="F744">
        <f>-674.467916998034 -56.0139075136567 -398.997831671785</f>
        <v>-1129.4796561834755</v>
      </c>
      <c r="G744">
        <f>-676.660385492007 -56.351137563819 -488.067114365248</f>
        <v>-1221.0786374210738</v>
      </c>
      <c r="H744">
        <f>-675.400653143075 -55.3015703753965 -612.638867029231</f>
        <v>-1343.3410905477026</v>
      </c>
      <c r="I744">
        <f>-645.570316313813 -47.5484847945571 -689.807783712113</f>
        <v>-1382.9265848204832</v>
      </c>
      <c r="J744">
        <f>-680.924522818965 -28.5042118026427 -557.641515223179</f>
        <v>-1267.0702498447868</v>
      </c>
      <c r="K744" t="s">
        <v>8139</v>
      </c>
      <c r="L744" t="s">
        <v>8140</v>
      </c>
      <c r="M744" t="s">
        <v>8141</v>
      </c>
      <c r="N744">
        <f>-670.985479316618 -83.0225454184096 -558.000301590247</f>
        <v>-1312.0083263252745</v>
      </c>
      <c r="O744">
        <f>-650.431895843426 -215.675220641422 -528.350190381491</f>
        <v>-1394.457306866339</v>
      </c>
      <c r="P744">
        <f>-682.165353582281 -273.322160774561 -241.538292128904</f>
        <v>-1197.025806485746</v>
      </c>
      <c r="Q744">
        <f>-503.257308878154 -140.321753962536 -332.93672419588</f>
        <v>-976.51578703656992</v>
      </c>
      <c r="R744" t="s">
        <v>8142</v>
      </c>
      <c r="S744" t="s">
        <v>8143</v>
      </c>
      <c r="T744" t="s">
        <v>8144</v>
      </c>
      <c r="U744" t="s">
        <v>8145</v>
      </c>
      <c r="V744">
        <f>-610.812515295917 -135.340723119499 -97.7635425607818</f>
        <v>-843.91678097619786</v>
      </c>
      <c r="W744" t="s">
        <v>8146</v>
      </c>
      <c r="X744" t="s">
        <v>8147</v>
      </c>
      <c r="Y744" t="s">
        <v>8148</v>
      </c>
    </row>
    <row r="745" spans="1:25" x14ac:dyDescent="0.3">
      <c r="A745">
        <v>37200</v>
      </c>
      <c r="B745" t="s">
        <v>8149</v>
      </c>
      <c r="C745">
        <f>-632.49197726697 -41.2921503710481 -99.5852186564408</f>
        <v>-773.36934629445898</v>
      </c>
      <c r="D745">
        <f>-656.088237762143 -49.5388660444867 -212.684408327652</f>
        <v>-918.31151213428166</v>
      </c>
      <c r="E745">
        <f>-666.856744871789 -52.886819624499 -310.661405395328</f>
        <v>-1030.404969891616</v>
      </c>
      <c r="F745">
        <f>-673.359436015617 -54.579882420428 -399.504460309394</f>
        <v>-1127.443778745439</v>
      </c>
      <c r="G745">
        <f>-676.270102313013 -54.8931909766853 -488.553141164423</f>
        <v>-1219.7164344541213</v>
      </c>
      <c r="H745">
        <f>-676.559235096864 -53.9061439187568 -613.131558777036</f>
        <v>-1343.5969377926567</v>
      </c>
      <c r="I745">
        <f>-647.202663805853 -46.4107706830212 -690.507452350179</f>
        <v>-1384.1208868390531</v>
      </c>
      <c r="J745">
        <f>-681.40942400257 -27.0831849596764 -558.083230596628</f>
        <v>-1266.5758395588743</v>
      </c>
      <c r="K745" t="s">
        <v>8150</v>
      </c>
      <c r="L745" t="s">
        <v>8151</v>
      </c>
      <c r="M745" t="s">
        <v>8152</v>
      </c>
      <c r="N745">
        <f>-671.45463195315 -81.5978752590332 -558.538324045826</f>
        <v>-1311.5908312580093</v>
      </c>
      <c r="O745">
        <f>-650.585818771325 -214.220715300823 -528.983650181184</f>
        <v>-1393.790184253332</v>
      </c>
      <c r="P745">
        <f>-679.708708609326 -271.293917100613 -241.780433632851</f>
        <v>-1192.7830593427898</v>
      </c>
      <c r="Q745">
        <f>-501.492899686484 -138.185676690074 -334.366536651489</f>
        <v>-974.04511302804701</v>
      </c>
      <c r="R745" t="s">
        <v>8153</v>
      </c>
      <c r="S745" t="s">
        <v>8154</v>
      </c>
      <c r="T745" t="s">
        <v>8155</v>
      </c>
      <c r="U745" t="s">
        <v>8156</v>
      </c>
      <c r="V745">
        <f>-611.972328247772 -134.838618060044 -98.0379771345256</f>
        <v>-844.84892344234163</v>
      </c>
      <c r="W745" t="s">
        <v>8157</v>
      </c>
      <c r="X745" t="s">
        <v>8158</v>
      </c>
      <c r="Y745" t="s">
        <v>8159</v>
      </c>
    </row>
    <row r="746" spans="1:25" x14ac:dyDescent="0.3">
      <c r="A746">
        <v>37250</v>
      </c>
      <c r="B746" t="s">
        <v>8160</v>
      </c>
      <c r="C746">
        <f>-632.893099388428 -41.1507286151352 -99.5816802887872</f>
        <v>-773.62550829235045</v>
      </c>
      <c r="D746">
        <f>-655.419058590758 -49.1316964980906 -212.917985933883</f>
        <v>-917.46874102273159</v>
      </c>
      <c r="E746">
        <f>-665.909225547583 -52.3440377479461 -310.929645558046</f>
        <v>-1029.1829088535751</v>
      </c>
      <c r="F746">
        <f>-672.420596785175 -53.9512270524034 -399.773638261458</f>
        <v>-1126.1454620990364</v>
      </c>
      <c r="G746">
        <f>-675.601723974096 -54.2138364562506 -488.813373133599</f>
        <v>-1218.6289335639456</v>
      </c>
      <c r="H746">
        <f>-676.543694197867 -53.1918073147897 -613.388037969937</f>
        <v>-1343.1235394825937</v>
      </c>
      <c r="I746">
        <f>-647.452283823211 -45.8449442178688 -690.878353470571</f>
        <v>-1384.1755815116508</v>
      </c>
      <c r="J746">
        <f>-681.106784967906 -26.3845095373515 -558.307573429864</f>
        <v>-1265.7988679351215</v>
      </c>
      <c r="K746" t="s">
        <v>8161</v>
      </c>
      <c r="L746" t="s">
        <v>8162</v>
      </c>
      <c r="M746" t="s">
        <v>8163</v>
      </c>
      <c r="N746">
        <f>-671.151559927284 -80.898700652667 -558.830138194771</f>
        <v>-1310.8803987747219</v>
      </c>
      <c r="O746">
        <f>-650.125556154775 -213.516049921112 -529.387755152767</f>
        <v>-1393.0293612286541</v>
      </c>
      <c r="P746">
        <f>-678.012499238149 -270.506706758744 -242.045369384361</f>
        <v>-1190.5645753812539</v>
      </c>
      <c r="Q746">
        <f>-500.140447393718 -137.265178579537 -335.099831952644</f>
        <v>-972.50545792589901</v>
      </c>
      <c r="R746" t="s">
        <v>8164</v>
      </c>
      <c r="S746" t="s">
        <v>8165</v>
      </c>
      <c r="T746" t="s">
        <v>8166</v>
      </c>
      <c r="U746" t="s">
        <v>8167</v>
      </c>
      <c r="V746">
        <f>-612.480484796999 -134.502752374312 -98.1184065309827</f>
        <v>-845.1016437022937</v>
      </c>
      <c r="W746" t="s">
        <v>8168</v>
      </c>
      <c r="X746" t="s">
        <v>8169</v>
      </c>
      <c r="Y746" t="s">
        <v>8170</v>
      </c>
    </row>
    <row r="747" spans="1:25" x14ac:dyDescent="0.3">
      <c r="A747">
        <v>37300</v>
      </c>
      <c r="B747" t="s">
        <v>8171</v>
      </c>
      <c r="C747">
        <f>-633.46140518633 -41.4249295506279 -99.7469528446542</f>
        <v>-774.63328758161208</v>
      </c>
      <c r="D747">
        <f>-653.731765571493 -48.8279257823207 -213.547248448401</f>
        <v>-916.1069398022147</v>
      </c>
      <c r="E747">
        <f>-663.514931893729 -51.7166234050675 -311.64209628275</f>
        <v>-1026.8736515815465</v>
      </c>
      <c r="F747">
        <f>-669.884594128153 -53.0986699726443 -400.500202315974</f>
        <v>-1123.4834664167713</v>
      </c>
      <c r="G747">
        <f>-673.423526065568 -53.2021021257483 -489.526677587013</f>
        <v>-1216.1523057783293</v>
      </c>
      <c r="H747">
        <f>-675.390643027158 -52.0244537788192 -614.088136161285</f>
        <v>-1341.5032329672622</v>
      </c>
      <c r="I747">
        <f>-646.854598865955 -44.9158775808355 -691.806876766273</f>
        <v>-1383.5773532130636</v>
      </c>
      <c r="J747">
        <f>-679.492841001686 -25.284718433863 -558.938677278593</f>
        <v>-1263.7162367141418</v>
      </c>
      <c r="K747" t="s">
        <v>8172</v>
      </c>
      <c r="L747" t="s">
        <v>8173</v>
      </c>
      <c r="M747" t="s">
        <v>8174</v>
      </c>
      <c r="N747">
        <f>-669.557169805622 -79.8007728553451 -559.611040484092</f>
        <v>-1308.9689831450592</v>
      </c>
      <c r="O747">
        <f>-648.358146946499 -212.454167323754 -530.44506538794</f>
        <v>-1391.2573796581928</v>
      </c>
      <c r="P747">
        <f>-674.364711115877 -269.311272144964 -242.900036304225</f>
        <v>-1186.576019565066</v>
      </c>
      <c r="Q747">
        <f>-496.924357640627 -135.959563082696 -336.618376734413</f>
        <v>-969.50229745773606</v>
      </c>
      <c r="R747" t="s">
        <v>8175</v>
      </c>
      <c r="S747" t="s">
        <v>8176</v>
      </c>
      <c r="T747" t="s">
        <v>8177</v>
      </c>
      <c r="U747" t="s">
        <v>8178</v>
      </c>
      <c r="V747">
        <f>-613.31779459968 -134.605340114693 -98.2636849565658</f>
        <v>-846.18681967093892</v>
      </c>
      <c r="W747" t="s">
        <v>8179</v>
      </c>
      <c r="X747" t="s">
        <v>8180</v>
      </c>
      <c r="Y747" t="s">
        <v>8181</v>
      </c>
    </row>
    <row r="748" spans="1:25" x14ac:dyDescent="0.3">
      <c r="A748">
        <v>37350</v>
      </c>
      <c r="B748" t="s">
        <v>8182</v>
      </c>
      <c r="C748">
        <f>-633.644782733242 -41.9636254919064 -99.7754116170884</f>
        <v>-775.38381984223679</v>
      </c>
      <c r="D748">
        <f>-652.864530759661 -49.0894365312804 -213.775576807345</f>
        <v>-915.7295440982864</v>
      </c>
      <c r="E748">
        <f>-662.276262558812 -51.825477543899 -311.911077676813</f>
        <v>-1026.0128177795241</v>
      </c>
      <c r="F748">
        <f>-668.523913112156 -53.1034358901503 -400.779409196358</f>
        <v>-1122.4067581986644</v>
      </c>
      <c r="G748">
        <f>-672.155328933488 -53.1353152355695 -489.802200352281</f>
        <v>-1215.0928445213385</v>
      </c>
      <c r="H748">
        <f>-674.477154605608 -51.8912851511969 -614.356917027693</f>
        <v>-1340.725356784498</v>
      </c>
      <c r="I748">
        <f>-646.187546211883 -44.8656792664689 -692.173029211982</f>
        <v>-1383.2262546903339</v>
      </c>
      <c r="J748">
        <f>-678.417090013396 -25.1799448747079 -559.181767344217</f>
        <v>-1262.7788022323207</v>
      </c>
      <c r="K748" t="s">
        <v>8183</v>
      </c>
      <c r="L748" t="s">
        <v>8184</v>
      </c>
      <c r="M748" t="s">
        <v>8185</v>
      </c>
      <c r="N748">
        <f>-668.493738565151 -79.6975055619482 -559.911210621773</f>
        <v>-1308.1024547488723</v>
      </c>
      <c r="O748">
        <f>-647.247141795534 -212.376665885738 -530.904615656606</f>
        <v>-1390.5284233378779</v>
      </c>
      <c r="P748">
        <f>-672.884001257269 -269.143819188726 -243.308600880138</f>
        <v>-1185.3364213261329</v>
      </c>
      <c r="Q748">
        <f>-495.565507130549 -135.768894628027 -337.224360171724</f>
        <v>-968.55876193029997</v>
      </c>
      <c r="R748" t="s">
        <v>8186</v>
      </c>
      <c r="S748" t="s">
        <v>8187</v>
      </c>
      <c r="T748" t="s">
        <v>8188</v>
      </c>
      <c r="U748" t="s">
        <v>8189</v>
      </c>
      <c r="V748">
        <f>-613.632481336931 -135.071840432932 -98.3306762371185</f>
        <v>-847.0349980069816</v>
      </c>
      <c r="W748" t="s">
        <v>8190</v>
      </c>
      <c r="X748" t="s">
        <v>8191</v>
      </c>
      <c r="Y748" t="s">
        <v>8192</v>
      </c>
    </row>
    <row r="749" spans="1:25" x14ac:dyDescent="0.3">
      <c r="A749">
        <v>37400</v>
      </c>
      <c r="B749" t="s">
        <v>8193</v>
      </c>
      <c r="C749">
        <f>-634.053032368961 -42.8735701933517 -99.5218166846616</f>
        <v>-776.44841924697437</v>
      </c>
      <c r="D749">
        <f>-651.552209444209 -49.5753151214665 -213.824477300568</f>
        <v>-914.95200186624345</v>
      </c>
      <c r="E749">
        <f>-660.285087120914 -52.08441005911 -312.028825966329</f>
        <v>-1024.3983231463531</v>
      </c>
      <c r="F749">
        <f>-666.239734729466 -53.2112044674942 -400.919272118252</f>
        <v>-1120.3702113152121</v>
      </c>
      <c r="G749">
        <f>-669.899902186099 -53.1442011677041 -489.940784578863</f>
        <v>-1212.984887932666</v>
      </c>
      <c r="H749">
        <f>-672.599901342372 -51.8153558095718 -614.487045448602</f>
        <v>-1338.9023026005457</v>
      </c>
      <c r="I749">
        <f>-644.707266100313 -44.8628031512462 -692.45305848658</f>
        <v>-1382.023127738139</v>
      </c>
      <c r="J749">
        <f>-676.381365051584 -25.1433457346768 -559.281895754188</f>
        <v>-1260.8066065404487</v>
      </c>
      <c r="K749" t="s">
        <v>8194</v>
      </c>
      <c r="L749" t="s">
        <v>8195</v>
      </c>
      <c r="M749" t="s">
        <v>8196</v>
      </c>
      <c r="N749">
        <f>-666.442125372174 -79.6569738205492 -560.078945484517</f>
        <v>-1306.1780446772402</v>
      </c>
      <c r="O749">
        <f>-645.02241508907 -212.377510579878 -531.371357313046</f>
        <v>-1388.7712829819941</v>
      </c>
      <c r="P749">
        <f>-670.652566045693 -269.196937523563 -243.785052775426</f>
        <v>-1183.6345563446821</v>
      </c>
      <c r="Q749">
        <f>-493.538488142541 -135.658763898189 -337.854412954221</f>
        <v>-967.0516649949509</v>
      </c>
      <c r="R749" t="s">
        <v>8197</v>
      </c>
      <c r="S749" t="s">
        <v>8198</v>
      </c>
      <c r="T749" t="s">
        <v>8199</v>
      </c>
      <c r="U749" t="s">
        <v>8200</v>
      </c>
      <c r="V749">
        <f>-614.314875270726 -135.590567242879 -98.3039429275317</f>
        <v>-848.20938544113676</v>
      </c>
      <c r="W749" t="s">
        <v>8201</v>
      </c>
      <c r="X749" t="s">
        <v>8202</v>
      </c>
      <c r="Y749" t="s">
        <v>8203</v>
      </c>
    </row>
    <row r="750" spans="1:25" x14ac:dyDescent="0.3">
      <c r="A750">
        <v>37450</v>
      </c>
      <c r="B750" t="s">
        <v>8204</v>
      </c>
      <c r="C750">
        <f>-634.299010616986 -43.0870632643109 -99.3105039142944</f>
        <v>-776.69657779559134</v>
      </c>
      <c r="D750">
        <f>-651.297455044264 -49.6173340598621 -213.698564906881</f>
        <v>-914.613354011007</v>
      </c>
      <c r="E750">
        <f>-659.79689410949 -52.0406051242952 -311.925505943742</f>
        <v>-1023.7630051775272</v>
      </c>
      <c r="F750">
        <f>-665.619852909355 -53.1134237242028 -400.825414551379</f>
        <v>-1119.5586911849368</v>
      </c>
      <c r="G750">
        <f>-669.2279946915 -53.0152036152986 -489.849140445783</f>
        <v>-1212.0923387525816</v>
      </c>
      <c r="H750">
        <f>-671.939426749892 -51.666099807841 -614.394763288081</f>
        <v>-1338.000289845814</v>
      </c>
      <c r="I750">
        <f>-644.192249825048 -44.6650066897029 -692.408316899472</f>
        <v>-1381.2655734142227</v>
      </c>
      <c r="J750">
        <f>-675.734885277028 -25.0065253942948 -559.184544657526</f>
        <v>-1259.9259553288489</v>
      </c>
      <c r="K750" t="s">
        <v>8205</v>
      </c>
      <c r="L750" t="s">
        <v>8206</v>
      </c>
      <c r="M750" t="s">
        <v>8207</v>
      </c>
      <c r="N750">
        <f>-665.757697984952 -79.5130676693773 -559.992256938732</f>
        <v>-1305.2630225930611</v>
      </c>
      <c r="O750">
        <f>-644.186084264955 -212.234116692956 -531.401637723757</f>
        <v>-1387.8218386816679</v>
      </c>
      <c r="P750">
        <f>-670.044157091524 -269.350067887905 -243.894454074163</f>
        <v>-1183.288679053592</v>
      </c>
      <c r="Q750">
        <f>-493.122253167429 -135.434920962376 -337.789261468599</f>
        <v>-966.34643559840401</v>
      </c>
      <c r="R750" t="s">
        <v>8208</v>
      </c>
      <c r="S750" t="s">
        <v>8209</v>
      </c>
      <c r="T750" t="s">
        <v>8210</v>
      </c>
      <c r="U750" t="s">
        <v>8211</v>
      </c>
      <c r="V750">
        <f>-614.748890161037 -135.63078768999 -98.2410001173895</f>
        <v>-848.62067796841654</v>
      </c>
      <c r="W750" t="s">
        <v>8212</v>
      </c>
      <c r="X750" t="s">
        <v>8213</v>
      </c>
      <c r="Y750" t="s">
        <v>8214</v>
      </c>
    </row>
    <row r="751" spans="1:25" x14ac:dyDescent="0.3">
      <c r="A751">
        <v>37500</v>
      </c>
      <c r="B751" t="s">
        <v>8215</v>
      </c>
      <c r="C751">
        <f>-634.908812299017 -43.3452203389425 -99.0175773609426</f>
        <v>-777.27160999890202</v>
      </c>
      <c r="D751">
        <f>-651.382878984103 -49.635938359359 -213.495726159208</f>
        <v>-914.51454350266999</v>
      </c>
      <c r="E751">
        <f>-659.55285237843 -51.9625471481154 -311.75303373945</f>
        <v>-1023.2684332659953</v>
      </c>
      <c r="F751">
        <f>-665.127319308628 -52.9904581282169 -400.669319345831</f>
        <v>-1118.7870967826759</v>
      </c>
      <c r="G751">
        <f>-668.53719545928 -52.8884347548311 -489.700799066021</f>
        <v>-1211.126429280132</v>
      </c>
      <c r="H751">
        <f>-671.024978930393 -51.5758736979756 -614.251634119063</f>
        <v>-1336.8524867474316</v>
      </c>
      <c r="I751">
        <f>-643.396430516741 -44.3251258398961 -692.28436472276</f>
        <v>-1380.005921079397</v>
      </c>
      <c r="J751">
        <f>-674.963690674302 -24.9081142393591 -559.05530339826</f>
        <v>-1258.9271083119211</v>
      </c>
      <c r="K751" t="s">
        <v>8216</v>
      </c>
      <c r="L751" t="s">
        <v>8217</v>
      </c>
      <c r="M751" t="s">
        <v>8218</v>
      </c>
      <c r="N751">
        <f>-664.896812113374 -79.3987849212018 -559.830615914674</f>
        <v>-1304.1262129492497</v>
      </c>
      <c r="O751">
        <f>-643.093661095222 -212.103650497903 -531.333275984945</f>
        <v>-1386.53058757807</v>
      </c>
      <c r="P751">
        <f>-669.511381261545 -269.78281547736 -243.989499244055</f>
        <v>-1183.2836959829599</v>
      </c>
      <c r="Q751">
        <f>-492.902306337735 -135.129608377631 -337.416597311722</f>
        <v>-965.4485120270881</v>
      </c>
      <c r="R751" t="s">
        <v>8219</v>
      </c>
      <c r="S751" t="s">
        <v>8220</v>
      </c>
      <c r="T751" t="s">
        <v>8221</v>
      </c>
      <c r="U751" t="s">
        <v>8222</v>
      </c>
      <c r="V751">
        <f>-615.461571163324 -135.706301404932 -98.1440607438577</f>
        <v>-849.31193331211375</v>
      </c>
      <c r="W751" t="s">
        <v>8223</v>
      </c>
      <c r="X751" t="s">
        <v>8224</v>
      </c>
      <c r="Y751" t="s">
        <v>8225</v>
      </c>
    </row>
    <row r="752" spans="1:25" x14ac:dyDescent="0.3">
      <c r="A752">
        <v>37550</v>
      </c>
      <c r="B752" t="s">
        <v>8226</v>
      </c>
      <c r="C752">
        <f>-635.149534081966 -43.6005072391714 -98.9739158030694</f>
        <v>-777.72395712420678</v>
      </c>
      <c r="D752">
        <f>-651.565706606015 -49.8133566348806 -213.464602283564</f>
        <v>-914.84366552445965</v>
      </c>
      <c r="E752">
        <f>-659.662954797297 -52.1202353294657 -311.728475971471</f>
        <v>-1023.5116660982337</v>
      </c>
      <c r="F752">
        <f>-665.162766477025 -53.1486783015076 -400.649434310012</f>
        <v>-1118.9608790885445</v>
      </c>
      <c r="G752">
        <f>-668.489434010925 -53.0653842839248 -489.684097407624</f>
        <v>-1211.2389157024738</v>
      </c>
      <c r="H752">
        <f>-670.852003309508 -51.7980981430163 -614.237835950215</f>
        <v>-1336.8879374027392</v>
      </c>
      <c r="I752">
        <f>-643.196950432728 -44.4005874196804 -692.247462549106</f>
        <v>-1379.8450004015144</v>
      </c>
      <c r="J752">
        <f>-674.861823289742 -25.1132288676374 -559.054955226902</f>
        <v>-1259.0300073842814</v>
      </c>
      <c r="K752" t="s">
        <v>8227</v>
      </c>
      <c r="L752" t="s">
        <v>8228</v>
      </c>
      <c r="M752" t="s">
        <v>8229</v>
      </c>
      <c r="N752">
        <f>-664.762908848619 -79.5982608053833 -559.800735158536</f>
        <v>-1304.1619048125383</v>
      </c>
      <c r="O752">
        <f>-642.906963496789 -212.290585318973 -531.285141895211</f>
        <v>-1386.4826907109732</v>
      </c>
      <c r="P752">
        <f>-669.687799812622 -270.075188240469 -243.996234988092</f>
        <v>-1183.7592230411831</v>
      </c>
      <c r="Q752">
        <f>-493.237139412931 -135.090017826052 -337.243362965221</f>
        <v>-965.57052020420406</v>
      </c>
      <c r="R752" t="s">
        <v>8230</v>
      </c>
      <c r="S752" t="s">
        <v>8231</v>
      </c>
      <c r="T752" t="s">
        <v>8232</v>
      </c>
      <c r="U752" t="s">
        <v>8233</v>
      </c>
      <c r="V752">
        <f>-615.567214931924 -135.956254782604 -98.1257757844839</f>
        <v>-849.64924549901195</v>
      </c>
      <c r="W752" t="s">
        <v>8234</v>
      </c>
      <c r="X752" t="s">
        <v>8235</v>
      </c>
      <c r="Y752" t="s">
        <v>8236</v>
      </c>
    </row>
    <row r="753" spans="1:25" x14ac:dyDescent="0.3">
      <c r="A753">
        <v>37600</v>
      </c>
      <c r="B753" t="s">
        <v>8237</v>
      </c>
      <c r="C753">
        <f>-635.129789432188 -44.4179000142066 -99.0265549804433</f>
        <v>-778.57424442683782</v>
      </c>
      <c r="D753">
        <f>-651.583370626575 -50.531980245477 -213.517184761528</f>
        <v>-915.63253563358001</v>
      </c>
      <c r="E753">
        <f>-659.646096055065 -52.8198023322183 -311.784440510447</f>
        <v>-1024.2503388977302</v>
      </c>
      <c r="F753">
        <f>-665.088021907021 -53.8590567098306 -400.708745948129</f>
        <v>-1119.6558245649805</v>
      </c>
      <c r="G753">
        <f>-668.330154487045 -53.8143000426057 -489.746521755283</f>
        <v>-1211.8909762849337</v>
      </c>
      <c r="H753">
        <f>-670.54670957461 -52.6304280054976 -614.303692617543</f>
        <v>-1337.4808301976504</v>
      </c>
      <c r="I753">
        <f>-642.6767409827 -44.978161376494 -692.212197768905</f>
        <v>-1379.8671001280991</v>
      </c>
      <c r="J753">
        <f>-674.647195829202 -25.9134061683985 -559.143109298903</f>
        <v>-1259.7037112965036</v>
      </c>
      <c r="K753" t="s">
        <v>8238</v>
      </c>
      <c r="L753" t="s">
        <v>8239</v>
      </c>
      <c r="M753" t="s">
        <v>8240</v>
      </c>
      <c r="N753">
        <f>-664.495464955521 -80.3893189657221 -559.841474016617</f>
        <v>-1304.7262579378601</v>
      </c>
      <c r="O753">
        <f>-642.551414605382 -213.061696186772 -531.270921542686</f>
        <v>-1386.88403233484</v>
      </c>
      <c r="P753">
        <f>-670.086798484315 -270.792341620418 -244.042370724324</f>
        <v>-1184.9215108290568</v>
      </c>
      <c r="Q753">
        <f>-493.683896664353 -135.504804103649 -336.941130347954</f>
        <v>-966.12983111595599</v>
      </c>
      <c r="R753" t="s">
        <v>8241</v>
      </c>
      <c r="S753" t="s">
        <v>8242</v>
      </c>
      <c r="T753" t="s">
        <v>8243</v>
      </c>
      <c r="U753" t="s">
        <v>8244</v>
      </c>
      <c r="V753">
        <f>-615.015988158426 -136.976132210151 -98.1701727403226</f>
        <v>-850.16229310889969</v>
      </c>
      <c r="W753" t="s">
        <v>8245</v>
      </c>
      <c r="X753" t="s">
        <v>8246</v>
      </c>
      <c r="Y753" t="s">
        <v>8247</v>
      </c>
    </row>
    <row r="754" spans="1:25" x14ac:dyDescent="0.3">
      <c r="A754">
        <v>37650</v>
      </c>
      <c r="B754" t="s">
        <v>8248</v>
      </c>
      <c r="C754">
        <f>-634.950075899466 -44.8847133746824 -99.0793525417855</f>
        <v>-778.91414181593393</v>
      </c>
      <c r="D754">
        <f>-651.378500644473 -50.9922786188273 -213.573952744615</f>
        <v>-915.94473200791526</v>
      </c>
      <c r="E754">
        <f>-659.438943542996 -53.2885670412575 -311.84108156885</f>
        <v>-1024.5685921531035</v>
      </c>
      <c r="F754">
        <f>-664.885901375273 -54.3422508792639 -400.764981102847</f>
        <v>-1119.9931333573838</v>
      </c>
      <c r="G754">
        <f>-668.140113605216 -54.3194848409421 -489.802286701932</f>
        <v>-1212.2618851480902</v>
      </c>
      <c r="H754">
        <f>-670.3808797054 -53.1742440481353 -614.359501214829</f>
        <v>-1337.9146249683645</v>
      </c>
      <c r="I754">
        <f>-642.434040336118 -45.4820763821418 -692.23660050151</f>
        <v>-1380.1527172197698</v>
      </c>
      <c r="J754">
        <f>-674.478501474249 -26.4417012990575 -559.206116851884</f>
        <v>-1260.1263196251905</v>
      </c>
      <c r="K754" t="s">
        <v>8249</v>
      </c>
      <c r="L754" t="s">
        <v>8250</v>
      </c>
      <c r="M754" t="s">
        <v>8251</v>
      </c>
      <c r="N754">
        <f>-664.311183833459 -80.9147893732677 -559.889822522744</f>
        <v>-1305.1157957294708</v>
      </c>
      <c r="O754">
        <f>-642.320852504135 -213.570127170995 -531.318859567729</f>
        <v>-1387.2098392428588</v>
      </c>
      <c r="P754">
        <f>-669.938560711136 -271.243640482259 -244.086749774725</f>
        <v>-1185.26895096812</v>
      </c>
      <c r="Q754">
        <f>-493.664762741099 -135.740049689741 -336.915651817169</f>
        <v>-966.3204642480091</v>
      </c>
      <c r="R754" t="s">
        <v>8252</v>
      </c>
      <c r="S754" t="s">
        <v>8253</v>
      </c>
      <c r="T754" t="s">
        <v>8254</v>
      </c>
      <c r="U754" t="s">
        <v>8255</v>
      </c>
      <c r="V754">
        <f>-614.612576443925 -137.532554115646 -98.2037965531606</f>
        <v>-850.34892711273164</v>
      </c>
      <c r="W754" t="s">
        <v>8256</v>
      </c>
      <c r="X754" t="s">
        <v>8257</v>
      </c>
      <c r="Y754" t="s">
        <v>8258</v>
      </c>
    </row>
    <row r="755" spans="1:25" x14ac:dyDescent="0.3">
      <c r="A755">
        <v>37700</v>
      </c>
      <c r="B755" t="s">
        <v>8259</v>
      </c>
      <c r="C755">
        <f>-634.348476482321 -45.6458640184496 -99.1254723142451</f>
        <v>-779.11981281501573</v>
      </c>
      <c r="D755">
        <f>-650.677711054762 -51.8022235067806 -213.631694151106</f>
        <v>-916.11162871264855</v>
      </c>
      <c r="E755">
        <f>-658.751544949896 -54.127647626806 -311.896910707082</f>
        <v>-1024.7761032837841</v>
      </c>
      <c r="F755">
        <f>-664.249308304205 -55.2052151017906 -400.817474468607</f>
        <v>-1120.2719978746027</v>
      </c>
      <c r="G755">
        <f>-667.592683927424 -55.2029328499863 -489.851530966693</f>
        <v>-1212.6471477441032</v>
      </c>
      <c r="H755">
        <f>-669.997992572198 -54.0838640872553 -614.405900291701</f>
        <v>-1338.4877569511541</v>
      </c>
      <c r="I755">
        <f>-641.940261978079 -46.4428376855531 -692.247994124636</f>
        <v>-1380.6310937882681</v>
      </c>
      <c r="J755">
        <f>-674.055855888234 -27.3459482973487 -559.252203638076</f>
        <v>-1260.6540078236587</v>
      </c>
      <c r="K755" t="s">
        <v>8260</v>
      </c>
      <c r="L755" t="s">
        <v>8261</v>
      </c>
      <c r="M755" t="s">
        <v>8262</v>
      </c>
      <c r="N755">
        <f>-663.823233550383 -81.8067775406038 -559.939101387885</f>
        <v>-1305.5691124788718</v>
      </c>
      <c r="O755">
        <f>-641.699808534638 -214.466657862333 -531.445498133967</f>
        <v>-1387.6119645309382</v>
      </c>
      <c r="P755">
        <f>-669.019402388211 -272.176217697385 -244.192135568372</f>
        <v>-1185.387755653968</v>
      </c>
      <c r="Q755">
        <f>-493.194638923096 -136.162124458286 -337.126062230122</f>
        <v>-966.48282561150404</v>
      </c>
      <c r="R755" t="s">
        <v>8263</v>
      </c>
      <c r="S755" t="s">
        <v>8264</v>
      </c>
      <c r="T755" t="s">
        <v>8265</v>
      </c>
      <c r="U755" t="s">
        <v>8266</v>
      </c>
      <c r="V755">
        <f>-613.816093575111 -138.248539710036 -98.2179364667661</f>
        <v>-850.28256975191312</v>
      </c>
      <c r="W755" t="s">
        <v>8267</v>
      </c>
      <c r="X755" t="s">
        <v>8268</v>
      </c>
      <c r="Y755" t="s">
        <v>8269</v>
      </c>
    </row>
    <row r="756" spans="1:25" x14ac:dyDescent="0.3">
      <c r="A756">
        <v>37750</v>
      </c>
      <c r="B756" t="s">
        <v>8270</v>
      </c>
      <c r="C756">
        <f>-633.912320323462 -45.8632020949283 -99.0815250986369</f>
        <v>-778.85704751702724</v>
      </c>
      <c r="D756">
        <f>-650.227833547407 -52.0169397265529 -213.589878753811</f>
        <v>-915.83465202777097</v>
      </c>
      <c r="E756">
        <f>-658.312025756387 -54.33251023204 -311.854607369619</f>
        <v>-1024.499143358046</v>
      </c>
      <c r="F756">
        <f>-663.828015511268 -55.3977393084584 -400.773980194945</f>
        <v>-1119.9997350146714</v>
      </c>
      <c r="G756">
        <f>-667.198719275816 -55.3797768442596 -489.806975843971</f>
        <v>-1212.3854719640465</v>
      </c>
      <c r="H756">
        <f>-669.651796032702 -54.2346297745148 -614.360190480575</f>
        <v>-1338.2466162877918</v>
      </c>
      <c r="I756">
        <f>-641.564111663366 -46.6461706244198 -692.196671719061</f>
        <v>-1380.4069540068467</v>
      </c>
      <c r="J756">
        <f>-673.712646385388 -27.5127146056391 -559.19903451595</f>
        <v>-1260.4243955069769</v>
      </c>
      <c r="K756" t="s">
        <v>8271</v>
      </c>
      <c r="L756" t="s">
        <v>8272</v>
      </c>
      <c r="M756" t="s">
        <v>8273</v>
      </c>
      <c r="N756">
        <f>-663.43202077573 -81.964338582581 -559.902007354403</f>
        <v>-1305.2983667127141</v>
      </c>
      <c r="O756">
        <f>-641.195290512612 -214.618838694126 -531.47004193543</f>
        <v>-1387.2841711421679</v>
      </c>
      <c r="P756">
        <f>-668.323412765426 -272.433418210294 -244.219950831994</f>
        <v>-1184.9767818077141</v>
      </c>
      <c r="Q756">
        <f>-492.742752447385 -136.10348692631 -337.152325141345</f>
        <v>-965.99856451504002</v>
      </c>
      <c r="R756" t="s">
        <v>8274</v>
      </c>
      <c r="S756" t="s">
        <v>8275</v>
      </c>
      <c r="T756" t="s">
        <v>8276</v>
      </c>
      <c r="U756" t="s">
        <v>8277</v>
      </c>
      <c r="V756">
        <f>-613.369310730391 -138.382025543487 -98.1949180378108</f>
        <v>-849.94625431168879</v>
      </c>
      <c r="W756" t="s">
        <v>8278</v>
      </c>
      <c r="X756" t="s">
        <v>8279</v>
      </c>
      <c r="Y756" t="s">
        <v>8280</v>
      </c>
    </row>
    <row r="757" spans="1:25" x14ac:dyDescent="0.3">
      <c r="A757">
        <v>37800</v>
      </c>
      <c r="B757" t="s">
        <v>8281</v>
      </c>
      <c r="C757">
        <f>-633.155781727186 -46.0662741441733 -99.0048304348554</f>
        <v>-778.22688630621474</v>
      </c>
      <c r="D757">
        <f>-649.557136226459 -52.2139592695871 -213.501229841725</f>
        <v>-915.27232533777112</v>
      </c>
      <c r="E757">
        <f>-657.70705327491 -54.5332912729259 -311.760271150925</f>
        <v>-1024.0006156987608</v>
      </c>
      <c r="F757">
        <f>-663.27985513588 -55.6047047411553 -400.676286034158</f>
        <v>-1119.5608459111932</v>
      </c>
      <c r="G757">
        <f>-666.705015075482 -55.5952002268101 -489.707172372184</f>
        <v>-1212.0073876744761</v>
      </c>
      <c r="H757">
        <f>-669.23203876414 -54.4636631416936 -614.259059224948</f>
        <v>-1337.9547611307817</v>
      </c>
      <c r="I757">
        <f>-641.139315890239 -47.0505657856475 -692.110617994801</f>
        <v>-1380.3004996706875</v>
      </c>
      <c r="J757">
        <f>-673.275729931549 -27.738771929447 -559.097964590794</f>
        <v>-1260.1124664517902</v>
      </c>
      <c r="K757" t="s">
        <v>8282</v>
      </c>
      <c r="L757" t="s">
        <v>8283</v>
      </c>
      <c r="M757" t="s">
        <v>8284</v>
      </c>
      <c r="N757">
        <f>-662.964233348521 -82.184520044626 -559.801793036876</f>
        <v>-1304.950546430023</v>
      </c>
      <c r="O757">
        <f>-640.63306732087 -214.819221795743 -531.411120375135</f>
        <v>-1386.8634094917481</v>
      </c>
      <c r="P757">
        <f>-667.316107628518 -272.941028962681 -244.181177368124</f>
        <v>-1184.4383139593231</v>
      </c>
      <c r="Q757">
        <f>-492.163842432206 -136.094958096248 -337.163476132135</f>
        <v>-965.42227666058898</v>
      </c>
      <c r="R757" t="s">
        <v>8285</v>
      </c>
      <c r="S757" t="s">
        <v>8286</v>
      </c>
      <c r="T757" t="s">
        <v>8287</v>
      </c>
      <c r="U757" t="s">
        <v>8288</v>
      </c>
      <c r="V757">
        <f>-612.629961002408 -138.593869348574 -98.1618214657088</f>
        <v>-849.38565181669082</v>
      </c>
      <c r="W757" t="s">
        <v>8289</v>
      </c>
      <c r="X757" t="s">
        <v>8290</v>
      </c>
      <c r="Y757" t="s">
        <v>8291</v>
      </c>
    </row>
    <row r="758" spans="1:25" x14ac:dyDescent="0.3">
      <c r="A758">
        <v>37850</v>
      </c>
      <c r="B758" t="s">
        <v>8292</v>
      </c>
      <c r="C758">
        <f>-632.79663650807 -46.137504636804 -98.9775815347438</f>
        <v>-777.91172267961781</v>
      </c>
      <c r="D758">
        <f>-649.2352551159 -52.292290799683 -213.468290239285</f>
        <v>-914.99583615486802</v>
      </c>
      <c r="E758">
        <f>-657.427951398222 -54.6291665519187 -311.723331374652</f>
        <v>-1023.7804493247927</v>
      </c>
      <c r="F758">
        <f>-663.043921280689 -55.7205848318795 -400.636372049304</f>
        <v>-1119.4008781618725</v>
      </c>
      <c r="G758">
        <f>-666.516825539798 -55.7351793937351 -489.665368314265</f>
        <v>-1211.917373247798</v>
      </c>
      <c r="H758">
        <f>-669.115347318034 -54.6418484588397 -614.216023410914</f>
        <v>-1337.9732191877877</v>
      </c>
      <c r="I758">
        <f>-641.030010111646 -47.3344513678064 -692.080260737661</f>
        <v>-1380.4447222171134</v>
      </c>
      <c r="J758">
        <f>-673.117713645553 -27.8980976057303 -559.06110951515</f>
        <v>-1260.0769207664332</v>
      </c>
      <c r="K758" t="s">
        <v>8293</v>
      </c>
      <c r="L758" t="s">
        <v>8294</v>
      </c>
      <c r="M758" t="s">
        <v>8295</v>
      </c>
      <c r="N758">
        <f>-662.826070221191 -82.3477784094237 -559.753885019686</f>
        <v>-1304.9277336503005</v>
      </c>
      <c r="O758">
        <f>-640.525484545873 -214.98923677642 -531.353426179579</f>
        <v>-1386.868147501872</v>
      </c>
      <c r="P758">
        <f>-667.009446880239 -273.118605845885 -244.106551702992</f>
        <v>-1184.234604429116</v>
      </c>
      <c r="Q758">
        <f>-491.974793278871 -136.188647985835 -337.18673288094</f>
        <v>-965.35017414564595</v>
      </c>
      <c r="R758" t="s">
        <v>8296</v>
      </c>
      <c r="S758" t="s">
        <v>8297</v>
      </c>
      <c r="T758" t="s">
        <v>8298</v>
      </c>
      <c r="U758" t="s">
        <v>8299</v>
      </c>
      <c r="V758">
        <f>-612.240509957569 -138.694962617175 -98.151091513579</f>
        <v>-849.08656408832292</v>
      </c>
      <c r="W758" t="s">
        <v>8300</v>
      </c>
      <c r="X758" t="s">
        <v>8301</v>
      </c>
      <c r="Y758" t="s">
        <v>8302</v>
      </c>
    </row>
    <row r="759" spans="1:25" x14ac:dyDescent="0.3">
      <c r="A759">
        <v>37900</v>
      </c>
      <c r="B759" t="s">
        <v>8303</v>
      </c>
      <c r="C759">
        <f>-631.916268852481 -46.3298268255032 -98.9207488380115</f>
        <v>-777.16684451599576</v>
      </c>
      <c r="D759">
        <f>-648.539924016782 -52.5239177533881 -213.382589597025</f>
        <v>-914.44643136719515</v>
      </c>
      <c r="E759">
        <f>-656.903146101493 -54.9188965708674 -311.621945395179</f>
        <v>-1023.4439880675395</v>
      </c>
      <c r="F759">
        <f>-662.67821486499 -56.0724126683097 -400.524001018586</f>
        <v>-1119.2746285518856</v>
      </c>
      <c r="G759">
        <f>-666.315158154957 -56.1596278358109 -489.546469973091</f>
        <v>-1212.0212559638589</v>
      </c>
      <c r="H759">
        <f>-669.147910777323 -55.178827670615 -614.093035483734</f>
        <v>-1338.4197739316719</v>
      </c>
      <c r="I759">
        <f>-641.068066686718 -48.0945339041788 -691.979736089394</f>
        <v>-1381.1423366802908</v>
      </c>
      <c r="J759">
        <f>-673.000271556215 -28.3766377037705 -558.95566390466</f>
        <v>-1260.3325731646455</v>
      </c>
      <c r="K759" t="s">
        <v>8304</v>
      </c>
      <c r="L759" t="s">
        <v>8305</v>
      </c>
      <c r="M759" t="s">
        <v>8306</v>
      </c>
      <c r="N759">
        <f>-662.802439692228 -82.8443507885034 -559.61661952634</f>
        <v>-1305.2634100070713</v>
      </c>
      <c r="O759">
        <f>-640.652821496082 -215.501376600014 -531.167497704568</f>
        <v>-1387.321695800664</v>
      </c>
      <c r="P759">
        <f>-666.888864359805 -273.328737226775 -243.836836834771</f>
        <v>-1184.0544384213511</v>
      </c>
      <c r="Q759">
        <f>-491.882384776613 -136.517534460208 -337.144423402618</f>
        <v>-965.54434263943904</v>
      </c>
      <c r="R759" t="s">
        <v>8307</v>
      </c>
      <c r="S759" t="s">
        <v>8308</v>
      </c>
      <c r="T759" t="s">
        <v>8309</v>
      </c>
      <c r="U759" t="s">
        <v>8310</v>
      </c>
      <c r="V759">
        <f>-611.359648965494 -138.896612402204 -98.1225165580679</f>
        <v>-848.37877792576592</v>
      </c>
      <c r="W759" t="s">
        <v>8311</v>
      </c>
      <c r="X759" t="s">
        <v>8312</v>
      </c>
      <c r="Y759" t="s">
        <v>8313</v>
      </c>
    </row>
    <row r="760" spans="1:25" x14ac:dyDescent="0.3">
      <c r="A760">
        <v>37950</v>
      </c>
      <c r="B760" t="s">
        <v>8314</v>
      </c>
      <c r="C760">
        <f>-631.461687050966 -46.4227949605169 -98.9052843800738</f>
        <v>-776.78976639155667</v>
      </c>
      <c r="D760">
        <f>-648.253735157676 -52.6572859305396 -213.340339289056</f>
        <v>-914.25136037727168</v>
      </c>
      <c r="E760">
        <f>-656.736914907966 -55.0904159152906 -311.568463056804</f>
        <v>-1023.3957938800606</v>
      </c>
      <c r="F760">
        <f>-662.610662768721 -56.279776714463 -400.463507554105</f>
        <v>-1119.3539470372889</v>
      </c>
      <c r="G760">
        <f>-666.336353806376 -56.4044494465228 -489.482327563917</f>
        <v>-1212.2231308168157</v>
      </c>
      <c r="H760">
        <f>-669.282783609426 -55.4780166162601 -614.026526033186</f>
        <v>-1338.7873262588721</v>
      </c>
      <c r="I760">
        <f>-641.184150531987 -48.4939155873288 -691.91571358734</f>
        <v>-1381.5937797066558</v>
      </c>
      <c r="J760">
        <f>-673.062578329372 -28.6474826210001 -558.898124546897</f>
        <v>-1260.608185497269</v>
      </c>
      <c r="K760" t="s">
        <v>8315</v>
      </c>
      <c r="L760" t="s">
        <v>8316</v>
      </c>
      <c r="M760" t="s">
        <v>8317</v>
      </c>
      <c r="N760">
        <f>-662.909765891921 -83.1238001204365 -559.543612735635</f>
        <v>-1305.5771787479925</v>
      </c>
      <c r="O760">
        <f>-640.825944163526 -215.786377960591 -531.057967741523</f>
        <v>-1387.6702898656399</v>
      </c>
      <c r="P760">
        <f>-667.054781509117 -273.383401513755 -243.680521607226</f>
        <v>-1184.1187046300979</v>
      </c>
      <c r="Q760">
        <f>-491.952133365383 -136.755803341923 -337.076667320303</f>
        <v>-965.78460402760902</v>
      </c>
      <c r="R760" t="s">
        <v>8318</v>
      </c>
      <c r="S760" t="s">
        <v>8319</v>
      </c>
      <c r="T760" t="s">
        <v>8320</v>
      </c>
      <c r="U760" t="s">
        <v>8321</v>
      </c>
      <c r="V760">
        <f>-610.897778045367 -139.010144387444 -98.1107756787032</f>
        <v>-848.01869811151425</v>
      </c>
      <c r="W760" t="s">
        <v>8322</v>
      </c>
      <c r="X760" t="s">
        <v>8323</v>
      </c>
      <c r="Y760" t="s">
        <v>8324</v>
      </c>
    </row>
    <row r="761" spans="1:25" x14ac:dyDescent="0.3">
      <c r="A761">
        <v>38000</v>
      </c>
      <c r="B761" t="s">
        <v>8325</v>
      </c>
      <c r="C761">
        <f>-630.518131789407 -46.3834839054661 -98.9397640252353</f>
        <v>-775.84137972010831</v>
      </c>
      <c r="D761">
        <f>-647.750906914167 -52.7019168392453 -213.304648460764</f>
        <v>-913.75747221417635</v>
      </c>
      <c r="E761">
        <f>-656.519535584622 -55.2047728815954 -311.505945304821</f>
        <v>-1023.2302537710384</v>
      </c>
      <c r="F761">
        <f>-662.614463961907 -56.4562987214277 -400.3852680192</f>
        <v>-1119.4560307025347</v>
      </c>
      <c r="G761">
        <f>-666.524153388002 -56.6428035101644 -489.396149212135</f>
        <v>-1212.5631061103013</v>
      </c>
      <c r="H761">
        <f>-669.688896759916 -55.8031683114216 -613.935609769774</f>
        <v>-1339.4276748411116</v>
      </c>
      <c r="I761">
        <f>-641.558026887958 -48.9594038035984 -691.825552362219</f>
        <v>-1382.3429830537755</v>
      </c>
      <c r="J761">
        <f>-673.339383512155 -28.9281051833868 -558.820144548436</f>
        <v>-1261.087633243978</v>
      </c>
      <c r="K761" t="s">
        <v>8326</v>
      </c>
      <c r="L761" t="s">
        <v>8327</v>
      </c>
      <c r="M761" t="s">
        <v>8328</v>
      </c>
      <c r="N761">
        <f>-663.253131420614 -83.4171041847562 -559.443692747091</f>
        <v>-1306.1139283524612</v>
      </c>
      <c r="O761">
        <f>-641.274257514946 -216.092465611291 -530.929754489652</f>
        <v>-1388.2964776158892</v>
      </c>
      <c r="P761">
        <f>-667.393504800775 -273.331957088382 -243.470908539614</f>
        <v>-1184.1963704287709</v>
      </c>
      <c r="Q761">
        <f>-492.224839854009 -136.960648087112 -337.117607813254</f>
        <v>-966.30309575437491</v>
      </c>
      <c r="R761" t="s">
        <v>8329</v>
      </c>
      <c r="S761" t="s">
        <v>8330</v>
      </c>
      <c r="T761" t="s">
        <v>8331</v>
      </c>
      <c r="U761" t="s">
        <v>8332</v>
      </c>
      <c r="V761">
        <f>-609.889925682652 -139.088764482616 -98.1199424702336</f>
        <v>-847.09863263550164</v>
      </c>
      <c r="W761" t="s">
        <v>8333</v>
      </c>
      <c r="X761" t="s">
        <v>8334</v>
      </c>
      <c r="Y761" t="s">
        <v>8335</v>
      </c>
    </row>
    <row r="762" spans="1:25" x14ac:dyDescent="0.3">
      <c r="A762">
        <v>38050</v>
      </c>
      <c r="B762" t="s">
        <v>8336</v>
      </c>
      <c r="C762">
        <f>-630.023999912787 -46.4105101975542 -98.9536824612404</f>
        <v>-775.38819257158161</v>
      </c>
      <c r="D762">
        <f>-647.514352965413 -52.7668304739251 -213.277363194976</f>
        <v>-913.5585466343141</v>
      </c>
      <c r="E762">
        <f>-656.449794859915 -55.3036736601491 -311.462837883267</f>
        <v>-1023.2163064033311</v>
      </c>
      <c r="F762">
        <f>-662.673948499252 -56.5863806878284 -400.332607604406</f>
        <v>-1119.5929367914864</v>
      </c>
      <c r="G762">
        <f>-666.691172912394 -56.804953906946 -489.338581853626</f>
        <v>-1212.8347086729659</v>
      </c>
      <c r="H762">
        <f>-669.983461892013 -56.0113537295658 -613.875149820513</f>
        <v>-1339.8699654420918</v>
      </c>
      <c r="I762">
        <f>-641.855058885216 -49.2135838047454 -691.769870262076</f>
        <v>-1382.8385129520375</v>
      </c>
      <c r="J762">
        <f>-673.56005088742 -29.1127966111376 -558.766261382632</f>
        <v>-1261.4391088811894</v>
      </c>
      <c r="K762" t="s">
        <v>8337</v>
      </c>
      <c r="L762" t="s">
        <v>8338</v>
      </c>
      <c r="M762" t="s">
        <v>8339</v>
      </c>
      <c r="N762">
        <f>-663.509297815363 -83.6084409707745 -559.379243342746</f>
        <v>-1306.4969821288835</v>
      </c>
      <c r="O762">
        <f>-641.598489983815 -216.289916297566 -530.855324383417</f>
        <v>-1388.743730664798</v>
      </c>
      <c r="P762">
        <f>-667.496166207451 -273.478311266451 -243.366247902182</f>
        <v>-1184.340725376084</v>
      </c>
      <c r="Q762">
        <f>-492.363334069367 -137.164830913977 -337.163865080487</f>
        <v>-966.692030063831</v>
      </c>
      <c r="R762" t="s">
        <v>8340</v>
      </c>
      <c r="S762" t="s">
        <v>8341</v>
      </c>
      <c r="T762" t="s">
        <v>8342</v>
      </c>
      <c r="U762" t="s">
        <v>8343</v>
      </c>
      <c r="V762">
        <f>-609.414932896707 -139.155559238655 -98.1243406182272</f>
        <v>-846.69483275358914</v>
      </c>
      <c r="W762" t="s">
        <v>8344</v>
      </c>
      <c r="X762" t="s">
        <v>8345</v>
      </c>
      <c r="Y762" t="s">
        <v>8346</v>
      </c>
    </row>
    <row r="763" spans="1:25" x14ac:dyDescent="0.3">
      <c r="A763">
        <v>38100</v>
      </c>
      <c r="B763" t="s">
        <v>8347</v>
      </c>
      <c r="C763">
        <f>-628.929049861225 -46.5082302064998 -98.9486875721472</f>
        <v>-774.38596763987198</v>
      </c>
      <c r="D763">
        <f>-646.958377605802 -52.9232774663392 -213.185329535145</f>
        <v>-913.06698460728614</v>
      </c>
      <c r="E763">
        <f>-656.237450281772 -55.5017371177966 -311.337743252083</f>
        <v>-1023.0769306516515</v>
      </c>
      <c r="F763">
        <f>-662.724973762383 -56.8172799534805 -400.188344996493</f>
        <v>-1119.7305987123564</v>
      </c>
      <c r="G763">
        <f>-666.958765924861 -57.0647783190809 -489.184090806375</f>
        <v>-1213.2076350503171</v>
      </c>
      <c r="H763">
        <f>-670.504158365083 -56.3069583175061 -613.713873585547</f>
        <v>-1340.5249902681362</v>
      </c>
      <c r="I763">
        <f>-642.395589766857 -49.5649387414587 -691.620835170234</f>
        <v>-1383.5813636785497</v>
      </c>
      <c r="J763">
        <f>-673.945956997308 -29.3883526043476 -558.606274690521</f>
        <v>-1261.9405842921765</v>
      </c>
      <c r="K763" t="s">
        <v>8348</v>
      </c>
      <c r="L763" t="s">
        <v>8349</v>
      </c>
      <c r="M763" t="s">
        <v>8350</v>
      </c>
      <c r="N763">
        <f>-663.941975692101 -83.8924953734416 -559.222790835195</f>
        <v>-1307.0572619007376</v>
      </c>
      <c r="O763">
        <f>-642.099509837251 -216.582351816273 -530.679662598593</f>
        <v>-1389.3615242521171</v>
      </c>
      <c r="P763">
        <f>-667.585222372235 -273.609446889116 -243.121803670214</f>
        <v>-1184.3164729315649</v>
      </c>
      <c r="Q763">
        <f>-492.509035029518 -137.444253756507 -337.240167396148</f>
        <v>-967.19345618217312</v>
      </c>
      <c r="R763" t="s">
        <v>8351</v>
      </c>
      <c r="S763" t="s">
        <v>8352</v>
      </c>
      <c r="T763" t="s">
        <v>8353</v>
      </c>
      <c r="U763" t="s">
        <v>8354</v>
      </c>
      <c r="V763">
        <f>-608.350268921956 -139.343791810686 -98.1351381078803</f>
        <v>-845.82919884052217</v>
      </c>
      <c r="W763" t="s">
        <v>8355</v>
      </c>
      <c r="X763" t="s">
        <v>8356</v>
      </c>
      <c r="Y763" t="s">
        <v>8357</v>
      </c>
    </row>
    <row r="764" spans="1:25" x14ac:dyDescent="0.3">
      <c r="A764">
        <v>38150</v>
      </c>
      <c r="B764" t="s">
        <v>8358</v>
      </c>
      <c r="C764">
        <f>-628.331603203834 -46.5834028229522 -98.9453084675456</f>
        <v>-773.86031449433176</v>
      </c>
      <c r="D764">
        <f>-646.654520726552 -53.0359624388002 -213.133083028818</f>
        <v>-912.82356619417021</v>
      </c>
      <c r="E764">
        <f>-656.1082991535 -55.6291809911418 -311.268524216631</f>
        <v>-1023.0060043612727</v>
      </c>
      <c r="F764">
        <f>-662.723094275275 -56.9507844582937 -400.109643574587</f>
        <v>-1119.7835223081556</v>
      </c>
      <c r="G764">
        <f>-667.053267378507 -57.1967350848417 -489.100715386407</f>
        <v>-1213.3507178497557</v>
      </c>
      <c r="H764">
        <f>-670.701166441695 -56.4289909360198 -613.627525143827</f>
        <v>-1340.7576825215419</v>
      </c>
      <c r="I764">
        <f>-642.604305143154 -49.7041149521219 -691.540134734939</f>
        <v>-1383.8485548302149</v>
      </c>
      <c r="J764">
        <f>-674.085120106209 -29.512324864434 -558.515302361881</f>
        <v>-1262.1127473325241</v>
      </c>
      <c r="K764" t="s">
        <v>8359</v>
      </c>
      <c r="L764" t="s">
        <v>8360</v>
      </c>
      <c r="M764" t="s">
        <v>8361</v>
      </c>
      <c r="N764">
        <f>-664.106746182578 -84.0211136599535 -559.14376150424</f>
        <v>-1307.2716213467716</v>
      </c>
      <c r="O764">
        <f>-642.316232776993 -216.718067865711 -530.608174778587</f>
        <v>-1389.642475421291</v>
      </c>
      <c r="P764">
        <f>-667.547612227092 -273.649943893756 -243.008989487491</f>
        <v>-1184.206545608339</v>
      </c>
      <c r="Q764">
        <f>-492.540975334673 -137.523441990834 -337.31213739471</f>
        <v>-967.37655472021709</v>
      </c>
      <c r="R764" t="s">
        <v>8362</v>
      </c>
      <c r="S764" t="s">
        <v>8363</v>
      </c>
      <c r="T764" t="s">
        <v>8364</v>
      </c>
      <c r="U764" t="s">
        <v>8365</v>
      </c>
      <c r="V764">
        <f>-607.75681988139 -139.522692212566 -98.1411830271935</f>
        <v>-845.42069512114949</v>
      </c>
      <c r="W764" t="s">
        <v>8366</v>
      </c>
      <c r="X764" t="s">
        <v>8367</v>
      </c>
      <c r="Y764" t="s">
        <v>8368</v>
      </c>
    </row>
    <row r="765" spans="1:25" x14ac:dyDescent="0.3">
      <c r="A765">
        <v>38200</v>
      </c>
      <c r="B765" t="s">
        <v>8369</v>
      </c>
      <c r="C765">
        <f>-627.718936660451 -46.622425938522 -98.9744998681297</f>
        <v>-773.31586246710276</v>
      </c>
      <c r="D765">
        <f>-646.291968568917 -53.1285910641468 -213.118931818003</f>
        <v>-912.53949145106685</v>
      </c>
      <c r="E765">
        <f>-655.900210748074 -55.7326488106482 -311.238936557961</f>
        <v>-1022.8717961166832</v>
      </c>
      <c r="F765">
        <f>-662.630612265441 -57.0493785520448 -400.071492436179</f>
        <v>-1119.7514832536649</v>
      </c>
      <c r="G765">
        <f>-667.052132197187 -57.2764165756377 -489.058123525475</f>
        <v>-1213.3866722982998</v>
      </c>
      <c r="H765">
        <f>-670.802219544325 -56.4671177157858 -613.5817661073</f>
        <v>-1340.8511033674108</v>
      </c>
      <c r="I765">
        <f>-642.732361270987 -49.7548306620265 -691.505098575765</f>
        <v>-1383.9922905087785</v>
      </c>
      <c r="J765">
        <f>-674.130392490648 -29.5670795437416 -558.458013134219</f>
        <v>-1262.1554851686085</v>
      </c>
      <c r="K765" t="s">
        <v>8370</v>
      </c>
      <c r="L765" t="s">
        <v>8371</v>
      </c>
      <c r="M765" t="s">
        <v>8372</v>
      </c>
      <c r="N765">
        <f>-664.173619608527 -84.0794675696285 -559.112142928963</f>
        <v>-1307.3652301071184</v>
      </c>
      <c r="O765">
        <f>-642.43254447886 -216.791752947081 -530.591559801884</f>
        <v>-1389.8158572278251</v>
      </c>
      <c r="P765">
        <f>-667.468321768203 -273.622534997761 -242.955248421979</f>
        <v>-1184.0461051879431</v>
      </c>
      <c r="Q765">
        <f>-492.46762923271 -137.605434728701 -337.427426773924</f>
        <v>-967.50049073533501</v>
      </c>
      <c r="R765" t="s">
        <v>8373</v>
      </c>
      <c r="S765" t="s">
        <v>8374</v>
      </c>
      <c r="T765" t="s">
        <v>8375</v>
      </c>
      <c r="U765" t="s">
        <v>8376</v>
      </c>
      <c r="V765">
        <f>-607.135070725481 -139.61909596334 -98.1384402661968</f>
        <v>-844.89260695501775</v>
      </c>
      <c r="W765" t="s">
        <v>8377</v>
      </c>
      <c r="X765" t="s">
        <v>8378</v>
      </c>
      <c r="Y765" t="s">
        <v>8379</v>
      </c>
    </row>
    <row r="766" spans="1:25" x14ac:dyDescent="0.3">
      <c r="A766">
        <v>38250</v>
      </c>
      <c r="B766" t="s">
        <v>8380</v>
      </c>
      <c r="C766">
        <f>-626.594170420861 -46.890166251492 -99.0502736253211</f>
        <v>-772.53461029767413</v>
      </c>
      <c r="D766">
        <f>-645.413242369269 -53.4509882216868 -213.151296394398</f>
        <v>-912.01552698535374</v>
      </c>
      <c r="E766">
        <f>-655.23165501845 -56.0696498338325 -311.250160816952</f>
        <v>-1022.5514656692346</v>
      </c>
      <c r="F766">
        <f>-662.15176266147 -57.3863824853611 -400.06802386524</f>
        <v>-1119.6061690120709</v>
      </c>
      <c r="G766">
        <f>-666.762423325488 -57.6002528523885 -489.045190649813</f>
        <v>-1213.4078668276895</v>
      </c>
      <c r="H766">
        <f>-670.776325102707 -56.7589521910127 -613.560273954785</f>
        <v>-1341.0955512485048</v>
      </c>
      <c r="I766">
        <f>-642.774281427336 -50.1076965505392 -691.513224539107</f>
        <v>-1384.3952025169822</v>
      </c>
      <c r="J766">
        <f>-673.963135843247 -29.8685513190255 -558.423508991862</f>
        <v>-1262.2551961541344</v>
      </c>
      <c r="K766" t="s">
        <v>8381</v>
      </c>
      <c r="L766" t="s">
        <v>8382</v>
      </c>
      <c r="M766" t="s">
        <v>8383</v>
      </c>
      <c r="N766">
        <f>-664.056926079138 -84.3898145815175 -559.111210039033</f>
        <v>-1307.5579506996885</v>
      </c>
      <c r="O766">
        <f>-642.38748921888 -217.125072430226 -530.65170799292</f>
        <v>-1390.1642696420258</v>
      </c>
      <c r="P766">
        <f>-666.950547549605 -273.707412729847 -242.92569511191</f>
        <v>-1183.5836553913621</v>
      </c>
      <c r="Q766">
        <f>-491.934958684712 -137.976070143782 -337.780442812891</f>
        <v>-967.69147164138496</v>
      </c>
      <c r="R766" t="s">
        <v>8384</v>
      </c>
      <c r="S766" t="s">
        <v>8385</v>
      </c>
      <c r="T766" t="s">
        <v>8386</v>
      </c>
      <c r="U766" t="s">
        <v>8387</v>
      </c>
      <c r="V766">
        <f>-606.018217321588 -139.992778522676 -98.1516657490886</f>
        <v>-844.1626615933526</v>
      </c>
      <c r="W766" t="s">
        <v>8388</v>
      </c>
      <c r="X766" t="s">
        <v>8389</v>
      </c>
      <c r="Y766" t="s">
        <v>8390</v>
      </c>
    </row>
    <row r="767" spans="1:25" x14ac:dyDescent="0.3">
      <c r="A767">
        <v>38300</v>
      </c>
      <c r="B767" t="s">
        <v>8391</v>
      </c>
      <c r="C767">
        <f>-625.820290931904 -46.994914816236 -99.0382866738569</f>
        <v>-771.85349242199686</v>
      </c>
      <c r="D767">
        <f>-644.615897237715 -53.530232187773 -213.144600720718</f>
        <v>-911.29073014620599</v>
      </c>
      <c r="E767">
        <f>-654.517114872178 -56.1234070750087 -311.235940129147</f>
        <v>-1021.8764620763337</v>
      </c>
      <c r="F767">
        <f>-661.553693940817 -57.4142983001116 -400.0449882523</f>
        <v>-1119.0129804932285</v>
      </c>
      <c r="G767">
        <f>-666.322812562295 -57.5993601237192 -489.013900330629</f>
        <v>-1212.9360730166431</v>
      </c>
      <c r="H767">
        <f>-670.601931762117 -56.7145356810468 -613.519801343554</f>
        <v>-1340.8362687867179</v>
      </c>
      <c r="I767">
        <f>-642.719175779937 -50.086972665115 -691.517610881384</f>
        <v>-1384.3237593264362</v>
      </c>
      <c r="J767">
        <f>-673.632093437726 -29.8362091763979 -558.368177615338</f>
        <v>-1261.8364802294618</v>
      </c>
      <c r="K767" t="s">
        <v>8392</v>
      </c>
      <c r="L767" t="s">
        <v>8393</v>
      </c>
      <c r="M767" t="s">
        <v>8394</v>
      </c>
      <c r="N767">
        <f>-663.805641546126 -84.3714632413657 -559.09355868541</f>
        <v>-1307.2706634729018</v>
      </c>
      <c r="O767">
        <f>-642.32053631433 -217.145024567566 -530.640242671377</f>
        <v>-1390.1058035532728</v>
      </c>
      <c r="P767">
        <f>-666.171876484231 -273.527902614967 -242.815067178689</f>
        <v>-1182.514846277887</v>
      </c>
      <c r="Q767">
        <f>-491.15533876685 -138.177062229191 -338.210252170518</f>
        <v>-967.54265316655892</v>
      </c>
      <c r="R767" t="s">
        <v>8395</v>
      </c>
      <c r="S767" t="s">
        <v>8396</v>
      </c>
      <c r="T767" t="s">
        <v>8397</v>
      </c>
      <c r="U767" t="s">
        <v>8398</v>
      </c>
      <c r="V767">
        <f>-605.41804539456 -140.064180989859 -98.1493291779426</f>
        <v>-843.63155556236154</v>
      </c>
      <c r="W767" t="s">
        <v>8399</v>
      </c>
      <c r="X767" t="s">
        <v>8400</v>
      </c>
      <c r="Y767" t="s">
        <v>8401</v>
      </c>
    </row>
    <row r="768" spans="1:25" x14ac:dyDescent="0.3">
      <c r="A768">
        <v>38350</v>
      </c>
      <c r="B768" t="s">
        <v>8402</v>
      </c>
      <c r="C768">
        <f>-625.525245682103 -47.1190643646401 -99.0065897322454</f>
        <v>-771.65089977898845</v>
      </c>
      <c r="D768">
        <f>-644.265262168238 -53.6013750643982 -213.125059459688</f>
        <v>-910.99169669232424</v>
      </c>
      <c r="E768">
        <f>-654.139518550076 -56.1425740159485 -311.220320344663</f>
        <v>-1021.5024129106876</v>
      </c>
      <c r="F768">
        <f>-661.16039262132 -57.3823345453831 -400.031531995972</f>
        <v>-1118.5742591626752</v>
      </c>
      <c r="G768">
        <f>-665.922524627543 -57.5123331229038 -489.000810607737</f>
        <v>-1212.4356683581836</v>
      </c>
      <c r="H768">
        <f>-670.201437451197 -56.5459155795766 -613.506144895288</f>
        <v>-1340.2534979260615</v>
      </c>
      <c r="I768">
        <f>-642.385299154515 -49.8998358086735 -691.526148369181</f>
        <v>-1383.8112833323694</v>
      </c>
      <c r="J768">
        <f>-673.217801294578 -29.7012482524481 -558.337442783955</f>
        <v>-1261.256492330981</v>
      </c>
      <c r="K768" t="s">
        <v>8403</v>
      </c>
      <c r="L768" t="s">
        <v>8404</v>
      </c>
      <c r="M768" t="s">
        <v>8405</v>
      </c>
      <c r="N768">
        <f>-663.419206020182 -84.2410664909642 -559.097538132774</f>
        <v>-1306.75781064392</v>
      </c>
      <c r="O768">
        <f>-642.067380572706 -217.034453313975 -530.652398754809</f>
        <v>-1389.75423264149</v>
      </c>
      <c r="P768">
        <f>-665.842554481399 -273.339622865552 -242.805757149173</f>
        <v>-1181.9879344961239</v>
      </c>
      <c r="Q768">
        <f>-490.734400475651 -138.201512500969 -338.334204774899</f>
        <v>-967.27011775151891</v>
      </c>
      <c r="R768" t="s">
        <v>8406</v>
      </c>
      <c r="S768" t="s">
        <v>8407</v>
      </c>
      <c r="T768" t="s">
        <v>8408</v>
      </c>
      <c r="U768" t="s">
        <v>8409</v>
      </c>
      <c r="V768">
        <f>-605.251328723064 -140.187800289105 -98.1407740040958</f>
        <v>-843.57990301626478</v>
      </c>
      <c r="W768" t="s">
        <v>8410</v>
      </c>
      <c r="X768" t="s">
        <v>8411</v>
      </c>
      <c r="Y768" t="s">
        <v>8412</v>
      </c>
    </row>
    <row r="769" spans="1:25" x14ac:dyDescent="0.3">
      <c r="A769">
        <v>38400</v>
      </c>
      <c r="B769" t="s">
        <v>8413</v>
      </c>
      <c r="C769">
        <f>-625.360138989363 -47.1976811250307 -98.9798333805123</f>
        <v>-771.53765349490607</v>
      </c>
      <c r="D769">
        <f>-644.025638359363 -53.6355825886608 -213.112926261948</f>
        <v>-910.77414720997183</v>
      </c>
      <c r="E769">
        <f>-653.824366711973 -56.1248623164181 -311.21722535505</f>
        <v>-1021.1664543834411</v>
      </c>
      <c r="F769">
        <f>-660.772577806494 -57.3109936824778 -400.034728860349</f>
        <v>-1118.1183003493209</v>
      </c>
      <c r="G769">
        <f>-665.457870885485 -57.3803682418647 -489.008294561993</f>
        <v>-1211.8465336893428</v>
      </c>
      <c r="H769">
        <f>-669.624949724202 -56.3214600700054 -613.516617796507</f>
        <v>-1339.4630275907143</v>
      </c>
      <c r="I769">
        <f>-641.858686910424 -49.6604516205836 -691.553081388561</f>
        <v>-1383.0722199195686</v>
      </c>
      <c r="J769">
        <f>-672.68231004535 -29.5163982634133 -558.331098931668</f>
        <v>-1260.5298072404312</v>
      </c>
      <c r="K769" t="s">
        <v>8414</v>
      </c>
      <c r="L769" t="s">
        <v>8415</v>
      </c>
      <c r="M769" t="s">
        <v>8416</v>
      </c>
      <c r="N769">
        <f>-662.90009833907 -84.0584593380905 -559.122211965581</f>
        <v>-1306.0807696427414</v>
      </c>
      <c r="O769">
        <f>-641.642270988482 -216.857342744223 -530.686116355534</f>
        <v>-1389.1857300882389</v>
      </c>
      <c r="P769">
        <f>-665.586364329472 -273.252177101964 -242.870970065791</f>
        <v>-1181.7095114972269</v>
      </c>
      <c r="Q769">
        <f>-490.310842322539 -138.319194512919 -338.382542054678</f>
        <v>-967.01257889013596</v>
      </c>
      <c r="R769" t="s">
        <v>8417</v>
      </c>
      <c r="S769" t="s">
        <v>8418</v>
      </c>
      <c r="T769" t="s">
        <v>8419</v>
      </c>
      <c r="U769" t="s">
        <v>8420</v>
      </c>
      <c r="V769">
        <f>-605.218041140712 -140.257213272116 -98.129918322712</f>
        <v>-843.60517273554001</v>
      </c>
      <c r="W769" t="s">
        <v>8421</v>
      </c>
      <c r="X769" t="s">
        <v>8422</v>
      </c>
      <c r="Y769" t="s">
        <v>8423</v>
      </c>
    </row>
    <row r="770" spans="1:25" x14ac:dyDescent="0.3">
      <c r="A770">
        <v>38450</v>
      </c>
      <c r="B770" t="s">
        <v>8424</v>
      </c>
      <c r="C770">
        <f>-625.267008406738 -47.1752909632656 -98.9576706909706</f>
        <v>-771.39997006097428</v>
      </c>
      <c r="D770">
        <f>-643.883934366743 -53.5586222882453 -213.101795891222</f>
        <v>-910.54435254621023</v>
      </c>
      <c r="E770">
        <f>-653.485405547273 -55.9748655179374 -311.227355280491</f>
        <v>-1020.6876263457013</v>
      </c>
      <c r="F770">
        <f>-660.193255712088 -57.0827959037712 -400.064330238078</f>
        <v>-1117.3403818539373</v>
      </c>
      <c r="G770">
        <f>-664.576051284629 -57.0614713415159 -489.053368103858</f>
        <v>-1210.690890730003</v>
      </c>
      <c r="H770">
        <f>-668.255701632673 -55.8625174506401 -613.575788703215</f>
        <v>-1337.6940077865281</v>
      </c>
      <c r="I770">
        <f>-640.469298876433 -49.1669474880141 -691.602192547512</f>
        <v>-1381.2384389119591</v>
      </c>
      <c r="J770">
        <f>-671.531055695575 -29.1198688156619 -558.372331909822</f>
        <v>-1259.0232564210589</v>
      </c>
      <c r="K770" t="s">
        <v>8425</v>
      </c>
      <c r="L770" t="s">
        <v>8426</v>
      </c>
      <c r="M770" t="s">
        <v>8427</v>
      </c>
      <c r="N770">
        <f>-661.741928334881 -83.6604492940041 -559.186937158671</f>
        <v>-1304.5893147875561</v>
      </c>
      <c r="O770">
        <f>-640.620268404129 -216.48576214622 -530.746904494153</f>
        <v>-1387.8529350445019</v>
      </c>
      <c r="P770">
        <f>-665.202518897469 -273.147745835712 -243.038192249379</f>
        <v>-1181.38845698256</v>
      </c>
      <c r="Q770">
        <f>-489.702661058399 -138.369692309244 -338.356376175256</f>
        <v>-966.42872954289896</v>
      </c>
      <c r="R770" t="s">
        <v>8428</v>
      </c>
      <c r="S770" t="s">
        <v>8429</v>
      </c>
      <c r="T770" t="s">
        <v>8430</v>
      </c>
      <c r="U770" t="s">
        <v>8431</v>
      </c>
      <c r="V770">
        <f>-605.285042094134 -140.236446221181 -98.1308331888984</f>
        <v>-843.65232150421343</v>
      </c>
      <c r="W770" t="s">
        <v>8432</v>
      </c>
      <c r="X770" t="s">
        <v>8433</v>
      </c>
      <c r="Y770" t="s">
        <v>8434</v>
      </c>
    </row>
    <row r="771" spans="1:25" x14ac:dyDescent="0.3">
      <c r="A771">
        <v>38500</v>
      </c>
      <c r="B771" t="s">
        <v>8435</v>
      </c>
      <c r="C771">
        <f>-625.293855754064 -47.2713656910586 -98.9467508595052</f>
        <v>-771.51197230462776</v>
      </c>
      <c r="D771">
        <f>-643.917286272333 -53.6306457776917 -213.091174827595</f>
        <v>-910.63910687761972</v>
      </c>
      <c r="E771">
        <f>-653.348323452833 -56.0025124792593 -311.234402693227</f>
        <v>-1020.5852386253193</v>
      </c>
      <c r="F771">
        <f>-659.831435769333 -57.0604735309091 -400.088636547843</f>
        <v>-1116.9805458480851</v>
      </c>
      <c r="G771">
        <f>-663.918885781149 -56.9795442071402 -489.091648864449</f>
        <v>-1209.9900788527382</v>
      </c>
      <c r="H771">
        <f>-667.111405856675 -55.6866664546652 -613.626663928355</f>
        <v>-1336.4247362396952</v>
      </c>
      <c r="I771">
        <f>-639.155924826644 -48.9452471769259 -691.58861909175</f>
        <v>-1379.6897910953198</v>
      </c>
      <c r="J771">
        <f>-670.616061301379 -28.9879242685486 -558.415955640205</f>
        <v>-1258.0199412101324</v>
      </c>
      <c r="K771" t="s">
        <v>8436</v>
      </c>
      <c r="L771" t="s">
        <v>8437</v>
      </c>
      <c r="M771" t="s">
        <v>8438</v>
      </c>
      <c r="N771">
        <f>-660.796948996136 -83.5231000019959 -559.233817658817</f>
        <v>-1303.5538666569489</v>
      </c>
      <c r="O771">
        <f>-639.740607314352 -216.355409900543 -530.778014053058</f>
        <v>-1386.8740312679529</v>
      </c>
      <c r="P771">
        <f>-664.77087932063 -273.063424339474 -243.117034765514</f>
        <v>-1180.9513384256181</v>
      </c>
      <c r="Q771">
        <f>-489.335553224495 -138.165079815809 -338.383606824994</f>
        <v>-965.88423986529801</v>
      </c>
      <c r="R771" t="s">
        <v>8439</v>
      </c>
      <c r="S771" t="s">
        <v>8440</v>
      </c>
      <c r="T771" t="s">
        <v>8441</v>
      </c>
      <c r="U771" t="s">
        <v>8442</v>
      </c>
      <c r="V771">
        <f>-605.379142850869 -140.333885436676 -98.1439822673125</f>
        <v>-843.85701055485754</v>
      </c>
      <c r="W771" t="s">
        <v>8443</v>
      </c>
      <c r="X771" t="s">
        <v>8444</v>
      </c>
      <c r="Y771" t="s">
        <v>8445</v>
      </c>
    </row>
    <row r="772" spans="1:25" x14ac:dyDescent="0.3">
      <c r="A772">
        <v>38550</v>
      </c>
      <c r="B772" t="s">
        <v>8446</v>
      </c>
      <c r="C772">
        <f>-625.283354739945 -47.2906000827766 -98.9413333566075</f>
        <v>-771.5152881793291</v>
      </c>
      <c r="D772">
        <f>-643.936959361379 -53.6663316270125 -213.079963919185</f>
        <v>-910.68325490757638</v>
      </c>
      <c r="E772">
        <f>-653.320237257043 -56.0368813784567 -311.227702928962</f>
        <v>-1020.5848215644617</v>
      </c>
      <c r="F772">
        <f>-659.730231197929 -57.0881005197135 -400.087466472482</f>
        <v>-1116.9057981901246</v>
      </c>
      <c r="G772">
        <f>-663.714370022139 -56.9950435356438 -489.094995706886</f>
        <v>-1209.8044092646687</v>
      </c>
      <c r="H772">
        <f>-666.730857745435 -55.6796599295079 -613.634145390864</f>
        <v>-1336.0446630658068</v>
      </c>
      <c r="I772">
        <f>-638.626838859487 -48.9203356950857 -691.541126079909</f>
        <v>-1379.0883006344816</v>
      </c>
      <c r="J772">
        <f>-670.325055345055 -28.9931708998727 -558.423430223664</f>
        <v>-1257.7416564685918</v>
      </c>
      <c r="K772" t="s">
        <v>8447</v>
      </c>
      <c r="L772" t="s">
        <v>8448</v>
      </c>
      <c r="M772" t="s">
        <v>8449</v>
      </c>
      <c r="N772">
        <f>-660.481854852443 -83.523946228113 -559.237842845148</f>
        <v>-1303.243643925704</v>
      </c>
      <c r="O772">
        <f>-639.40501002398 -216.348700014012 -530.767423124371</f>
        <v>-1386.5211331623632</v>
      </c>
      <c r="P772">
        <f>-664.536559354324 -273.133768532691 -243.13022519285</f>
        <v>-1180.800553079865</v>
      </c>
      <c r="Q772">
        <f>-489.204810592155 -138.048630709428 -338.322963170903</f>
        <v>-965.57640447248605</v>
      </c>
      <c r="R772" t="s">
        <v>8450</v>
      </c>
      <c r="S772" t="s">
        <v>8451</v>
      </c>
      <c r="T772" t="s">
        <v>8452</v>
      </c>
      <c r="U772" t="s">
        <v>8453</v>
      </c>
      <c r="V772">
        <f>-605.312178054208 -140.296223897062 -98.1435150592991</f>
        <v>-843.75191701056906</v>
      </c>
      <c r="W772" t="s">
        <v>8454</v>
      </c>
      <c r="X772" t="s">
        <v>8455</v>
      </c>
      <c r="Y772" t="s">
        <v>8456</v>
      </c>
    </row>
    <row r="773" spans="1:25" x14ac:dyDescent="0.3">
      <c r="A773">
        <v>38600</v>
      </c>
      <c r="B773" t="s">
        <v>8457</v>
      </c>
      <c r="C773">
        <f>-625.31583441647 -47.3895472907924 -98.9663733076401</f>
        <v>-771.67175501490249</v>
      </c>
      <c r="D773">
        <f>-644.01465402864 -53.825899785406 -213.094124460967</f>
        <v>-910.93467827501308</v>
      </c>
      <c r="E773">
        <f>-653.33702154951 -56.2078632551503 -311.247500812135</f>
        <v>-1020.7923856167954</v>
      </c>
      <c r="F773">
        <f>-659.651154652122 -57.2552405612118 -400.114128831154</f>
        <v>-1117.020524044488</v>
      </c>
      <c r="G773">
        <f>-663.498200680933 -57.1440080287949 -489.127747401105</f>
        <v>-1209.7699561108329</v>
      </c>
      <c r="H773">
        <f>-666.279528900038 -55.7891650340617 -613.671801091426</f>
        <v>-1335.7404950255259</v>
      </c>
      <c r="I773">
        <f>-637.86110287269 -48.9977219084024 -691.4618952782</f>
        <v>-1378.3207200592924</v>
      </c>
      <c r="J773">
        <f>-670.016815290522 -29.1271855044461 -558.458786607394</f>
        <v>-1257.6027874023621</v>
      </c>
      <c r="K773" t="s">
        <v>8458</v>
      </c>
      <c r="L773" t="s">
        <v>8459</v>
      </c>
      <c r="M773" t="s">
        <v>8460</v>
      </c>
      <c r="N773">
        <f>-660.094360153275 -83.6435663420865 -559.27338763614</f>
        <v>-1303.0113141315014</v>
      </c>
      <c r="O773">
        <f>-638.873284820278 -216.449603521459 -530.811396948292</f>
        <v>-1386.1342852900289</v>
      </c>
      <c r="P773">
        <f>-664.098031941632 -273.619644817204 -243.258922803403</f>
        <v>-1180.976599562239</v>
      </c>
      <c r="Q773">
        <f>-489.246097327328 -137.702902298251 -338.149865475287</f>
        <v>-965.09886510086608</v>
      </c>
      <c r="R773" t="s">
        <v>8461</v>
      </c>
      <c r="S773" t="s">
        <v>8462</v>
      </c>
      <c r="T773" t="s">
        <v>8463</v>
      </c>
      <c r="U773" t="s">
        <v>8464</v>
      </c>
      <c r="V773">
        <f>-605.146279061152 -140.479048850897 -98.1393506686699</f>
        <v>-843.76467858071885</v>
      </c>
      <c r="W773" t="s">
        <v>8465</v>
      </c>
      <c r="X773" t="s">
        <v>8466</v>
      </c>
      <c r="Y773" t="s">
        <v>8467</v>
      </c>
    </row>
    <row r="774" spans="1:25" x14ac:dyDescent="0.3">
      <c r="A774">
        <v>38650</v>
      </c>
      <c r="B774" t="s">
        <v>8468</v>
      </c>
      <c r="C774">
        <f>-625.424706862018 -47.4648291348863 -99.0006233868784</f>
        <v>-771.89015938378259</v>
      </c>
      <c r="D774">
        <f>-644.129789365962 -53.9292739076882 -213.125820459081</f>
        <v>-911.18488373273112</v>
      </c>
      <c r="E774">
        <f>-653.425054448878 -56.3173593993491 -311.281582739629</f>
        <v>-1021.0239965878561</v>
      </c>
      <c r="F774">
        <f>-659.701207464663 -57.3638025292124 -400.150904675102</f>
        <v>-1117.2159146689773</v>
      </c>
      <c r="G774">
        <f>-663.496934394897 -57.2450334098252 -489.16674480864</f>
        <v>-1209.9087126133622</v>
      </c>
      <c r="H774">
        <f>-666.192461243597 -55.8725367002207 -613.7125170415</f>
        <v>-1335.7775149853178</v>
      </c>
      <c r="I774">
        <f>-637.627143878013 -49.0718377166055 -691.44797898272</f>
        <v>-1378.1469605773386</v>
      </c>
      <c r="J774">
        <f>-669.994315184162 -29.2231112177481 -558.497795203291</f>
        <v>-1257.7152216052011</v>
      </c>
      <c r="K774" t="s">
        <v>8469</v>
      </c>
      <c r="L774" t="s">
        <v>8470</v>
      </c>
      <c r="M774" t="s">
        <v>8471</v>
      </c>
      <c r="N774">
        <f>-660.018352659437 -83.7297919839917 -559.314380531817</f>
        <v>-1303.0625251752458</v>
      </c>
      <c r="O774">
        <f>-638.694371964408 -216.53160450083 -530.880158434115</f>
        <v>-1386.106134899353</v>
      </c>
      <c r="P774">
        <f>-663.840164851238 -274.072838665131 -243.394812385297</f>
        <v>-1181.3078159016659</v>
      </c>
      <c r="Q774">
        <f>-489.445034910215 -137.451606841505 -338.11459369279</f>
        <v>-965.01123544450991</v>
      </c>
      <c r="R774" t="s">
        <v>8472</v>
      </c>
      <c r="S774" t="s">
        <v>8473</v>
      </c>
      <c r="T774" t="s">
        <v>8474</v>
      </c>
      <c r="U774" t="s">
        <v>8475</v>
      </c>
      <c r="V774">
        <f>-605.167711821443 -140.631585316808 -98.1502728291189</f>
        <v>-843.94956996736994</v>
      </c>
      <c r="W774" t="s">
        <v>8476</v>
      </c>
      <c r="X774" t="s">
        <v>8477</v>
      </c>
      <c r="Y774" t="s">
        <v>8478</v>
      </c>
    </row>
    <row r="775" spans="1:25" x14ac:dyDescent="0.3">
      <c r="A775">
        <v>38700</v>
      </c>
      <c r="B775" t="s">
        <v>8479</v>
      </c>
      <c r="C775">
        <f>-625.871144592059 -47.5076023992156 -99.0414657911717</f>
        <v>-772.42021278244624</v>
      </c>
      <c r="D775">
        <f>-644.520939758434 -54.0025125073383 -213.174021162483</f>
        <v>-911.69747342825531</v>
      </c>
      <c r="E775">
        <f>-653.714077867181 -56.3829758822019 -311.339524962209</f>
        <v>-1021.4365787115919</v>
      </c>
      <c r="F775">
        <f>-659.875729909341 -57.4100828248826 -400.217107500531</f>
        <v>-1117.5029202347546</v>
      </c>
      <c r="G775">
        <f>-663.534558230683 -57.2589545453989 -489.238521169413</f>
        <v>-1210.032033945495</v>
      </c>
      <c r="H775">
        <f>-666.015224390818 -55.8277875896774 -613.788224010147</f>
        <v>-1335.6312359906424</v>
      </c>
      <c r="I775">
        <f>-637.136659210011 -49.0464333217438 -691.409534577382</f>
        <v>-1377.5926271091369</v>
      </c>
      <c r="J775">
        <f>-669.958804069958 -29.2129216624669 -558.566728798941</f>
        <v>-1257.7384545313657</v>
      </c>
      <c r="K775" t="s">
        <v>8480</v>
      </c>
      <c r="L775" t="s">
        <v>8481</v>
      </c>
      <c r="M775" t="s">
        <v>8482</v>
      </c>
      <c r="N775">
        <f>-659.888290761589 -83.7020772796581 -559.393399214113</f>
        <v>-1302.9837672553599</v>
      </c>
      <c r="O775">
        <f>-638.377259483218 -216.489523516841 -531.048413941297</f>
        <v>-1385.915196941356</v>
      </c>
      <c r="P775">
        <f>-662.954262247939 -275.460309584552 -243.803525115895</f>
        <v>-1182.2180969483861</v>
      </c>
      <c r="Q775">
        <f>-490.086477297386 -136.60400096274 -338.071819166187</f>
        <v>-964.76229742631313</v>
      </c>
      <c r="R775" t="s">
        <v>8483</v>
      </c>
      <c r="S775" t="s">
        <v>8484</v>
      </c>
      <c r="T775" t="s">
        <v>8485</v>
      </c>
      <c r="U775" t="s">
        <v>8486</v>
      </c>
      <c r="V775">
        <f>-605.535499459745 -140.753193169302 -98.166708527013</f>
        <v>-844.45540115606002</v>
      </c>
      <c r="W775" t="s">
        <v>8487</v>
      </c>
      <c r="X775" t="s">
        <v>8488</v>
      </c>
      <c r="Y775" t="s">
        <v>8489</v>
      </c>
    </row>
    <row r="776" spans="1:25" x14ac:dyDescent="0.3">
      <c r="A776">
        <v>38750</v>
      </c>
      <c r="B776" t="s">
        <v>8490</v>
      </c>
      <c r="C776">
        <f>-626.199039341993 -47.5201421629118 -99.0450359477525</f>
        <v>-772.76421745265725</v>
      </c>
      <c r="D776">
        <f>-644.812490500623 -54.0243527654576 -213.182971654354</f>
        <v>-912.01981492043456</v>
      </c>
      <c r="E776">
        <f>-653.945468532714 -56.3980228794017 -311.354286688423</f>
        <v>-1021.6977781005387</v>
      </c>
      <c r="F776">
        <f>-660.040944532636 -57.4127385717552 -400.236438978053</f>
        <v>-1117.6901220824443</v>
      </c>
      <c r="G776">
        <f>-663.622128525383 -57.2428669115855 -489.261145480741</f>
        <v>-1210.1261409177096</v>
      </c>
      <c r="H776">
        <f>-665.982188308854 -55.7785802835839 -613.812816602636</f>
        <v>-1335.573585195074</v>
      </c>
      <c r="I776">
        <f>-636.946298364778 -49.0313689878407 -691.378311308192</f>
        <v>-1377.3559786608107</v>
      </c>
      <c r="J776">
        <f>-670.001199725866 -29.1824886594509 -558.587616391511</f>
        <v>-1257.7713047768279</v>
      </c>
      <c r="K776" t="s">
        <v>8491</v>
      </c>
      <c r="L776" t="s">
        <v>8492</v>
      </c>
      <c r="M776" t="s">
        <v>8493</v>
      </c>
      <c r="N776">
        <f>-659.886124876086 -83.6633322820826 -559.419834427487</f>
        <v>-1302.9692915856556</v>
      </c>
      <c r="O776">
        <f>-638.301530857212 -216.44843928378 -531.121706304658</f>
        <v>-1385.8716764456499</v>
      </c>
      <c r="P776">
        <f>-662.563768789262 -276.219788201476 -244.015500933411</f>
        <v>-1182.7990579241489</v>
      </c>
      <c r="Q776">
        <f>-490.5108753131 -136.180328059441 -338.024324669945</f>
        <v>-964.71552804248586</v>
      </c>
      <c r="R776" t="s">
        <v>8494</v>
      </c>
      <c r="S776" t="s">
        <v>8495</v>
      </c>
      <c r="T776" t="s">
        <v>8496</v>
      </c>
      <c r="U776" t="s">
        <v>8497</v>
      </c>
      <c r="V776">
        <f>-605.86834470325 -140.774544129577 -98.1600550170233</f>
        <v>-844.80294384985041</v>
      </c>
      <c r="W776" t="s">
        <v>8498</v>
      </c>
      <c r="X776" t="s">
        <v>8499</v>
      </c>
      <c r="Y776" t="s">
        <v>8500</v>
      </c>
    </row>
    <row r="777" spans="1:25" x14ac:dyDescent="0.3">
      <c r="A777">
        <v>38800</v>
      </c>
      <c r="B777" t="s">
        <v>8501</v>
      </c>
      <c r="C777">
        <f>-626.593810542192 -47.3934204537172 -99.0580383646459</f>
        <v>-773.04526936055515</v>
      </c>
      <c r="D777">
        <f>-645.146892834243 -53.8981471787988 -213.20576832245</f>
        <v>-912.2508083354918</v>
      </c>
      <c r="E777">
        <f>-654.199216881862 -56.2665498760906 -311.38467308002</f>
        <v>-1021.8504398379725</v>
      </c>
      <c r="F777">
        <f>-660.210349134202 -57.2743185146317 -400.272874490047</f>
        <v>-1117.7575421388806</v>
      </c>
      <c r="G777">
        <f>-663.695514708485 -57.0949719510581 -489.30128959881</f>
        <v>-1210.0917762583531</v>
      </c>
      <c r="H777">
        <f>-665.90929262251 -55.6146629825281 -613.855286602484</f>
        <v>-1335.3792422075221</v>
      </c>
      <c r="I777">
        <f>-636.70840482868 -48.9047192171912 -691.362102756692</f>
        <v>-1376.9752268025632</v>
      </c>
      <c r="J777">
        <f>-670.008806676334 -29.0287032363096 -558.631302428688</f>
        <v>-1257.6688123413314</v>
      </c>
      <c r="K777" t="s">
        <v>8502</v>
      </c>
      <c r="L777" t="s">
        <v>8503</v>
      </c>
      <c r="M777" t="s">
        <v>8504</v>
      </c>
      <c r="N777">
        <f>-659.861330485095 -83.5035051653498 -559.459057624477</f>
        <v>-1302.8238932749218</v>
      </c>
      <c r="O777">
        <f>-638.243384315135 -216.281906382954 -531.16824548828</f>
        <v>-1385.6935361863691</v>
      </c>
      <c r="P777">
        <f>-662.341023118073 -276.741441344111 -244.19235507942</f>
        <v>-1183.2748195416041</v>
      </c>
      <c r="Q777">
        <f>-490.877190851234 -135.815689380801 -337.95249360734</f>
        <v>-964.645373839375</v>
      </c>
      <c r="R777" t="s">
        <v>8505</v>
      </c>
      <c r="S777" t="s">
        <v>8506</v>
      </c>
      <c r="T777" t="s">
        <v>8507</v>
      </c>
      <c r="U777" t="s">
        <v>8508</v>
      </c>
      <c r="V777">
        <f>-606.24514511861 -140.626812802636 -98.1668673992988</f>
        <v>-845.03882532054479</v>
      </c>
      <c r="W777" t="s">
        <v>8509</v>
      </c>
      <c r="X777" t="s">
        <v>8510</v>
      </c>
      <c r="Y777" t="s">
        <v>8511</v>
      </c>
    </row>
    <row r="778" spans="1:25" x14ac:dyDescent="0.3">
      <c r="A778">
        <v>38850</v>
      </c>
      <c r="B778" t="s">
        <v>8512</v>
      </c>
      <c r="C778">
        <f>-627.480261280574 -47.1875904110725 -99.0774786441141</f>
        <v>-773.74533033576063</v>
      </c>
      <c r="D778">
        <f>-645.877310049586 -53.6724391331677 -213.251611410138</f>
        <v>-912.80136059289168</v>
      </c>
      <c r="E778">
        <f>-654.729484874237 -56.0605900206085 -311.448268447533</f>
        <v>-1022.2383433423785</v>
      </c>
      <c r="F778">
        <f>-660.533000013642 -57.101446374406 -400.349758915004</f>
        <v>-1117.984205303052</v>
      </c>
      <c r="G778">
        <f>-663.784002935031 -56.9704126739268 -489.387131722378</f>
        <v>-1210.1415473313359</v>
      </c>
      <c r="H778">
        <f>-665.642795513907 -55.5734687505567 -613.947954415473</f>
        <v>-1335.1642186799368</v>
      </c>
      <c r="I778">
        <f>-636.127631527418 -48.9561232308424 -691.343754095769</f>
        <v>-1376.4275088540294</v>
      </c>
      <c r="J778">
        <f>-669.908418766841 -28.9520576279906 -558.753608688724</f>
        <v>-1257.6140850835554</v>
      </c>
      <c r="K778" t="s">
        <v>8513</v>
      </c>
      <c r="L778" t="s">
        <v>8514</v>
      </c>
      <c r="M778" t="s">
        <v>8515</v>
      </c>
      <c r="N778">
        <f>-659.741294761178 -83.4241865834122 -559.516137855219</f>
        <v>-1302.6816191998091</v>
      </c>
      <c r="O778">
        <f>-638.172804608361 -216.178257098813 -531.080750888699</f>
        <v>-1385.431812595873</v>
      </c>
      <c r="P778">
        <f>-662.673038811848 -276.965315319678 -244.208277282931</f>
        <v>-1183.8466314144569</v>
      </c>
      <c r="Q778">
        <f>-491.427950167564 -135.626959056244 -337.746642521266</f>
        <v>-964.80155174507399</v>
      </c>
      <c r="R778" t="s">
        <v>8516</v>
      </c>
      <c r="S778" t="s">
        <v>8517</v>
      </c>
      <c r="T778" t="s">
        <v>8518</v>
      </c>
      <c r="U778" t="s">
        <v>8519</v>
      </c>
      <c r="V778">
        <f>-607.113108823272 -140.481067011667 -98.1919013832137</f>
        <v>-845.78607721815274</v>
      </c>
      <c r="W778" t="s">
        <v>8520</v>
      </c>
      <c r="X778" t="s">
        <v>8521</v>
      </c>
      <c r="Y778" t="s">
        <v>8522</v>
      </c>
    </row>
    <row r="779" spans="1:25" x14ac:dyDescent="0.3">
      <c r="A779">
        <v>38900</v>
      </c>
      <c r="B779" t="s">
        <v>8523</v>
      </c>
      <c r="C779">
        <f>-628.201464578337 -47.1392646058677 -99.0745950927692</f>
        <v>-774.41532427697382</v>
      </c>
      <c r="D779">
        <f>-646.478633373669 -53.6054810166191 -213.268888625338</f>
        <v>-913.3530030156262</v>
      </c>
      <c r="E779">
        <f>-655.153376264913 -56.0630648678494 -311.479825055244</f>
        <v>-1022.6962661880066</v>
      </c>
      <c r="F779">
        <f>-660.766517640998 -57.2014807843938 -400.392305973521</f>
        <v>-1118.3603043989128</v>
      </c>
      <c r="G779">
        <f>-663.797139903838 -57.2038474357628 -489.437666084122</f>
        <v>-1210.4386534237228</v>
      </c>
      <c r="H779">
        <f>-665.316538484358 -56.0318935041215 -614.005344267396</f>
        <v>-1335.3537762558756</v>
      </c>
      <c r="I779">
        <f>-635.543171937423 -49.5367022248977 -691.312371551397</f>
        <v>-1376.3922457137178</v>
      </c>
      <c r="J779">
        <f>-669.711408247947 -29.3069924020142 -558.871198975819</f>
        <v>-1257.8895996257802</v>
      </c>
      <c r="K779" t="s">
        <v>8524</v>
      </c>
      <c r="L779" t="s">
        <v>8525</v>
      </c>
      <c r="M779" t="s">
        <v>8526</v>
      </c>
      <c r="N779">
        <f>-659.584388151439 -83.7882711290737 -559.507234301731</f>
        <v>-1302.8798935822438</v>
      </c>
      <c r="O779">
        <f>-638.199398402717 -216.500737711526 -530.725199043004</f>
        <v>-1385.425335157247</v>
      </c>
      <c r="P779">
        <f>-663.62883837851 -276.577184570379 -243.783844565422</f>
        <v>-1183.9898675143108</v>
      </c>
      <c r="Q779">
        <f>-492.011298286372 -135.77856055343 -337.453637233636</f>
        <v>-965.24349607343811</v>
      </c>
      <c r="R779" t="s">
        <v>8527</v>
      </c>
      <c r="S779" t="s">
        <v>8528</v>
      </c>
      <c r="T779" t="s">
        <v>8529</v>
      </c>
      <c r="U779" t="s">
        <v>8530</v>
      </c>
      <c r="V779">
        <f>-607.822579292266 -140.49547972144 -98.1958990862886</f>
        <v>-846.51395809999462</v>
      </c>
      <c r="W779" t="s">
        <v>8531</v>
      </c>
      <c r="X779" t="s">
        <v>8532</v>
      </c>
      <c r="Y779" t="s">
        <v>8533</v>
      </c>
    </row>
    <row r="780" spans="1:25" x14ac:dyDescent="0.3">
      <c r="A780">
        <v>38950</v>
      </c>
      <c r="B780" t="s">
        <v>8534</v>
      </c>
      <c r="C780">
        <f>-628.454093090931 -47.0449859950336 -99.0921999540232</f>
        <v>-774.59127903998774</v>
      </c>
      <c r="D780">
        <f>-646.688179650292 -53.5104702891446 -213.293453820893</f>
        <v>-913.49210376032954</v>
      </c>
      <c r="E780">
        <f>-655.289475421579 -56.010592390258 -311.509705838641</f>
        <v>-1022.8097736504781</v>
      </c>
      <c r="F780">
        <f>-660.821642699329 -57.2052170371495 -400.426454180175</f>
        <v>-1118.4533139166535</v>
      </c>
      <c r="G780">
        <f>-663.756638474878 -57.2818677151029 -489.47493063537</f>
        <v>-1210.5134368253507</v>
      </c>
      <c r="H780">
        <f>-665.127115710878 -56.2330617143303 -614.045539273828</f>
        <v>-1335.4057166990365</v>
      </c>
      <c r="I780">
        <f>-635.233525623883 -49.8222978923625 -691.313286992954</f>
        <v>-1376.3691105091993</v>
      </c>
      <c r="J780">
        <f>-669.579163606321 -29.4520800185746 -558.943265275899</f>
        <v>-1257.9745089007947</v>
      </c>
      <c r="K780" t="s">
        <v>8535</v>
      </c>
      <c r="L780" t="s">
        <v>8536</v>
      </c>
      <c r="M780" t="s">
        <v>8537</v>
      </c>
      <c r="N780">
        <f>-659.46887230305 -83.9371285914656 -559.513134924845</f>
        <v>-1302.9191358193607</v>
      </c>
      <c r="O780">
        <f>-638.17896861394 -216.626998830673 -530.548355902919</f>
        <v>-1385.354323347532</v>
      </c>
      <c r="P780">
        <f>-664.150842674744 -276.248039851937 -243.560433467696</f>
        <v>-1183.959315994377</v>
      </c>
      <c r="Q780">
        <f>-492.246792195503 -135.84623995777 -337.300682151799</f>
        <v>-965.39371430507208</v>
      </c>
      <c r="R780" t="s">
        <v>8538</v>
      </c>
      <c r="S780" t="s">
        <v>8539</v>
      </c>
      <c r="T780" t="s">
        <v>8540</v>
      </c>
      <c r="U780" t="s">
        <v>8541</v>
      </c>
      <c r="V780">
        <f>-608.065081661804 -140.385807808468 -98.1960285718847</f>
        <v>-846.6469180421567</v>
      </c>
      <c r="W780" t="s">
        <v>8542</v>
      </c>
      <c r="X780" t="s">
        <v>8543</v>
      </c>
      <c r="Y780" t="s">
        <v>8544</v>
      </c>
    </row>
    <row r="781" spans="1:25" x14ac:dyDescent="0.3">
      <c r="A781">
        <v>39000</v>
      </c>
      <c r="B781" t="s">
        <v>8545</v>
      </c>
      <c r="C781">
        <f>-628.776804902611 -46.8340591566455 -99.1321350897562</f>
        <v>-774.74299914901269</v>
      </c>
      <c r="D781">
        <f>-646.966139404401 -53.3040327848913 -213.340341262075</f>
        <v>-913.6105134513673</v>
      </c>
      <c r="E781">
        <f>-655.441601620755 -55.8757910444858 -311.56559483976</f>
        <v>-1022.8829875050009</v>
      </c>
      <c r="F781">
        <f>-660.824972335718 -57.1629103989731 -400.490293929693</f>
        <v>-1118.4781766643841</v>
      </c>
      <c r="G781">
        <f>-663.576328148848 -57.3600024330323 -489.544324060876</f>
        <v>-1210.4806546427562</v>
      </c>
      <c r="H781">
        <f>-664.65358746415 -56.5090070136406 -614.119372018355</f>
        <v>-1335.2819664961455</v>
      </c>
      <c r="I781">
        <f>-634.449087234888 -50.3400197338534 -691.28578380144</f>
        <v>-1376.0748907701814</v>
      </c>
      <c r="J781">
        <f>-669.221898888392 -29.6380402401376 -559.070458102655</f>
        <v>-1257.9303972311845</v>
      </c>
      <c r="K781" t="s">
        <v>8546</v>
      </c>
      <c r="L781" t="s">
        <v>8547</v>
      </c>
      <c r="M781" t="s">
        <v>8548</v>
      </c>
      <c r="N781">
        <f>-659.137167371194 -84.1289380791276 -559.529695336233</f>
        <v>-1302.7958007865545</v>
      </c>
      <c r="O781">
        <f>-637.972363759011 -216.777842354474 -530.290425085333</f>
        <v>-1385.0406311988181</v>
      </c>
      <c r="P781">
        <f>-664.65403632986 -275.842632470146 -243.252670596329</f>
        <v>-1183.749339396335</v>
      </c>
      <c r="Q781">
        <f>-492.221505923708 -136.118628495714 -337.034914605203</f>
        <v>-965.37504902462501</v>
      </c>
      <c r="R781" t="s">
        <v>8549</v>
      </c>
      <c r="S781" t="s">
        <v>8550</v>
      </c>
      <c r="T781" t="s">
        <v>8551</v>
      </c>
      <c r="U781" t="s">
        <v>8552</v>
      </c>
      <c r="V781">
        <f>-608.396129142083 -140.214952447979 -98.2158783069951</f>
        <v>-846.82695989705712</v>
      </c>
      <c r="W781" t="s">
        <v>8553</v>
      </c>
      <c r="X781" t="s">
        <v>8554</v>
      </c>
      <c r="Y781" t="s">
        <v>8555</v>
      </c>
    </row>
    <row r="782" spans="1:25" x14ac:dyDescent="0.3">
      <c r="A782">
        <v>39050</v>
      </c>
      <c r="B782" t="s">
        <v>8556</v>
      </c>
      <c r="C782">
        <f>-628.875969929971 -46.7852802620904 -99.1357255139303</f>
        <v>-774.79697570599171</v>
      </c>
      <c r="D782">
        <f>-647.085484560563 -53.2802260802677 -213.339318024951</f>
        <v>-913.7050286657817</v>
      </c>
      <c r="E782">
        <f>-655.531472295085 -55.8881751494422 -311.56618419048</f>
        <v>-1022.9858316350071</v>
      </c>
      <c r="F782">
        <f>-660.869549353179 -57.2138078310036 -400.492991931679</f>
        <v>-1118.5763491158616</v>
      </c>
      <c r="G782">
        <f>-663.55702845482 -57.4553718936089 -489.548901500124</f>
        <v>-1210.5613018485528</v>
      </c>
      <c r="H782">
        <f>-664.525537253798 -56.6727556227255 -614.125347097397</f>
        <v>-1335.3236399739205</v>
      </c>
      <c r="I782">
        <f>-634.09170821102 -50.667197770788 -691.214532054101</f>
        <v>-1375.9734380359091</v>
      </c>
      <c r="J782">
        <f>-669.138972755487 -29.7710064812068 -559.095156885522</f>
        <v>-1258.0051361222158</v>
      </c>
      <c r="K782" t="s">
        <v>8557</v>
      </c>
      <c r="L782" t="s">
        <v>8558</v>
      </c>
      <c r="M782" t="s">
        <v>8559</v>
      </c>
      <c r="N782">
        <f>-659.059715922722 -84.2631555883573 -559.515807389926</f>
        <v>-1302.8386789010053</v>
      </c>
      <c r="O782">
        <f>-637.924472251201 -216.894495158115 -530.180020824865</f>
        <v>-1384.9989882341811</v>
      </c>
      <c r="P782">
        <f>-664.635022802204 -275.907006515988 -243.134225188686</f>
        <v>-1183.676254506878</v>
      </c>
      <c r="Q782">
        <f>-492.106525041449 -136.300723256294 -336.915238176184</f>
        <v>-965.32248647392703</v>
      </c>
      <c r="R782" t="s">
        <v>8560</v>
      </c>
      <c r="S782" t="s">
        <v>8561</v>
      </c>
      <c r="T782" t="s">
        <v>8562</v>
      </c>
      <c r="U782" t="s">
        <v>8563</v>
      </c>
      <c r="V782">
        <f>-608.518453288568 -140.215969870254 -98.2110293452827</f>
        <v>-846.94545250410465</v>
      </c>
      <c r="W782" t="s">
        <v>8564</v>
      </c>
      <c r="X782" t="s">
        <v>8565</v>
      </c>
      <c r="Y782" t="s">
        <v>8566</v>
      </c>
    </row>
    <row r="783" spans="1:25" x14ac:dyDescent="0.3">
      <c r="A783">
        <v>39100</v>
      </c>
      <c r="B783" t="s">
        <v>8567</v>
      </c>
      <c r="C783">
        <f>-629.023874967541 -46.4116348151141 -99.1511638841599</f>
        <v>-774.58667366681505</v>
      </c>
      <c r="D783">
        <f>-647.309367031729 -52.9613863869412 -213.33940077808</f>
        <v>-913.61015419675027</v>
      </c>
      <c r="E783">
        <f>-655.720420383018 -55.6560446278327 -311.566959230389</f>
        <v>-1022.9434242412397</v>
      </c>
      <c r="F783">
        <f>-660.987182596458 -57.075165481544 -400.49666462196</f>
        <v>-1118.5590126999618</v>
      </c>
      <c r="G783">
        <f>-663.563817442461 -57.4253668998524 -489.555505822131</f>
        <v>-1210.5446901644443</v>
      </c>
      <c r="H783">
        <f>-664.335994395509 -56.8103665571705 -614.134231141511</f>
        <v>-1335.2805920941905</v>
      </c>
      <c r="I783">
        <f>-633.359259636219 -51.2281090801426 -691.038762280195</f>
        <v>-1375.6261309965566</v>
      </c>
      <c r="J783">
        <f>-669.038492102443 -29.8350141386493 -559.147566179132</f>
        <v>-1258.0210724202243</v>
      </c>
      <c r="K783" t="s">
        <v>8568</v>
      </c>
      <c r="L783" t="s">
        <v>8569</v>
      </c>
      <c r="M783" t="s">
        <v>8570</v>
      </c>
      <c r="N783">
        <f>-658.953898790472 -84.3269220266225 -559.479094614854</f>
        <v>-1302.7599154319485</v>
      </c>
      <c r="O783">
        <f>-637.852668923801 -216.915918797735 -529.931291074674</f>
        <v>-1384.6998787962102</v>
      </c>
      <c r="P783">
        <f>-664.490961319523 -276.010821071489 -242.895661285058</f>
        <v>-1183.39744367607</v>
      </c>
      <c r="Q783">
        <f>-492.168344299954 -136.221752208347 -336.782805901611</f>
        <v>-965.17290240991201</v>
      </c>
      <c r="R783" t="s">
        <v>8571</v>
      </c>
      <c r="S783" t="s">
        <v>8572</v>
      </c>
      <c r="T783" t="s">
        <v>8573</v>
      </c>
      <c r="U783" t="s">
        <v>8574</v>
      </c>
      <c r="V783">
        <f>-608.681017486887 -139.823908823417 -98.1872459920845</f>
        <v>-846.69217230238849</v>
      </c>
      <c r="W783" t="s">
        <v>8575</v>
      </c>
      <c r="X783" t="s">
        <v>8576</v>
      </c>
      <c r="Y783" t="s">
        <v>8577</v>
      </c>
    </row>
    <row r="784" spans="1:25" x14ac:dyDescent="0.3">
      <c r="A784">
        <v>39150</v>
      </c>
      <c r="B784" t="s">
        <v>8578</v>
      </c>
      <c r="C784">
        <f>-629.054565425592 -46.2133024795273 -99.1596371881257</f>
        <v>-774.42750509324503</v>
      </c>
      <c r="D784">
        <f>-647.343901311706 -52.7778468426387 -213.346462286</f>
        <v>-913.46821044034471</v>
      </c>
      <c r="E784">
        <f>-655.70845092204 -55.516976995657 -311.576637116496</f>
        <v>-1022.802065034193</v>
      </c>
      <c r="F784">
        <f>-660.913373297745 -56.9891686964564 -400.50928484852</f>
        <v>-1118.4118268427214</v>
      </c>
      <c r="G784">
        <f>-663.408228775628 -57.4053069412679 -489.570107046071</f>
        <v>-1210.3836427629669</v>
      </c>
      <c r="H784">
        <f>-664.045503808039 -56.8962945722438 -614.149981323408</f>
        <v>-1335.0917797036909</v>
      </c>
      <c r="I784">
        <f>-632.807813121578 -51.5544709707955 -690.966003337286</f>
        <v>-1375.3282874296594</v>
      </c>
      <c r="J784">
        <f>-668.807065105816 -29.8741373340138 -559.1914742575</f>
        <v>-1257.8726766973298</v>
      </c>
      <c r="K784" t="s">
        <v>8579</v>
      </c>
      <c r="L784" t="s">
        <v>8580</v>
      </c>
      <c r="M784" t="s">
        <v>8581</v>
      </c>
      <c r="N784">
        <f>-658.723066433937 -84.3663070482208 -559.465672559721</f>
        <v>-1302.555046041879</v>
      </c>
      <c r="O784">
        <f>-637.699798564853 -216.935257277349 -529.782701113444</f>
        <v>-1384.4177569556459</v>
      </c>
      <c r="P784">
        <f>-664.509852281294 -275.942517599786 -242.745163989417</f>
        <v>-1183.197533870497</v>
      </c>
      <c r="Q784">
        <f>-492.150032831228 -136.23149089358 -336.680209289939</f>
        <v>-965.06173301474701</v>
      </c>
      <c r="R784" t="s">
        <v>8582</v>
      </c>
      <c r="S784" t="s">
        <v>8583</v>
      </c>
      <c r="T784" t="s">
        <v>8584</v>
      </c>
      <c r="U784" t="s">
        <v>8585</v>
      </c>
      <c r="V784">
        <f>-608.635918714676 -139.615491002839 -98.1876785548928</f>
        <v>-846.43908827240784</v>
      </c>
      <c r="W784" t="s">
        <v>8586</v>
      </c>
      <c r="X784" t="s">
        <v>8587</v>
      </c>
      <c r="Y784" t="s">
        <v>8588</v>
      </c>
    </row>
    <row r="785" spans="1:25" x14ac:dyDescent="0.3">
      <c r="A785">
        <v>39200</v>
      </c>
      <c r="B785" t="s">
        <v>8589</v>
      </c>
      <c r="C785">
        <f>-629.218929277178 -45.8222415777689 -99.2087697773012</f>
        <v>-774.24994063224801</v>
      </c>
      <c r="D785">
        <f>-647.408916124146 -52.4237883085989 -213.409281552935</f>
        <v>-913.24198598567989</v>
      </c>
      <c r="E785">
        <f>-655.563994520323 -55.2905285369985 -311.653557257315</f>
        <v>-1022.5080803146366</v>
      </c>
      <c r="F785">
        <f>-660.529749263012 -56.917547913721 -400.59701365326</f>
        <v>-1118.044310829993</v>
      </c>
      <c r="G785">
        <f>-662.735684582931 -57.5286637766473 -489.664515596252</f>
        <v>-1209.9288639558301</v>
      </c>
      <c r="H785">
        <f>-662.917158896968 -57.3348770045984 -614.246756632642</f>
        <v>-1334.4987925342084</v>
      </c>
      <c r="I785">
        <f>-631.213330940308 -52.538891225904 -690.90763911287</f>
        <v>-1374.659861279082</v>
      </c>
      <c r="J785">
        <f>-667.868300294834 -30.1717525334197 -559.374503097614</f>
        <v>-1257.4145559258677</v>
      </c>
      <c r="K785" t="s">
        <v>8590</v>
      </c>
      <c r="L785" t="s">
        <v>8591</v>
      </c>
      <c r="M785" t="s">
        <v>8592</v>
      </c>
      <c r="N785">
        <f>-657.806283788884 -84.6685366546321 -559.473956851415</f>
        <v>-1301.948777294931</v>
      </c>
      <c r="O785">
        <f>-636.995551879312 -217.182829234184 -529.388537505983</f>
        <v>-1383.5669186194791</v>
      </c>
      <c r="P785">
        <f>-664.900754395868 -275.394028653344 -242.292702256795</f>
        <v>-1182.587485306007</v>
      </c>
      <c r="Q785">
        <f>-492.091243417393 -136.270072342213 -336.272992246315</f>
        <v>-964.63430800592096</v>
      </c>
      <c r="R785" t="s">
        <v>8593</v>
      </c>
      <c r="S785" t="s">
        <v>8594</v>
      </c>
      <c r="T785" t="s">
        <v>8595</v>
      </c>
      <c r="U785" t="s">
        <v>8596</v>
      </c>
      <c r="V785">
        <f>-608.713916313616 -139.172378800297 -98.1813530954851</f>
        <v>-846.06764820939804</v>
      </c>
      <c r="W785" t="s">
        <v>8597</v>
      </c>
      <c r="X785" t="s">
        <v>8598</v>
      </c>
      <c r="Y785" t="s">
        <v>8599</v>
      </c>
    </row>
    <row r="786" spans="1:25" x14ac:dyDescent="0.3">
      <c r="A786">
        <v>39250</v>
      </c>
      <c r="B786" t="s">
        <v>8600</v>
      </c>
      <c r="C786">
        <f>-629.413218605268 -45.645743870272 -99.2355519125994</f>
        <v>-774.29451438813931</v>
      </c>
      <c r="D786">
        <f>-647.509676894815 -52.2628182344199 -213.450010139013</f>
        <v>-913.22250526824791</v>
      </c>
      <c r="E786">
        <f>-655.510913038813 -55.20327895815 -311.704703938031</f>
        <v>-1022.418895934994</v>
      </c>
      <c r="F786">
        <f>-660.307928241514 -56.9219340027122 -400.65572928007</f>
        <v>-1117.8855915242962</v>
      </c>
      <c r="G786">
        <f>-662.315557409033 -57.6501765270448 -489.726934667926</f>
        <v>-1209.6926686040038</v>
      </c>
      <c r="H786">
        <f>-662.188942247849 -57.6476550046676 -614.309407211961</f>
        <v>-1334.1460044644778</v>
      </c>
      <c r="I786">
        <f>-630.293759706304 -53.1487665183516 -690.908999259219</f>
        <v>-1374.3515254838744</v>
      </c>
      <c r="J786">
        <f>-667.268070078055 -30.3988695272033 -559.491464745627</f>
        <v>-1257.1584043508851</v>
      </c>
      <c r="K786" t="s">
        <v>8601</v>
      </c>
      <c r="L786" t="s">
        <v>8602</v>
      </c>
      <c r="M786" t="s">
        <v>8603</v>
      </c>
      <c r="N786">
        <f>-657.221242901436 -84.8986326044445 -559.4823068792</f>
        <v>-1301.6021823850806</v>
      </c>
      <c r="O786">
        <f>-636.52736648278 -217.370732632571 -529.135543356471</f>
        <v>-1383.0336424718221</v>
      </c>
      <c r="P786">
        <f>-665.178044111441 -275.085315885632 -242.012953833497</f>
        <v>-1182.27631383057</v>
      </c>
      <c r="Q786">
        <f>-492.058817906201 -136.317025237745 -335.948954616741</f>
        <v>-964.32479776068703</v>
      </c>
      <c r="R786" t="s">
        <v>8604</v>
      </c>
      <c r="S786" t="s">
        <v>8605</v>
      </c>
      <c r="T786" t="s">
        <v>8606</v>
      </c>
      <c r="U786" t="s">
        <v>8607</v>
      </c>
      <c r="V786">
        <f>-608.880187293745 -138.989643980063 -98.1820812151532</f>
        <v>-846.05191248896119</v>
      </c>
      <c r="W786" t="s">
        <v>8608</v>
      </c>
      <c r="X786" t="s">
        <v>8609</v>
      </c>
      <c r="Y786" t="s">
        <v>8610</v>
      </c>
    </row>
    <row r="787" spans="1:25" x14ac:dyDescent="0.3">
      <c r="A787">
        <v>39300</v>
      </c>
      <c r="B787" t="s">
        <v>8611</v>
      </c>
      <c r="C787">
        <f>-629.613608599903 -45.4858234185325 -99.2704521409464</f>
        <v>-774.36988415938197</v>
      </c>
      <c r="D787">
        <f>-647.590749695237 -52.1169316147203 -213.50291002359</f>
        <v>-913.21059133354743</v>
      </c>
      <c r="E787">
        <f>-655.415266512449 -55.1429286233254 -311.769265936407</f>
        <v>-1022.3274610721813</v>
      </c>
      <c r="F787">
        <f>-660.022855982426 -56.9693680083317 -400.728188826666</f>
        <v>-1117.7204128174237</v>
      </c>
      <c r="G787">
        <f>-661.811334176882 -57.8363692024171 -489.802809219401</f>
        <v>-1209.4505125987002</v>
      </c>
      <c r="H787">
        <f>-661.347342643146 -58.06019222073 -614.384336272224</f>
        <v>-1333.7918711360999</v>
      </c>
      <c r="I787">
        <f>-629.255406616801 -53.8696497346943 -690.919130859224</f>
        <v>-1374.0441872107194</v>
      </c>
      <c r="J787">
        <f>-666.56558504099 -30.7101351150393 -559.6298607066</f>
        <v>-1256.9055808626292</v>
      </c>
      <c r="K787" t="s">
        <v>8612</v>
      </c>
      <c r="L787" t="s">
        <v>8613</v>
      </c>
      <c r="M787" t="s">
        <v>8614</v>
      </c>
      <c r="N787">
        <f>-656.537500852618 -85.2132245655434 -559.494486659342</f>
        <v>-1301.2452120775033</v>
      </c>
      <c r="O787">
        <f>-635.953732526783 -217.639831188563 -528.890971651821</f>
        <v>-1382.4845353671672</v>
      </c>
      <c r="P787">
        <f>-665.341846750643 -275.022903321752 -241.776487408422</f>
        <v>-1182.1412374808169</v>
      </c>
      <c r="Q787">
        <f>-491.9871623136 -136.469296836276 -335.595004149142</f>
        <v>-964.051463299018</v>
      </c>
      <c r="R787" t="s">
        <v>8615</v>
      </c>
      <c r="S787" t="s">
        <v>8616</v>
      </c>
      <c r="T787" t="s">
        <v>8617</v>
      </c>
      <c r="U787" t="s">
        <v>8618</v>
      </c>
      <c r="V787">
        <f>-609.017770906901 -138.800692044667 -98.1887285812535</f>
        <v>-846.00719153282148</v>
      </c>
      <c r="W787" t="s">
        <v>8619</v>
      </c>
      <c r="X787" t="s">
        <v>8620</v>
      </c>
      <c r="Y787" t="s">
        <v>8621</v>
      </c>
    </row>
    <row r="788" spans="1:25" x14ac:dyDescent="0.3">
      <c r="A788">
        <v>39350</v>
      </c>
      <c r="B788" t="s">
        <v>8622</v>
      </c>
      <c r="C788">
        <f>-630.014384819739 -45.0180689908913 -99.3299349728151</f>
        <v>-774.36238878344534</v>
      </c>
      <c r="D788">
        <f>-647.790516674308 -51.7067556817696 -213.590492331832</f>
        <v>-913.08776468790961</v>
      </c>
      <c r="E788">
        <f>-655.28280549285 -54.939725767875 -311.876233466726</f>
        <v>-1022.098764727451</v>
      </c>
      <c r="F788">
        <f>-659.526008427707 -57.0181443472233 -400.847724434515</f>
        <v>-1117.3918772094453</v>
      </c>
      <c r="G788">
        <f>-660.886229234953 -58.2036817911112 -489.926234138018</f>
        <v>-1209.0161451640822</v>
      </c>
      <c r="H788">
        <f>-659.756933645555 -58.9434139840798 -614.501430901432</f>
        <v>-1333.2017785310668</v>
      </c>
      <c r="I788">
        <f>-627.323020198384 -55.3730543065117 -690.923438496711</f>
        <v>-1373.6195130016067</v>
      </c>
      <c r="J788">
        <f>-665.248760878842 -31.3635618921508 -559.889256253366</f>
        <v>-1256.5015790243588</v>
      </c>
      <c r="K788" t="s">
        <v>8623</v>
      </c>
      <c r="L788" t="s">
        <v>8624</v>
      </c>
      <c r="M788" t="s">
        <v>8625</v>
      </c>
      <c r="N788">
        <f>-655.25899857744 -85.8721964735804 -559.474934363511</f>
        <v>-1300.6061294145316</v>
      </c>
      <c r="O788">
        <f>-634.82747339008 -218.19741007663 -528.323402499438</f>
        <v>-1381.3482859661481</v>
      </c>
      <c r="P788">
        <f>-665.552143691627 -275.316605267257 -241.296214621274</f>
        <v>-1182.164963580158</v>
      </c>
      <c r="Q788">
        <f>-492.027679790648 -136.730008680874 -334.75150468931</f>
        <v>-963.50919316083196</v>
      </c>
      <c r="R788" t="s">
        <v>8626</v>
      </c>
      <c r="S788" t="s">
        <v>8627</v>
      </c>
      <c r="T788" t="s">
        <v>8628</v>
      </c>
      <c r="U788" t="s">
        <v>8629</v>
      </c>
      <c r="V788">
        <f>-609.305259017171 -138.157221183079 -98.1869996176729</f>
        <v>-845.64947981792284</v>
      </c>
      <c r="W788" t="s">
        <v>8630</v>
      </c>
      <c r="X788" t="s">
        <v>8631</v>
      </c>
      <c r="Y788" t="s">
        <v>8632</v>
      </c>
    </row>
    <row r="789" spans="1:25" x14ac:dyDescent="0.3">
      <c r="A789">
        <v>39400</v>
      </c>
      <c r="B789" t="s">
        <v>8633</v>
      </c>
      <c r="C789">
        <f>-630.55158063928 -44.5849775521571 -99.4023152111427</f>
        <v>-774.53887340257984</v>
      </c>
      <c r="D789">
        <f>-648.221217428792 -51.3197206369205 -213.67677119076</f>
        <v>-913.21770925647252</v>
      </c>
      <c r="E789">
        <f>-655.443390747879 -54.7477322890984 -311.975986479285</f>
        <v>-1022.1671095162624</v>
      </c>
      <c r="F789">
        <f>-659.370842969118 -57.0671084611774 -400.956049325695</f>
        <v>-1117.3940007559904</v>
      </c>
      <c r="G789">
        <f>-660.343924267054 -58.5589707303905 -490.034988245164</f>
        <v>-1208.9378832426085</v>
      </c>
      <c r="H789">
        <f>-658.599097604841 -59.7974441303168 -614.599113563272</f>
        <v>-1332.9956552984297</v>
      </c>
      <c r="I789">
        <f>-625.910864977496 -56.8580185334068 -690.939585976257</f>
        <v>-1373.7084694871598</v>
      </c>
      <c r="J789">
        <f>-664.33886498938 -31.9952602429228 -560.125310844615</f>
        <v>-1256.4594360769179</v>
      </c>
      <c r="K789" t="s">
        <v>8634</v>
      </c>
      <c r="L789" t="s">
        <v>8635</v>
      </c>
      <c r="M789" t="s">
        <v>8636</v>
      </c>
      <c r="N789">
        <f>-654.394987388774 -86.5096594881936 -559.443989605308</f>
        <v>-1300.3486364822757</v>
      </c>
      <c r="O789">
        <f>-634.175531341592 -218.748102917455 -527.770583831094</f>
        <v>-1380.694218090141</v>
      </c>
      <c r="P789">
        <f>-665.807869897188 -275.892665136093 -240.847048138387</f>
        <v>-1182.5475831716681</v>
      </c>
      <c r="Q789">
        <f>-492.374213866986 -136.991306731025 -334.003106823823</f>
        <v>-963.36862742183393</v>
      </c>
      <c r="R789" t="s">
        <v>8637</v>
      </c>
      <c r="S789" t="s">
        <v>8638</v>
      </c>
      <c r="T789" t="s">
        <v>8639</v>
      </c>
      <c r="U789" t="s">
        <v>8640</v>
      </c>
      <c r="V789">
        <f>-609.751850348176 -137.767020949823 -98.2026685044567</f>
        <v>-845.72153980245582</v>
      </c>
      <c r="W789" t="s">
        <v>8641</v>
      </c>
      <c r="X789" t="s">
        <v>8642</v>
      </c>
      <c r="Y789" t="s">
        <v>8643</v>
      </c>
    </row>
    <row r="790" spans="1:25" x14ac:dyDescent="0.3">
      <c r="A790">
        <v>39450</v>
      </c>
      <c r="B790" t="s">
        <v>8644</v>
      </c>
      <c r="C790">
        <f>-630.921737152835 -44.5194023313055 -99.4392434184308</f>
        <v>-774.88038290257134</v>
      </c>
      <c r="D790">
        <f>-648.554175583982 -51.2744917385295 -213.718167937051</f>
        <v>-913.5468352595625</v>
      </c>
      <c r="E790">
        <f>-655.638507888064 -54.7881780911961 -312.024506745603</f>
        <v>-1022.4511927248632</v>
      </c>
      <c r="F790">
        <f>-659.398915667805 -57.2134889830925 -401.00892006909</f>
        <v>-1117.6213247199876</v>
      </c>
      <c r="G790">
        <f>-660.162725885285 -58.840413943767 -490.087597920031</f>
        <v>-1209.090737749083</v>
      </c>
      <c r="H790">
        <f>-658.081136870759 -60.2982164918404 -614.64420758901</f>
        <v>-1333.0235609516094</v>
      </c>
      <c r="I790">
        <f>-625.310217095394 -57.6893718444499 -690.961171911529</f>
        <v>-1373.9607608513729</v>
      </c>
      <c r="J790">
        <f>-663.967429535535 -32.3999045632022 -560.235075611147</f>
        <v>-1256.6024097098841</v>
      </c>
      <c r="K790" t="s">
        <v>8645</v>
      </c>
      <c r="L790" t="s">
        <v>8646</v>
      </c>
      <c r="M790" t="s">
        <v>8647</v>
      </c>
      <c r="N790">
        <f>-654.026810310624 -86.9133004674208 -559.430872945144</f>
        <v>-1300.3709837231886</v>
      </c>
      <c r="O790">
        <f>-633.926607566441 -219.103223779655 -527.523195714101</f>
        <v>-1380.5530270601971</v>
      </c>
      <c r="P790">
        <f>-666.042293062585 -276.334841863317 -240.670815150358</f>
        <v>-1183.0479500762601</v>
      </c>
      <c r="Q790">
        <f>-492.67555973518 -137.22887529684 -333.646014226698</f>
        <v>-963.55044925871812</v>
      </c>
      <c r="R790" t="s">
        <v>8648</v>
      </c>
      <c r="S790" t="s">
        <v>8649</v>
      </c>
      <c r="T790" t="s">
        <v>8650</v>
      </c>
      <c r="U790" t="s">
        <v>8651</v>
      </c>
      <c r="V790">
        <f>-610.053085901024 -137.69368904341 -98.2150701215259</f>
        <v>-845.96184506595989</v>
      </c>
      <c r="W790" t="s">
        <v>8652</v>
      </c>
      <c r="X790" t="s">
        <v>8653</v>
      </c>
      <c r="Y790" t="s">
        <v>8654</v>
      </c>
    </row>
    <row r="791" spans="1:25" x14ac:dyDescent="0.3">
      <c r="A791">
        <v>39500</v>
      </c>
      <c r="B791" t="s">
        <v>8655</v>
      </c>
      <c r="C791">
        <f>-632.028089070656 -44.6356339038047 -99.5103982986172</f>
        <v>-776.17412127307796</v>
      </c>
      <c r="D791">
        <f>-649.56405620527 -51.4088699810087 -213.803247067574</f>
        <v>-914.77617325385279</v>
      </c>
      <c r="E791">
        <f>-656.270067719734 -55.0448403863758 -312.131549510181</f>
        <v>-1023.4464576162908</v>
      </c>
      <c r="F791">
        <f>-659.569178853339 -57.6273652156983 -401.129832098114</f>
        <v>-1118.3263761671515</v>
      </c>
      <c r="G791">
        <f>-659.752643426037 -59.4597607143226 -490.207522581357</f>
        <v>-1209.4199267217166</v>
      </c>
      <c r="H791">
        <f>-656.735272079442 -61.2572079735755 -614.740522132752</f>
        <v>-1332.7330021857695</v>
      </c>
      <c r="I791">
        <f>-623.702159793928 -59.4056159068894 -690.966667071843</f>
        <v>-1374.0744427726604</v>
      </c>
      <c r="J791">
        <f>-663.053624779636 -33.2151759790911 -560.454078523672</f>
        <v>-1256.7228792823992</v>
      </c>
      <c r="K791" t="s">
        <v>8656</v>
      </c>
      <c r="L791" t="s">
        <v>8657</v>
      </c>
      <c r="M791" t="s">
        <v>8658</v>
      </c>
      <c r="N791">
        <f>-653.072497104026 -87.7173534584239 -559.425530045837</f>
        <v>-1300.215380608287</v>
      </c>
      <c r="O791">
        <f>-633.240633939955 -219.84034765373 -527.079055123235</f>
        <v>-1380.1600367169199</v>
      </c>
      <c r="P791">
        <f>-666.830317805654 -277.587268766254 -240.498710085778</f>
        <v>-1184.916296657686</v>
      </c>
      <c r="Q791">
        <f>-493.611404344777 -137.83530922961 -332.777940441444</f>
        <v>-964.22465401583099</v>
      </c>
      <c r="R791" t="s">
        <v>8659</v>
      </c>
      <c r="S791" t="s">
        <v>8660</v>
      </c>
      <c r="T791" t="s">
        <v>8661</v>
      </c>
      <c r="U791" t="s">
        <v>8662</v>
      </c>
      <c r="V791">
        <f>-610.901885102908 -137.801324010934 -98.2584135031348</f>
        <v>-846.96162261697668</v>
      </c>
      <c r="W791" t="s">
        <v>8663</v>
      </c>
      <c r="X791" t="s">
        <v>8664</v>
      </c>
      <c r="Y791" t="s">
        <v>8665</v>
      </c>
    </row>
    <row r="792" spans="1:25" x14ac:dyDescent="0.3">
      <c r="A792">
        <v>39550</v>
      </c>
      <c r="B792" t="s">
        <v>8666</v>
      </c>
      <c r="C792">
        <f>-632.940833632015 -44.8898884455864 -99.5307615105775</f>
        <v>-777.36148358817888</v>
      </c>
      <c r="D792">
        <f>-650.490584866807 -51.6836673733199 -213.820244599976</f>
        <v>-915.9944968401029</v>
      </c>
      <c r="E792">
        <f>-656.926716882308 -55.371848761865 -312.164644491427</f>
        <v>-1024.4632101356001</v>
      </c>
      <c r="F792">
        <f>-659.867923125486 -58.019261749332 -401.173482557006</f>
        <v>-1119.060667431824</v>
      </c>
      <c r="G792">
        <f>-659.579554645266 -59.9350275784522 -490.249252527931</f>
        <v>-1209.763834751649</v>
      </c>
      <c r="H792">
        <f>-655.783610840877 -61.8703072019042 -614.758930611857</f>
        <v>-1332.4128486546383</v>
      </c>
      <c r="I792">
        <f>-622.484448600736 -60.4496778580511 -690.878408904618</f>
        <v>-1373.812535363405</v>
      </c>
      <c r="J792">
        <f>-662.463872899608 -33.7724081993526 -560.544654560986</f>
        <v>-1256.7809356599466</v>
      </c>
      <c r="K792" t="s">
        <v>8667</v>
      </c>
      <c r="L792" t="s">
        <v>8668</v>
      </c>
      <c r="M792" t="s">
        <v>8669</v>
      </c>
      <c r="N792">
        <f>-652.444137051275 -88.2649304491565 -559.3920886225</f>
        <v>-1300.1011561229316</v>
      </c>
      <c r="O792">
        <f>-632.856922789956 -220.391262058012 -526.907593739689</f>
        <v>-1380.1557785876571</v>
      </c>
      <c r="P792">
        <f>-667.558075339411 -278.546892413215 -240.542589401573</f>
        <v>-1186.6475571541989</v>
      </c>
      <c r="Q792">
        <f>-494.406591630008 -138.417171686548 -332.374416029971</f>
        <v>-965.19817934652701</v>
      </c>
      <c r="R792" t="s">
        <v>8670</v>
      </c>
      <c r="S792" t="s">
        <v>8671</v>
      </c>
      <c r="T792" t="s">
        <v>8672</v>
      </c>
      <c r="U792" t="s">
        <v>8673</v>
      </c>
      <c r="V792">
        <f>-611.680448582935 -138.039891178679 -98.2864141025323</f>
        <v>-848.00675386414628</v>
      </c>
      <c r="W792" t="s">
        <v>8674</v>
      </c>
      <c r="X792" t="s">
        <v>8675</v>
      </c>
      <c r="Y792" t="s">
        <v>8676</v>
      </c>
    </row>
    <row r="793" spans="1:25" x14ac:dyDescent="0.3">
      <c r="A793">
        <v>39600</v>
      </c>
      <c r="B793" t="s">
        <v>8677</v>
      </c>
      <c r="C793">
        <f>-635.532857067588 -45.6952922148116 -99.5665956768921</f>
        <v>-780.79474495929173</v>
      </c>
      <c r="D793">
        <f>-653.149499322042 -52.600735015004 -213.839102803637</f>
        <v>-919.58933714068303</v>
      </c>
      <c r="E793">
        <f>-658.693469944091 -56.3949896567332 -312.233835790309</f>
        <v>-1027.3222953911331</v>
      </c>
      <c r="F793">
        <f>-660.444412507364 -59.152558850681 -401.270701340785</f>
        <v>-1120.8676726988299</v>
      </c>
      <c r="G793">
        <f>-658.582109250046 -61.1974494806231 -490.324518853924</f>
        <v>-1210.1040775845931</v>
      </c>
      <c r="H793">
        <f>-652.185041260185 -63.3379741609747 -614.724341964769</f>
        <v>-1330.2473573859288</v>
      </c>
      <c r="I793">
        <f>-617.89123463995 -62.7940282756687 -690.412312220486</f>
        <v>-1371.0975751361048</v>
      </c>
      <c r="J793">
        <f>-660.034640710676 -35.1579376920738 -560.709709145223</f>
        <v>-1255.9022875479727</v>
      </c>
      <c r="K793" t="s">
        <v>8678</v>
      </c>
      <c r="L793" t="s">
        <v>8679</v>
      </c>
      <c r="M793" t="s">
        <v>8680</v>
      </c>
      <c r="N793">
        <f>-649.965491805583 -89.6341488195161 -559.254548201543</f>
        <v>-1298.8541888266423</v>
      </c>
      <c r="O793">
        <f>-631.190189961412 -221.787665411513 -526.40722051411</f>
        <v>-1379.3850758870349</v>
      </c>
      <c r="P793">
        <f>-669.301465482663 -281.592757684162 -240.816499434927</f>
        <v>-1191.710722601752</v>
      </c>
      <c r="Q793">
        <f>-496.060214175766 -140.689909796762 -331.286023975246</f>
        <v>-968.036147947774</v>
      </c>
      <c r="R793" t="s">
        <v>8681</v>
      </c>
      <c r="S793" t="s">
        <v>8682</v>
      </c>
      <c r="T793" t="s">
        <v>8683</v>
      </c>
      <c r="U793" t="s">
        <v>8684</v>
      </c>
      <c r="V793">
        <f>-613.887854314112 -138.820174022499 -98.3105207977713</f>
        <v>-851.0185491343824</v>
      </c>
      <c r="W793" t="s">
        <v>8685</v>
      </c>
      <c r="X793" t="s">
        <v>8686</v>
      </c>
      <c r="Y793" t="s">
        <v>8687</v>
      </c>
    </row>
    <row r="794" spans="1:25" x14ac:dyDescent="0.3">
      <c r="A794">
        <v>39650</v>
      </c>
      <c r="B794" t="s">
        <v>8688</v>
      </c>
      <c r="C794">
        <f>-637.064657605392 -46.2043169969213 -99.6530653454874</f>
        <v>-782.92203994780073</v>
      </c>
      <c r="D794">
        <f>-654.56265515137 -53.1847972052598 -213.939188140976</f>
        <v>-921.68664049760582</v>
      </c>
      <c r="E794">
        <f>-659.439370695795 -57.0373857983118 -312.366931099445</f>
        <v>-1028.8436875935517</v>
      </c>
      <c r="F794">
        <f>-660.358633487465 -59.8523782239873 -401.414594775486</f>
        <v>-1121.6256064869383</v>
      </c>
      <c r="G794">
        <f>-657.436535782601 -61.9624432896383 -490.438486162465</f>
        <v>-1209.8374652347043</v>
      </c>
      <c r="H794">
        <f>-649.32017356526 -64.2057997611346 -614.73606236963</f>
        <v>-1328.2620356960247</v>
      </c>
      <c r="I794">
        <f>-614.188652898444 -64.0001753734784 -690.040503439473</f>
        <v>-1368.2293317113954</v>
      </c>
      <c r="J794">
        <f>-657.922174442062 -35.982447786854 -560.858819328356</f>
        <v>-1254.763441557272</v>
      </c>
      <c r="K794" t="s">
        <v>8689</v>
      </c>
      <c r="L794" t="s">
        <v>8690</v>
      </c>
      <c r="M794" t="s">
        <v>8691</v>
      </c>
      <c r="N794">
        <f>-647.86148229213 -90.454904022086 -559.218716637564</f>
        <v>-1297.5351029517799</v>
      </c>
      <c r="O794">
        <f>-629.584292970743 -222.61260406927 -526.090214595164</f>
        <v>-1378.2871116351771</v>
      </c>
      <c r="P794">
        <f>-670.36735636973 -283.240797939915 -241.042520263349</f>
        <v>-1194.6506745729939</v>
      </c>
      <c r="Q794">
        <f>-496.754492558963 -142.086187921949 -330.400267128011</f>
        <v>-969.24094760892308</v>
      </c>
      <c r="R794" t="s">
        <v>8692</v>
      </c>
      <c r="S794" t="s">
        <v>8693</v>
      </c>
      <c r="T794" t="s">
        <v>8694</v>
      </c>
      <c r="U794" t="s">
        <v>8695</v>
      </c>
      <c r="V794">
        <f>-615.260057464869 -139.29761860778 -98.3071204744177</f>
        <v>-852.8647965470667</v>
      </c>
      <c r="W794" t="s">
        <v>8696</v>
      </c>
      <c r="X794" t="s">
        <v>8697</v>
      </c>
      <c r="Y794" t="s">
        <v>8698</v>
      </c>
    </row>
    <row r="795" spans="1:25" x14ac:dyDescent="0.3">
      <c r="A795">
        <v>39700</v>
      </c>
      <c r="B795" t="s">
        <v>8699</v>
      </c>
      <c r="C795">
        <f>-640.329830236414 -46.8226901840342 -99.7880930198778</f>
        <v>-786.94061344032593</v>
      </c>
      <c r="D795">
        <f>-656.996453454445 -53.923760721304 -214.191041730166</f>
        <v>-925.11125590591507</v>
      </c>
      <c r="E795">
        <f>-660.333785233714 -57.9556634625362 -312.675894533101</f>
        <v>-1030.9653432293512</v>
      </c>
      <c r="F795">
        <f>-659.52855691166 -60.9783471947031 -401.717777602937</f>
        <v>-1122.2246817093001</v>
      </c>
      <c r="G795">
        <f>-654.551255612663 -63.3485716172513 -490.643897806811</f>
        <v>-1208.5437250367254</v>
      </c>
      <c r="H795">
        <f>-643.219253683936 -66.0180983311104 -614.681165546008</f>
        <v>-1323.9185175610544</v>
      </c>
      <c r="I795">
        <f>-606.35841392919 -66.2855924167446 -689.154290377348</f>
        <v>-1361.7982967232826</v>
      </c>
      <c r="J795">
        <f>-653.220588771571 -37.6119044417107 -561.142649986985</f>
        <v>-1251.9751432002668</v>
      </c>
      <c r="K795" t="s">
        <v>8700</v>
      </c>
      <c r="L795" t="s">
        <v>8701</v>
      </c>
      <c r="M795" t="s">
        <v>8702</v>
      </c>
      <c r="N795">
        <f>-643.19117225699 -92.0748622606458 -559.054258921194</f>
        <v>-1294.3202934388296</v>
      </c>
      <c r="O795">
        <f>-625.726953765323 -224.166643366984 -525.181999848433</f>
        <v>-1375.0755969807399</v>
      </c>
      <c r="P795">
        <f>-672.550370926808 -285.731944264881 -241.265615998701</f>
        <v>-1199.54793119039</v>
      </c>
      <c r="Q795">
        <f>-497.87564814116 -143.998224366119 -327.585864500952</f>
        <v>-969.45973700823106</v>
      </c>
      <c r="R795" t="s">
        <v>8703</v>
      </c>
      <c r="S795" t="s">
        <v>8704</v>
      </c>
      <c r="T795" t="s">
        <v>8705</v>
      </c>
      <c r="U795" t="s">
        <v>8706</v>
      </c>
      <c r="V795">
        <f>-618.438545818635 -139.377142235097 -98.2187954573068</f>
        <v>-856.03448351103884</v>
      </c>
      <c r="W795" t="s">
        <v>8707</v>
      </c>
      <c r="X795" t="s">
        <v>8708</v>
      </c>
      <c r="Y795" t="s">
        <v>8709</v>
      </c>
    </row>
    <row r="796" spans="1:25" x14ac:dyDescent="0.3">
      <c r="A796">
        <v>39750</v>
      </c>
      <c r="B796" t="s">
        <v>8710</v>
      </c>
      <c r="C796">
        <f>-641.943336619286 -46.6153170591238 -99.7654270237031</f>
        <v>-788.32408070211284</v>
      </c>
      <c r="D796">
        <f>-657.967925742036 -53.6898434320724 -214.261651074617</f>
        <v>-925.91942024872537</v>
      </c>
      <c r="E796">
        <f>-660.523155751094 -57.7855172517862 -312.76726623229</f>
        <v>-1031.0759392351702</v>
      </c>
      <c r="F796">
        <f>-658.91868424337 -60.906711245602 -401.794963111147</f>
        <v>-1121.6203586001188</v>
      </c>
      <c r="G796">
        <f>-653.051666856218 -63.4184072132921 -490.662825213748</f>
        <v>-1207.1328992832582</v>
      </c>
      <c r="H796">
        <f>-640.383016131916 -66.3338303998407 -614.565343756151</f>
        <v>-1321.2821902879077</v>
      </c>
      <c r="I796">
        <f>-602.760060214139 -66.7145781662355 -688.655837327733</f>
        <v>-1358.1304757081075</v>
      </c>
      <c r="J796">
        <f>-650.983341934546 -37.825824292165 -561.196420240955</f>
        <v>-1250.005586467666</v>
      </c>
      <c r="K796" t="s">
        <v>8711</v>
      </c>
      <c r="L796" t="s">
        <v>8712</v>
      </c>
      <c r="M796" t="s">
        <v>8713</v>
      </c>
      <c r="N796">
        <f>-640.932389314942 -92.2759001070189 -558.887459555896</f>
        <v>-1292.0957489778571</v>
      </c>
      <c r="O796">
        <f>-623.675612384801 -224.303586254401 -524.597888335558</f>
        <v>-1372.5770869747598</v>
      </c>
      <c r="P796">
        <f>-673.367171568039 -285.793093700948 -241.152987702944</f>
        <v>-1200.313252971931</v>
      </c>
      <c r="Q796">
        <f>-498.04208904102 -143.997246356755 -326.040712097044</f>
        <v>-968.08004749481893</v>
      </c>
      <c r="R796" t="s">
        <v>8714</v>
      </c>
      <c r="S796" t="s">
        <v>8715</v>
      </c>
      <c r="T796" t="s">
        <v>8716</v>
      </c>
      <c r="U796" t="s">
        <v>8717</v>
      </c>
      <c r="V796">
        <f>-620.072825175081 -138.691567701819 -98.1798311552891</f>
        <v>-856.94422403218914</v>
      </c>
      <c r="W796" t="s">
        <v>8718</v>
      </c>
      <c r="X796" t="s">
        <v>8719</v>
      </c>
      <c r="Y796" t="s">
        <v>8720</v>
      </c>
    </row>
    <row r="797" spans="1:25" x14ac:dyDescent="0.3">
      <c r="A797">
        <v>39800</v>
      </c>
      <c r="B797" t="s">
        <v>8721</v>
      </c>
      <c r="C797">
        <f>-644.926431610363 -45.7132969802428 -99.6321999553919</f>
        <v>-790.27192854599775</v>
      </c>
      <c r="D797">
        <f>-659.555138744977 -52.5545312506242 -214.329206696935</f>
        <v>-926.43887669253616</v>
      </c>
      <c r="E797">
        <f>-660.681498235599 -56.655830737282 -312.861276197019</f>
        <v>-1030.1986051699</v>
      </c>
      <c r="F797">
        <f>-657.694900514092 -59.8707609700094 -401.850063778747</f>
        <v>-1119.4157252628484</v>
      </c>
      <c r="G797">
        <f>-650.35925350601 -62.5654923582281 -490.603373832132</f>
        <v>-1203.5281196963701</v>
      </c>
      <c r="H797">
        <f>-635.550756506452 -65.832297472468 -614.259546496056</f>
        <v>-1315.642600474976</v>
      </c>
      <c r="I797">
        <f>-596.675736903046 -66.2243902654232 -687.700746148875</f>
        <v>-1350.6008733173442</v>
      </c>
      <c r="J797">
        <f>-647.166003669921 -37.1913792600405 -561.173997723452</f>
        <v>-1245.5313806534136</v>
      </c>
      <c r="K797" t="s">
        <v>8722</v>
      </c>
      <c r="L797" t="s">
        <v>8723</v>
      </c>
      <c r="M797" t="s">
        <v>8724</v>
      </c>
      <c r="N797">
        <f>-636.968507221413 -91.5981750871857 -558.515422668295</f>
        <v>-1287.0821049768938</v>
      </c>
      <c r="O797">
        <f>-619.811787823826 -223.435599221752 -523.523725154448</f>
        <v>-1366.771112200026</v>
      </c>
      <c r="P797">
        <f>-674.287465875447 -284.460605469137 -240.858536180128</f>
        <v>-1199.606607524712</v>
      </c>
      <c r="Q797">
        <f>-498.000759326717 -142.513494468402 -323.471398529662</f>
        <v>-963.98565232478097</v>
      </c>
      <c r="R797" t="s">
        <v>8725</v>
      </c>
      <c r="S797" t="s">
        <v>8726</v>
      </c>
      <c r="T797" t="s">
        <v>8727</v>
      </c>
      <c r="U797" t="s">
        <v>8728</v>
      </c>
      <c r="V797">
        <f>-622.766959536319 -137.490669405183 -98.1473249151882</f>
        <v>-858.4049538566901</v>
      </c>
      <c r="W797" t="s">
        <v>8729</v>
      </c>
      <c r="X797" t="s">
        <v>8730</v>
      </c>
      <c r="Y797" t="s">
        <v>8731</v>
      </c>
    </row>
    <row r="798" spans="1:25" x14ac:dyDescent="0.3">
      <c r="A798">
        <v>39850</v>
      </c>
      <c r="B798" t="s">
        <v>8732</v>
      </c>
      <c r="C798">
        <f>-646.183984494733 -45.3664014525058 -99.6010027656007</f>
        <v>-791.15138871283943</v>
      </c>
      <c r="D798">
        <f>-660.165801622799 -52.0962123904291 -214.385279384949</f>
        <v>-926.647293398177</v>
      </c>
      <c r="E798">
        <f>-660.663545319513 -56.1868428380676 -312.923080277822</f>
        <v>-1029.7734684354027</v>
      </c>
      <c r="F798">
        <f>-657.080674663252 -59.4280640748764 -401.888686981453</f>
        <v>-1118.3974257195814</v>
      </c>
      <c r="G798">
        <f>-649.122251184867 -62.1843746372163 -490.586624967912</f>
        <v>-1201.8932507899951</v>
      </c>
      <c r="H798">
        <f>-633.417308935119 -65.5748301729019 -614.128762021698</f>
        <v>-1313.1209011297187</v>
      </c>
      <c r="I798">
        <f>-594.03175409149 -65.9375563129489 -687.297604607016</f>
        <v>-1347.2669150114548</v>
      </c>
      <c r="J798">
        <f>-645.47455184375 -36.8919478013611 -561.164414346026</f>
        <v>-1243.5309139911369</v>
      </c>
      <c r="K798" t="s">
        <v>8733</v>
      </c>
      <c r="L798" t="s">
        <v>8734</v>
      </c>
      <c r="M798" t="s">
        <v>8735</v>
      </c>
      <c r="N798">
        <f>-635.181996915171 -91.2737473010578 -558.363642419278</f>
        <v>-1284.8193866355068</v>
      </c>
      <c r="O798">
        <f>-618.026242029282 -223.033071558483 -523.095000388661</f>
        <v>-1364.154313976426</v>
      </c>
      <c r="P798">
        <f>-674.135201645658 -284.208290980376 -240.782045788954</f>
        <v>-1199.1255384149879</v>
      </c>
      <c r="Q798">
        <f>-497.662855283445 -141.99214460043 -322.531434966968</f>
        <v>-962.18643485084294</v>
      </c>
      <c r="R798" t="s">
        <v>8736</v>
      </c>
      <c r="S798" t="s">
        <v>8737</v>
      </c>
      <c r="T798" t="s">
        <v>8738</v>
      </c>
      <c r="U798" t="s">
        <v>8739</v>
      </c>
      <c r="V798">
        <f>-623.838385107485 -137.119312806528 -98.1492532107962</f>
        <v>-859.10695112480926</v>
      </c>
      <c r="W798" t="s">
        <v>8740</v>
      </c>
      <c r="X798" t="s">
        <v>8741</v>
      </c>
      <c r="Y798" t="s">
        <v>8742</v>
      </c>
    </row>
    <row r="799" spans="1:25" x14ac:dyDescent="0.3">
      <c r="A799">
        <v>39900</v>
      </c>
      <c r="B799" t="s">
        <v>8743</v>
      </c>
      <c r="C799">
        <f>-648.110206896702 -45.0150471427725 -99.5579733920075</f>
        <v>-792.68322743148201</v>
      </c>
      <c r="D799">
        <f>-661.109522390208 -51.6162821548619 -214.465185597332</f>
        <v>-927.19099014240192</v>
      </c>
      <c r="E799">
        <f>-660.622118736957 -55.696893457894 -313.003321664999</f>
        <v>-1029.32233385985</v>
      </c>
      <c r="F799">
        <f>-656.09303890176 -58.9741836727152 -401.924503153395</f>
        <v>-1116.9917257278703</v>
      </c>
      <c r="G799">
        <f>-647.135633978975 -61.811150186487 -490.52452301742</f>
        <v>-1199.4713071828819</v>
      </c>
      <c r="H799">
        <f>-629.981731205619 -65.3615032812855 -613.869513298936</f>
        <v>-1309.2127477858405</v>
      </c>
      <c r="I799">
        <f>-589.760359417308 -65.6584044848092 -686.582398595404</f>
        <v>-1342.0011624975214</v>
      </c>
      <c r="J799">
        <f>-642.785184172097 -36.6350096455767 -561.104113905217</f>
        <v>-1240.5243077228906</v>
      </c>
      <c r="K799" t="s">
        <v>8744</v>
      </c>
      <c r="L799" t="s">
        <v>8745</v>
      </c>
      <c r="M799" t="s">
        <v>8746</v>
      </c>
      <c r="N799">
        <f>-632.275429754105 -90.9633244157877 -558.078748952709</f>
        <v>-1281.3175031226017</v>
      </c>
      <c r="O799">
        <f>-614.966737760984 -222.597789166174 -522.455865340208</f>
        <v>-1360.0203922673659</v>
      </c>
      <c r="P799">
        <f>-673.365740283109 -284.47902895178 -240.761759220606</f>
        <v>-1198.6065284554948</v>
      </c>
      <c r="Q799">
        <f>-497.042766044048 -141.319576528832 -321.17604517573</f>
        <v>-959.53838774860992</v>
      </c>
      <c r="R799" t="s">
        <v>8747</v>
      </c>
      <c r="S799" t="s">
        <v>8748</v>
      </c>
      <c r="T799" t="s">
        <v>8749</v>
      </c>
      <c r="U799" t="s">
        <v>8750</v>
      </c>
      <c r="V799">
        <f>-625.491975158082 -136.510787541285 -98.0704679490805</f>
        <v>-860.07323064844752</v>
      </c>
      <c r="W799" t="s">
        <v>8751</v>
      </c>
      <c r="X799" t="s">
        <v>8752</v>
      </c>
      <c r="Y799" t="s">
        <v>8753</v>
      </c>
    </row>
    <row r="800" spans="1:25" x14ac:dyDescent="0.3">
      <c r="A800">
        <v>39950</v>
      </c>
      <c r="B800" t="s">
        <v>8754</v>
      </c>
      <c r="C800">
        <f>-648.734693986703 -45.0436924677338 -99.5232959437833</f>
        <v>-793.30168239822001</v>
      </c>
      <c r="D800">
        <f>-661.363797338971 -51.6029713227408 -214.474097452682</f>
        <v>-927.44086611439388</v>
      </c>
      <c r="E800">
        <f>-660.508839847395 -55.6871360029787 -313.00971737214</f>
        <v>-1029.2056932225137</v>
      </c>
      <c r="F800">
        <f>-655.627848968057 -58.9855238205975 -401.911524270382</f>
        <v>-1116.5248970590364</v>
      </c>
      <c r="G800">
        <f>-646.300161041038 -61.8611942798951 -490.471977442862</f>
        <v>-1198.6333327637951</v>
      </c>
      <c r="H800">
        <f>-628.6104036667 -65.4847425865935 -613.739092376747</f>
        <v>-1307.8342386300405</v>
      </c>
      <c r="I800">
        <f>-588.065120806692 -65.752580012217 -686.27205883944</f>
        <v>-1340.0897596583491</v>
      </c>
      <c r="J800">
        <f>-641.711273338852 -36.7407913161146 -561.056340003779</f>
        <v>-1239.5084046587458</v>
      </c>
      <c r="K800" t="s">
        <v>8755</v>
      </c>
      <c r="L800" t="s">
        <v>8756</v>
      </c>
      <c r="M800" t="s">
        <v>8757</v>
      </c>
      <c r="N800">
        <f>-631.078316772727 -91.0395479830472 -557.934346894095</f>
        <v>-1280.0522116498692</v>
      </c>
      <c r="O800">
        <f>-613.575911440644 -222.618771916787 -522.195078055248</f>
        <v>-1358.389761412679</v>
      </c>
      <c r="P800">
        <f>-672.84188736228 -284.813581130516 -240.751248167598</f>
        <v>-1198.4067166603941</v>
      </c>
      <c r="Q800">
        <f>-496.716023877816 -141.073722529116 -320.559954886776</f>
        <v>-958.34970129370799</v>
      </c>
      <c r="R800" t="s">
        <v>8758</v>
      </c>
      <c r="S800" t="s">
        <v>8759</v>
      </c>
      <c r="T800" t="s">
        <v>8760</v>
      </c>
      <c r="U800" t="s">
        <v>8761</v>
      </c>
      <c r="V800">
        <f>-625.933012468121 -136.466516569717 -98.0428811083206</f>
        <v>-860.44241014615852</v>
      </c>
      <c r="W800" t="s">
        <v>8762</v>
      </c>
      <c r="X800" t="s">
        <v>8763</v>
      </c>
      <c r="Y800" t="s">
        <v>8764</v>
      </c>
    </row>
    <row r="801" spans="1:25" x14ac:dyDescent="0.3">
      <c r="A801">
        <v>40000</v>
      </c>
      <c r="B801" t="s">
        <v>8765</v>
      </c>
      <c r="C801">
        <f>-649.242063685952 -45.1774799667912 -99.4692511368719</f>
        <v>-793.88879478961508</v>
      </c>
      <c r="D801">
        <f>-661.455745814832 -51.6764702947171 -214.468479367036</f>
        <v>-927.60069547658509</v>
      </c>
      <c r="E801">
        <f>-660.167422700815 -55.7540658355637 -312.99948699413</f>
        <v>-1028.9209755305087</v>
      </c>
      <c r="F801">
        <f>-654.864469684907 -59.0677038013365 -401.876690216177</f>
        <v>-1115.8088637024205</v>
      </c>
      <c r="G801">
        <f>-645.086056074492 -61.9783157864812 -490.387406028737</f>
        <v>-1197.4517778897102</v>
      </c>
      <c r="H801">
        <f>-626.737381680402 -65.6718894337267 -613.555975966999</f>
        <v>-1305.9652470811277</v>
      </c>
      <c r="I801">
        <f>-585.778093644724 -65.8443981098768 -685.856242055639</f>
        <v>-1337.4787338102396</v>
      </c>
      <c r="J801">
        <f>-640.244877800908 -36.9238438381506 -560.978241639203</f>
        <v>-1238.1469632782614</v>
      </c>
      <c r="K801" t="s">
        <v>8766</v>
      </c>
      <c r="L801" t="s">
        <v>8767</v>
      </c>
      <c r="M801" t="s">
        <v>8768</v>
      </c>
      <c r="N801">
        <f>-629.378544169587 -91.1692069345349 -557.732895837949</f>
        <v>-1278.2806469420709</v>
      </c>
      <c r="O801">
        <f>-611.367074149399 -222.636064685048 -521.794965088886</f>
        <v>-1355.798103923333</v>
      </c>
      <c r="P801">
        <f>-671.795469240026 -285.027902896474 -240.642194392364</f>
        <v>-1197.465566528864</v>
      </c>
      <c r="Q801">
        <f>-496.086130103548 -140.373792824468 -319.713604907044</f>
        <v>-956.17352783505999</v>
      </c>
      <c r="R801" t="s">
        <v>8769</v>
      </c>
      <c r="S801" t="s">
        <v>8770</v>
      </c>
      <c r="T801" t="s">
        <v>8771</v>
      </c>
      <c r="U801" t="s">
        <v>8772</v>
      </c>
      <c r="V801">
        <f>-626.11011263981 -136.281006062085 -98.0261932275884</f>
        <v>-860.41731192948339</v>
      </c>
      <c r="W801" t="s">
        <v>8773</v>
      </c>
      <c r="X801" t="s">
        <v>8774</v>
      </c>
      <c r="Y801" t="s">
        <v>8775</v>
      </c>
    </row>
    <row r="802" spans="1:25" x14ac:dyDescent="0.3">
      <c r="A802">
        <v>40050</v>
      </c>
      <c r="B802" t="s">
        <v>8776</v>
      </c>
      <c r="C802">
        <f>-649.308462280838 -45.419238611853 -99.4529651867396</f>
        <v>-794.18066607943047</v>
      </c>
      <c r="D802">
        <f>-661.470492845635 -51.9124963638693 -214.457925811377</f>
        <v>-927.84091502088131</v>
      </c>
      <c r="E802">
        <f>-660.113818172826 -55.9747523810955 -312.988763935222</f>
        <v>-1029.0773344891436</v>
      </c>
      <c r="F802">
        <f>-654.73918171201 -59.2714952597794 -401.862164437191</f>
        <v>-1115.8728414089803</v>
      </c>
      <c r="G802">
        <f>-644.879457309769 -62.1617989820903 -490.364610009841</f>
        <v>-1197.4058663017004</v>
      </c>
      <c r="H802">
        <f>-626.40750059228 -65.8230329816765 -613.515551524766</f>
        <v>-1305.7460850987227</v>
      </c>
      <c r="I802">
        <f>-585.376562130563 -65.9133679920135 -685.775486812157</f>
        <v>-1337.0654169347335</v>
      </c>
      <c r="J802">
        <f>-640.01751346302 -37.0992428192819 -560.951236965762</f>
        <v>-1238.0679932480639</v>
      </c>
      <c r="K802" t="s">
        <v>8777</v>
      </c>
      <c r="L802" t="s">
        <v>8778</v>
      </c>
      <c r="M802" t="s">
        <v>8779</v>
      </c>
      <c r="N802">
        <f>-629.054685841542 -91.3245081607404 -557.694725251781</f>
        <v>-1278.0739192540634</v>
      </c>
      <c r="O802">
        <f>-610.804911436186 -222.742287139762 -521.697165033967</f>
        <v>-1355.2443636099151</v>
      </c>
      <c r="P802">
        <f>-671.400713246001 -285.042669974807 -240.5600819823</f>
        <v>-1197.0034652031081</v>
      </c>
      <c r="Q802">
        <f>-495.808754174031 -140.218135193618 -319.580235303023</f>
        <v>-955.60712467067196</v>
      </c>
      <c r="R802" t="s">
        <v>8780</v>
      </c>
      <c r="S802" t="s">
        <v>8781</v>
      </c>
      <c r="T802" t="s">
        <v>8782</v>
      </c>
      <c r="U802" t="s">
        <v>8783</v>
      </c>
      <c r="V802">
        <f>-626.035090496894 -136.578022992335 -98.0189980441315</f>
        <v>-860.63211153336056</v>
      </c>
      <c r="W802" t="s">
        <v>8784</v>
      </c>
      <c r="X802" t="s">
        <v>8785</v>
      </c>
      <c r="Y802" t="s">
        <v>8786</v>
      </c>
    </row>
    <row r="803" spans="1:25" x14ac:dyDescent="0.3">
      <c r="A803">
        <v>40100</v>
      </c>
      <c r="B803" t="s">
        <v>8787</v>
      </c>
      <c r="C803">
        <f>-649.18561491679 -46.1516953384016 -99.4510451936309</f>
        <v>-794.78835544882247</v>
      </c>
      <c r="D803">
        <f>-661.431854779958 -52.6334035756878 -214.447663861845</f>
        <v>-928.51292221749077</v>
      </c>
      <c r="E803">
        <f>-660.185585583305 -56.6539877859706 -312.981648322178</f>
        <v>-1029.8212216914535</v>
      </c>
      <c r="F803">
        <f>-654.925194506654 -59.9019814391266 -401.863731912289</f>
        <v>-1116.6909078580695</v>
      </c>
      <c r="G803">
        <f>-645.194032360283 -62.7317290866904 -490.382223769187</f>
        <v>-1198.3079852161604</v>
      </c>
      <c r="H803">
        <f>-626.915972009703 -66.2967202758981 -613.565149549079</f>
        <v>-1306.7778418346802</v>
      </c>
      <c r="I803">
        <f>-586.009335956708 -66.1658698757822 -685.895295562114</f>
        <v>-1338.0705013946042</v>
      </c>
      <c r="J803">
        <f>-640.495014203557 -37.6249839621814 -560.964236447618</f>
        <v>-1239.0842346133563</v>
      </c>
      <c r="K803" t="s">
        <v>8788</v>
      </c>
      <c r="L803" t="s">
        <v>8789</v>
      </c>
      <c r="M803" t="s">
        <v>8790</v>
      </c>
      <c r="N803">
        <f>-629.423526467974 -91.8308659763352 -557.752558922009</f>
        <v>-1279.0069513663184</v>
      </c>
      <c r="O803">
        <f>-610.771615185474 -223.202184295341 -521.807083281013</f>
        <v>-1355.780882761828</v>
      </c>
      <c r="P803">
        <f>-670.737854793873 -285.469587767395 -240.527981409248</f>
        <v>-1196.735423970516</v>
      </c>
      <c r="Q803">
        <f>-495.442975945659 -140.410711195505 -319.777451730061</f>
        <v>-955.63113887122495</v>
      </c>
      <c r="R803" t="s">
        <v>8791</v>
      </c>
      <c r="S803" t="s">
        <v>8792</v>
      </c>
      <c r="T803" t="s">
        <v>8793</v>
      </c>
      <c r="U803" t="s">
        <v>8794</v>
      </c>
      <c r="V803">
        <f>-625.713155398193 -137.380834890829 -98.0228058697078</f>
        <v>-861.1167961587297</v>
      </c>
      <c r="W803" t="s">
        <v>8795</v>
      </c>
      <c r="X803" t="s">
        <v>8796</v>
      </c>
      <c r="Y803" t="s">
        <v>8797</v>
      </c>
    </row>
    <row r="804" spans="1:25" x14ac:dyDescent="0.3">
      <c r="A804">
        <v>40150</v>
      </c>
      <c r="B804" t="s">
        <v>8798</v>
      </c>
      <c r="C804">
        <f>-648.91809642365 -46.6027940813251 -99.4303814669391</f>
        <v>-794.95127197191425</v>
      </c>
      <c r="D804">
        <f>-661.284720211797 -53.1089549164957 -214.412849821788</f>
        <v>-928.80652495008064</v>
      </c>
      <c r="E804">
        <f>-660.186357019084 -57.1006565055991 -312.949702037683</f>
        <v>-1030.236715562366</v>
      </c>
      <c r="F804">
        <f>-655.076682681025 -60.30341582172 -401.842163039171</f>
        <v>-1117.2222615419159</v>
      </c>
      <c r="G804">
        <f>-645.5127061043 -63.0690043431265 -490.38105987772</f>
        <v>-1198.9627703251465</v>
      </c>
      <c r="H804">
        <f>-627.484748572707 -66.5243232540474 -613.603863903132</f>
        <v>-1307.6129357298864</v>
      </c>
      <c r="I804">
        <f>-586.767819451701 -66.2543568468877 -686.040618076259</f>
        <v>-1339.0627943748477</v>
      </c>
      <c r="J804">
        <f>-640.967191766231 -37.9016417734922 -560.951368963573</f>
        <v>-1239.8202025032963</v>
      </c>
      <c r="K804" t="s">
        <v>8799</v>
      </c>
      <c r="L804" t="s">
        <v>8800</v>
      </c>
      <c r="M804" t="s">
        <v>8801</v>
      </c>
      <c r="N804">
        <f>-629.868696062319 -92.1060051079338 -557.807627512768</f>
        <v>-1279.7823286830208</v>
      </c>
      <c r="O804">
        <f>-611.064186367109 -223.497214444198 -521.994066860342</f>
        <v>-1356.5554676716488</v>
      </c>
      <c r="P804">
        <f>-670.362969490989 -285.989222612292 -240.623207977143</f>
        <v>-1196.9754000804242</v>
      </c>
      <c r="Q804">
        <f>-495.248573561991 -140.800009673933 -320.03278760398</f>
        <v>-956.08137083990414</v>
      </c>
      <c r="R804" t="s">
        <v>8802</v>
      </c>
      <c r="S804" t="s">
        <v>8803</v>
      </c>
      <c r="T804" t="s">
        <v>8804</v>
      </c>
      <c r="U804" t="s">
        <v>8805</v>
      </c>
      <c r="V804">
        <f>-625.409296680206 -137.740794080873 -98.0201764361277</f>
        <v>-861.17026719720673</v>
      </c>
      <c r="W804" t="s">
        <v>8806</v>
      </c>
      <c r="X804" t="s">
        <v>8807</v>
      </c>
      <c r="Y804" t="s">
        <v>8808</v>
      </c>
    </row>
    <row r="805" spans="1:25" x14ac:dyDescent="0.3">
      <c r="A805">
        <v>40200</v>
      </c>
      <c r="B805" t="s">
        <v>8809</v>
      </c>
      <c r="C805">
        <f>-648.119655879543 -47.2109042195033 -99.3637124424092</f>
        <v>-794.69427254145546</v>
      </c>
      <c r="D805">
        <f>-660.894960664628 -53.8068179196534 -214.296415038585</f>
        <v>-928.99819362286644</v>
      </c>
      <c r="E805">
        <f>-660.246346453744 -57.7199651709566 -312.84036257287</f>
        <v>-1030.8066741975706</v>
      </c>
      <c r="F805">
        <f>-655.58087868891 -60.7904168457311 -401.761951229725</f>
        <v>-1118.133246764366</v>
      </c>
      <c r="G805">
        <f>-646.496708383362 -63.3626489405241 -490.357101972483</f>
        <v>-1200.2164592963691</v>
      </c>
      <c r="H805">
        <f>-629.174966310154 -66.483982251281 -613.690206447374</f>
        <v>-1309.3491550088088</v>
      </c>
      <c r="I805">
        <f>-589.02341728371 -65.8586009869091 -686.439661370466</f>
        <v>-1341.3216796410852</v>
      </c>
      <c r="J805">
        <f>-642.368535906148 -38.0069919564594 -560.885779861011</f>
        <v>-1241.2613077236183</v>
      </c>
      <c r="K805" t="s">
        <v>8810</v>
      </c>
      <c r="L805" t="s">
        <v>8811</v>
      </c>
      <c r="M805" t="s">
        <v>8812</v>
      </c>
      <c r="N805">
        <f>-631.226281020617 -92.213939076276 -557.949013097953</f>
        <v>-1281.3892331948459</v>
      </c>
      <c r="O805">
        <f>-612.081944452562 -223.650425632456 -522.502623962821</f>
        <v>-1358.2349940478389</v>
      </c>
      <c r="P805">
        <f>-669.695045555836 -286.612016589385 -240.886213017544</f>
        <v>-1197.1932751627651</v>
      </c>
      <c r="Q805">
        <f>-494.918940167578 -141.24169946029 -320.708818455052</f>
        <v>-956.86945808292</v>
      </c>
      <c r="R805" t="s">
        <v>8813</v>
      </c>
      <c r="S805" t="s">
        <v>8814</v>
      </c>
      <c r="T805" t="s">
        <v>8815</v>
      </c>
      <c r="U805" t="s">
        <v>8816</v>
      </c>
      <c r="V805">
        <f>-624.556838963551 -138.252861505276 -97.977166324428</f>
        <v>-860.78686679325494</v>
      </c>
      <c r="W805" t="s">
        <v>8817</v>
      </c>
      <c r="X805" t="s">
        <v>8818</v>
      </c>
      <c r="Y805" t="s">
        <v>8819</v>
      </c>
    </row>
    <row r="806" spans="1:25" x14ac:dyDescent="0.3">
      <c r="A806">
        <v>40250</v>
      </c>
      <c r="B806" t="s">
        <v>8820</v>
      </c>
      <c r="C806">
        <f>-647.559216806321 -47.4917602465149 -99.3251842615374</f>
        <v>-794.37616131437335</v>
      </c>
      <c r="D806">
        <f>-660.619449987786 -54.1458371456952 -214.222502263289</f>
        <v>-928.98778939677015</v>
      </c>
      <c r="E806">
        <f>-660.263694648814 -58.0308108766015 -312.769000295012</f>
        <v>-1031.0635058204275</v>
      </c>
      <c r="F806">
        <f>-655.881221610317 -61.0441234254996 -401.706898081898</f>
        <v>-1118.6322431177146</v>
      </c>
      <c r="G806">
        <f>-647.097411278499 -63.5275564393804 -490.335018515723</f>
        <v>-1200.9599862336024</v>
      </c>
      <c r="H806">
        <f>-630.212531872938 -66.4914624919596 -613.732331210044</f>
        <v>-1310.4363255749417</v>
      </c>
      <c r="I806">
        <f>-590.390124184954 -65.6736588220859 -686.660575754729</f>
        <v>-1342.7243587617691</v>
      </c>
      <c r="J806">
        <f>-643.222451564814 -38.082643125704 -560.845786799845</f>
        <v>-1242.150881490363</v>
      </c>
      <c r="K806" t="s">
        <v>8821</v>
      </c>
      <c r="L806" t="s">
        <v>8822</v>
      </c>
      <c r="M806" t="s">
        <v>8823</v>
      </c>
      <c r="N806">
        <f>-632.062999492431 -92.2917553539347 -558.016720970455</f>
        <v>-1282.3714758168207</v>
      </c>
      <c r="O806">
        <f>-612.711504208562 -223.742695105555 -522.749248711887</f>
        <v>-1359.203448026004</v>
      </c>
      <c r="P806">
        <f>-669.363258116818 -286.912066364784 -240.984438927291</f>
        <v>-1197.2597634088929</v>
      </c>
      <c r="Q806">
        <f>-494.789873243829 -141.442885905737 -321.069951017535</f>
        <v>-957.30271016710094</v>
      </c>
      <c r="R806" t="s">
        <v>8824</v>
      </c>
      <c r="S806" t="s">
        <v>8825</v>
      </c>
      <c r="T806" t="s">
        <v>8826</v>
      </c>
      <c r="U806" t="s">
        <v>8827</v>
      </c>
      <c r="V806">
        <f>-623.95022359896 -138.628376908313 -97.9631101321219</f>
        <v>-860.54171063939486</v>
      </c>
      <c r="W806" t="s">
        <v>8828</v>
      </c>
      <c r="X806" t="s">
        <v>8829</v>
      </c>
      <c r="Y806" t="s">
        <v>8830</v>
      </c>
    </row>
    <row r="807" spans="1:25" x14ac:dyDescent="0.3">
      <c r="A807">
        <v>40300</v>
      </c>
      <c r="B807" t="s">
        <v>8831</v>
      </c>
      <c r="C807">
        <f>-646.084361433978 -48.3931314944552 -99.2826891103134</f>
        <v>-793.76018203874662</v>
      </c>
      <c r="D807">
        <f>-659.839012340881 -55.2015787805359 -214.089844793794</f>
        <v>-929.13043591521091</v>
      </c>
      <c r="E807">
        <f>-660.252342175147 -59.0425139787319 -312.637912740045</f>
        <v>-1031.9327688939238</v>
      </c>
      <c r="F807">
        <f>-656.632319831425 -61.9422356355681 -401.613887461167</f>
        <v>-1120.1884429281599</v>
      </c>
      <c r="G807">
        <f>-648.675548260296 -64.2370723186717 -490.324988220332</f>
        <v>-1203.2376087992998</v>
      </c>
      <c r="H807">
        <f>-633.011876324482 -66.8574552309124 -613.891202323109</f>
        <v>-1313.7605338785033</v>
      </c>
      <c r="I807">
        <f>-593.952776287182 -65.5690957399216 -687.22444331766</f>
        <v>-1346.7463153447636</v>
      </c>
      <c r="J807">
        <f>-645.497055428344 -38.5958694729397 -560.799717629003</f>
        <v>-1244.8926425302866</v>
      </c>
      <c r="K807" t="s">
        <v>8832</v>
      </c>
      <c r="L807" t="s">
        <v>8833</v>
      </c>
      <c r="M807" t="s">
        <v>8834</v>
      </c>
      <c r="N807">
        <f>-634.312315469085 -92.8127993626446 -558.232079167899</f>
        <v>-1285.3571939996286</v>
      </c>
      <c r="O807">
        <f>-614.482526311342 -224.326330984232 -523.463995610396</f>
        <v>-1362.27285290597</v>
      </c>
      <c r="P807">
        <f>-669.167112265764 -287.29441615957 -241.265785579524</f>
        <v>-1197.727314004858</v>
      </c>
      <c r="Q807">
        <f>-494.894659408492 -141.772992577315 -321.910077936875</f>
        <v>-958.57772992268201</v>
      </c>
      <c r="R807" t="s">
        <v>8835</v>
      </c>
      <c r="S807" t="s">
        <v>8836</v>
      </c>
      <c r="T807" t="s">
        <v>8837</v>
      </c>
      <c r="U807" t="s">
        <v>8838</v>
      </c>
      <c r="V807">
        <f>-622.55293205742 -139.855056748728 -97.9399586821335</f>
        <v>-860.34794748828142</v>
      </c>
      <c r="W807" t="s">
        <v>8839</v>
      </c>
      <c r="X807" t="s">
        <v>8840</v>
      </c>
      <c r="Y807" t="s">
        <v>8841</v>
      </c>
    </row>
    <row r="808" spans="1:25" x14ac:dyDescent="0.3">
      <c r="A808">
        <v>40350</v>
      </c>
      <c r="B808" t="s">
        <v>8842</v>
      </c>
      <c r="C808">
        <f>-645.188321560661 -48.8793711014699 -99.285328873838</f>
        <v>-793.35302153596899</v>
      </c>
      <c r="D808">
        <f>-659.354141180895 -55.7843939926754 -214.036600617893</f>
        <v>-929.17513579146339</v>
      </c>
      <c r="E808">
        <f>-660.247463536949 -59.6246078168392 -312.581598335453</f>
        <v>-1032.4536696892412</v>
      </c>
      <c r="F808">
        <f>-657.111206022209 -62.4889945237802 -401.577208616509</f>
        <v>-1121.1774091624982</v>
      </c>
      <c r="G808">
        <f>-649.686733833535 -64.7128818079827 -490.336197561104</f>
        <v>-1204.7358132026216</v>
      </c>
      <c r="H808">
        <f>-634.816044896719 -67.1963683975349 -614.003036138718</f>
        <v>-1316.0154494329718</v>
      </c>
      <c r="I808">
        <f>-596.113907659949 -65.6212049222826 -687.519697557932</f>
        <v>-1349.2548101401635</v>
      </c>
      <c r="J808">
        <f>-646.948717697754 -38.9912566685546 -560.799942530739</f>
        <v>-1246.7399168970476</v>
      </c>
      <c r="K808" t="s">
        <v>8843</v>
      </c>
      <c r="L808" t="s">
        <v>8844</v>
      </c>
      <c r="M808" t="s">
        <v>8845</v>
      </c>
      <c r="N808">
        <f>-635.771090447851 -93.2158266320604 -558.367001384665</f>
        <v>-1287.3539184645763</v>
      </c>
      <c r="O808">
        <f>-615.700720068062 -224.761135738482 -523.854576325687</f>
        <v>-1364.3164321322311</v>
      </c>
      <c r="P808">
        <f>-669.175249797113 -287.288031003992 -241.326503326898</f>
        <v>-1197.789784128003</v>
      </c>
      <c r="Q808">
        <f>-495.06042969669 -141.800325424182 -322.371083370995</f>
        <v>-959.23183849186694</v>
      </c>
      <c r="R808" t="s">
        <v>8846</v>
      </c>
      <c r="S808" t="s">
        <v>8847</v>
      </c>
      <c r="T808" t="s">
        <v>8848</v>
      </c>
      <c r="U808" t="s">
        <v>8849</v>
      </c>
      <c r="V808">
        <f>-621.718774533406 -140.453780464889 -97.9375679564157</f>
        <v>-860.11012295471073</v>
      </c>
      <c r="W808" t="s">
        <v>8850</v>
      </c>
      <c r="X808" t="s">
        <v>8851</v>
      </c>
      <c r="Y808" t="s">
        <v>8852</v>
      </c>
    </row>
    <row r="809" spans="1:25" x14ac:dyDescent="0.3">
      <c r="A809">
        <v>40400</v>
      </c>
      <c r="B809" t="s">
        <v>8853</v>
      </c>
      <c r="C809">
        <f>-643.08118028827 -49.5914038414332 -99.2680222660553</f>
        <v>-791.94060639575855</v>
      </c>
      <c r="D809">
        <f>-658.177465171099 -56.6884408336385 -213.888991715689</f>
        <v>-928.75489772042658</v>
      </c>
      <c r="E809">
        <f>-660.143580063014 -60.5040112404299 -312.419341973254</f>
        <v>-1033.0669332766979</v>
      </c>
      <c r="F809">
        <f>-658.084651877378 -63.2672263826579 -401.449420778161</f>
        <v>-1122.8012990381969</v>
      </c>
      <c r="G809">
        <f>-651.841842020205 -65.3105680640547 -490.30384922281</f>
        <v>-1207.4562593070698</v>
      </c>
      <c r="H809">
        <f>-638.729011497586 -67.4573707602067 -614.175774035857</f>
        <v>-1320.3621562936496</v>
      </c>
      <c r="I809">
        <f>-601.036515347124 -65.3366937382859 -688.201472598607</f>
        <v>-1354.5746816840169</v>
      </c>
      <c r="J809">
        <f>-650.057594777329 -39.387554628149 -560.724399555075</f>
        <v>-1250.1695489605531</v>
      </c>
      <c r="K809" t="s">
        <v>8854</v>
      </c>
      <c r="L809" t="s">
        <v>8855</v>
      </c>
      <c r="M809" t="s">
        <v>8856</v>
      </c>
      <c r="N809">
        <f>-638.941083399413 -93.6378965820023 -558.607464361423</f>
        <v>-1291.1864443428383</v>
      </c>
      <c r="O809">
        <f>-618.450095692767 -225.26464462926 -524.646200977927</f>
        <v>-1368.360941299954</v>
      </c>
      <c r="P809">
        <f>-668.47301193732 -287.479036253847 -241.417854377149</f>
        <v>-1197.3699025683161</v>
      </c>
      <c r="Q809">
        <f>-494.396107175517 -142.763812865967 -323.913923629573</f>
        <v>-961.07384367105692</v>
      </c>
      <c r="R809" t="s">
        <v>8857</v>
      </c>
      <c r="S809" t="s">
        <v>8858</v>
      </c>
      <c r="T809" t="s">
        <v>8859</v>
      </c>
      <c r="U809" t="s">
        <v>8860</v>
      </c>
      <c r="V809">
        <f>-619.658329234476 -141.281286360411 -97.9354818875456</f>
        <v>-858.87509748243269</v>
      </c>
      <c r="W809" t="s">
        <v>8861</v>
      </c>
      <c r="X809" t="s">
        <v>8862</v>
      </c>
      <c r="Y809" t="s">
        <v>8863</v>
      </c>
    </row>
    <row r="810" spans="1:25" x14ac:dyDescent="0.3">
      <c r="A810">
        <v>40450</v>
      </c>
      <c r="B810" t="s">
        <v>8864</v>
      </c>
      <c r="C810">
        <f>-641.883782327462 -49.8335344612956 -99.2571559929786</f>
        <v>-790.97447278173615</v>
      </c>
      <c r="D810">
        <f>-657.466811116602 -57.0304761472194 -213.806629335891</f>
        <v>-928.30391659971235</v>
      </c>
      <c r="E810">
        <f>-659.968764844437 -60.8094098334836 -312.326359127533</f>
        <v>-1033.1045338054537</v>
      </c>
      <c r="F810">
        <f>-658.440435850433 -63.4883197434123 -401.369645579506</f>
        <v>-1123.2984011733513</v>
      </c>
      <c r="G810">
        <f>-652.772840747745 -65.3955115890735 -490.265578725221</f>
        <v>-1208.4339310620396</v>
      </c>
      <c r="H810">
        <f>-640.509309196081 -67.2971998831661 -614.228416637065</f>
        <v>-1322.034925716312</v>
      </c>
      <c r="I810">
        <f>-603.42784565588 -64.9222335560804 -688.554565902123</f>
        <v>-1356.9046451140835</v>
      </c>
      <c r="J810">
        <f>-651.445759890259 -39.3278732719025 -560.642773309798</f>
        <v>-1251.4164064719594</v>
      </c>
      <c r="K810" t="s">
        <v>8865</v>
      </c>
      <c r="L810" t="s">
        <v>8866</v>
      </c>
      <c r="M810" t="s">
        <v>8867</v>
      </c>
      <c r="N810">
        <f>-640.366021074977 -93.5928176665079 -558.714310597145</f>
        <v>-1292.6731493386299</v>
      </c>
      <c r="O810">
        <f>-619.715107832382 -225.291868560112 -525.114128045101</f>
        <v>-1370.121104437595</v>
      </c>
      <c r="P810">
        <f>-667.808687035933 -287.632443412649 -241.579541398044</f>
        <v>-1197.0206718466261</v>
      </c>
      <c r="Q810">
        <f>-493.806433413361 -143.381769746849 -325.041065640666</f>
        <v>-962.22926880087584</v>
      </c>
      <c r="R810" t="s">
        <v>8868</v>
      </c>
      <c r="S810" t="s">
        <v>8869</v>
      </c>
      <c r="T810" t="s">
        <v>8870</v>
      </c>
      <c r="U810" t="s">
        <v>8871</v>
      </c>
      <c r="V810">
        <f>-618.474371153663 -141.654031340959 -97.9393456713399</f>
        <v>-858.06774816596192</v>
      </c>
      <c r="W810" t="s">
        <v>8872</v>
      </c>
      <c r="X810" t="s">
        <v>8873</v>
      </c>
      <c r="Y810" t="s">
        <v>8874</v>
      </c>
    </row>
    <row r="811" spans="1:25" x14ac:dyDescent="0.3">
      <c r="A811">
        <v>40500</v>
      </c>
      <c r="B811" t="s">
        <v>8875</v>
      </c>
      <c r="C811">
        <f>-639.419962653085 -50.233466719789 -99.2548000658308</f>
        <v>-788.90822943870489</v>
      </c>
      <c r="D811">
        <f>-655.934484732218 -57.5336890369578 -213.66718214773</f>
        <v>-927.13535591690584</v>
      </c>
      <c r="E811">
        <f>-659.420985042663 -61.168651446435 -312.162377517535</f>
        <v>-1032.7520140066331</v>
      </c>
      <c r="F811">
        <f>-658.855315173798 -63.6179863714027 -401.223693001813</f>
        <v>-1123.6969945470137</v>
      </c>
      <c r="G811">
        <f>-654.220507884375 -65.1951726181076 -490.185795819157</f>
        <v>-1209.6014763216397</v>
      </c>
      <c r="H811">
        <f>-643.471629299238 -66.5273267368933 -614.296670941424</f>
        <v>-1324.2956269775555</v>
      </c>
      <c r="I811">
        <f>-607.632790133385 -63.6591769621191 -689.212486357197</f>
        <v>-1360.504453452701</v>
      </c>
      <c r="J811">
        <f>-653.705886796622 -38.7950634236736 -560.449737530878</f>
        <v>-1252.9506877511735</v>
      </c>
      <c r="K811" t="s">
        <v>8876</v>
      </c>
      <c r="L811" t="s">
        <v>8877</v>
      </c>
      <c r="M811" t="s">
        <v>8878</v>
      </c>
      <c r="N811">
        <f>-642.697490326424 -93.0870720082436 -558.913499473535</f>
        <v>-1294.6980618082025</v>
      </c>
      <c r="O811">
        <f>-621.84607949846 -224.953591683226 -526.144744960485</f>
        <v>-1372.9444161421711</v>
      </c>
      <c r="P811">
        <f>-665.499567957936 -288.294593766782 -242.113971929703</f>
        <v>-1195.9081336544211</v>
      </c>
      <c r="Q811">
        <f>-491.723747305403 -144.837312967723 -327.394861608271</f>
        <v>-963.95592188139699</v>
      </c>
      <c r="R811" t="s">
        <v>8879</v>
      </c>
      <c r="S811" t="s">
        <v>8880</v>
      </c>
      <c r="T811" t="s">
        <v>8881</v>
      </c>
      <c r="U811" t="s">
        <v>8882</v>
      </c>
      <c r="V811">
        <f>-616.149801113471 -142.331704302634 -97.9511239776907</f>
        <v>-856.43262939379565</v>
      </c>
      <c r="W811" t="s">
        <v>8883</v>
      </c>
      <c r="X811" t="s">
        <v>8884</v>
      </c>
      <c r="Y811" t="s">
        <v>8885</v>
      </c>
    </row>
    <row r="812" spans="1:25" x14ac:dyDescent="0.3">
      <c r="A812">
        <v>40550</v>
      </c>
      <c r="B812" t="s">
        <v>8886</v>
      </c>
      <c r="C812">
        <f>-638.213252647931 -50.3919572583359 -99.2621234777404</f>
        <v>-787.86733338400722</v>
      </c>
      <c r="D812">
        <f>-655.139746640084 -57.7396421828097 -213.611239829972</f>
        <v>-926.49062865286567</v>
      </c>
      <c r="E812">
        <f>-659.029377005924 -61.2984472309766 -312.09408582422</f>
        <v>-1032.4219100611206</v>
      </c>
      <c r="F812">
        <f>-658.847348744141 -63.628694845739 -401.160175748473</f>
        <v>-1123.6362193383529</v>
      </c>
      <c r="G812">
        <f>-654.614513660184 -65.0361629588238 -490.14524258627</f>
        <v>-1209.7959192052776</v>
      </c>
      <c r="H812">
        <f>-644.445621128723 -66.0766801033492 -614.307849255385</f>
        <v>-1324.8301504874571</v>
      </c>
      <c r="I812">
        <f>-609.163640068609 -62.9586019901235 -689.47751816521</f>
        <v>-1361.5997602239424</v>
      </c>
      <c r="J812">
        <f>-654.404296369007 -38.4661941195548 -560.346613171453</f>
        <v>-1253.2171036600148</v>
      </c>
      <c r="K812" t="s">
        <v>8887</v>
      </c>
      <c r="L812" t="s">
        <v>8888</v>
      </c>
      <c r="M812" t="s">
        <v>8889</v>
      </c>
      <c r="N812">
        <f>-643.436608206079 -92.7713121260731 -558.993370547323</f>
        <v>-1295.201290879475</v>
      </c>
      <c r="O812">
        <f>-622.50039343453 -224.735463717279 -526.67030184581</f>
        <v>-1373.9061589976191</v>
      </c>
      <c r="P812">
        <f>-663.74862886472 -288.785310498067 -242.438937480254</f>
        <v>-1194.9728768430409</v>
      </c>
      <c r="Q812">
        <f>-490.115990669258 -145.781053976123 -328.766129863328</f>
        <v>-964.66317450870906</v>
      </c>
      <c r="R812" t="s">
        <v>8890</v>
      </c>
      <c r="S812" t="s">
        <v>8891</v>
      </c>
      <c r="T812" t="s">
        <v>8892</v>
      </c>
      <c r="U812" t="s">
        <v>8893</v>
      </c>
      <c r="V812">
        <f>-615.038987299629 -142.636312455381 -97.9660079527869</f>
        <v>-855.64130770779684</v>
      </c>
      <c r="W812" t="s">
        <v>8894</v>
      </c>
      <c r="X812" t="s">
        <v>8895</v>
      </c>
      <c r="Y812" t="s">
        <v>8896</v>
      </c>
    </row>
    <row r="813" spans="1:25" x14ac:dyDescent="0.3">
      <c r="A813">
        <v>40600</v>
      </c>
      <c r="B813" t="s">
        <v>8897</v>
      </c>
      <c r="C813">
        <f>-636.044911281974 -50.1431456627544 -99.299674071421</f>
        <v>-785.48773101614938</v>
      </c>
      <c r="D813">
        <f>-653.6927178895 -57.5551531348352 -213.535694728272</f>
        <v>-924.78356575260727</v>
      </c>
      <c r="E813">
        <f>-658.258474619897 -60.9349893726992 -311.995740960972</f>
        <v>-1031.1892049535682</v>
      </c>
      <c r="F813">
        <f>-658.709650153051 -63.0027153676449 -401.067373428438</f>
        <v>-1122.7797389491338</v>
      </c>
      <c r="G813">
        <f>-655.13043050734 -64.0451542586569 -490.086163143167</f>
        <v>-1209.2617479091639</v>
      </c>
      <c r="H813">
        <f>-645.895265963669 -64.4659413410456 -614.325229331099</f>
        <v>-1324.6864366358136</v>
      </c>
      <c r="I813">
        <f>-611.679015679298 -60.8001142787439 -689.961343716819</f>
        <v>-1362.4404736748609</v>
      </c>
      <c r="J813">
        <f>-655.40288972006 -37.1162057790923 -560.150407996003</f>
        <v>-1252.6695034951554</v>
      </c>
      <c r="K813" t="s">
        <v>8898</v>
      </c>
      <c r="L813" t="s">
        <v>8899</v>
      </c>
      <c r="M813" t="s">
        <v>8900</v>
      </c>
      <c r="N813">
        <f>-644.51557358544 -91.4453350478085 -559.157137572725</f>
        <v>-1295.1180462059735</v>
      </c>
      <c r="O813">
        <f>-623.427624096609 -223.592165108924 -527.675151103884</f>
        <v>-1374.694940309417</v>
      </c>
      <c r="P813">
        <f>-659.621412226446 -289.133418688125 -243.095512854158</f>
        <v>-1191.8503437687289</v>
      </c>
      <c r="Q813">
        <f>-486.91604257903 -146.419195011714 -331.73166788926</f>
        <v>-965.06690548000392</v>
      </c>
      <c r="R813" t="s">
        <v>8901</v>
      </c>
      <c r="S813" t="s">
        <v>8902</v>
      </c>
      <c r="T813" t="s">
        <v>8903</v>
      </c>
      <c r="U813" t="s">
        <v>8904</v>
      </c>
      <c r="V813">
        <f>-613.012339547325 -142.555405153613 -97.998357212403</f>
        <v>-853.56610191334107</v>
      </c>
      <c r="W813" t="s">
        <v>8905</v>
      </c>
      <c r="X813" t="s">
        <v>8906</v>
      </c>
      <c r="Y813" t="s">
        <v>8907</v>
      </c>
    </row>
    <row r="814" spans="1:25" x14ac:dyDescent="0.3">
      <c r="A814">
        <v>40650</v>
      </c>
      <c r="B814" t="s">
        <v>8908</v>
      </c>
      <c r="C814">
        <f>-635.094822703971 -49.860496456717 -99.3319530188011</f>
        <v>-784.28727217948904</v>
      </c>
      <c r="D814">
        <f>-652.994913815075 -57.2917560077851 -213.527287685984</f>
        <v>-923.81395750884417</v>
      </c>
      <c r="E814">
        <f>-657.852762577693 -60.5774556545053 -311.976615414154</f>
        <v>-1030.4068336463524</v>
      </c>
      <c r="F814">
        <f>-658.598084716026 -62.5133212566077 -401.04937481078</f>
        <v>-1122.1607807834139</v>
      </c>
      <c r="G814">
        <f>-655.342274777342 -63.3759297106457 -490.082391186832</f>
        <v>-1208.8005956748198</v>
      </c>
      <c r="H814">
        <f>-646.589088849741 -63.494412535428 -614.357080608667</f>
        <v>-1324.4405819938361</v>
      </c>
      <c r="I814">
        <f>-612.879728373324 -59.5413125318896 -690.20608749509</f>
        <v>-1362.6271284003037</v>
      </c>
      <c r="J814">
        <f>-655.863545259821 -36.2721393502661 -560.077820762424</f>
        <v>-1252.213505372511</v>
      </c>
      <c r="K814" t="s">
        <v>8909</v>
      </c>
      <c r="L814" t="s">
        <v>8910</v>
      </c>
      <c r="M814" t="s">
        <v>8911</v>
      </c>
      <c r="N814">
        <f>-645.018365871418 -90.6125677701683 -559.262164080871</f>
        <v>-1294.8930977224572</v>
      </c>
      <c r="O814">
        <f>-623.892692719097 -222.834619629231 -528.131785540339</f>
        <v>-1374.8590978886671</v>
      </c>
      <c r="P814">
        <f>-657.598662483433 -288.827079645983 -243.350833838073</f>
        <v>-1189.776575967489</v>
      </c>
      <c r="Q814">
        <f>-485.498290069184 -146.125014085289 -333.17551198039</f>
        <v>-964.79881613486305</v>
      </c>
      <c r="R814" t="s">
        <v>8912</v>
      </c>
      <c r="S814" t="s">
        <v>8913</v>
      </c>
      <c r="T814" t="s">
        <v>8914</v>
      </c>
      <c r="U814" t="s">
        <v>8915</v>
      </c>
      <c r="V814">
        <f>-612.155646422298 -142.320044768968 -98.0109456217193</f>
        <v>-852.48663681298524</v>
      </c>
      <c r="W814" t="s">
        <v>8916</v>
      </c>
      <c r="X814" t="s">
        <v>8917</v>
      </c>
      <c r="Y814" t="s">
        <v>8918</v>
      </c>
    </row>
    <row r="815" spans="1:25" x14ac:dyDescent="0.3">
      <c r="A815">
        <v>40700</v>
      </c>
      <c r="B815" t="s">
        <v>8919</v>
      </c>
      <c r="C815">
        <f>-633.37360915413 -49.2700935993099 -99.3466407568116</f>
        <v>-781.99034351025148</v>
      </c>
      <c r="D815">
        <f>-651.650490583523 -56.7441819832786 -213.479624513082</f>
        <v>-921.87429707988372</v>
      </c>
      <c r="E815">
        <f>-657.046061165564 -59.8870617502319 -311.90546331846</f>
        <v>-1028.8385862342559</v>
      </c>
      <c r="F815">
        <f>-658.363042687757 -61.6166770097697 -400.975745023101</f>
        <v>-1120.9554647206278</v>
      </c>
      <c r="G815">
        <f>-655.763366385816 -62.1948148344869 -490.032732257924</f>
        <v>-1207.990913478227</v>
      </c>
      <c r="H815">
        <f>-648.014292798205 -61.8314713448231 -614.373656738229</f>
        <v>-1324.2194208812571</v>
      </c>
      <c r="I815">
        <f>-615.225070920577 -57.3414865760436 -690.595208857064</f>
        <v>-1363.1617663536845</v>
      </c>
      <c r="J815">
        <f>-656.822928295682 -34.8145178168695 -559.914325828753</f>
        <v>-1251.5517719413047</v>
      </c>
      <c r="K815" t="s">
        <v>8920</v>
      </c>
      <c r="L815" t="s">
        <v>8921</v>
      </c>
      <c r="M815" t="s">
        <v>8922</v>
      </c>
      <c r="N815">
        <f>-646.025668291569 -89.1682106354143 -559.400413272991</f>
        <v>-1294.5942921999745</v>
      </c>
      <c r="O815">
        <f>-624.711689871199 -221.477801866209 -528.791548220804</f>
        <v>-1374.981039958212</v>
      </c>
      <c r="P815">
        <f>-654.864260193202 -287.559727894491 -243.633344827253</f>
        <v>-1186.0573329149461</v>
      </c>
      <c r="Q815">
        <f>-483.893597589383 -144.589387717292 -335.172410037312</f>
        <v>-963.65539534398704</v>
      </c>
      <c r="R815" t="s">
        <v>8923</v>
      </c>
      <c r="S815" t="s">
        <v>8924</v>
      </c>
      <c r="T815" t="s">
        <v>8925</v>
      </c>
      <c r="U815" t="s">
        <v>8926</v>
      </c>
      <c r="V815">
        <f>-610.593889521357 -141.819735955856 -98.0233603067406</f>
        <v>-850.43698578395367</v>
      </c>
      <c r="W815" t="s">
        <v>8927</v>
      </c>
      <c r="X815" t="s">
        <v>8928</v>
      </c>
      <c r="Y815" t="s">
        <v>8929</v>
      </c>
    </row>
    <row r="816" spans="1:25" x14ac:dyDescent="0.3">
      <c r="A816">
        <v>40750</v>
      </c>
      <c r="B816" t="s">
        <v>8930</v>
      </c>
      <c r="C816">
        <f>-632.619717029527 -48.9013358566579 -99.3248050248646</f>
        <v>-780.84585791104951</v>
      </c>
      <c r="D816">
        <f>-651.064745232613 -56.4075840586896 -213.428524709409</f>
        <v>-920.90085400071155</v>
      </c>
      <c r="E816">
        <f>-656.708584129046 -59.5115057193543 -311.841752211315</f>
        <v>-1028.0618420597152</v>
      </c>
      <c r="F816">
        <f>-658.29164167998 -61.1776431512876 -400.908929077704</f>
        <v>-1120.3782139089717</v>
      </c>
      <c r="G816">
        <f>-655.999005592683 -61.6635085471544 -489.974912045508</f>
        <v>-1207.6374261853455</v>
      </c>
      <c r="H816">
        <f>-648.721771075602 -61.1399535068988 -614.343702379951</f>
        <v>-1324.2054269624518</v>
      </c>
      <c r="I816">
        <f>-616.361923982719 -56.4375172268479 -690.735776880085</f>
        <v>-1363.5352180896521</v>
      </c>
      <c r="J816">
        <f>-657.319533213227 -34.1922766318155 -559.816373473676</f>
        <v>-1251.3281833187184</v>
      </c>
      <c r="K816" t="s">
        <v>8931</v>
      </c>
      <c r="L816" t="s">
        <v>8932</v>
      </c>
      <c r="M816" t="s">
        <v>8933</v>
      </c>
      <c r="N816">
        <f>-646.528718666206 -88.5482717246714 -559.413730892182</f>
        <v>-1294.4907212830594</v>
      </c>
      <c r="O816">
        <f>-625.084311311693 -220.878460689185 -528.991214803351</f>
        <v>-1374.9539868042289</v>
      </c>
      <c r="P816">
        <f>-654.411668446249 -286.817866447731 -243.713943183042</f>
        <v>-1184.9434780770218</v>
      </c>
      <c r="Q816">
        <f>-483.859511175238 -143.575658077934 -335.607899723795</f>
        <v>-963.04306897696711</v>
      </c>
      <c r="R816" t="s">
        <v>8934</v>
      </c>
      <c r="S816" t="s">
        <v>8935</v>
      </c>
      <c r="T816" t="s">
        <v>8936</v>
      </c>
      <c r="U816" t="s">
        <v>8937</v>
      </c>
      <c r="V816">
        <f>-609.885014035433 -141.44885237688 -98.0257226121366</f>
        <v>-849.35958902444963</v>
      </c>
      <c r="W816" t="s">
        <v>8938</v>
      </c>
      <c r="X816" t="s">
        <v>8939</v>
      </c>
      <c r="Y816" t="s">
        <v>8940</v>
      </c>
    </row>
    <row r="817" spans="1:25" x14ac:dyDescent="0.3">
      <c r="A817">
        <v>40800</v>
      </c>
      <c r="B817" t="s">
        <v>8941</v>
      </c>
      <c r="C817">
        <f>-631.236462053467 -48.1636634585972 -99.3480176456558</f>
        <v>-778.74814315771994</v>
      </c>
      <c r="D817">
        <f>-649.932850773501 -55.7412685396801 -213.406146198979</f>
        <v>-919.08026551215994</v>
      </c>
      <c r="E817">
        <f>-655.951999583226 -58.8114642501248 -311.798163542233</f>
        <v>-1026.5616273755838</v>
      </c>
      <c r="F817">
        <f>-657.937594377007 -60.4081296781129 -400.858591057546</f>
        <v>-1119.2043151126659</v>
      </c>
      <c r="G817">
        <f>-656.110022178923 -60.7853974100777 -489.935777423886</f>
        <v>-1206.8311970128868</v>
      </c>
      <c r="H817">
        <f>-649.547217628348 -60.0682532816618 -614.343343240589</f>
        <v>-1323.9588141505988</v>
      </c>
      <c r="I817">
        <f>-617.893354418818 -55.0314788325811 -691.009335460821</f>
        <v>-1363.9341687122201</v>
      </c>
      <c r="J817">
        <f>-657.818920245776 -33.2030282253827 -559.725084100028</f>
        <v>-1250.7470325711865</v>
      </c>
      <c r="K817" t="s">
        <v>8942</v>
      </c>
      <c r="L817" t="s">
        <v>8943</v>
      </c>
      <c r="M817" t="s">
        <v>8944</v>
      </c>
      <c r="N817">
        <f>-647.051450479346 -87.5644925059617 -559.470308930671</f>
        <v>-1294.0862519159787</v>
      </c>
      <c r="O817">
        <f>-625.443904133673 -219.915710846525 -529.24895852815</f>
        <v>-1374.6085735083479</v>
      </c>
      <c r="P817">
        <f>-654.685735262863 -285.32485469396 -243.840880690209</f>
        <v>-1183.8514706470319</v>
      </c>
      <c r="Q817">
        <f>-484.445691720366 -141.640342308192 -335.623055241371</f>
        <v>-961.70908926992911</v>
      </c>
      <c r="R817" t="s">
        <v>8945</v>
      </c>
      <c r="S817" t="s">
        <v>8946</v>
      </c>
      <c r="T817" t="s">
        <v>8947</v>
      </c>
      <c r="U817" t="s">
        <v>8948</v>
      </c>
      <c r="V817">
        <f>-608.365467460821 -140.892254586615 -98.0505600706562</f>
        <v>-847.30828211809217</v>
      </c>
      <c r="W817" t="s">
        <v>8949</v>
      </c>
      <c r="X817" t="s">
        <v>8950</v>
      </c>
      <c r="Y817" t="s">
        <v>8951</v>
      </c>
    </row>
    <row r="818" spans="1:25" x14ac:dyDescent="0.3">
      <c r="A818">
        <v>40850</v>
      </c>
      <c r="B818" t="s">
        <v>8952</v>
      </c>
      <c r="C818">
        <f>-630.482254017406 -47.8533745357224 -99.3831681934787</f>
        <v>-777.71879674660715</v>
      </c>
      <c r="D818">
        <f>-649.265014555096 -55.4523652219752 -213.425660696782</f>
        <v>-918.14304047385315</v>
      </c>
      <c r="E818">
        <f>-655.413950787514 -58.5203674254194 -311.809653240424</f>
        <v>-1025.7439714533573</v>
      </c>
      <c r="F818">
        <f>-657.539113001359 -60.1063552854088 -400.867052942098</f>
        <v>-1118.5125212288658</v>
      </c>
      <c r="G818">
        <f>-655.873023377129 -60.4642674968046 -489.947499717864</f>
        <v>-1206.2847905917977</v>
      </c>
      <c r="H818">
        <f>-649.558620809722 -59.711176241171 -614.367667555634</f>
        <v>-1323.6374646065269</v>
      </c>
      <c r="I818">
        <f>-618.14189165664 -54.5624474623825 -691.123896804866</f>
        <v>-1363.8282359238885</v>
      </c>
      <c r="J818">
        <f>-657.707739802234 -32.8590935205903 -559.724536203935</f>
        <v>-1250.2913695267594</v>
      </c>
      <c r="K818" t="s">
        <v>8953</v>
      </c>
      <c r="L818" t="s">
        <v>8954</v>
      </c>
      <c r="M818" t="s">
        <v>8955</v>
      </c>
      <c r="N818">
        <f>-646.966939212233 -87.2259784653415 -559.508527874868</f>
        <v>-1293.7014455524427</v>
      </c>
      <c r="O818">
        <f>-625.360516059981 -219.579787744633 -529.298804365911</f>
        <v>-1374.239108170525</v>
      </c>
      <c r="P818">
        <f>-654.891477982822 -284.640141598403 -243.840754575765</f>
        <v>-1183.37237415699</v>
      </c>
      <c r="Q818">
        <f>-484.563945201491 -140.970119850979 -335.483047056902</f>
        <v>-961.01711210937196</v>
      </c>
      <c r="R818" t="s">
        <v>8956</v>
      </c>
      <c r="S818" t="s">
        <v>8957</v>
      </c>
      <c r="T818" t="s">
        <v>8958</v>
      </c>
      <c r="U818" t="s">
        <v>8959</v>
      </c>
      <c r="V818">
        <f>-607.553551964775 -140.715737333758 -98.0760308985369</f>
        <v>-846.34532019707001</v>
      </c>
      <c r="W818" t="s">
        <v>8960</v>
      </c>
      <c r="X818" t="s">
        <v>8961</v>
      </c>
      <c r="Y818" t="s">
        <v>8962</v>
      </c>
    </row>
    <row r="819" spans="1:25" x14ac:dyDescent="0.3">
      <c r="A819">
        <v>40900</v>
      </c>
      <c r="B819" t="s">
        <v>8963</v>
      </c>
      <c r="C819">
        <f>-629.110664676548 -47.1931150610536 -99.3997459365931</f>
        <v>-775.70352567419479</v>
      </c>
      <c r="D819">
        <f>-648.152015782186 -54.8902818202133 -213.392746518658</f>
        <v>-916.43504412105733</v>
      </c>
      <c r="E819">
        <f>-654.545989014971 -57.9693154618396 -311.76082105298</f>
        <v>-1024.2761255297908</v>
      </c>
      <c r="F819">
        <f>-656.901753675656 -59.5343792114321 -400.812750816814</f>
        <v>-1117.248883703902</v>
      </c>
      <c r="G819">
        <f>-655.474856294893 -59.8400092454989 -489.89772315597</f>
        <v>-1205.212588696362</v>
      </c>
      <c r="H819">
        <f>-649.503497270657 -58.9801698643146 -614.334046021349</f>
        <v>-1322.8177131563207</v>
      </c>
      <c r="I819">
        <f>-618.245816474292 -53.6391292230351 -691.142072563162</f>
        <v>-1363.0270182604891</v>
      </c>
      <c r="J819">
        <f>-657.482050190278 -32.1711428334161 -559.644629681136</f>
        <v>-1249.2978227048302</v>
      </c>
      <c r="K819" t="s">
        <v>8964</v>
      </c>
      <c r="L819" t="s">
        <v>8965</v>
      </c>
      <c r="M819" t="s">
        <v>8966</v>
      </c>
      <c r="N819">
        <f>-646.780385142127 -86.5460368343495 -559.506842637256</f>
        <v>-1292.8332646137324</v>
      </c>
      <c r="O819">
        <f>-625.282186703968 -218.93362266603 -529.341385391838</f>
        <v>-1373.5571947618359</v>
      </c>
      <c r="P819">
        <f>-655.229367317215 -283.431836026589 -243.799187428382</f>
        <v>-1182.460390772186</v>
      </c>
      <c r="Q819">
        <f>-484.543177148826 -140.134948880864 -335.358521169357</f>
        <v>-960.03664719904702</v>
      </c>
      <c r="R819" t="s">
        <v>8967</v>
      </c>
      <c r="S819" t="s">
        <v>8968</v>
      </c>
      <c r="T819" t="s">
        <v>8969</v>
      </c>
      <c r="U819" t="s">
        <v>8970</v>
      </c>
      <c r="V819">
        <f>-606.349196972132 -140.088806725913 -98.0751994856911</f>
        <v>-844.51320318373598</v>
      </c>
      <c r="W819" t="s">
        <v>8971</v>
      </c>
      <c r="X819" t="s">
        <v>8972</v>
      </c>
      <c r="Y819" t="s">
        <v>8973</v>
      </c>
    </row>
    <row r="820" spans="1:25" x14ac:dyDescent="0.3">
      <c r="A820">
        <v>40950</v>
      </c>
      <c r="B820" t="s">
        <v>8974</v>
      </c>
      <c r="C820">
        <f>-628.557294521775 -46.685055495888 -99.4120581128886</f>
        <v>-774.6544081305517</v>
      </c>
      <c r="D820">
        <f>-647.755490568496 -54.4233905266603 -213.375969621048</f>
        <v>-915.55485071620433</v>
      </c>
      <c r="E820">
        <f>-654.233908439235 -57.4942466538282 -311.738849458342</f>
        <v>-1023.4670045514052</v>
      </c>
      <c r="F820">
        <f>-656.64580585084 -59.0328950140823 -400.789707024953</f>
        <v>-1116.4684078898754</v>
      </c>
      <c r="G820">
        <f>-655.254866581248 -59.2926204822113 -489.875276617271</f>
        <v>-1204.4227636807304</v>
      </c>
      <c r="H820">
        <f>-649.312608304979 -58.3481112543618 -614.312405245875</f>
        <v>-1321.9731248052158</v>
      </c>
      <c r="I820">
        <f>-617.981630994138 -52.9537376853648 -691.086907489475</f>
        <v>-1362.0222761689779</v>
      </c>
      <c r="J820">
        <f>-657.268543927753 -31.5744103589195 -559.602512567613</f>
        <v>-1248.4454668542853</v>
      </c>
      <c r="K820" t="s">
        <v>8975</v>
      </c>
      <c r="L820" t="s">
        <v>8976</v>
      </c>
      <c r="M820" t="s">
        <v>8977</v>
      </c>
      <c r="N820">
        <f>-646.586491677609 -85.9531296080237 -559.505244052915</f>
        <v>-1292.0448653385479</v>
      </c>
      <c r="O820">
        <f>-625.208476916429 -218.377278761622 -529.413990272605</f>
        <v>-1372.9997459506562</v>
      </c>
      <c r="P820">
        <f>-655.066461698853 -282.777193015596 -243.84016565846</f>
        <v>-1181.6838203729089</v>
      </c>
      <c r="Q820">
        <f>-484.099709997812 -139.850117867952 -335.454034697882</f>
        <v>-959.40386256364604</v>
      </c>
      <c r="R820" t="s">
        <v>8978</v>
      </c>
      <c r="S820" t="s">
        <v>8979</v>
      </c>
      <c r="T820" t="s">
        <v>8980</v>
      </c>
      <c r="U820" t="s">
        <v>8981</v>
      </c>
      <c r="V820">
        <f>-605.87460455684 -139.632741331864 -98.0716991981341</f>
        <v>-843.57904508683816</v>
      </c>
      <c r="W820" t="s">
        <v>8982</v>
      </c>
      <c r="X820" t="s">
        <v>8983</v>
      </c>
      <c r="Y820" t="s">
        <v>8984</v>
      </c>
    </row>
    <row r="821" spans="1:25" x14ac:dyDescent="0.3">
      <c r="A821">
        <v>41000</v>
      </c>
      <c r="B821" t="s">
        <v>8985</v>
      </c>
      <c r="C821">
        <f>-627.41181307806 -45.4599619282627 -99.4464365952917</f>
        <v>-772.31821160161451</v>
      </c>
      <c r="D821">
        <f>-646.964874347188 -53.2041405440298 -213.349544020122</f>
        <v>-913.51855891133982</v>
      </c>
      <c r="E821">
        <f>-653.64977706156 -56.2060041580481 -311.700783966582</f>
        <v>-1021.5565651861901</v>
      </c>
      <c r="F821">
        <f>-656.209195552845 -57.6490828905049 -400.749186389919</f>
        <v>-1114.607464833269</v>
      </c>
      <c r="G821">
        <f>-654.926188915526 -57.7803148101628 -489.836564982745</f>
        <v>-1202.543068708434</v>
      </c>
      <c r="H821">
        <f>-649.093347980914 -56.6207367684659 -614.277197682258</f>
        <v>-1319.991282431638</v>
      </c>
      <c r="I821">
        <f>-617.650320746092 -51.2753813776968 -691.009089376138</f>
        <v>-1359.9347914999269</v>
      </c>
      <c r="J821">
        <f>-656.941398145136 -29.9299550883657 -559.511136679019</f>
        <v>-1246.3824899125207</v>
      </c>
      <c r="K821" t="s">
        <v>8986</v>
      </c>
      <c r="L821" t="s">
        <v>8987</v>
      </c>
      <c r="M821" t="s">
        <v>8988</v>
      </c>
      <c r="N821">
        <f>-646.378890593599 -84.3322019389375 -559.522989455605</f>
        <v>-1290.2340819881415</v>
      </c>
      <c r="O821">
        <f>-625.359736276696 -216.861121623023 -529.654158694702</f>
        <v>-1371.8750165944211</v>
      </c>
      <c r="P821">
        <f>-655.189389067211 -281.350052497439 -244.097600333432</f>
        <v>-1180.6370418980819</v>
      </c>
      <c r="Q821">
        <f>-483.519817523107 -139.280734547054 -335.731093626276</f>
        <v>-958.53164569643707</v>
      </c>
      <c r="R821" t="s">
        <v>8989</v>
      </c>
      <c r="S821" t="s">
        <v>8990</v>
      </c>
      <c r="T821" t="s">
        <v>8991</v>
      </c>
      <c r="U821" t="s">
        <v>8992</v>
      </c>
      <c r="V821">
        <f>-604.894123892909 -138.701673361368 -98.0996099318437</f>
        <v>-841.69540718612063</v>
      </c>
      <c r="W821" t="s">
        <v>8993</v>
      </c>
      <c r="X821" t="s">
        <v>8994</v>
      </c>
      <c r="Y821" t="s">
        <v>8995</v>
      </c>
    </row>
    <row r="822" spans="1:25" x14ac:dyDescent="0.3">
      <c r="A822">
        <v>41050</v>
      </c>
      <c r="B822" t="s">
        <v>8996</v>
      </c>
      <c r="C822">
        <f>-626.714233128846 -44.8567651211833 -99.4490049671628</f>
        <v>-771.02000321719208</v>
      </c>
      <c r="D822">
        <f>-646.485695233681 -52.6215373175038 -213.312944176156</f>
        <v>-912.42017672734073</v>
      </c>
      <c r="E822">
        <f>-653.317637992807 -55.616443201987 -311.654328786051</f>
        <v>-1020.588409980845</v>
      </c>
      <c r="F822">
        <f>-655.993637517597 -57.0418198848211 -400.699578449759</f>
        <v>-1113.7350358521771</v>
      </c>
      <c r="G822">
        <f>-654.810673552953 -57.1446022775658 -489.788554341015</f>
        <v>-1201.7438301715338</v>
      </c>
      <c r="H822">
        <f>-649.100206323376 -55.9335286162645 -614.234232078075</f>
        <v>-1319.2679670177156</v>
      </c>
      <c r="I822">
        <f>-617.632694536937 -50.7187953627392 -690.965134540982</f>
        <v>-1359.3166244406584</v>
      </c>
      <c r="J822">
        <f>-656.844795618533 -29.2557484481017 -559.447032626736</f>
        <v>-1245.5475766933707</v>
      </c>
      <c r="K822" t="s">
        <v>8997</v>
      </c>
      <c r="L822" t="s">
        <v>8998</v>
      </c>
      <c r="M822" t="s">
        <v>8999</v>
      </c>
      <c r="N822">
        <f>-646.381386027962 -83.677180679741 -559.496495911404</f>
        <v>-1289.555062619107</v>
      </c>
      <c r="O822">
        <f>-625.638890553184 -216.269117870597 -529.735952781622</f>
        <v>-1371.643961205403</v>
      </c>
      <c r="P822">
        <f>-655.530763404236 -280.854139744148 -244.207619054394</f>
        <v>-1180.5925222027779</v>
      </c>
      <c r="Q822">
        <f>-483.472895285449 -139.169482286441 -335.708691445015</f>
        <v>-958.35106901690494</v>
      </c>
      <c r="R822" t="s">
        <v>9000</v>
      </c>
      <c r="S822" t="s">
        <v>9001</v>
      </c>
      <c r="T822" t="s">
        <v>9002</v>
      </c>
      <c r="U822" t="s">
        <v>9003</v>
      </c>
      <c r="V822">
        <f>-604.373073170557 -138.105433814258 -98.1017658789717</f>
        <v>-840.5802728637866</v>
      </c>
      <c r="W822" t="s">
        <v>9004</v>
      </c>
      <c r="X822" t="s">
        <v>9005</v>
      </c>
      <c r="Y822" t="s">
        <v>9006</v>
      </c>
    </row>
    <row r="823" spans="1:25" x14ac:dyDescent="0.3">
      <c r="A823">
        <v>41100</v>
      </c>
      <c r="B823" t="s">
        <v>9007</v>
      </c>
      <c r="C823">
        <f>-625.152049062021 -43.7850134426654 -99.41979233266</f>
        <v>-768.35685483734642</v>
      </c>
      <c r="D823">
        <f>-645.343809739859 -51.5192672558321 -213.211998600314</f>
        <v>-910.07507559600515</v>
      </c>
      <c r="E823">
        <f>-652.494134879627 -54.4979709357794 -311.53116864305</f>
        <v>-1018.5232744584565</v>
      </c>
      <c r="F823">
        <f>-655.441573685038 -55.9091026350939 -400.568136564875</f>
        <v>-1111.9188128850069</v>
      </c>
      <c r="G823">
        <f>-654.513123237211 -55.9995180767203 -489.660006056314</f>
        <v>-1200.1726473702452</v>
      </c>
      <c r="H823">
        <f>-649.140293166752 -54.7729983993559 -614.120654115557</f>
        <v>-1318.033945681665</v>
      </c>
      <c r="I823">
        <f>-617.616124697652 -49.873989248315 -690.849127672557</f>
        <v>-1358.3392416185238</v>
      </c>
      <c r="J823">
        <f>-656.609074399683 -28.0779973412264 -559.303681423878</f>
        <v>-1243.9907531647873</v>
      </c>
      <c r="K823" t="s">
        <v>9008</v>
      </c>
      <c r="L823" t="s">
        <v>9009</v>
      </c>
      <c r="M823" t="s">
        <v>9010</v>
      </c>
      <c r="N823">
        <f>-646.400239359793 -82.5475736364701 -559.399765997444</f>
        <v>-1288.347578993707</v>
      </c>
      <c r="O823">
        <f>-626.234328108496 -215.273800329021 -529.810187506044</f>
        <v>-1371.3183159435612</v>
      </c>
      <c r="P823">
        <f>-656.233181090183 -279.603833241161 -244.23546800755</f>
        <v>-1180.0724823388941</v>
      </c>
      <c r="Q823">
        <f>-483.422059164513 -138.748611667126 -335.597339195301</f>
        <v>-957.76801002693992</v>
      </c>
      <c r="R823" t="s">
        <v>9011</v>
      </c>
      <c r="S823" t="s">
        <v>9012</v>
      </c>
      <c r="T823" t="s">
        <v>9013</v>
      </c>
      <c r="U823" t="s">
        <v>9014</v>
      </c>
      <c r="V823">
        <f>-603.207496285905 -137.168720820487 -98.1005441520545</f>
        <v>-838.47676125844646</v>
      </c>
      <c r="W823" t="s">
        <v>9015</v>
      </c>
      <c r="X823" t="s">
        <v>9016</v>
      </c>
      <c r="Y823" t="s">
        <v>9017</v>
      </c>
    </row>
    <row r="824" spans="1:25" x14ac:dyDescent="0.3">
      <c r="A824">
        <v>41150</v>
      </c>
      <c r="B824" t="s">
        <v>9018</v>
      </c>
      <c r="C824">
        <f>-624.21317271972 -43.1771966120562 -99.3996266070669</f>
        <v>-766.78999593884305</v>
      </c>
      <c r="D824">
        <f>-644.694844562272 -50.8913495213809 -213.141507041306</f>
        <v>-908.72770112495891</v>
      </c>
      <c r="E824">
        <f>-652.059967947606 -53.8749278503011 -311.444621999855</f>
        <v>-1017.379517797762</v>
      </c>
      <c r="F824">
        <f>-655.188337324335 -55.2974267325998 -400.475234623203</f>
        <v>-1110.9609986801377</v>
      </c>
      <c r="G824">
        <f>-654.427305928021 -55.4063787879095 -489.568743333557</f>
        <v>-1199.4024280494875</v>
      </c>
      <c r="H824">
        <f>-649.274318343274 -54.2134911547613 -614.0388491492</f>
        <v>-1317.5266586472353</v>
      </c>
      <c r="I824">
        <f>-617.841008371051 -49.4990370123039 -690.816090185387</f>
        <v>-1358.1561355687418</v>
      </c>
      <c r="J824">
        <f>-656.569468539646 -27.4892538796962 -559.212651545206</f>
        <v>-1243.2713739645483</v>
      </c>
      <c r="K824" t="s">
        <v>9019</v>
      </c>
      <c r="L824" t="s">
        <v>9020</v>
      </c>
      <c r="M824" t="s">
        <v>9021</v>
      </c>
      <c r="N824">
        <f>-646.514368724488 -81.9874811467359 -559.318792708366</f>
        <v>-1287.82064257959</v>
      </c>
      <c r="O824">
        <f>-626.694000287152 -214.756906318506 -529.724149480564</f>
        <v>-1371.175056086222</v>
      </c>
      <c r="P824">
        <f>-656.484386501794 -278.809899649191 -244.065488185947</f>
        <v>-1179.3597743369321</v>
      </c>
      <c r="Q824">
        <f>-483.368638064737 -138.41289673261 -335.555963135565</f>
        <v>-957.33749793291202</v>
      </c>
      <c r="R824" t="s">
        <v>9022</v>
      </c>
      <c r="S824" t="s">
        <v>9023</v>
      </c>
      <c r="T824" t="s">
        <v>9024</v>
      </c>
      <c r="U824" t="s">
        <v>9025</v>
      </c>
      <c r="V824">
        <f>-602.483218985116 -136.603298846755 -98.0993356126028</f>
        <v>-837.18585344447376</v>
      </c>
      <c r="W824" t="s">
        <v>9026</v>
      </c>
      <c r="X824" t="s">
        <v>9027</v>
      </c>
      <c r="Y824" t="s">
        <v>9028</v>
      </c>
    </row>
    <row r="825" spans="1:25" x14ac:dyDescent="0.3">
      <c r="A825">
        <v>41200</v>
      </c>
      <c r="B825" t="s">
        <v>9029</v>
      </c>
      <c r="C825">
        <f>-622.105506027553 -41.9719220794848 -99.3871748328168</f>
        <v>-763.46460293985456</v>
      </c>
      <c r="D825">
        <f>-643.275625007349 -49.6464516192427 -213.005594688944</f>
        <v>-905.9276713155358</v>
      </c>
      <c r="E825">
        <f>-651.189958576381 -52.6309336392658 -311.266038038328</f>
        <v>-1015.0869302539747</v>
      </c>
      <c r="F825">
        <f>-654.798665361698 -54.0631878355968 -400.278162158998</f>
        <v>-1109.1400153562927</v>
      </c>
      <c r="G825">
        <f>-654.500904471524 -54.1932482333626 -489.374394552259</f>
        <v>-1198.0685472571456</v>
      </c>
      <c r="H825">
        <f>-649.97744087977 -53.0410306690796 -613.869405406882</f>
        <v>-1316.8878769557318</v>
      </c>
      <c r="I825">
        <f>-618.689662265184 -48.6407977654681 -690.724915346061</f>
        <v>-1358.0553753767131</v>
      </c>
      <c r="J825">
        <f>-656.822481544933 -26.2676675751286 -559.009307653471</f>
        <v>-1242.0994567735324</v>
      </c>
      <c r="K825" t="s">
        <v>9030</v>
      </c>
      <c r="L825" t="s">
        <v>9031</v>
      </c>
      <c r="M825" t="s">
        <v>9032</v>
      </c>
      <c r="N825">
        <f>-647.113472793829 -80.8283772694662 -559.161454608352</f>
        <v>-1287.103304671647</v>
      </c>
      <c r="O825">
        <f>-628.034992486105 -213.720468111653 -529.587010255981</f>
        <v>-1371.3424708537391</v>
      </c>
      <c r="P825">
        <f>-657.441536736746 -276.803586330846 -243.672814267684</f>
        <v>-1177.9179373352761</v>
      </c>
      <c r="Q825">
        <f>-483.614598494987 -137.332690637898 -335.231020732311</f>
        <v>-956.17830986519596</v>
      </c>
      <c r="R825" t="s">
        <v>9033</v>
      </c>
      <c r="S825" t="s">
        <v>9034</v>
      </c>
      <c r="T825" t="s">
        <v>9035</v>
      </c>
      <c r="U825" t="s">
        <v>9036</v>
      </c>
      <c r="V825">
        <f>-600.726276494156 -135.565685422272 -98.1032191474909</f>
        <v>-834.39518106391881</v>
      </c>
      <c r="W825" t="s">
        <v>9037</v>
      </c>
      <c r="X825" t="s">
        <v>9038</v>
      </c>
      <c r="Y825" t="s">
        <v>9039</v>
      </c>
    </row>
    <row r="826" spans="1:25" x14ac:dyDescent="0.3">
      <c r="A826">
        <v>41250</v>
      </c>
      <c r="B826" t="s">
        <v>9040</v>
      </c>
      <c r="C826">
        <f>-620.906240384527 -41.5070324004435 -99.3696251493968</f>
        <v>-761.78289793436727</v>
      </c>
      <c r="D826">
        <f>-642.428929910848 -49.1685878129847 -212.922709967651</f>
        <v>-904.52022769148368</v>
      </c>
      <c r="E826">
        <f>-650.627563256156 -52.1514588768154 -311.159818577458</f>
        <v>-1013.9388407104293</v>
      </c>
      <c r="F826">
        <f>-654.485992665567 -53.5841689612154 -400.16149510501</f>
        <v>-1108.2316567317923</v>
      </c>
      <c r="G826">
        <f>-654.430268147091 -53.7177897261549 -489.25822463667</f>
        <v>-1197.4062825099159</v>
      </c>
      <c r="H826">
        <f>-650.236488751291 -52.574008604321 -613.764968338391</f>
        <v>-1316.575465694003</v>
      </c>
      <c r="I826">
        <f>-619.032652743933 -48.3079585432999 -690.661920067393</f>
        <v>-1358.0025313546259</v>
      </c>
      <c r="J826">
        <f>-656.845424369047 -25.7808658810475 -558.885379697436</f>
        <v>-1241.5116699475304</v>
      </c>
      <c r="K826" t="s">
        <v>9041</v>
      </c>
      <c r="L826" t="s">
        <v>9042</v>
      </c>
      <c r="M826" t="s">
        <v>9043</v>
      </c>
      <c r="N826">
        <f>-647.318525931724 -80.3737022643513 -559.06605588145</f>
        <v>-1286.7582840775253</v>
      </c>
      <c r="O826">
        <f>-628.672236305023 -213.324784468841 -529.50866942445</f>
        <v>-1371.5056901983139</v>
      </c>
      <c r="P826">
        <f>-657.667881518135 -275.823176524279 -243.424072615593</f>
        <v>-1176.915130658007</v>
      </c>
      <c r="Q826">
        <f>-483.195569621701 -137.226365153002 -335.082091903691</f>
        <v>-955.50402667839398</v>
      </c>
      <c r="R826" t="s">
        <v>9044</v>
      </c>
      <c r="S826" t="s">
        <v>9045</v>
      </c>
      <c r="T826" t="s">
        <v>9046</v>
      </c>
      <c r="U826" t="s">
        <v>9047</v>
      </c>
      <c r="V826">
        <f>-599.704730905532 -135.137217895671 -98.0995854989346</f>
        <v>-832.94153430013762</v>
      </c>
      <c r="W826" t="s">
        <v>9048</v>
      </c>
      <c r="X826" t="s">
        <v>9049</v>
      </c>
      <c r="Y826" t="s">
        <v>9050</v>
      </c>
    </row>
    <row r="827" spans="1:25" x14ac:dyDescent="0.3">
      <c r="A827">
        <v>41300</v>
      </c>
      <c r="B827" t="s">
        <v>9051</v>
      </c>
      <c r="C827">
        <f>-618.504148521144 -40.7280519076455 -99.3160016728606</f>
        <v>-758.54820210165008</v>
      </c>
      <c r="D827">
        <f>-640.833751069053 -48.4076303900738 -212.7119774779</f>
        <v>-901.95335893702691</v>
      </c>
      <c r="E827">
        <f>-649.640813080753 -51.3819953159223 -310.896633177293</f>
        <v>-1011.9194415739682</v>
      </c>
      <c r="F827">
        <f>-654.014632754584 -52.7951058016054 -399.874914464958</f>
        <v>-1106.6846530211474</v>
      </c>
      <c r="G827">
        <f>-654.438415611048 -52.8997284605341 -488.970502829187</f>
        <v>-1196.308646900769</v>
      </c>
      <c r="H827">
        <f>-650.876290239411 -51.7060591557678 -613.49646827394</f>
        <v>-1316.0788176691187</v>
      </c>
      <c r="I827">
        <f>-619.884972717279 -47.5990191518099 -690.488043358506</f>
        <v>-1357.9720352275949</v>
      </c>
      <c r="J827">
        <f>-657.054009614482 -24.9088775012099 -558.568633975415</f>
        <v>-1240.5315210911067</v>
      </c>
      <c r="K827" t="s">
        <v>9052</v>
      </c>
      <c r="L827" t="s">
        <v>9053</v>
      </c>
      <c r="M827" t="s">
        <v>9054</v>
      </c>
      <c r="N827">
        <f>-647.833534991841 -79.5538075243799 -558.82884491891</f>
        <v>-1286.2161874351309</v>
      </c>
      <c r="O827">
        <f>-629.840819554641 -212.606378704048 -529.309311048525</f>
        <v>-1371.7565093072139</v>
      </c>
      <c r="P827">
        <f>-657.69731898729 -273.760071627403 -242.821205914939</f>
        <v>-1174.2785965296321</v>
      </c>
      <c r="Q827">
        <f>-482.01110037036 -137.238605114665 -335.271631499796</f>
        <v>-954.52133698482112</v>
      </c>
      <c r="R827" t="s">
        <v>9055</v>
      </c>
      <c r="S827" t="s">
        <v>9056</v>
      </c>
      <c r="T827" t="s">
        <v>9057</v>
      </c>
      <c r="U827" t="s">
        <v>9058</v>
      </c>
      <c r="V827">
        <f>-597.639676367816 -134.302956221227 -98.076709688793</f>
        <v>-830.01934227783602</v>
      </c>
      <c r="W827" t="s">
        <v>9059</v>
      </c>
      <c r="X827" t="s">
        <v>9060</v>
      </c>
      <c r="Y827" t="s">
        <v>9061</v>
      </c>
    </row>
    <row r="828" spans="1:25" x14ac:dyDescent="0.3">
      <c r="A828">
        <v>41350</v>
      </c>
      <c r="B828" t="s">
        <v>9062</v>
      </c>
      <c r="C828">
        <f>-617.475054029433 -40.3905010945753 -99.3112675921707</f>
        <v>-757.17682271617889</v>
      </c>
      <c r="D828">
        <f>-640.206397351027 -48.1094924224835 -212.624616152463</f>
        <v>-900.94050592597353</v>
      </c>
      <c r="E828">
        <f>-649.329090286967 -51.0951982353331 -310.780249800645</f>
        <v>-1011.2045383229452</v>
      </c>
      <c r="F828">
        <f>-653.976032607473 -52.5089731130498 -399.744572764846</f>
        <v>-1106.2295784853688</v>
      </c>
      <c r="G828">
        <f>-654.660054941628 -52.6049218875703 -488.838732515833</f>
        <v>-1196.1037093450313</v>
      </c>
      <c r="H828">
        <f>-651.448016383039 -51.3895703859323 -613.374009528936</f>
        <v>-1316.2115962979074</v>
      </c>
      <c r="I828">
        <f>-620.568180581663 -47.3196000938368 -690.412100299042</f>
        <v>-1358.2998809745418</v>
      </c>
      <c r="J828">
        <f>-657.422225491141 -24.5936470232814 -558.42295473863</f>
        <v>-1240.4388272530523</v>
      </c>
      <c r="K828" t="s">
        <v>9063</v>
      </c>
      <c r="L828" t="s">
        <v>9064</v>
      </c>
      <c r="M828" t="s">
        <v>9065</v>
      </c>
      <c r="N828">
        <f>-648.300750580383 -79.2550883116487 -558.721211447821</f>
        <v>-1286.2770503398528</v>
      </c>
      <c r="O828">
        <f>-630.467809747036 -212.325886713842 -529.192595160922</f>
        <v>-1371.9862916217999</v>
      </c>
      <c r="P828">
        <f>-657.559658527949 -272.837754105291 -242.494939645058</f>
        <v>-1172.8923522782979</v>
      </c>
      <c r="Q828">
        <f>-481.681724452992 -136.878046863677 -335.407892653542</f>
        <v>-953.96766397021088</v>
      </c>
      <c r="R828" t="s">
        <v>9066</v>
      </c>
      <c r="S828" t="s">
        <v>9067</v>
      </c>
      <c r="T828" t="s">
        <v>9068</v>
      </c>
      <c r="U828" t="s">
        <v>9069</v>
      </c>
      <c r="V828">
        <f>-596.700551725391 -134.002184036099 -98.0811295561789</f>
        <v>-828.78386531766898</v>
      </c>
      <c r="W828" t="s">
        <v>9070</v>
      </c>
      <c r="X828" t="s">
        <v>9071</v>
      </c>
      <c r="Y828" t="s">
        <v>9072</v>
      </c>
    </row>
    <row r="829" spans="1:25" x14ac:dyDescent="0.3">
      <c r="A829">
        <v>41400</v>
      </c>
      <c r="B829" t="s">
        <v>9073</v>
      </c>
      <c r="C829">
        <f>-615.724407068448 -39.906200753526 -99.3370393598954</f>
        <v>-754.96764718186944</v>
      </c>
      <c r="D829">
        <f>-639.195165387268 -47.7650520547669 -212.489852980931</f>
        <v>-899.45007042296595</v>
      </c>
      <c r="E829">
        <f>-648.906030854478 -50.8397993920245 -310.586350737032</f>
        <v>-1010.3321809835345</v>
      </c>
      <c r="F829">
        <f>-654.065362830255 -52.3191297869196 -399.521394688661</f>
        <v>-1105.9058873058357</v>
      </c>
      <c r="G829">
        <f>-655.241971479653 -52.4657286000707 -488.610301338389</f>
        <v>-1196.3180014181128</v>
      </c>
      <c r="H829">
        <f>-652.696674494633 -51.3049031006767 -613.161391611317</f>
        <v>-1317.1629692066267</v>
      </c>
      <c r="I829">
        <f>-621.871512707513 -47.216612330486 -690.220622693513</f>
        <v>-1359.3087477315121</v>
      </c>
      <c r="J829">
        <f>-658.353370610959 -24.4810632582316 -558.190590276076</f>
        <v>-1241.0250241452668</v>
      </c>
      <c r="K829" t="s">
        <v>9074</v>
      </c>
      <c r="L829" t="s">
        <v>9075</v>
      </c>
      <c r="M829" t="s">
        <v>9076</v>
      </c>
      <c r="N829">
        <f>-649.280097721552 -79.1504366177476 -558.514704170844</f>
        <v>-1286.9452385101436</v>
      </c>
      <c r="O829">
        <f>-631.414079036931 -212.229155223326 -529.033845740314</f>
        <v>-1372.6770800005709</v>
      </c>
      <c r="P829">
        <f>-657.418169433139 -271.904545698564 -242.060209615105</f>
        <v>-1171.3829247468079</v>
      </c>
      <c r="Q829">
        <f>-481.669699147341 -136.29103814452 -335.72088723493</f>
        <v>-953.68162452679098</v>
      </c>
      <c r="R829" t="s">
        <v>9077</v>
      </c>
      <c r="S829" t="s">
        <v>9078</v>
      </c>
      <c r="T829" t="s">
        <v>9079</v>
      </c>
      <c r="U829" t="s">
        <v>9080</v>
      </c>
      <c r="V829">
        <f>-595.004315540265 -133.695381902698 -98.0467850623916</f>
        <v>-826.74648250535461</v>
      </c>
      <c r="W829" t="s">
        <v>9081</v>
      </c>
      <c r="X829" t="s">
        <v>9082</v>
      </c>
      <c r="Y829" t="s">
        <v>9083</v>
      </c>
    </row>
    <row r="830" spans="1:25" x14ac:dyDescent="0.3">
      <c r="A830">
        <v>41450</v>
      </c>
      <c r="B830" t="s">
        <v>9084</v>
      </c>
      <c r="C830">
        <f>-615.000786710981 -39.7361883709596 -99.3295761168473</f>
        <v>-754.06655119878781</v>
      </c>
      <c r="D830">
        <f>-638.754411851239 -47.6596229792631 -212.419002056172</f>
        <v>-898.83303688667399</v>
      </c>
      <c r="E830">
        <f>-648.722673057775 -50.779082088095 -310.488186710506</f>
        <v>-1009.9899418563759</v>
      </c>
      <c r="F830">
        <f>-654.120471333531 -52.2938978104194 -399.408411449877</f>
        <v>-1105.8227805938272</v>
      </c>
      <c r="G830">
        <f>-655.541252479152 -52.4700494336964 -488.493684991167</f>
        <v>-1196.5049869040154</v>
      </c>
      <c r="H830">
        <f>-653.343205901174 -51.3435928530264 -613.051717981633</f>
        <v>-1317.7385167358334</v>
      </c>
      <c r="I830">
        <f>-622.477741476208 -47.1732232890207 -690.090413555281</f>
        <v>-1359.7413783205097</v>
      </c>
      <c r="J830">
        <f>-658.86341720419 -24.5073225306903 -558.073038016776</f>
        <v>-1241.4437777516564</v>
      </c>
      <c r="K830" t="s">
        <v>9085</v>
      </c>
      <c r="L830" t="s">
        <v>9086</v>
      </c>
      <c r="M830" t="s">
        <v>9087</v>
      </c>
      <c r="N830">
        <f>-649.75756446787 -79.171131684598 -558.406734485523</f>
        <v>-1287.3354306379911</v>
      </c>
      <c r="O830">
        <f>-631.779665939088 -212.259900091176 -529.021909032487</f>
        <v>-1373.061475062751</v>
      </c>
      <c r="P830">
        <f>-657.280632844559 -271.838252303908 -241.983184121042</f>
        <v>-1171.102069269509</v>
      </c>
      <c r="Q830">
        <f>-481.64102044551 -136.539434354204 -336.300706648044</f>
        <v>-954.48116144775804</v>
      </c>
      <c r="R830" t="s">
        <v>9088</v>
      </c>
      <c r="S830" t="s">
        <v>9089</v>
      </c>
      <c r="T830" t="s">
        <v>9090</v>
      </c>
      <c r="U830" t="s">
        <v>9091</v>
      </c>
      <c r="V830">
        <f>-594.31727463256 -133.505444726373 -98.0219745038261</f>
        <v>-825.84469386275907</v>
      </c>
      <c r="W830" t="s">
        <v>9092</v>
      </c>
      <c r="X830" t="s">
        <v>9093</v>
      </c>
      <c r="Y830" t="s">
        <v>9094</v>
      </c>
    </row>
    <row r="831" spans="1:25" x14ac:dyDescent="0.3">
      <c r="A831">
        <v>41500</v>
      </c>
      <c r="B831" t="s">
        <v>9095</v>
      </c>
      <c r="C831">
        <f>-613.82297304413 -39.5259331931557 -99.2692615784475</f>
        <v>-752.61816781573316</v>
      </c>
      <c r="D831">
        <f>-638.12020595308 -47.5952101063368 -212.232705830896</f>
        <v>-897.9481218903129</v>
      </c>
      <c r="E831">
        <f>-648.558678089331 -50.7859585721561 -310.250730906024</f>
        <v>-1009.5953675675112</v>
      </c>
      <c r="F831">
        <f>-654.382215086413 -52.3428279011074 -399.143323266266</f>
        <v>-1105.8683662537865</v>
      </c>
      <c r="G831">
        <f>-656.228671125312 -52.5383274420818 -488.220825577829</f>
        <v>-1196.9878241452227</v>
      </c>
      <c r="H831">
        <f>-654.624840113581 -51.4145765873028 -612.787963534287</f>
        <v>-1318.8273802351707</v>
      </c>
      <c r="I831">
        <f>-623.848585080155 -47.0456757716971 -689.851236373353</f>
        <v>-1360.7454972252051</v>
      </c>
      <c r="J831">
        <f>-659.892234177329 -24.5787319931924 -557.784385237782</f>
        <v>-1242.2553514083033</v>
      </c>
      <c r="K831" t="s">
        <v>9096</v>
      </c>
      <c r="L831" t="s">
        <v>9097</v>
      </c>
      <c r="M831" t="s">
        <v>9098</v>
      </c>
      <c r="N831">
        <f>-650.769010305833 -79.2393953568059 -558.159940543312</f>
        <v>-1288.1683462059509</v>
      </c>
      <c r="O831">
        <f>-632.711039738242 -212.353655400034 -528.950543582118</f>
        <v>-1374.0152387203939</v>
      </c>
      <c r="P831">
        <f>-656.921748108713 -272.287301727513 -241.87369948255</f>
        <v>-1171.082749318776</v>
      </c>
      <c r="Q831">
        <f>-481.785794924134 -137.106810710321 -337.291257694913</f>
        <v>-956.18386332936802</v>
      </c>
      <c r="R831" t="s">
        <v>9099</v>
      </c>
      <c r="S831" t="s">
        <v>9100</v>
      </c>
      <c r="T831" t="s">
        <v>9101</v>
      </c>
      <c r="U831" t="s">
        <v>9102</v>
      </c>
      <c r="V831">
        <f>-593.16316179647 -133.460804934669 -97.9405997589745</f>
        <v>-824.56456649011352</v>
      </c>
      <c r="W831" t="s">
        <v>9103</v>
      </c>
      <c r="X831" t="s">
        <v>9104</v>
      </c>
      <c r="Y831" t="s">
        <v>9105</v>
      </c>
    </row>
    <row r="832" spans="1:25" x14ac:dyDescent="0.3">
      <c r="A832">
        <v>41550</v>
      </c>
      <c r="B832" t="s">
        <v>9106</v>
      </c>
      <c r="C832">
        <f>-613.33205030232 -39.4612390005846 -99.2368010586887</f>
        <v>-752.03009036159324</v>
      </c>
      <c r="D832">
        <f>-637.911011871309 -47.6151809571788 -212.133230449969</f>
        <v>-897.65942327845687</v>
      </c>
      <c r="E832">
        <f>-648.548320970175 -50.8268265418602 -310.129135784752</f>
        <v>-1009.5042832967872</v>
      </c>
      <c r="F832">
        <f>-654.533324732152 -52.3817630384916 -399.011123853067</f>
        <v>-1105.9262116237105</v>
      </c>
      <c r="G832">
        <f>-656.522539987089 -52.5549824095731 -488.085525704528</f>
        <v>-1197.16304810119</v>
      </c>
      <c r="H832">
        <f>-655.098124508353 -51.3788335848479 -612.654393551248</f>
        <v>-1319.1313516444488</v>
      </c>
      <c r="I832">
        <f>-624.40781628594 -46.9178306739237 -689.746845995001</f>
        <v>-1361.0724929548646</v>
      </c>
      <c r="J832">
        <f>-660.278860439112 -24.5650123517612 -557.631801781949</f>
        <v>-1242.4756745728223</v>
      </c>
      <c r="K832" t="s">
        <v>9107</v>
      </c>
      <c r="L832" t="s">
        <v>9108</v>
      </c>
      <c r="M832" t="s">
        <v>9109</v>
      </c>
      <c r="N832">
        <f>-651.171045472972 -79.2278891422031 -558.043785518646</f>
        <v>-1288.4427201338212</v>
      </c>
      <c r="O832">
        <f>-633.127691745707 -212.356847866629 -528.895709191464</f>
        <v>-1374.3802488038</v>
      </c>
      <c r="P832">
        <f>-656.839380002156 -272.738029343834 -241.871194705828</f>
        <v>-1171.4486040518179</v>
      </c>
      <c r="Q832">
        <f>-482.021095178988 -137.548448615113 -337.856769029006</f>
        <v>-957.42631282310708</v>
      </c>
      <c r="R832" t="s">
        <v>9110</v>
      </c>
      <c r="S832" t="s">
        <v>9111</v>
      </c>
      <c r="T832" t="s">
        <v>9112</v>
      </c>
      <c r="U832" t="s">
        <v>9113</v>
      </c>
      <c r="V832">
        <f>-592.618974109144 -133.464180920646 -97.9068114406981</f>
        <v>-823.98996647048807</v>
      </c>
      <c r="W832" t="s">
        <v>9114</v>
      </c>
      <c r="X832" t="s">
        <v>9115</v>
      </c>
      <c r="Y832" t="s">
        <v>9116</v>
      </c>
    </row>
    <row r="833" spans="1:25" x14ac:dyDescent="0.3">
      <c r="A833">
        <v>41600</v>
      </c>
      <c r="B833" t="s">
        <v>9117</v>
      </c>
      <c r="C833">
        <f>-612.784438783355 -39.0773280815724 -99.241360568632</f>
        <v>-751.10312743355939</v>
      </c>
      <c r="D833">
        <f>-637.81830103951 -47.3736640899874 -212.027515666668</f>
        <v>-897.21948079616539</v>
      </c>
      <c r="E833">
        <f>-648.771848546298 -50.6582272450742 -309.986032355607</f>
        <v>-1009.4161081469791</v>
      </c>
      <c r="F833">
        <f>-655.011778747507 -52.2594897043789 -398.849673424258</f>
        <v>-1106.1209418761439</v>
      </c>
      <c r="G833">
        <f>-657.224162174415 -52.4593149482167 -487.918804428515</f>
        <v>-1197.6022815511467</v>
      </c>
      <c r="H833">
        <f>-656.07798032784 -51.2999135687047 -612.490614644169</f>
        <v>-1319.8685085407137</v>
      </c>
      <c r="I833">
        <f>-625.595027404419 -46.7801055953588 -689.661806503001</f>
        <v>-1362.0369395027788</v>
      </c>
      <c r="J833">
        <f>-661.120560485136 -24.4758883862453 -557.460026097063</f>
        <v>-1243.0564749684443</v>
      </c>
      <c r="K833" t="s">
        <v>9118</v>
      </c>
      <c r="L833" t="s">
        <v>9119</v>
      </c>
      <c r="M833" t="s">
        <v>9120</v>
      </c>
      <c r="N833">
        <f>-652.044215747847 -79.144068944991 -557.885320267159</f>
        <v>-1289.0736049599971</v>
      </c>
      <c r="O833">
        <f>-633.991447794642 -212.284482563097 -528.812068126411</f>
        <v>-1375.0879984841499</v>
      </c>
      <c r="P833">
        <f>-656.95242375971 -273.240903115468 -241.848248454267</f>
        <v>-1172.0415753294449</v>
      </c>
      <c r="Q833">
        <f>-482.931188680031 -137.461275453826 -338.447165576468</f>
        <v>-958.83962971032508</v>
      </c>
      <c r="R833" t="s">
        <v>9121</v>
      </c>
      <c r="S833" t="s">
        <v>9122</v>
      </c>
      <c r="T833" t="s">
        <v>9123</v>
      </c>
      <c r="U833" t="s">
        <v>9124</v>
      </c>
      <c r="V833">
        <f>-592.151975143169 -133.107994285425 -97.8544230801704</f>
        <v>-823.11439250876435</v>
      </c>
      <c r="W833" t="s">
        <v>9125</v>
      </c>
      <c r="X833" t="s">
        <v>9126</v>
      </c>
      <c r="Y833" t="s">
        <v>9127</v>
      </c>
    </row>
    <row r="834" spans="1:25" x14ac:dyDescent="0.3">
      <c r="A834">
        <v>41650</v>
      </c>
      <c r="B834" t="s">
        <v>9128</v>
      </c>
      <c r="C834">
        <f>-612.680238838795 -38.9025465594366 -99.2412655098528</f>
        <v>-750.82405090808447</v>
      </c>
      <c r="D834">
        <f>-637.87755066474 -47.2256484643735 -211.988983305825</f>
        <v>-897.09218243493865</v>
      </c>
      <c r="E834">
        <f>-648.951698909158 -50.5400868523426 -309.9330264552</f>
        <v>-1009.4248122167006</v>
      </c>
      <c r="F834">
        <f>-655.292698805166 -52.1695585326222 -398.788903995164</f>
        <v>-1106.2511613329521</v>
      </c>
      <c r="G834">
        <f>-657.598425306245 -52.3990928217689 -487.855636452671</f>
        <v>-1197.853154580685</v>
      </c>
      <c r="H834">
        <f>-656.574248343377 -51.2821518384069 -612.428866926943</f>
        <v>-1320.2852671087269</v>
      </c>
      <c r="I834">
        <f>-626.220451481074 -46.7784571183237 -689.651966631599</f>
        <v>-1362.6508752309965</v>
      </c>
      <c r="J834">
        <f>-661.555997443511 -24.4383627295686 -557.40259698509</f>
        <v>-1243.3969571581697</v>
      </c>
      <c r="K834" t="s">
        <v>9129</v>
      </c>
      <c r="L834" t="s">
        <v>9130</v>
      </c>
      <c r="M834" t="s">
        <v>9131</v>
      </c>
      <c r="N834">
        <f>-652.4939613854 -79.1088418847537 -557.818171473725</f>
        <v>-1289.4209747438786</v>
      </c>
      <c r="O834">
        <f>-634.439868150253 -212.252763533524 -528.752333053539</f>
        <v>-1375.444964737316</v>
      </c>
      <c r="P834">
        <f>-657.147322580208 -273.680011475658 -241.868594761295</f>
        <v>-1172.6959288171611</v>
      </c>
      <c r="Q834">
        <f>-483.588519338663 -137.169336370554 -338.269067111716</f>
        <v>-959.02692282093301</v>
      </c>
      <c r="R834" t="s">
        <v>9132</v>
      </c>
      <c r="S834" t="s">
        <v>9133</v>
      </c>
      <c r="T834" t="s">
        <v>9134</v>
      </c>
      <c r="U834" t="s">
        <v>9135</v>
      </c>
      <c r="V834">
        <f>-592.057885103919 -133.054456287511 -97.8362310139808</f>
        <v>-822.9485724054108</v>
      </c>
      <c r="W834" t="s">
        <v>9136</v>
      </c>
      <c r="X834" t="s">
        <v>9137</v>
      </c>
      <c r="Y834" t="s">
        <v>9138</v>
      </c>
    </row>
    <row r="835" spans="1:25" x14ac:dyDescent="0.3">
      <c r="A835">
        <v>41700</v>
      </c>
      <c r="B835" t="s">
        <v>9139</v>
      </c>
      <c r="C835">
        <f>-612.74462150734 -38.5784033930852 -99.2351383880409</f>
        <v>-750.55816328846606</v>
      </c>
      <c r="D835">
        <f>-638.167493044954 -46.9168853733993 -211.931041523676</f>
        <v>-897.01541994202921</v>
      </c>
      <c r="E835">
        <f>-649.426121490638 -50.2513994009216 -309.853364466508</f>
        <v>-1009.5308853580677</v>
      </c>
      <c r="F835">
        <f>-655.930528727363 -51.8997473428884 -398.697084460831</f>
        <v>-1106.5273605310824</v>
      </c>
      <c r="G835">
        <f>-658.396280618554 -52.148663848659 -487.759584789132</f>
        <v>-1198.3045292563449</v>
      </c>
      <c r="H835">
        <f>-657.592284394537 -51.058442468417 -612.334732535331</f>
        <v>-1320.985459398285</v>
      </c>
      <c r="I835">
        <f>-627.423895181413 -46.6126710698765 -689.633755875933</f>
        <v>-1363.6703221272223</v>
      </c>
      <c r="J835">
        <f>-662.450582491111 -24.1985514281139 -557.305105404826</f>
        <v>-1243.9542393240508</v>
      </c>
      <c r="K835" t="s">
        <v>9140</v>
      </c>
      <c r="L835" t="s">
        <v>9141</v>
      </c>
      <c r="M835" t="s">
        <v>9142</v>
      </c>
      <c r="N835">
        <f>-653.441537022533 -78.877871591739 -557.725454587248</f>
        <v>-1290.04486320152</v>
      </c>
      <c r="O835">
        <f>-635.49213348101 -212.042437709183 -528.693818956459</f>
        <v>-1376.2283901466521</v>
      </c>
      <c r="P835">
        <f>-657.722915476947 -274.289038944057 -241.949442152341</f>
        <v>-1173.9613965733449</v>
      </c>
      <c r="Q835">
        <f>-485.148141289171 -136.401868694973 -338.157308952726</f>
        <v>-959.70731893687002</v>
      </c>
      <c r="R835" t="s">
        <v>9143</v>
      </c>
      <c r="S835" t="s">
        <v>9144</v>
      </c>
      <c r="T835" t="s">
        <v>9145</v>
      </c>
      <c r="U835" t="s">
        <v>9146</v>
      </c>
      <c r="V835">
        <f>-592.280659630659 -132.770646358927 -97.8516863311251</f>
        <v>-822.90299232071106</v>
      </c>
      <c r="W835" t="s">
        <v>9147</v>
      </c>
      <c r="X835" t="s">
        <v>9148</v>
      </c>
      <c r="Y835" t="s">
        <v>9149</v>
      </c>
    </row>
    <row r="836" spans="1:25" x14ac:dyDescent="0.3">
      <c r="A836">
        <v>41750</v>
      </c>
      <c r="B836" t="s">
        <v>9150</v>
      </c>
      <c r="C836">
        <f>-612.921093802354 -38.4585387040913 -99.2570063982719</f>
        <v>-750.63663890471719</v>
      </c>
      <c r="D836">
        <f>-638.447022563938 -46.8018331297528 -211.929214357077</f>
        <v>-897.17807005076793</v>
      </c>
      <c r="E836">
        <f>-649.786963853901 -50.1546095969804 -309.841530237318</f>
        <v>-1009.7831036881995</v>
      </c>
      <c r="F836">
        <f>-656.36220608923 -51.824213653639 -398.679690368147</f>
        <v>-1106.866110111016</v>
      </c>
      <c r="G836">
        <f>-658.895890667049 -52.099288737763 -487.740033639423</f>
        <v>-1198.735213044235</v>
      </c>
      <c r="H836">
        <f>-658.1839393653 -51.0507328929455 -612.316201749974</f>
        <v>-1321.5508740082196</v>
      </c>
      <c r="I836">
        <f>-628.078769850149 -46.6594334190899 -689.642842453205</f>
        <v>-1364.381045722444</v>
      </c>
      <c r="J836">
        <f>-662.979319444015 -24.1688210142954 -557.291876512618</f>
        <v>-1244.4400169709284</v>
      </c>
      <c r="K836" t="s">
        <v>9151</v>
      </c>
      <c r="L836" t="s">
        <v>9152</v>
      </c>
      <c r="M836" t="s">
        <v>9153</v>
      </c>
      <c r="N836">
        <f>-654.015292434846 -78.8555680870588 -557.700941200806</f>
        <v>-1290.5718017227109</v>
      </c>
      <c r="O836">
        <f>-636.153192791353 -212.020648191437 -528.64999231366</f>
        <v>-1376.8238332964502</v>
      </c>
      <c r="P836">
        <f>-658.084376183937 -274.572962285215 -241.949185246734</f>
        <v>-1174.6065237158859</v>
      </c>
      <c r="Q836">
        <f>-485.974524280426 -136.134742450613 -338.198366244727</f>
        <v>-960.30763297576607</v>
      </c>
      <c r="R836" t="s">
        <v>9154</v>
      </c>
      <c r="S836" t="s">
        <v>9155</v>
      </c>
      <c r="T836" t="s">
        <v>9156</v>
      </c>
      <c r="U836" t="s">
        <v>9157</v>
      </c>
      <c r="V836">
        <f>-592.545076030178 -132.687442466281 -97.8594453491479</f>
        <v>-823.09196384560698</v>
      </c>
      <c r="W836" t="s">
        <v>9158</v>
      </c>
      <c r="X836" t="s">
        <v>9159</v>
      </c>
      <c r="Y836" t="s">
        <v>9160</v>
      </c>
    </row>
    <row r="837" spans="1:25" x14ac:dyDescent="0.3">
      <c r="A837">
        <v>41800</v>
      </c>
      <c r="B837" t="s">
        <v>9161</v>
      </c>
      <c r="C837">
        <f>-613.55400921242 -38.3784957614832 -99.3068545935322</f>
        <v>-751.23935956743549</v>
      </c>
      <c r="D837">
        <f>-639.124720587634 -46.6924222429074 -211.971128165898</f>
        <v>-897.78827099643934</v>
      </c>
      <c r="E837">
        <f>-650.513859501347 -50.0707398552842 -309.876825102895</f>
        <v>-1010.4614244595261</v>
      </c>
      <c r="F837">
        <f>-657.138517544234 -51.7826666289851 -398.710514795727</f>
        <v>-1107.6316989689462</v>
      </c>
      <c r="G837">
        <f>-659.726738540839 -52.1197011107292 -487.769150399891</f>
        <v>-1199.6155900514593</v>
      </c>
      <c r="H837">
        <f>-659.096205531578 -51.1782322992867 -612.346579286339</f>
        <v>-1322.6210171172038</v>
      </c>
      <c r="I837">
        <f>-629.088700084668 -46.9248761671905 -689.718977761797</f>
        <v>-1365.7325540136553</v>
      </c>
      <c r="J837">
        <f>-663.808420090241 -24.2412066413724 -557.341900333477</f>
        <v>-1245.3915270650905</v>
      </c>
      <c r="K837" t="s">
        <v>9162</v>
      </c>
      <c r="L837" t="s">
        <v>9163</v>
      </c>
      <c r="M837" t="s">
        <v>9164</v>
      </c>
      <c r="N837">
        <f>-654.938895921052 -78.943677219828 -557.710380302643</f>
        <v>-1291.5929534435231</v>
      </c>
      <c r="O837">
        <f>-637.286345172104 -212.119182527573 -528.539325907945</f>
        <v>-1377.944853607622</v>
      </c>
      <c r="P837">
        <f>-658.887721252037 -275.104588762468 -241.908258383717</f>
        <v>-1175.9005683982218</v>
      </c>
      <c r="Q837">
        <f>-487.325040236163 -135.985492397317 -338.152620131052</f>
        <v>-961.46315276453197</v>
      </c>
      <c r="R837" t="s">
        <v>9165</v>
      </c>
      <c r="S837" t="s">
        <v>9166</v>
      </c>
      <c r="T837" t="s">
        <v>9167</v>
      </c>
      <c r="U837" t="s">
        <v>9168</v>
      </c>
      <c r="V837">
        <f>-593.303126197076 -132.747529580178 -97.8824398809878</f>
        <v>-823.93309565824188</v>
      </c>
      <c r="W837" t="s">
        <v>9169</v>
      </c>
      <c r="X837" t="s">
        <v>9170</v>
      </c>
      <c r="Y837" t="s">
        <v>9171</v>
      </c>
    </row>
    <row r="838" spans="1:25" x14ac:dyDescent="0.3">
      <c r="A838">
        <v>41850</v>
      </c>
      <c r="B838" t="s">
        <v>9172</v>
      </c>
      <c r="C838">
        <f>-613.93704765308 -38.3730759158825 -99.3219486199621</f>
        <v>-751.63207218892455</v>
      </c>
      <c r="D838">
        <f>-639.532841233231 -46.6649364985874 -211.982096819259</f>
        <v>-898.17987455107743</v>
      </c>
      <c r="E838">
        <f>-650.935480983555 -50.0429631870419 -309.886229475215</f>
        <v>-1010.8646736458118</v>
      </c>
      <c r="F838">
        <f>-657.569340459089 -51.7612953139636 -398.719196916049</f>
        <v>-1108.0498326891015</v>
      </c>
      <c r="G838">
        <f>-660.163677271098 -52.1117647312242 -487.777535204349</f>
        <v>-1200.0529772066711</v>
      </c>
      <c r="H838">
        <f>-659.538783557205 -51.1960860868505 -612.355114894206</f>
        <v>-1323.0899845382614</v>
      </c>
      <c r="I838">
        <f>-629.567409500702 -47.0044120350333 -689.744904944807</f>
        <v>-1366.3167264805422</v>
      </c>
      <c r="J838">
        <f>-664.229585156862 -24.2446945457996 -557.355811206702</f>
        <v>-1245.8300909093637</v>
      </c>
      <c r="K838" t="s">
        <v>9173</v>
      </c>
      <c r="L838" t="s">
        <v>9174</v>
      </c>
      <c r="M838" t="s">
        <v>9175</v>
      </c>
      <c r="N838">
        <f>-655.39799153905 -78.9533358540646 -557.713651560301</f>
        <v>-1292.0649789534154</v>
      </c>
      <c r="O838">
        <f>-637.782057495799 -212.125221061422 -528.488745982252</f>
        <v>-1378.3960245394728</v>
      </c>
      <c r="P838">
        <f>-659.614601225017 -274.988221100012 -241.848068389721</f>
        <v>-1176.4508907147501</v>
      </c>
      <c r="Q838">
        <f>-488.052487251962 -135.861731670304 -338.08293849264</f>
        <v>-961.99715741490604</v>
      </c>
      <c r="R838" t="s">
        <v>9176</v>
      </c>
      <c r="S838" t="s">
        <v>9177</v>
      </c>
      <c r="T838" t="s">
        <v>9178</v>
      </c>
      <c r="U838" t="s">
        <v>9179</v>
      </c>
      <c r="V838">
        <f>-593.79042162575 -132.772808055812 -97.8939967640952</f>
        <v>-824.45722644565717</v>
      </c>
      <c r="W838" t="s">
        <v>9180</v>
      </c>
      <c r="X838" t="s">
        <v>9181</v>
      </c>
      <c r="Y838" t="s">
        <v>9182</v>
      </c>
    </row>
    <row r="839" spans="1:25" x14ac:dyDescent="0.3">
      <c r="A839">
        <v>41900</v>
      </c>
      <c r="B839" t="s">
        <v>9183</v>
      </c>
      <c r="C839">
        <f>-614.86819633506 -38.3813885958539 -99.3863430667806</f>
        <v>-752.63592799769447</v>
      </c>
      <c r="D839">
        <f>-640.586267083263 -46.6822253056162 -212.018051964421</f>
        <v>-899.2865443533002</v>
      </c>
      <c r="E839">
        <f>-652.131339038207 -50.1174625800119 -309.90359293343</f>
        <v>-1012.1523945516489</v>
      </c>
      <c r="F839">
        <f>-658.909211410531 -51.906928894199 -398.724049149598</f>
        <v>-1109.5401894543281</v>
      </c>
      <c r="G839">
        <f>-661.663045891319 -52.3483365792523 -487.777282175558</f>
        <v>-1201.7886646461293</v>
      </c>
      <c r="H839">
        <f>-661.276951411356 -51.5807951441534 -612.356829923984</f>
        <v>-1325.2145764794934</v>
      </c>
      <c r="I839">
        <f>-631.409748674216 -47.5427652374534 -689.795065967352</f>
        <v>-1368.7475798790215</v>
      </c>
      <c r="J839">
        <f>-665.819679699123 -24.5571410428529 -557.380470105543</f>
        <v>-1247.757290847519</v>
      </c>
      <c r="K839" t="s">
        <v>9184</v>
      </c>
      <c r="L839" t="s">
        <v>9185</v>
      </c>
      <c r="M839" t="s">
        <v>9186</v>
      </c>
      <c r="N839">
        <f>-657.074066100976 -79.2798987195117 -557.690609731668</f>
        <v>-1294.0445745521556</v>
      </c>
      <c r="O839">
        <f>-639.539548957794 -212.433472020309 -528.353587598583</f>
        <v>-1380.3266085766859</v>
      </c>
      <c r="P839">
        <f>-661.769969309796 -274.933779583515 -241.664242660409</f>
        <v>-1178.36799155372</v>
      </c>
      <c r="Q839">
        <f>-490.09120442497 -136.009736537776 -337.983529121312</f>
        <v>-964.08447008405801</v>
      </c>
      <c r="R839" t="s">
        <v>9187</v>
      </c>
      <c r="S839" t="s">
        <v>9188</v>
      </c>
      <c r="T839" t="s">
        <v>9189</v>
      </c>
      <c r="U839" t="s">
        <v>9190</v>
      </c>
      <c r="V839">
        <f>-594.870211618216 -132.838037639473 -97.9375737427217</f>
        <v>-825.6458230004107</v>
      </c>
      <c r="W839" t="s">
        <v>9191</v>
      </c>
      <c r="X839" t="s">
        <v>9192</v>
      </c>
      <c r="Y839" t="s">
        <v>9193</v>
      </c>
    </row>
    <row r="840" spans="1:25" x14ac:dyDescent="0.3">
      <c r="A840">
        <v>41950</v>
      </c>
      <c r="B840" t="s">
        <v>9194</v>
      </c>
      <c r="C840">
        <f>-615.403807563849 -38.4199004641875 -99.4063351088025</f>
        <v>-753.23004313683907</v>
      </c>
      <c r="D840">
        <f>-641.151211051133 -46.7461087710145 -212.02937425449</f>
        <v>-899.92669407663755</v>
      </c>
      <c r="E840">
        <f>-652.7818840967 -50.2283084266564 -309.903202421919</f>
        <v>-1012.9133949452754</v>
      </c>
      <c r="F840">
        <f>-659.662047821394 -52.0698707019361 -398.714780568975</f>
        <v>-1110.4466990923052</v>
      </c>
      <c r="G840">
        <f>-662.542772749426 -52.5732878735944 -487.763654294729</f>
        <v>-1202.8797149177494</v>
      </c>
      <c r="H840">
        <f>-662.360114209951 -51.9024923324826 -612.344239285859</f>
        <v>-1326.6068458282925</v>
      </c>
      <c r="I840">
        <f>-632.546659059949 -47.962665290228 -689.808256471707</f>
        <v>-1370.3175808218839</v>
      </c>
      <c r="J840">
        <f>-666.788853121731 -24.8323320888289 -557.381550537548</f>
        <v>-1249.0027357481081</v>
      </c>
      <c r="K840" t="s">
        <v>9195</v>
      </c>
      <c r="L840" t="s">
        <v>9196</v>
      </c>
      <c r="M840" t="s">
        <v>9197</v>
      </c>
      <c r="N840">
        <f>-658.092141298742 -79.5630560457337 -557.663395809585</f>
        <v>-1295.3185931540606</v>
      </c>
      <c r="O840">
        <f>-640.62104684248 -212.715815820782 -528.277748550126</f>
        <v>-1381.6146112133881</v>
      </c>
      <c r="P840">
        <f>-662.818358702361 -274.9907920134 -241.536903109178</f>
        <v>-1179.346053824939</v>
      </c>
      <c r="Q840">
        <f>-491.124923792438 -136.129959491853 -337.921136894557</f>
        <v>-965.17602017884792</v>
      </c>
      <c r="R840" t="s">
        <v>9198</v>
      </c>
      <c r="S840" t="s">
        <v>9199</v>
      </c>
      <c r="T840" t="s">
        <v>9200</v>
      </c>
      <c r="U840" t="s">
        <v>9201</v>
      </c>
      <c r="V840">
        <f>-595.50931055485 -132.88549424976 -97.9333881437825</f>
        <v>-826.32819294839248</v>
      </c>
      <c r="W840" t="s">
        <v>9202</v>
      </c>
      <c r="X840" t="s">
        <v>9203</v>
      </c>
      <c r="Y840" t="s">
        <v>9204</v>
      </c>
    </row>
    <row r="841" spans="1:25" x14ac:dyDescent="0.3">
      <c r="A841">
        <v>42000</v>
      </c>
      <c r="B841" t="s">
        <v>9205</v>
      </c>
      <c r="C841">
        <f>-616.460010354998 -38.5959179689207 -99.394027632802</f>
        <v>-754.44995595672071</v>
      </c>
      <c r="D841">
        <f>-642.276957676993 -46.9167758726218 -212.001510703878</f>
        <v>-901.19524425349277</v>
      </c>
      <c r="E841">
        <f>-654.074364544211 -50.4589401881818 -309.853142807085</f>
        <v>-1014.3864475394778</v>
      </c>
      <c r="F841">
        <f>-661.149245755993 -52.3794993638528 -398.647924597171</f>
        <v>-1112.1766697170169</v>
      </c>
      <c r="G841">
        <f>-664.268816063239 -52.9866940635045 -487.687996114371</f>
        <v>-1204.9435062411144</v>
      </c>
      <c r="H841">
        <f>-664.46622925909 -52.4872656016355 -612.26944418192</f>
        <v>-1329.2229390426455</v>
      </c>
      <c r="I841">
        <f>-634.723256227598 -48.7623822625952 -689.771080507567</f>
        <v>-1373.2567189977603</v>
      </c>
      <c r="J841">
        <f>-668.679220957754 -25.3339177052433 -557.330742347128</f>
        <v>-1251.3438810101252</v>
      </c>
      <c r="K841" t="s">
        <v>9206</v>
      </c>
      <c r="L841" t="s">
        <v>9207</v>
      </c>
      <c r="M841" t="s">
        <v>9208</v>
      </c>
      <c r="N841">
        <f>-660.079534142318 -80.0802329701233 -557.563731858943</f>
        <v>-1297.7234989713843</v>
      </c>
      <c r="O841">
        <f>-642.740882304438 -213.228269027728 -528.078392919564</f>
        <v>-1384.04754425173</v>
      </c>
      <c r="P841">
        <f>-664.636349944389 -275.04703437956 -241.215546734661</f>
        <v>-1180.8989310586101</v>
      </c>
      <c r="Q841">
        <f>-493.066737228735 -136.208158375321 -337.851620473459</f>
        <v>-967.12651607751502</v>
      </c>
      <c r="R841" t="s">
        <v>9209</v>
      </c>
      <c r="S841" t="s">
        <v>9210</v>
      </c>
      <c r="T841" t="s">
        <v>9211</v>
      </c>
      <c r="U841" t="s">
        <v>9212</v>
      </c>
      <c r="V841">
        <f>-596.817502118696 -132.993497916694 -97.9141191949028</f>
        <v>-827.72511923029276</v>
      </c>
      <c r="W841" t="s">
        <v>9213</v>
      </c>
      <c r="X841" t="s">
        <v>9214</v>
      </c>
      <c r="Y841" t="s">
        <v>9215</v>
      </c>
    </row>
    <row r="842" spans="1:25" x14ac:dyDescent="0.3">
      <c r="A842">
        <v>42050</v>
      </c>
      <c r="B842" t="s">
        <v>9216</v>
      </c>
      <c r="C842">
        <f>-616.955793839188 -38.7194341470104 -99.394214860784</f>
        <v>-755.06944284698238</v>
      </c>
      <c r="D842">
        <f>-642.800947722467 -47.0344869294885 -211.995722431818</f>
        <v>-901.83115708377341</v>
      </c>
      <c r="E842">
        <f>-654.651453702665 -50.5966084932027 -309.840124673529</f>
        <v>-1015.0881868693966</v>
      </c>
      <c r="F842">
        <f>-661.786062271482 -52.544984284798 -398.629452391184</f>
        <v>-1112.960498947464</v>
      </c>
      <c r="G842">
        <f>-664.977262491507 -53.1903458377444 -487.666822331457</f>
        <v>-1205.8344306607084</v>
      </c>
      <c r="H842">
        <f>-665.287034127426 -52.7548950102866 -612.248280633418</f>
        <v>-1330.2902097711305</v>
      </c>
      <c r="I842">
        <f>-635.552275830602 -49.1505008016495 -689.758784445001</f>
        <v>-1374.4615610772526</v>
      </c>
      <c r="J842">
        <f>-669.429333844753 -25.5700236950013 -557.31978283402</f>
        <v>-1252.3191403737742</v>
      </c>
      <c r="K842" t="s">
        <v>9217</v>
      </c>
      <c r="L842" t="s">
        <v>9218</v>
      </c>
      <c r="M842" t="s">
        <v>9219</v>
      </c>
      <c r="N842">
        <f>-660.87220107713 -80.3230351646005 -557.532428215439</f>
        <v>-1298.7276644571693</v>
      </c>
      <c r="O842">
        <f>-643.634497714335 -213.46407057504 -527.967125200635</f>
        <v>-1385.0656934900098</v>
      </c>
      <c r="P842">
        <f>-665.202007029241 -275.196449411617 -241.060911158192</f>
        <v>-1181.45936759905</v>
      </c>
      <c r="Q842">
        <f>-493.928109555023 -136.026317544527 -337.744832835131</f>
        <v>-967.69925993468098</v>
      </c>
      <c r="R842" t="s">
        <v>9220</v>
      </c>
      <c r="S842" t="s">
        <v>9221</v>
      </c>
      <c r="T842" t="s">
        <v>9222</v>
      </c>
      <c r="U842" t="s">
        <v>9223</v>
      </c>
      <c r="V842">
        <f>-597.398307000314 -133.191005912061 -97.9183263043319</f>
        <v>-828.50763921670693</v>
      </c>
      <c r="W842" t="s">
        <v>9224</v>
      </c>
      <c r="X842" t="s">
        <v>9225</v>
      </c>
      <c r="Y842" t="s">
        <v>9226</v>
      </c>
    </row>
    <row r="843" spans="1:25" x14ac:dyDescent="0.3">
      <c r="A843">
        <v>42100</v>
      </c>
      <c r="B843" t="s">
        <v>9227</v>
      </c>
      <c r="C843">
        <f>-617.668892834676 -38.7775929721965 -99.3847997190238</f>
        <v>-755.83128552589631</v>
      </c>
      <c r="D843">
        <f>-643.59672184216 -47.096971194313 -211.967001637983</f>
        <v>-902.66069467445607</v>
      </c>
      <c r="E843">
        <f>-655.450928406661 -50.6451032149851 -309.811493906565</f>
        <v>-1015.907525528211</v>
      </c>
      <c r="F843">
        <f>-662.562042555302 -52.5715067371472 -398.603278599536</f>
        <v>-1113.7368278919853</v>
      </c>
      <c r="G843">
        <f>-665.70290968697 -53.1854872248086 -487.642440296825</f>
        <v>-1206.5308372086035</v>
      </c>
      <c r="H843">
        <f>-665.914254578831 -52.695450759548 -612.22402754512</f>
        <v>-1330.8337328834989</v>
      </c>
      <c r="I843">
        <f>-636.084987325223 -49.2832586272183 -689.706872707923</f>
        <v>-1375.0751186603643</v>
      </c>
      <c r="J843">
        <f>-670.093114236204 -25.5336207079945 -557.286969798925</f>
        <v>-1252.9137047431236</v>
      </c>
      <c r="K843" t="s">
        <v>9228</v>
      </c>
      <c r="L843" t="s">
        <v>9229</v>
      </c>
      <c r="M843" t="s">
        <v>9230</v>
      </c>
      <c r="N843">
        <f>-661.549379874003 -80.2886453871372 -557.516814127997</f>
        <v>-1299.3548393891372</v>
      </c>
      <c r="O843">
        <f>-644.508866197779 -213.447281421453 -527.89409687138</f>
        <v>-1385.8502444906121</v>
      </c>
      <c r="P843">
        <f>-665.832897585988 -275.427387793983 -241.023087526078</f>
        <v>-1182.283372906049</v>
      </c>
      <c r="Q843">
        <f>-494.987214747269 -135.462819270004 -337.317283855336</f>
        <v>-967.76731787260894</v>
      </c>
      <c r="R843" t="s">
        <v>9231</v>
      </c>
      <c r="S843" t="s">
        <v>9232</v>
      </c>
      <c r="T843" t="s">
        <v>9233</v>
      </c>
      <c r="U843" t="s">
        <v>9234</v>
      </c>
      <c r="V843">
        <f>-598.255582974934 -133.175080849752 -97.9036047329427</f>
        <v>-829.33426855762866</v>
      </c>
      <c r="W843" t="s">
        <v>9235</v>
      </c>
      <c r="X843" t="s">
        <v>9236</v>
      </c>
      <c r="Y843" t="s">
        <v>9237</v>
      </c>
    </row>
    <row r="844" spans="1:25" x14ac:dyDescent="0.3">
      <c r="A844">
        <v>42150</v>
      </c>
      <c r="B844" t="s">
        <v>9238</v>
      </c>
      <c r="C844">
        <f>-617.928520411187 -38.7523551991201 -99.3944876996146</f>
        <v>-756.07536330992173</v>
      </c>
      <c r="D844">
        <f>-644.035350446128 -47.0962579904165 -211.933487285204</f>
        <v>-903.06509572174843</v>
      </c>
      <c r="E844">
        <f>-655.875335377397 -50.6315222189304 -309.780256798027</f>
        <v>-1016.2871143943544</v>
      </c>
      <c r="F844">
        <f>-662.905316590161 -52.532497959611 -398.57891829766</f>
        <v>-1114.016732847432</v>
      </c>
      <c r="G844">
        <f>-665.89630661126 -53.1065425833308 -487.62355890843</f>
        <v>-1206.6264081030208</v>
      </c>
      <c r="H844">
        <f>-665.826383713099 -52.5460221362848 -612.204843447836</f>
        <v>-1330.5772492972196</v>
      </c>
      <c r="I844">
        <f>-635.841359684523 -49.232552421377 -689.631951968997</f>
        <v>-1374.7058640748969</v>
      </c>
      <c r="J844">
        <f>-670.136265310118 -25.4161684873327 -557.262060312171</f>
        <v>-1252.8144941096216</v>
      </c>
      <c r="K844" t="s">
        <v>9239</v>
      </c>
      <c r="L844" t="s">
        <v>9240</v>
      </c>
      <c r="M844" t="s">
        <v>9241</v>
      </c>
      <c r="N844">
        <f>-661.578051903459 -80.1690109486385 -557.503704514332</f>
        <v>-1299.2507673664295</v>
      </c>
      <c r="O844">
        <f>-644.61637519692 -213.333993637468 -527.917542077019</f>
        <v>-1385.8679109114069</v>
      </c>
      <c r="P844">
        <f>-665.973172005169 -275.742108195832 -241.141725535157</f>
        <v>-1182.857005736158</v>
      </c>
      <c r="Q844">
        <f>-495.412318861955 -135.140376698396 -337.011446083595</f>
        <v>-967.56414164394596</v>
      </c>
      <c r="R844" t="s">
        <v>9242</v>
      </c>
      <c r="S844" t="s">
        <v>9243</v>
      </c>
      <c r="T844" t="s">
        <v>9244</v>
      </c>
      <c r="U844" t="s">
        <v>9245</v>
      </c>
      <c r="V844">
        <f>-598.555388984697 -133.162614309856 -97.9021079656482</f>
        <v>-829.62011126020116</v>
      </c>
      <c r="W844" t="s">
        <v>9246</v>
      </c>
      <c r="X844" t="s">
        <v>9247</v>
      </c>
      <c r="Y844" t="s">
        <v>9248</v>
      </c>
    </row>
    <row r="845" spans="1:25" x14ac:dyDescent="0.3">
      <c r="A845">
        <v>42200</v>
      </c>
      <c r="B845" t="s">
        <v>9249</v>
      </c>
      <c r="C845">
        <f>-618.432032771451 -39.1058460285535 -99.4444441905928</f>
        <v>-756.98232299059725</v>
      </c>
      <c r="D845">
        <f>-644.922085426985 -47.4797516655218 -211.891674465449</f>
        <v>-904.29351155795575</v>
      </c>
      <c r="E845">
        <f>-656.662132878273 -51.0022890154921 -309.750799413933</f>
        <v>-1017.4152213076982</v>
      </c>
      <c r="F845">
        <f>-663.4274326195 -52.8747784946157 -398.570645619582</f>
        <v>-1114.8728567336977</v>
      </c>
      <c r="G845">
        <f>-665.979203388947 -53.4036261052552 -487.629293375688</f>
        <v>-1207.0121228698902</v>
      </c>
      <c r="H845">
        <f>-665.112456492472 -52.7616385165164 -612.207176438774</f>
        <v>-1330.0812714477624</v>
      </c>
      <c r="I845">
        <f>-634.955154324885 -49.6533862255768 -689.575914931769</f>
        <v>-1374.184455482231</v>
      </c>
      <c r="J845">
        <f>-669.783841221162 -25.6694095797629 -557.275401398044</f>
        <v>-1252.728652198969</v>
      </c>
      <c r="K845" t="s">
        <v>9250</v>
      </c>
      <c r="L845" t="s">
        <v>9251</v>
      </c>
      <c r="M845" t="s">
        <v>9252</v>
      </c>
      <c r="N845">
        <f>-661.203824587345 -80.4187579306858 -557.497855047902</f>
        <v>-1299.1204375659329</v>
      </c>
      <c r="O845">
        <f>-644.441758472316 -213.629372342299 -527.970681206793</f>
        <v>-1386.0418120214081</v>
      </c>
      <c r="P845">
        <f>-666.040638326428 -277.027762665559 -241.43041850993</f>
        <v>-1184.4988195019171</v>
      </c>
      <c r="Q845">
        <f>-496.335330186757 -134.758363745384 -336.353544075627</f>
        <v>-967.44723800776796</v>
      </c>
      <c r="R845" t="s">
        <v>9253</v>
      </c>
      <c r="S845" t="s">
        <v>9254</v>
      </c>
      <c r="T845" t="s">
        <v>9255</v>
      </c>
      <c r="U845" t="s">
        <v>9256</v>
      </c>
      <c r="V845">
        <f>-599.137513126096 -133.794206500041 -97.8867527990154</f>
        <v>-830.81847242515244</v>
      </c>
      <c r="W845" t="s">
        <v>9257</v>
      </c>
      <c r="X845" t="s">
        <v>9258</v>
      </c>
      <c r="Y845" t="s">
        <v>9259</v>
      </c>
    </row>
    <row r="846" spans="1:25" x14ac:dyDescent="0.3">
      <c r="A846">
        <v>42250</v>
      </c>
      <c r="B846" t="s">
        <v>9260</v>
      </c>
      <c r="C846">
        <f>-618.705624292645 -39.287722524708 -99.4443117793421</f>
        <v>-757.43765859669509</v>
      </c>
      <c r="D846">
        <f>-645.284372303205 -47.6431185912161 -211.871972587531</f>
        <v>-904.7994634819521</v>
      </c>
      <c r="E846">
        <f>-656.96205768213 -51.1582222736845 -309.73895624583</f>
        <v>-1017.8592362016445</v>
      </c>
      <c r="F846">
        <f>-663.61505129459 -53.0263028693554 -398.567355039531</f>
        <v>-1115.2087092034762</v>
      </c>
      <c r="G846">
        <f>-665.99829101921 -53.5529151668912 -487.630724445543</f>
        <v>-1207.1819306316443</v>
      </c>
      <c r="H846">
        <f>-664.837644869406 -52.9106062089751 -612.206178082048</f>
        <v>-1329.9544291604291</v>
      </c>
      <c r="I846">
        <f>-634.6123795928 -49.9234936579553 -689.553074564511</f>
        <v>-1374.0889478152662</v>
      </c>
      <c r="J846">
        <f>-669.63235910593 -25.8176995307438 -557.285504973718</f>
        <v>-1252.7355636103919</v>
      </c>
      <c r="K846" t="s">
        <v>9261</v>
      </c>
      <c r="L846" t="s">
        <v>9262</v>
      </c>
      <c r="M846" t="s">
        <v>9263</v>
      </c>
      <c r="N846">
        <f>-661.064391773748 -80.5690053020869 -557.487818639559</f>
        <v>-1299.1212157153939</v>
      </c>
      <c r="O846">
        <f>-644.372822606401 -213.779686219277 -527.937775583213</f>
        <v>-1386.090284408891</v>
      </c>
      <c r="P846">
        <f>-666.097908911317 -277.55777412178 -241.491230902821</f>
        <v>-1185.1469139359178</v>
      </c>
      <c r="Q846">
        <f>-496.880552791626 -134.37688874092 -335.91360543212</f>
        <v>-967.17104696466595</v>
      </c>
      <c r="R846" t="s">
        <v>9264</v>
      </c>
      <c r="S846" t="s">
        <v>9265</v>
      </c>
      <c r="T846" t="s">
        <v>9266</v>
      </c>
      <c r="U846" t="s">
        <v>9267</v>
      </c>
      <c r="V846">
        <f>-599.548644792495 -133.904396952755 -97.8770277166016</f>
        <v>-831.33006946185151</v>
      </c>
      <c r="W846" t="s">
        <v>9268</v>
      </c>
      <c r="X846" t="s">
        <v>9269</v>
      </c>
      <c r="Y846" t="s">
        <v>9270</v>
      </c>
    </row>
    <row r="847" spans="1:25" x14ac:dyDescent="0.3">
      <c r="A847">
        <v>42300</v>
      </c>
      <c r="B847" t="s">
        <v>9271</v>
      </c>
      <c r="C847">
        <f>-619.37724409479 -39.2579774517392 -99.3516211475968</f>
        <v>-757.98684269412593</v>
      </c>
      <c r="D847">
        <f>-645.975455556218 -47.5278069554006 -211.780996176102</f>
        <v>-905.28425868772058</v>
      </c>
      <c r="E847">
        <f>-657.54570465293 -51.0125314164861 -309.661883497565</f>
        <v>-1018.2201195669811</v>
      </c>
      <c r="F847">
        <f>-664.051827050778 -52.8690934515636 -398.501315862462</f>
        <v>-1115.4222363648037</v>
      </c>
      <c r="G847">
        <f>-666.238817646918 -53.3998575786695 -487.569730808063</f>
        <v>-1207.2084060336506</v>
      </c>
      <c r="H847">
        <f>-664.752481145367 -52.7792924313353 -612.141861044144</f>
        <v>-1329.6736346208463</v>
      </c>
      <c r="I847">
        <f>-634.403673783278 -50.006096470202 -689.448265521802</f>
        <v>-1373.8580357752821</v>
      </c>
      <c r="J847">
        <f>-669.678766524403 -25.6747152864664 -557.238379299694</f>
        <v>-1252.5918611105635</v>
      </c>
      <c r="K847" t="s">
        <v>9272</v>
      </c>
      <c r="L847" t="s">
        <v>9273</v>
      </c>
      <c r="M847" t="s">
        <v>9274</v>
      </c>
      <c r="N847">
        <f>-661.134346255987 -80.4299228995469 -557.409229630439</f>
        <v>-1298.9734987859729</v>
      </c>
      <c r="O847">
        <f>-644.530516588614 -213.656918149115 -527.83470731022</f>
        <v>-1386.0221420479488</v>
      </c>
      <c r="P847">
        <f>-666.385747794561 -277.868207046828 -241.494976448527</f>
        <v>-1185.7489312899161</v>
      </c>
      <c r="Q847">
        <f>-498.042036368371 -133.128788302847 -335.099170633121</f>
        <v>-966.26999530433909</v>
      </c>
      <c r="R847" t="s">
        <v>9275</v>
      </c>
      <c r="S847" t="s">
        <v>9276</v>
      </c>
      <c r="T847" t="s">
        <v>9277</v>
      </c>
      <c r="U847" t="s">
        <v>9278</v>
      </c>
      <c r="V847">
        <f>-600.50106816983 -133.697328754809 -97.8742163551054</f>
        <v>-832.07261327974436</v>
      </c>
      <c r="W847" t="s">
        <v>9279</v>
      </c>
      <c r="X847" t="s">
        <v>9280</v>
      </c>
      <c r="Y847" t="s">
        <v>9281</v>
      </c>
    </row>
    <row r="848" spans="1:25" x14ac:dyDescent="0.3">
      <c r="A848">
        <v>42350</v>
      </c>
      <c r="B848" t="s">
        <v>9282</v>
      </c>
      <c r="C848">
        <f>-619.689425239481 -39.0735659277948 -99.3209006060451</f>
        <v>-758.08389177332094</v>
      </c>
      <c r="D848">
        <f>-646.26579424901 -47.287490562586 -211.75961231359</f>
        <v>-905.31289712518594</v>
      </c>
      <c r="E848">
        <f>-657.802002025896 -50.7407300000799 -309.645390089902</f>
        <v>-1018.1881221158778</v>
      </c>
      <c r="F848">
        <f>-664.271636559778 -52.5747280423509 -398.488114442007</f>
        <v>-1115.3344790441358</v>
      </c>
      <c r="G848">
        <f>-666.416560940149 -53.0888405620221 -487.557672701023</f>
        <v>-1207.0630742031942</v>
      </c>
      <c r="H848">
        <f>-664.865652827641 -52.4506498549021 -612.128946254499</f>
        <v>-1329.4452489370422</v>
      </c>
      <c r="I848">
        <f>-634.506031524751 -49.7375664040839 -689.433161488581</f>
        <v>-1373.676759417416</v>
      </c>
      <c r="J848">
        <f>-669.810460193342 -25.352409107843 -557.224051714661</f>
        <v>-1252.3869210158459</v>
      </c>
      <c r="K848" t="s">
        <v>9283</v>
      </c>
      <c r="L848" t="s">
        <v>9284</v>
      </c>
      <c r="M848" t="s">
        <v>9285</v>
      </c>
      <c r="N848">
        <f>-661.285766451119 -80.1106344926932 -557.398415421762</f>
        <v>-1298.7948163655742</v>
      </c>
      <c r="O848">
        <f>-644.733825597574 -213.344923889948 -527.829477143344</f>
        <v>-1385.908226630866</v>
      </c>
      <c r="P848">
        <f>-666.519183504573 -277.937399772755 -241.570119559836</f>
        <v>-1186.0267028371641</v>
      </c>
      <c r="Q848">
        <f>-498.87990190535 -132.128889709235 -334.778709331783</f>
        <v>-965.78750094636803</v>
      </c>
      <c r="R848" t="s">
        <v>9286</v>
      </c>
      <c r="S848" t="s">
        <v>9287</v>
      </c>
      <c r="T848" t="s">
        <v>9288</v>
      </c>
      <c r="U848" t="s">
        <v>9289</v>
      </c>
      <c r="V848">
        <f>-600.838193326452 -133.558503219637 -97.8803649618767</f>
        <v>-832.27706150796575</v>
      </c>
      <c r="W848" t="s">
        <v>9290</v>
      </c>
      <c r="X848" t="s">
        <v>9291</v>
      </c>
      <c r="Y848" t="s">
        <v>9292</v>
      </c>
    </row>
    <row r="849" spans="1:25" x14ac:dyDescent="0.3">
      <c r="A849">
        <v>42400</v>
      </c>
      <c r="B849" t="s">
        <v>9293</v>
      </c>
      <c r="C849">
        <f>-620.044238622609 -38.6623254167685 -99.315670577976</f>
        <v>-758.02223461735343</v>
      </c>
      <c r="D849">
        <f>-646.521673891105 -46.7694414540579 -211.785310575178</f>
        <v>-905.07642592034085</v>
      </c>
      <c r="E849">
        <f>-658.027420442098 -50.1467101837079 -309.677428427351</f>
        <v>-1017.851559053157</v>
      </c>
      <c r="F849">
        <f>-664.49203440683 -51.9175815882176 -398.521869271144</f>
        <v>-1114.9314852661917</v>
      </c>
      <c r="G849">
        <f>-666.654474859659 -52.3749384222269 -487.591223557438</f>
        <v>-1206.6206368393239</v>
      </c>
      <c r="H849">
        <f>-665.151940365209 -51.6641606944811 -612.162701007296</f>
        <v>-1328.9788020669862</v>
      </c>
      <c r="I849">
        <f>-634.765865072951 -48.9532677020604 -689.456668649969</f>
        <v>-1373.1758014249804</v>
      </c>
      <c r="J849">
        <f>-670.046576041916 -24.593395483186 -557.239828591405</f>
        <v>-1251.8798001165069</v>
      </c>
      <c r="K849" t="s">
        <v>9294</v>
      </c>
      <c r="L849" t="s">
        <v>9295</v>
      </c>
      <c r="M849" t="s">
        <v>9296</v>
      </c>
      <c r="N849">
        <f>-661.579676966519 -79.3605444133855 -557.450197668862</f>
        <v>-1298.3904190487665</v>
      </c>
      <c r="O849">
        <f>-645.138179450644 -212.615600077642 -527.944092913397</f>
        <v>-1385.6978724416831</v>
      </c>
      <c r="P849">
        <f>-666.397512421708 -278.464293256228 -241.931350784452</f>
        <v>-1186.793156462388</v>
      </c>
      <c r="Q849">
        <f>-500.911161367036 -129.636306230957 -334.210091476281</f>
        <v>-964.75755907427401</v>
      </c>
      <c r="R849" t="s">
        <v>9297</v>
      </c>
      <c r="S849" t="s">
        <v>9298</v>
      </c>
      <c r="T849" t="s">
        <v>9299</v>
      </c>
      <c r="U849" t="s">
        <v>9300</v>
      </c>
      <c r="V849">
        <f>-601.244512101966 -133.15918274098 -97.9236883037773</f>
        <v>-832.32738314672338</v>
      </c>
      <c r="W849" t="s">
        <v>9301</v>
      </c>
      <c r="X849" t="s">
        <v>9302</v>
      </c>
      <c r="Y849" t="s">
        <v>9303</v>
      </c>
    </row>
    <row r="850" spans="1:25" x14ac:dyDescent="0.3">
      <c r="A850">
        <v>42450</v>
      </c>
      <c r="B850" t="s">
        <v>9304</v>
      </c>
      <c r="C850">
        <f>-620.138280528812 -38.496388248145 -99.3042783878084</f>
        <v>-757.9389471647653</v>
      </c>
      <c r="D850">
        <f>-646.572739247749 -46.5627455530044 -211.787105954234</f>
        <v>-904.92259075498748</v>
      </c>
      <c r="E850">
        <f>-658.068567254828 -49.9199711020697 -309.68103713247</f>
        <v>-1017.6695754893677</v>
      </c>
      <c r="F850">
        <f>-664.535269556216 -51.6789562934913 -398.52545081098</f>
        <v>-1114.7396766606873</v>
      </c>
      <c r="G850">
        <f>-666.711087831435 -52.1304406696854 -487.594603183804</f>
        <v>-1206.4361316849245</v>
      </c>
      <c r="H850">
        <f>-665.238888176663 -51.4178842702497 -612.166408073201</f>
        <v>-1328.8231805201135</v>
      </c>
      <c r="I850">
        <f>-634.795535881122 -48.6540758301381 -689.43593377617</f>
        <v>-1372.8855454874301</v>
      </c>
      <c r="J850">
        <f>-670.117775672118 -24.3474932483493 -557.241877542159</f>
        <v>-1251.7071464626265</v>
      </c>
      <c r="K850" t="s">
        <v>9305</v>
      </c>
      <c r="L850" t="s">
        <v>9306</v>
      </c>
      <c r="M850" t="s">
        <v>9307</v>
      </c>
      <c r="N850">
        <f>-661.655631823265 -79.1153582536206 -557.455117508212</f>
        <v>-1298.2261075850975</v>
      </c>
      <c r="O850">
        <f>-645.220721397471 -212.38117319042 -527.99580403441</f>
        <v>-1385.5976986223009</v>
      </c>
      <c r="P850">
        <f>-666.192081983583 -279.068411545613 -242.156291918008</f>
        <v>-1187.4167854472039</v>
      </c>
      <c r="Q850">
        <f>-501.659658082319 -128.785372074938 -333.780375160999</f>
        <v>-964.22540531825598</v>
      </c>
      <c r="R850" t="s">
        <v>9308</v>
      </c>
      <c r="S850" t="s">
        <v>9309</v>
      </c>
      <c r="T850" t="s">
        <v>9310</v>
      </c>
      <c r="U850" t="s">
        <v>9311</v>
      </c>
      <c r="V850">
        <f>-601.395540668731 -132.914922799307 -97.9263899045864</f>
        <v>-832.2368533726243</v>
      </c>
      <c r="W850" t="s">
        <v>9312</v>
      </c>
      <c r="X850" t="s">
        <v>9313</v>
      </c>
      <c r="Y850" t="s">
        <v>9314</v>
      </c>
    </row>
    <row r="851" spans="1:25" x14ac:dyDescent="0.3">
      <c r="A851">
        <v>42500</v>
      </c>
      <c r="B851" t="s">
        <v>9315</v>
      </c>
      <c r="C851">
        <f>-620.250017329159 -38.2838481362901 -99.2885794190878</f>
        <v>-757.82244488453694</v>
      </c>
      <c r="D851">
        <f>-646.630533379709 -46.3098331927727 -211.786984292312</f>
        <v>-904.72735086479372</v>
      </c>
      <c r="E851">
        <f>-658.09915765167 -49.6465351070337 -309.684810686905</f>
        <v>-1017.4305034456088</v>
      </c>
      <c r="F851">
        <f>-664.549169283119 -51.3929203001418 -398.53060389721</f>
        <v>-1114.4726934804708</v>
      </c>
      <c r="G851">
        <f>-666.716135003486 -51.8379802753062 -487.599978071741</f>
        <v>-1206.1540933505332</v>
      </c>
      <c r="H851">
        <f>-665.240034576349 -51.1228086390236 -612.171738745181</f>
        <v>-1328.5345819605536</v>
      </c>
      <c r="I851">
        <f>-634.703831860709 -48.2900163004157 -689.40220770404</f>
        <v>-1372.3960558651647</v>
      </c>
      <c r="J851">
        <f>-670.124501781268 -24.0541365330143 -557.246849101567</f>
        <v>-1251.4254874158494</v>
      </c>
      <c r="K851" t="s">
        <v>9316</v>
      </c>
      <c r="L851" t="s">
        <v>9317</v>
      </c>
      <c r="M851" t="s">
        <v>9318</v>
      </c>
      <c r="N851">
        <f>-661.654730798831 -78.8208230268601 -557.460995254437</f>
        <v>-1297.9365490801281</v>
      </c>
      <c r="O851">
        <f>-645.183938950324 -212.097416706527 -528.044458389967</f>
        <v>-1385.3258140468179</v>
      </c>
      <c r="P851">
        <f>-665.878421455344 -279.600351570998 -242.376269330322</f>
        <v>-1187.8550423566639</v>
      </c>
      <c r="Q851">
        <f>-502.138279985003 -128.104512552488 -333.420693057877</f>
        <v>-963.663485595368</v>
      </c>
      <c r="R851" t="s">
        <v>9319</v>
      </c>
      <c r="S851" t="s">
        <v>9320</v>
      </c>
      <c r="T851" t="s">
        <v>9321</v>
      </c>
      <c r="U851" t="s">
        <v>9322</v>
      </c>
      <c r="V851">
        <f>-601.503651663947 -132.703019421147 -97.9309619776383</f>
        <v>-832.13763306273233</v>
      </c>
      <c r="W851" t="s">
        <v>9323</v>
      </c>
      <c r="X851" t="s">
        <v>9324</v>
      </c>
      <c r="Y851" t="s">
        <v>9325</v>
      </c>
    </row>
    <row r="852" spans="1:25" x14ac:dyDescent="0.3">
      <c r="A852">
        <v>42550</v>
      </c>
      <c r="B852" t="s">
        <v>9326</v>
      </c>
      <c r="C852">
        <f>-620.618159957423 -37.8011698947262 -99.2887206556402</f>
        <v>-757.70805050778938</v>
      </c>
      <c r="D852">
        <f>-646.838733125223 -45.8037580825448 -211.826152230716</f>
        <v>-904.46864343848392</v>
      </c>
      <c r="E852">
        <f>-658.192583351468 -49.1353672898265 -309.737521388498</f>
        <v>-1017.0654720297925</v>
      </c>
      <c r="F852">
        <f>-664.547736393192 -50.885403609651 -398.590205495831</f>
        <v>-1114.0233454986742</v>
      </c>
      <c r="G852">
        <f>-666.628995461145 -51.3424888529656 -487.661425641854</f>
        <v>-1205.6329099559646</v>
      </c>
      <c r="H852">
        <f>-665.042560990491 -50.6535264084496 -612.232003314402</f>
        <v>-1327.9280907133425</v>
      </c>
      <c r="I852">
        <f>-634.321539394925 -47.6203907516864 -689.38145216958</f>
        <v>-1371.3233823161913</v>
      </c>
      <c r="J852">
        <f>-669.99195506101 -23.575841144652 -557.317405293249</f>
        <v>-1250.8852014989111</v>
      </c>
      <c r="K852" t="s">
        <v>9327</v>
      </c>
      <c r="L852" t="s">
        <v>9328</v>
      </c>
      <c r="M852" t="s">
        <v>9329</v>
      </c>
      <c r="N852">
        <f>-661.489340313046 -78.3374576884389 -557.511929879212</f>
        <v>-1297.3387278806968</v>
      </c>
      <c r="O852">
        <f>-644.869488215777 -211.595847738513 -528.154805650132</f>
        <v>-1384.6201416044219</v>
      </c>
      <c r="P852">
        <f>-665.098647663161 -280.604285565649 -242.813240154352</f>
        <v>-1188.5161733831619</v>
      </c>
      <c r="Q852">
        <f>-502.931223234263 -126.781884261381 -332.764640403997</f>
        <v>-962.47774789964092</v>
      </c>
      <c r="R852" t="s">
        <v>9330</v>
      </c>
      <c r="S852" t="s">
        <v>9331</v>
      </c>
      <c r="T852" t="s">
        <v>9332</v>
      </c>
      <c r="U852" t="s">
        <v>9333</v>
      </c>
      <c r="V852">
        <f>-601.796626072965 -132.176905885112 -97.9670459555108</f>
        <v>-831.94057791358773</v>
      </c>
      <c r="W852" t="s">
        <v>9334</v>
      </c>
      <c r="X852" t="s">
        <v>9335</v>
      </c>
      <c r="Y852" t="s">
        <v>9336</v>
      </c>
    </row>
    <row r="853" spans="1:25" x14ac:dyDescent="0.3">
      <c r="A853">
        <v>42600</v>
      </c>
      <c r="B853" t="s">
        <v>9337</v>
      </c>
      <c r="C853">
        <f>-621.192216215462 -37.3486563748775 -99.3250377703633</f>
        <v>-757.86591036070286</v>
      </c>
      <c r="D853">
        <f>-647.281194009684 -45.381279067231 -211.89089281848</f>
        <v>-904.55336589539502</v>
      </c>
      <c r="E853">
        <f>-658.486162213225 -48.6827777082023 -309.820417464554</f>
        <v>-1016.9893573859813</v>
      </c>
      <c r="F853">
        <f>-664.691153934367 -50.3864396301302 -398.684612290824</f>
        <v>-1113.7622058553211</v>
      </c>
      <c r="G853">
        <f>-666.606423445953 -50.7783325973024 -487.76004730072</f>
        <v>-1205.1448033439756</v>
      </c>
      <c r="H853">
        <f>-664.771361091653 -49.9798322796389 -612.326469702037</f>
        <v>-1327.0776630733289</v>
      </c>
      <c r="I853">
        <f>-633.871655375577 -46.6053111997909 -689.390429825886</f>
        <v>-1369.8673964012539</v>
      </c>
      <c r="J853">
        <f>-669.864955563871 -22.9559181662535 -557.398678143953</f>
        <v>-1250.2195518740775</v>
      </c>
      <c r="K853" t="s">
        <v>9338</v>
      </c>
      <c r="L853" t="s">
        <v>9339</v>
      </c>
      <c r="M853" t="s">
        <v>9340</v>
      </c>
      <c r="N853">
        <f>-661.292795714991 -77.7065780870221 -557.623268863129</f>
        <v>-1296.6226426651422</v>
      </c>
      <c r="O853">
        <f>-644.49765362513 -210.971838654494 -528.351397548673</f>
        <v>-1383.8208898282971</v>
      </c>
      <c r="P853">
        <f>-664.822635032407 -280.641458297245 -243.177402242979</f>
        <v>-1188.6414955726309</v>
      </c>
      <c r="Q853">
        <f>-503.254160939119 -125.772864446856 -332.408634917045</f>
        <v>-961.43566030301997</v>
      </c>
      <c r="R853" t="s">
        <v>9341</v>
      </c>
      <c r="S853" t="s">
        <v>9342</v>
      </c>
      <c r="T853" t="s">
        <v>9343</v>
      </c>
      <c r="U853" t="s">
        <v>9344</v>
      </c>
      <c r="V853">
        <f>-602.165832819469 -131.738114894646 -97.9891708635124</f>
        <v>-831.89311857762743</v>
      </c>
      <c r="W853" t="s">
        <v>9345</v>
      </c>
      <c r="X853" t="s">
        <v>9346</v>
      </c>
      <c r="Y853" t="s">
        <v>9347</v>
      </c>
    </row>
    <row r="854" spans="1:25" x14ac:dyDescent="0.3">
      <c r="A854">
        <v>42650</v>
      </c>
      <c r="B854" t="s">
        <v>9348</v>
      </c>
      <c r="C854">
        <f>-621.413641891862 -37.3125096649428 -99.3437188914052</f>
        <v>-758.06987044820994</v>
      </c>
      <c r="D854">
        <f>-647.462138576047 -45.36306525464 -211.917637175492</f>
        <v>-904.74284100617899</v>
      </c>
      <c r="E854">
        <f>-658.606063244881 -48.6467206342553 -309.85486203609</f>
        <v>-1017.1076459152264</v>
      </c>
      <c r="F854">
        <f>-664.744825718628 -50.3218230934338 -398.724145355696</f>
        <v>-1113.7907941677577</v>
      </c>
      <c r="G854">
        <f>-666.582520433053 -50.6733124694373 -487.801200282479</f>
        <v>-1205.0570331849692</v>
      </c>
      <c r="H854">
        <f>-664.627058609104 -49.8064110744135 -612.365435604564</f>
        <v>-1326.7989052880816</v>
      </c>
      <c r="I854">
        <f>-633.655041050323 -46.245073039471 -689.391886974668</f>
        <v>-1369.2920010644621</v>
      </c>
      <c r="J854">
        <f>-669.786851896412 -22.8147244312474 -557.427824188326</f>
        <v>-1250.0294005159853</v>
      </c>
      <c r="K854" t="s">
        <v>9349</v>
      </c>
      <c r="L854" t="s">
        <v>9350</v>
      </c>
      <c r="M854" t="s">
        <v>9351</v>
      </c>
      <c r="N854">
        <f>-661.188225255289 -77.5610413428021 -557.67384999883</f>
        <v>-1296.4231165969211</v>
      </c>
      <c r="O854">
        <f>-644.340705080783 -210.82811386062 -528.442618279357</f>
        <v>-1383.6114372207599</v>
      </c>
      <c r="P854">
        <f>-664.971543324647 -280.543420743943 -243.301660736394</f>
        <v>-1188.816624804984</v>
      </c>
      <c r="Q854">
        <f>-503.361359144525 -125.654635706159 -332.422314928371</f>
        <v>-961.43830977905509</v>
      </c>
      <c r="R854" t="s">
        <v>9352</v>
      </c>
      <c r="S854" t="s">
        <v>9353</v>
      </c>
      <c r="T854" t="s">
        <v>9354</v>
      </c>
      <c r="U854" t="s">
        <v>9355</v>
      </c>
      <c r="V854">
        <f>-602.292259411673 -131.819713842829 -98.0010272777555</f>
        <v>-832.11300053225739</v>
      </c>
      <c r="W854" t="s">
        <v>9356</v>
      </c>
      <c r="X854" t="s">
        <v>9357</v>
      </c>
      <c r="Y854" t="s">
        <v>9358</v>
      </c>
    </row>
    <row r="855" spans="1:25" x14ac:dyDescent="0.3">
      <c r="A855">
        <v>42700</v>
      </c>
      <c r="B855" t="s">
        <v>9359</v>
      </c>
      <c r="C855">
        <f>-621.790617642015 -37.0642774199478 -99.3487022557078</f>
        <v>-758.20359731767064</v>
      </c>
      <c r="D855">
        <f>-647.744096519849 -45.1114213710918 -211.944839881644</f>
        <v>-904.80035777258468</v>
      </c>
      <c r="E855">
        <f>-658.776717318708 -48.3243696561774 -309.896965859743</f>
        <v>-1016.9980528346284</v>
      </c>
      <c r="F855">
        <f>-664.801907148021 -49.9099818171791 -398.775579054966</f>
        <v>-1113.487468020166</v>
      </c>
      <c r="G855">
        <f>-666.51281387542 -50.1475219887623 -487.855691860549</f>
        <v>-1204.5160277247312</v>
      </c>
      <c r="H855">
        <f>-664.365957305903 -49.0966049109594 -612.415345849045</f>
        <v>-1325.8779080659074</v>
      </c>
      <c r="I855">
        <f>-633.267385490706 -45.2035061545736 -689.374656234451</f>
        <v>-1367.8455478797305</v>
      </c>
      <c r="J855">
        <f>-669.607529833624 -22.1856440468016 -557.44590413282</f>
        <v>-1249.2390780132455</v>
      </c>
      <c r="K855" t="s">
        <v>9360</v>
      </c>
      <c r="L855" t="s">
        <v>9361</v>
      </c>
      <c r="M855" t="s">
        <v>9362</v>
      </c>
      <c r="N855">
        <f>-661.013812482778 -76.9324072656003 -557.759680229578</f>
        <v>-1295.7058999779563</v>
      </c>
      <c r="O855">
        <f>-644.235403116575 -210.223084293376 -528.588502846938</f>
        <v>-1383.0469902568889</v>
      </c>
      <c r="P855">
        <f>-665.489119859842 -280.068255548625 -243.52512010123</f>
        <v>-1189.0824955096971</v>
      </c>
      <c r="Q855">
        <f>-503.289028871132 -125.98536520525 -332.970371321626</f>
        <v>-962.24476539800798</v>
      </c>
      <c r="R855" t="s">
        <v>9363</v>
      </c>
      <c r="S855" t="s">
        <v>9364</v>
      </c>
      <c r="T855" t="s">
        <v>9365</v>
      </c>
      <c r="U855" t="s">
        <v>9366</v>
      </c>
      <c r="V855">
        <f>-602.664107297474 -131.491201998952 -98.0054616390478</f>
        <v>-832.16077093547369</v>
      </c>
      <c r="W855" t="s">
        <v>9367</v>
      </c>
      <c r="X855" t="s">
        <v>9368</v>
      </c>
      <c r="Y855" t="s">
        <v>9369</v>
      </c>
    </row>
    <row r="856" spans="1:25" x14ac:dyDescent="0.3">
      <c r="A856">
        <v>42750</v>
      </c>
      <c r="B856" t="s">
        <v>9370</v>
      </c>
      <c r="C856">
        <f>-622.02013073406 -37.0598455266415 -99.3377361625306</f>
        <v>-758.41771242323216</v>
      </c>
      <c r="D856">
        <f>-647.917142483178 -45.0826434639283 -211.948659345777</f>
        <v>-904.94844529288343</v>
      </c>
      <c r="E856">
        <f>-658.887383225422 -48.248603374042 -309.909243736338</f>
        <v>-1017.045230335802</v>
      </c>
      <c r="F856">
        <f>-664.850454655522 -49.781399769998 -398.793027388067</f>
        <v>-1113.424881813587</v>
      </c>
      <c r="G856">
        <f>-666.493298442938 -49.95600551061 -487.874611226713</f>
        <v>-1204.3239151802609</v>
      </c>
      <c r="H856">
        <f>-664.245108510299 -48.80676275109 -612.431531538785</f>
        <v>-1325.483402800174</v>
      </c>
      <c r="I856">
        <f>-633.081643647502 -44.7855730535158 -689.358115909161</f>
        <v>-1367.2253326101788</v>
      </c>
      <c r="J856">
        <f>-669.518047505386 -21.9370446336623 -557.444958691394</f>
        <v>-1248.9000508304423</v>
      </c>
      <c r="K856" t="s">
        <v>9371</v>
      </c>
      <c r="L856" t="s">
        <v>9372</v>
      </c>
      <c r="M856" t="s">
        <v>9373</v>
      </c>
      <c r="N856">
        <f>-660.950779886369 -76.6878381632577 -557.795466158274</f>
        <v>-1295.4340842079007</v>
      </c>
      <c r="O856">
        <f>-644.206656050244 -209.980240645282 -528.650417211662</f>
        <v>-1382.837313907188</v>
      </c>
      <c r="P856">
        <f>-665.633285717921 -280.027285977546 -243.649617325561</f>
        <v>-1189.310189021028</v>
      </c>
      <c r="Q856">
        <f>-503.545008778822 -125.781205502131 -333.016260650763</f>
        <v>-962.34247493171608</v>
      </c>
      <c r="R856" t="s">
        <v>9374</v>
      </c>
      <c r="S856" t="s">
        <v>9375</v>
      </c>
      <c r="T856" t="s">
        <v>9376</v>
      </c>
      <c r="U856" t="s">
        <v>9377</v>
      </c>
      <c r="V856">
        <f>-602.965092947896 -131.530273469233 -98.0072472890678</f>
        <v>-832.50261370619671</v>
      </c>
      <c r="W856" t="s">
        <v>9378</v>
      </c>
      <c r="X856" t="s">
        <v>9379</v>
      </c>
      <c r="Y856" t="s">
        <v>9380</v>
      </c>
    </row>
    <row r="857" spans="1:25" x14ac:dyDescent="0.3">
      <c r="A857">
        <v>42800</v>
      </c>
      <c r="B857" t="s">
        <v>9381</v>
      </c>
      <c r="C857">
        <f>-622.548310599497 -36.7112319680273 -99.2850272691912</f>
        <v>-758.54456983671548</v>
      </c>
      <c r="D857">
        <f>-648.338462929624 -44.6260532111733 -211.927978378284</f>
        <v>-904.89249451908131</v>
      </c>
      <c r="E857">
        <f>-659.177530502148 -47.703300039078 -309.906063908751</f>
        <v>-1016.786894449977</v>
      </c>
      <c r="F857">
        <f>-665.006892237006 -49.1553109725943 -398.800157294963</f>
        <v>-1112.9623605045633</v>
      </c>
      <c r="G857">
        <f>-666.501322767211 -49.2478704376846 -487.884409288586</f>
        <v>-1203.6336024934817</v>
      </c>
      <c r="H857">
        <f>-664.030905644818 -47.9823407739365 -612.436050038989</f>
        <v>-1324.4492964577435</v>
      </c>
      <c r="I857">
        <f>-632.758927526256 -43.8019889768494 -689.310076318347</f>
        <v>-1365.8709928214525</v>
      </c>
      <c r="J857">
        <f>-669.38193133201 -21.1608389473158 -557.433475648155</f>
        <v>-1247.9762459274807</v>
      </c>
      <c r="K857" t="s">
        <v>9382</v>
      </c>
      <c r="L857" t="s">
        <v>9383</v>
      </c>
      <c r="M857" t="s">
        <v>9384</v>
      </c>
      <c r="N857">
        <f>-660.854099618058 -75.9175576553356 -557.8207031828</f>
        <v>-1294.5923604561935</v>
      </c>
      <c r="O857">
        <f>-644.151600321018 -209.22755145931 -528.721420980581</f>
        <v>-1382.100572760909</v>
      </c>
      <c r="P857">
        <f>-665.799261525499 -279.634866564671 -243.826039520874</f>
        <v>-1189.2601676110439</v>
      </c>
      <c r="Q857">
        <f>-504.402353488189 -124.616625166485 -333.107834920304</f>
        <v>-962.12681357497809</v>
      </c>
      <c r="R857" t="s">
        <v>9385</v>
      </c>
      <c r="S857" t="s">
        <v>9386</v>
      </c>
      <c r="T857" t="s">
        <v>9387</v>
      </c>
      <c r="U857" t="s">
        <v>9388</v>
      </c>
      <c r="V857">
        <f>-603.698506565591 -131.162173962462 -98.0168139787851</f>
        <v>-832.87749450683805</v>
      </c>
      <c r="W857" t="s">
        <v>9389</v>
      </c>
      <c r="X857" t="s">
        <v>9390</v>
      </c>
      <c r="Y857" t="s">
        <v>9391</v>
      </c>
    </row>
    <row r="858" spans="1:25" x14ac:dyDescent="0.3">
      <c r="A858">
        <v>42850</v>
      </c>
      <c r="B858" t="s">
        <v>9392</v>
      </c>
      <c r="C858">
        <f>-622.761401642065 -36.5852635515243 -99.2562813656757</f>
        <v>-758.60294655926509</v>
      </c>
      <c r="D858">
        <f>-648.505875859056 -44.4402405863639 -211.913957811183</f>
        <v>-904.86007425660284</v>
      </c>
      <c r="E858">
        <f>-659.294228633281 -47.4764687385762 -309.898848777097</f>
        <v>-1016.6695461489542</v>
      </c>
      <c r="F858">
        <f>-665.073519367831 -48.8944572470327 -398.796744142283</f>
        <v>-1112.7647207571467</v>
      </c>
      <c r="G858">
        <f>-666.513926039328 -48.9560462695113 -487.881807202951</f>
        <v>-1203.3517795117903</v>
      </c>
      <c r="H858">
        <f>-663.963920214645 -47.6503045998908 -612.431468129293</f>
        <v>-1324.0456929438287</v>
      </c>
      <c r="I858">
        <f>-632.659882609373 -43.4227740003919 -689.289927936093</f>
        <v>-1365.372584545858</v>
      </c>
      <c r="J858">
        <f>-669.342934265169 -20.8454845446231 -557.423354357387</f>
        <v>-1247.6117731671791</v>
      </c>
      <c r="K858" t="s">
        <v>9393</v>
      </c>
      <c r="L858" t="s">
        <v>9394</v>
      </c>
      <c r="M858" t="s">
        <v>9395</v>
      </c>
      <c r="N858">
        <f>-660.829139526315 -75.6042738512341 -557.823236422602</f>
        <v>-1294.2566498001511</v>
      </c>
      <c r="O858">
        <f>-644.163922324115 -208.924041595542 -528.742084054686</f>
        <v>-1381.830047974343</v>
      </c>
      <c r="P858">
        <f>-665.801212123295 -279.581005097699 -243.90780362318</f>
        <v>-1189.290020844174</v>
      </c>
      <c r="Q858">
        <f>-504.630853717239 -124.271934537893 -333.093481294517</f>
        <v>-961.99626954964901</v>
      </c>
      <c r="R858" t="s">
        <v>9396</v>
      </c>
      <c r="S858" t="s">
        <v>9397</v>
      </c>
      <c r="T858" t="s">
        <v>9398</v>
      </c>
      <c r="U858" t="s">
        <v>9399</v>
      </c>
      <c r="V858">
        <f>-603.998271486777 -131.015824407688 -98.0190146611666</f>
        <v>-833.03311055563154</v>
      </c>
      <c r="W858" t="s">
        <v>9400</v>
      </c>
      <c r="X858" t="s">
        <v>9401</v>
      </c>
      <c r="Y858" t="s">
        <v>9402</v>
      </c>
    </row>
    <row r="859" spans="1:25" x14ac:dyDescent="0.3">
      <c r="A859">
        <v>42900</v>
      </c>
      <c r="B859" t="s">
        <v>9403</v>
      </c>
      <c r="C859">
        <f>-623.055577780849 -36.3061257982772 -99.2140239726627</f>
        <v>-758.57572755178899</v>
      </c>
      <c r="D859">
        <f>-648.73429881903 -44.0901590708013 -211.891552351168</f>
        <v>-904.71601024099925</v>
      </c>
      <c r="E859">
        <f>-659.455113361571 -47.0273972179562 -309.886962349327</f>
        <v>-1016.3694729288541</v>
      </c>
      <c r="F859">
        <f>-665.168560552849 -48.341602146432 -398.790547305528</f>
        <v>-1112.3007100048089</v>
      </c>
      <c r="G859">
        <f>-666.538178548274 -48.2853452978731 -487.876928797616</f>
        <v>-1202.7004526437631</v>
      </c>
      <c r="H859">
        <f>-663.884041972903 -46.7999550192586 -612.422395813722</f>
        <v>-1323.1063928058836</v>
      </c>
      <c r="I859">
        <f>-632.551072980548 -42.4700550768853 -689.263228276019</f>
        <v>-1364.2843563334523</v>
      </c>
      <c r="J859">
        <f>-669.305995942825 -20.0740855200597 -557.380186786346</f>
        <v>-1246.7602682492306</v>
      </c>
      <c r="K859" t="s">
        <v>9404</v>
      </c>
      <c r="L859" t="s">
        <v>9405</v>
      </c>
      <c r="M859" t="s">
        <v>9406</v>
      </c>
      <c r="N859">
        <f>-660.797981548667 -74.8331030579961 -557.851948184133</f>
        <v>-1293.4830327907962</v>
      </c>
      <c r="O859">
        <f>-644.192220918095 -208.191183565413 -528.89155247109</f>
        <v>-1381.2749569545981</v>
      </c>
      <c r="P859">
        <f>-666.20731584802 -279.006649891558 -244.125483636753</f>
        <v>-1189.339449376331</v>
      </c>
      <c r="Q859">
        <f>-504.380075623332 -124.18250438748 -332.964163319789</f>
        <v>-961.52674333060099</v>
      </c>
      <c r="R859" t="s">
        <v>9407</v>
      </c>
      <c r="S859" t="s">
        <v>9408</v>
      </c>
      <c r="T859" t="s">
        <v>9409</v>
      </c>
      <c r="U859" t="s">
        <v>9410</v>
      </c>
      <c r="V859">
        <f>-604.312665269518 -130.759971950684 -98.0096320019969</f>
        <v>-833.08226922219887</v>
      </c>
      <c r="W859" t="s">
        <v>9411</v>
      </c>
      <c r="X859" t="s">
        <v>9412</v>
      </c>
      <c r="Y859" t="s">
        <v>9413</v>
      </c>
    </row>
    <row r="860" spans="1:25" x14ac:dyDescent="0.3">
      <c r="A860">
        <v>42950</v>
      </c>
      <c r="B860" t="s">
        <v>9414</v>
      </c>
      <c r="C860">
        <f>-623.118832323364 -36.2308618147142 -99.1867101165157</f>
        <v>-758.53640425459389</v>
      </c>
      <c r="D860">
        <f>-648.765317854357 -44.0011692394247 -211.872481016129</f>
        <v>-904.63896810991071</v>
      </c>
      <c r="E860">
        <f>-659.452635809976 -46.890553282098 -309.873039859051</f>
        <v>-1016.216228951125</v>
      </c>
      <c r="F860">
        <f>-665.133129941948 -48.1478032713751 -398.779655397255</f>
        <v>-1112.0605886105782</v>
      </c>
      <c r="G860">
        <f>-666.466931089004 -48.0210196556808 -487.866322147378</f>
        <v>-1202.3542728920629</v>
      </c>
      <c r="H860">
        <f>-663.75957313423 -46.423463983239 -612.409178366882</f>
        <v>-1322.5922154843511</v>
      </c>
      <c r="I860">
        <f>-632.422641580686 -42.025231934947 -689.244608740034</f>
        <v>-1363.6924822556671</v>
      </c>
      <c r="J860">
        <f>-669.209621712806 -19.7479480824004 -557.345453778637</f>
        <v>-1246.3030235738433</v>
      </c>
      <c r="K860" t="s">
        <v>9415</v>
      </c>
      <c r="L860" t="s">
        <v>9416</v>
      </c>
      <c r="M860" t="s">
        <v>9417</v>
      </c>
      <c r="N860">
        <f>-660.692264944517 -74.5051037425827 -557.862671922337</f>
        <v>-1293.0600406094368</v>
      </c>
      <c r="O860">
        <f>-644.078090646757 -207.883422918938 -529.018881321061</f>
        <v>-1380.9803948867561</v>
      </c>
      <c r="P860">
        <f>-666.553773854697 -278.805572456574 -244.315364488337</f>
        <v>-1189.6747107996082</v>
      </c>
      <c r="Q860">
        <f>-503.785853487465 -124.702160797193 -332.687558854332</f>
        <v>-961.17557313898999</v>
      </c>
      <c r="R860" t="s">
        <v>9418</v>
      </c>
      <c r="S860" t="s">
        <v>9419</v>
      </c>
      <c r="T860" t="s">
        <v>9420</v>
      </c>
      <c r="U860" t="s">
        <v>9421</v>
      </c>
      <c r="V860">
        <f>-604.311610841847 -130.738167054144 -98.0037866411191</f>
        <v>-833.05356453711011</v>
      </c>
      <c r="W860" t="s">
        <v>9422</v>
      </c>
      <c r="X860" t="s">
        <v>9423</v>
      </c>
      <c r="Y860" t="s">
        <v>9424</v>
      </c>
    </row>
    <row r="861" spans="1:25" x14ac:dyDescent="0.3">
      <c r="A861">
        <v>43000</v>
      </c>
      <c r="B861" t="s">
        <v>9425</v>
      </c>
      <c r="C861">
        <f>-623.160757586951 -35.8670132888058 -99.1682250837162</f>
        <v>-758.19599595947295</v>
      </c>
      <c r="D861">
        <f>-648.746877461682 -43.608675130066 -211.869755813795</f>
        <v>-904.22530840554293</v>
      </c>
      <c r="E861">
        <f>-659.373651261797 -46.3898761577871 -309.879836270988</f>
        <v>-1015.6433636905721</v>
      </c>
      <c r="F861">
        <f>-664.995218259499 -47.5162181428083 -398.791950984995</f>
        <v>-1111.3033873873023</v>
      </c>
      <c r="G861">
        <f>-666.265740506051 -47.2255126808193 -487.879332398701</f>
        <v>-1201.3705855855712</v>
      </c>
      <c r="H861">
        <f>-663.465448790465 -45.3642805417286 -612.416478052709</f>
        <v>-1321.2462073849024</v>
      </c>
      <c r="I861">
        <f>-632.141593566944 -40.7846750308599 -689.246593464914</f>
        <v>-1362.172862062718</v>
      </c>
      <c r="J861">
        <f>-668.979645475758 -18.8088905822472 -557.301028409651</f>
        <v>-1245.0895644676561</v>
      </c>
      <c r="K861" t="s">
        <v>9426</v>
      </c>
      <c r="L861" t="s">
        <v>9427</v>
      </c>
      <c r="M861" t="s">
        <v>9428</v>
      </c>
      <c r="N861">
        <f>-660.415773375994 -73.5577220058728 -557.926617097952</f>
        <v>-1291.9001124798187</v>
      </c>
      <c r="O861">
        <f>-643.799075754512 -207.006609826642 -529.396785865058</f>
        <v>-1380.202471446212</v>
      </c>
      <c r="P861">
        <f>-668.364136520061 -276.682031982029 -244.558083048518</f>
        <v>-1189.6042515506081</v>
      </c>
      <c r="Q861">
        <f>-500.950615767012 -127.166399995454 -332.129005705265</f>
        <v>-960.246021467731</v>
      </c>
      <c r="R861" t="s">
        <v>9429</v>
      </c>
      <c r="S861" t="s">
        <v>9430</v>
      </c>
      <c r="T861" t="s">
        <v>9431</v>
      </c>
      <c r="U861" t="s">
        <v>9432</v>
      </c>
      <c r="V861">
        <f>-604.283642113609 -130.353894938676 -98.0052867342623</f>
        <v>-832.6428237865473</v>
      </c>
      <c r="W861" t="s">
        <v>9433</v>
      </c>
      <c r="X861" t="s">
        <v>9434</v>
      </c>
      <c r="Y861" t="s">
        <v>9435</v>
      </c>
    </row>
    <row r="862" spans="1:25" x14ac:dyDescent="0.3">
      <c r="A862">
        <v>43050</v>
      </c>
      <c r="B862" t="s">
        <v>9436</v>
      </c>
      <c r="C862">
        <f>-623.169764219983 -35.7158255321126 -99.1606659827243</f>
        <v>-758.04625573481985</v>
      </c>
      <c r="D862">
        <f>-648.707088182436 -43.4285594643965 -211.875298808477</f>
        <v>-904.01094645530952</v>
      </c>
      <c r="E862">
        <f>-659.302852912345 -46.1452522353159 -309.890603392729</f>
        <v>-1015.3387085403899</v>
      </c>
      <c r="F862">
        <f>-664.900526229351 -47.1979667356046 -398.805106058269</f>
        <v>-1110.9035990232246</v>
      </c>
      <c r="G862">
        <f>-666.151167774744 -46.8182312753576 -487.892423223905</f>
        <v>-1200.8618222740065</v>
      </c>
      <c r="H862">
        <f>-663.327159413128 -44.8169239132159 -612.42685281562</f>
        <v>-1320.570936141964</v>
      </c>
      <c r="I862">
        <f>-632.023666776937 -40.1287772141616 -689.258784257339</f>
        <v>-1361.4112282484375</v>
      </c>
      <c r="J862">
        <f>-668.8555151071 -18.3240592497102 -557.282746548569</f>
        <v>-1244.4623209053793</v>
      </c>
      <c r="K862" t="s">
        <v>9437</v>
      </c>
      <c r="L862" t="s">
        <v>9438</v>
      </c>
      <c r="M862" t="s">
        <v>9439</v>
      </c>
      <c r="N862">
        <f>-660.2843182334 -73.0710423687779 -557.968016347073</f>
        <v>-1291.3233769492508</v>
      </c>
      <c r="O862">
        <f>-643.699210910071 -206.542806895231 -529.565546103806</f>
        <v>-1379.807563909108</v>
      </c>
      <c r="P862">
        <f>-669.565888695893 -274.781444227355 -244.494433484114</f>
        <v>-1188.841766407362</v>
      </c>
      <c r="Q862">
        <f>-499.379142689011 -128.501939130977 -332.185035412926</f>
        <v>-960.06611723291405</v>
      </c>
      <c r="R862" t="s">
        <v>9440</v>
      </c>
      <c r="S862" t="s">
        <v>9441</v>
      </c>
      <c r="T862" t="s">
        <v>9442</v>
      </c>
      <c r="U862" t="s">
        <v>9443</v>
      </c>
      <c r="V862">
        <f>-604.281241246812 -130.190152105545 -98.0194478960632</f>
        <v>-832.49084124842011</v>
      </c>
      <c r="W862" t="s">
        <v>9444</v>
      </c>
      <c r="X862" t="s">
        <v>9445</v>
      </c>
      <c r="Y862" t="s">
        <v>9446</v>
      </c>
    </row>
    <row r="863" spans="1:25" x14ac:dyDescent="0.3">
      <c r="A863">
        <v>43100</v>
      </c>
      <c r="B863" t="s">
        <v>9447</v>
      </c>
      <c r="C863">
        <f>-623.232578915369 -35.6713449467509 -99.1138001067576</f>
        <v>-758.01772396887748</v>
      </c>
      <c r="D863">
        <f>-648.692964498477 -43.3541258719307 -211.847919391662</f>
        <v>-903.89500976206966</v>
      </c>
      <c r="E863">
        <f>-659.273482364518 -45.9377434425994 -309.868349391235</f>
        <v>-1015.0795751983524</v>
      </c>
      <c r="F863">
        <f>-664.877020852642 -46.8280771059789 -398.784411926907</f>
        <v>-1110.4895098855279</v>
      </c>
      <c r="G863">
        <f>-666.152774273194 -46.244733215019 -487.870201819223</f>
        <v>-1200.267709307436</v>
      </c>
      <c r="H863">
        <f>-663.383428093486 -43.9158427971782 -612.400210824491</f>
        <v>-1319.6994817151553</v>
      </c>
      <c r="I863">
        <f>-632.134065630052 -38.9931121896154 -689.239398607162</f>
        <v>-1360.3665764268294</v>
      </c>
      <c r="J863">
        <f>-668.887639371391 -17.5682990901632 -557.184001719639</f>
        <v>-1243.6399401811932</v>
      </c>
      <c r="K863" t="s">
        <v>9448</v>
      </c>
      <c r="L863" t="s">
        <v>9449</v>
      </c>
      <c r="M863" t="s">
        <v>9450</v>
      </c>
      <c r="N863">
        <f>-660.316556366124 -72.3132495858112 -558.017278543605</f>
        <v>-1290.6470844955402</v>
      </c>
      <c r="O863">
        <f>-643.658981682211 -205.816682477372 -529.784077763823</f>
        <v>-1379.259741923406</v>
      </c>
      <c r="P863">
        <f>-670.737643012293 -271.875388145566 -244.31208187159</f>
        <v>-1186.925113029449</v>
      </c>
      <c r="Q863">
        <f>-498.858778963465 -128.35623366454 -333.254723004001</f>
        <v>-960.46973563200606</v>
      </c>
      <c r="R863" t="s">
        <v>9451</v>
      </c>
      <c r="S863" t="s">
        <v>9452</v>
      </c>
      <c r="T863" t="s">
        <v>9453</v>
      </c>
      <c r="U863" t="s">
        <v>9454</v>
      </c>
      <c r="V863">
        <f>-604.298273479104 -130.152818671954 -98.0385189470462</f>
        <v>-832.48961109810421</v>
      </c>
      <c r="W863" t="s">
        <v>9455</v>
      </c>
      <c r="X863" t="s">
        <v>9456</v>
      </c>
      <c r="Y863" t="s">
        <v>9457</v>
      </c>
    </row>
    <row r="864" spans="1:25" x14ac:dyDescent="0.3">
      <c r="A864">
        <v>43150</v>
      </c>
      <c r="B864" t="s">
        <v>9458</v>
      </c>
      <c r="C864">
        <f>-623.347156818701 -35.8329146854694 -99.0963831569891</f>
        <v>-758.27645466115951</v>
      </c>
      <c r="D864">
        <f>-648.818773708752 -43.4882352480895 -211.829864001547</f>
        <v>-904.13687295838849</v>
      </c>
      <c r="E864">
        <f>-659.409691737034 -46.0156113000968 -309.850692667469</f>
        <v>-1015.2759957045998</v>
      </c>
      <c r="F864">
        <f>-665.022731929841 -46.8421351887616 -398.766636934706</f>
        <v>-1110.6315040533086</v>
      </c>
      <c r="G864">
        <f>-666.308007378899 -46.1812895238281 -487.85178683223</f>
        <v>-1200.341083734957</v>
      </c>
      <c r="H864">
        <f>-663.552200830714 -43.7298414414189 -612.379671748248</f>
        <v>-1319.6617140203809</v>
      </c>
      <c r="I864">
        <f>-632.30992080774 -38.7067435817689 -689.21531972456</f>
        <v>-1360.2319841140688</v>
      </c>
      <c r="J864">
        <f>-669.06756531291 -17.4392093448141 -557.137613896454</f>
        <v>-1243.644388554178</v>
      </c>
      <c r="K864" t="s">
        <v>9459</v>
      </c>
      <c r="L864" t="s">
        <v>9460</v>
      </c>
      <c r="M864" t="s">
        <v>9461</v>
      </c>
      <c r="N864">
        <f>-660.462236560241 -72.1779631522514 -558.024654343768</f>
        <v>-1290.6648540562605</v>
      </c>
      <c r="O864">
        <f>-643.654235844298 -205.680712592599 -529.932469774659</f>
        <v>-1379.2674182115561</v>
      </c>
      <c r="P864">
        <f>-670.856509972683 -271.029297298059 -244.308912143652</f>
        <v>-1186.1947194143941</v>
      </c>
      <c r="Q864">
        <f>-498.876414453423 -127.937449784442 -333.742913814645</f>
        <v>-960.55677805251003</v>
      </c>
      <c r="R864" t="s">
        <v>9462</v>
      </c>
      <c r="S864" t="s">
        <v>9463</v>
      </c>
      <c r="T864" t="s">
        <v>9464</v>
      </c>
      <c r="U864" t="s">
        <v>9465</v>
      </c>
      <c r="V864">
        <f>-604.422387851084 -130.365857641658 -98.0400387265962</f>
        <v>-832.82828421933812</v>
      </c>
      <c r="W864" t="s">
        <v>9466</v>
      </c>
      <c r="X864" t="s">
        <v>9467</v>
      </c>
      <c r="Y864" t="s">
        <v>9468</v>
      </c>
    </row>
    <row r="865" spans="1:25" x14ac:dyDescent="0.3">
      <c r="A865">
        <v>43200</v>
      </c>
      <c r="B865" t="s">
        <v>9469</v>
      </c>
      <c r="C865">
        <f>-623.74425246691 -36.2882934762538 -99.0830591498066</f>
        <v>-759.11560509297033</v>
      </c>
      <c r="D865">
        <f>-649.27582118498 -43.9302060965651 -211.803715051426</f>
        <v>-905.0097423329712</v>
      </c>
      <c r="E865">
        <f>-659.895083693824 -46.368005062749 -309.823907347903</f>
        <v>-1016.0869961044759</v>
      </c>
      <c r="F865">
        <f>-665.523374392676 -47.0839605264027 -398.739818683072</f>
        <v>-1111.3471536021507</v>
      </c>
      <c r="G865">
        <f>-666.813196855635 -46.2826715230535 -487.823717525635</f>
        <v>-1200.9195859043236</v>
      </c>
      <c r="H865">
        <f>-664.052132838026 -43.6044094065866 -612.346937783326</f>
        <v>-1320.0034800279386</v>
      </c>
      <c r="I865">
        <f>-632.801164225765 -38.3593479968588 -689.164238292325</f>
        <v>-1360.3247505149488</v>
      </c>
      <c r="J865">
        <f>-669.618341367151 -17.4220705111484 -557.058429319739</f>
        <v>-1244.0988411980384</v>
      </c>
      <c r="K865" t="s">
        <v>9470</v>
      </c>
      <c r="L865" t="s">
        <v>9471</v>
      </c>
      <c r="M865" t="s">
        <v>9472</v>
      </c>
      <c r="N865">
        <f>-660.915910110662 -72.1438161489975 -558.042502200529</f>
        <v>-1291.1022284601886</v>
      </c>
      <c r="O865">
        <f>-643.73775283543 -205.737311434045 -530.444996083614</f>
        <v>-1379.920060353089</v>
      </c>
      <c r="P865">
        <f>-670.77763967317 -272.273966119763 -245.080347733962</f>
        <v>-1188.1319535268951</v>
      </c>
      <c r="Q865">
        <f>-498.837822627916 -128.572856384304 -333.610479269364</f>
        <v>-961.02115828158412</v>
      </c>
      <c r="R865" t="s">
        <v>9473</v>
      </c>
      <c r="S865" t="s">
        <v>9474</v>
      </c>
      <c r="T865" t="s">
        <v>9475</v>
      </c>
      <c r="U865" t="s">
        <v>9476</v>
      </c>
      <c r="V865">
        <f>-604.738413270715 -130.768024029368 -98.0263258435309</f>
        <v>-833.53276314361392</v>
      </c>
      <c r="W865" t="s">
        <v>9477</v>
      </c>
      <c r="X865" t="s">
        <v>9478</v>
      </c>
      <c r="Y865" t="s">
        <v>9479</v>
      </c>
    </row>
    <row r="866" spans="1:25" x14ac:dyDescent="0.3">
      <c r="A866">
        <v>43250</v>
      </c>
      <c r="B866" t="s">
        <v>9480</v>
      </c>
      <c r="C866">
        <f>-623.887136404957 -36.4061727796927 -99.0538681245374</f>
        <v>-759.34717730918715</v>
      </c>
      <c r="D866">
        <f>-649.420031597248 -44.0795115024938 -211.77218323085</f>
        <v>-905.27172633059183</v>
      </c>
      <c r="E866">
        <f>-660.047985719236 -46.4351014681978 -309.793345637003</f>
        <v>-1016.2764328244367</v>
      </c>
      <c r="F866">
        <f>-665.686044020947 -47.0343706556396 -398.709564976586</f>
        <v>-1111.4299796531725</v>
      </c>
      <c r="G866">
        <f>-666.987001534851 -46.0743052078449 -487.791697026466</f>
        <v>-1200.8530037691619</v>
      </c>
      <c r="H866">
        <f>-664.242425188529 -43.130326859207 -612.309220673625</f>
        <v>-1319.681972721361</v>
      </c>
      <c r="I866">
        <f>-633.020489130197 -37.7083595830688 -689.12615994108</f>
        <v>-1359.855008654346</v>
      </c>
      <c r="J866">
        <f>-669.819940928145 -17.0689947859635 -556.96482516612</f>
        <v>-1243.8537608802285</v>
      </c>
      <c r="K866" t="s">
        <v>9481</v>
      </c>
      <c r="L866" t="s">
        <v>9482</v>
      </c>
      <c r="M866" t="s">
        <v>9483</v>
      </c>
      <c r="N866">
        <f>-661.08039056254 -71.7825752885758 -558.065733423635</f>
        <v>-1290.9286992747507</v>
      </c>
      <c r="O866">
        <f>-643.821729716989 -205.421514305962 -530.805929106367</f>
        <v>-1380.049173129318</v>
      </c>
      <c r="P866">
        <f>-670.876140563914 -273.176529504825 -245.729556664055</f>
        <v>-1189.782226732794</v>
      </c>
      <c r="Q866">
        <f>-499.096705673077 -128.731720391081 -333.356125062774</f>
        <v>-961.18455112693209</v>
      </c>
      <c r="R866" t="s">
        <v>9484</v>
      </c>
      <c r="S866" t="s">
        <v>9485</v>
      </c>
      <c r="T866" t="s">
        <v>9486</v>
      </c>
      <c r="U866" t="s">
        <v>9487</v>
      </c>
      <c r="V866">
        <f>-604.762015536939 -130.84904000706 -98.0237066147432</f>
        <v>-833.63476215874221</v>
      </c>
      <c r="W866" t="s">
        <v>9488</v>
      </c>
      <c r="X866" t="s">
        <v>9489</v>
      </c>
      <c r="Y866" t="s">
        <v>9490</v>
      </c>
    </row>
    <row r="867" spans="1:25" x14ac:dyDescent="0.3">
      <c r="A867">
        <v>43300</v>
      </c>
      <c r="B867" t="s">
        <v>9491</v>
      </c>
      <c r="C867">
        <f>-624.079004609907 -36.8019687957517 -99.0249779506355</f>
        <v>-759.90595135629417</v>
      </c>
      <c r="D867">
        <f>-649.572952884333 -44.5728161122912 -211.745511359556</f>
        <v>-905.89128035618012</v>
      </c>
      <c r="E867">
        <f>-660.22834971042 -46.8138191524631 -309.766435089636</f>
        <v>-1016.8086039525192</v>
      </c>
      <c r="F867">
        <f>-665.913449771388 -47.2325050482388 -398.680531863866</f>
        <v>-1111.8264866834927</v>
      </c>
      <c r="G867">
        <f>-667.282562960323 -46.0159377999803 -487.758602385208</f>
        <v>-1201.0571031455113</v>
      </c>
      <c r="H867">
        <f>-664.654336474409 -42.6355260599216 -612.267564318377</f>
        <v>-1319.5574268527075</v>
      </c>
      <c r="I867">
        <f>-633.607501620144 -36.8382742184915 -689.127866422581</f>
        <v>-1359.5736422612165</v>
      </c>
      <c r="J867">
        <f>-670.180338448286 -16.7685121502032 -556.826756507734</f>
        <v>-1243.7756071062231</v>
      </c>
      <c r="K867" t="s">
        <v>9492</v>
      </c>
      <c r="L867" t="s">
        <v>9493</v>
      </c>
      <c r="M867" t="s">
        <v>9494</v>
      </c>
      <c r="N867">
        <f>-661.441368400369 -71.4776930213089 -558.127762449419</f>
        <v>-1291.0468238710969</v>
      </c>
      <c r="O867">
        <f>-644.163312007708 -205.204492722295 -531.391503427443</f>
        <v>-1380.759308157446</v>
      </c>
      <c r="P867">
        <f>-671.010262060356 -274.569318278565 -246.682857907947</f>
        <v>-1192.262438246868</v>
      </c>
      <c r="Q867">
        <f>-499.883799130214 -128.876110195542 -333.51655506809</f>
        <v>-962.27646439384603</v>
      </c>
      <c r="R867" t="s">
        <v>9495</v>
      </c>
      <c r="S867" t="s">
        <v>9496</v>
      </c>
      <c r="T867" t="s">
        <v>9497</v>
      </c>
      <c r="U867" t="s">
        <v>9498</v>
      </c>
      <c r="V867">
        <f>-604.836254703843 -131.251236279274 -97.9969988199018</f>
        <v>-834.08448980301887</v>
      </c>
      <c r="W867" t="s">
        <v>9499</v>
      </c>
      <c r="X867" t="s">
        <v>9500</v>
      </c>
      <c r="Y867" t="s">
        <v>9501</v>
      </c>
    </row>
    <row r="868" spans="1:25" x14ac:dyDescent="0.3">
      <c r="A868">
        <v>43350</v>
      </c>
      <c r="B868" t="s">
        <v>9502</v>
      </c>
      <c r="C868">
        <f>-624.250944246868 -37.0520266411438 -99.0285046778486</f>
        <v>-760.33147556586039</v>
      </c>
      <c r="D868">
        <f>-649.718088445432 -44.8437590164995 -211.753496815503</f>
        <v>-906.31534427743452</v>
      </c>
      <c r="E868">
        <f>-660.406725670696 -47.0625706693083 -309.771357161183</f>
        <v>-1017.2406535011874</v>
      </c>
      <c r="F868">
        <f>-666.143999183395 -47.4463774323505 -398.682405262558</f>
        <v>-1112.2727818783035</v>
      </c>
      <c r="G868">
        <f>-667.586969813559 -46.180508411044 -487.758487681076</f>
        <v>-1201.525965905679</v>
      </c>
      <c r="H868">
        <f>-665.084476105743 -42.7161782954313 -612.267792817489</f>
        <v>-1320.0684472186631</v>
      </c>
      <c r="I868">
        <f>-634.141086890246 -36.7809931288687 -689.159248089331</f>
        <v>-1360.0813281084456</v>
      </c>
      <c r="J868">
        <f>-670.548272424411 -16.8855310589333 -556.803956785287</f>
        <v>-1244.2377602686315</v>
      </c>
      <c r="K868" t="s">
        <v>9503</v>
      </c>
      <c r="L868" t="s">
        <v>9504</v>
      </c>
      <c r="M868" t="s">
        <v>9505</v>
      </c>
      <c r="N868">
        <f>-661.823185916537 -71.5959091887638 -558.15087721433</f>
        <v>-1291.5699723196308</v>
      </c>
      <c r="O868">
        <f>-644.521323056587 -205.347270272549 -531.541185770135</f>
        <v>-1381.409779099271</v>
      </c>
      <c r="P868">
        <f>-670.964941043308 -275.034030006105 -246.87359617956</f>
        <v>-1192.8725672289731</v>
      </c>
      <c r="Q868">
        <f>-500.383753599603 -128.632456531796 -333.588605455734</f>
        <v>-962.60481558713309</v>
      </c>
      <c r="R868" t="s">
        <v>9506</v>
      </c>
      <c r="S868" t="s">
        <v>9507</v>
      </c>
      <c r="T868" t="s">
        <v>9508</v>
      </c>
      <c r="U868" t="s">
        <v>9509</v>
      </c>
      <c r="V868">
        <f>-605.021013254887 -131.467574996725 -97.9803743461039</f>
        <v>-834.46896259771586</v>
      </c>
      <c r="W868" t="s">
        <v>9510</v>
      </c>
      <c r="X868" t="s">
        <v>9511</v>
      </c>
      <c r="Y868" t="s">
        <v>9512</v>
      </c>
    </row>
    <row r="869" spans="1:25" x14ac:dyDescent="0.3">
      <c r="A869">
        <v>43400</v>
      </c>
      <c r="B869" t="s">
        <v>9513</v>
      </c>
      <c r="C869">
        <f>-624.590558831226 -37.3267550288813 -98.9862278310904</f>
        <v>-760.90354169119769</v>
      </c>
      <c r="D869">
        <f>-650.03783237692 -45.1045857747268 -211.716774370963</f>
        <v>-906.85919252260987</v>
      </c>
      <c r="E869">
        <f>-660.807831557205 -47.3106691362385 -309.72587121478</f>
        <v>-1017.8443719082235</v>
      </c>
      <c r="F869">
        <f>-666.658943073278 -47.6813003760205 -398.629597742895</f>
        <v>-1112.9698411921936</v>
      </c>
      <c r="G869">
        <f>-668.256415462266 -46.3996565641249 -487.702865845197</f>
        <v>-1202.3589378715878</v>
      </c>
      <c r="H869">
        <f>-666.012555769533 -42.9096026427608 -612.216346302099</f>
        <v>-1321.1385047143929</v>
      </c>
      <c r="I869">
        <f>-635.285337418903 -36.8040523026859 -689.181136785651</f>
        <v>-1361.27052650724</v>
      </c>
      <c r="J869">
        <f>-671.388088008722 -17.0947336177048 -556.736515537396</f>
        <v>-1245.2193371638227</v>
      </c>
      <c r="K869" t="s">
        <v>9514</v>
      </c>
      <c r="L869" t="s">
        <v>9515</v>
      </c>
      <c r="M869" t="s">
        <v>9516</v>
      </c>
      <c r="N869">
        <f>-662.611879446129 -71.7960872244111 -558.111711555486</f>
        <v>-1292.5196782260259</v>
      </c>
      <c r="O869">
        <f>-645.07810752043 -205.550261781017 -531.607433289652</f>
        <v>-1382.2358025910989</v>
      </c>
      <c r="P869">
        <f>-670.964033002147 -275.335036166462 -246.912586343293</f>
        <v>-1193.2116555119019</v>
      </c>
      <c r="Q869">
        <f>-500.804280890258 -128.297944581139 -333.380111908796</f>
        <v>-962.48233738019303</v>
      </c>
      <c r="R869" t="s">
        <v>9517</v>
      </c>
      <c r="S869" t="s">
        <v>9518</v>
      </c>
      <c r="T869" t="s">
        <v>9519</v>
      </c>
      <c r="U869" t="s">
        <v>9520</v>
      </c>
      <c r="V869">
        <f>-605.395303960311 -131.637804947156 -97.9559313236462</f>
        <v>-834.98904023111322</v>
      </c>
      <c r="W869" t="s">
        <v>9521</v>
      </c>
      <c r="X869" t="s">
        <v>9522</v>
      </c>
      <c r="Y869" t="s">
        <v>9523</v>
      </c>
    </row>
    <row r="870" spans="1:25" x14ac:dyDescent="0.3">
      <c r="A870">
        <v>43450</v>
      </c>
      <c r="B870" t="s">
        <v>9524</v>
      </c>
      <c r="C870">
        <f>-624.711424045776 -37.3524250913895 -98.9747189647716</f>
        <v>-761.03856810193702</v>
      </c>
      <c r="D870">
        <f>-650.151732333367 -45.1268903737887 -211.70711831091</f>
        <v>-906.98574101806571</v>
      </c>
      <c r="E870">
        <f>-660.947762771055 -47.3257039049354 -309.713528132111</f>
        <v>-1017.9869948081014</v>
      </c>
      <c r="F870">
        <f>-666.835692039661 -47.6872834717939 -398.61484513523</f>
        <v>-1113.1378206466848</v>
      </c>
      <c r="G870">
        <f>-668.483639313108 -46.3929468591422 -487.687025922677</f>
        <v>-1202.5636120949271</v>
      </c>
      <c r="H870">
        <f>-666.324467882397 -42.8808181659861 -612.201384946916</f>
        <v>-1321.406670995299</v>
      </c>
      <c r="I870">
        <f>-635.707925538634 -36.7149555612887 -689.205444267067</f>
        <v>-1361.6283253669897</v>
      </c>
      <c r="J870">
        <f>-671.677980099426 -17.0782540693301 -556.713714907116</f>
        <v>-1245.4699490758721</v>
      </c>
      <c r="K870" t="s">
        <v>9525</v>
      </c>
      <c r="L870" t="s">
        <v>9526</v>
      </c>
      <c r="M870" t="s">
        <v>9527</v>
      </c>
      <c r="N870">
        <f>-662.871214506451 -71.7744438057177 -558.103789014885</f>
        <v>-1292.7494473270538</v>
      </c>
      <c r="O870">
        <f>-645.210880339312 -205.516846197812 -531.639897430501</f>
        <v>-1382.3676239676251</v>
      </c>
      <c r="P870">
        <f>-670.895747422834 -275.438812770529 -246.960334009103</f>
        <v>-1193.2948942024659</v>
      </c>
      <c r="Q870">
        <f>-500.930855572152 -128.047046497232 -333.206972813104</f>
        <v>-962.18487488248797</v>
      </c>
      <c r="R870" t="s">
        <v>9528</v>
      </c>
      <c r="S870" t="s">
        <v>9529</v>
      </c>
      <c r="T870" t="s">
        <v>9530</v>
      </c>
      <c r="U870" t="s">
        <v>9531</v>
      </c>
      <c r="V870">
        <f>-605.519889980181 -131.635339094676 -97.9477894696025</f>
        <v>-835.10301854445959</v>
      </c>
      <c r="W870" t="s">
        <v>9532</v>
      </c>
      <c r="X870" t="s">
        <v>9533</v>
      </c>
      <c r="Y870" t="s">
        <v>9534</v>
      </c>
    </row>
    <row r="871" spans="1:25" x14ac:dyDescent="0.3">
      <c r="A871">
        <v>43500</v>
      </c>
      <c r="B871" t="s">
        <v>9535</v>
      </c>
      <c r="C871">
        <f>-624.837381662959 -37.510306599577 -98.9794146600997</f>
        <v>-761.32710292263573</v>
      </c>
      <c r="D871">
        <f>-650.218158185314 -45.3736273796009 -211.718933723291</f>
        <v>-907.31071928820586</v>
      </c>
      <c r="E871">
        <f>-661.029987300258 -47.613362869487 -309.722815054935</f>
        <v>-1018.3661652246799</v>
      </c>
      <c r="F871">
        <f>-666.958475928716 -47.9987849098334 -398.621277497944</f>
        <v>-1113.5785383364932</v>
      </c>
      <c r="G871">
        <f>-668.673243568658 -46.7156310906969 -487.692316593345</f>
        <v>-1203.0811912526999</v>
      </c>
      <c r="H871">
        <f>-666.634457442542 -43.2055849445727 -612.208771637248</f>
        <v>-1322.0488140243629</v>
      </c>
      <c r="I871">
        <f>-636.221311839532 -36.9886288908519 -689.289321175953</f>
        <v>-1362.4992619063369</v>
      </c>
      <c r="J871">
        <f>-671.95506606846 -17.4053589132882 -556.716818282175</f>
        <v>-1246.0772432639233</v>
      </c>
      <c r="K871" t="s">
        <v>9536</v>
      </c>
      <c r="L871" t="s">
        <v>9537</v>
      </c>
      <c r="M871" t="s">
        <v>9538</v>
      </c>
      <c r="N871">
        <f>-663.108270872734 -72.0949517090354 -558.113583778072</f>
        <v>-1293.3168063598414</v>
      </c>
      <c r="O871">
        <f>-645.300669410339 -205.829806858471 -531.740915677714</f>
        <v>-1382.871391946524</v>
      </c>
      <c r="P871">
        <f>-670.320356170104 -276.093573537059 -247.086270066176</f>
        <v>-1193.5001997733391</v>
      </c>
      <c r="Q871">
        <f>-500.888772877035 -128.158644715093 -333.452280506761</f>
        <v>-962.49969809888898</v>
      </c>
      <c r="R871" t="s">
        <v>9539</v>
      </c>
      <c r="S871" t="s">
        <v>9540</v>
      </c>
      <c r="T871" t="s">
        <v>9541</v>
      </c>
      <c r="U871" t="s">
        <v>9542</v>
      </c>
      <c r="V871">
        <f>-605.512791825335 -131.850271080775 -97.9126117863215</f>
        <v>-835.27567469243138</v>
      </c>
      <c r="W871" t="s">
        <v>9543</v>
      </c>
      <c r="X871" t="s">
        <v>9544</v>
      </c>
      <c r="Y871" t="s">
        <v>9545</v>
      </c>
    </row>
    <row r="872" spans="1:25" x14ac:dyDescent="0.3">
      <c r="A872">
        <v>43550</v>
      </c>
      <c r="B872" t="s">
        <v>9546</v>
      </c>
      <c r="C872">
        <f>-624.857672978415 -37.5987913996771 -98.9775229712352</f>
        <v>-761.43398734932737</v>
      </c>
      <c r="D872">
        <f>-650.219052175768 -45.5119596623525 -211.717969111896</f>
        <v>-907.44898095001645</v>
      </c>
      <c r="E872">
        <f>-661.045040422258 -47.7932563113638 -309.719241458323</f>
        <v>-1018.5575381919448</v>
      </c>
      <c r="F872">
        <f>-666.998579575784 -48.2166370359914 -398.615901918614</f>
        <v>-1113.8311185303894</v>
      </c>
      <c r="G872">
        <f>-668.750315381569 -46.9719937653222 -487.686786206858</f>
        <v>-1203.4090953537491</v>
      </c>
      <c r="H872">
        <f>-666.775842850579 -43.5166251999805 -612.205768231809</f>
        <v>-1322.4982362823685</v>
      </c>
      <c r="I872">
        <f>-636.452819161515 -37.295085217075 -689.321523293967</f>
        <v>-1363.0694276725569</v>
      </c>
      <c r="J872">
        <f>-672.077128898272 -17.6935312750654 -556.722623543137</f>
        <v>-1246.4932837164745</v>
      </c>
      <c r="K872" t="s">
        <v>9547</v>
      </c>
      <c r="L872" t="s">
        <v>9548</v>
      </c>
      <c r="M872" t="s">
        <v>9549</v>
      </c>
      <c r="N872">
        <f>-663.212383779261 -72.3808271865951 -558.099668072329</f>
        <v>-1293.6928790381851</v>
      </c>
      <c r="O872">
        <f>-645.343704930152 -206.106507625889 -531.719950192986</f>
        <v>-1383.170162749027</v>
      </c>
      <c r="P872">
        <f>-669.857181643851 -276.521951843473 -247.058763597383</f>
        <v>-1193.4378970847069</v>
      </c>
      <c r="Q872">
        <f>-500.888762348034 -128.275431726821 -333.797035243156</f>
        <v>-962.96122931801096</v>
      </c>
      <c r="R872" t="s">
        <v>9550</v>
      </c>
      <c r="S872" t="s">
        <v>9551</v>
      </c>
      <c r="T872" t="s">
        <v>9552</v>
      </c>
      <c r="U872" t="s">
        <v>9553</v>
      </c>
      <c r="V872">
        <f>-605.5200604343 -131.897878949956 -97.8927462349405</f>
        <v>-835.31068561919653</v>
      </c>
      <c r="W872" t="s">
        <v>9554</v>
      </c>
      <c r="X872" t="s">
        <v>9555</v>
      </c>
      <c r="Y872" t="s">
        <v>9556</v>
      </c>
    </row>
    <row r="873" spans="1:25" x14ac:dyDescent="0.3">
      <c r="A873">
        <v>43600</v>
      </c>
      <c r="B873" t="s">
        <v>9557</v>
      </c>
      <c r="C873">
        <f>-624.991964931758 -37.4641438761876 -98.9678092018332</f>
        <v>-761.42391800977884</v>
      </c>
      <c r="D873">
        <f>-650.296601756502 -45.430500652427 -211.717247931483</f>
        <v>-907.44435034041203</v>
      </c>
      <c r="E873">
        <f>-661.152349105631 -47.810026353001 -309.71288317227</f>
        <v>-1018.6752586309019</v>
      </c>
      <c r="F873">
        <f>-667.164773402266 -48.3447993146734 -398.605011071619</f>
        <v>-1114.1145837885583</v>
      </c>
      <c r="G873">
        <f>-669.007488645786 -47.2331671808845 -487.675822637579</f>
        <v>-1203.9164784642494</v>
      </c>
      <c r="H873">
        <f>-667.193679034473 -43.9865352082749 -612.202910879314</f>
        <v>-1323.3831251220618</v>
      </c>
      <c r="I873">
        <f>-637.040142615101 -37.8041238893147 -689.388151643329</f>
        <v>-1364.2324181477447</v>
      </c>
      <c r="J873">
        <f>-672.45470154621 -18.0755988775293 -556.756795162972</f>
        <v>-1247.2870955867113</v>
      </c>
      <c r="K873" t="s">
        <v>9558</v>
      </c>
      <c r="L873" t="s">
        <v>9559</v>
      </c>
      <c r="M873" t="s">
        <v>9560</v>
      </c>
      <c r="N873">
        <f>-663.529026045474 -72.7547857885868 -558.052472615495</f>
        <v>-1294.3362844495559</v>
      </c>
      <c r="O873">
        <f>-645.461518127353 -206.419697686731 -531.50500057982</f>
        <v>-1383.3862163939041</v>
      </c>
      <c r="P873">
        <f>-669.100826118318 -276.548475203589 -246.699185665712</f>
        <v>-1192.348486987619</v>
      </c>
      <c r="Q873">
        <f>-500.90510846012 -127.894769135438 -334.23864472962</f>
        <v>-963.03852232517795</v>
      </c>
      <c r="R873" t="s">
        <v>9561</v>
      </c>
      <c r="S873" t="s">
        <v>9562</v>
      </c>
      <c r="T873" t="s">
        <v>9563</v>
      </c>
      <c r="U873" t="s">
        <v>9564</v>
      </c>
      <c r="V873">
        <f>-605.597885410603 -131.604478157735 -97.8587023331335</f>
        <v>-835.06106590147147</v>
      </c>
      <c r="W873" t="s">
        <v>9565</v>
      </c>
      <c r="X873" t="s">
        <v>9566</v>
      </c>
      <c r="Y873" t="s">
        <v>9567</v>
      </c>
    </row>
    <row r="874" spans="1:25" x14ac:dyDescent="0.3">
      <c r="A874">
        <v>43650</v>
      </c>
      <c r="B874" t="s">
        <v>9568</v>
      </c>
      <c r="C874">
        <f>-625.086702600538 -37.2264177645404 -98.967614266357</f>
        <v>-761.28073463143551</v>
      </c>
      <c r="D874">
        <f>-650.356186591719 -45.2180090719036 -211.723163444724</f>
        <v>-907.29735910834665</v>
      </c>
      <c r="E874">
        <f>-661.225852589375 -47.6654645410447 -309.715554387414</f>
        <v>-1018.6068715178337</v>
      </c>
      <c r="F874">
        <f>-667.26906470198 -48.2799614286205 -398.605148971785</f>
        <v>-1114.1541751023856</v>
      </c>
      <c r="G874">
        <f>-669.160976213325 -47.2665824111991 -487.675997082149</f>
        <v>-1204.103555706673</v>
      </c>
      <c r="H874">
        <f>-667.435482961342 -44.1762257967854 -612.208280239644</f>
        <v>-1323.8199889977714</v>
      </c>
      <c r="I874">
        <f>-637.364803758943 -38.0520630876053 -689.430501021658</f>
        <v>-1364.8473678682062</v>
      </c>
      <c r="J874">
        <f>-672.671214486454 -18.1979770751389 -556.791326989758</f>
        <v>-1247.6605185513508</v>
      </c>
      <c r="K874" t="s">
        <v>9569</v>
      </c>
      <c r="L874" t="s">
        <v>9570</v>
      </c>
      <c r="M874" t="s">
        <v>9571</v>
      </c>
      <c r="N874">
        <f>-663.718398624167 -72.8743261026935 -558.024243507837</f>
        <v>-1294.6169682346977</v>
      </c>
      <c r="O874">
        <f>-645.524057478938 -206.494307493073 -531.336660250989</f>
        <v>-1383.3550252229998</v>
      </c>
      <c r="P874">
        <f>-668.97356768695 -276.307791550566 -246.437777112516</f>
        <v>-1191.7191363500319</v>
      </c>
      <c r="Q874">
        <f>-500.988794908559 -127.483398146649 -334.092303455743</f>
        <v>-962.5644965109509</v>
      </c>
      <c r="R874" t="s">
        <v>9572</v>
      </c>
      <c r="S874" t="s">
        <v>9573</v>
      </c>
      <c r="T874" t="s">
        <v>9574</v>
      </c>
      <c r="U874" t="s">
        <v>9575</v>
      </c>
      <c r="V874">
        <f>-605.620644566939 -131.365398736501 -97.8532970390295</f>
        <v>-834.83934034246943</v>
      </c>
      <c r="W874" t="s">
        <v>9576</v>
      </c>
      <c r="X874" t="s">
        <v>9577</v>
      </c>
      <c r="Y874" t="s">
        <v>9578</v>
      </c>
    </row>
    <row r="875" spans="1:25" x14ac:dyDescent="0.3">
      <c r="A875">
        <v>43700</v>
      </c>
      <c r="B875" t="s">
        <v>9579</v>
      </c>
      <c r="C875">
        <f>-625.198854135553 -36.7846325852365 -98.9909137308075</f>
        <v>-760.97440045159703</v>
      </c>
      <c r="D875">
        <f>-650.408394086691 -44.8196113496729 -211.756722996476</f>
        <v>-906.98472843283992</v>
      </c>
      <c r="E875">
        <f>-661.280506545306 -47.4020059959204 -309.745489928301</f>
        <v>-1018.4280024695274</v>
      </c>
      <c r="F875">
        <f>-667.34833011335 -48.178276927857 -398.631985802152</f>
        <v>-1114.158592843359</v>
      </c>
      <c r="G875">
        <f>-669.287756375912 -47.3658019914673 -487.704088711443</f>
        <v>-1204.3576470788221</v>
      </c>
      <c r="H875">
        <f>-667.65265418381 -44.597501942484 -612.245144617371</f>
        <v>-1324.495300743665</v>
      </c>
      <c r="I875">
        <f>-637.725135842868 -38.6476603703445 -689.536547744275</f>
        <v>-1365.9093439574876</v>
      </c>
      <c r="J875">
        <f>-672.856845689718 -18.4774467166512 -556.891890944631</f>
        <v>-1248.2261833510001</v>
      </c>
      <c r="K875" t="s">
        <v>9580</v>
      </c>
      <c r="L875" t="s">
        <v>9581</v>
      </c>
      <c r="M875" t="s">
        <v>9582</v>
      </c>
      <c r="N875">
        <f>-663.887580687489 -73.1539478952657 -557.989513073354</f>
        <v>-1295.0310416561088</v>
      </c>
      <c r="O875">
        <f>-645.571109243521 -206.698143470663 -531.003816365194</f>
        <v>-1383.273069079378</v>
      </c>
      <c r="P875">
        <f>-669.074530476065 -275.805022275978 -245.937027497172</f>
        <v>-1190.8165802492149</v>
      </c>
      <c r="Q875">
        <f>-501.07920212944 -126.985084396665 -333.578740524929</f>
        <v>-961.64302705103398</v>
      </c>
      <c r="R875" t="s">
        <v>9583</v>
      </c>
      <c r="S875" t="s">
        <v>9584</v>
      </c>
      <c r="T875" t="s">
        <v>9585</v>
      </c>
      <c r="U875" t="s">
        <v>9586</v>
      </c>
      <c r="V875">
        <f>-605.658271129065 -130.956148082022 -97.8279455326116</f>
        <v>-834.44236474369859</v>
      </c>
      <c r="W875" t="s">
        <v>9587</v>
      </c>
      <c r="X875" t="s">
        <v>9588</v>
      </c>
      <c r="Y875" t="s">
        <v>9589</v>
      </c>
    </row>
    <row r="876" spans="1:25" x14ac:dyDescent="0.3">
      <c r="A876">
        <v>43750</v>
      </c>
      <c r="B876" t="s">
        <v>9590</v>
      </c>
      <c r="C876">
        <f>-625.212735337519 -36.5639618287228 -99.0116992980592</f>
        <v>-760.78839646430094</v>
      </c>
      <c r="D876">
        <f>-650.360226998446 -44.6110483574146 -211.790499593049</f>
        <v>-906.76177494890953</v>
      </c>
      <c r="E876">
        <f>-661.209299393672 -47.2505658661975 -309.780265461733</f>
        <v>-1018.2401307216026</v>
      </c>
      <c r="F876">
        <f>-667.268789694438 -48.0974619287723 -398.666794579197</f>
        <v>-1114.0330462024074</v>
      </c>
      <c r="G876">
        <f>-669.212438834193 -47.3751768362599 -487.739480545359</f>
        <v>-1204.3270962158119</v>
      </c>
      <c r="H876">
        <f>-667.596503398365 -44.7535280584382 -612.283984049115</f>
        <v>-1324.6340155059183</v>
      </c>
      <c r="I876">
        <f>-637.723337599243 -38.9194446754223 -689.605239318542</f>
        <v>-1366.2480215932073</v>
      </c>
      <c r="J876">
        <f>-672.780071061744 -18.5662128713495 -556.960583749433</f>
        <v>-1248.3068676825264</v>
      </c>
      <c r="K876" t="s">
        <v>9591</v>
      </c>
      <c r="L876" t="s">
        <v>9592</v>
      </c>
      <c r="M876" t="s">
        <v>9593</v>
      </c>
      <c r="N876">
        <f>-663.835201101981 -73.247957963132 -557.995646135284</f>
        <v>-1295.078805200397</v>
      </c>
      <c r="O876">
        <f>-645.534329102384 -206.769829173085 -530.869074454627</f>
        <v>-1383.1732327300961</v>
      </c>
      <c r="P876">
        <f>-669.066543797971 -275.655237529972 -245.751093626742</f>
        <v>-1190.472874954685</v>
      </c>
      <c r="Q876">
        <f>-501.016660090235 -126.835217866222 -333.288050798862</f>
        <v>-961.13992875531903</v>
      </c>
      <c r="R876" t="s">
        <v>9594</v>
      </c>
      <c r="S876" t="s">
        <v>9595</v>
      </c>
      <c r="T876" t="s">
        <v>9596</v>
      </c>
      <c r="U876" t="s">
        <v>9597</v>
      </c>
      <c r="V876">
        <f>-605.628372947612 -130.708279843026 -97.8274049375456</f>
        <v>-834.16405772818359</v>
      </c>
      <c r="W876" t="s">
        <v>9598</v>
      </c>
      <c r="X876" t="s">
        <v>9599</v>
      </c>
      <c r="Y876" t="s">
        <v>9600</v>
      </c>
    </row>
    <row r="877" spans="1:25" x14ac:dyDescent="0.3">
      <c r="A877">
        <v>43800</v>
      </c>
      <c r="B877" t="s">
        <v>9601</v>
      </c>
      <c r="C877">
        <f>-625.208756207724 -36.2125503475113 -99.0313522822931</f>
        <v>-760.45265883752847</v>
      </c>
      <c r="D877">
        <f>-650.283154529376 -44.263723098931 -211.826230085295</f>
        <v>-906.37310771360205</v>
      </c>
      <c r="E877">
        <f>-661.116447383878 -46.9715545976615 -309.8157349031</f>
        <v>-1017.9037368846396</v>
      </c>
      <c r="F877">
        <f>-667.180984150414 -47.9071138685111 -398.701022850369</f>
        <v>-1113.789120869294</v>
      </c>
      <c r="G877">
        <f>-669.148901837231 -47.3010190225001 -487.774056331211</f>
        <v>-1204.2239771909422</v>
      </c>
      <c r="H877">
        <f>-667.586838372759 -44.8715670207514 -612.323103952683</f>
        <v>-1324.7815093461934</v>
      </c>
      <c r="I877">
        <f>-637.813754808264 -39.2831311288351 -689.701087491412</f>
        <v>-1366.7979734285109</v>
      </c>
      <c r="J877">
        <f>-672.700564211479 -18.591600723541 -557.037272649366</f>
        <v>-1248.3294375843859</v>
      </c>
      <c r="K877" t="s">
        <v>9602</v>
      </c>
      <c r="L877" t="s">
        <v>9603</v>
      </c>
      <c r="M877" t="s">
        <v>9604</v>
      </c>
      <c r="N877">
        <f>-663.847903073639 -73.2896726647567 -557.993206499695</f>
        <v>-1295.1307822380909</v>
      </c>
      <c r="O877">
        <f>-645.761779884973 -206.797515253203 -530.673758071142</f>
        <v>-1383.2330532093179</v>
      </c>
      <c r="P877">
        <f>-669.13956402476 -275.456710887725 -245.488499839875</f>
        <v>-1190.0847747523601</v>
      </c>
      <c r="Q877">
        <f>-501.122457072719 -126.59222084546 -333.012690490442</f>
        <v>-960.72736840862103</v>
      </c>
      <c r="R877" t="s">
        <v>9605</v>
      </c>
      <c r="S877" t="s">
        <v>9606</v>
      </c>
      <c r="T877" t="s">
        <v>9607</v>
      </c>
      <c r="U877" t="s">
        <v>9608</v>
      </c>
      <c r="V877">
        <f>-605.706796261492 -130.333136598535 -97.8215435006052</f>
        <v>-833.8614763606322</v>
      </c>
      <c r="W877" t="s">
        <v>9609</v>
      </c>
      <c r="X877" t="s">
        <v>9610</v>
      </c>
      <c r="Y877" t="s">
        <v>9611</v>
      </c>
    </row>
    <row r="878" spans="1:25" x14ac:dyDescent="0.3">
      <c r="A878">
        <v>43850</v>
      </c>
      <c r="B878" t="s">
        <v>9612</v>
      </c>
      <c r="C878">
        <f>-625.257853739334 -35.8891376973429 -99.0332555688273</f>
        <v>-760.18024700550416</v>
      </c>
      <c r="D878">
        <f>-650.31360877702 -43.9062580129539 -211.834625537026</f>
        <v>-906.05449232699993</v>
      </c>
      <c r="E878">
        <f>-661.132142954225 -46.6186799656856 -309.825755808086</f>
        <v>-1017.5765787279965</v>
      </c>
      <c r="F878">
        <f>-667.184094738402 -47.5718318868156 -398.711664936215</f>
        <v>-1113.4675915614325</v>
      </c>
      <c r="G878">
        <f>-669.14000052243 -46.9974799720544 -487.785076314667</f>
        <v>-1203.9225568091515</v>
      </c>
      <c r="H878">
        <f>-667.561971095639 -44.6275851683251 -612.335182802341</f>
        <v>-1324.5247390663053</v>
      </c>
      <c r="I878">
        <f>-637.825097025647 -39.2140277332792 -689.739643386095</f>
        <v>-1366.7787681450213</v>
      </c>
      <c r="J878">
        <f>-672.641336823162 -18.3144989861983 -557.061868235661</f>
        <v>-1248.0177040450212</v>
      </c>
      <c r="K878" t="s">
        <v>9613</v>
      </c>
      <c r="L878" t="s">
        <v>9614</v>
      </c>
      <c r="M878" t="s">
        <v>9615</v>
      </c>
      <c r="N878">
        <f>-663.871429901478 -73.0264375375483 -557.991846238371</f>
        <v>-1294.8897136773971</v>
      </c>
      <c r="O878">
        <f>-646.037616390102 -206.558147662754 -530.62096850618</f>
        <v>-1383.216732559036</v>
      </c>
      <c r="P878">
        <f>-669.329150094527 -275.291832544069 -245.446680124775</f>
        <v>-1190.0676627633709</v>
      </c>
      <c r="Q878">
        <f>-501.320967630899 -126.39088108573 -332.92611982526</f>
        <v>-960.63796854188899</v>
      </c>
      <c r="R878" t="s">
        <v>9616</v>
      </c>
      <c r="S878" t="s">
        <v>9617</v>
      </c>
      <c r="T878" t="s">
        <v>9618</v>
      </c>
      <c r="U878" t="s">
        <v>9619</v>
      </c>
      <c r="V878">
        <f>-605.891639753781 -129.922038496746 -97.8222491654288</f>
        <v>-833.63592741595585</v>
      </c>
      <c r="W878" t="s">
        <v>9620</v>
      </c>
      <c r="X878" t="s">
        <v>9621</v>
      </c>
      <c r="Y878" t="s">
        <v>9622</v>
      </c>
    </row>
    <row r="879" spans="1:25" x14ac:dyDescent="0.3">
      <c r="A879">
        <v>43900</v>
      </c>
      <c r="B879" t="s">
        <v>9623</v>
      </c>
      <c r="C879">
        <f>-625.280887025774 -35.8029884260648 -99.028994579807</f>
        <v>-760.11287003164568</v>
      </c>
      <c r="D879">
        <f>-650.333867851371 -43.8031072721441 -211.832159431419</f>
        <v>-905.96913455493404</v>
      </c>
      <c r="E879">
        <f>-661.142481677677 -46.5122015177658 -309.824450667764</f>
        <v>-1017.4791338632067</v>
      </c>
      <c r="F879">
        <f>-667.182327675375 -47.4663341764586 -398.711247584756</f>
        <v>-1113.3599094365895</v>
      </c>
      <c r="G879">
        <f>-669.123457189634 -46.8978850614482 -487.78503118234</f>
        <v>-1203.8063734334221</v>
      </c>
      <c r="H879">
        <f>-667.521668186841 -44.5407660400524 -612.335045097672</f>
        <v>-1324.3974793245654</v>
      </c>
      <c r="I879">
        <f>-637.785021411352 -39.1738173686686 -689.742758438124</f>
        <v>-1366.7015972181446</v>
      </c>
      <c r="J879">
        <f>-672.598376669643 -18.2199997367152 -557.065187580553</f>
        <v>-1247.8835639869112</v>
      </c>
      <c r="K879" t="s">
        <v>9624</v>
      </c>
      <c r="L879" t="s">
        <v>9625</v>
      </c>
      <c r="M879" t="s">
        <v>9626</v>
      </c>
      <c r="N879">
        <f>-663.854702719487 -72.9361618302509 -557.988281136579</f>
        <v>-1294.779145686317</v>
      </c>
      <c r="O879">
        <f>-646.092806957235 -206.479840116529 -530.614842613009</f>
        <v>-1383.187489686773</v>
      </c>
      <c r="P879">
        <f>-669.369339031748 -275.226862438739 -245.442585546764</f>
        <v>-1190.038787017251</v>
      </c>
      <c r="Q879">
        <f>-501.353648754598 -126.28944427657 -332.845348423345</f>
        <v>-960.48844145451289</v>
      </c>
      <c r="R879" t="s">
        <v>9627</v>
      </c>
      <c r="S879" t="s">
        <v>9628</v>
      </c>
      <c r="T879" t="s">
        <v>9629</v>
      </c>
      <c r="U879" t="s">
        <v>9630</v>
      </c>
      <c r="V879">
        <f>-605.973683452384 -129.814428805342 -97.8267133198663</f>
        <v>-833.61482557759223</v>
      </c>
      <c r="W879" t="s">
        <v>9631</v>
      </c>
      <c r="X879" t="s">
        <v>9632</v>
      </c>
      <c r="Y879" t="s">
        <v>9633</v>
      </c>
    </row>
    <row r="880" spans="1:25" x14ac:dyDescent="0.3">
      <c r="A880">
        <v>43950</v>
      </c>
      <c r="B880" t="s">
        <v>9634</v>
      </c>
      <c r="C880">
        <f>-625.459542314512 -35.3646328745574 -99.014453977332</f>
        <v>-759.83862916640135</v>
      </c>
      <c r="D880">
        <f>-650.489968236117 -43.282031565168 -211.828551381847</f>
        <v>-905.60055118313198</v>
      </c>
      <c r="E880">
        <f>-661.266495656565 -45.9770442983196 -309.824751180748</f>
        <v>-1017.0682911356325</v>
      </c>
      <c r="F880">
        <f>-667.272939481195 -46.9404030472938 -398.713711834847</f>
        <v>-1112.9270543633356</v>
      </c>
      <c r="G880">
        <f>-669.176119848263 -46.4037085165779 -487.788534994876</f>
        <v>-1203.368363359717</v>
      </c>
      <c r="H880">
        <f>-667.516866828558 -44.1154542103636 -612.338997886909</f>
        <v>-1323.9713189258307</v>
      </c>
      <c r="I880">
        <f>-637.768123450407 -38.8926085764592 -689.751924358269</f>
        <v>-1366.4126563851351</v>
      </c>
      <c r="J880">
        <f>-672.559503258636 -17.7545658341851 -557.085116871103</f>
        <v>-1247.3991859639241</v>
      </c>
      <c r="K880" t="s">
        <v>9635</v>
      </c>
      <c r="L880" t="s">
        <v>9636</v>
      </c>
      <c r="M880" t="s">
        <v>9637</v>
      </c>
      <c r="N880">
        <f>-663.934571750594 -72.490174883222 -557.975851405601</f>
        <v>-1294.4005980394172</v>
      </c>
      <c r="O880">
        <f>-646.473927228 -206.072951411975 -530.603027877127</f>
        <v>-1383.149906517102</v>
      </c>
      <c r="P880">
        <f>-669.81936469814 -275.043679832957 -245.490345925643</f>
        <v>-1190.35339045674</v>
      </c>
      <c r="Q880">
        <f>-501.915889107879 -125.888230667509 -332.736652303477</f>
        <v>-960.54077207886507</v>
      </c>
      <c r="R880" t="s">
        <v>9638</v>
      </c>
      <c r="S880" t="s">
        <v>9639</v>
      </c>
      <c r="T880" t="s">
        <v>9640</v>
      </c>
      <c r="U880" t="s">
        <v>9641</v>
      </c>
      <c r="V880">
        <f>-606.340305630299 -129.390111163172 -97.8152808469142</f>
        <v>-833.54569764038524</v>
      </c>
      <c r="W880" t="s">
        <v>9642</v>
      </c>
      <c r="X880" t="s">
        <v>9643</v>
      </c>
      <c r="Y880" t="s">
        <v>9644</v>
      </c>
    </row>
    <row r="881" spans="1:25" x14ac:dyDescent="0.3">
      <c r="A881">
        <v>44000</v>
      </c>
      <c r="B881" t="s">
        <v>9645</v>
      </c>
      <c r="C881">
        <f>-625.401611515168 -34.8487642683247 -98.9814210623466</f>
        <v>-759.23179684583931</v>
      </c>
      <c r="D881">
        <f>-650.426722064863 -42.7031369459082 -211.801030419144</f>
        <v>-904.93088942991528</v>
      </c>
      <c r="E881">
        <f>-661.183410012015 -45.3684288730636 -309.800237363968</f>
        <v>-1016.3520762490466</v>
      </c>
      <c r="F881">
        <f>-667.16593665372 -46.314446394529 -398.690945806014</f>
        <v>-1112.171328854263</v>
      </c>
      <c r="G881">
        <f>-669.038898997619 -45.7711278725299 -487.766497840307</f>
        <v>-1202.5765247104559</v>
      </c>
      <c r="H881">
        <f>-667.33074371711 -43.4853561410506 -612.316287451434</f>
        <v>-1323.1323873095946</v>
      </c>
      <c r="I881">
        <f>-637.556111122213 -38.3206099432987 -689.723202068599</f>
        <v>-1365.5999231341107</v>
      </c>
      <c r="J881">
        <f>-672.3285558541 -17.1130054618691 -557.063885984206</f>
        <v>-1246.5054473001751</v>
      </c>
      <c r="K881" t="s">
        <v>9646</v>
      </c>
      <c r="L881" t="s">
        <v>9647</v>
      </c>
      <c r="M881" t="s">
        <v>9648</v>
      </c>
      <c r="N881">
        <f>-663.836317571811 -71.8694698321671 -557.952284930626</f>
        <v>-1293.6580723346042</v>
      </c>
      <c r="O881">
        <f>-646.733192394702 -205.49508535659 -530.564090277954</f>
        <v>-1382.7923680292461</v>
      </c>
      <c r="P881">
        <f>-670.409466848594 -274.715204292173 -245.539202229251</f>
        <v>-1190.6638733700179</v>
      </c>
      <c r="Q881">
        <f>-502.180747008979 -126.086182222945 -333.057097090543</f>
        <v>-961.32402632246703</v>
      </c>
      <c r="R881" t="s">
        <v>9649</v>
      </c>
      <c r="S881" t="s">
        <v>9650</v>
      </c>
      <c r="T881" t="s">
        <v>9651</v>
      </c>
      <c r="U881" t="s">
        <v>9652</v>
      </c>
      <c r="V881">
        <f>-606.390333504761 -128.831786788379 -97.8034595343554</f>
        <v>-833.02557982749533</v>
      </c>
      <c r="W881" t="s">
        <v>9653</v>
      </c>
      <c r="X881" t="s">
        <v>9654</v>
      </c>
      <c r="Y881" t="s">
        <v>9655</v>
      </c>
    </row>
    <row r="882" spans="1:25" x14ac:dyDescent="0.3">
      <c r="A882">
        <v>44050</v>
      </c>
      <c r="B882" t="s">
        <v>9656</v>
      </c>
      <c r="C882">
        <f>-625.299917486507 -34.5700684085677 -98.9692967516454</f>
        <v>-758.83928264672011</v>
      </c>
      <c r="D882">
        <f>-650.340463783508 -42.3944438261158 -211.787632870576</f>
        <v>-904.52254048019972</v>
      </c>
      <c r="E882">
        <f>-661.089914786145 -45.0369458637359 -309.788259949483</f>
        <v>-1015.9151205993639</v>
      </c>
      <c r="F882">
        <f>-667.057629701057 -45.9636075761244 -398.680202830324</f>
        <v>-1111.7014401075053</v>
      </c>
      <c r="G882">
        <f>-668.907407747442 -45.4026496331259 -487.755895968224</f>
        <v>-1202.0659533487919</v>
      </c>
      <c r="H882">
        <f>-667.158156547281 -43.0939305238389 -612.304871602162</f>
        <v>-1322.556958673282</v>
      </c>
      <c r="I882">
        <f>-637.36897671575 -37.9263796526379 -689.706009583848</f>
        <v>-1365.001365952236</v>
      </c>
      <c r="J882">
        <f>-672.14502022174 -16.7273100359043 -557.048803017659</f>
        <v>-1245.9211332753034</v>
      </c>
      <c r="K882" t="s">
        <v>9657</v>
      </c>
      <c r="L882" t="s">
        <v>9658</v>
      </c>
      <c r="M882" t="s">
        <v>9659</v>
      </c>
      <c r="N882">
        <f>-663.71077708889 -71.4924875415761 -557.945470342566</f>
        <v>-1293.1487349730321</v>
      </c>
      <c r="O882">
        <f>-646.742181382106 -205.138598883274 -530.551708005031</f>
        <v>-1382.4324882704109</v>
      </c>
      <c r="P882">
        <f>-670.785676242051 -274.390450670453 -245.565262869606</f>
        <v>-1190.74138978211</v>
      </c>
      <c r="Q882">
        <f>-502.324890737668 -126.471433314992 -333.836466511501</f>
        <v>-962.63279056416104</v>
      </c>
      <c r="R882" t="s">
        <v>9660</v>
      </c>
      <c r="S882" t="s">
        <v>9661</v>
      </c>
      <c r="T882" t="s">
        <v>9662</v>
      </c>
      <c r="U882" t="s">
        <v>9663</v>
      </c>
      <c r="V882">
        <f>-606.352623008238 -128.543019281451 -97.8049845398792</f>
        <v>-832.70062682956825</v>
      </c>
      <c r="W882" t="s">
        <v>9664</v>
      </c>
      <c r="X882" t="s">
        <v>9665</v>
      </c>
      <c r="Y882" t="s">
        <v>9666</v>
      </c>
    </row>
    <row r="883" spans="1:25" x14ac:dyDescent="0.3">
      <c r="A883">
        <v>44100</v>
      </c>
      <c r="B883" t="s">
        <v>9667</v>
      </c>
      <c r="C883">
        <f>-625.092994289596 -34.1043883120919 -98.9713398931077</f>
        <v>-758.1687224947957</v>
      </c>
      <c r="D883">
        <f>-650.192289259888 -41.8650439218509 -211.781053681802</f>
        <v>-903.83838686354079</v>
      </c>
      <c r="E883">
        <f>-660.927571960241 -44.4325449214888 -309.78522858878</f>
        <v>-1015.1453454705098</v>
      </c>
      <c r="F883">
        <f>-666.856217421961 -45.2824668408607 -398.680532222063</f>
        <v>-1110.8192164848847</v>
      </c>
      <c r="G883">
        <f>-668.640366744305 -44.6371428398912 -487.75715707953</f>
        <v>-1201.0346666637261</v>
      </c>
      <c r="H883">
        <f>-666.771425008655 -42.2029233636217 -612.30189370955</f>
        <v>-1321.2762420818267</v>
      </c>
      <c r="I883">
        <f>-636.930928265228 -36.9937469920276 -689.68030513949</f>
        <v>-1363.6049803967455</v>
      </c>
      <c r="J883">
        <f>-671.754570846407 -15.8834291048879 -557.022934152763</f>
        <v>-1244.660934104058</v>
      </c>
      <c r="K883" t="s">
        <v>9668</v>
      </c>
      <c r="L883" t="s">
        <v>9669</v>
      </c>
      <c r="M883" t="s">
        <v>9670</v>
      </c>
      <c r="N883">
        <f>-663.433144940926 -70.664894949201 -557.968777077344</f>
        <v>-1292.0668169674709</v>
      </c>
      <c r="O883">
        <f>-646.667841582938 -204.337905961584 -530.620281143741</f>
        <v>-1381.626028688263</v>
      </c>
      <c r="P883">
        <f>-671.57231843054 -273.599800039384 -245.710170160192</f>
        <v>-1190.8822886301161</v>
      </c>
      <c r="Q883">
        <f>-503.059573148878 -126.264123082514 -334.853418188538</f>
        <v>-964.17711441992992</v>
      </c>
      <c r="R883" t="s">
        <v>9671</v>
      </c>
      <c r="S883" t="s">
        <v>9672</v>
      </c>
      <c r="T883" t="s">
        <v>9673</v>
      </c>
      <c r="U883" t="s">
        <v>9674</v>
      </c>
      <c r="V883">
        <f>-606.268080400131 -128.121326397985 -97.7989895896837</f>
        <v>-832.18839638779968</v>
      </c>
      <c r="W883" t="s">
        <v>9675</v>
      </c>
      <c r="X883" t="s">
        <v>9676</v>
      </c>
      <c r="Y883" t="s">
        <v>9677</v>
      </c>
    </row>
    <row r="884" spans="1:25" x14ac:dyDescent="0.3">
      <c r="A884">
        <v>44150</v>
      </c>
      <c r="B884" t="s">
        <v>9678</v>
      </c>
      <c r="C884">
        <f>-625.001738656382 -33.9741619260756 -98.9653674076437</f>
        <v>-757.94126799010132</v>
      </c>
      <c r="D884">
        <f>-650.142046223857 -41.7012726305695 -211.768235780572</f>
        <v>-903.61155463499858</v>
      </c>
      <c r="E884">
        <f>-660.878052431384 -44.2225006040528 -309.773515033111</f>
        <v>-1014.8740680685478</v>
      </c>
      <c r="F884">
        <f>-666.793141693065 -45.0233675110641 -398.670123351278</f>
        <v>-1110.4866325554071</v>
      </c>
      <c r="G884">
        <f>-668.549387612153 -44.3220212270231 -487.746891589554</f>
        <v>-1200.6183004287302</v>
      </c>
      <c r="H884">
        <f>-666.626347822051 -41.802523960805 -612.289124757372</f>
        <v>-1320.7179965402279</v>
      </c>
      <c r="I884">
        <f>-636.77820856094 -36.5666288793789 -689.662957346355</f>
        <v>-1363.0077947866739</v>
      </c>
      <c r="J884">
        <f>-671.605675119046 -15.5165217433423 -556.993841826875</f>
        <v>-1244.1160386892634</v>
      </c>
      <c r="K884" t="s">
        <v>9679</v>
      </c>
      <c r="L884" t="s">
        <v>9680</v>
      </c>
      <c r="M884" t="s">
        <v>9681</v>
      </c>
      <c r="N884">
        <f>-663.339481447394 -70.3058930486386 -557.974582701671</f>
        <v>-1291.6199571977036</v>
      </c>
      <c r="O884">
        <f>-646.667708877243 -203.998629027131 -530.673775308396</f>
        <v>-1381.3401132127699</v>
      </c>
      <c r="P884">
        <f>-671.64380504702 -273.299826654978 -245.779506904866</f>
        <v>-1190.723138606864</v>
      </c>
      <c r="Q884">
        <f>-503.484475070441 -125.793785266198 -335.307743667455</f>
        <v>-964.58600400409409</v>
      </c>
      <c r="R884" t="s">
        <v>9682</v>
      </c>
      <c r="S884" t="s">
        <v>9683</v>
      </c>
      <c r="T884" t="s">
        <v>9684</v>
      </c>
      <c r="U884" t="s">
        <v>9685</v>
      </c>
      <c r="V884">
        <f>-606.28012834905 -128.041642442158 -97.7984367860042</f>
        <v>-832.12020757721223</v>
      </c>
      <c r="W884" t="s">
        <v>9686</v>
      </c>
      <c r="X884" t="s">
        <v>9687</v>
      </c>
      <c r="Y884" t="s">
        <v>9688</v>
      </c>
    </row>
    <row r="885" spans="1:25" x14ac:dyDescent="0.3">
      <c r="A885">
        <v>44200</v>
      </c>
      <c r="B885" t="s">
        <v>9689</v>
      </c>
      <c r="C885">
        <f>-624.955899963858 -33.7296424301376 -98.9257764584304</f>
        <v>-757.61131885242594</v>
      </c>
      <c r="D885">
        <f>-650.166877900988 -41.3782287506633 -211.718073531908</f>
        <v>-903.26318018355926</v>
      </c>
      <c r="E885">
        <f>-660.919604708881 -43.8035337849777 -309.724010585436</f>
        <v>-1014.4471490792948</v>
      </c>
      <c r="F885">
        <f>-666.831697890595 -44.50531361266 -398.621676354457</f>
        <v>-1109.958687857712</v>
      </c>
      <c r="G885">
        <f>-668.566655409796 -43.6938217029546 -487.697845381785</f>
        <v>-1199.9583224945354</v>
      </c>
      <c r="H885">
        <f>-666.594438417701 -41.0091629265778 -612.235932206085</f>
        <v>-1319.8395335503637</v>
      </c>
      <c r="I885">
        <f>-636.776672527642 -35.7192858941169 -689.617718705755</f>
        <v>-1362.1136771275137</v>
      </c>
      <c r="J885">
        <f>-671.543151809291 -14.7887101780636 -556.906763337747</f>
        <v>-1243.2386253251016</v>
      </c>
      <c r="K885" t="s">
        <v>9690</v>
      </c>
      <c r="L885" t="s">
        <v>9691</v>
      </c>
      <c r="M885" t="s">
        <v>9692</v>
      </c>
      <c r="N885">
        <f>-663.381524137133 -69.5924544226521 -557.958885317154</f>
        <v>-1290.9328638769391</v>
      </c>
      <c r="O885">
        <f>-646.911272333545 -203.334920902424 -530.777257206121</f>
        <v>-1381.0234504420901</v>
      </c>
      <c r="P885">
        <f>-671.474564964225 -272.638657205325 -245.847745656576</f>
        <v>-1189.9609678261261</v>
      </c>
      <c r="Q885">
        <f>-503.492867708836 -125.398422394815 -336.143657628411</f>
        <v>-965.03494773206205</v>
      </c>
      <c r="R885" t="s">
        <v>9693</v>
      </c>
      <c r="S885" t="s">
        <v>9694</v>
      </c>
      <c r="T885" t="s">
        <v>9695</v>
      </c>
      <c r="U885" t="s">
        <v>9696</v>
      </c>
      <c r="V885">
        <f>-606.415374416857 -127.763976243872 -97.7892487311672</f>
        <v>-831.96859939189619</v>
      </c>
      <c r="W885" t="s">
        <v>9697</v>
      </c>
      <c r="X885" t="s">
        <v>9698</v>
      </c>
      <c r="Y885" t="s">
        <v>9699</v>
      </c>
    </row>
    <row r="886" spans="1:25" x14ac:dyDescent="0.3">
      <c r="A886">
        <v>44250</v>
      </c>
      <c r="B886" t="s">
        <v>9700</v>
      </c>
      <c r="C886">
        <f>-624.974726481879 -33.6194807455756 -98.8910313742239</f>
        <v>-757.48523860167847</v>
      </c>
      <c r="D886">
        <f>-650.205814561417 -41.2241802602518 -211.68198658703</f>
        <v>-903.11198140869885</v>
      </c>
      <c r="E886">
        <f>-660.968336242329 -43.6070416981424 -309.687762257162</f>
        <v>-1014.2631401976334</v>
      </c>
      <c r="F886">
        <f>-666.886425028109 -44.2685300455598 -398.585469041917</f>
        <v>-1109.7404241155859</v>
      </c>
      <c r="G886">
        <f>-668.624029404284 -43.4149658545177 -487.661228665996</f>
        <v>-1199.7002239247977</v>
      </c>
      <c r="H886">
        <f>-666.652478958716 -40.6698063727017 -612.197958988601</f>
        <v>-1319.5202443200187</v>
      </c>
      <c r="I886">
        <f>-636.87497010924 -35.3445759174144 -689.592763971178</f>
        <v>-1361.8123099978325</v>
      </c>
      <c r="J886">
        <f>-671.581599044451 -14.473447140444 -556.855568836716</f>
        <v>-1242.910615021611</v>
      </c>
      <c r="K886" t="s">
        <v>9701</v>
      </c>
      <c r="L886" t="s">
        <v>9702</v>
      </c>
      <c r="M886" t="s">
        <v>9703</v>
      </c>
      <c r="N886">
        <f>-663.458461012995 -69.2822311267704 -557.935179796095</f>
        <v>-1290.6758719358604</v>
      </c>
      <c r="O886">
        <f>-647.099295672346 -203.063615239117 -530.844265649605</f>
        <v>-1381.0071765610678</v>
      </c>
      <c r="P886">
        <f>-671.546647343614 -272.252357746363 -245.876894312829</f>
        <v>-1189.675899402806</v>
      </c>
      <c r="Q886">
        <f>-503.128809929399 -125.59174017213 -336.303530576843</f>
        <v>-965.024080678372</v>
      </c>
      <c r="R886" t="s">
        <v>9704</v>
      </c>
      <c r="S886" t="s">
        <v>9705</v>
      </c>
      <c r="T886" t="s">
        <v>9706</v>
      </c>
      <c r="U886" t="s">
        <v>9707</v>
      </c>
      <c r="V886">
        <f>-606.510654536823 -127.692548364812 -97.7780108081516</f>
        <v>-831.98121370978663</v>
      </c>
      <c r="W886" t="s">
        <v>9708</v>
      </c>
      <c r="X886" t="s">
        <v>9709</v>
      </c>
      <c r="Y886" t="s">
        <v>9710</v>
      </c>
    </row>
    <row r="887" spans="1:25" x14ac:dyDescent="0.3">
      <c r="A887">
        <v>44300</v>
      </c>
      <c r="B887" t="s">
        <v>9711</v>
      </c>
      <c r="C887">
        <f>-625.009411515625 -33.4893603333437 -98.85628048133</f>
        <v>-757.35505233029869</v>
      </c>
      <c r="D887">
        <f>-650.247920770598 -41.0532752896984 -211.648155292688</f>
        <v>-902.94935135298431</v>
      </c>
      <c r="E887">
        <f>-661.006893417218 -43.3888607971338 -309.655697809317</f>
        <v>-1014.0514520236688</v>
      </c>
      <c r="F887">
        <f>-666.917543800557 -44.0028743747795 -398.554090387254</f>
        <v>-1109.4745085625905</v>
      </c>
      <c r="G887">
        <f>-668.643551288344 -43.0972447779409 -487.629449187132</f>
        <v>-1199.3702452534169</v>
      </c>
      <c r="H887">
        <f>-666.651122379414 -40.2748712685523 -612.164151135804</f>
        <v>-1319.0901447837703</v>
      </c>
      <c r="I887">
        <f>-636.918213565134 -34.8978564532233 -689.572590505209</f>
        <v>-1361.3886605235662</v>
      </c>
      <c r="J887">
        <f>-671.568399595207 -14.1096066421615 -556.806143070333</f>
        <v>-1242.4841493077015</v>
      </c>
      <c r="K887" t="s">
        <v>9712</v>
      </c>
      <c r="L887" t="s">
        <v>9713</v>
      </c>
      <c r="M887" t="s">
        <v>9714</v>
      </c>
      <c r="N887">
        <f>-663.487324562153 -68.9240598694548 -557.91908965703</f>
        <v>-1290.3304740886379</v>
      </c>
      <c r="O887">
        <f>-647.247043481888 -202.734832303832 -530.914817653961</f>
        <v>-1380.896693439681</v>
      </c>
      <c r="P887">
        <f>-671.787424134215 -271.983958249246 -245.969967959376</f>
        <v>-1189.741350342837</v>
      </c>
      <c r="Q887">
        <f>-502.813731900678 -125.931875371509 -336.344601617374</f>
        <v>-965.09020888956104</v>
      </c>
      <c r="R887" t="s">
        <v>9715</v>
      </c>
      <c r="S887" t="s">
        <v>9716</v>
      </c>
      <c r="T887" t="s">
        <v>9717</v>
      </c>
      <c r="U887" t="s">
        <v>9718</v>
      </c>
      <c r="V887">
        <f>-606.590329629567 -127.547814388985 -97.7613492235</f>
        <v>-831.89949324205202</v>
      </c>
      <c r="W887" t="s">
        <v>9719</v>
      </c>
      <c r="X887" t="s">
        <v>9720</v>
      </c>
      <c r="Y887" t="s">
        <v>9721</v>
      </c>
    </row>
    <row r="888" spans="1:25" x14ac:dyDescent="0.3">
      <c r="A888">
        <v>44350</v>
      </c>
      <c r="B888" t="s">
        <v>9722</v>
      </c>
      <c r="C888">
        <f>-624.994307897288 -33.172883866994 -98.7850552843398</f>
        <v>-756.95224704862176</v>
      </c>
      <c r="D888">
        <f>-650.23937652791 -40.6947007121976 -211.57840059903</f>
        <v>-902.51247783913766</v>
      </c>
      <c r="E888">
        <f>-660.978545446516 -42.9573480027107 -309.589637501462</f>
        <v>-1013.5255309506887</v>
      </c>
      <c r="F888">
        <f>-666.860350509591 -43.4911115387298 -398.490508362407</f>
        <v>-1108.8419704107278</v>
      </c>
      <c r="G888">
        <f>-668.545880647413 -42.492804507807 -487.565756386039</f>
        <v>-1198.6044415412591</v>
      </c>
      <c r="H888">
        <f>-666.484378648591 -39.5287138120673 -612.095946150524</f>
        <v>-1318.1090386111823</v>
      </c>
      <c r="I888">
        <f>-636.847142597683 -34.0528376070395 -689.534245553132</f>
        <v>-1360.4342257578546</v>
      </c>
      <c r="J888">
        <f>-671.373710162515 -13.417977300925 -556.709726121286</f>
        <v>-1241.5014135847259</v>
      </c>
      <c r="K888" t="s">
        <v>9723</v>
      </c>
      <c r="L888" t="s">
        <v>9724</v>
      </c>
      <c r="M888" t="s">
        <v>9725</v>
      </c>
      <c r="N888">
        <f>-663.409432149751 -68.2481324895472 -557.88308640637</f>
        <v>-1289.5406510456683</v>
      </c>
      <c r="O888">
        <f>-647.449535492767 -202.119450788095 -531.020387648023</f>
        <v>-1380.5893739288849</v>
      </c>
      <c r="P888">
        <f>-672.348272889579 -271.570246330728 -246.155837807448</f>
        <v>-1190.074357027755</v>
      </c>
      <c r="Q888">
        <f>-502.70213945291 -126.197748262269 -336.366202259593</f>
        <v>-965.26608997477206</v>
      </c>
      <c r="R888" t="s">
        <v>9726</v>
      </c>
      <c r="S888" t="s">
        <v>9727</v>
      </c>
      <c r="T888" t="s">
        <v>9728</v>
      </c>
      <c r="U888" t="s">
        <v>9729</v>
      </c>
      <c r="V888">
        <f>-606.663443303753 -127.22412637214 -97.733585295263</f>
        <v>-831.62115497115599</v>
      </c>
      <c r="W888" t="s">
        <v>9730</v>
      </c>
      <c r="X888" t="s">
        <v>9731</v>
      </c>
      <c r="Y888" t="s">
        <v>9732</v>
      </c>
    </row>
    <row r="889" spans="1:25" x14ac:dyDescent="0.3">
      <c r="A889">
        <v>44400</v>
      </c>
      <c r="B889" t="s">
        <v>9733</v>
      </c>
      <c r="C889">
        <f>-625.031635635111 -32.8266896213322 -98.7366098989208</f>
        <v>-756.59493515536406</v>
      </c>
      <c r="D889">
        <f>-650.30415289078 -40.277001842157 -211.52854241543</f>
        <v>-902.10969714836699</v>
      </c>
      <c r="E889">
        <f>-661.04061337993 -42.4890521322777 -309.541231322713</f>
        <v>-1013.0708968349207</v>
      </c>
      <c r="F889">
        <f>-666.909120996077 -42.9813199685407 -398.443091106404</f>
        <v>-1108.3335320710216</v>
      </c>
      <c r="G889">
        <f>-668.570378991014 -41.9471962757946 -487.518473267588</f>
        <v>-1198.0360485343965</v>
      </c>
      <c r="H889">
        <f>-666.46332060928 -38.9398222187508 -612.046913005703</f>
        <v>-1317.4500558337338</v>
      </c>
      <c r="I889">
        <f>-636.879057954427 -33.446824175863 -689.504183621904</f>
        <v>-1359.8300657521941</v>
      </c>
      <c r="J889">
        <f>-671.3059376678 -12.8387781598142 -556.652069826179</f>
        <v>-1240.796785653793</v>
      </c>
      <c r="K889" t="s">
        <v>9734</v>
      </c>
      <c r="L889" t="s">
        <v>9735</v>
      </c>
      <c r="M889" t="s">
        <v>9736</v>
      </c>
      <c r="N889">
        <f>-663.475161211269 -67.6877971647942 -557.844130054482</f>
        <v>-1289.0070884305451</v>
      </c>
      <c r="O889">
        <f>-647.784033175626 -201.596866620922 -531.018646735862</f>
        <v>-1380.3995465324101</v>
      </c>
      <c r="P889">
        <f>-672.850864066264 -271.134215735663 -246.189973364172</f>
        <v>-1190.1750531660989</v>
      </c>
      <c r="Q889">
        <f>-503.060322444429 -125.84339015888 -336.259949309977</f>
        <v>-965.16366191328598</v>
      </c>
      <c r="R889" t="s">
        <v>9737</v>
      </c>
      <c r="S889" t="s">
        <v>9738</v>
      </c>
      <c r="T889" t="s">
        <v>9739</v>
      </c>
      <c r="U889" t="s">
        <v>9740</v>
      </c>
      <c r="V889">
        <f>-606.858674212118 -126.916309229643 -97.6989675841492</f>
        <v>-831.4739510259102</v>
      </c>
      <c r="W889" t="s">
        <v>9741</v>
      </c>
      <c r="X889" t="s">
        <v>9742</v>
      </c>
      <c r="Y889" t="s">
        <v>9743</v>
      </c>
    </row>
    <row r="890" spans="1:25" x14ac:dyDescent="0.3">
      <c r="A890">
        <v>44450</v>
      </c>
      <c r="B890" t="s">
        <v>9744</v>
      </c>
      <c r="C890">
        <f>-625.100159361837 -32.6041300606628 -98.7080648505022</f>
        <v>-756.41235427300194</v>
      </c>
      <c r="D890">
        <f>-650.388047370581 -40.0140761900914 -211.499162798002</f>
        <v>-901.90128635867438</v>
      </c>
      <c r="E890">
        <f>-661.119637215471 -42.2096311761709 -309.512791127926</f>
        <v>-1012.8420595195679</v>
      </c>
      <c r="F890">
        <f>-666.976720268356 -42.6938313169514 -398.415613607913</f>
        <v>-1108.0861651932205</v>
      </c>
      <c r="G890">
        <f>-668.619285440207 -41.6593277188163 -487.491169492377</f>
        <v>-1197.7697826514004</v>
      </c>
      <c r="H890">
        <f>-666.478579295172 -38.6592894462806 -612.01926189133</f>
        <v>-1317.1571306327826</v>
      </c>
      <c r="I890">
        <f>-636.900266311519 -33.1888718389305 -689.48041625704</f>
        <v>-1359.5695544074895</v>
      </c>
      <c r="J890">
        <f>-671.302543839176 -12.5500990709193 -556.626613339223</f>
        <v>-1240.4792562493183</v>
      </c>
      <c r="K890" t="s">
        <v>9745</v>
      </c>
      <c r="L890" t="s">
        <v>9746</v>
      </c>
      <c r="M890" t="s">
        <v>9747</v>
      </c>
      <c r="N890">
        <f>-663.538646534432 -67.408825697994 -557.814755666911</f>
        <v>-1288.7622278993369</v>
      </c>
      <c r="O890">
        <f>-647.97931877811 -201.338143223211 -530.998589996441</f>
        <v>-1380.3160519977619</v>
      </c>
      <c r="P890">
        <f>-673.116175643629 -270.805396211368 -246.158917727368</f>
        <v>-1190.0804895823651</v>
      </c>
      <c r="Q890">
        <f>-503.215807605799 -125.663264191478 -336.261723711993</f>
        <v>-965.14079550926999</v>
      </c>
      <c r="R890" t="s">
        <v>9748</v>
      </c>
      <c r="S890" t="s">
        <v>9749</v>
      </c>
      <c r="T890" t="s">
        <v>9750</v>
      </c>
      <c r="U890" t="s">
        <v>9751</v>
      </c>
      <c r="V890">
        <f>-607.003103300657 -126.717064176812 -97.6849784142191</f>
        <v>-831.40514589168811</v>
      </c>
      <c r="W890" t="s">
        <v>9752</v>
      </c>
      <c r="X890" t="s">
        <v>9753</v>
      </c>
      <c r="Y890" t="s">
        <v>9754</v>
      </c>
    </row>
    <row r="891" spans="1:25" x14ac:dyDescent="0.3">
      <c r="A891">
        <v>44500</v>
      </c>
      <c r="B891" t="s">
        <v>9755</v>
      </c>
      <c r="C891">
        <f>-625.22832534987 -32.2427842663458 -98.6684224442357</f>
        <v>-756.13953206045153</v>
      </c>
      <c r="D891">
        <f>-650.561910614177 -39.5673702495899 -211.454875837211</f>
        <v>-901.58415670097793</v>
      </c>
      <c r="E891">
        <f>-661.313850434476 -41.7220851304558 -309.467079549418</f>
        <v>-1012.5030151143496</v>
      </c>
      <c r="F891">
        <f>-667.181859858711 -42.1817647723681 -398.369385747441</f>
        <v>-1107.7330103785202</v>
      </c>
      <c r="G891">
        <f>-668.827932000039 -41.1362016720934 -487.444844714234</f>
        <v>-1197.4089783863665</v>
      </c>
      <c r="H891">
        <f>-666.68420847838 -38.1351176463436 -611.972823714635</f>
        <v>-1316.7921498393584</v>
      </c>
      <c r="I891">
        <f>-637.119374360834 -32.7504625902575 -689.445097731984</f>
        <v>-1359.3149346830755</v>
      </c>
      <c r="J891">
        <f>-671.442216933474 -12.0169793354696 -556.578544111259</f>
        <v>-1240.0377403802026</v>
      </c>
      <c r="K891" t="s">
        <v>9756</v>
      </c>
      <c r="L891" t="s">
        <v>9757</v>
      </c>
      <c r="M891" t="s">
        <v>9758</v>
      </c>
      <c r="N891">
        <f>-663.812871323702 -66.8944657545835 -557.769835219991</f>
        <v>-1288.4771722982764</v>
      </c>
      <c r="O891">
        <f>-648.604286224294 -200.867515802437 -530.959162022521</f>
        <v>-1380.430964049252</v>
      </c>
      <c r="P891">
        <f>-673.884964596652 -270.10776892441 -246.076998073192</f>
        <v>-1190.0697315942541</v>
      </c>
      <c r="Q891">
        <f>-503.600327190312 -125.557281830998 -336.405067530235</f>
        <v>-965.562676551545</v>
      </c>
      <c r="R891" t="s">
        <v>9759</v>
      </c>
      <c r="S891" t="s">
        <v>9760</v>
      </c>
      <c r="T891" t="s">
        <v>9761</v>
      </c>
      <c r="U891" t="s">
        <v>9762</v>
      </c>
      <c r="V891">
        <f>-607.320346274724 -126.462369842729 -97.6654490698701</f>
        <v>-831.44816518732307</v>
      </c>
      <c r="W891" t="s">
        <v>9763</v>
      </c>
      <c r="X891" t="s">
        <v>9764</v>
      </c>
      <c r="Y891" t="s">
        <v>9765</v>
      </c>
    </row>
    <row r="892" spans="1:25" x14ac:dyDescent="0.3">
      <c r="A892">
        <v>44550</v>
      </c>
      <c r="B892" t="s">
        <v>9766</v>
      </c>
      <c r="C892">
        <f>-625.283619316758 -32.0288498789853 -98.6428171024082</f>
        <v>-755.95528629815146</v>
      </c>
      <c r="D892">
        <f>-650.633282624647 -39.3226830294184 -211.427565625235</f>
        <v>-901.38353127930031</v>
      </c>
      <c r="E892">
        <f>-661.390899935643 -41.4649534577725 -309.439630386074</f>
        <v>-1012.2954837794895</v>
      </c>
      <c r="F892">
        <f>-667.260802240164 -41.9188503979992 -398.341645067201</f>
        <v>-1107.5212977053643</v>
      </c>
      <c r="G892">
        <f>-668.905417509712 -40.8736818845171 -487.417145307972</f>
        <v>-1197.1962447022011</v>
      </c>
      <c r="H892">
        <f>-666.755921242244 -37.88015890208 -611.945263621828</f>
        <v>-1316.5813437661518</v>
      </c>
      <c r="I892">
        <f>-637.175854794678 -32.5483700602244 -689.415313139679</f>
        <v>-1359.1395379945816</v>
      </c>
      <c r="J892">
        <f>-671.481251130581 -11.7538640048276 -556.552080646557</f>
        <v>-1239.7871957819657</v>
      </c>
      <c r="K892" t="s">
        <v>9767</v>
      </c>
      <c r="L892" t="s">
        <v>9768</v>
      </c>
      <c r="M892" t="s">
        <v>9769</v>
      </c>
      <c r="N892">
        <f>-663.922383875457 -66.641152732597 -557.741036314319</f>
        <v>-1288.3045729223729</v>
      </c>
      <c r="O892">
        <f>-648.905606890403 -200.637820716582 -530.938479125836</f>
        <v>-1380.481906732821</v>
      </c>
      <c r="P892">
        <f>-674.263411938377 -269.689165718479 -246.017301155128</f>
        <v>-1189.969878811984</v>
      </c>
      <c r="Q892">
        <f>-503.67735802922 -125.564030972909 -336.456337373693</f>
        <v>-965.69772637582196</v>
      </c>
      <c r="R892" t="s">
        <v>9770</v>
      </c>
      <c r="S892" t="s">
        <v>9771</v>
      </c>
      <c r="T892" t="s">
        <v>9772</v>
      </c>
      <c r="U892" t="s">
        <v>9773</v>
      </c>
      <c r="V892">
        <f>-607.454103378534 -126.220162357619 -97.6567914104264</f>
        <v>-831.33105714657938</v>
      </c>
      <c r="W892" t="s">
        <v>9774</v>
      </c>
      <c r="X892" t="s">
        <v>9775</v>
      </c>
      <c r="Y892" t="s">
        <v>9776</v>
      </c>
    </row>
    <row r="893" spans="1:25" x14ac:dyDescent="0.3">
      <c r="A893">
        <v>44600</v>
      </c>
      <c r="B893" t="s">
        <v>9777</v>
      </c>
      <c r="C893">
        <f>-625.312641630787 -31.7851464470191 -98.623255007074</f>
        <v>-755.72104308488008</v>
      </c>
      <c r="D893">
        <f>-650.676942502203 -39.0663129112879 -211.405663108622</f>
        <v>-901.14891852211292</v>
      </c>
      <c r="E893">
        <f>-661.436867942605 -41.2019412113102 -309.417565004391</f>
        <v>-1012.0563741583062</v>
      </c>
      <c r="F893">
        <f>-667.304558345516 -41.6517314262583 -398.319757229072</f>
        <v>-1107.2760470008463</v>
      </c>
      <c r="G893">
        <f>-668.942483348668 -40.6048564807786 -487.395288539793</f>
        <v>-1196.9426283692396</v>
      </c>
      <c r="H893">
        <f>-666.77912648367 -37.6120737547544 -611.923140019046</f>
        <v>-1316.3143402574703</v>
      </c>
      <c r="I893">
        <f>-637.172128214939 -32.3300804531425 -689.386439381041</f>
        <v>-1358.8886480491224</v>
      </c>
      <c r="J893">
        <f>-671.474542739372 -11.4804731723436 -556.529910012164</f>
        <v>-1239.4849259238797</v>
      </c>
      <c r="K893" t="s">
        <v>9778</v>
      </c>
      <c r="L893" t="s">
        <v>9779</v>
      </c>
      <c r="M893" t="s">
        <v>9780</v>
      </c>
      <c r="N893">
        <f>-663.987654563949 -66.3776053220851 -557.719286962891</f>
        <v>-1288.0845468489251</v>
      </c>
      <c r="O893">
        <f>-649.161971649245 -200.386204063587 -530.896565652493</f>
        <v>-1380.4447413653249</v>
      </c>
      <c r="P893">
        <f>-674.571900644435 -269.329479008424 -245.953845418356</f>
        <v>-1189.855225071215</v>
      </c>
      <c r="Q893">
        <f>-503.700940669606 -125.554486782691 -336.412249839929</f>
        <v>-965.66767729222602</v>
      </c>
      <c r="R893" t="s">
        <v>9781</v>
      </c>
      <c r="S893" t="s">
        <v>9782</v>
      </c>
      <c r="T893" t="s">
        <v>9783</v>
      </c>
      <c r="U893" t="s">
        <v>9784</v>
      </c>
      <c r="V893">
        <f>-607.526641946029 -125.943157631093 -97.6444023921507</f>
        <v>-831.1142019692727</v>
      </c>
      <c r="W893" t="s">
        <v>9785</v>
      </c>
      <c r="X893" t="s">
        <v>9786</v>
      </c>
      <c r="Y893" t="s">
        <v>9787</v>
      </c>
    </row>
    <row r="894" spans="1:25" x14ac:dyDescent="0.3">
      <c r="A894">
        <v>44650</v>
      </c>
      <c r="B894" t="s">
        <v>9788</v>
      </c>
      <c r="C894">
        <f>-625.364257802591 -31.339765031755 -98.6042224868305</f>
        <v>-755.30824532117651</v>
      </c>
      <c r="D894">
        <f>-650.72138992383 -38.5529434981411 -211.392572797612</f>
        <v>-900.6669062195831</v>
      </c>
      <c r="E894">
        <f>-661.420238714188 -40.6668081150121 -309.411660865391</f>
        <v>-1011.4987076945912</v>
      </c>
      <c r="F894">
        <f>-667.210785591682 -41.1108381159402 -398.31901073768</f>
        <v>-1106.6406344453021</v>
      </c>
      <c r="G894">
        <f>-668.749650707692 -40.0740397041848 -487.396413463295</f>
        <v>-1196.2201038751718</v>
      </c>
      <c r="H894">
        <f>-666.424759370375 -37.1119342193458 -611.921951769985</f>
        <v>-1315.4586453597058</v>
      </c>
      <c r="I894">
        <f>-636.740682162736 -31.932791436253 -689.362707957498</f>
        <v>-1358.036181556487</v>
      </c>
      <c r="J894">
        <f>-671.126844655398 -10.9577767114783 -556.540035699322</f>
        <v>-1238.6246570661983</v>
      </c>
      <c r="K894" t="s">
        <v>9789</v>
      </c>
      <c r="L894" t="s">
        <v>9790</v>
      </c>
      <c r="M894" t="s">
        <v>9791</v>
      </c>
      <c r="N894">
        <f>-663.768791356696 -65.8728172282731 -557.708956650067</f>
        <v>-1287.3505652350361</v>
      </c>
      <c r="O894">
        <f>-649.291558156338 -199.910573946031 -530.849400324982</f>
        <v>-1380.051532427351</v>
      </c>
      <c r="P894">
        <f>-675.002794620364 -268.82872504028 -245.927554641506</f>
        <v>-1189.7590743021501</v>
      </c>
      <c r="Q894">
        <f>-503.716540676078 -125.491925614602 -336.295938080627</f>
        <v>-965.50440437130703</v>
      </c>
      <c r="R894" t="s">
        <v>9792</v>
      </c>
      <c r="S894" t="s">
        <v>9793</v>
      </c>
      <c r="T894" t="s">
        <v>9794</v>
      </c>
      <c r="U894" t="s">
        <v>9795</v>
      </c>
      <c r="V894">
        <f>-607.73106913532 -125.556511019532 -97.6217120494326</f>
        <v>-830.90929220428461</v>
      </c>
      <c r="W894" t="s">
        <v>9796</v>
      </c>
      <c r="X894" t="s">
        <v>9797</v>
      </c>
      <c r="Y894" t="s">
        <v>9798</v>
      </c>
    </row>
    <row r="895" spans="1:25" x14ac:dyDescent="0.3">
      <c r="A895">
        <v>44700</v>
      </c>
      <c r="B895" t="s">
        <v>9799</v>
      </c>
      <c r="C895">
        <f>-625.403720594776 -30.9549726654645 -98.5669079799833</f>
        <v>-754.92560124022384</v>
      </c>
      <c r="D895">
        <f>-650.7014299747 -38.0752130429296 -211.374509593945</f>
        <v>-900.15115261157462</v>
      </c>
      <c r="E895">
        <f>-661.305624352887 -40.1814532433814 -309.403933395308</f>
        <v>-1010.8910109915764</v>
      </c>
      <c r="F895">
        <f>-666.993879476854 -40.646483039226 -398.317766016201</f>
        <v>-1105.9581285322811</v>
      </c>
      <c r="G895">
        <f>-668.413722135174 -39.6596019651511 -487.397864726894</f>
        <v>-1195.4711888272191</v>
      </c>
      <c r="H895">
        <f>-665.905487964005 -36.7981005907038 -611.922221909736</f>
        <v>-1314.6258104644448</v>
      </c>
      <c r="I895">
        <f>-636.160325235724 -31.7822104944612 -689.350253095256</f>
        <v>-1357.2927888254412</v>
      </c>
      <c r="J895">
        <f>-670.608189307102 -10.5886510629978 -556.566436887981</f>
        <v>-1237.7632772580807</v>
      </c>
      <c r="K895" t="s">
        <v>9800</v>
      </c>
      <c r="L895" t="s">
        <v>9801</v>
      </c>
      <c r="M895" t="s">
        <v>9802</v>
      </c>
      <c r="N895">
        <f>-663.410239298052 -65.5259797957823 -557.683890118306</f>
        <v>-1286.6201092121403</v>
      </c>
      <c r="O895">
        <f>-649.329223471684 -199.58469274524 -530.724817120122</f>
        <v>-1379.638733337046</v>
      </c>
      <c r="P895">
        <f>-675.398532397145 -268.383538132837 -245.806811940124</f>
        <v>-1189.588882470106</v>
      </c>
      <c r="Q895">
        <f>-503.761523262982 -125.44181439767 -336.135410103535</f>
        <v>-965.33874776418702</v>
      </c>
      <c r="R895" t="s">
        <v>9803</v>
      </c>
      <c r="S895" t="s">
        <v>9804</v>
      </c>
      <c r="T895" t="s">
        <v>9805</v>
      </c>
      <c r="U895" t="s">
        <v>9806</v>
      </c>
      <c r="V895">
        <f>-608.054148706267 -125.138009093422 -97.5930875525052</f>
        <v>-830.78524535219424</v>
      </c>
      <c r="W895" t="s">
        <v>9807</v>
      </c>
      <c r="X895" t="s">
        <v>9808</v>
      </c>
      <c r="Y895" t="s">
        <v>9809</v>
      </c>
    </row>
    <row r="896" spans="1:25" x14ac:dyDescent="0.3">
      <c r="A896">
        <v>44750</v>
      </c>
      <c r="B896" t="s">
        <v>9810</v>
      </c>
      <c r="C896">
        <f>-625.434570566042 -30.6897970496716 -98.53986442984</f>
        <v>-754.6642320455536</v>
      </c>
      <c r="D896">
        <f>-650.704834781533 -37.7615605782257 -211.356633889409</f>
        <v>-899.8230292491678</v>
      </c>
      <c r="E896">
        <f>-661.267163731061 -39.8581972728298 -309.3908095444</f>
        <v>-1010.5161705482908</v>
      </c>
      <c r="F896">
        <f>-666.910389692624 -40.3270685054797 -398.307465810671</f>
        <v>-1105.5449240087746</v>
      </c>
      <c r="G896">
        <f>-668.278127453425 -39.357302957033 -487.388478643284</f>
        <v>-1195.023909053742</v>
      </c>
      <c r="H896">
        <f>-665.689682557525 -36.53416276091 -611.912136302359</f>
        <v>-1314.1359816207942</v>
      </c>
      <c r="I896">
        <f>-635.920443144694 -31.6196544492511 -689.337434203385</f>
        <v>-1356.87753179733</v>
      </c>
      <c r="J896">
        <f>-670.384715404564 -10.3020269985275 -556.566458826008</f>
        <v>-1237.2532012290994</v>
      </c>
      <c r="K896" t="s">
        <v>9811</v>
      </c>
      <c r="L896" t="s">
        <v>9812</v>
      </c>
      <c r="M896" t="s">
        <v>9813</v>
      </c>
      <c r="N896">
        <f>-663.272694894436 -65.2510066120466 -557.664497129889</f>
        <v>-1286.1881986363715</v>
      </c>
      <c r="O896">
        <f>-649.414512819471 -199.328291599142 -530.659552586544</f>
        <v>-1379.4023570051572</v>
      </c>
      <c r="P896">
        <f>-675.703608624948 -267.981969350538 -245.726537247259</f>
        <v>-1189.4121152227449</v>
      </c>
      <c r="Q896">
        <f>-503.859324804291 -125.31344196008 -336.09309621104</f>
        <v>-965.26586297541098</v>
      </c>
      <c r="R896" t="s">
        <v>9814</v>
      </c>
      <c r="S896" t="s">
        <v>9815</v>
      </c>
      <c r="T896" t="s">
        <v>9816</v>
      </c>
      <c r="U896" t="s">
        <v>9817</v>
      </c>
      <c r="V896">
        <f>-608.223301480592 -124.834851032889 -97.5860861019686</f>
        <v>-830.64423861544958</v>
      </c>
      <c r="W896" t="s">
        <v>9818</v>
      </c>
      <c r="X896" t="s">
        <v>9819</v>
      </c>
      <c r="Y896" t="s">
        <v>9820</v>
      </c>
    </row>
    <row r="897" spans="1:25" x14ac:dyDescent="0.3">
      <c r="A897">
        <v>44800</v>
      </c>
      <c r="B897" t="s">
        <v>9821</v>
      </c>
      <c r="C897">
        <f>-625.504381904633 -30.170027184472 -98.5095496333863</f>
        <v>-754.1839587224913</v>
      </c>
      <c r="D897">
        <f>-650.721150265176 -37.1450447402597 -211.34423444329</f>
        <v>-899.21042944872568</v>
      </c>
      <c r="E897">
        <f>-661.210132883714 -39.2343369372645 -309.386528267333</f>
        <v>-1009.8309980883115</v>
      </c>
      <c r="F897">
        <f>-666.77665209113 -39.7267418587144 -398.307978333998</f>
        <v>-1104.8113722838425</v>
      </c>
      <c r="G897">
        <f>-668.057211602197 -38.8123874183543 -487.390929045682</f>
        <v>-1194.2605280662333</v>
      </c>
      <c r="H897">
        <f>-665.336305607126 -36.1010125629409 -611.914165343331</f>
        <v>-1313.3514835133979</v>
      </c>
      <c r="I897">
        <f>-635.493629098365 -31.4285007990234 -689.326102793703</f>
        <v>-1356.2482326910913</v>
      </c>
      <c r="J897">
        <f>-669.999043112205 -9.80760830664644 -556.594815190299</f>
        <v>-1236.4014666091502</v>
      </c>
      <c r="K897" t="s">
        <v>9822</v>
      </c>
      <c r="L897" t="s">
        <v>9823</v>
      </c>
      <c r="M897" t="s">
        <v>9824</v>
      </c>
      <c r="N897">
        <f>-663.068261074704 -64.7807157220318 -557.640357987393</f>
        <v>-1285.4893347841289</v>
      </c>
      <c r="O897">
        <f>-649.690079680118 -198.885983344726 -530.547215021218</f>
        <v>-1379.1232780460618</v>
      </c>
      <c r="P897">
        <f>-676.405269332438 -267.111474525294 -245.551116929387</f>
        <v>-1189.0678607871191</v>
      </c>
      <c r="Q897">
        <f>-504.057785147713 -125.174697913429 -336.111418990418</f>
        <v>-965.34390205156001</v>
      </c>
      <c r="R897" t="s">
        <v>9825</v>
      </c>
      <c r="S897" t="s">
        <v>9826</v>
      </c>
      <c r="T897" t="s">
        <v>9827</v>
      </c>
      <c r="U897" t="s">
        <v>9828</v>
      </c>
      <c r="V897">
        <f>-608.497641867828 -124.339018468697 -97.5836559989208</f>
        <v>-830.4203163354457</v>
      </c>
      <c r="W897" t="s">
        <v>9829</v>
      </c>
      <c r="X897" t="s">
        <v>9830</v>
      </c>
      <c r="Y897" t="s">
        <v>9831</v>
      </c>
    </row>
    <row r="898" spans="1:25" x14ac:dyDescent="0.3">
      <c r="A898">
        <v>44850</v>
      </c>
      <c r="B898" t="s">
        <v>9832</v>
      </c>
      <c r="C898">
        <f>-625.511246496357 -29.9470496708122 -98.4964259669255</f>
        <v>-753.95472213409471</v>
      </c>
      <c r="D898">
        <f>-650.697044490859 -36.8730657053316 -211.341086606505</f>
        <v>-898.91119680269549</v>
      </c>
      <c r="E898">
        <f>-661.155937251445 -38.9578706179555 -309.386618469009</f>
        <v>-1009.5004263384095</v>
      </c>
      <c r="F898">
        <f>-666.694078572739 -39.4611062653782 -398.309773176722</f>
        <v>-1104.4649580148393</v>
      </c>
      <c r="G898">
        <f>-667.945193185349 -38.573696287305 -487.393339354691</f>
        <v>-1193.912228827345</v>
      </c>
      <c r="H898">
        <f>-665.181869102589 -35.9166152296405 -611.916976776381</f>
        <v>-1313.0154611086105</v>
      </c>
      <c r="I898">
        <f>-635.301097237201 -31.3622296979327 -689.321130411822</f>
        <v>-1355.9844573469557</v>
      </c>
      <c r="J898">
        <f>-669.817988349203 -9.59347353634803 -556.60954590512</f>
        <v>-1236.0210077906709</v>
      </c>
      <c r="K898" t="s">
        <v>9833</v>
      </c>
      <c r="L898" t="s">
        <v>9834</v>
      </c>
      <c r="M898" t="s">
        <v>9835</v>
      </c>
      <c r="N898">
        <f>-662.977799545113 -64.5782106969154 -557.630990626409</f>
        <v>-1285.1870008684375</v>
      </c>
      <c r="O898">
        <f>-649.849327286419 -198.703941956258 -530.480238902408</f>
        <v>-1379.0335081450851</v>
      </c>
      <c r="P898">
        <f>-676.78816105975 -266.811744842066 -245.476877719478</f>
        <v>-1189.076783621294</v>
      </c>
      <c r="Q898">
        <f>-504.174748363275 -125.252653390311 -336.121923396877</f>
        <v>-965.54932515046289</v>
      </c>
      <c r="R898" t="s">
        <v>9836</v>
      </c>
      <c r="S898" t="s">
        <v>9837</v>
      </c>
      <c r="T898" t="s">
        <v>9838</v>
      </c>
      <c r="U898" t="s">
        <v>9839</v>
      </c>
      <c r="V898">
        <f>-608.605554818253 -124.122575811727 -97.5726455270386</f>
        <v>-830.30077615701862</v>
      </c>
      <c r="W898" t="s">
        <v>9840</v>
      </c>
      <c r="X898" t="s">
        <v>9841</v>
      </c>
      <c r="Y898" t="s">
        <v>9842</v>
      </c>
    </row>
    <row r="899" spans="1:25" x14ac:dyDescent="0.3">
      <c r="A899">
        <v>44900</v>
      </c>
      <c r="B899" t="s">
        <v>9843</v>
      </c>
      <c r="C899">
        <f>-625.310454742237 -29.6406132272527 -98.4586293825525</f>
        <v>-753.40969735204226</v>
      </c>
      <c r="D899">
        <f>-650.469811720058 -36.4887374189809 -211.313935042782</f>
        <v>-898.27248418182091</v>
      </c>
      <c r="E899">
        <f>-660.874849681012 -38.5608955923092 -309.365445076261</f>
        <v>-1008.8011903495822</v>
      </c>
      <c r="F899">
        <f>-666.352165831533 -39.0739076115308 -398.292319220825</f>
        <v>-1103.7183926638886</v>
      </c>
      <c r="G899">
        <f>-667.530227205796 -38.2187905043777 -487.377160995185</f>
        <v>-1193.1261787053586</v>
      </c>
      <c r="H899">
        <f>-664.652339978825 -35.6311080417183 -611.899564110705</f>
        <v>-1312.1830121312482</v>
      </c>
      <c r="I899">
        <f>-634.66761455153 -31.2579375454088 -689.274091528866</f>
        <v>-1355.199643625805</v>
      </c>
      <c r="J899">
        <f>-669.259423926241 -9.26741045534664 -556.6091661462</f>
        <v>-1235.1360005277875</v>
      </c>
      <c r="K899" t="s">
        <v>9844</v>
      </c>
      <c r="L899" t="s">
        <v>9845</v>
      </c>
      <c r="M899" t="s">
        <v>9846</v>
      </c>
      <c r="N899">
        <f>-662.578043529494 -64.2723600605564 -557.597688422628</f>
        <v>-1284.4480920126784</v>
      </c>
      <c r="O899">
        <f>-649.904357314793 -198.422994218927 -530.380343136738</f>
        <v>-1378.7076946704578</v>
      </c>
      <c r="P899">
        <f>-677.202609190797 -266.327599549653 -245.362785712353</f>
        <v>-1188.8929944528031</v>
      </c>
      <c r="Q899">
        <f>-504.174670425148 -125.268702046804 -335.997153917296</f>
        <v>-965.44052638924791</v>
      </c>
      <c r="R899" t="s">
        <v>9847</v>
      </c>
      <c r="S899" t="s">
        <v>9848</v>
      </c>
      <c r="T899" t="s">
        <v>9849</v>
      </c>
      <c r="U899" t="s">
        <v>9850</v>
      </c>
      <c r="V899">
        <f>-608.599894207943 -123.844114732273 -97.5536165854761</f>
        <v>-829.99762552569211</v>
      </c>
      <c r="W899" t="s">
        <v>9851</v>
      </c>
      <c r="X899" t="s">
        <v>9852</v>
      </c>
      <c r="Y899" t="s">
        <v>9853</v>
      </c>
    </row>
    <row r="900" spans="1:25" x14ac:dyDescent="0.3">
      <c r="A900">
        <v>44950</v>
      </c>
      <c r="B900" t="s">
        <v>9854</v>
      </c>
      <c r="C900">
        <f>-625.174144384167 -29.4428877883186 -98.4401787428181</f>
        <v>-753.0572109153037</v>
      </c>
      <c r="D900">
        <f>-650.342707414714 -36.2589622116254 -211.295395311108</f>
        <v>-897.89706493744745</v>
      </c>
      <c r="E900">
        <f>-660.732425426288 -38.3254660932703 -309.348678325773</f>
        <v>-1008.4065698453313</v>
      </c>
      <c r="F900">
        <f>-666.186761989281 -38.8417489791482 -398.276886490822</f>
        <v>-1103.3053974592513</v>
      </c>
      <c r="G900">
        <f>-667.332703107185 -37.9986034978906 -487.362314010452</f>
        <v>-1192.6936206155276</v>
      </c>
      <c r="H900">
        <f>-664.400402049009 -35.4375682434011 -611.884135245602</f>
        <v>-1311.7221055380121</v>
      </c>
      <c r="I900">
        <f>-634.362725561164 -31.1322546790727 -689.24175100538</f>
        <v>-1354.7367312456167</v>
      </c>
      <c r="J900">
        <f>-668.996828376192 -9.05774496221693 -556.600245863044</f>
        <v>-1234.6548192014529</v>
      </c>
      <c r="K900" t="s">
        <v>9855</v>
      </c>
      <c r="L900" t="s">
        <v>9856</v>
      </c>
      <c r="M900" t="s">
        <v>9857</v>
      </c>
      <c r="N900">
        <f>-662.384693216546 -64.0713453811481 -557.576118498709</f>
        <v>-1284.0321570964031</v>
      </c>
      <c r="O900">
        <f>-649.901460686967 -198.232608975535 -530.315448815483</f>
        <v>-1378.4495184779848</v>
      </c>
      <c r="P900">
        <f>-677.310546572716 -266.124962040827 -245.305680528614</f>
        <v>-1188.7411891421571</v>
      </c>
      <c r="Q900">
        <f>-504.093843841712 -125.229918108061 -335.834392080427</f>
        <v>-965.15815403019997</v>
      </c>
      <c r="R900" t="s">
        <v>9858</v>
      </c>
      <c r="S900" t="s">
        <v>9859</v>
      </c>
      <c r="T900" t="s">
        <v>9860</v>
      </c>
      <c r="U900" t="s">
        <v>9861</v>
      </c>
      <c r="V900">
        <f>-608.587087647641 -123.619395174084 -97.5343195695119</f>
        <v>-829.74080239123703</v>
      </c>
      <c r="W900" t="s">
        <v>9862</v>
      </c>
      <c r="X900" t="s">
        <v>9863</v>
      </c>
      <c r="Y900" t="s">
        <v>9864</v>
      </c>
    </row>
    <row r="901" spans="1:25" x14ac:dyDescent="0.3">
      <c r="A901">
        <v>45000</v>
      </c>
      <c r="B901" t="s">
        <v>9865</v>
      </c>
      <c r="C901">
        <f>-624.890952345718 -29.0242008953594 -98.4039086410766</f>
        <v>-752.31906188215396</v>
      </c>
      <c r="D901">
        <f>-650.036946021231 -35.765580482338 -211.268640539883</f>
        <v>-897.07116704345196</v>
      </c>
      <c r="E901">
        <f>-660.397264605786 -37.8026812940595 -309.325623535797</f>
        <v>-1007.5255694356424</v>
      </c>
      <c r="F901">
        <f>-665.821339460361 -38.3049201586625 -398.255720690161</f>
        <v>-1102.3819803091844</v>
      </c>
      <c r="G901">
        <f>-666.933635057513 -37.4615582994504 -487.341596063018</f>
        <v>-1191.7367894199815</v>
      </c>
      <c r="H901">
        <f>-663.950809128471 -34.9141442952614 -611.862528795628</f>
        <v>-1310.7274822193604</v>
      </c>
      <c r="I901">
        <f>-633.84086003519 -30.6990005001726 -689.197132094998</f>
        <v>-1353.7369926303604</v>
      </c>
      <c r="J901">
        <f>-668.517677405247 -8.52213693932754 -556.582168945654</f>
        <v>-1233.6219832902284</v>
      </c>
      <c r="K901" t="s">
        <v>9866</v>
      </c>
      <c r="L901" t="s">
        <v>9867</v>
      </c>
      <c r="M901" t="s">
        <v>9868</v>
      </c>
      <c r="N901">
        <f>-662.009108656627 -63.5481253917911 -557.55192103403</f>
        <v>-1283.1091550824481</v>
      </c>
      <c r="O901">
        <f>-649.820224389162 -197.728464770824 -530.255331091959</f>
        <v>-1377.8040202519451</v>
      </c>
      <c r="P901">
        <f>-677.466142325497 -265.628253011922 -245.270094709895</f>
        <v>-1188.3644900473139</v>
      </c>
      <c r="Q901">
        <f>-504.043156750694 -124.875087546787 -335.624410599464</f>
        <v>-964.54265489694501</v>
      </c>
      <c r="R901" t="s">
        <v>9869</v>
      </c>
      <c r="S901" t="s">
        <v>9870</v>
      </c>
      <c r="T901" t="s">
        <v>9871</v>
      </c>
      <c r="U901" t="s">
        <v>9872</v>
      </c>
      <c r="V901">
        <f>-608.448640241259 -123.196460571746 -97.5069018983617</f>
        <v>-829.15200271136666</v>
      </c>
      <c r="W901" t="s">
        <v>9873</v>
      </c>
      <c r="X901" t="s">
        <v>9874</v>
      </c>
      <c r="Y901" t="s">
        <v>9875</v>
      </c>
    </row>
    <row r="902" spans="1:25" x14ac:dyDescent="0.3">
      <c r="A902">
        <v>45050</v>
      </c>
      <c r="B902" t="s">
        <v>9876</v>
      </c>
      <c r="C902">
        <f>-624.742387411394 -28.875214442661 -98.3815807608435</f>
        <v>-751.99918261489847</v>
      </c>
      <c r="D902">
        <f>-649.868381710902 -35.578299178324 -211.25307795795</f>
        <v>-896.69975884717599</v>
      </c>
      <c r="E902">
        <f>-660.21308078879 -37.5971767986916 -309.312029055747</f>
        <v>-1007.1222866432286</v>
      </c>
      <c r="F902">
        <f>-665.624145263928 -38.0883244647423 -398.243095947982</f>
        <v>-1101.9555656766522</v>
      </c>
      <c r="G902">
        <f>-666.724476541083 -37.2392000046816 -487.328919155854</f>
        <v>-1191.2925957016187</v>
      </c>
      <c r="H902">
        <f>-663.72613894942 -34.6895009662992 -611.849472237872</f>
        <v>-1310.2651121535912</v>
      </c>
      <c r="I902">
        <f>-633.584183236377 -30.5031358049448 -689.173128530148</f>
        <v>-1353.2604475714697</v>
      </c>
      <c r="J902">
        <f>-668.277197739469 -8.29582160169025 -556.568605997556</f>
        <v>-1233.1416253387151</v>
      </c>
      <c r="K902" t="s">
        <v>9877</v>
      </c>
      <c r="L902" t="s">
        <v>9878</v>
      </c>
      <c r="M902" t="s">
        <v>9879</v>
      </c>
      <c r="N902">
        <f>-661.813925456876 -63.3272307771027 -557.53981969342</f>
        <v>-1282.6809759273988</v>
      </c>
      <c r="O902">
        <f>-649.75545279784 -197.517646863189 -530.242825373465</f>
        <v>-1377.5159250344941</v>
      </c>
      <c r="P902">
        <f>-677.479279223714 -265.404314413813 -245.262273487838</f>
        <v>-1188.1458671253649</v>
      </c>
      <c r="Q902">
        <f>-503.989824116514 -124.723767464733 -335.601744383398</f>
        <v>-964.31533596464499</v>
      </c>
      <c r="R902" t="s">
        <v>9880</v>
      </c>
      <c r="S902" t="s">
        <v>9881</v>
      </c>
      <c r="T902" t="s">
        <v>9882</v>
      </c>
      <c r="U902" t="s">
        <v>9883</v>
      </c>
      <c r="V902">
        <f>-608.377226733483 -123.061565441207 -97.492652641182</f>
        <v>-828.93144481587194</v>
      </c>
      <c r="W902" t="s">
        <v>9884</v>
      </c>
      <c r="X902" t="s">
        <v>9885</v>
      </c>
      <c r="Y902" t="s">
        <v>9886</v>
      </c>
    </row>
    <row r="903" spans="1:25" x14ac:dyDescent="0.3">
      <c r="A903">
        <v>45100</v>
      </c>
      <c r="B903" t="s">
        <v>9887</v>
      </c>
      <c r="C903">
        <f>-624.397115526662 -28.7393214504098 -98.3406373501707</f>
        <v>-751.47707432724246</v>
      </c>
      <c r="D903">
        <f>-649.491694137965 -35.3681662935521 -211.223475148914</f>
        <v>-896.08333558043114</v>
      </c>
      <c r="E903">
        <f>-659.808396497785 -37.357613479363 -309.286077881862</f>
        <v>-1006.4520878590099</v>
      </c>
      <c r="F903">
        <f>-665.194209614312 -37.8353486507531 -398.218721091249</f>
        <v>-1101.248279356314</v>
      </c>
      <c r="G903">
        <f>-666.269514195679 -36.9862150199349 -487.305052474327</f>
        <v>-1190.560781689941</v>
      </c>
      <c r="H903">
        <f>-663.23660438725 -34.450573654045 -611.824759880281</f>
        <v>-1309.5119379215762</v>
      </c>
      <c r="I903">
        <f>-633.054801355846 -30.3023550706532 -689.135070823538</f>
        <v>-1352.4922272500371</v>
      </c>
      <c r="J903">
        <f>-667.766927963654 -8.04649403834514 -556.547193514844</f>
        <v>-1232.3606155168432</v>
      </c>
      <c r="K903" t="s">
        <v>9888</v>
      </c>
      <c r="L903" t="s">
        <v>9889</v>
      </c>
      <c r="M903" t="s">
        <v>9890</v>
      </c>
      <c r="N903">
        <f>-661.375503862307 -63.0863633739041 -557.51226905348</f>
        <v>-1281.9741362896912</v>
      </c>
      <c r="O903">
        <f>-649.568498390409 -197.299276025716 -530.218156771582</f>
        <v>-1377.085931187707</v>
      </c>
      <c r="P903">
        <f>-677.279755399275 -265.263057452158 -245.254610927646</f>
        <v>-1187.7974237790791</v>
      </c>
      <c r="Q903">
        <f>-503.64965009153 -124.772763532549 -335.620010036974</f>
        <v>-964.04242366105302</v>
      </c>
      <c r="R903" t="s">
        <v>9891</v>
      </c>
      <c r="S903" t="s">
        <v>9892</v>
      </c>
      <c r="T903" t="s">
        <v>9893</v>
      </c>
      <c r="U903" t="s">
        <v>9894</v>
      </c>
      <c r="V903">
        <f>-608.150557884546 -122.888035435751 -97.4830610169106</f>
        <v>-828.52165433720756</v>
      </c>
      <c r="W903" t="s">
        <v>9895</v>
      </c>
      <c r="X903" t="s">
        <v>9896</v>
      </c>
      <c r="Y903" t="s">
        <v>9897</v>
      </c>
    </row>
    <row r="904" spans="1:25" x14ac:dyDescent="0.3">
      <c r="A904">
        <v>45150</v>
      </c>
      <c r="B904" t="s">
        <v>9898</v>
      </c>
      <c r="C904">
        <f>-624.23295717663 -28.7211027740518 -98.3199994436534</f>
        <v>-751.27405939433515</v>
      </c>
      <c r="D904">
        <f>-649.312073552667 -35.3215437036949 -211.208041821118</f>
        <v>-895.84165907748002</v>
      </c>
      <c r="E904">
        <f>-659.613145464923 -37.2954531254622 -309.272547481044</f>
        <v>-1006.1811460714293</v>
      </c>
      <c r="F904">
        <f>-664.983992633489 -37.7623732378238 -398.205977657221</f>
        <v>-1100.9523435285339</v>
      </c>
      <c r="G904">
        <f>-666.043526656203 -36.9062086529198 -487.292420838032</f>
        <v>-1190.2421561471547</v>
      </c>
      <c r="H904">
        <f>-662.987818837251 -34.3645063905785 -611.811606648952</f>
        <v>-1309.1639318767816</v>
      </c>
      <c r="I904">
        <f>-632.787349912489 -30.2236665178709 -689.114936643496</f>
        <v>-1352.125953073856</v>
      </c>
      <c r="J904">
        <f>-667.516427685374 -7.96165935520457 -556.533214842254</f>
        <v>-1232.0113018828324</v>
      </c>
      <c r="K904" t="s">
        <v>9899</v>
      </c>
      <c r="L904" t="s">
        <v>9900</v>
      </c>
      <c r="M904" t="s">
        <v>9901</v>
      </c>
      <c r="N904">
        <f>-661.148459898709 -63.0041959250798 -557.500337993835</f>
        <v>-1281.6529938176238</v>
      </c>
      <c r="O904">
        <f>-649.411105993678 -197.223979690387 -530.208144877329</f>
        <v>-1376.843230561394</v>
      </c>
      <c r="P904">
        <f>-677.055005835929 -265.23173973469 -245.248567030174</f>
        <v>-1187.5353126007931</v>
      </c>
      <c r="Q904">
        <f>-503.438224880124 -124.749543435687 -335.652156481362</f>
        <v>-963.83992479717301</v>
      </c>
      <c r="R904" t="s">
        <v>9902</v>
      </c>
      <c r="S904" t="s">
        <v>9903</v>
      </c>
      <c r="T904" t="s">
        <v>9904</v>
      </c>
      <c r="U904" t="s">
        <v>9905</v>
      </c>
      <c r="V904">
        <f>-608.02693279062 -122.870038380853 -97.4721809436996</f>
        <v>-828.3691521151726</v>
      </c>
      <c r="W904" t="s">
        <v>9906</v>
      </c>
      <c r="X904" t="s">
        <v>9907</v>
      </c>
      <c r="Y904" t="s">
        <v>9908</v>
      </c>
    </row>
    <row r="905" spans="1:25" x14ac:dyDescent="0.3">
      <c r="A905">
        <v>45200</v>
      </c>
      <c r="B905" t="s">
        <v>9909</v>
      </c>
      <c r="C905">
        <f>-624.007654104206 -28.704752003476 -98.2699297466306</f>
        <v>-750.98233585431262</v>
      </c>
      <c r="D905">
        <f>-649.065663876573 -35.2420403190279 -211.166177122061</f>
        <v>-895.47388131766184</v>
      </c>
      <c r="E905">
        <f>-659.350472539677 -37.1826073264644 -309.23316465259</f>
        <v>-1005.7662445187314</v>
      </c>
      <c r="F905">
        <f>-664.707554008601 -37.6278260541935 -398.167605615139</f>
        <v>-1100.5029856779336</v>
      </c>
      <c r="G905">
        <f>-665.754242300039 -36.7583425215967 -487.253967534448</f>
        <v>-1189.7665523560836</v>
      </c>
      <c r="H905">
        <f>-662.681654084638 -34.2072904849367 -611.772505262993</f>
        <v>-1308.6614498325678</v>
      </c>
      <c r="I905">
        <f>-632.452015911848 -30.074659442457 -689.064924716464</f>
        <v>-1351.5916000707689</v>
      </c>
      <c r="J905">
        <f>-667.203718860001 -7.80696631101318 -556.492447816423</f>
        <v>-1231.5031329874373</v>
      </c>
      <c r="K905" t="s">
        <v>9910</v>
      </c>
      <c r="L905" t="s">
        <v>9911</v>
      </c>
      <c r="M905" t="s">
        <v>9912</v>
      </c>
      <c r="N905">
        <f>-660.863811658193 -62.8526876898006 -557.463766503214</f>
        <v>-1281.1802658512074</v>
      </c>
      <c r="O905">
        <f>-649.220967197913 -197.087351458609 -530.197231216798</f>
        <v>-1376.50554987332</v>
      </c>
      <c r="P905">
        <f>-676.668070022676 -265.222663347214 -245.249113536359</f>
        <v>-1187.1398469062492</v>
      </c>
      <c r="Q905">
        <f>-503.027025216184 -124.683680252791 -335.517849857322</f>
        <v>-963.22855532629706</v>
      </c>
      <c r="R905" t="s">
        <v>9913</v>
      </c>
      <c r="S905" t="s">
        <v>9914</v>
      </c>
      <c r="T905" t="s">
        <v>9915</v>
      </c>
      <c r="U905" t="s">
        <v>9916</v>
      </c>
      <c r="V905">
        <f>-607.918629560401 -122.853170176283 -97.4568281317668</f>
        <v>-828.22862786845076</v>
      </c>
      <c r="W905" t="s">
        <v>9917</v>
      </c>
      <c r="X905" t="s">
        <v>9918</v>
      </c>
      <c r="Y905" t="s">
        <v>9919</v>
      </c>
    </row>
    <row r="906" spans="1:25" x14ac:dyDescent="0.3">
      <c r="A906">
        <v>45250</v>
      </c>
      <c r="B906" t="s">
        <v>9920</v>
      </c>
      <c r="C906">
        <f>-623.867035978662 -28.692346345332 -98.2502211856624</f>
        <v>-750.80960350965643</v>
      </c>
      <c r="D906">
        <f>-648.914428156175 -35.2114787914577 -211.149970776524</f>
        <v>-895.27587772415666</v>
      </c>
      <c r="E906">
        <f>-659.18802887278 -37.1289672118005 -309.218524245534</f>
        <v>-1005.5355203301145</v>
      </c>
      <c r="F906">
        <f>-664.534278713981 -37.5497390414848 -398.153818313591</f>
        <v>-1100.2378360690568</v>
      </c>
      <c r="G906">
        <f>-665.569428004311 -36.6526214320572 -487.240036231425</f>
        <v>-1189.4620856677932</v>
      </c>
      <c r="H906">
        <f>-662.480084607869 -34.0591035003852 -611.757263765948</f>
        <v>-1308.2964518742021</v>
      </c>
      <c r="I906">
        <f>-632.231773714938 -29.9276173064814 -689.042488148105</f>
        <v>-1351.2018791695243</v>
      </c>
      <c r="J906">
        <f>-667.002449033232 -7.67687670776013 -556.468567914194</f>
        <v>-1231.1478936551862</v>
      </c>
      <c r="K906" t="s">
        <v>9921</v>
      </c>
      <c r="L906" t="s">
        <v>9922</v>
      </c>
      <c r="M906" t="s">
        <v>9923</v>
      </c>
      <c r="N906">
        <f>-660.67669679009 -62.7238917498263 -557.458176308935</f>
        <v>-1280.8587648488513</v>
      </c>
      <c r="O906">
        <f>-649.055757148176 -196.966368182939 -530.207790251727</f>
        <v>-1376.2299155828418</v>
      </c>
      <c r="P906">
        <f>-676.384885493173 -265.169894603722 -245.264695429175</f>
        <v>-1186.8194755260699</v>
      </c>
      <c r="Q906">
        <f>-502.701848515978 -124.560219426158 -335.34223458659</f>
        <v>-962.60430252872607</v>
      </c>
      <c r="R906" t="s">
        <v>9924</v>
      </c>
      <c r="S906" t="s">
        <v>9925</v>
      </c>
      <c r="T906" t="s">
        <v>9926</v>
      </c>
      <c r="U906" t="s">
        <v>9927</v>
      </c>
      <c r="V906">
        <f>-607.773923385152 -122.826419711404 -97.4489143629861</f>
        <v>-828.0492574595421</v>
      </c>
      <c r="W906" t="s">
        <v>9928</v>
      </c>
      <c r="X906" t="s">
        <v>9929</v>
      </c>
      <c r="Y906" t="s">
        <v>9930</v>
      </c>
    </row>
    <row r="907" spans="1:25" x14ac:dyDescent="0.3">
      <c r="A907">
        <v>45300</v>
      </c>
      <c r="B907" t="s">
        <v>9931</v>
      </c>
      <c r="C907">
        <f>-623.620831392833 -28.7342072680185 -98.2218199155191</f>
        <v>-750.57685857637057</v>
      </c>
      <c r="D907">
        <f>-648.645319551269 -35.2192559944608 -211.128516768833</f>
        <v>-894.99309231456289</v>
      </c>
      <c r="E907">
        <f>-658.88625973384 -37.0794573890746 -309.201687060319</f>
        <v>-1005.1674041832337</v>
      </c>
      <c r="F907">
        <f>-664.197680850132 -37.4363261818546 -398.139147238755</f>
        <v>-1099.7731542707415</v>
      </c>
      <c r="G907">
        <f>-665.192796927942 -36.4631311591647 -487.22520016141</f>
        <v>-1188.8811282485167</v>
      </c>
      <c r="H907">
        <f>-662.042107932979 -33.7504812175503 -611.738438132782</f>
        <v>-1307.5310272833112</v>
      </c>
      <c r="I907">
        <f>-631.769210469909 -29.5990295208583 -689.012790916755</f>
        <v>-1350.3810309075222</v>
      </c>
      <c r="J907">
        <f>-666.5824566315 -7.42009583942195 -556.426466599772</f>
        <v>-1230.4290190706938</v>
      </c>
      <c r="K907" t="s">
        <v>9932</v>
      </c>
      <c r="L907" t="s">
        <v>9933</v>
      </c>
      <c r="M907" t="s">
        <v>9934</v>
      </c>
      <c r="N907">
        <f>-660.274700123388 -62.4682740055571 -557.466122965449</f>
        <v>-1280.2090970943941</v>
      </c>
      <c r="O907">
        <f>-648.657619935255 -196.711842603734 -530.240255981303</f>
        <v>-1375.6097185202921</v>
      </c>
      <c r="P907">
        <f>-675.784923241171 -264.969903397268 -245.290908368053</f>
        <v>-1186.0457350064921</v>
      </c>
      <c r="Q907">
        <f>-502.429472600176 -124.075379716449 -335.554435054092</f>
        <v>-962.05928737071702</v>
      </c>
      <c r="R907" t="s">
        <v>9935</v>
      </c>
      <c r="S907" t="s">
        <v>9936</v>
      </c>
      <c r="T907" t="s">
        <v>9937</v>
      </c>
      <c r="U907" t="s">
        <v>9938</v>
      </c>
      <c r="V907">
        <f>-607.602671022414 -122.933345270496 -97.4458124548366</f>
        <v>-827.9818287477467</v>
      </c>
      <c r="W907" t="s">
        <v>9939</v>
      </c>
      <c r="X907" t="s">
        <v>9940</v>
      </c>
      <c r="Y907" t="s">
        <v>9941</v>
      </c>
    </row>
    <row r="908" spans="1:25" x14ac:dyDescent="0.3">
      <c r="A908">
        <v>45350</v>
      </c>
      <c r="B908" t="s">
        <v>9942</v>
      </c>
      <c r="C908">
        <f>-623.558203300102 -28.6776307830653 -98.2178753119529</f>
        <v>-750.4537093951202</v>
      </c>
      <c r="D908">
        <f>-648.586672932432 -35.1405113806254 -211.125035306229</f>
        <v>-894.85221961928642</v>
      </c>
      <c r="E908">
        <f>-658.828712834861 -36.9752946635363 -309.198421139507</f>
        <v>-1005.0024286379042</v>
      </c>
      <c r="F908">
        <f>-664.140309761473 -37.3062751479233 -398.136140621962</f>
        <v>-1099.5827255313584</v>
      </c>
      <c r="G908">
        <f>-665.134728648565 -36.3042611608562 -487.221821810285</f>
        <v>-1188.6608116197062</v>
      </c>
      <c r="H908">
        <f>-661.982172755614 -33.5478967985939 -611.733992920329</f>
        <v>-1307.2640624745368</v>
      </c>
      <c r="I908">
        <f>-631.704333669891 -29.3770429190145 -689.005326592188</f>
        <v>-1350.0867031810935</v>
      </c>
      <c r="J908">
        <f>-666.518966980972 -7.23639795803683 -556.412765302756</f>
        <v>-1230.1681302417649</v>
      </c>
      <c r="K908" t="s">
        <v>9943</v>
      </c>
      <c r="L908" t="s">
        <v>9944</v>
      </c>
      <c r="M908" t="s">
        <v>9945</v>
      </c>
      <c r="N908">
        <f>-660.219894739103 -62.2851466092872 -557.471897639586</f>
        <v>-1279.9769389879762</v>
      </c>
      <c r="O908">
        <f>-648.646907438029 -196.544418004523 -530.286503462862</f>
        <v>-1375.4778289054138</v>
      </c>
      <c r="P908">
        <f>-675.534044913654 -264.672971737468 -245.283220291185</f>
        <v>-1185.4902369423071</v>
      </c>
      <c r="Q908">
        <f>-502.311262924319 -123.84572694183 -335.905546082443</f>
        <v>-962.06253594859209</v>
      </c>
      <c r="R908" t="s">
        <v>9946</v>
      </c>
      <c r="S908" t="s">
        <v>9947</v>
      </c>
      <c r="T908" t="s">
        <v>9948</v>
      </c>
      <c r="U908" t="s">
        <v>9949</v>
      </c>
      <c r="V908">
        <f>-607.610739895801 -122.791782166387 -97.4463594812883</f>
        <v>-827.84888154347618</v>
      </c>
      <c r="W908" t="s">
        <v>9950</v>
      </c>
      <c r="X908" t="s">
        <v>9951</v>
      </c>
      <c r="Y908" t="s">
        <v>9952</v>
      </c>
    </row>
    <row r="909" spans="1:25" x14ac:dyDescent="0.3">
      <c r="A909">
        <v>45400</v>
      </c>
      <c r="B909" t="s">
        <v>9953</v>
      </c>
      <c r="C909">
        <f>-623.473388787535 -28.7874814345917 -98.2008686104716</f>
        <v>-750.46173883259826</v>
      </c>
      <c r="D909">
        <f>-648.523004002348 -35.2253383837267 -211.104784988601</f>
        <v>-894.85312737467575</v>
      </c>
      <c r="E909">
        <f>-658.771200264152 -37.0055465947078 -309.17855491442</f>
        <v>-1004.9553017732796</v>
      </c>
      <c r="F909">
        <f>-664.08321206905 -37.2731356239087 -398.116341251423</f>
        <v>-1099.4726889443818</v>
      </c>
      <c r="G909">
        <f>-665.072973513249 -36.1933929590368 -487.201272544272</f>
        <v>-1188.4676390165578</v>
      </c>
      <c r="H909">
        <f>-661.908434595177 -33.3136993201022 -611.710275328182</f>
        <v>-1306.9324092434613</v>
      </c>
      <c r="I909">
        <f>-631.610560753491 -29.106704339325 -688.971950681513</f>
        <v>-1349.6892157743291</v>
      </c>
      <c r="J909">
        <f>-666.438172693749 -7.05566525212612 -556.363186300809</f>
        <v>-1229.8570242466842</v>
      </c>
      <c r="K909" t="s">
        <v>9954</v>
      </c>
      <c r="L909" t="s">
        <v>9955</v>
      </c>
      <c r="M909" t="s">
        <v>9956</v>
      </c>
      <c r="N909">
        <f>-660.163737283541 -62.1061160755513 -557.476886458036</f>
        <v>-1279.7467398171284</v>
      </c>
      <c r="O909">
        <f>-648.682511299442 -196.38636716558 -530.375744187167</f>
        <v>-1375.4446226521891</v>
      </c>
      <c r="P909">
        <f>-674.94343099761 -264.796488344553 -245.381604238879</f>
        <v>-1185.1215235810419</v>
      </c>
      <c r="Q909">
        <f>-502.334823936028 -123.466617451522 -336.392561301246</f>
        <v>-962.19400268879599</v>
      </c>
      <c r="R909" t="s">
        <v>9957</v>
      </c>
      <c r="S909" t="s">
        <v>9958</v>
      </c>
      <c r="T909" t="s">
        <v>9959</v>
      </c>
      <c r="U909" t="s">
        <v>9960</v>
      </c>
      <c r="V909">
        <f>-607.568137693341 -122.982549484358 -97.4439241435564</f>
        <v>-827.99461132125543</v>
      </c>
      <c r="W909" t="s">
        <v>9961</v>
      </c>
      <c r="X909" t="s">
        <v>9962</v>
      </c>
      <c r="Y909" t="s">
        <v>9963</v>
      </c>
    </row>
    <row r="910" spans="1:25" x14ac:dyDescent="0.3">
      <c r="A910">
        <v>45450</v>
      </c>
      <c r="B910" t="s">
        <v>9964</v>
      </c>
      <c r="C910">
        <f>-623.44640459789 -28.8775817751387 -98.2087755437137</f>
        <v>-750.5327619167424</v>
      </c>
      <c r="D910">
        <f>-648.498863179187 -35.3080538232571 -211.112528486983</f>
        <v>-894.91944548942706</v>
      </c>
      <c r="E910">
        <f>-658.739734245625 -37.077551207876 -309.187182391679</f>
        <v>-1005.00446784518</v>
      </c>
      <c r="F910">
        <f>-664.041116452405 -37.334124648421 -398.125853430345</f>
        <v>-1099.501094531171</v>
      </c>
      <c r="G910">
        <f>-665.016042907523 -36.2428044947167 -487.210486096118</f>
        <v>-1188.4693334983576</v>
      </c>
      <c r="H910">
        <f>-661.826162704582 -33.3463403564783 -611.718584511395</f>
        <v>-1306.8910875724553</v>
      </c>
      <c r="I910">
        <f>-631.517677470673 -29.1411509838551 -688.976188052478</f>
        <v>-1349.6350165070062</v>
      </c>
      <c r="J910">
        <f>-666.355302393953 -7.09434727078747 -556.368436572398</f>
        <v>-1229.8180862371385</v>
      </c>
      <c r="K910" t="s">
        <v>9965</v>
      </c>
      <c r="L910" t="s">
        <v>9966</v>
      </c>
      <c r="M910" t="s">
        <v>9967</v>
      </c>
      <c r="N910">
        <f>-660.104430499028 -62.1474635995862 -557.48906788528</f>
        <v>-1279.7409619838941</v>
      </c>
      <c r="O910">
        <f>-648.673651828086 -196.443367697138 -530.440884438431</f>
        <v>-1375.557903963655</v>
      </c>
      <c r="P910">
        <f>-674.780508135979 -265.035533163919 -245.476274135334</f>
        <v>-1185.292315435232</v>
      </c>
      <c r="Q910">
        <f>-502.366400794937 -123.466746773922 -336.484556813573</f>
        <v>-962.317704382432</v>
      </c>
      <c r="R910" t="s">
        <v>9968</v>
      </c>
      <c r="S910" t="s">
        <v>9969</v>
      </c>
      <c r="T910" t="s">
        <v>9970</v>
      </c>
      <c r="U910" t="s">
        <v>9971</v>
      </c>
      <c r="V910">
        <f>-607.572463662473 -123.013158726661 -97.4404599399696</f>
        <v>-828.02608232910359</v>
      </c>
      <c r="W910" t="s">
        <v>9972</v>
      </c>
      <c r="X910" t="s">
        <v>9973</v>
      </c>
      <c r="Y910" t="s">
        <v>9974</v>
      </c>
    </row>
    <row r="911" spans="1:25" x14ac:dyDescent="0.3">
      <c r="A911">
        <v>45500</v>
      </c>
      <c r="B911" t="s">
        <v>9975</v>
      </c>
      <c r="C911">
        <f>-623.471358145713 -29.0440393506949 -98.1881397291539</f>
        <v>-750.70353722556183</v>
      </c>
      <c r="D911">
        <f>-648.50912554458 -35.4803532224619 -211.094768120713</f>
        <v>-895.08424688775494</v>
      </c>
      <c r="E911">
        <f>-658.731074582237 -37.2534268453419 -309.17133989689</f>
        <v>-1005.155841324469</v>
      </c>
      <c r="F911">
        <f>-664.012303381044 -37.5145555647455 -398.111092665825</f>
        <v>-1099.6379516116144</v>
      </c>
      <c r="G911">
        <f>-664.963495539202 -36.4299201831789 -487.196269295581</f>
        <v>-1188.5896850179618</v>
      </c>
      <c r="H911">
        <f>-661.736829088235 -33.5463394183619 -611.703750246927</f>
        <v>-1306.9869187535239</v>
      </c>
      <c r="I911">
        <f>-631.431920603715 -29.3578691577657 -688.96350864259</f>
        <v>-1349.7532984040706</v>
      </c>
      <c r="J911">
        <f>-666.257732975851 -7.2859114727396 -556.356906167466</f>
        <v>-1229.9005506160565</v>
      </c>
      <c r="K911" t="s">
        <v>9976</v>
      </c>
      <c r="L911" t="s">
        <v>9977</v>
      </c>
      <c r="M911" t="s">
        <v>9978</v>
      </c>
      <c r="N911">
        <f>-660.055743494347 -62.3446160142414 -557.471294465295</f>
        <v>-1279.8716539738834</v>
      </c>
      <c r="O911">
        <f>-648.777384433307 -196.667808980099 -530.482608019052</f>
        <v>-1375.9278014324582</v>
      </c>
      <c r="P911">
        <f>-674.915284808656 -265.304933219208 -245.531943329386</f>
        <v>-1185.7521613572501</v>
      </c>
      <c r="Q911">
        <f>-502.224854231992 -123.882491780218 -336.243421730332</f>
        <v>-962.35076774254196</v>
      </c>
      <c r="R911" t="s">
        <v>9979</v>
      </c>
      <c r="S911" t="s">
        <v>9980</v>
      </c>
      <c r="T911" t="s">
        <v>9981</v>
      </c>
      <c r="U911" t="s">
        <v>9982</v>
      </c>
      <c r="V911">
        <f>-607.619629416315 -123.212368394262 -97.4201422329683</f>
        <v>-828.25214004354518</v>
      </c>
      <c r="W911" t="s">
        <v>9983</v>
      </c>
      <c r="X911" t="s">
        <v>9984</v>
      </c>
      <c r="Y911" t="s">
        <v>9985</v>
      </c>
    </row>
    <row r="912" spans="1:25" x14ac:dyDescent="0.3">
      <c r="A912">
        <v>45550</v>
      </c>
      <c r="B912" t="s">
        <v>9986</v>
      </c>
      <c r="C912">
        <f>-623.445452436831 -29.1011309756741 -98.1662695034676</f>
        <v>-750.71285291597269</v>
      </c>
      <c r="D912">
        <f>-648.453045112421 -35.5207357007957 -211.080591420929</f>
        <v>-895.05437223414583</v>
      </c>
      <c r="E912">
        <f>-658.649350986652 -37.295942205114 -309.159839881857</f>
        <v>-1005.1051330736231</v>
      </c>
      <c r="F912">
        <f>-663.907815152895 -37.5651008100422 -398.100925163223</f>
        <v>-1099.57384112616</v>
      </c>
      <c r="G912">
        <f>-664.836758050527 -36.4948107059838 -487.186406856264</f>
        <v>-1188.5179756127748</v>
      </c>
      <c r="H912">
        <f>-661.579564449477 -33.6375607570819 -611.69357862164</f>
        <v>-1306.9107038281988</v>
      </c>
      <c r="I912">
        <f>-631.28478770252 -29.4705306356411 -688.958690827261</f>
        <v>-1349.7140091654221</v>
      </c>
      <c r="J912">
        <f>-666.106011727099 -7.36449619407927 -556.353447112691</f>
        <v>-1229.8239550338694</v>
      </c>
      <c r="K912" t="s">
        <v>9987</v>
      </c>
      <c r="L912" t="s">
        <v>9988</v>
      </c>
      <c r="M912" t="s">
        <v>9989</v>
      </c>
      <c r="N912">
        <f>-659.919749918487 -62.4252151164046 -557.455140736416</f>
        <v>-1279.8001057713077</v>
      </c>
      <c r="O912">
        <f>-648.691328663789 -196.745143437625 -530.439130993203</f>
        <v>-1375.875603094617</v>
      </c>
      <c r="P912">
        <f>-675.054136133848 -265.43367463225 -245.521382853438</f>
        <v>-1186.0091936195361</v>
      </c>
      <c r="Q912">
        <f>-502.190205572575 -124.099712410462 -336.040296497474</f>
        <v>-962.3302144805109</v>
      </c>
      <c r="R912" t="s">
        <v>9990</v>
      </c>
      <c r="S912" t="s">
        <v>9991</v>
      </c>
      <c r="T912" t="s">
        <v>9992</v>
      </c>
      <c r="U912" t="s">
        <v>9993</v>
      </c>
      <c r="V912">
        <f>-607.624789322676 -123.265925741101 -97.411934516263</f>
        <v>-828.30264958004</v>
      </c>
      <c r="W912" t="s">
        <v>9994</v>
      </c>
      <c r="X912" t="s">
        <v>9995</v>
      </c>
      <c r="Y912" t="s">
        <v>9996</v>
      </c>
    </row>
    <row r="913" spans="1:25" x14ac:dyDescent="0.3">
      <c r="A913">
        <v>45600</v>
      </c>
      <c r="B913" t="s">
        <v>9997</v>
      </c>
      <c r="C913">
        <f>-623.664144141587 -29.0645743071143 -98.1714329650297</f>
        <v>-750.90015141373101</v>
      </c>
      <c r="D913">
        <f>-648.68800078448 -35.4435391635359 -211.084407061233</f>
        <v>-895.21594700924891</v>
      </c>
      <c r="E913">
        <f>-658.859206893592 -37.2497980855826 -309.16572941068</f>
        <v>-1005.2747343898546</v>
      </c>
      <c r="F913">
        <f>-664.079703434902 -37.5729654629972 -398.108899981364</f>
        <v>-1099.7615688792632</v>
      </c>
      <c r="G913">
        <f>-664.955777390825 -36.5829603432694 -487.195857467717</f>
        <v>-1188.7345952018113</v>
      </c>
      <c r="H913">
        <f>-661.609348043731 -33.8655231905866 -611.703833842813</f>
        <v>-1307.1787050771304</v>
      </c>
      <c r="I913">
        <f>-631.328915530587 -29.7779741387792 -688.978600451744</f>
        <v>-1350.0854901211101</v>
      </c>
      <c r="J913">
        <f>-666.157575363952 -7.52836901236856 -556.395662049662</f>
        <v>-1230.0816064259825</v>
      </c>
      <c r="K913" t="s">
        <v>9998</v>
      </c>
      <c r="L913" t="s">
        <v>9999</v>
      </c>
      <c r="M913" t="s">
        <v>10000</v>
      </c>
      <c r="N913">
        <f>-660.006309224721 -62.5943140688486 -557.43222669149</f>
        <v>-1280.0328499850596</v>
      </c>
      <c r="O913">
        <f>-648.931654687425 -196.911025152502 -530.358384599439</f>
        <v>-1376.2010644393658</v>
      </c>
      <c r="P913">
        <f>-675.88932385074 -265.435168355207 -245.456730322641</f>
        <v>-1186.7812225285879</v>
      </c>
      <c r="Q913">
        <f>-502.327668454772 -124.773124611878 -335.686476610782</f>
        <v>-962.78726967743205</v>
      </c>
      <c r="R913" t="s">
        <v>10001</v>
      </c>
      <c r="S913" t="s">
        <v>10002</v>
      </c>
      <c r="T913" t="s">
        <v>10003</v>
      </c>
      <c r="U913" t="s">
        <v>10004</v>
      </c>
      <c r="V913">
        <f>-607.999701795273 -123.23076188885 -97.4207688220572</f>
        <v>-828.65123250618024</v>
      </c>
      <c r="W913" t="s">
        <v>10005</v>
      </c>
      <c r="X913" t="s">
        <v>10006</v>
      </c>
      <c r="Y913" t="s">
        <v>10007</v>
      </c>
    </row>
    <row r="914" spans="1:25" x14ac:dyDescent="0.3">
      <c r="A914">
        <v>45650</v>
      </c>
      <c r="B914" t="s">
        <v>10008</v>
      </c>
      <c r="C914">
        <f>-623.758341035347 -29.0167478870694 -98.1703475803267</f>
        <v>-750.94543650274318</v>
      </c>
      <c r="D914">
        <f>-648.788828682532 -35.3900648864374 -211.082189309604</f>
        <v>-895.26108287857335</v>
      </c>
      <c r="E914">
        <f>-658.948585244253 -37.2121916566377 -309.164379633543</f>
        <v>-1005.3251565344337</v>
      </c>
      <c r="F914">
        <f>-664.151909393623 -37.558417726058 -398.108442604727</f>
        <v>-1099.818769724408</v>
      </c>
      <c r="G914">
        <f>-665.004124554043 -36.6000143653191 -487.195951032504</f>
        <v>-1188.8000899518661</v>
      </c>
      <c r="H914">
        <f>-661.617387517456 -33.9362103826579 -611.703904372999</f>
        <v>-1307.257502273113</v>
      </c>
      <c r="I914">
        <f>-631.320965832941 -29.9020060470536 -688.975483797785</f>
        <v>-1350.1984556777797</v>
      </c>
      <c r="J914">
        <f>-666.173324307207 -7.57419359812297 -556.408410440015</f>
        <v>-1230.155928345345</v>
      </c>
      <c r="K914" t="s">
        <v>10009</v>
      </c>
      <c r="L914" t="s">
        <v>10010</v>
      </c>
      <c r="M914" t="s">
        <v>10011</v>
      </c>
      <c r="N914">
        <f>-660.042075045646 -62.6428007849507 -557.419896603399</f>
        <v>-1280.1047724339958</v>
      </c>
      <c r="O914">
        <f>-649.057715447277 -196.966077995687 -530.307306552553</f>
        <v>-1376.331099995517</v>
      </c>
      <c r="P914">
        <f>-676.220675566278 -265.599719535577 -245.451520413154</f>
        <v>-1187.2719155150089</v>
      </c>
      <c r="Q914">
        <f>-502.38364303444 -125.080483203386 -335.373152876304</f>
        <v>-962.83727911413007</v>
      </c>
      <c r="R914" t="s">
        <v>10012</v>
      </c>
      <c r="S914" t="s">
        <v>10013</v>
      </c>
      <c r="T914" t="s">
        <v>10014</v>
      </c>
      <c r="U914" t="s">
        <v>10015</v>
      </c>
      <c r="V914">
        <f>-608.052192039159 -123.185572638511 -97.4256581854374</f>
        <v>-828.66342286310737</v>
      </c>
      <c r="W914" t="s">
        <v>10016</v>
      </c>
      <c r="X914" t="s">
        <v>10017</v>
      </c>
      <c r="Y914" t="s">
        <v>10018</v>
      </c>
    </row>
    <row r="915" spans="1:25" x14ac:dyDescent="0.3">
      <c r="A915">
        <v>45700</v>
      </c>
      <c r="B915" t="s">
        <v>10019</v>
      </c>
      <c r="C915">
        <f>-623.832684021115 -29.0940091078276 -98.1409387787299</f>
        <v>-751.06763190767253</v>
      </c>
      <c r="D915">
        <f>-648.87438043776 -35.4599823350429 -211.050735406113</f>
        <v>-895.385098178916</v>
      </c>
      <c r="E915">
        <f>-659.009661478253 -37.317418215679 -309.134751709518</f>
        <v>-1005.46183140345</v>
      </c>
      <c r="F915">
        <f>-664.177579180832 -37.7114942133767 -398.080716464768</f>
        <v>-1099.9697898589766</v>
      </c>
      <c r="G915">
        <f>-664.981184400339 -36.8172912807972 -487.16945580069</f>
        <v>-1188.9679314818263</v>
      </c>
      <c r="H915">
        <f>-661.512962238057 -34.259916219331 -611.677413906334</f>
        <v>-1307.4502923637219</v>
      </c>
      <c r="I915">
        <f>-631.168456923906 -30.3448747534549 -688.936157253609</f>
        <v>-1350.4494889309699</v>
      </c>
      <c r="J915">
        <f>-666.084486157466 -7.84828075445012 -556.406778491363</f>
        <v>-1230.3395454032791</v>
      </c>
      <c r="K915" t="s">
        <v>10020</v>
      </c>
      <c r="L915" t="s">
        <v>10021</v>
      </c>
      <c r="M915" t="s">
        <v>10022</v>
      </c>
      <c r="N915">
        <f>-659.993830335333 -62.9223294594756 -557.368329640913</f>
        <v>-1280.2844894357215</v>
      </c>
      <c r="O915">
        <f>-649.154070867349 -197.229587543756 -530.155410117761</f>
        <v>-1376.539068528866</v>
      </c>
      <c r="P915">
        <f>-676.538040646388 -265.953617974611 -245.342721383518</f>
        <v>-1187.834380004517</v>
      </c>
      <c r="Q915">
        <f>-502.873727201703 -125.131157815526 -335.123379926196</f>
        <v>-963.12826494342494</v>
      </c>
      <c r="R915" t="s">
        <v>10023</v>
      </c>
      <c r="S915" t="s">
        <v>10024</v>
      </c>
      <c r="T915" t="s">
        <v>10025</v>
      </c>
      <c r="U915" t="s">
        <v>10026</v>
      </c>
      <c r="V915">
        <f>-608.25612130059 -123.34656320716 -97.4028728650546</f>
        <v>-829.00555737280467</v>
      </c>
      <c r="W915" t="s">
        <v>10027</v>
      </c>
      <c r="X915" t="s">
        <v>10028</v>
      </c>
      <c r="Y915" t="s">
        <v>10029</v>
      </c>
    </row>
    <row r="916" spans="1:25" x14ac:dyDescent="0.3">
      <c r="A916">
        <v>45750</v>
      </c>
      <c r="B916" t="s">
        <v>10030</v>
      </c>
      <c r="C916">
        <f>-623.899917032191 -29.0098652421541 -98.1472414106785</f>
        <v>-751.05702368502352</v>
      </c>
      <c r="D916">
        <f>-648.960179399784 -35.3663646225996 -211.053443865079</f>
        <v>-895.37998788746256</v>
      </c>
      <c r="E916">
        <f>-659.108141470534 -37.2475796234112 -309.135703474085</f>
        <v>-1005.4914245680302</v>
      </c>
      <c r="F916">
        <f>-664.286584312939 -37.6753908124952 -398.080843447852</f>
        <v>-1100.0428185732862</v>
      </c>
      <c r="G916">
        <f>-665.099841359912 -36.8275485166293 -487.169946476912</f>
        <v>-1189.0973363534533</v>
      </c>
      <c r="H916">
        <f>-661.644319396479 -34.3479040119569 -611.679839572234</f>
        <v>-1307.6720629806698</v>
      </c>
      <c r="I916">
        <f>-631.283392043881 -30.4983083505681 -688.935481990016</f>
        <v>-1350.7171823844651</v>
      </c>
      <c r="J916">
        <f>-666.199075459624 -7.90058129033946 -556.424956468033</f>
        <v>-1230.5246132179964</v>
      </c>
      <c r="K916" t="s">
        <v>10031</v>
      </c>
      <c r="L916" t="s">
        <v>10032</v>
      </c>
      <c r="M916" t="s">
        <v>10033</v>
      </c>
      <c r="N916">
        <f>-660.1306713685 -62.9776598746231 -557.353400294929</f>
        <v>-1280.4617315380519</v>
      </c>
      <c r="O916">
        <f>-649.348274496751 -197.272728026618 -530.050070442193</f>
        <v>-1376.671072965562</v>
      </c>
      <c r="P916">
        <f>-676.701721198628 -265.873889325777 -245.20467123779</f>
        <v>-1187.780281762195</v>
      </c>
      <c r="Q916">
        <f>-503.235500541036 -124.848769244029 -335.050432759586</f>
        <v>-963.13470254465096</v>
      </c>
      <c r="R916" t="s">
        <v>10034</v>
      </c>
      <c r="S916" t="s">
        <v>10035</v>
      </c>
      <c r="T916" t="s">
        <v>10036</v>
      </c>
      <c r="U916" t="s">
        <v>10037</v>
      </c>
      <c r="V916">
        <f>-608.392113530789 -123.224466801204 -97.398169254277</f>
        <v>-829.01474958627</v>
      </c>
      <c r="W916" t="s">
        <v>10038</v>
      </c>
      <c r="X916" t="s">
        <v>10039</v>
      </c>
      <c r="Y916" t="s">
        <v>10040</v>
      </c>
    </row>
    <row r="917" spans="1:25" x14ac:dyDescent="0.3">
      <c r="A917">
        <v>45800</v>
      </c>
      <c r="B917" t="s">
        <v>10041</v>
      </c>
      <c r="C917">
        <f>-624.116450281764 -28.750673516849 -98.1413597600865</f>
        <v>-751.00848355869948</v>
      </c>
      <c r="D917">
        <f>-649.200596913103 -35.1037895082361 -211.042411713364</f>
        <v>-895.34679813470314</v>
      </c>
      <c r="E917">
        <f>-659.387630878019 -37.043255774546 -309.119440388377</f>
        <v>-1005.550327040942</v>
      </c>
      <c r="F917">
        <f>-664.60925973298 -37.5482299719795 -398.061676341086</f>
        <v>-1100.2191660460455</v>
      </c>
      <c r="G917">
        <f>-665.473934883043 -36.8021523502839 -487.151263459035</f>
        <v>-1189.4273506923619</v>
      </c>
      <c r="H917">
        <f>-662.098840319929 -34.4904164123373 -611.666587499928</f>
        <v>-1308.2558442321942</v>
      </c>
      <c r="I917">
        <f>-631.728774934567 -30.7631796734254 -688.924571599397</f>
        <v>-1351.4165262073893</v>
      </c>
      <c r="J917">
        <f>-666.606384558469 -7.96723500602297 -556.444162906528</f>
        <v>-1231.0177824710199</v>
      </c>
      <c r="K917" t="s">
        <v>10042</v>
      </c>
      <c r="L917" t="s">
        <v>10043</v>
      </c>
      <c r="M917" t="s">
        <v>10044</v>
      </c>
      <c r="N917">
        <f>-660.561731992484 -63.047985857075 -557.302899155621</f>
        <v>-1280.91261700518</v>
      </c>
      <c r="O917">
        <f>-649.805058494509 -197.322338485901 -529.857323850532</f>
        <v>-1376.984720830942</v>
      </c>
      <c r="P917">
        <f>-677.179675041885 -265.460430832863 -244.902874099781</f>
        <v>-1187.5429799745291</v>
      </c>
      <c r="Q917">
        <f>-503.895507438271 -124.287044288178 -334.866975276591</f>
        <v>-963.04952700304</v>
      </c>
      <c r="R917" t="s">
        <v>10045</v>
      </c>
      <c r="S917" t="s">
        <v>10046</v>
      </c>
      <c r="T917" t="s">
        <v>10047</v>
      </c>
      <c r="U917" t="s">
        <v>10048</v>
      </c>
      <c r="V917">
        <f>-608.627255470113 -122.977616499617 -97.3917637225909</f>
        <v>-828.99663569232098</v>
      </c>
      <c r="W917" t="s">
        <v>10049</v>
      </c>
      <c r="X917" t="s">
        <v>10050</v>
      </c>
      <c r="Y917" t="s">
        <v>10051</v>
      </c>
    </row>
    <row r="918" spans="1:25" x14ac:dyDescent="0.3">
      <c r="A918">
        <v>45850</v>
      </c>
      <c r="B918" t="s">
        <v>10052</v>
      </c>
      <c r="C918">
        <f>-624.208948730756 -28.6694095686255 -98.1400503766863</f>
        <v>-751.01840867606779</v>
      </c>
      <c r="D918">
        <f>-649.306316058271 -35.0298882613479 -211.037711550193</f>
        <v>-895.37391586981187</v>
      </c>
      <c r="E918">
        <f>-659.513795797484 -36.9949228110145 -309.112179809341</f>
        <v>-1005.6208984178395</v>
      </c>
      <c r="F918">
        <f>-664.757537530868 -37.5305927514539 -398.053015913575</f>
        <v>-1100.341146195897</v>
      </c>
      <c r="G918">
        <f>-665.648009652646 -36.8233564844188 -487.142463954403</f>
        <v>-1189.6138300914679</v>
      </c>
      <c r="H918">
        <f>-662.3130036679 -34.5741946616877 -611.660113418547</f>
        <v>-1308.5473117481347</v>
      </c>
      <c r="I918">
        <f>-631.959747999281 -30.8944977685558 -688.926979353102</f>
        <v>-1351.7812251209389</v>
      </c>
      <c r="J918">
        <f>-666.796148228913 -8.02269413904196 -556.449373778701</f>
        <v>-1231.268216146656</v>
      </c>
      <c r="K918" t="s">
        <v>10053</v>
      </c>
      <c r="L918" t="s">
        <v>10054</v>
      </c>
      <c r="M918" t="s">
        <v>10055</v>
      </c>
      <c r="N918">
        <f>-660.764947388055 -63.1052434525861 -557.282671130302</f>
        <v>-1281.1528619709431</v>
      </c>
      <c r="O918">
        <f>-650.041283954214 -197.372898476948 -529.799084983872</f>
        <v>-1377.2132674150339</v>
      </c>
      <c r="P918">
        <f>-677.506295105701 -265.422832820708 -244.832265905173</f>
        <v>-1187.7613938315819</v>
      </c>
      <c r="Q918">
        <f>-504.216923061538 -124.222459813045 -334.743936751862</f>
        <v>-963.18331962644493</v>
      </c>
      <c r="R918" t="s">
        <v>10056</v>
      </c>
      <c r="S918" t="s">
        <v>10057</v>
      </c>
      <c r="T918" t="s">
        <v>10058</v>
      </c>
      <c r="U918" t="s">
        <v>10059</v>
      </c>
      <c r="V918">
        <f>-608.715852866315 -122.931062344631 -97.3763644720831</f>
        <v>-829.02327968302905</v>
      </c>
      <c r="W918" t="s">
        <v>10060</v>
      </c>
      <c r="X918" t="s">
        <v>10061</v>
      </c>
      <c r="Y918" t="s">
        <v>10062</v>
      </c>
    </row>
    <row r="919" spans="1:25" x14ac:dyDescent="0.3">
      <c r="A919">
        <v>45900</v>
      </c>
      <c r="B919" t="s">
        <v>10063</v>
      </c>
      <c r="C919">
        <f>-624.389569372238 -28.4504451504079 -98.1434218794961</f>
        <v>-750.98343640214205</v>
      </c>
      <c r="D919">
        <f>-649.514834063873 -34.8080556082964 -211.035107751777</f>
        <v>-895.35799742394636</v>
      </c>
      <c r="E919">
        <f>-659.781128580992 -36.8327503733917 -309.102154642138</f>
        <v>-1005.7160335965217</v>
      </c>
      <c r="F919">
        <f>-665.092611365952 -37.4485034744903 -398.038424337051</f>
        <v>-1100.5795391774934</v>
      </c>
      <c r="G919">
        <f>-666.064996964547 -36.8479447502136 -487.127781854629</f>
        <v>-1190.0407235693897</v>
      </c>
      <c r="H919">
        <f>-662.859341119009 -34.7770426760817 -611.651954616324</f>
        <v>-1309.2883384114148</v>
      </c>
      <c r="I919">
        <f>-632.579959204449 -31.1987908537744 -688.952494148056</f>
        <v>-1352.7312442062794</v>
      </c>
      <c r="J919">
        <f>-667.251589175987 -8.14292542071121 -556.473654380933</f>
        <v>-1231.8681689776313</v>
      </c>
      <c r="K919" t="s">
        <v>10064</v>
      </c>
      <c r="L919" t="s">
        <v>10065</v>
      </c>
      <c r="M919" t="s">
        <v>10066</v>
      </c>
      <c r="N919">
        <f>-661.288489022021 -63.2338567525788 -557.236434777742</f>
        <v>-1281.7587805523419</v>
      </c>
      <c r="O919">
        <f>-650.682838768309 -197.505538919128 -529.718692262821</f>
        <v>-1377.9070699502581</v>
      </c>
      <c r="P919">
        <f>-677.966875111117 -265.52016034994 -244.72619222704</f>
        <v>-1188.213227688097</v>
      </c>
      <c r="Q919">
        <f>-505.42096229026 -123.620835447211 -334.966656446824</f>
        <v>-964.00845418429492</v>
      </c>
      <c r="R919" t="s">
        <v>10067</v>
      </c>
      <c r="S919" t="s">
        <v>10068</v>
      </c>
      <c r="T919" t="s">
        <v>10069</v>
      </c>
      <c r="U919" t="s">
        <v>10070</v>
      </c>
      <c r="V919">
        <f>-608.957775434725 -122.738611426938 -97.3746252384866</f>
        <v>-829.07101210014957</v>
      </c>
      <c r="W919" t="s">
        <v>10071</v>
      </c>
      <c r="X919" t="s">
        <v>10072</v>
      </c>
      <c r="Y919" t="s">
        <v>10073</v>
      </c>
    </row>
    <row r="920" spans="1:25" x14ac:dyDescent="0.3">
      <c r="A920">
        <v>45950</v>
      </c>
      <c r="B920" t="s">
        <v>10074</v>
      </c>
      <c r="C920">
        <f>-624.502080586665 -28.4125978813956 -98.1399256694316</f>
        <v>-751.05460413749222</v>
      </c>
      <c r="D920">
        <f>-649.647513865904 -34.7730093773041 -211.02680644349</f>
        <v>-895.44732968669814</v>
      </c>
      <c r="E920">
        <f>-659.957301153435 -36.8188772639726 -309.08900653933</f>
        <v>-1005.8651849567375</v>
      </c>
      <c r="F920">
        <f>-665.318489270446 -37.4612267997638 -398.022157042075</f>
        <v>-1100.8018731122847</v>
      </c>
      <c r="G920">
        <f>-666.351208990013 -36.8951923723307 -487.111007144766</f>
        <v>-1190.3574085071098</v>
      </c>
      <c r="H920">
        <f>-663.240842293234 -34.8809757206227 -611.63853040756</f>
        <v>-1309.7603484214167</v>
      </c>
      <c r="I920">
        <f>-633.000483451101 -31.352391219649 -688.956775959838</f>
        <v>-1353.3096506305878</v>
      </c>
      <c r="J920">
        <f>-667.575924950115 -8.21992276679771 -556.468627747306</f>
        <v>-1232.2644754642188</v>
      </c>
      <c r="K920" t="s">
        <v>10075</v>
      </c>
      <c r="L920" t="s">
        <v>10076</v>
      </c>
      <c r="M920" t="s">
        <v>10077</v>
      </c>
      <c r="N920">
        <f>-661.64318207895 -63.3145537808221 -557.211563350659</f>
        <v>-1282.1692992104311</v>
      </c>
      <c r="O920">
        <f>-651.124409054925 -197.584289791649 -529.675926538491</f>
        <v>-1378.384625385065</v>
      </c>
      <c r="P920">
        <f>-678.190098239885 -265.484776021596 -244.635317610808</f>
        <v>-1188.3101918722889</v>
      </c>
      <c r="Q920">
        <f>-505.613138503856 -123.690153348809 -334.980852644869</f>
        <v>-964.28414449753404</v>
      </c>
      <c r="R920" t="s">
        <v>10078</v>
      </c>
      <c r="S920" t="s">
        <v>10079</v>
      </c>
      <c r="T920" t="s">
        <v>10080</v>
      </c>
      <c r="U920" t="s">
        <v>10081</v>
      </c>
      <c r="V920">
        <f>-609.109966252727 -122.65946783393 -97.3512627642506</f>
        <v>-829.12069685090751</v>
      </c>
      <c r="W920" t="s">
        <v>10082</v>
      </c>
      <c r="X920" t="s">
        <v>10083</v>
      </c>
      <c r="Y920" t="s">
        <v>10084</v>
      </c>
    </row>
    <row r="921" spans="1:25" x14ac:dyDescent="0.3">
      <c r="A921">
        <v>46000</v>
      </c>
      <c r="B921" t="s">
        <v>10085</v>
      </c>
      <c r="C921">
        <f>-624.85388445639 -28.1979620828197 -98.116866771684</f>
        <v>-751.16871331089374</v>
      </c>
      <c r="D921">
        <f>-650.050322851743 -34.5456788905642 -210.993233800115</f>
        <v>-895.58923554242222</v>
      </c>
      <c r="E921">
        <f>-660.439025563766 -36.6229464950175 -309.046411706793</f>
        <v>-1006.1083837655765</v>
      </c>
      <c r="F921">
        <f>-665.885991740573 -37.3106961486983 -397.973868239301</f>
        <v>-1101.1705561285723</v>
      </c>
      <c r="G921">
        <f>-667.018811328561 -36.8076304053184 -487.062081921565</f>
        <v>-1190.8885236554443</v>
      </c>
      <c r="H921">
        <f>-664.063357049889 -34.9002087379008 -611.594902805428</f>
        <v>-1310.5584685932176</v>
      </c>
      <c r="I921">
        <f>-633.905739207119 -31.4974358954253 -688.951048877839</f>
        <v>-1354.3542239803833</v>
      </c>
      <c r="J921">
        <f>-668.294914609923 -8.18825620086955 -556.441711712325</f>
        <v>-1232.9248825231175</v>
      </c>
      <c r="K921" t="s">
        <v>10086</v>
      </c>
      <c r="L921" t="s">
        <v>10087</v>
      </c>
      <c r="M921" t="s">
        <v>10088</v>
      </c>
      <c r="N921">
        <f>-662.432974324769 -63.2908741363943 -557.146667964455</f>
        <v>-1282.8705164256185</v>
      </c>
      <c r="O921">
        <f>-652.075614379991 -197.582324669826 -529.615612821649</f>
        <v>-1379.273551871466</v>
      </c>
      <c r="P921">
        <f>-678.569022208857 -265.759292552194 -244.587029484546</f>
        <v>-1188.915344245597</v>
      </c>
      <c r="Q921">
        <f>-507.036006501191 -123.042003093874 -335.466471175196</f>
        <v>-965.54448077026109</v>
      </c>
      <c r="R921" t="s">
        <v>10089</v>
      </c>
      <c r="S921" t="s">
        <v>10090</v>
      </c>
      <c r="T921" t="s">
        <v>10091</v>
      </c>
      <c r="U921" t="s">
        <v>10092</v>
      </c>
      <c r="V921">
        <f>-609.53994436645 -122.493361400241 -97.3393769288143</f>
        <v>-829.37268269550532</v>
      </c>
      <c r="W921" t="s">
        <v>10093</v>
      </c>
      <c r="X921" t="s">
        <v>10094</v>
      </c>
      <c r="Y921" t="s">
        <v>10095</v>
      </c>
    </row>
    <row r="922" spans="1:25" x14ac:dyDescent="0.3">
      <c r="A922">
        <v>46050</v>
      </c>
      <c r="B922" t="s">
        <v>10096</v>
      </c>
      <c r="C922">
        <f>-625.043063750741 -27.9912049836423 -98.1117605215899</f>
        <v>-751.14602925597319</v>
      </c>
      <c r="D922">
        <f>-650.264698413355 -34.3308716500915 -210.982922948806</f>
        <v>-895.57849301225247</v>
      </c>
      <c r="E922">
        <f>-660.70675166908 -36.4166459550943 -309.030241371944</f>
        <v>-1006.1536389961182</v>
      </c>
      <c r="F922">
        <f>-666.214868320842 -37.1179346107235 -397.953764464411</f>
        <v>-1101.2865673959766</v>
      </c>
      <c r="G922">
        <f>-667.421891576961 -36.6343508545281 -487.041231130242</f>
        <v>-1191.097473561731</v>
      </c>
      <c r="H922">
        <f>-664.5835611453 -34.7601232812863 -611.577335213037</f>
        <v>-1310.9210196396234</v>
      </c>
      <c r="I922">
        <f>-634.460625104452 -31.4131593036834 -688.949356354732</f>
        <v>-1354.8231407628673</v>
      </c>
      <c r="J922">
        <f>-668.740721507521 -8.03106054789032 -556.42679489667</f>
        <v>-1233.1985769520813</v>
      </c>
      <c r="K922" t="s">
        <v>10097</v>
      </c>
      <c r="L922" t="s">
        <v>10098</v>
      </c>
      <c r="M922" t="s">
        <v>10099</v>
      </c>
      <c r="N922">
        <f>-662.924470597701 -63.1387277114931 -557.123555784516</f>
        <v>-1283.1867540937101</v>
      </c>
      <c r="O922">
        <f>-652.70496194944 -197.445626982756 -529.636545644882</f>
        <v>-1379.7871345770779</v>
      </c>
      <c r="P922">
        <f>-678.710063930432 -265.794529385554 -244.604333167257</f>
        <v>-1189.1089264832431</v>
      </c>
      <c r="Q922">
        <f>-507.768948972796 -122.471589570786 -335.645998914742</f>
        <v>-965.88653745832403</v>
      </c>
      <c r="R922" t="s">
        <v>10100</v>
      </c>
      <c r="S922" t="s">
        <v>10101</v>
      </c>
      <c r="T922" t="s">
        <v>10102</v>
      </c>
      <c r="U922" t="s">
        <v>10103</v>
      </c>
      <c r="V922">
        <f>-609.770387826556 -122.301535238816 -97.3320977658354</f>
        <v>-829.40402083120739</v>
      </c>
      <c r="W922" t="s">
        <v>10104</v>
      </c>
      <c r="X922" t="s">
        <v>10105</v>
      </c>
      <c r="Y922" t="s">
        <v>10106</v>
      </c>
    </row>
    <row r="923" spans="1:25" x14ac:dyDescent="0.3">
      <c r="A923">
        <v>46100</v>
      </c>
      <c r="B923" t="s">
        <v>10107</v>
      </c>
      <c r="C923">
        <f>-625.402245033676 -27.8124189361704 -98.082192696192</f>
        <v>-751.29685666603837</v>
      </c>
      <c r="D923">
        <f>-650.666072024461 -34.1382600167808 -210.944765281217</f>
        <v>-895.74909732245874</v>
      </c>
      <c r="E923">
        <f>-661.212489204674 -36.2271759667431 -308.980662862568</f>
        <v>-1006.420328033985</v>
      </c>
      <c r="F923">
        <f>-666.84284379544 -36.9362530168387 -397.896547816334</f>
        <v>-1101.6756446286126</v>
      </c>
      <c r="G923">
        <f>-668.199872977366 -36.4653265214095 -486.981762802806</f>
        <v>-1191.6469623015814</v>
      </c>
      <c r="H923">
        <f>-665.600281085236 -34.6137799228406 -611.523510634356</f>
        <v>-1311.7375716424326</v>
      </c>
      <c r="I923">
        <f>-635.521712505598 -31.3704651134942 -688.917231386529</f>
        <v>-1355.8094090056211</v>
      </c>
      <c r="J923">
        <f>-669.619061935153 -7.87120411485216 -556.369216300625</f>
        <v>-1233.8594823506301</v>
      </c>
      <c r="K923" t="s">
        <v>10108</v>
      </c>
      <c r="L923" t="s">
        <v>10109</v>
      </c>
      <c r="M923" t="s">
        <v>10110</v>
      </c>
      <c r="N923">
        <f>-663.869495520112 -62.9858155770278 -557.068609149903</f>
        <v>-1283.9239202470426</v>
      </c>
      <c r="O923">
        <f>-653.797620395783 -197.320481452257 -529.680960462661</f>
        <v>-1380.7990623107012</v>
      </c>
      <c r="P923">
        <f>-678.769304135203 -266.154638519173 -244.673134224513</f>
        <v>-1189.5970768788891</v>
      </c>
      <c r="Q923">
        <f>-508.743961210307 -121.700364722353 -335.641386631205</f>
        <v>-966.08571256386506</v>
      </c>
      <c r="R923" t="s">
        <v>10111</v>
      </c>
      <c r="S923" t="s">
        <v>10112</v>
      </c>
      <c r="T923" t="s">
        <v>10113</v>
      </c>
      <c r="U923" t="s">
        <v>10114</v>
      </c>
      <c r="V923">
        <f>-610.305299494358 -122.172943601626 -97.2845954584903</f>
        <v>-829.76283855447434</v>
      </c>
      <c r="W923" t="s">
        <v>10115</v>
      </c>
      <c r="X923" t="s">
        <v>10116</v>
      </c>
      <c r="Y923" t="s">
        <v>10117</v>
      </c>
    </row>
    <row r="924" spans="1:25" x14ac:dyDescent="0.3">
      <c r="A924">
        <v>46150</v>
      </c>
      <c r="B924" t="s">
        <v>10118</v>
      </c>
      <c r="C924">
        <f>-625.61743108466 -27.6657891702555 -98.0638968320617</f>
        <v>-751.34711708697716</v>
      </c>
      <c r="D924">
        <f>-650.9010271269 -33.9748080927327 -210.922951502708</f>
        <v>-895.79878672234065</v>
      </c>
      <c r="E924">
        <f>-661.494580788595 -36.0619895215741 -308.953945470721</f>
        <v>-1006.5105157808902</v>
      </c>
      <c r="F924">
        <f>-667.179969895992 -36.7739840308132 -397.866369986497</f>
        <v>-1101.8203239133022</v>
      </c>
      <c r="G924">
        <f>-668.604483047404 -36.3105657277763 -486.950509798113</f>
        <v>-1191.8655585732931</v>
      </c>
      <c r="H924">
        <f>-666.112158801109 -34.4739323245783 -611.494620969564</f>
        <v>-1312.0807120952513</v>
      </c>
      <c r="I924">
        <f>-636.073307329576 -31.2671838492549 -688.90524368454</f>
        <v>-1356.2457348633709</v>
      </c>
      <c r="J924">
        <f>-670.074950760261 -7.72396269496699 -556.339897721664</f>
        <v>-1234.138811176892</v>
      </c>
      <c r="K924" t="s">
        <v>10119</v>
      </c>
      <c r="L924" t="s">
        <v>10120</v>
      </c>
      <c r="M924" t="s">
        <v>10121</v>
      </c>
      <c r="N924">
        <f>-664.342840966337 -62.840351209014 -557.037904124606</f>
        <v>-1284.221096299957</v>
      </c>
      <c r="O924">
        <f>-654.292757182833 -197.187255485639 -529.694280075147</f>
        <v>-1381.1742927436189</v>
      </c>
      <c r="P924">
        <f>-679.113039916733 -266.172594607284 -244.709679541029</f>
        <v>-1189.9953140650459</v>
      </c>
      <c r="Q924">
        <f>-509.158031662824 -121.681649758774 -335.75090000819</f>
        <v>-966.59058142978802</v>
      </c>
      <c r="R924" t="s">
        <v>10122</v>
      </c>
      <c r="S924" t="s">
        <v>10123</v>
      </c>
      <c r="T924" t="s">
        <v>10124</v>
      </c>
      <c r="U924" t="s">
        <v>10125</v>
      </c>
      <c r="V924">
        <f>-610.598418231106 -122.05894292777 -97.2617413450868</f>
        <v>-829.91910250396279</v>
      </c>
      <c r="W924" t="s">
        <v>10126</v>
      </c>
      <c r="X924" t="s">
        <v>10127</v>
      </c>
      <c r="Y924" t="s">
        <v>10128</v>
      </c>
    </row>
    <row r="925" spans="1:25" x14ac:dyDescent="0.3">
      <c r="A925">
        <v>46200</v>
      </c>
      <c r="B925" t="s">
        <v>10129</v>
      </c>
      <c r="C925">
        <f>-626.024391756512 -27.1405011279228 -98.0252348041357</f>
        <v>-751.19012768857056</v>
      </c>
      <c r="D925">
        <f>-651.30127808435 -33.4228508350734 -210.887252062949</f>
        <v>-895.61138098237234</v>
      </c>
      <c r="E925">
        <f>-661.95019869816 -35.5093393684538 -308.912296309238</f>
        <v>-1006.3718343758517</v>
      </c>
      <c r="F925">
        <f>-667.710702969885 -36.2293337154358 -397.819701560372</f>
        <v>-1101.7597382456929</v>
      </c>
      <c r="G925">
        <f>-669.235180751122 -35.7827009112266 -486.902382212071</f>
        <v>-1191.9202638744196</v>
      </c>
      <c r="H925">
        <f>-666.908729799721 -33.9788508257209 -611.450160263536</f>
        <v>-1312.3377408889778</v>
      </c>
      <c r="I925">
        <f>-636.966735242004 -30.8114584942093 -688.899934280044</f>
        <v>-1356.6781280162572</v>
      </c>
      <c r="J925">
        <f>-670.772395604232 -7.21170705355212 -556.296632002484</f>
        <v>-1234.2807346602681</v>
      </c>
      <c r="K925" t="s">
        <v>10130</v>
      </c>
      <c r="L925" t="s">
        <v>10131</v>
      </c>
      <c r="M925" t="s">
        <v>10132</v>
      </c>
      <c r="N925">
        <f>-665.092546959741 -62.3335752015491 -556.98901306656</f>
        <v>-1284.41513522785</v>
      </c>
      <c r="O925">
        <f>-655.159955553287 -196.693842504068 -529.661728118197</f>
        <v>-1381.5155261755519</v>
      </c>
      <c r="P925">
        <f>-679.922391481984 -265.650100382261 -244.665197093145</f>
        <v>-1190.23768895739</v>
      </c>
      <c r="Q925">
        <f>-509.722462013592 -121.560092161568 -335.884183364681</f>
        <v>-967.16673753984105</v>
      </c>
      <c r="R925" t="s">
        <v>10133</v>
      </c>
      <c r="S925" t="s">
        <v>10134</v>
      </c>
      <c r="T925" t="s">
        <v>10135</v>
      </c>
      <c r="U925" t="s">
        <v>10136</v>
      </c>
      <c r="V925">
        <f>-611.02594759172 -121.498923097592 -97.2511268705927</f>
        <v>-829.77599755990457</v>
      </c>
      <c r="W925" t="s">
        <v>10137</v>
      </c>
      <c r="X925" t="s">
        <v>10138</v>
      </c>
      <c r="Y925" t="s">
        <v>10139</v>
      </c>
    </row>
    <row r="926" spans="1:25" x14ac:dyDescent="0.3">
      <c r="A926">
        <v>46250</v>
      </c>
      <c r="B926" t="s">
        <v>10140</v>
      </c>
      <c r="C926">
        <f>-626.156277738202 -26.9311863841649 -98.0021552521233</f>
        <v>-751.08961937449021</v>
      </c>
      <c r="D926">
        <f>-651.43453716753 -33.1983805833399 -210.864738873083</f>
        <v>-895.49765662395293</v>
      </c>
      <c r="E926">
        <f>-662.101903285548 -35.2819124505797 -308.887866773718</f>
        <v>-1006.2716825098457</v>
      </c>
      <c r="F926">
        <f>-667.885898225249 -36.0031420020432 -397.793810142807</f>
        <v>-1101.6828503700992</v>
      </c>
      <c r="G926">
        <f>-669.441067991281 -35.5621505619067 -486.875891528105</f>
        <v>-1191.8791100812928</v>
      </c>
      <c r="H926">
        <f>-667.164854347497 -33.7702157908429 -611.42479999449</f>
        <v>-1312.3598701328299</v>
      </c>
      <c r="I926">
        <f>-637.265185953731 -30.6135699504875 -688.891404220477</f>
        <v>-1356.7701601246956</v>
      </c>
      <c r="J926">
        <f>-670.994398938717 -6.99652417245807 -556.272135135975</f>
        <v>-1234.2630582471502</v>
      </c>
      <c r="K926" t="s">
        <v>10141</v>
      </c>
      <c r="L926" t="s">
        <v>10142</v>
      </c>
      <c r="M926" t="s">
        <v>10143</v>
      </c>
      <c r="N926">
        <f>-665.338571118419 -62.1208681573872 -556.961783694867</f>
        <v>-1284.4212229706732</v>
      </c>
      <c r="O926">
        <f>-655.465924699067 -196.480553068947 -529.607126837571</f>
        <v>-1381.553604605585</v>
      </c>
      <c r="P926">
        <f>-680.436273786637 -265.266813308139 -244.587687481055</f>
        <v>-1190.2907745758312</v>
      </c>
      <c r="Q926">
        <f>-510.078383701509 -121.480534559465 -335.990982667662</f>
        <v>-967.54990092863602</v>
      </c>
      <c r="R926" t="s">
        <v>10144</v>
      </c>
      <c r="S926" t="s">
        <v>10145</v>
      </c>
      <c r="T926" t="s">
        <v>10146</v>
      </c>
      <c r="U926" t="s">
        <v>10147</v>
      </c>
      <c r="V926">
        <f>-611.183922587524 -121.330586016931 -97.247578141939</f>
        <v>-829.76208674639395</v>
      </c>
      <c r="W926" t="s">
        <v>10148</v>
      </c>
      <c r="X926" t="s">
        <v>10149</v>
      </c>
      <c r="Y926" t="s">
        <v>10150</v>
      </c>
    </row>
    <row r="927" spans="1:25" x14ac:dyDescent="0.3">
      <c r="A927">
        <v>46300</v>
      </c>
      <c r="B927" t="s">
        <v>10151</v>
      </c>
      <c r="C927">
        <f>-626.333814831988 -26.5406125835509 -97.983066191705</f>
        <v>-750.8574936072439</v>
      </c>
      <c r="D927">
        <f>-651.658796693676 -32.7792354890719 -210.836834018617</f>
        <v>-895.27486620136483</v>
      </c>
      <c r="E927">
        <f>-662.380534068947 -34.8614774885257 -308.853817200671</f>
        <v>-1006.0958287581436</v>
      </c>
      <c r="F927">
        <f>-668.219595806313 -35.5906281315933 -397.756176854078</f>
        <v>-1101.5664007919843</v>
      </c>
      <c r="G927">
        <f>-669.835611744179 -35.1671669669131 -486.837414706778</f>
        <v>-1191.8401934178701</v>
      </c>
      <c r="H927">
        <f>-667.650498464368 -33.4104686568596 -611.388388758733</f>
        <v>-1312.4493558799604</v>
      </c>
      <c r="I927">
        <f>-637.818920193994 -30.2829159428427 -688.882326628136</f>
        <v>-1356.9841627649726</v>
      </c>
      <c r="J927">
        <f>-671.401922748614 -6.61732897495108 -556.239783655704</f>
        <v>-1234.2590353792689</v>
      </c>
      <c r="K927" t="s">
        <v>10152</v>
      </c>
      <c r="L927" t="s">
        <v>10153</v>
      </c>
      <c r="M927" t="s">
        <v>10154</v>
      </c>
      <c r="N927">
        <f>-665.82226165161 -61.7496519209993 -556.919489469164</f>
        <v>-1284.4914030417733</v>
      </c>
      <c r="O927">
        <f>-656.117845196508 -196.115494395981 -529.538521847702</f>
        <v>-1381.7718614401911</v>
      </c>
      <c r="P927">
        <f>-681.310197473227 -264.419316969979 -244.422547423684</f>
        <v>-1190.1520618668899</v>
      </c>
      <c r="Q927">
        <f>-510.404677738986 -121.388032151733 -335.988070572003</f>
        <v>-967.78078046272185</v>
      </c>
      <c r="R927" t="s">
        <v>10155</v>
      </c>
      <c r="S927" t="s">
        <v>10156</v>
      </c>
      <c r="T927" t="s">
        <v>10157</v>
      </c>
      <c r="U927" t="s">
        <v>10158</v>
      </c>
      <c r="V927">
        <f>-611.462282378496 -121.012971719554 -97.2201304550221</f>
        <v>-829.69538455307202</v>
      </c>
      <c r="W927" t="s">
        <v>10159</v>
      </c>
      <c r="X927" t="s">
        <v>10160</v>
      </c>
      <c r="Y927" t="s">
        <v>10161</v>
      </c>
    </row>
    <row r="928" spans="1:25" x14ac:dyDescent="0.3">
      <c r="A928">
        <v>46350</v>
      </c>
      <c r="B928" t="s">
        <v>10162</v>
      </c>
      <c r="C928">
        <f>-626.389256962151 -26.1551039838982 -97.963171442371</f>
        <v>-750.50753238842026</v>
      </c>
      <c r="D928">
        <f>-651.751659372145 -32.3918398664023 -210.808469080562</f>
        <v>-894.95196831910926</v>
      </c>
      <c r="E928">
        <f>-662.519888944756 -34.4702880361485 -308.82074361559</f>
        <v>-1005.8109205964945</v>
      </c>
      <c r="F928">
        <f>-668.406715751942 -35.1955377483059 -397.719941114293</f>
        <v>-1101.3221946145409</v>
      </c>
      <c r="G928">
        <f>-670.075881641794 -34.7682477452511 -486.800026152079</f>
        <v>-1191.6441555391241</v>
      </c>
      <c r="H928">
        <f>-667.970546947845 -33.0064293598953 -611.352247331862</f>
        <v>-1312.3292236396023</v>
      </c>
      <c r="I928">
        <f>-638.17120673814 -29.895461659647 -688.859437766935</f>
        <v>-1356.9261061647221</v>
      </c>
      <c r="J928">
        <f>-671.661298932395 -6.21298073018716 -556.199782934728</f>
        <v>-1234.0740625973101</v>
      </c>
      <c r="K928" t="s">
        <v>10163</v>
      </c>
      <c r="L928" t="s">
        <v>10164</v>
      </c>
      <c r="M928" t="s">
        <v>10165</v>
      </c>
      <c r="N928">
        <f>-666.132609246067 -61.3504462717885 -556.886257000895</f>
        <v>-1284.3693125187506</v>
      </c>
      <c r="O928">
        <f>-656.514354260222 -195.731150677821 -529.519143414938</f>
        <v>-1381.7646483529811</v>
      </c>
      <c r="P928">
        <f>-681.671255881331 -263.963311850825 -244.382820536326</f>
        <v>-1190.0173882684821</v>
      </c>
      <c r="Q928">
        <f>-510.698178226834 -121.133148134049 -336.13578621807</f>
        <v>-967.96711257895299</v>
      </c>
      <c r="R928" t="s">
        <v>10166</v>
      </c>
      <c r="S928" t="s">
        <v>10167</v>
      </c>
      <c r="T928" t="s">
        <v>10168</v>
      </c>
      <c r="U928" t="s">
        <v>10169</v>
      </c>
      <c r="V928">
        <f>-611.552201021023 -120.532672406237 -97.203238869358</f>
        <v>-829.28811229661801</v>
      </c>
      <c r="W928" t="s">
        <v>10170</v>
      </c>
      <c r="X928" t="s">
        <v>10171</v>
      </c>
      <c r="Y928" t="s">
        <v>10172</v>
      </c>
    </row>
    <row r="929" spans="1:25" x14ac:dyDescent="0.3">
      <c r="A929">
        <v>46400</v>
      </c>
      <c r="B929" t="s">
        <v>10173</v>
      </c>
      <c r="C929">
        <f>-626.407836879616 -25.8584882787065 -97.895660385103</f>
        <v>-750.16198554342554</v>
      </c>
      <c r="D929">
        <f>-651.864104553539 -32.0938020907365 -210.719935495491</f>
        <v>-894.67784213976654</v>
      </c>
      <c r="E929">
        <f>-662.752166078978 -34.150398277867 -308.719392673174</f>
        <v>-1005.6219570300191</v>
      </c>
      <c r="F929">
        <f>-668.762706140135 -34.847245606531 -397.61043998603</f>
        <v>-1101.220391732696</v>
      </c>
      <c r="G929">
        <f>-670.570586437428 -34.3838369909092 -486.687781545124</f>
        <v>-1191.6422049734613</v>
      </c>
      <c r="H929">
        <f>-668.674634894461 -32.5638304883423 -611.242537358792</f>
        <v>-1312.4810027415951</v>
      </c>
      <c r="I929">
        <f>-638.95852840759 -29.4694675732867 -688.782213121332</f>
        <v>-1357.2102091022089</v>
      </c>
      <c r="J929">
        <f>-672.226471747912 -5.79165775026377 -556.070582283304</f>
        <v>-1234.0887117814798</v>
      </c>
      <c r="K929" t="s">
        <v>10174</v>
      </c>
      <c r="L929" t="s">
        <v>10175</v>
      </c>
      <c r="M929" t="s">
        <v>10176</v>
      </c>
      <c r="N929">
        <f>-666.791504911574 -60.9378159744284 -556.793522472121</f>
        <v>-1284.5228433581233</v>
      </c>
      <c r="O929">
        <f>-657.319415180729 -195.344839992466 -529.542473605395</f>
        <v>-1382.2067287785899</v>
      </c>
      <c r="P929">
        <f>-681.872102226822 -263.825495543943 -244.413133229436</f>
        <v>-1190.110731000201</v>
      </c>
      <c r="Q929">
        <f>-511.297115480552 -120.749676738606 -336.52350727594</f>
        <v>-968.57029949509797</v>
      </c>
      <c r="R929" t="s">
        <v>10177</v>
      </c>
      <c r="S929" t="s">
        <v>10178</v>
      </c>
      <c r="T929" t="s">
        <v>10179</v>
      </c>
      <c r="U929" t="s">
        <v>10180</v>
      </c>
      <c r="V929">
        <f>-611.643234721598 -120.401460895551 -97.1327625600048</f>
        <v>-829.17745817715388</v>
      </c>
      <c r="W929" t="s">
        <v>10181</v>
      </c>
      <c r="X929" t="s">
        <v>10182</v>
      </c>
      <c r="Y929" t="s">
        <v>10183</v>
      </c>
    </row>
    <row r="930" spans="1:25" x14ac:dyDescent="0.3">
      <c r="A930">
        <v>46450</v>
      </c>
      <c r="B930" t="s">
        <v>10184</v>
      </c>
      <c r="C930">
        <f>-626.403021284912 -25.645765594807 -97.8639397023907</f>
        <v>-749.91272658210971</v>
      </c>
      <c r="D930">
        <f>-651.910632589195 -31.8744671016168 -210.676990939018</f>
        <v>-894.46209062982973</v>
      </c>
      <c r="E930">
        <f>-662.865217915927 -33.9158416808307 -308.669241413351</f>
        <v>-1005.4503010101087</v>
      </c>
      <c r="F930">
        <f>-668.944898041065 -34.5951677041767 -397.555856911497</f>
        <v>-1101.0959226567388</v>
      </c>
      <c r="G930">
        <f>-670.830667376985 -34.1105948341251 -486.63123786294</f>
        <v>-1191.5725000740501</v>
      </c>
      <c r="H930">
        <f>-669.052499976988 -32.2575299467719 -611.187450099947</f>
        <v>-1312.4974800237069</v>
      </c>
      <c r="I930">
        <f>-639.391854822043 -29.171954987301 -688.748676517481</f>
        <v>-1357.3124863268249</v>
      </c>
      <c r="J930">
        <f>-672.533236192888 -5.49813716009476 -556.004716267357</f>
        <v>-1234.0360896203397</v>
      </c>
      <c r="K930" t="s">
        <v>10185</v>
      </c>
      <c r="L930" t="s">
        <v>10186</v>
      </c>
      <c r="M930" t="s">
        <v>10187</v>
      </c>
      <c r="N930">
        <f>-667.136729614953 -60.6477545592331 -556.74809854074</f>
        <v>-1284.5325827149261</v>
      </c>
      <c r="O930">
        <f>-657.715105736555 -195.069174670841 -529.558346853079</f>
        <v>-1382.342627260475</v>
      </c>
      <c r="P930">
        <f>-682.088097679763 -263.595694331818 -244.424635695022</f>
        <v>-1190.1084277066029</v>
      </c>
      <c r="Q930">
        <f>-511.45941080264 -120.646928045362 -336.632995625908</f>
        <v>-968.73933447391005</v>
      </c>
      <c r="R930" t="s">
        <v>10188</v>
      </c>
      <c r="S930" t="s">
        <v>10189</v>
      </c>
      <c r="T930" t="s">
        <v>10190</v>
      </c>
      <c r="U930" t="s">
        <v>10191</v>
      </c>
      <c r="V930">
        <f>-611.669118152928 -120.162034816741 -97.101231971807</f>
        <v>-828.93238494147602</v>
      </c>
      <c r="W930" t="s">
        <v>10192</v>
      </c>
      <c r="X930" t="s">
        <v>10193</v>
      </c>
      <c r="Y930" t="s">
        <v>10194</v>
      </c>
    </row>
    <row r="931" spans="1:25" x14ac:dyDescent="0.3">
      <c r="A931">
        <v>46500</v>
      </c>
      <c r="B931" t="s">
        <v>10195</v>
      </c>
      <c r="C931">
        <f>-626.41956461222 -25.2490691002349 -97.8170258131106</f>
        <v>-749.48565952556555</v>
      </c>
      <c r="D931">
        <f>-652.019682313412 -31.4474724527338 -210.610784382327</f>
        <v>-894.07793914847275</v>
      </c>
      <c r="E931">
        <f>-663.094077962459 -33.4531971155527 -308.590310730838</f>
        <v>-1005.1375858088497</v>
      </c>
      <c r="F931">
        <f>-669.29809244176 -34.0957966450051 -397.468468825628</f>
        <v>-1100.862357912393</v>
      </c>
      <c r="G931">
        <f>-671.324123902988 -33.5706687407703 -486.540671795486</f>
        <v>-1191.4354644392442</v>
      </c>
      <c r="H931">
        <f>-669.758329041152 -31.6572671778051 -611.098755755036</f>
        <v>-1312.5143519739931</v>
      </c>
      <c r="I931">
        <f>-640.232648502993 -28.5523753638777 -688.710841443958</f>
        <v>-1357.4958653108288</v>
      </c>
      <c r="J931">
        <f>-673.104339623069 -4.92066445089608 -555.896714431966</f>
        <v>-1233.921718505931</v>
      </c>
      <c r="K931" t="s">
        <v>10196</v>
      </c>
      <c r="L931" t="s">
        <v>10197</v>
      </c>
      <c r="M931" t="s">
        <v>10198</v>
      </c>
      <c r="N931">
        <f>-667.79038098562 -60.0779781065305 -556.677221994322</f>
        <v>-1284.5455810864726</v>
      </c>
      <c r="O931">
        <f>-658.475983115696 -194.534376851325 -529.596009411611</f>
        <v>-1382.6063693786318</v>
      </c>
      <c r="P931">
        <f>-682.642205465126 -263.113476891015 -244.457243388435</f>
        <v>-1190.2129257445761</v>
      </c>
      <c r="Q931">
        <f>-511.864252564728 -120.469220262195 -336.86070786315</f>
        <v>-969.19418069007315</v>
      </c>
      <c r="R931" t="s">
        <v>10199</v>
      </c>
      <c r="S931" t="s">
        <v>10200</v>
      </c>
      <c r="T931" t="s">
        <v>10201</v>
      </c>
      <c r="U931" t="s">
        <v>10202</v>
      </c>
      <c r="V931">
        <f>-611.77292836514 -119.784316866092 -97.0748751413632</f>
        <v>-828.6321203725953</v>
      </c>
      <c r="W931" t="s">
        <v>10203</v>
      </c>
      <c r="X931" t="s">
        <v>10204</v>
      </c>
      <c r="Y931" t="s">
        <v>10205</v>
      </c>
    </row>
    <row r="932" spans="1:25" x14ac:dyDescent="0.3">
      <c r="A932">
        <v>46550</v>
      </c>
      <c r="B932" t="s">
        <v>10206</v>
      </c>
      <c r="C932">
        <f>-626.428808056307 -25.0240310873387 -97.8014257018051</f>
        <v>-749.25426484545085</v>
      </c>
      <c r="D932">
        <f>-652.067681168336 -31.2066132065856 -210.587251966038</f>
        <v>-893.86154634095965</v>
      </c>
      <c r="E932">
        <f>-663.189067561742 -33.1938723905289 -308.561799508597</f>
        <v>-1004.9447394608679</v>
      </c>
      <c r="F932">
        <f>-669.441044406508 -33.8174261774534 -397.436913910643</f>
        <v>-1100.6953844946045</v>
      </c>
      <c r="G932">
        <f>-671.520428096071 -33.2709962964029 -486.507772649629</f>
        <v>-1191.2991970421028</v>
      </c>
      <c r="H932">
        <f>-670.034890465247 -31.3254513409438 -611.066158355708</f>
        <v>-1312.4265001618987</v>
      </c>
      <c r="I932">
        <f>-640.571173509016 -28.194566145339 -688.700783127569</f>
        <v>-1357.4665227819241</v>
      </c>
      <c r="J932">
        <f>-673.325476805544 -4.60112760040579 -555.854757631598</f>
        <v>-1233.7813620375478</v>
      </c>
      <c r="K932" t="s">
        <v>10207</v>
      </c>
      <c r="L932" t="s">
        <v>10208</v>
      </c>
      <c r="M932" t="s">
        <v>10209</v>
      </c>
      <c r="N932">
        <f>-668.051679162514 -59.7620593352384 -556.653566891682</f>
        <v>-1284.4673053894344</v>
      </c>
      <c r="O932">
        <f>-658.787252206433 -194.230904644195 -529.631028389236</f>
        <v>-1382.649185239864</v>
      </c>
      <c r="P932">
        <f>-682.879862350187 -262.782292769786 -244.479383155048</f>
        <v>-1190.141538275021</v>
      </c>
      <c r="Q932">
        <f>-512.153987731888 -120.173642022624 -337.033862565259</f>
        <v>-969.36149231977106</v>
      </c>
      <c r="R932" t="s">
        <v>10210</v>
      </c>
      <c r="S932" t="s">
        <v>10211</v>
      </c>
      <c r="T932" t="s">
        <v>10212</v>
      </c>
      <c r="U932" t="s">
        <v>10213</v>
      </c>
      <c r="V932">
        <f>-611.853131352043 -119.535540447263 -97.061529193977</f>
        <v>-828.45020099328292</v>
      </c>
      <c r="W932" t="s">
        <v>10214</v>
      </c>
      <c r="X932" t="s">
        <v>10215</v>
      </c>
      <c r="Y932" t="s">
        <v>10216</v>
      </c>
    </row>
    <row r="933" spans="1:25" x14ac:dyDescent="0.3">
      <c r="A933">
        <v>46600</v>
      </c>
      <c r="B933" t="s">
        <v>10217</v>
      </c>
      <c r="C933">
        <f>-626.517960035855 -24.8522916847817 -97.7790442659328</f>
        <v>-749.14929598656954</v>
      </c>
      <c r="D933">
        <f>-652.227034414492 -31.0048692018845 -210.55044316188</f>
        <v>-893.78234677825651</v>
      </c>
      <c r="E933">
        <f>-663.438655314391 -32.9466137896006 -308.515740110421</f>
        <v>-1004.9010092144126</v>
      </c>
      <c r="F933">
        <f>-669.784001953441 -33.5205153903378 -397.384527719238</f>
        <v>-1100.6890450630167</v>
      </c>
      <c r="G933">
        <f>-671.96861914103 -32.916112936934 -486.45239149037</f>
        <v>-1191.3371235683339</v>
      </c>
      <c r="H933">
        <f>-670.641997189333 -30.8807844918135 -611.011325898825</f>
        <v>-1312.5341075799715</v>
      </c>
      <c r="I933">
        <f>-641.308994552509 -27.6887939497444 -688.692846998648</f>
        <v>-1357.6906355009014</v>
      </c>
      <c r="J933">
        <f>-673.831639450581 -4.19353112243334 -555.776156311213</f>
        <v>-1233.8013268842274</v>
      </c>
      <c r="K933" t="s">
        <v>10218</v>
      </c>
      <c r="L933" t="s">
        <v>10219</v>
      </c>
      <c r="M933" t="s">
        <v>10220</v>
      </c>
      <c r="N933">
        <f>-668.619914522432 -59.3596146513644 -556.622032018284</f>
        <v>-1284.6015611920805</v>
      </c>
      <c r="O933">
        <f>-659.424613391933 -193.861714488664 -529.725411756671</f>
        <v>-1383.011739637268</v>
      </c>
      <c r="P933">
        <f>-683.371088841905 -262.684619261977 -244.626737307279</f>
        <v>-1190.6824454111611</v>
      </c>
      <c r="Q933">
        <f>-512.608532776665 -120.191021420957 -337.290630255148</f>
        <v>-970.09018445277002</v>
      </c>
      <c r="R933" t="s">
        <v>10221</v>
      </c>
      <c r="S933" t="s">
        <v>10222</v>
      </c>
      <c r="T933" t="s">
        <v>10223</v>
      </c>
      <c r="U933" t="s">
        <v>10224</v>
      </c>
      <c r="V933">
        <f>-612.030045491614 -119.476468777919 -97.0387677241717</f>
        <v>-828.54528199370475</v>
      </c>
      <c r="W933" t="s">
        <v>10225</v>
      </c>
      <c r="X933" t="s">
        <v>10226</v>
      </c>
      <c r="Y933" t="s">
        <v>10227</v>
      </c>
    </row>
    <row r="934" spans="1:25" x14ac:dyDescent="0.3">
      <c r="A934">
        <v>46650</v>
      </c>
      <c r="B934" t="s">
        <v>10228</v>
      </c>
      <c r="C934">
        <f>-626.569199418374 -24.743609259006 -97.7640845526623</f>
        <v>-749.07689323004229</v>
      </c>
      <c r="D934">
        <f>-652.303436917781 -30.8794759546161 -210.530674703672</f>
        <v>-893.71358757606913</v>
      </c>
      <c r="E934">
        <f>-663.557594609704 -32.7924733839482 -308.491643839206</f>
        <v>-1004.8417118328582</v>
      </c>
      <c r="F934">
        <f>-669.949791612214 -33.3344008451561 -397.357253497456</f>
        <v>-1100.6414459548259</v>
      </c>
      <c r="G934">
        <f>-672.189451735899 -32.692295796573 -486.42362561085</f>
        <v>-1191.305373143322</v>
      </c>
      <c r="H934">
        <f>-670.948231105838 -30.5982131492001 -610.98235419788</f>
        <v>-1312.5287984529182</v>
      </c>
      <c r="I934">
        <f>-641.673787036853 -27.3718187568602 -688.684539417517</f>
        <v>-1357.7301452112301</v>
      </c>
      <c r="J934">
        <f>-674.088368044342 -3.93581361292922 -555.732301980247</f>
        <v>-1233.7564836375182</v>
      </c>
      <c r="K934" t="s">
        <v>10229</v>
      </c>
      <c r="L934" t="s">
        <v>10230</v>
      </c>
      <c r="M934" t="s">
        <v>10231</v>
      </c>
      <c r="N934">
        <f>-668.900551322249 -59.1035445680466 -556.608091710064</f>
        <v>-1284.6121876003594</v>
      </c>
      <c r="O934">
        <f>-659.758735715083 -193.622576802478 -529.79337199298</f>
        <v>-1383.1746845105411</v>
      </c>
      <c r="P934">
        <f>-683.712758459536 -262.480749428402 -244.704080435954</f>
        <v>-1190.897588323892</v>
      </c>
      <c r="Q934">
        <f>-512.656111952616 -120.307949035548 -337.318246904433</f>
        <v>-970.28230789259692</v>
      </c>
      <c r="R934" t="s">
        <v>10232</v>
      </c>
      <c r="S934" t="s">
        <v>10233</v>
      </c>
      <c r="T934" t="s">
        <v>10234</v>
      </c>
      <c r="U934" t="s">
        <v>10235</v>
      </c>
      <c r="V934">
        <f>-612.083517394965 -119.42197562656 -97.0313263459028</f>
        <v>-828.53681936742782</v>
      </c>
      <c r="W934" t="s">
        <v>10236</v>
      </c>
      <c r="X934" t="s">
        <v>10237</v>
      </c>
      <c r="Y934" t="s">
        <v>10238</v>
      </c>
    </row>
    <row r="935" spans="1:25" x14ac:dyDescent="0.3">
      <c r="A935">
        <v>46700</v>
      </c>
      <c r="B935" t="s">
        <v>10239</v>
      </c>
      <c r="C935">
        <f>-626.545217389601 -24.2721009805557 -97.7427721926507</f>
        <v>-748.56009056280743</v>
      </c>
      <c r="D935">
        <f>-652.301277612882 -30.3904890573742 -210.505544332211</f>
        <v>-893.19731100246725</v>
      </c>
      <c r="E935">
        <f>-663.604496871688 -32.2562854012615 -308.461675077062</f>
        <v>-1004.3224573500115</v>
      </c>
      <c r="F935">
        <f>-670.052840162652 -32.7428454676467 -397.323497774957</f>
        <v>-1100.1191834052556</v>
      </c>
      <c r="G935">
        <f>-672.359953761358 -32.0337190380765 -486.387560681451</f>
        <v>-1190.7812334808855</v>
      </c>
      <c r="H935">
        <f>-671.2247034674 -29.8340754691435 -610.945529920743</f>
        <v>-1312.0043088572866</v>
      </c>
      <c r="I935">
        <f>-642.03764077746 -26.5465989165955 -688.677920070009</f>
        <v>-1357.2621597640646</v>
      </c>
      <c r="J935">
        <f>-674.275609499701 -3.21446483734348 -555.669815957539</f>
        <v>-1233.1598902945834</v>
      </c>
      <c r="K935" t="s">
        <v>10240</v>
      </c>
      <c r="L935" t="s">
        <v>10241</v>
      </c>
      <c r="M935" t="s">
        <v>10242</v>
      </c>
      <c r="N935">
        <f>-669.173044511736 -58.3893613499446 -556.597677737159</f>
        <v>-1284.1600835988395</v>
      </c>
      <c r="O935">
        <f>-660.203378464398 -192.939923427204 -529.882592764009</f>
        <v>-1383.025894655611</v>
      </c>
      <c r="P935">
        <f>-684.227430585727 -261.842392217751 -244.809810549845</f>
        <v>-1190.879633353323</v>
      </c>
      <c r="Q935">
        <f>-512.878133354742 -120.053117036053 -337.470902560283</f>
        <v>-970.40215295107794</v>
      </c>
      <c r="R935" t="s">
        <v>10243</v>
      </c>
      <c r="S935" t="s">
        <v>10244</v>
      </c>
      <c r="T935" t="s">
        <v>10245</v>
      </c>
      <c r="U935" t="s">
        <v>10246</v>
      </c>
      <c r="V935">
        <f>-612.10833195539 -118.845968519908 -97.0334634735141</f>
        <v>-827.98776394881202</v>
      </c>
      <c r="W935" t="s">
        <v>10247</v>
      </c>
      <c r="X935" t="s">
        <v>10248</v>
      </c>
      <c r="Y935" t="s">
        <v>10249</v>
      </c>
    </row>
    <row r="936" spans="1:25" x14ac:dyDescent="0.3">
      <c r="A936">
        <v>46750</v>
      </c>
      <c r="B936" t="s">
        <v>10250</v>
      </c>
      <c r="C936">
        <f>-626.530020629583 -24.1250042029262 -97.7342484121697</f>
        <v>-748.38927324467886</v>
      </c>
      <c r="D936">
        <f>-652.302117582906 -30.2283639475183 -210.494077987302</f>
        <v>-893.0245595177264</v>
      </c>
      <c r="E936">
        <f>-663.617565430378 -32.0744904744961 -308.449284169317</f>
        <v>-1004.1413400741911</v>
      </c>
      <c r="F936">
        <f>-670.076235039991 -32.5405665084588 -397.310390832363</f>
        <v>-1099.9271923808128</v>
      </c>
      <c r="G936">
        <f>-672.392840598545 -31.8082932304942 -486.374076226107</f>
        <v>-1190.5752100551463</v>
      </c>
      <c r="H936">
        <f>-671.269848286408 -29.5739695450384 -610.931608491194</f>
        <v>-1311.7754263226402</v>
      </c>
      <c r="I936">
        <f>-642.108261103387 -26.2651069326603 -688.672671949767</f>
        <v>-1357.0460399858143</v>
      </c>
      <c r="J936">
        <f>-674.293375098969 -2.96785770637598 -555.647846828195</f>
        <v>-1232.9090796335399</v>
      </c>
      <c r="K936" t="s">
        <v>10251</v>
      </c>
      <c r="L936" t="s">
        <v>10252</v>
      </c>
      <c r="M936" t="s">
        <v>10253</v>
      </c>
      <c r="N936">
        <f>-669.234697208556 -58.1465008720047 -556.592166431265</f>
        <v>-1283.9733645118258</v>
      </c>
      <c r="O936">
        <f>-660.367347092433 -192.700837728881 -529.882088997376</f>
        <v>-1382.9502738186898</v>
      </c>
      <c r="P936">
        <f>-684.396190176362 -261.606050928756 -244.8102941896</f>
        <v>-1190.8125352947179</v>
      </c>
      <c r="Q936">
        <f>-513.037134251155 -119.883104947527 -337.554779493983</f>
        <v>-970.475018692665</v>
      </c>
      <c r="R936" t="s">
        <v>10254</v>
      </c>
      <c r="S936" t="s">
        <v>10255</v>
      </c>
      <c r="T936" t="s">
        <v>10256</v>
      </c>
      <c r="U936" t="s">
        <v>10257</v>
      </c>
      <c r="V936">
        <f>-612.146031802043 -118.748256614247 -97.0270784599763</f>
        <v>-827.92136687626635</v>
      </c>
      <c r="W936" t="s">
        <v>10258</v>
      </c>
      <c r="X936" t="s">
        <v>10259</v>
      </c>
      <c r="Y936" t="s">
        <v>10260</v>
      </c>
    </row>
    <row r="937" spans="1:25" x14ac:dyDescent="0.3">
      <c r="A937">
        <v>46800</v>
      </c>
      <c r="B937" t="s">
        <v>10261</v>
      </c>
      <c r="C937">
        <f>-626.446962196362 -23.7216284346036 -97.7024629401141</f>
        <v>-747.87105357107976</v>
      </c>
      <c r="D937">
        <f>-652.250647461784 -29.7637208679062 -210.458224799289</f>
        <v>-892.47259312897916</v>
      </c>
      <c r="E937">
        <f>-663.558279578526 -31.559963366182 -308.41516622387</f>
        <v>-1003.5334091685781</v>
      </c>
      <c r="F937">
        <f>-669.995861685842 -31.9811713741428 -397.278227245233</f>
        <v>-1099.2552603052177</v>
      </c>
      <c r="G937">
        <f>-672.277361378695 -31.2051089654924 -486.342375596909</f>
        <v>-1189.8248459410963</v>
      </c>
      <c r="H937">
        <f>-671.090642709402 -28.9102559573573 -610.898236302287</f>
        <v>-1310.8991349690464</v>
      </c>
      <c r="I937">
        <f>-641.930269990873 -25.5682498538815 -688.638355894001</f>
        <v>-1356.1368757387554</v>
      </c>
      <c r="J937">
        <f>-674.118893897277 -2.32892294080034 -555.602830529018</f>
        <v>-1232.0506473670953</v>
      </c>
      <c r="K937" t="s">
        <v>10262</v>
      </c>
      <c r="L937" t="s">
        <v>10263</v>
      </c>
      <c r="M937" t="s">
        <v>10264</v>
      </c>
      <c r="N937">
        <f>-669.106769122798 -57.5113468043082 -556.571822285944</f>
        <v>-1283.1899382130503</v>
      </c>
      <c r="O937">
        <f>-660.366102407039 -192.080151662161 -529.872970755928</f>
        <v>-1382.319224825128</v>
      </c>
      <c r="P937">
        <f>-684.513860557244 -260.832066892345 -244.774127610023</f>
        <v>-1190.120055059612</v>
      </c>
      <c r="Q937">
        <f>-512.832893453406 -119.633622781237 -337.723176656025</f>
        <v>-970.18969289066797</v>
      </c>
      <c r="R937" t="s">
        <v>10265</v>
      </c>
      <c r="S937" t="s">
        <v>10266</v>
      </c>
      <c r="T937" t="s">
        <v>10267</v>
      </c>
      <c r="U937" t="s">
        <v>10268</v>
      </c>
      <c r="V937">
        <f>-612.149733889358 -118.303749080606 -97.0121424664447</f>
        <v>-827.46562543640869</v>
      </c>
      <c r="W937" t="s">
        <v>10269</v>
      </c>
      <c r="X937" t="s">
        <v>10270</v>
      </c>
      <c r="Y937" t="s">
        <v>10271</v>
      </c>
    </row>
    <row r="938" spans="1:25" x14ac:dyDescent="0.3">
      <c r="A938">
        <v>46850</v>
      </c>
      <c r="B938" t="s">
        <v>10272</v>
      </c>
      <c r="C938">
        <f>-626.385145891457 -23.5253384675261 -97.6894992974921</f>
        <v>-747.59998365647527</v>
      </c>
      <c r="D938">
        <f>-652.207647125764 -29.5412397988191 -210.442432896011</f>
        <v>-892.19131982059412</v>
      </c>
      <c r="E938">
        <f>-663.503832728334 -31.307701450281 -308.40135657449</f>
        <v>-1003.2128907531051</v>
      </c>
      <c r="F938">
        <f>-669.919868753938 -31.6989380494226 -397.265902137609</f>
        <v>-1098.8847089409696</v>
      </c>
      <c r="G938">
        <f>-672.168551108077 -30.8896729066037 -486.330663767741</f>
        <v>-1189.3888877824218</v>
      </c>
      <c r="H938">
        <f>-670.924135022138 -28.5456614494235 -610.884975564953</f>
        <v>-1310.3547720365145</v>
      </c>
      <c r="I938">
        <f>-641.743177661099 -25.1872187016318 -688.616685559482</f>
        <v>-1355.5470819222128</v>
      </c>
      <c r="J938">
        <f>-673.96817906584 -1.98530006122974 -555.58044202992</f>
        <v>-1231.5339211569899</v>
      </c>
      <c r="K938" t="s">
        <v>10273</v>
      </c>
      <c r="L938" t="s">
        <v>10274</v>
      </c>
      <c r="M938" t="s">
        <v>10275</v>
      </c>
      <c r="N938">
        <f>-668.975267887615 -57.1690807428747 -556.569133546772</f>
        <v>-1282.7134821772618</v>
      </c>
      <c r="O938">
        <f>-660.288952680997 -191.745257907851 -529.890562018064</f>
        <v>-1381.924772606912</v>
      </c>
      <c r="P938">
        <f>-684.521690750123 -260.508237502361 -244.801797103861</f>
        <v>-1189.831725356345</v>
      </c>
      <c r="Q938">
        <f>-512.678547562677 -119.552315523826 -337.819136113979</f>
        <v>-970.04999920048203</v>
      </c>
      <c r="R938" t="s">
        <v>10276</v>
      </c>
      <c r="S938" t="s">
        <v>10277</v>
      </c>
      <c r="T938" t="s">
        <v>10278</v>
      </c>
      <c r="U938" t="s">
        <v>10279</v>
      </c>
      <c r="V938">
        <f>-612.126728752909 -118.139210686461 -97.0084714777549</f>
        <v>-827.2744109171249</v>
      </c>
      <c r="W938" t="s">
        <v>10280</v>
      </c>
      <c r="X938" t="s">
        <v>10281</v>
      </c>
      <c r="Y938" t="s">
        <v>10282</v>
      </c>
    </row>
    <row r="939" spans="1:25" x14ac:dyDescent="0.3">
      <c r="A939">
        <v>46900</v>
      </c>
      <c r="B939" t="s">
        <v>10283</v>
      </c>
      <c r="C939">
        <f>-626.173254794759 -23.2035845264309 -97.6803828804096</f>
        <v>-747.05722220159953</v>
      </c>
      <c r="D939">
        <f>-651.997895498888 -29.1929657979724 -210.434194586636</f>
        <v>-891.62505588349654</v>
      </c>
      <c r="E939">
        <f>-663.243592630048 -30.917910016881 -308.399683605578</f>
        <v>-1002.561186252507</v>
      </c>
      <c r="F939">
        <f>-669.592530634232 -31.2641174716155 -397.269383536953</f>
        <v>-1098.1260316428006</v>
      </c>
      <c r="G939">
        <f>-671.752195025964 -30.4039158180133 -486.335811162559</f>
        <v>-1188.4919220065362</v>
      </c>
      <c r="H939">
        <f>-670.360597816081 -27.9823313648453 -610.887018525017</f>
        <v>-1309.2299477059432</v>
      </c>
      <c r="I939">
        <f>-641.127218349245 -24.603101386803 -688.598219863347</f>
        <v>-1354.3285395993951</v>
      </c>
      <c r="J939">
        <f>-673.43962650071 -1.45371976885235 -555.569368971922</f>
        <v>-1230.4627152414844</v>
      </c>
      <c r="K939" t="s">
        <v>10284</v>
      </c>
      <c r="L939" t="s">
        <v>10285</v>
      </c>
      <c r="M939" t="s">
        <v>10286</v>
      </c>
      <c r="N939">
        <f>-668.506329979525 -56.6423693076688 -556.587136921987</f>
        <v>-1281.7358362091809</v>
      </c>
      <c r="O939">
        <f>-659.998608472683 -191.234023447714 -529.940189762225</f>
        <v>-1381.172821682622</v>
      </c>
      <c r="P939">
        <f>-684.440679605953 -259.996845225262 -244.869283403135</f>
        <v>-1189.3068082343502</v>
      </c>
      <c r="Q939">
        <f>-512.367661912641 -119.492377873746 -338.144490568957</f>
        <v>-970.00453035534406</v>
      </c>
      <c r="R939" t="s">
        <v>10287</v>
      </c>
      <c r="S939" t="s">
        <v>10288</v>
      </c>
      <c r="T939" t="s">
        <v>10289</v>
      </c>
      <c r="U939" t="s">
        <v>10290</v>
      </c>
      <c r="V939">
        <f>-611.951437320663 -117.831921156482 -97.0092080983912</f>
        <v>-826.79256657553617</v>
      </c>
      <c r="W939" t="s">
        <v>10291</v>
      </c>
      <c r="X939" t="s">
        <v>10292</v>
      </c>
      <c r="Y939" t="s">
        <v>10293</v>
      </c>
    </row>
    <row r="940" spans="1:25" x14ac:dyDescent="0.3">
      <c r="A940">
        <v>46950</v>
      </c>
      <c r="B940" t="s">
        <v>10294</v>
      </c>
      <c r="C940">
        <f>-626.061454619954 -23.1053371953021 -97.6681163537518</f>
        <v>-746.83490816900792</v>
      </c>
      <c r="D940">
        <f>-651.892763989986 -29.0844333086056 -210.420968674398</f>
        <v>-891.39816597298955</v>
      </c>
      <c r="E940">
        <f>-663.121401245051 -30.7987529168367 -308.388412808336</f>
        <v>-1002.3085669702236</v>
      </c>
      <c r="F940">
        <f>-669.445476132057 -31.1353331947041 -397.259949626261</f>
        <v>-1097.840758953022</v>
      </c>
      <c r="G940">
        <f>-671.570895203887 -30.2656506709104 -486.327072230266</f>
        <v>-1188.1636181050635</v>
      </c>
      <c r="H940">
        <f>-670.121303631185 -27.8314509053887 -610.877559498199</f>
        <v>-1308.8303140347728</v>
      </c>
      <c r="I940">
        <f>-640.863744728003 -24.4446148404929 -688.579161646525</f>
        <v>-1353.887521215021</v>
      </c>
      <c r="J940">
        <f>-673.211105367144 -1.30699252614545 -555.558210307202</f>
        <v>-1230.0763082004914</v>
      </c>
      <c r="K940" t="s">
        <v>10295</v>
      </c>
      <c r="L940" t="s">
        <v>10296</v>
      </c>
      <c r="M940" t="s">
        <v>10297</v>
      </c>
      <c r="N940">
        <f>-668.307310105631 -56.4982403389791 -556.579771226862</f>
        <v>-1281.3853216714722</v>
      </c>
      <c r="O940">
        <f>-659.882996125532 -191.096390120139 -529.929995390694</f>
        <v>-1380.9093816363652</v>
      </c>
      <c r="P940">
        <f>-684.376684720386 -259.801277700075 -244.849413923062</f>
        <v>-1189.027376343523</v>
      </c>
      <c r="Q940">
        <f>-512.239428611119 -119.506725598062 -338.321873982227</f>
        <v>-970.06802819140796</v>
      </c>
      <c r="R940" t="s">
        <v>10298</v>
      </c>
      <c r="S940" t="s">
        <v>10299</v>
      </c>
      <c r="T940" t="s">
        <v>10300</v>
      </c>
      <c r="U940" t="s">
        <v>10301</v>
      </c>
      <c r="V940">
        <f>-611.866951865953 -117.751127626762 -96.9997762918573</f>
        <v>-826.61785578457227</v>
      </c>
      <c r="W940" t="s">
        <v>10302</v>
      </c>
      <c r="X940" t="s">
        <v>10303</v>
      </c>
      <c r="Y940" t="s">
        <v>10304</v>
      </c>
    </row>
    <row r="941" spans="1:25" x14ac:dyDescent="0.3">
      <c r="A941">
        <v>47000</v>
      </c>
      <c r="B941" t="s">
        <v>10305</v>
      </c>
      <c r="C941">
        <f>-625.862100289153 -22.9796945737603 -97.6281774080433</f>
        <v>-746.46997227095653</v>
      </c>
      <c r="D941">
        <f>-651.701611716304 -28.9080967746286 -210.381858497606</f>
        <v>-890.99156698853858</v>
      </c>
      <c r="E941">
        <f>-662.879766928006 -30.5973793340931 -308.355587606011</f>
        <v>-1001.8327338681102</v>
      </c>
      <c r="F941">
        <f>-669.134996394612 -30.9188772559612 -397.231975326924</f>
        <v>-1097.2858489774972</v>
      </c>
      <c r="G941">
        <f>-671.168242419937 -30.042296360682 -486.301265278595</f>
        <v>-1187.511804059214</v>
      </c>
      <c r="H941">
        <f>-669.565752492903 -27.6080885049205 -610.849764522095</f>
        <v>-1308.0236055199184</v>
      </c>
      <c r="I941">
        <f>-640.247904353853 -24.2149599870277 -688.52833543857</f>
        <v>-1352.9911997794507</v>
      </c>
      <c r="J941">
        <f>-672.69734947584 -1.0813504667567 -555.533897799403</f>
        <v>-1229.3125977419998</v>
      </c>
      <c r="K941" t="s">
        <v>10306</v>
      </c>
      <c r="L941" t="s">
        <v>10307</v>
      </c>
      <c r="M941" t="s">
        <v>10308</v>
      </c>
      <c r="N941">
        <f>-667.844470502993 -56.277258944732 -556.550266909279</f>
        <v>-1280.671996357004</v>
      </c>
      <c r="O941">
        <f>-659.607186171629 -190.890291761592 -529.902511690308</f>
        <v>-1380.3999896235291</v>
      </c>
      <c r="P941">
        <f>-684.270293433093 -259.160667671532 -244.7321716674</f>
        <v>-1188.1631327720249</v>
      </c>
      <c r="Q941">
        <f>-511.715288753142 -119.626448564095 -338.571731670618</f>
        <v>-969.91346898785491</v>
      </c>
      <c r="R941" t="s">
        <v>10309</v>
      </c>
      <c r="S941" t="s">
        <v>10310</v>
      </c>
      <c r="T941" t="s">
        <v>10311</v>
      </c>
      <c r="U941" t="s">
        <v>10312</v>
      </c>
      <c r="V941">
        <f>-611.748118509569 -117.587986576629 -96.9903171701798</f>
        <v>-826.32642225637778</v>
      </c>
      <c r="W941" t="s">
        <v>10313</v>
      </c>
      <c r="X941" t="s">
        <v>10314</v>
      </c>
      <c r="Y941" t="s">
        <v>10315</v>
      </c>
    </row>
    <row r="942" spans="1:25" x14ac:dyDescent="0.3">
      <c r="A942">
        <v>47050</v>
      </c>
      <c r="B942" t="s">
        <v>10316</v>
      </c>
      <c r="C942">
        <f>-625.798143150793 -22.9250579189745 -97.6129301318884</f>
        <v>-746.33613120165592</v>
      </c>
      <c r="D942">
        <f>-651.629664995872 -28.8334068522106 -210.369457021482</f>
        <v>-890.83252886956461</v>
      </c>
      <c r="E942">
        <f>-662.767966494732 -30.5064556809334 -308.3480295476</f>
        <v>-1001.6224517232654</v>
      </c>
      <c r="F942">
        <f>-668.973752781915 -30.8140641548534 -397.227950181779</f>
        <v>-1097.0157671185475</v>
      </c>
      <c r="G942">
        <f>-670.944128392968 -29.9250089778548 -486.298519694768</f>
        <v>-1187.1676570655907</v>
      </c>
      <c r="H942">
        <f>-669.239564101921 -27.4747095404939 -610.845358167345</f>
        <v>-1307.55963180976</v>
      </c>
      <c r="I942">
        <f>-639.888962133696 -24.0747949682429 -688.511432775426</f>
        <v>-1352.475189877365</v>
      </c>
      <c r="J942">
        <f>-672.40227402088 -0.953961638521378 -555.528502411398</f>
        <v>-1228.8847380707994</v>
      </c>
      <c r="K942" t="s">
        <v>10317</v>
      </c>
      <c r="L942" t="s">
        <v>10318</v>
      </c>
      <c r="M942" t="s">
        <v>10319</v>
      </c>
      <c r="N942">
        <f>-667.577044803271 -56.1520071084178 -556.548373904462</f>
        <v>-1280.2774258161508</v>
      </c>
      <c r="O942">
        <f>-659.419203084768 -190.767173203865 -529.898645953698</f>
        <v>-1380.085022242331</v>
      </c>
      <c r="P942">
        <f>-684.180766709775 -258.99340953672 -244.726431890463</f>
        <v>-1187.900608136958</v>
      </c>
      <c r="Q942">
        <f>-511.574608012629 -119.61439398256 -338.702421733679</f>
        <v>-969.89142372886806</v>
      </c>
      <c r="R942" t="s">
        <v>10320</v>
      </c>
      <c r="S942" t="s">
        <v>10321</v>
      </c>
      <c r="T942" t="s">
        <v>10322</v>
      </c>
      <c r="U942" t="s">
        <v>10323</v>
      </c>
      <c r="V942">
        <f>-611.725318761709 -117.55124971684 -96.9840689023976</f>
        <v>-826.2606373809466</v>
      </c>
      <c r="W942" t="s">
        <v>10324</v>
      </c>
      <c r="X942" t="s">
        <v>10325</v>
      </c>
      <c r="Y942" t="s">
        <v>10326</v>
      </c>
    </row>
    <row r="943" spans="1:25" x14ac:dyDescent="0.3">
      <c r="A943">
        <v>47100</v>
      </c>
      <c r="B943" t="s">
        <v>10327</v>
      </c>
      <c r="C943">
        <f>-625.636306731113 -22.7899113558465 -97.601785522894</f>
        <v>-746.0280036098535</v>
      </c>
      <c r="D943">
        <f>-651.434143964403 -28.6678564541 -210.367623621175</f>
        <v>-890.46962403967802</v>
      </c>
      <c r="E943">
        <f>-662.482720193556 -30.3195145269249 -308.356695711147</f>
        <v>-1001.1589304316278</v>
      </c>
      <c r="F943">
        <f>-668.582632035926 -30.6099863579011 -397.244033095506</f>
        <v>-1096.4366514893331</v>
      </c>
      <c r="G943">
        <f>-670.422479402806 -29.7073081489962 -486.31717471524</f>
        <v>-1186.4469622670422</v>
      </c>
      <c r="H943">
        <f>-668.50946062084 -27.2421254477438 -610.860664133595</f>
        <v>-1306.6122502021788</v>
      </c>
      <c r="I943">
        <f>-639.082157748051 -23.8354569277558 -688.497450095425</f>
        <v>-1351.4150647712318</v>
      </c>
      <c r="J943">
        <f>-671.738220872041 -0.725563490884952 -555.545552386517</f>
        <v>-1228.0093367494428</v>
      </c>
      <c r="K943" t="s">
        <v>10328</v>
      </c>
      <c r="L943" t="s">
        <v>10329</v>
      </c>
      <c r="M943" t="s">
        <v>10330</v>
      </c>
      <c r="N943">
        <f>-666.964311557289 -55.9282559935424 -556.564861183352</f>
        <v>-1279.4574287341834</v>
      </c>
      <c r="O943">
        <f>-658.967399623564 -190.557513644761 -529.948996998731</f>
        <v>-1379.473910267056</v>
      </c>
      <c r="P943">
        <f>-683.961471401158 -258.730997282953 -244.784363710615</f>
        <v>-1187.476832394726</v>
      </c>
      <c r="Q943">
        <f>-511.180464516285 -119.629666605942 -338.85046488341</f>
        <v>-969.66059600563699</v>
      </c>
      <c r="R943" t="s">
        <v>10331</v>
      </c>
      <c r="S943" t="s">
        <v>10332</v>
      </c>
      <c r="T943" t="s">
        <v>10333</v>
      </c>
      <c r="U943" t="s">
        <v>10334</v>
      </c>
      <c r="V943">
        <f>-611.572098166968 -117.409608458665 -96.9784632088487</f>
        <v>-825.96016983448169</v>
      </c>
      <c r="W943" t="s">
        <v>10335</v>
      </c>
      <c r="X943" t="s">
        <v>10336</v>
      </c>
      <c r="Y943" t="s">
        <v>10337</v>
      </c>
    </row>
    <row r="944" spans="1:25" x14ac:dyDescent="0.3">
      <c r="A944">
        <v>47150</v>
      </c>
      <c r="B944" t="s">
        <v>10338</v>
      </c>
      <c r="C944">
        <f>-625.535015099561 -22.6952821534403 -97.5857645838804</f>
        <v>-745.81606183688166</v>
      </c>
      <c r="D944">
        <f>-651.311389905882 -28.5625270493151 -210.357012369852</f>
        <v>-890.23092932504915</v>
      </c>
      <c r="E944">
        <f>-662.320602199326 -30.2141782354568 -308.350636811591</f>
        <v>-1000.8854172463738</v>
      </c>
      <c r="F944">
        <f>-668.376419874917 -30.5093307096222 -397.240866864542</f>
        <v>-1096.1266174490811</v>
      </c>
      <c r="G944">
        <f>-670.163544203499 -29.6163408404407 -486.315369881885</f>
        <v>-1186.0952549258245</v>
      </c>
      <c r="H944">
        <f>-668.167856421247 -27.1705052440675 -610.857854582102</f>
        <v>-1306.1962162474165</v>
      </c>
      <c r="I944">
        <f>-638.700903408306 -23.7797225672482 -688.48012120246</f>
        <v>-1350.9607471780141</v>
      </c>
      <c r="J944">
        <f>-671.4150699157 -0.643733911997515 -555.548700686598</f>
        <v>-1227.6075045142954</v>
      </c>
      <c r="K944" t="s">
        <v>10339</v>
      </c>
      <c r="L944" t="s">
        <v>10340</v>
      </c>
      <c r="M944" t="s">
        <v>10341</v>
      </c>
      <c r="N944">
        <f>-666.676942816017 -55.8497554562812 -556.55690340215</f>
        <v>-1279.0836016744483</v>
      </c>
      <c r="O944">
        <f>-658.754789810858 -190.483025557674 -529.935030111148</f>
        <v>-1379.1728454796798</v>
      </c>
      <c r="P944">
        <f>-683.815426895013 -258.648711626835 -244.774370279993</f>
        <v>-1187.2385088018411</v>
      </c>
      <c r="Q944">
        <f>-510.986039156343 -119.61778444731 -338.855471577568</f>
        <v>-969.45929518122102</v>
      </c>
      <c r="R944" t="s">
        <v>10342</v>
      </c>
      <c r="S944" t="s">
        <v>10343</v>
      </c>
      <c r="T944" t="s">
        <v>10344</v>
      </c>
      <c r="U944" t="s">
        <v>10345</v>
      </c>
      <c r="V944">
        <f>-611.515633889466 -117.296940429133 -96.9777496243991</f>
        <v>-825.79032394299804</v>
      </c>
      <c r="W944" t="s">
        <v>10346</v>
      </c>
      <c r="X944" t="s">
        <v>10347</v>
      </c>
      <c r="Y944" t="s">
        <v>10348</v>
      </c>
    </row>
    <row r="945" spans="1:25" x14ac:dyDescent="0.3">
      <c r="A945">
        <v>47200</v>
      </c>
      <c r="B945" t="s">
        <v>10349</v>
      </c>
      <c r="C945">
        <f>-625.261104916482 -22.6966838216804 -97.5402588549016</f>
        <v>-745.49804759306403</v>
      </c>
      <c r="D945">
        <f>-651.005928257596 -28.5340843628196 -210.320363110505</f>
        <v>-889.86037573092062</v>
      </c>
      <c r="E945">
        <f>-661.942961933784 -30.1758020519806 -308.322005940514</f>
        <v>-1000.4407699262786</v>
      </c>
      <c r="F945">
        <f>-667.915498391296 -30.4688658906609 -397.218007200573</f>
        <v>-1095.6023714825299</v>
      </c>
      <c r="G945">
        <f>-669.600912933621 -29.5814851485975 -486.294461104951</f>
        <v>-1185.4768591871693</v>
      </c>
      <c r="H945">
        <f>-667.44421338497 -27.1522741301353 -610.834713062171</f>
        <v>-1305.4312005772763</v>
      </c>
      <c r="I945">
        <f>-637.909390465076 -23.7919420169305 -688.432461091879</f>
        <v>-1350.1337935738854</v>
      </c>
      <c r="J945">
        <f>-670.740305637768 -0.616347795224556 -555.532871758928</f>
        <v>-1226.8895251919205</v>
      </c>
      <c r="K945" t="s">
        <v>10350</v>
      </c>
      <c r="L945" t="s">
        <v>10351</v>
      </c>
      <c r="M945" t="s">
        <v>10352</v>
      </c>
      <c r="N945">
        <f>-666.046289327683 -55.8263596856594 -556.528439416659</f>
        <v>-1278.4010884300014</v>
      </c>
      <c r="O945">
        <f>-658.250556430699 -190.466732257823 -529.896599335645</f>
        <v>-1378.613888024167</v>
      </c>
      <c r="P945">
        <f>-683.550828247136 -258.485377586573 -244.721869893707</f>
        <v>-1186.7580757274161</v>
      </c>
      <c r="Q945">
        <f>-510.548993265969 -119.656265665318 -338.784154640725</f>
        <v>-968.98941357201193</v>
      </c>
      <c r="R945" t="s">
        <v>10353</v>
      </c>
      <c r="S945" t="s">
        <v>10354</v>
      </c>
      <c r="T945" t="s">
        <v>10355</v>
      </c>
      <c r="U945" t="s">
        <v>10356</v>
      </c>
      <c r="V945">
        <f>-611.30850307621 -117.313092572799 -96.9491604430131</f>
        <v>-825.57075609202195</v>
      </c>
      <c r="W945" t="s">
        <v>10357</v>
      </c>
      <c r="X945" t="s">
        <v>10358</v>
      </c>
      <c r="Y945" t="s">
        <v>10359</v>
      </c>
    </row>
    <row r="946" spans="1:25" x14ac:dyDescent="0.3">
      <c r="A946">
        <v>47250</v>
      </c>
      <c r="B946" t="s">
        <v>10360</v>
      </c>
      <c r="C946">
        <f>-625.132053182963 -22.6703968385305 -97.5308093172291</f>
        <v>-745.33325933872254</v>
      </c>
      <c r="D946">
        <f>-650.869609401559 -28.4840668324969 -210.313762808266</f>
        <v>-889.66743904232192</v>
      </c>
      <c r="E946">
        <f>-661.781404476092 -30.1164424450765 -308.318592678004</f>
        <v>-1000.2164395991724</v>
      </c>
      <c r="F946">
        <f>-667.723327673814 -30.405605821172 -397.216491947118</f>
        <v>-1095.345425442104</v>
      </c>
      <c r="G946">
        <f>-669.370544816633 -29.5188359530437 -486.293776925926</f>
        <v>-1185.1831576956026</v>
      </c>
      <c r="H946">
        <f>-667.152596440499 -27.0957444931651 -610.832842966978</f>
        <v>-1305.0811839006419</v>
      </c>
      <c r="I946">
        <f>-637.588883181107 -23.7502312321328 -688.420486793905</f>
        <v>-1349.7596012071449</v>
      </c>
      <c r="J946">
        <f>-670.465694542294 -0.55615148794891 -555.533795840012</f>
        <v>-1226.5556418702549</v>
      </c>
      <c r="K946" t="s">
        <v>10361</v>
      </c>
      <c r="L946" t="s">
        <v>10362</v>
      </c>
      <c r="M946" t="s">
        <v>10363</v>
      </c>
      <c r="N946">
        <f>-665.791529932678 -55.7678782226651 -556.524840351047</f>
        <v>-1278.0842485063902</v>
      </c>
      <c r="O946">
        <f>-658.058639270302 -190.411766812613 -529.892429109013</f>
        <v>-1378.3628351919281</v>
      </c>
      <c r="P946">
        <f>-683.479594517098 -258.295235834068 -244.696256206093</f>
        <v>-1186.471086557259</v>
      </c>
      <c r="Q946">
        <f>-510.281024315085 -119.688019941204 -338.72371059352</f>
        <v>-968.69275484980903</v>
      </c>
      <c r="R946" t="s">
        <v>10364</v>
      </c>
      <c r="S946" t="s">
        <v>10365</v>
      </c>
      <c r="T946" t="s">
        <v>10366</v>
      </c>
      <c r="U946" t="s">
        <v>10367</v>
      </c>
      <c r="V946">
        <f>-611.204985050482 -117.28016258719 -96.9470448211231</f>
        <v>-825.43219245879516</v>
      </c>
      <c r="W946" t="s">
        <v>10368</v>
      </c>
      <c r="X946" t="s">
        <v>10369</v>
      </c>
      <c r="Y946" t="s">
        <v>10370</v>
      </c>
    </row>
    <row r="947" spans="1:25" x14ac:dyDescent="0.3">
      <c r="A947">
        <v>47300</v>
      </c>
      <c r="B947" t="s">
        <v>10371</v>
      </c>
      <c r="C947">
        <f>-624.843586033139 -22.7882157548181 -97.5145540723827</f>
        <v>-745.14635586033978</v>
      </c>
      <c r="D947">
        <f>-650.563842706126 -28.5694944481575 -210.303056954979</f>
        <v>-889.43639410926244</v>
      </c>
      <c r="E947">
        <f>-661.425920297506 -30.1792500188119 -308.313719535607</f>
        <v>-999.91888985192486</v>
      </c>
      <c r="F947">
        <f>-667.308569257556 -30.4505689198184 -397.21571397164</f>
        <v>-1094.9748521490144</v>
      </c>
      <c r="G947">
        <f>-668.882422620212 -29.5491951284112 -486.294086259443</f>
        <v>-1184.7257040080663</v>
      </c>
      <c r="H947">
        <f>-666.547035791574 -27.1095488805629 -610.830817885218</f>
        <v>-1304.4874025573549</v>
      </c>
      <c r="I947">
        <f>-636.92494977063 -23.7814365107363 -688.396862186807</f>
        <v>-1349.1032484681732</v>
      </c>
      <c r="J947">
        <f>-669.889471083743 -0.575373438087126 -555.530979932894</f>
        <v>-1225.9958244547242</v>
      </c>
      <c r="K947" t="s">
        <v>10372</v>
      </c>
      <c r="L947" t="s">
        <v>10373</v>
      </c>
      <c r="M947" t="s">
        <v>10374</v>
      </c>
      <c r="N947">
        <f>-665.260037927212 -55.7908782336948 -556.525745156238</f>
        <v>-1277.576661317145</v>
      </c>
      <c r="O947">
        <f>-657.6406208162 -190.441994591141 -529.895790203794</f>
        <v>-1377.978405611135</v>
      </c>
      <c r="P947">
        <f>-683.077552715799 -258.322561411905 -244.700473878884</f>
        <v>-1186.1005880065879</v>
      </c>
      <c r="Q947">
        <f>-509.919708491098 -119.760066867121 -338.86873195232</f>
        <v>-968.54850731053898</v>
      </c>
      <c r="R947" t="s">
        <v>10375</v>
      </c>
      <c r="S947" t="s">
        <v>10376</v>
      </c>
      <c r="T947" t="s">
        <v>10377</v>
      </c>
      <c r="U947" t="s">
        <v>10378</v>
      </c>
      <c r="V947">
        <f>-610.975839394892 -117.444661769684 -96.9418723634556</f>
        <v>-825.36237352803153</v>
      </c>
      <c r="W947" t="s">
        <v>10379</v>
      </c>
      <c r="X947" t="s">
        <v>10380</v>
      </c>
      <c r="Y947" t="s">
        <v>10381</v>
      </c>
    </row>
    <row r="948" spans="1:25" x14ac:dyDescent="0.3">
      <c r="A948">
        <v>47350</v>
      </c>
      <c r="B948" t="s">
        <v>10382</v>
      </c>
      <c r="C948">
        <f>-624.672839243924 -22.789774961595 -97.4936024699081</f>
        <v>-744.95621667542707</v>
      </c>
      <c r="D948">
        <f>-650.394707984812 -28.552353885 -210.282749887828</f>
        <v>-889.22981175764005</v>
      </c>
      <c r="E948">
        <f>-661.234250743837 -30.1448908597954 -308.296208590367</f>
        <v>-999.67535019399941</v>
      </c>
      <c r="F948">
        <f>-667.08714337154 -30.399595782183 -397.200259276112</f>
        <v>-1094.6869984298351</v>
      </c>
      <c r="G948">
        <f>-668.621344154728 -29.4812638845679 -486.27908711541</f>
        <v>-1184.381695154706</v>
      </c>
      <c r="H948">
        <f>-666.220557920492 -27.0173927628898 -610.814174638326</f>
        <v>-1304.0521253217078</v>
      </c>
      <c r="I948">
        <f>-636.566585687431 -23.6862641837602 -688.36772246575</f>
        <v>-1348.6205723369412</v>
      </c>
      <c r="J948">
        <f>-669.585235775561 -0.493334873836147 -555.510624498399</f>
        <v>-1225.5891951477961</v>
      </c>
      <c r="K948" t="s">
        <v>10383</v>
      </c>
      <c r="L948" t="s">
        <v>10384</v>
      </c>
      <c r="M948" t="s">
        <v>10385</v>
      </c>
      <c r="N948">
        <f>-664.9688280782 -55.7099135928158 -556.514071949984</f>
        <v>-1277.1928136209999</v>
      </c>
      <c r="O948">
        <f>-657.388090900523 -190.368375665533 -529.908732867658</f>
        <v>-1377.665199433714</v>
      </c>
      <c r="P948">
        <f>-682.75366449979 -258.349023572812 -244.730816503053</f>
        <v>-1185.8335045756548</v>
      </c>
      <c r="Q948">
        <f>-509.673959469025 -119.723074640345 -338.949575891196</f>
        <v>-968.34661000056599</v>
      </c>
      <c r="R948" t="s">
        <v>10386</v>
      </c>
      <c r="S948" t="s">
        <v>10387</v>
      </c>
      <c r="T948" t="s">
        <v>10388</v>
      </c>
      <c r="U948" t="s">
        <v>10389</v>
      </c>
      <c r="V948">
        <f>-610.843747870753 -117.453472742476 -96.9271515221551</f>
        <v>-825.2243721353841</v>
      </c>
      <c r="W948" t="s">
        <v>10390</v>
      </c>
      <c r="X948" t="s">
        <v>10391</v>
      </c>
      <c r="Y948" t="s">
        <v>10392</v>
      </c>
    </row>
    <row r="949" spans="1:25" x14ac:dyDescent="0.3">
      <c r="A949">
        <v>47400</v>
      </c>
      <c r="B949" t="s">
        <v>10393</v>
      </c>
      <c r="C949">
        <f>-624.490205031784 -22.8256929178065 -97.4751598183733</f>
        <v>-744.79105776796371</v>
      </c>
      <c r="D949">
        <f>-650.21854138846 -28.5665265999226 -210.2640011853</f>
        <v>-889.0490691736826</v>
      </c>
      <c r="E949">
        <f>-661.037736191247 -30.13874175565 -308.279888807926</f>
        <v>-999.45636675482297</v>
      </c>
      <c r="F949">
        <f>-666.86180307547 -30.3746144914967 -397.185895196494</f>
        <v>-1094.4223127634607</v>
      </c>
      <c r="G949">
        <f>-668.356789131506 -29.436630731997 -486.265229048162</f>
        <v>-1184.0586489116649</v>
      </c>
      <c r="H949">
        <f>-665.890400199007 -26.9446268158999 -610.798530610418</f>
        <v>-1303.633557625325</v>
      </c>
      <c r="I949">
        <f>-636.215037850689 -23.6059903942351 -688.343601195272</f>
        <v>-1348.164629440196</v>
      </c>
      <c r="J949">
        <f>-669.280454872422 -0.432810087312873 -555.49061819766</f>
        <v>-1225.2038831573948</v>
      </c>
      <c r="K949" t="s">
        <v>10394</v>
      </c>
      <c r="L949" t="s">
        <v>10395</v>
      </c>
      <c r="M949" t="s">
        <v>10396</v>
      </c>
      <c r="N949">
        <f>-664.671124552913 -55.6496359907439 -556.504319893467</f>
        <v>-1276.8250804371241</v>
      </c>
      <c r="O949">
        <f>-657.110986733938 -190.315518908162 -529.92532625772</f>
        <v>-1377.3518318998199</v>
      </c>
      <c r="P949">
        <f>-682.524915626697 -258.461728726426 -244.791284058143</f>
        <v>-1185.777928411266</v>
      </c>
      <c r="Q949">
        <f>-509.447956237453 -119.822918531564 -338.995966282968</f>
        <v>-968.26684105198501</v>
      </c>
      <c r="R949" t="s">
        <v>10397</v>
      </c>
      <c r="S949" t="s">
        <v>10398</v>
      </c>
      <c r="T949" t="s">
        <v>10399</v>
      </c>
      <c r="U949" t="s">
        <v>10400</v>
      </c>
      <c r="V949">
        <f>-610.698266281658 -117.501017341745 -96.9202613084221</f>
        <v>-825.11954493182509</v>
      </c>
      <c r="W949" t="s">
        <v>10401</v>
      </c>
      <c r="X949" t="s">
        <v>10402</v>
      </c>
      <c r="Y949" t="s">
        <v>10403</v>
      </c>
    </row>
    <row r="950" spans="1:25" x14ac:dyDescent="0.3">
      <c r="A950">
        <v>47450</v>
      </c>
      <c r="B950" t="s">
        <v>10404</v>
      </c>
      <c r="C950">
        <f>-624.104695215551 -22.7010166551479 -97.4230082986157</f>
        <v>-744.22872016931467</v>
      </c>
      <c r="D950">
        <f>-649.791918282868 -28.4166247604153 -210.222454758943</f>
        <v>-888.43099780222633</v>
      </c>
      <c r="E950">
        <f>-660.559515214281 -29.9600348040856 -308.244513970257</f>
        <v>-998.76406398862355</v>
      </c>
      <c r="F950">
        <f>-666.330246089103 -30.1671910617242 -397.154062533121</f>
        <v>-1093.6514996839483</v>
      </c>
      <c r="G950">
        <f>-667.765279729192 -29.1983433350742 -486.234045467547</f>
        <v>-1183.1976685318132</v>
      </c>
      <c r="H950">
        <f>-665.207872753398 -26.6611873388229 -610.764420999462</f>
        <v>-1302.6334810916828</v>
      </c>
      <c r="I950">
        <f>-635.512677358326 -23.2919259077973 -688.300791188023</f>
        <v>-1347.1053944541463</v>
      </c>
      <c r="J950">
        <f>-668.627498093907 -0.16854794677397 -555.449386819856</f>
        <v>-1224.245432860537</v>
      </c>
      <c r="K950" t="s">
        <v>10405</v>
      </c>
      <c r="L950" t="s">
        <v>10406</v>
      </c>
      <c r="M950" t="s">
        <v>10407</v>
      </c>
      <c r="N950">
        <f>-664.039067047123 -55.386758629862 -556.480285068092</f>
        <v>-1275.9061107450771</v>
      </c>
      <c r="O950">
        <f>-656.595202909673 -190.066894089773 -529.947341424244</f>
        <v>-1376.6094384236899</v>
      </c>
      <c r="P950">
        <f>-682.197380534709 -258.205142809814 -244.828175216845</f>
        <v>-1185.2306985613682</v>
      </c>
      <c r="Q950">
        <f>-508.815648483036 -119.871671078492 -338.921202678953</f>
        <v>-967.60852224048108</v>
      </c>
      <c r="R950" t="s">
        <v>10408</v>
      </c>
      <c r="S950" t="s">
        <v>10409</v>
      </c>
      <c r="T950" t="s">
        <v>10410</v>
      </c>
      <c r="U950" t="s">
        <v>10411</v>
      </c>
      <c r="V950">
        <f>-610.338177916246 -117.310311966924 -96.8863053222301</f>
        <v>-824.53479520540009</v>
      </c>
      <c r="W950" t="s">
        <v>10412</v>
      </c>
      <c r="X950" t="s">
        <v>10413</v>
      </c>
      <c r="Y950" t="s">
        <v>10414</v>
      </c>
    </row>
    <row r="951" spans="1:25" x14ac:dyDescent="0.3">
      <c r="A951">
        <v>47500</v>
      </c>
      <c r="B951" t="s">
        <v>10415</v>
      </c>
      <c r="C951">
        <f>-623.713089756726 -22.6002065104658 -97.3683489808287</f>
        <v>-743.68164524802057</v>
      </c>
      <c r="D951">
        <f>-649.334608845887 -28.2880162170932 -210.18414875823</f>
        <v>-887.80677382121019</v>
      </c>
      <c r="E951">
        <f>-660.038463739835 -29.8135044064372 -308.213637851596</f>
        <v>-998.06560599786826</v>
      </c>
      <c r="F951">
        <f>-665.748581939729 -30.0067419445336 -397.126988151019</f>
        <v>-1092.8823120352815</v>
      </c>
      <c r="G951">
        <f>-667.120265243726 -29.0267596638603 -486.207745986076</f>
        <v>-1182.3547708936621</v>
      </c>
      <c r="H951">
        <f>-664.471526921301 -26.4768451672674 -610.736126172692</f>
        <v>-1301.6844982612604</v>
      </c>
      <c r="I951">
        <f>-634.731468656628 -23.0939268035927 -688.254604029271</f>
        <v>-1346.0799994894917</v>
      </c>
      <c r="J951" t="s">
        <v>10416</v>
      </c>
      <c r="K951" t="s">
        <v>10417</v>
      </c>
      <c r="L951" t="s">
        <v>10418</v>
      </c>
      <c r="M951" t="s">
        <v>10419</v>
      </c>
      <c r="N951">
        <f>-663.36519048534 -55.2097389458671 -556.454393717245</f>
        <v>-1275.029323148452</v>
      </c>
      <c r="O951">
        <f>-656.060010667126 -189.895471887587 -529.919033256876</f>
        <v>-1375.8745158115889</v>
      </c>
      <c r="P951">
        <f>-681.832241583477 -257.957261663229 -244.797013309013</f>
        <v>-1184.5865165557191</v>
      </c>
      <c r="Q951">
        <f>-508.328211962791 -119.801486258585 -338.925653090302</f>
        <v>-967.0553513116779</v>
      </c>
      <c r="R951" t="s">
        <v>10420</v>
      </c>
      <c r="S951" t="s">
        <v>10421</v>
      </c>
      <c r="T951" t="s">
        <v>10422</v>
      </c>
      <c r="U951" t="s">
        <v>10423</v>
      </c>
      <c r="V951">
        <f>-610.023638517862 -117.209646673693 -96.8362804586035</f>
        <v>-824.06956565015844</v>
      </c>
      <c r="W951" t="s">
        <v>10424</v>
      </c>
      <c r="X951" t="s">
        <v>10425</v>
      </c>
      <c r="Y951" t="s">
        <v>10426</v>
      </c>
    </row>
    <row r="952" spans="1:25" x14ac:dyDescent="0.3">
      <c r="A952">
        <v>47550</v>
      </c>
      <c r="B952" t="s">
        <v>10427</v>
      </c>
      <c r="C952">
        <f>-623.496127984776 -22.5353391910571 -97.3378659314409</f>
        <v>-743.36933310727397</v>
      </c>
      <c r="D952">
        <f>-649.080862617389 -28.1926926619117 -210.163453056487</f>
        <v>-887.43700833578771</v>
      </c>
      <c r="E952">
        <f>-659.7518462492 -29.7113128450314 -308.196579858464</f>
        <v>-997.65973895269542</v>
      </c>
      <c r="F952">
        <f>-665.432241266641 -29.9053988292796 -397.111925496407</f>
        <v>-1092.4495655923276</v>
      </c>
      <c r="G952">
        <f>-666.774060124667 -28.9338076275451 -486.193399843337</f>
        <v>-1181.9012675955491</v>
      </c>
      <c r="H952">
        <f>-664.083661982829 -26.4037066698968 -610.721163680056</f>
        <v>-1301.2085323327817</v>
      </c>
      <c r="I952">
        <f>-634.313940182412 -23.0378039332038 -688.228899817331</f>
        <v>-1345.5806439329467</v>
      </c>
      <c r="J952" t="s">
        <v>10428</v>
      </c>
      <c r="K952" t="s">
        <v>10429</v>
      </c>
      <c r="L952" t="s">
        <v>10430</v>
      </c>
      <c r="M952" t="s">
        <v>10431</v>
      </c>
      <c r="N952">
        <f>-663.009888037198 -55.1291634184012 -556.434931711169</f>
        <v>-1274.5739831667684</v>
      </c>
      <c r="O952">
        <f>-655.792853233229 -189.814251689554 -529.866328237023</f>
        <v>-1375.4734331598061</v>
      </c>
      <c r="P952">
        <f>-681.631463519192 -257.837165575041 -244.74098297714</f>
        <v>-1184.2096120713732</v>
      </c>
      <c r="Q952">
        <f>-508.057659467351 -119.787104406797 -338.896115624876</f>
        <v>-966.740879499024</v>
      </c>
      <c r="R952" t="s">
        <v>10432</v>
      </c>
      <c r="S952" t="s">
        <v>10433</v>
      </c>
      <c r="T952" t="s">
        <v>10434</v>
      </c>
      <c r="U952" t="s">
        <v>10435</v>
      </c>
      <c r="V952">
        <f>-609.873178345881 -117.167185019675 -96.8014605327753</f>
        <v>-823.84182389833131</v>
      </c>
      <c r="W952" t="s">
        <v>10436</v>
      </c>
      <c r="X952" t="s">
        <v>10437</v>
      </c>
      <c r="Y952" t="s">
        <v>10438</v>
      </c>
    </row>
    <row r="953" spans="1:25" x14ac:dyDescent="0.3">
      <c r="A953">
        <v>47600</v>
      </c>
      <c r="B953" t="s">
        <v>10439</v>
      </c>
      <c r="C953">
        <f>-623.043570705749 -22.2587672698251 -97.2712999804211</f>
        <v>-742.57363795599508</v>
      </c>
      <c r="D953">
        <f>-648.58381443075 -27.8469465741146 -210.11057691126</f>
        <v>-886.54133791612458</v>
      </c>
      <c r="E953">
        <f>-659.184287153398 -29.357181322315 -308.151381673721</f>
        <v>-996.69285014943398</v>
      </c>
      <c r="F953">
        <f>-664.788489456555 -29.5635557701962 -397.071533308677</f>
        <v>-1091.4235785354281</v>
      </c>
      <c r="G953">
        <f>-666.042058429184 -28.6244257258836 -486.154565789963</f>
        <v>-1180.8210499450306</v>
      </c>
      <c r="H953">
        <f>-663.216072172395 -26.1606853778612 -610.680682337459</f>
        <v>-1300.0574398877152</v>
      </c>
      <c r="I953">
        <f>-633.368473550404 -22.8730023985252 -688.161983768612</f>
        <v>-1344.4034597175412</v>
      </c>
      <c r="J953" t="s">
        <v>10440</v>
      </c>
      <c r="K953" t="s">
        <v>10441</v>
      </c>
      <c r="L953" t="s">
        <v>10442</v>
      </c>
      <c r="M953" t="s">
        <v>10443</v>
      </c>
      <c r="N953">
        <f>-662.239906281366 -54.860359952546 -556.378840079207</f>
        <v>-1273.4791063131188</v>
      </c>
      <c r="O953">
        <f>-655.242963380377 -189.542415963827 -529.736031340797</f>
        <v>-1374.521410685001</v>
      </c>
      <c r="P953">
        <f>-681.361766350863 -257.425813485098 -244.602957363419</f>
        <v>-1183.3905371993799</v>
      </c>
      <c r="Q953">
        <f>-507.484336675781 -119.781185941938 -338.791424283081</f>
        <v>-966.05694690079997</v>
      </c>
      <c r="R953" t="s">
        <v>10444</v>
      </c>
      <c r="S953" t="s">
        <v>10445</v>
      </c>
      <c r="T953" t="s">
        <v>10446</v>
      </c>
      <c r="U953" t="s">
        <v>10447</v>
      </c>
      <c r="V953">
        <f>-609.553563294371 -116.824862092399 -96.7515866350479</f>
        <v>-823.13001202181795</v>
      </c>
      <c r="W953" t="s">
        <v>10448</v>
      </c>
      <c r="X953" t="s">
        <v>10449</v>
      </c>
      <c r="Y953" t="s">
        <v>10450</v>
      </c>
    </row>
    <row r="954" spans="1:25" x14ac:dyDescent="0.3">
      <c r="A954">
        <v>47650</v>
      </c>
      <c r="B954" t="s">
        <v>10451</v>
      </c>
      <c r="C954">
        <f>-622.819291758328 -22.0124475484597 -97.2464186235893</f>
        <v>-742.07815793037696</v>
      </c>
      <c r="D954">
        <f>-648.336602791366 -27.5821560434113 -210.091835039126</f>
        <v>-886.01059387390319</v>
      </c>
      <c r="E954">
        <f>-658.900287414991 -29.0907346953861 -308.136653683442</f>
        <v>-996.12767579381909</v>
      </c>
      <c r="F954">
        <f>-664.464285668674 -29.3014636651894 -397.059325655669</f>
        <v>-1090.8250749895324</v>
      </c>
      <c r="G954">
        <f>-665.670802303744 -28.3727534786724 -486.143014803613</f>
        <v>-1180.1865705860296</v>
      </c>
      <c r="H954">
        <f>-662.772015767662 -25.9306118763448 -610.667849009027</f>
        <v>-1299.3704766530336</v>
      </c>
      <c r="I954">
        <f>-632.874931817129 -22.6914212584879 -688.132101687797</f>
        <v>-1343.6984547634138</v>
      </c>
      <c r="J954" t="s">
        <v>10452</v>
      </c>
      <c r="K954" t="s">
        <v>10453</v>
      </c>
      <c r="L954" t="s">
        <v>10454</v>
      </c>
      <c r="M954" t="s">
        <v>10455</v>
      </c>
      <c r="N954">
        <f>-661.846104945509 -54.6223883324039 -556.36114463328</f>
        <v>-1272.829637911193</v>
      </c>
      <c r="O954">
        <f>-654.968657014197 -189.308855194166 -529.693281968732</f>
        <v>-1373.9707941770948</v>
      </c>
      <c r="P954">
        <f>-681.322421288228 -257.071795783839 -244.553227944168</f>
        <v>-1182.947445016235</v>
      </c>
      <c r="Q954">
        <f>-507.278529440848 -119.656537102638 -338.769280644313</f>
        <v>-965.70434718779893</v>
      </c>
      <c r="R954" t="s">
        <v>10456</v>
      </c>
      <c r="S954" t="s">
        <v>10457</v>
      </c>
      <c r="T954" t="s">
        <v>10458</v>
      </c>
      <c r="U954" t="s">
        <v>10459</v>
      </c>
      <c r="V954">
        <f>-609.362833529915 -116.577208119481 -96.7349735078441</f>
        <v>-822.67501515724007</v>
      </c>
      <c r="W954" t="s">
        <v>10460</v>
      </c>
      <c r="X954" t="s">
        <v>10461</v>
      </c>
      <c r="Y954" t="s">
        <v>10462</v>
      </c>
    </row>
    <row r="955" spans="1:25" x14ac:dyDescent="0.3">
      <c r="A955">
        <v>47700</v>
      </c>
      <c r="B955" t="s">
        <v>10463</v>
      </c>
      <c r="C955">
        <f>-622.440465815598 -21.6318801318132 -97.2175690545496</f>
        <v>-741.28991500196082</v>
      </c>
      <c r="D955">
        <f>-647.912091828107 -27.1478044658654 -210.075852572504</f>
        <v>-885.13574886647643</v>
      </c>
      <c r="E955">
        <f>-658.403415160545 -28.6466942344523 -308.128567835453</f>
        <v>-995.17867723045038</v>
      </c>
      <c r="F955">
        <f>-663.888904877164 -28.8635289715185 -397.056155477388</f>
        <v>-1089.8085893260704</v>
      </c>
      <c r="G955">
        <f>-665.004096800765 -27.9568340009725 -486.141398666743</f>
        <v>-1179.1023294684805</v>
      </c>
      <c r="H955">
        <f>-661.964084585277 -25.5625769366741 -610.663889622351</f>
        <v>-1298.1905511443019</v>
      </c>
      <c r="I955">
        <f>-631.938017585065 -22.4157407412472 -688.081888793298</f>
        <v>-1342.4356471196102</v>
      </c>
      <c r="J955" t="s">
        <v>10464</v>
      </c>
      <c r="K955" t="s">
        <v>10465</v>
      </c>
      <c r="L955" t="s">
        <v>10466</v>
      </c>
      <c r="M955" t="s">
        <v>10467</v>
      </c>
      <c r="N955">
        <f>-661.133566981805 -54.2360448527693 -556.345746241764</f>
        <v>-1271.7153580763384</v>
      </c>
      <c r="O955">
        <f>-654.483178887668 -188.92176861758 -529.634412966907</f>
        <v>-1373.0393604721551</v>
      </c>
      <c r="P955">
        <f>-681.16927699381 -256.572795617123 -244.498673997149</f>
        <v>-1182.240746608082</v>
      </c>
      <c r="Q955">
        <f>-506.920507993346 -119.482295712906 -338.809014476151</f>
        <v>-965.21181818240302</v>
      </c>
      <c r="R955" t="s">
        <v>10468</v>
      </c>
      <c r="S955" t="s">
        <v>10469</v>
      </c>
      <c r="T955" t="s">
        <v>10470</v>
      </c>
      <c r="U955" t="s">
        <v>10471</v>
      </c>
      <c r="V955">
        <f>-609.052357782751 -116.241367744579 -96.721520716753</f>
        <v>-822.01524624408296</v>
      </c>
      <c r="W955" t="s">
        <v>10472</v>
      </c>
      <c r="X955" t="s">
        <v>10473</v>
      </c>
      <c r="Y955" t="s">
        <v>10474</v>
      </c>
    </row>
    <row r="956" spans="1:25" x14ac:dyDescent="0.3">
      <c r="A956">
        <v>47750</v>
      </c>
      <c r="B956" t="s">
        <v>10475</v>
      </c>
      <c r="C956">
        <f>-622.303649142568 -21.4774156734436 -97.2095650396404</f>
        <v>-740.99062985565206</v>
      </c>
      <c r="D956">
        <f>-647.745687267629 -26.9722238960583 -210.075568071155</f>
        <v>-884.79347923484227</v>
      </c>
      <c r="E956">
        <f>-658.196171736791 -28.4677118856637 -308.132725737992</f>
        <v>-994.79660936044672</v>
      </c>
      <c r="F956">
        <f>-663.638690224996 -28.6877345761786 -397.062958887802</f>
        <v>-1089.3893836889765</v>
      </c>
      <c r="G956">
        <f>-664.704738618792 -27.7910059177016 -486.148698524992</f>
        <v>-1178.6444430614856</v>
      </c>
      <c r="H956">
        <f>-661.589895631003 -25.4176518193108 -610.669872893341</f>
        <v>-1297.6774203436548</v>
      </c>
      <c r="I956">
        <f>-631.496988972305 -22.3011209733652 -688.06319883804</f>
        <v>-1341.8613087837102</v>
      </c>
      <c r="J956" t="s">
        <v>10476</v>
      </c>
      <c r="K956" t="s">
        <v>10477</v>
      </c>
      <c r="L956" t="s">
        <v>10478</v>
      </c>
      <c r="M956" t="s">
        <v>10479</v>
      </c>
      <c r="N956">
        <f>-660.805292196885 -54.0831781248131 -556.346775776468</f>
        <v>-1271.235246098166</v>
      </c>
      <c r="O956">
        <f>-654.246108464727 -188.770667995343 -529.627569596489</f>
        <v>-1372.6443460565588</v>
      </c>
      <c r="P956">
        <f>-681.036931632976 -256.439145526886 -244.505828078924</f>
        <v>-1181.9819052387861</v>
      </c>
      <c r="Q956">
        <f>-506.750582625115 -119.40313865805 -338.825681531696</f>
        <v>-964.97940281486092</v>
      </c>
      <c r="R956" t="s">
        <v>10480</v>
      </c>
      <c r="S956" t="s">
        <v>10481</v>
      </c>
      <c r="T956" t="s">
        <v>10482</v>
      </c>
      <c r="U956" t="s">
        <v>10483</v>
      </c>
      <c r="V956">
        <f>-608.949903860078 -116.047848644234 -96.7206613522693</f>
        <v>-821.71841385658138</v>
      </c>
      <c r="W956" t="s">
        <v>10484</v>
      </c>
      <c r="X956" t="s">
        <v>10485</v>
      </c>
      <c r="Y956" t="s">
        <v>10486</v>
      </c>
    </row>
    <row r="957" spans="1:25" x14ac:dyDescent="0.3">
      <c r="A957">
        <v>47800</v>
      </c>
      <c r="B957" t="s">
        <v>10487</v>
      </c>
      <c r="C957">
        <f>-622.209405749795 -21.3102675536554 -97.1998332297148</f>
        <v>-740.71950653316526</v>
      </c>
      <c r="D957">
        <f>-647.629808670786 -26.7746151873159 -210.072100924307</f>
        <v>-884.47652478240889</v>
      </c>
      <c r="E957">
        <f>-658.044030021683 -28.2545164282189 -308.133349844525</f>
        <v>-994.43189629442702</v>
      </c>
      <c r="F957">
        <f>-663.44661924349 -28.4650838034395 -397.065942133973</f>
        <v>-1088.9776451809025</v>
      </c>
      <c r="G957">
        <f>-664.465629921443 -27.5638748047325 -486.152335130145</f>
        <v>-1178.1818398563205</v>
      </c>
      <c r="H957">
        <f>-661.277656542415 -25.1901253559456 -610.671553804181</f>
        <v>-1297.1393357025418</v>
      </c>
      <c r="I957">
        <f>-631.121886862475 -22.0841805795699 -688.040915503688</f>
        <v>-1341.2469829457327</v>
      </c>
      <c r="J957" t="s">
        <v>10488</v>
      </c>
      <c r="K957" t="s">
        <v>10489</v>
      </c>
      <c r="L957" t="s">
        <v>10490</v>
      </c>
      <c r="M957" t="s">
        <v>10491</v>
      </c>
      <c r="N957">
        <f>-660.533934354288 -53.8564775755323 -556.348474206732</f>
        <v>-1270.7388861365523</v>
      </c>
      <c r="O957">
        <f>-654.065847058691 -188.553606061573 -529.633302642209</f>
        <v>-1372.252755762473</v>
      </c>
      <c r="P957">
        <f>-680.963598396203 -256.204234838027 -244.517301922555</f>
        <v>-1181.685135156785</v>
      </c>
      <c r="Q957">
        <f>-506.59705299721 -119.231017158874 -338.780510944035</f>
        <v>-964.60858110011895</v>
      </c>
      <c r="R957" t="s">
        <v>10492</v>
      </c>
      <c r="S957" t="s">
        <v>10493</v>
      </c>
      <c r="T957" t="s">
        <v>10494</v>
      </c>
      <c r="U957" t="s">
        <v>10495</v>
      </c>
      <c r="V957">
        <f>-608.879232532718 -115.890827255686 -96.7280636527554</f>
        <v>-821.49812344115935</v>
      </c>
      <c r="W957" t="s">
        <v>10496</v>
      </c>
      <c r="X957" t="s">
        <v>10497</v>
      </c>
      <c r="Y957" t="s">
        <v>10498</v>
      </c>
    </row>
    <row r="958" spans="1:25" x14ac:dyDescent="0.3">
      <c r="A958">
        <v>47850</v>
      </c>
      <c r="B958" t="s">
        <v>10499</v>
      </c>
      <c r="C958">
        <f>-622.055295056177 -21.0879239534306 -97.1750914202156</f>
        <v>-740.31831042982321</v>
      </c>
      <c r="D958">
        <f>-647.409745176152 -26.5075169637969 -210.064318336976</f>
        <v>-883.98158047692482</v>
      </c>
      <c r="E958">
        <f>-657.722786289145 -27.9633246533353 -308.136655248401</f>
        <v>-993.82276619088134</v>
      </c>
      <c r="F958">
        <f>-663.015793940892 -28.1588842811225 -397.076008766185</f>
        <v>-1088.2506869881995</v>
      </c>
      <c r="G958">
        <f>-663.907285691473 -27.2501938739595 -486.163741336256</f>
        <v>-1177.3212209016885</v>
      </c>
      <c r="H958">
        <f>-660.52221958592 -24.8746098605729 -610.677551407554</f>
        <v>-1296.0743808540469</v>
      </c>
      <c r="I958">
        <f>-630.244373972593 -21.781603620886 -687.999668979019</f>
        <v>-1340.0256465724981</v>
      </c>
      <c r="J958" t="s">
        <v>10500</v>
      </c>
      <c r="K958" t="s">
        <v>10501</v>
      </c>
      <c r="L958" t="s">
        <v>10502</v>
      </c>
      <c r="M958" t="s">
        <v>10503</v>
      </c>
      <c r="N958">
        <f>-659.88770232376 -53.5434456402776 -556.354505087127</f>
        <v>-1269.7856530511644</v>
      </c>
      <c r="O958">
        <f>-653.60529149242 -188.255568547765 -529.676464696868</f>
        <v>-1371.537324737053</v>
      </c>
      <c r="P958">
        <f>-680.617090268645 -256.005385007738 -244.59486599375</f>
        <v>-1181.2173412701331</v>
      </c>
      <c r="Q958">
        <f>-506.281969384703 -118.911827642943 -338.740910273271</f>
        <v>-963.93470730091713</v>
      </c>
      <c r="R958" t="s">
        <v>10504</v>
      </c>
      <c r="S958" t="s">
        <v>10505</v>
      </c>
      <c r="T958" t="s">
        <v>10506</v>
      </c>
      <c r="U958" t="s">
        <v>10507</v>
      </c>
      <c r="V958">
        <f>-608.773242755647 -115.699709954586 -96.7278190217861</f>
        <v>-821.20077173201901</v>
      </c>
      <c r="W958" t="s">
        <v>10508</v>
      </c>
      <c r="X958" t="s">
        <v>10509</v>
      </c>
      <c r="Y958" t="s">
        <v>10510</v>
      </c>
    </row>
    <row r="959" spans="1:25" x14ac:dyDescent="0.3">
      <c r="A959">
        <v>47900</v>
      </c>
      <c r="B959" t="s">
        <v>10511</v>
      </c>
      <c r="C959">
        <f>-621.918812489521 -20.8931324468178 -97.1322611234827</f>
        <v>-739.94420605982157</v>
      </c>
      <c r="D959">
        <f>-647.189843368758 -26.2365577002911 -210.043917515869</f>
        <v>-883.47031858491812</v>
      </c>
      <c r="E959">
        <f>-657.364295975952 -27.6281620977061 -308.131583621974</f>
        <v>-993.12404169563206</v>
      </c>
      <c r="F959">
        <f>-662.505071210628 -27.7665734254049 -397.079850894859</f>
        <v>-1087.351495530892</v>
      </c>
      <c r="G959">
        <f>-663.217216288983 -26.8022669350105 -486.168732392253</f>
        <v>-1176.1882156162465</v>
      </c>
      <c r="H959">
        <f>-659.553717472387 -24.3515231731355 -610.673213429997</f>
        <v>-1294.5784540755194</v>
      </c>
      <c r="I959">
        <f>-629.1462701116 -21.2409538335878 -687.943718485298</f>
        <v>-1338.3309424304857</v>
      </c>
      <c r="J959" t="s">
        <v>10512</v>
      </c>
      <c r="K959" t="s">
        <v>10513</v>
      </c>
      <c r="L959" t="s">
        <v>10514</v>
      </c>
      <c r="M959" t="s">
        <v>10515</v>
      </c>
      <c r="N959">
        <f>-659.072081150689 -53.0555509649625 -556.367180375963</f>
        <v>-1268.4948124916145</v>
      </c>
      <c r="O959">
        <f>-653.038852991427 -187.787841432488 -529.738709728108</f>
        <v>-1370.5654041520229</v>
      </c>
      <c r="P959">
        <f>-680.306309203035 -255.664876369875 -244.711660768121</f>
        <v>-1180.6828463410309</v>
      </c>
      <c r="Q959">
        <f>-505.776613275256 -118.726553760371 -338.723016192989</f>
        <v>-963.22618322861604</v>
      </c>
      <c r="R959" t="s">
        <v>10516</v>
      </c>
      <c r="S959" t="s">
        <v>10517</v>
      </c>
      <c r="T959" t="s">
        <v>10518</v>
      </c>
      <c r="U959" t="s">
        <v>10519</v>
      </c>
      <c r="V959">
        <f>-608.743386411936 -115.564990718873 -96.7052101247939</f>
        <v>-821.01358725560283</v>
      </c>
      <c r="W959" t="s">
        <v>10520</v>
      </c>
      <c r="X959" t="s">
        <v>10521</v>
      </c>
      <c r="Y959" t="s">
        <v>10522</v>
      </c>
    </row>
    <row r="960" spans="1:25" x14ac:dyDescent="0.3">
      <c r="A960">
        <v>47950</v>
      </c>
      <c r="B960" t="s">
        <v>10523</v>
      </c>
      <c r="C960">
        <f>-621.882151851657 -20.7360239736483 -97.0932701032683</f>
        <v>-739.71144592857365</v>
      </c>
      <c r="D960">
        <f>-647.103203177608 -26.0434544973707 -210.017814833315</f>
        <v>-883.16447250829367</v>
      </c>
      <c r="E960">
        <f>-657.208146523891 -27.4093098425574 -308.113059059417</f>
        <v>-992.73051542586541</v>
      </c>
      <c r="F960">
        <f>-662.275410602318 -27.5261174328152 -397.065644200869</f>
        <v>-1086.8671722360023</v>
      </c>
      <c r="G960">
        <f>-662.903573017493 -26.5427454756871 -486.154871161894</f>
        <v>-1175.601189655074</v>
      </c>
      <c r="H960">
        <f>-659.11160590558 -24.067786300164 -610.655024402859</f>
        <v>-1293.8344166086031</v>
      </c>
      <c r="I960">
        <f>-628.641197009575 -20.9490907244192 -687.900437108908</f>
        <v>-1337.4907248429022</v>
      </c>
      <c r="J960" t="s">
        <v>10524</v>
      </c>
      <c r="K960" t="s">
        <v>10525</v>
      </c>
      <c r="L960" t="s">
        <v>10526</v>
      </c>
      <c r="M960" t="s">
        <v>10527</v>
      </c>
      <c r="N960">
        <f>-658.705286336952 -52.783863026114 -556.35461813478</f>
        <v>-1267.8437674978459</v>
      </c>
      <c r="O960">
        <f>-652.768187974942 -187.526543812267 -529.751736119839</f>
        <v>-1370.0464679070481</v>
      </c>
      <c r="P960">
        <f>-680.262724301229 -255.43285708465 -244.753425103474</f>
        <v>-1180.449006489353</v>
      </c>
      <c r="Q960">
        <f>-505.59578735463 -118.611992260993 -338.68093749245</f>
        <v>-962.88871710807302</v>
      </c>
      <c r="R960" t="s">
        <v>10528</v>
      </c>
      <c r="S960" t="s">
        <v>10529</v>
      </c>
      <c r="T960" t="s">
        <v>10530</v>
      </c>
      <c r="U960" t="s">
        <v>10531</v>
      </c>
      <c r="V960">
        <f>-608.777228148503 -115.364381994132 -96.6982951515105</f>
        <v>-820.83990529414552</v>
      </c>
      <c r="W960" t="s">
        <v>10532</v>
      </c>
      <c r="X960" t="s">
        <v>10533</v>
      </c>
      <c r="Y960" t="s">
        <v>10534</v>
      </c>
    </row>
    <row r="961" spans="1:25" x14ac:dyDescent="0.3">
      <c r="A961">
        <v>48000</v>
      </c>
      <c r="B961" t="s">
        <v>10535</v>
      </c>
      <c r="C961">
        <f>-621.75894138619 -20.4988859367056 -97.0518650867924</f>
        <v>-739.30969240968807</v>
      </c>
      <c r="D961">
        <f>-646.901982597998 -25.7245231531635 -209.99768798584</f>
        <v>-882.62419373700152</v>
      </c>
      <c r="E961">
        <f>-656.895637947589 -27.0346257324613 -308.105146264604</f>
        <v>-992.03540994465425</v>
      </c>
      <c r="F961">
        <f>-661.844670175184 -27.1066602060985 -397.064299723416</f>
        <v>-1086.0156301046984</v>
      </c>
      <c r="G961">
        <f>-662.337051075187 -26.0852832143626 -486.153945224184</f>
        <v>-1174.5762795137334</v>
      </c>
      <c r="H961">
        <f>-658.337355982956 -23.56467139561 -610.646710108107</f>
        <v>-1292.548737486673</v>
      </c>
      <c r="I961">
        <f>-627.747742795332 -20.4490969817289 -687.845140188776</f>
        <v>-1336.0419799658368</v>
      </c>
      <c r="J961" t="s">
        <v>10536</v>
      </c>
      <c r="K961" t="s">
        <v>10537</v>
      </c>
      <c r="L961" t="s">
        <v>10538</v>
      </c>
      <c r="M961" t="s">
        <v>10539</v>
      </c>
      <c r="N961">
        <f>-658.066261314694 -52.3039137938258 -556.357629859156</f>
        <v>-1266.7278049676756</v>
      </c>
      <c r="O961">
        <f>-652.36748276461 -187.066366841801 -529.804828993147</f>
        <v>-1369.2386785995582</v>
      </c>
      <c r="P961">
        <f>-680.25767609789 -255.211838822378 -244.902193362085</f>
        <v>-1180.371708282353</v>
      </c>
      <c r="Q961">
        <f>-505.238848499505 -118.698634167705 -338.622140164927</f>
        <v>-962.55962283213694</v>
      </c>
      <c r="R961" t="s">
        <v>10540</v>
      </c>
      <c r="S961" t="s">
        <v>10541</v>
      </c>
      <c r="T961" t="s">
        <v>10542</v>
      </c>
      <c r="U961" t="s">
        <v>10543</v>
      </c>
      <c r="V961">
        <f>-608.802988158694 -115.066333864785 -96.691047846313</f>
        <v>-820.560369869792</v>
      </c>
      <c r="W961" t="s">
        <v>10544</v>
      </c>
      <c r="X961" t="s">
        <v>10545</v>
      </c>
      <c r="Y961" t="s">
        <v>10546</v>
      </c>
    </row>
    <row r="962" spans="1:25" x14ac:dyDescent="0.3">
      <c r="A962">
        <v>48050</v>
      </c>
      <c r="B962" t="s">
        <v>10547</v>
      </c>
      <c r="C962">
        <f>-621.706466659428 -20.3827535799137 -97.037717832518</f>
        <v>-739.12693807185963</v>
      </c>
      <c r="D962">
        <f>-646.818413320243 -25.5746179903588 -209.991927322433</f>
        <v>-882.38495863303478</v>
      </c>
      <c r="E962">
        <f>-656.767940424259 -26.8558673086775 -308.104319908789</f>
        <v>-991.72812764172545</v>
      </c>
      <c r="F962">
        <f>-661.670071327187 -26.9018517404354 -397.066114698668</f>
        <v>-1085.6380377662904</v>
      </c>
      <c r="G962">
        <f>-662.108561892575 -25.8549727610894 -486.15557783565</f>
        <v>-1174.1191124893144</v>
      </c>
      <c r="H962">
        <f>-658.02592938325 -23.3000423086526 -610.645114226097</f>
        <v>-1291.9710859179995</v>
      </c>
      <c r="I962">
        <f>-627.376401586717 -20.1947706977587 -687.820217038854</f>
        <v>-1335.3913893233298</v>
      </c>
      <c r="J962" t="s">
        <v>10548</v>
      </c>
      <c r="K962" t="s">
        <v>10549</v>
      </c>
      <c r="L962" t="s">
        <v>10550</v>
      </c>
      <c r="M962" t="s">
        <v>10551</v>
      </c>
      <c r="N962">
        <f>-657.818508644535 -52.0562723212818 -556.364879375952</f>
        <v>-1266.2396603417687</v>
      </c>
      <c r="O962">
        <f>-652.271214964928 -186.831983523493 -529.866574722365</f>
        <v>-1368.9697732107861</v>
      </c>
      <c r="P962">
        <f>-680.310073772742 -255.084567157031 -245.00402453347</f>
        <v>-1180.3986654632431</v>
      </c>
      <c r="Q962">
        <f>-505.135819211733 -118.731215887044 -338.666242103741</f>
        <v>-962.53327720251809</v>
      </c>
      <c r="R962" t="s">
        <v>10552</v>
      </c>
      <c r="S962" t="s">
        <v>10553</v>
      </c>
      <c r="T962" t="s">
        <v>10554</v>
      </c>
      <c r="U962" t="s">
        <v>10555</v>
      </c>
      <c r="V962">
        <f>-608.827660829282 -114.909695184159 -96.6944983425711</f>
        <v>-820.43185435601208</v>
      </c>
      <c r="W962" t="s">
        <v>10556</v>
      </c>
      <c r="X962" t="s">
        <v>10557</v>
      </c>
      <c r="Y962" t="s">
        <v>10558</v>
      </c>
    </row>
    <row r="963" spans="1:25" x14ac:dyDescent="0.3">
      <c r="A963">
        <v>48100</v>
      </c>
      <c r="B963" t="s">
        <v>10559</v>
      </c>
      <c r="C963">
        <f>-621.581880010239 -20.389789386511 -97.0113541496421</f>
        <v>-738.98302354639213</v>
      </c>
      <c r="D963">
        <f>-646.637799960022 -25.492127848182 -209.982169355968</f>
        <v>-882.11209716417204</v>
      </c>
      <c r="E963">
        <f>-656.512828572348 -26.7069437153255 -308.102696688591</f>
        <v>-991.32246897626442</v>
      </c>
      <c r="F963">
        <f>-661.336948429821 -26.6977035437403 -397.068932075751</f>
        <v>-1085.1035840493123</v>
      </c>
      <c r="G963">
        <f>-661.686517468097 -25.6016741538078 -486.158303699645</f>
        <v>-1173.4464953215497</v>
      </c>
      <c r="H963">
        <f>-657.468460550003 -22.9851226614005 -610.641858344405</f>
        <v>-1291.0954415558085</v>
      </c>
      <c r="I963">
        <f>-626.724332255746 -19.9136782346316 -687.780587328341</f>
        <v>-1334.4185978187186</v>
      </c>
      <c r="J963" t="s">
        <v>10560</v>
      </c>
      <c r="K963" t="s">
        <v>10561</v>
      </c>
      <c r="L963" t="s">
        <v>10562</v>
      </c>
      <c r="M963" t="s">
        <v>10563</v>
      </c>
      <c r="N963">
        <f>-657.383281261182 -51.7727025212522 -556.377968458763</f>
        <v>-1265.5339522411973</v>
      </c>
      <c r="O963">
        <f>-652.17316013522 -186.579296025073 -529.966583718392</f>
        <v>-1368.719039878685</v>
      </c>
      <c r="P963">
        <f>-680.607583799096 -254.846704523603 -245.146786025041</f>
        <v>-1180.60107434774</v>
      </c>
      <c r="Q963">
        <f>-504.972137121006 -119.014806187517 -338.703036837124</f>
        <v>-962.68998014564704</v>
      </c>
      <c r="R963" t="s">
        <v>10564</v>
      </c>
      <c r="S963" t="s">
        <v>10565</v>
      </c>
      <c r="T963" t="s">
        <v>10566</v>
      </c>
      <c r="U963" t="s">
        <v>10567</v>
      </c>
      <c r="V963">
        <f>-608.827828361122 -115.030392786666 -96.6983881386285</f>
        <v>-820.55660928641646</v>
      </c>
      <c r="W963" t="s">
        <v>10568</v>
      </c>
      <c r="X963" t="s">
        <v>10569</v>
      </c>
      <c r="Y963" t="s">
        <v>10570</v>
      </c>
    </row>
    <row r="964" spans="1:25" x14ac:dyDescent="0.3">
      <c r="A964">
        <v>48150</v>
      </c>
      <c r="B964" t="s">
        <v>10571</v>
      </c>
      <c r="C964">
        <f>-621.449557733925 -20.3548574428478 -97.000519399185</f>
        <v>-738.80493457595776</v>
      </c>
      <c r="D964">
        <f>-646.493077881736 -25.4113789897369 -209.9760019969</f>
        <v>-881.8804588683729</v>
      </c>
      <c r="E964">
        <f>-656.337389211697 -26.5854602439924 -308.100307625562</f>
        <v>-991.02315708125138</v>
      </c>
      <c r="F964">
        <f>-661.125646449531 -26.538219023327 -397.068357287573</f>
        <v>-1084.7322227604309</v>
      </c>
      <c r="G964">
        <f>-661.431273744817 -25.4040408761107 -486.157385473625</f>
        <v>-1172.9927000945527</v>
      </c>
      <c r="H964">
        <f>-657.143340052239 -22.7342353947402 -610.63747314517</f>
        <v>-1290.515048592149</v>
      </c>
      <c r="I964">
        <f>-626.360605365605 -19.6644735653542 -687.761015599804</f>
        <v>-1333.7860945307632</v>
      </c>
      <c r="J964" t="s">
        <v>10572</v>
      </c>
      <c r="K964" t="s">
        <v>10573</v>
      </c>
      <c r="L964" t="s">
        <v>10574</v>
      </c>
      <c r="M964" t="s">
        <v>10575</v>
      </c>
      <c r="N964">
        <f>-657.11701957335 -51.5470656822167 -556.386915899925</f>
        <v>-1265.0510011554918</v>
      </c>
      <c r="O964">
        <f>-652.06664601744 -186.369678264301 -530.014765151126</f>
        <v>-1368.4510894328669</v>
      </c>
      <c r="P964">
        <f>-680.741757348944 -254.682635595443 -245.230041409377</f>
        <v>-1180.6544343537639</v>
      </c>
      <c r="Q964">
        <f>-504.908266311793 -119.090324068576 -338.761949858547</f>
        <v>-962.76054023891606</v>
      </c>
      <c r="R964" t="s">
        <v>10576</v>
      </c>
      <c r="S964" t="s">
        <v>10577</v>
      </c>
      <c r="T964" t="s">
        <v>10578</v>
      </c>
      <c r="U964" t="s">
        <v>10579</v>
      </c>
      <c r="V964">
        <f>-608.772481661826 -114.978683468482 -96.699140804935</f>
        <v>-820.45030593524302</v>
      </c>
      <c r="W964" t="s">
        <v>10580</v>
      </c>
      <c r="X964" t="s">
        <v>10581</v>
      </c>
      <c r="Y964" t="s">
        <v>10582</v>
      </c>
    </row>
    <row r="965" spans="1:25" x14ac:dyDescent="0.3">
      <c r="A965">
        <v>48200</v>
      </c>
      <c r="B965" t="s">
        <v>10583</v>
      </c>
      <c r="C965">
        <f>-621.168964559043 -20.3392642303211 -96.9639093012871</f>
        <v>-738.47213809065124</v>
      </c>
      <c r="D965">
        <f>-646.170676948673 -25.3116486423276 -209.952559050449</f>
        <v>-881.43488464144957</v>
      </c>
      <c r="E965">
        <f>-655.95606545637 -26.4094416806172 -308.083473937839</f>
        <v>-990.44898107482618</v>
      </c>
      <c r="F965">
        <f>-660.681838537053 -26.2907812951901 -397.054839544871</f>
        <v>-1084.0274593771142</v>
      </c>
      <c r="G965">
        <f>-660.915833545966 -25.0836655556691 -486.143141880708</f>
        <v>-1172.1426409823432</v>
      </c>
      <c r="H965">
        <f>-656.51834465832 -22.3099884362694 -610.617253121286</f>
        <v>-1289.4455862158752</v>
      </c>
      <c r="I965">
        <f>-625.657983219553 -19.20739503446 -687.708266096367</f>
        <v>-1332.5736443503799</v>
      </c>
      <c r="J965" t="s">
        <v>10584</v>
      </c>
      <c r="K965" t="s">
        <v>10585</v>
      </c>
      <c r="L965" t="s">
        <v>10586</v>
      </c>
      <c r="M965" t="s">
        <v>10587</v>
      </c>
      <c r="N965">
        <f>-656.583937097227 -51.1709606309885 -556.392121163376</f>
        <v>-1264.1470188915914</v>
      </c>
      <c r="O965">
        <f>-651.795721673912 -186.027068565252 -530.140726104015</f>
        <v>-1367.963516343179</v>
      </c>
      <c r="P965">
        <f>-680.780645706843 -254.432933975638 -245.40974174099</f>
        <v>-1180.623321423471</v>
      </c>
      <c r="Q965">
        <f>-504.548531036278 -119.269763253319 -338.812291894318</f>
        <v>-962.63058618391506</v>
      </c>
      <c r="R965" t="s">
        <v>10588</v>
      </c>
      <c r="S965" t="s">
        <v>10589</v>
      </c>
      <c r="T965" t="s">
        <v>10590</v>
      </c>
      <c r="U965" t="s">
        <v>10591</v>
      </c>
      <c r="V965">
        <f>-608.658610352268 -114.984752615705 -96.681162252678</f>
        <v>-820.32452522065114</v>
      </c>
      <c r="W965" t="s">
        <v>10592</v>
      </c>
      <c r="X965" t="s">
        <v>10593</v>
      </c>
      <c r="Y965" t="s">
        <v>10594</v>
      </c>
    </row>
    <row r="966" spans="1:25" x14ac:dyDescent="0.3">
      <c r="A966">
        <v>48250</v>
      </c>
      <c r="B966" t="s">
        <v>10595</v>
      </c>
      <c r="C966">
        <f>-621.023264947405 -20.2250339809452 -96.9465586101512</f>
        <v>-738.19485753850142</v>
      </c>
      <c r="D966">
        <f>-646.0086931244 -25.1648714576338 -209.940176256792</f>
        <v>-881.11374083882583</v>
      </c>
      <c r="E966">
        <f>-655.767011093871 -26.2220906094212 -308.074249365615</f>
        <v>-990.0633510689072</v>
      </c>
      <c r="F966">
        <f>-660.462895894765 -26.0621361299777 -397.047178698588</f>
        <v>-1083.5722107233307</v>
      </c>
      <c r="G966">
        <f>-660.661518225042 -24.8087678174027 -486.134913823097</f>
        <v>-1171.6051998655416</v>
      </c>
      <c r="H966">
        <f>-656.208685858251 -21.9661742352619 -610.60543261664</f>
        <v>-1288.7802927101529</v>
      </c>
      <c r="I966">
        <f>-625.319697793388 -18.8308202039611 -687.68370607837</f>
        <v>-1331.8342240757192</v>
      </c>
      <c r="J966" t="s">
        <v>10596</v>
      </c>
      <c r="K966" t="s">
        <v>10597</v>
      </c>
      <c r="L966" t="s">
        <v>10598</v>
      </c>
      <c r="M966" t="s">
        <v>10599</v>
      </c>
      <c r="N966">
        <f>-656.316824979799 -50.8584091909148 -556.397233221106</f>
        <v>-1263.5724673918198</v>
      </c>
      <c r="O966">
        <f>-651.632101283946 -185.72971607866 -530.210394494355</f>
        <v>-1367.5722118569611</v>
      </c>
      <c r="P966">
        <f>-680.717454854961 -254.285883964727 -245.525747006718</f>
        <v>-1180.5290858264061</v>
      </c>
      <c r="Q966">
        <f>-504.409747952068 -119.167606228072 -338.850547031052</f>
        <v>-962.42790121119197</v>
      </c>
      <c r="R966" t="s">
        <v>10600</v>
      </c>
      <c r="S966" t="s">
        <v>10601</v>
      </c>
      <c r="T966" t="s">
        <v>10602</v>
      </c>
      <c r="U966" t="s">
        <v>10603</v>
      </c>
      <c r="V966">
        <f>-608.571841277128 -114.826503733314 -96.6812152388874</f>
        <v>-820.07956024932935</v>
      </c>
      <c r="W966" t="s">
        <v>10604</v>
      </c>
      <c r="X966" t="s">
        <v>10605</v>
      </c>
      <c r="Y966" t="s">
        <v>10606</v>
      </c>
    </row>
    <row r="967" spans="1:25" x14ac:dyDescent="0.3">
      <c r="A967">
        <v>48300</v>
      </c>
      <c r="B967" t="s">
        <v>10607</v>
      </c>
      <c r="C967">
        <f>-620.696633267139 -20.1317193466323 -96.9030691647137</f>
        <v>-737.7314217784849</v>
      </c>
      <c r="D967">
        <f>-645.628428974482 -25.0114878544312 -209.911145764394</f>
        <v>-880.55106259330705</v>
      </c>
      <c r="E967">
        <f>-655.32466144804 -25.9955410497282 -308.052228965836</f>
        <v>-989.37243146360424</v>
      </c>
      <c r="F967">
        <f>-659.957915524896 -25.7602553178658 -397.028208324458</f>
        <v>-1082.7463791672199</v>
      </c>
      <c r="G967">
        <f>-660.087184556331 -24.4231487958687 -486.114790726382</f>
        <v>-1170.6251240785816</v>
      </c>
      <c r="H967">
        <f>-655.530691853354 -21.454571100709 -610.578567291862</f>
        <v>-1287.5638302459251</v>
      </c>
      <c r="I967">
        <f>-624.604120214364 -18.2436245453732 -687.638862056712</f>
        <v>-1330.4866068164492</v>
      </c>
      <c r="J967" t="s">
        <v>10608</v>
      </c>
      <c r="K967" t="s">
        <v>10609</v>
      </c>
      <c r="L967" t="s">
        <v>10610</v>
      </c>
      <c r="M967" t="s">
        <v>10611</v>
      </c>
      <c r="N967">
        <f>-655.709699602727 -50.4034022666531 -556.400720656858</f>
        <v>-1262.5138225262381</v>
      </c>
      <c r="O967">
        <f>-651.18177850345 -185.305257013768 -530.357939943434</f>
        <v>-1366.844975460652</v>
      </c>
      <c r="P967">
        <f>-680.476112776785 -254.166827068678 -245.768497653966</f>
        <v>-1180.411437499429</v>
      </c>
      <c r="Q967">
        <f>-504.087687594549 -119.013064871348 -338.889276458911</f>
        <v>-961.99002892480803</v>
      </c>
      <c r="R967" t="s">
        <v>10612</v>
      </c>
      <c r="S967" t="s">
        <v>10613</v>
      </c>
      <c r="T967" t="s">
        <v>10614</v>
      </c>
      <c r="U967" t="s">
        <v>10615</v>
      </c>
      <c r="V967">
        <f>-608.340881870643 -114.730659313485 -96.6591251187449</f>
        <v>-819.73066630287292</v>
      </c>
      <c r="W967" t="s">
        <v>10616</v>
      </c>
      <c r="X967" t="s">
        <v>10617</v>
      </c>
      <c r="Y967" t="s">
        <v>10618</v>
      </c>
    </row>
    <row r="968" spans="1:25" x14ac:dyDescent="0.3">
      <c r="A968">
        <v>48350</v>
      </c>
      <c r="B968" t="s">
        <v>10619</v>
      </c>
      <c r="C968">
        <f>-620.467684834988 -20.0875447878793 -96.8852677341052</f>
        <v>-737.44049735697251</v>
      </c>
      <c r="D968">
        <f>-645.381368697192 -24.9376169347236 -209.898611957361</f>
        <v>-880.21759758927658</v>
      </c>
      <c r="E968">
        <f>-655.05731632924 -25.8925468652631 -308.041848011584</f>
        <v>-988.99171120608707</v>
      </c>
      <c r="F968">
        <f>-659.670391933535 -25.6293288013637 -397.018847802466</f>
        <v>-1082.3185685373646</v>
      </c>
      <c r="G968">
        <f>-659.777524533881 -24.263195982596 -486.10520176592</f>
        <v>-1170.1459222823969</v>
      </c>
      <c r="H968">
        <f>-655.188079788296 -21.2532860285505 -610.566740247413</f>
        <v>-1287.0081060642597</v>
      </c>
      <c r="I968">
        <f>-624.247417673758 -18.0120145074777 -687.619959348949</f>
        <v>-1329.8793915301849</v>
      </c>
      <c r="J968" t="s">
        <v>10620</v>
      </c>
      <c r="K968" t="s">
        <v>10621</v>
      </c>
      <c r="L968" t="s">
        <v>10622</v>
      </c>
      <c r="M968" t="s">
        <v>10623</v>
      </c>
      <c r="N968">
        <f>-655.395846989671 -50.2210126077938 -556.399156798364</f>
        <v>-1262.0160163958287</v>
      </c>
      <c r="O968">
        <f>-650.935663287664 -185.137121288911 -530.410231078932</f>
        <v>-1366.4830156555072</v>
      </c>
      <c r="P968">
        <f>-680.296805682109 -254.151761021068 -245.864811854576</f>
        <v>-1180.3133785577529</v>
      </c>
      <c r="Q968">
        <f>-503.867895410341 -118.986200693143 -338.891625479882</f>
        <v>-961.74572158336605</v>
      </c>
      <c r="R968" t="s">
        <v>10624</v>
      </c>
      <c r="S968" t="s">
        <v>10625</v>
      </c>
      <c r="T968" t="s">
        <v>10626</v>
      </c>
      <c r="U968" t="s">
        <v>10627</v>
      </c>
      <c r="V968">
        <f>-608.159119306072 -114.679174255857 -96.6551870977885</f>
        <v>-819.49348065971742</v>
      </c>
      <c r="W968" t="s">
        <v>10628</v>
      </c>
      <c r="X968" t="s">
        <v>10629</v>
      </c>
      <c r="Y968" t="s">
        <v>10630</v>
      </c>
    </row>
    <row r="969" spans="1:25" x14ac:dyDescent="0.3">
      <c r="A969">
        <v>48400</v>
      </c>
      <c r="B969" t="s">
        <v>10631</v>
      </c>
      <c r="C969">
        <f>-619.974648066427 -19.9298751617746 -96.8352352903106</f>
        <v>-736.73975851851219</v>
      </c>
      <c r="D969">
        <f>-644.849918220807 -24.7169448365269 -209.859645950807</f>
        <v>-879.4265090081409</v>
      </c>
      <c r="E969">
        <f>-654.508422211353 -25.6188891948075 -308.005273748512</f>
        <v>-988.1325851546726</v>
      </c>
      <c r="F969">
        <f>-659.111898710475 -25.3077380505722 -396.982557296622</f>
        <v>-1081.4021940576692</v>
      </c>
      <c r="G969">
        <f>-659.215817420149 -23.8941364388386 -486.068105299687</f>
        <v>-1169.1780591586746</v>
      </c>
      <c r="H969">
        <f>-654.628392026513 -20.818200784465 -610.52813052411</f>
        <v>-1285.9747233350881</v>
      </c>
      <c r="I969">
        <f>-623.668753672959 -17.5206069851051 -687.571291718873</f>
        <v>-1328.7606523769373</v>
      </c>
      <c r="J969" t="s">
        <v>10632</v>
      </c>
      <c r="K969" t="s">
        <v>10633</v>
      </c>
      <c r="L969" t="s">
        <v>10634</v>
      </c>
      <c r="M969" t="s">
        <v>10635</v>
      </c>
      <c r="N969">
        <f>-654.861871301225 -49.8163894402802 -556.376865615311</f>
        <v>-1261.0551263568163</v>
      </c>
      <c r="O969">
        <f>-650.516434230169 -184.758760968565 -530.485677041219</f>
        <v>-1365.7608722399532</v>
      </c>
      <c r="P969">
        <f>-679.98531825474 -253.886427668064 -245.978818667086</f>
        <v>-1179.8505645898899</v>
      </c>
      <c r="Q969">
        <f>-503.483347673633 -118.765821107781 -338.932190729632</f>
        <v>-961.18135951104603</v>
      </c>
      <c r="R969" t="s">
        <v>10636</v>
      </c>
      <c r="S969" t="s">
        <v>10637</v>
      </c>
      <c r="T969" t="s">
        <v>10638</v>
      </c>
      <c r="U969" t="s">
        <v>10639</v>
      </c>
      <c r="V969">
        <f>-607.764325231585 -114.499220358852 -96.6467397607677</f>
        <v>-818.91028535120461</v>
      </c>
      <c r="W969" t="s">
        <v>10640</v>
      </c>
      <c r="X969" t="s">
        <v>10641</v>
      </c>
      <c r="Y969" t="s">
        <v>10642</v>
      </c>
    </row>
    <row r="970" spans="1:25" x14ac:dyDescent="0.3">
      <c r="A970">
        <v>48450</v>
      </c>
      <c r="B970" t="s">
        <v>10643</v>
      </c>
      <c r="C970">
        <f>-619.683739196339 -19.8070497107244 -96.8152266232145</f>
        <v>-736.30601553027793</v>
      </c>
      <c r="D970">
        <f>-644.554276285757 -24.5734944747899 -209.841589070495</f>
        <v>-878.96935983104186</v>
      </c>
      <c r="E970">
        <f>-654.225881174625 -25.456969490099 -307.986110337325</f>
        <v>-987.66896100204895</v>
      </c>
      <c r="F970">
        <f>-658.848173040933 -25.1290744711571 -396.962289916678</f>
        <v>-1080.9395374287681</v>
      </c>
      <c r="G970">
        <f>-658.977776342742 -23.698863570861 -486.047468086961</f>
        <v>-1168.724108000564</v>
      </c>
      <c r="H970">
        <f>-654.433195240423 -20.600296243078 -610.508625794415</f>
        <v>-1285.5421172779161</v>
      </c>
      <c r="I970">
        <f>-623.481135147002 -17.2862542981686 -687.554122982375</f>
        <v>-1328.3215124275457</v>
      </c>
      <c r="J970" t="s">
        <v>10644</v>
      </c>
      <c r="K970" t="s">
        <v>10645</v>
      </c>
      <c r="L970" t="s">
        <v>10646</v>
      </c>
      <c r="M970" t="s">
        <v>10647</v>
      </c>
      <c r="N970">
        <f>-654.667094315819 -49.6094957022752 -556.363308657834</f>
        <v>-1260.6398986759282</v>
      </c>
      <c r="O970">
        <f>-650.392918131903 -184.557519900359 -530.514332542844</f>
        <v>-1365.4647705751061</v>
      </c>
      <c r="P970">
        <f>-679.830790543311 -253.799289591849 -246.032041234672</f>
        <v>-1179.662121369832</v>
      </c>
      <c r="Q970">
        <f>-503.277196937545 -118.697224080835 -338.914433259666</f>
        <v>-960.88885427804598</v>
      </c>
      <c r="R970" t="s">
        <v>10648</v>
      </c>
      <c r="S970" t="s">
        <v>10649</v>
      </c>
      <c r="T970" t="s">
        <v>10650</v>
      </c>
      <c r="U970" t="s">
        <v>10651</v>
      </c>
      <c r="V970">
        <f>-607.480927349529 -114.355104847814 -96.6404893965433</f>
        <v>-818.47652159388633</v>
      </c>
      <c r="W970" t="s">
        <v>10652</v>
      </c>
      <c r="X970" t="s">
        <v>10653</v>
      </c>
      <c r="Y970" t="s">
        <v>10654</v>
      </c>
    </row>
    <row r="971" spans="1:25" x14ac:dyDescent="0.3">
      <c r="A971">
        <v>48500</v>
      </c>
      <c r="B971" t="s">
        <v>10655</v>
      </c>
      <c r="C971">
        <f>-619.147038908503 -19.5909650220649 -96.7897109062018</f>
        <v>-735.52771483676963</v>
      </c>
      <c r="D971">
        <f>-643.996507010945 -24.3183896982036 -209.822343916054</f>
        <v>-878.13724062520271</v>
      </c>
      <c r="E971">
        <f>-653.697634742211 -25.1637535613197 -307.964198154571</f>
        <v>-986.82558645810172</v>
      </c>
      <c r="F971">
        <f>-658.3658625628 -24.7995235573862 -396.937949098738</f>
        <v>-1080.1033352189243</v>
      </c>
      <c r="G971">
        <f>-658.560253242148 -23.3319357279181 -486.022386796543</f>
        <v>-1167.914575766609</v>
      </c>
      <c r="H971">
        <f>-654.125885838164 -20.1797175041627 -610.486134709567</f>
        <v>-1284.7917380518936</v>
      </c>
      <c r="I971">
        <f>-623.22160088054 -16.8579282641624 -687.550433716783</f>
        <v>-1327.6299628614854</v>
      </c>
      <c r="J971" t="s">
        <v>10656</v>
      </c>
      <c r="K971" t="s">
        <v>10657</v>
      </c>
      <c r="L971" t="s">
        <v>10658</v>
      </c>
      <c r="M971" t="s">
        <v>10659</v>
      </c>
      <c r="N971">
        <f>-654.357413465703 -49.2150780004413 -556.354679165354</f>
        <v>-1259.9271706314983</v>
      </c>
      <c r="O971">
        <f>-650.275429288197 -184.191800122578 -530.607150218087</f>
        <v>-1365.0743796288621</v>
      </c>
      <c r="P971">
        <f>-679.827178630119 -253.535687268902 -246.161516804266</f>
        <v>-1179.5243827032871</v>
      </c>
      <c r="Q971">
        <f>-503.049364073306 -118.635486384538 -338.910583711942</f>
        <v>-960.5954341697859</v>
      </c>
      <c r="R971" t="s">
        <v>10660</v>
      </c>
      <c r="S971" t="s">
        <v>10661</v>
      </c>
      <c r="T971" t="s">
        <v>10662</v>
      </c>
      <c r="U971" t="s">
        <v>10663</v>
      </c>
      <c r="V971">
        <f>-606.999444685805 -114.127959815631 -96.6265098113976</f>
        <v>-817.75391431283356</v>
      </c>
      <c r="W971" t="s">
        <v>10664</v>
      </c>
      <c r="X971" t="s">
        <v>10665</v>
      </c>
      <c r="Y971" t="s">
        <v>10666</v>
      </c>
    </row>
    <row r="972" spans="1:25" x14ac:dyDescent="0.3">
      <c r="A972">
        <v>48550</v>
      </c>
      <c r="B972" t="s">
        <v>10667</v>
      </c>
      <c r="C972">
        <f>-618.87145426955 -19.4636486221164 -96.7773403629393</f>
        <v>-735.11244325460564</v>
      </c>
      <c r="D972">
        <f>-643.718729179593 -24.1701424865637 -209.811355153214</f>
        <v>-877.70022681937064</v>
      </c>
      <c r="E972">
        <f>-653.447316296906 -24.9934369220575 -307.950711576434</f>
        <v>-986.3914647953975</v>
      </c>
      <c r="F972">
        <f>-658.152105101379 -24.6066090693853 -396.922270478629</f>
        <v>-1079.6809846493934</v>
      </c>
      <c r="G972">
        <f>-658.394989607854 -23.1142928053571 -486.006350444495</f>
        <v>-1167.5156328577061</v>
      </c>
      <c r="H972">
        <f>-654.040661167816 -19.9253340757318 -610.471986130431</f>
        <v>-1284.4379813739788</v>
      </c>
      <c r="I972">
        <f>-623.178432675596 -16.5976817821618 -687.552919340912</f>
        <v>-1327.3290337986698</v>
      </c>
      <c r="J972" t="s">
        <v>10668</v>
      </c>
      <c r="K972" t="s">
        <v>10669</v>
      </c>
      <c r="L972" t="s">
        <v>10670</v>
      </c>
      <c r="M972" t="s">
        <v>10671</v>
      </c>
      <c r="N972">
        <f>-654.261001593717 -48.9781141398568 -556.349904193923</f>
        <v>-1259.5890199274968</v>
      </c>
      <c r="O972">
        <f>-650.294505681014 -183.965206636483 -530.636695882835</f>
        <v>-1364.8964082003322</v>
      </c>
      <c r="P972">
        <f>-679.908593188803 -253.319882641885 -246.200105868013</f>
        <v>-1179.428581698701</v>
      </c>
      <c r="Q972">
        <f>-502.975109348091 -118.586399624058 -338.894705505723</f>
        <v>-960.45621447787198</v>
      </c>
      <c r="R972" t="s">
        <v>10672</v>
      </c>
      <c r="S972" t="s">
        <v>10673</v>
      </c>
      <c r="T972" t="s">
        <v>10674</v>
      </c>
      <c r="U972" t="s">
        <v>10675</v>
      </c>
      <c r="V972">
        <f>-606.782375651988 -113.945080924856 -96.6189491429897</f>
        <v>-817.34640571983368</v>
      </c>
      <c r="W972" t="s">
        <v>10676</v>
      </c>
      <c r="X972" t="s">
        <v>10677</v>
      </c>
      <c r="Y972" t="s">
        <v>10678</v>
      </c>
    </row>
    <row r="973" spans="1:25" x14ac:dyDescent="0.3">
      <c r="A973">
        <v>48600</v>
      </c>
      <c r="B973" t="s">
        <v>10679</v>
      </c>
      <c r="C973">
        <f>-618.332824331442 -19.1085191613636 -96.7479555929235</f>
        <v>-734.18929908572909</v>
      </c>
      <c r="D973">
        <f>-643.191110972402 -23.749597787121 -209.782266177678</f>
        <v>-876.72297493720112</v>
      </c>
      <c r="E973">
        <f>-652.980532090413 -24.5358300446771 -307.91588097676</f>
        <v>-985.43224311185008</v>
      </c>
      <c r="F973">
        <f>-657.761425001097 -24.1214677413013 -396.883375709798</f>
        <v>-1078.7662684521963</v>
      </c>
      <c r="G973">
        <f>-658.101473771736 -22.6078981501646 -485.966534254527</f>
        <v>-1166.6759061764276</v>
      </c>
      <c r="H973">
        <f>-653.905307245792 -19.3954745024862 -610.437112875344</f>
        <v>-1283.7378946236222</v>
      </c>
      <c r="I973">
        <f>-623.103369664848 -16.0895517297297 -687.543021848258</f>
        <v>-1326.7359432428357</v>
      </c>
      <c r="J973" t="s">
        <v>10680</v>
      </c>
      <c r="K973" t="s">
        <v>10681</v>
      </c>
      <c r="L973" t="s">
        <v>10682</v>
      </c>
      <c r="M973" t="s">
        <v>10683</v>
      </c>
      <c r="N973">
        <f>-654.115413288867 -48.4619388032946 -556.322263179506</f>
        <v>-1258.8996152716677</v>
      </c>
      <c r="O973">
        <f>-650.369770364632 -183.468749172606 -530.68051847625</f>
        <v>-1364.5190380134879</v>
      </c>
      <c r="P973">
        <f>-680.078322447052 -252.890963865135 -246.270379424404</f>
        <v>-1179.239665736591</v>
      </c>
      <c r="Q973">
        <f>-502.872829004161 -118.408793056735 -338.810124065515</f>
        <v>-960.09174612641095</v>
      </c>
      <c r="R973" t="s">
        <v>10684</v>
      </c>
      <c r="S973" t="s">
        <v>10685</v>
      </c>
      <c r="T973" t="s">
        <v>10686</v>
      </c>
      <c r="U973" t="s">
        <v>10687</v>
      </c>
      <c r="V973">
        <f>-606.393632552645 -113.559666351149 -96.5939855062433</f>
        <v>-816.54728441003726</v>
      </c>
      <c r="W973" t="s">
        <v>10688</v>
      </c>
      <c r="X973" t="s">
        <v>10689</v>
      </c>
      <c r="Y973" t="s">
        <v>10690</v>
      </c>
    </row>
    <row r="974" spans="1:25" x14ac:dyDescent="0.3">
      <c r="A974">
        <v>48650</v>
      </c>
      <c r="B974" t="s">
        <v>10691</v>
      </c>
      <c r="C974">
        <f>-618.067187523014 -18.8623324461209 -96.7317248237046</f>
        <v>-733.66124479283951</v>
      </c>
      <c r="D974">
        <f>-642.934431714238 -23.4623202963551 -209.765625895533</f>
        <v>-876.16237790612604</v>
      </c>
      <c r="E974">
        <f>-652.766542727569 -24.2238424712841 -307.895297702507</f>
        <v>-984.88568290136004</v>
      </c>
      <c r="F974">
        <f>-657.600527477163 -23.790459473079 -396.859691075971</f>
        <v>-1078.2506780262129</v>
      </c>
      <c r="G974">
        <f>-658.008054621274 -22.2609666501664 -485.942468835318</f>
        <v>-1166.2114901067584</v>
      </c>
      <c r="H974">
        <f>-653.921326767216 -19.0296015004044 -610.416039221729</f>
        <v>-1283.3669674893495</v>
      </c>
      <c r="I974">
        <f>-623.155810147605 -15.7380402343688 -687.537308140968</f>
        <v>-1326.4311585229418</v>
      </c>
      <c r="J974" t="s">
        <v>10692</v>
      </c>
      <c r="K974" t="s">
        <v>10693</v>
      </c>
      <c r="L974" t="s">
        <v>10694</v>
      </c>
      <c r="M974" t="s">
        <v>10695</v>
      </c>
      <c r="N974">
        <f>-654.114959001057 -48.1061580765047 -556.306650395593</f>
        <v>-1258.5277674731547</v>
      </c>
      <c r="O974">
        <f>-650.509432719405 -183.122971233457 -530.698008182061</f>
        <v>-1364.3304121349229</v>
      </c>
      <c r="P974">
        <f>-680.222541490717 -252.600593619832 -246.301874291298</f>
        <v>-1179.1250094018471</v>
      </c>
      <c r="Q974">
        <f>-502.884389723393 -118.26641212521 -338.802566177277</f>
        <v>-959.95336802588008</v>
      </c>
      <c r="R974" t="s">
        <v>10696</v>
      </c>
      <c r="S974" t="s">
        <v>10697</v>
      </c>
      <c r="T974" t="s">
        <v>10698</v>
      </c>
      <c r="U974" t="s">
        <v>10699</v>
      </c>
      <c r="V974">
        <f>-606.211397498975 -113.30319982974 -96.5877982662104</f>
        <v>-816.10239559492538</v>
      </c>
      <c r="W974" t="s">
        <v>10700</v>
      </c>
      <c r="X974" t="s">
        <v>10701</v>
      </c>
      <c r="Y974" t="s">
        <v>10702</v>
      </c>
    </row>
    <row r="975" spans="1:25" x14ac:dyDescent="0.3">
      <c r="A975">
        <v>48700</v>
      </c>
      <c r="B975" t="s">
        <v>10703</v>
      </c>
      <c r="C975">
        <f>-617.503118193959 -18.5964116758471 -96.6758207787371</f>
        <v>-732.77535064854328</v>
      </c>
      <c r="D975">
        <f>-642.404303091555 -23.1451939496101 -209.704409948274</f>
        <v>-875.25390698943909</v>
      </c>
      <c r="E975">
        <f>-652.331418155502 -23.8744186171009 -307.824586205541</f>
        <v>-984.03042297814386</v>
      </c>
      <c r="F975">
        <f>-657.278049259361 -23.4147228068964 -396.782875623246</f>
        <v>-1077.4756476895034</v>
      </c>
      <c r="G975">
        <f>-657.825040977474 -21.8630569334889 -485.864375966658</f>
        <v>-1165.552473877621</v>
      </c>
      <c r="H975">
        <f>-653.960835775325 -18.6044999439134 -610.344396781346</f>
        <v>-1282.9097325005844</v>
      </c>
      <c r="I975">
        <f>-623.270450301287 -15.3657139293146 -687.497795513597</f>
        <v>-1326.1339597441986</v>
      </c>
      <c r="J975" t="s">
        <v>10704</v>
      </c>
      <c r="K975" t="s">
        <v>10705</v>
      </c>
      <c r="L975" t="s">
        <v>10706</v>
      </c>
      <c r="M975" t="s">
        <v>10707</v>
      </c>
      <c r="N975">
        <f>-654.122433702954 -47.6965147665446 -556.243202994077</f>
        <v>-1258.0621514635757</v>
      </c>
      <c r="O975">
        <f>-650.7867794973 -182.728356741185 -530.691841350728</f>
        <v>-1364.206977589213</v>
      </c>
      <c r="P975">
        <f>-680.538770695907 -252.162894447231 -246.28916936458</f>
        <v>-1178.9908345077181</v>
      </c>
      <c r="Q975">
        <f>-502.932035171834 -118.216174883376 -338.836338453629</f>
        <v>-959.984548508839</v>
      </c>
      <c r="R975" t="s">
        <v>10708</v>
      </c>
      <c r="S975" t="s">
        <v>10709</v>
      </c>
      <c r="T975" t="s">
        <v>10710</v>
      </c>
      <c r="U975" t="s">
        <v>10711</v>
      </c>
      <c r="V975">
        <f>-605.787446639532 -113.068926168782 -96.5563432143931</f>
        <v>-815.41271602270717</v>
      </c>
      <c r="W975" t="s">
        <v>10712</v>
      </c>
      <c r="X975" t="s">
        <v>10713</v>
      </c>
      <c r="Y975" t="s">
        <v>10714</v>
      </c>
    </row>
    <row r="976" spans="1:25" x14ac:dyDescent="0.3">
      <c r="A976">
        <v>48750</v>
      </c>
      <c r="B976" t="s">
        <v>10715</v>
      </c>
      <c r="C976">
        <f>-617.213215828205 -18.434933247057 -96.6590419884006</f>
        <v>-732.30719106366257</v>
      </c>
      <c r="D976">
        <f>-642.127687756475 -22.9708280106263 -209.685221137268</f>
        <v>-874.78373690436933</v>
      </c>
      <c r="E976">
        <f>-652.092919533676 -23.6878906203001 -307.801674419243</f>
        <v>-983.58248457321906</v>
      </c>
      <c r="F976">
        <f>-657.084736872161 -23.2164167226251 -396.757328454236</f>
        <v>-1077.0584820490221</v>
      </c>
      <c r="G976">
        <f>-657.687487316804 -21.6524646128319 -485.838402195228</f>
        <v>-1165.1783541248637</v>
      </c>
      <c r="H976">
        <f>-653.912198373106 -18.3764282523275 -610.320630011764</f>
        <v>-1282.6092566371976</v>
      </c>
      <c r="I976">
        <f>-623.252053326247 -15.1648850224738 -687.48709093224</f>
        <v>-1325.9040292809609</v>
      </c>
      <c r="J976" t="s">
        <v>10716</v>
      </c>
      <c r="K976" t="s">
        <v>10717</v>
      </c>
      <c r="L976" t="s">
        <v>10718</v>
      </c>
      <c r="M976" t="s">
        <v>10719</v>
      </c>
      <c r="N976">
        <f>-654.060513039427 -47.4773593089287 -556.22420341251</f>
        <v>-1257.7620757608656</v>
      </c>
      <c r="O976">
        <f>-650.834490638109 -182.515519099496 -530.684862462084</f>
        <v>-1364.0348721996888</v>
      </c>
      <c r="P976">
        <f>-680.607258967383 -251.895223143503 -246.270951509769</f>
        <v>-1178.7734336206549</v>
      </c>
      <c r="Q976">
        <f>-502.865844048127 -118.133457635749 -338.827108537544</f>
        <v>-959.82641022142002</v>
      </c>
      <c r="R976" t="s">
        <v>10720</v>
      </c>
      <c r="S976" t="s">
        <v>10721</v>
      </c>
      <c r="T976" t="s">
        <v>10722</v>
      </c>
      <c r="U976" t="s">
        <v>10723</v>
      </c>
      <c r="V976">
        <f>-605.557741213205 -112.864204142899 -96.5401050204514</f>
        <v>-814.96205037655534</v>
      </c>
      <c r="W976" t="s">
        <v>10724</v>
      </c>
      <c r="X976" t="s">
        <v>10725</v>
      </c>
      <c r="Y976" t="s">
        <v>10726</v>
      </c>
    </row>
    <row r="977" spans="1:25" x14ac:dyDescent="0.3">
      <c r="A977">
        <v>48800</v>
      </c>
      <c r="B977" t="s">
        <v>10727</v>
      </c>
      <c r="C977">
        <f>-616.951429167661 -18.3284540344853 -96.6453140843514</f>
        <v>-731.92519728649768</v>
      </c>
      <c r="D977">
        <f>-641.856634318634 -22.8378530523769 -209.674602027305</f>
        <v>-874.36908939831585</v>
      </c>
      <c r="E977">
        <f>-651.83641592128 -23.5423956959842 -307.789630730719</f>
        <v>-983.16844234798327</v>
      </c>
      <c r="F977">
        <f>-656.850643342448 -23.0635091053719 -396.743949575099</f>
        <v>-1076.6581020229189</v>
      </c>
      <c r="G977">
        <f>-657.485017192785 -21.4960291113466 -485.824737526282</f>
        <v>-1164.8057838304135</v>
      </c>
      <c r="H977">
        <f>-653.763529798152 -18.2195201411178 -610.308640174352</f>
        <v>-1282.2916901136218</v>
      </c>
      <c r="I977">
        <f>-623.128161543547 -15.0374681881574 -687.486100044487</f>
        <v>-1325.6517297761914</v>
      </c>
      <c r="J977" t="s">
        <v>10728</v>
      </c>
      <c r="K977" t="s">
        <v>10729</v>
      </c>
      <c r="L977" t="s">
        <v>10730</v>
      </c>
      <c r="M977" t="s">
        <v>10731</v>
      </c>
      <c r="N977">
        <f>-653.914959772053 -47.3221236789664 -556.21304133884</f>
        <v>-1257.4501247898593</v>
      </c>
      <c r="O977">
        <f>-650.788758630101 -182.366234968815 -530.695480777938</f>
        <v>-1363.850474376854</v>
      </c>
      <c r="P977">
        <f>-680.580011581495 -251.749145732309 -246.284388897605</f>
        <v>-1178.6135462114089</v>
      </c>
      <c r="Q977">
        <f>-502.736471367349 -118.109705239793 -338.821090502726</f>
        <v>-959.66726710986791</v>
      </c>
      <c r="R977" t="s">
        <v>10732</v>
      </c>
      <c r="S977" t="s">
        <v>10733</v>
      </c>
      <c r="T977" t="s">
        <v>10734</v>
      </c>
      <c r="U977" t="s">
        <v>10735</v>
      </c>
      <c r="V977">
        <f>-605.369821504688 -112.793896427557 -96.5188199270442</f>
        <v>-814.68253785928925</v>
      </c>
      <c r="W977" t="s">
        <v>10736</v>
      </c>
      <c r="X977" t="s">
        <v>10737</v>
      </c>
      <c r="Y977" t="s">
        <v>10738</v>
      </c>
    </row>
    <row r="978" spans="1:25" x14ac:dyDescent="0.3">
      <c r="A978">
        <v>48850</v>
      </c>
      <c r="B978" t="s">
        <v>10739</v>
      </c>
      <c r="C978">
        <f>-616.421434441102 -17.9020783237304 -96.6108301648384</f>
        <v>-730.93434292967072</v>
      </c>
      <c r="D978">
        <f>-641.282860157066 -22.3671472353165 -209.651527108979</f>
        <v>-873.3015345013614</v>
      </c>
      <c r="E978">
        <f>-651.284444130878 -23.0690308307057 -307.764392722814</f>
        <v>-982.11786768439777</v>
      </c>
      <c r="F978">
        <f>-656.342957929941 -22.60073816723 -396.716294564408</f>
        <v>-1075.6599906615791</v>
      </c>
      <c r="G978">
        <f>-657.046154627121 -21.057739580496 -485.796890196151</f>
        <v>-1163.9007844037681</v>
      </c>
      <c r="H978">
        <f>-653.446604506913 -17.8298838368848 -610.285607538224</f>
        <v>-1281.5620958820218</v>
      </c>
      <c r="I978">
        <f>-622.882772746963 -14.7066243001111 -687.493831942368</f>
        <v>-1325.0832289894422</v>
      </c>
      <c r="J978" t="s">
        <v>10740</v>
      </c>
      <c r="K978" t="s">
        <v>10741</v>
      </c>
      <c r="L978" t="s">
        <v>10742</v>
      </c>
      <c r="M978" t="s">
        <v>10743</v>
      </c>
      <c r="N978">
        <f>-653.607616114133 -46.9144827322298 -556.180461118192</f>
        <v>-1256.7025599645549</v>
      </c>
      <c r="O978">
        <f>-650.699671981555 -181.958068218305 -530.658097118913</f>
        <v>-1363.315837318773</v>
      </c>
      <c r="P978">
        <f>-680.491704193978 -251.298817293948 -246.236766602498</f>
        <v>-1178.027288090424</v>
      </c>
      <c r="Q978">
        <f>-502.513673194812 -117.830624944473 -338.762013350405</f>
        <v>-959.10631148969003</v>
      </c>
      <c r="R978" t="s">
        <v>10744</v>
      </c>
      <c r="S978" t="s">
        <v>10745</v>
      </c>
      <c r="T978" t="s">
        <v>10746</v>
      </c>
      <c r="U978" t="s">
        <v>10747</v>
      </c>
      <c r="V978">
        <f>-605.021330903978 -112.290045026083 -96.4811069675392</f>
        <v>-813.79248289760017</v>
      </c>
      <c r="W978" t="s">
        <v>10748</v>
      </c>
      <c r="X978" t="s">
        <v>10749</v>
      </c>
      <c r="Y978" t="s">
        <v>10750</v>
      </c>
    </row>
    <row r="979" spans="1:25" x14ac:dyDescent="0.3">
      <c r="A979">
        <v>48900</v>
      </c>
      <c r="B979" t="s">
        <v>10751</v>
      </c>
      <c r="C979">
        <f>-615.905566734601 -17.482242294886 -96.5554108917632</f>
        <v>-729.94321992125026</v>
      </c>
      <c r="D979">
        <f>-640.727144619345 -21.8859234291469 -209.607184966708</f>
        <v>-872.2202530152</v>
      </c>
      <c r="E979">
        <f>-650.7492264699 -22.5743074538464 -307.718075533156</f>
        <v>-981.04160945690239</v>
      </c>
      <c r="F979">
        <f>-655.848872779921 -22.1082423164489 -396.66763045589</f>
        <v>-1074.6247455522598</v>
      </c>
      <c r="G979">
        <f>-656.616105735811 -20.5823639687244 -485.748014182339</f>
        <v>-1162.9464838868744</v>
      </c>
      <c r="H979">
        <f>-653.130039257152 -17.3935344107192 -610.240976996197</f>
        <v>-1280.7645506640683</v>
      </c>
      <c r="I979">
        <f>-622.634703899137 -14.3344756022043 -687.479084865779</f>
        <v>-1324.4482643671204</v>
      </c>
      <c r="J979" t="s">
        <v>10752</v>
      </c>
      <c r="K979" t="s">
        <v>10753</v>
      </c>
      <c r="L979" t="s">
        <v>10754</v>
      </c>
      <c r="M979" t="s">
        <v>10755</v>
      </c>
      <c r="N979">
        <f>-653.301577111109 -46.4641931443477 -556.128350022423</f>
        <v>-1255.8941202778797</v>
      </c>
      <c r="O979">
        <f>-650.631097482937 -181.523406346418 -530.626508214529</f>
        <v>-1362.7810120438839</v>
      </c>
      <c r="P979">
        <f>-680.493946085813 -250.842555774384 -246.207384652323</f>
        <v>-1177.54388651252</v>
      </c>
      <c r="Q979">
        <f>-502.292001978345 -117.644027520873 -338.690375891079</f>
        <v>-958.6264053902969</v>
      </c>
      <c r="R979" t="s">
        <v>10756</v>
      </c>
      <c r="S979" t="s">
        <v>10757</v>
      </c>
      <c r="T979" t="s">
        <v>10758</v>
      </c>
      <c r="U979" t="s">
        <v>10759</v>
      </c>
      <c r="V979">
        <f>-604.669241839157 -111.948291265512 -96.4492759882529</f>
        <v>-813.06680909292197</v>
      </c>
      <c r="W979" t="s">
        <v>10760</v>
      </c>
      <c r="X979" t="s">
        <v>10761</v>
      </c>
      <c r="Y979" t="s">
        <v>10762</v>
      </c>
    </row>
    <row r="980" spans="1:25" x14ac:dyDescent="0.3">
      <c r="A980">
        <v>48950</v>
      </c>
      <c r="B980" t="s">
        <v>10763</v>
      </c>
      <c r="C980">
        <f>-615.631655955477 -17.1959012529342 -96.5486967195626</f>
        <v>-729.37625392797372</v>
      </c>
      <c r="D980">
        <f>-640.44616047545 -21.5701084064078 -209.603331288297</f>
        <v>-871.61960017015485</v>
      </c>
      <c r="E980">
        <f>-650.486271714502 -22.2498042290194 -307.712337787488</f>
        <v>-980.4484137310094</v>
      </c>
      <c r="F980">
        <f>-655.61221822678 -21.7818681071337 -396.660408485012</f>
        <v>-1074.0544948189258</v>
      </c>
      <c r="G980">
        <f>-656.41575256273 -20.260316443484 -485.740639938917</f>
        <v>-1162.4167089451309</v>
      </c>
      <c r="H980">
        <f>-652.991088452683 -17.0844355433817 -610.235539618175</f>
        <v>-1280.3110636142396</v>
      </c>
      <c r="I980">
        <f>-622.530965579455 -14.0684631460276 -687.489081509887</f>
        <v>-1324.0885102353695</v>
      </c>
      <c r="J980" t="s">
        <v>10764</v>
      </c>
      <c r="K980" t="s">
        <v>10765</v>
      </c>
      <c r="L980" t="s">
        <v>10766</v>
      </c>
      <c r="M980" t="s">
        <v>10767</v>
      </c>
      <c r="N980">
        <f>-653.168762761726 -46.1510167713875 -556.120720682655</f>
        <v>-1255.4405002157687</v>
      </c>
      <c r="O980">
        <f>-650.637046486088 -181.207661183162 -530.626921870698</f>
        <v>-1362.471629539948</v>
      </c>
      <c r="P980">
        <f>-680.565924025077 -250.485500453858 -246.20454466732</f>
        <v>-1177.255969146255</v>
      </c>
      <c r="Q980">
        <f>-502.213042082792 -117.477187734919 -338.670205836882</f>
        <v>-958.36043565459306</v>
      </c>
      <c r="R980" t="s">
        <v>10768</v>
      </c>
      <c r="S980" t="s">
        <v>10769</v>
      </c>
      <c r="T980" t="s">
        <v>10770</v>
      </c>
      <c r="U980" t="s">
        <v>10771</v>
      </c>
      <c r="V980">
        <f>-604.49768742232 -111.602334731986 -96.4474049027522</f>
        <v>-812.54742705705826</v>
      </c>
      <c r="W980" t="s">
        <v>10772</v>
      </c>
      <c r="X980" t="s">
        <v>10773</v>
      </c>
      <c r="Y980" t="s">
        <v>10774</v>
      </c>
    </row>
    <row r="981" spans="1:25" x14ac:dyDescent="0.3">
      <c r="A981">
        <v>49000</v>
      </c>
      <c r="B981" t="s">
        <v>10775</v>
      </c>
      <c r="C981">
        <f>-614.98558683419 -16.7009052686753 -96.5454797617471</f>
        <v>-728.23197186461243</v>
      </c>
      <c r="D981">
        <f>-639.784020147873 -21.0010702226982 -209.606393228868</f>
        <v>-870.3914835994392</v>
      </c>
      <c r="E981">
        <f>-649.862855081219 -21.63684249832 -307.711820005601</f>
        <v>-979.21151758513997</v>
      </c>
      <c r="F981">
        <f>-655.045396283234 -21.1360098094517 -396.656394780127</f>
        <v>-1072.8378008728127</v>
      </c>
      <c r="G981">
        <f>-655.927012120207 -19.5893996732991 -485.735364873519</f>
        <v>-1161.2517766670251</v>
      </c>
      <c r="H981">
        <f>-652.633798819973 -16.3864706147797 -610.233173785704</f>
        <v>-1279.2534432204566</v>
      </c>
      <c r="I981">
        <f>-622.248663673663 -13.4436778437446 -687.519085472961</f>
        <v>-1323.2114269903686</v>
      </c>
      <c r="J981" t="s">
        <v>10776</v>
      </c>
      <c r="K981" t="s">
        <v>10777</v>
      </c>
      <c r="L981" t="s">
        <v>10778</v>
      </c>
      <c r="M981" t="s">
        <v>10779</v>
      </c>
      <c r="N981">
        <f>-652.82255157736 -45.467949863262 -556.126523272772</f>
        <v>-1254.4170247133939</v>
      </c>
      <c r="O981">
        <f>-650.583954548535 -180.539166315839 -530.645218650922</f>
        <v>-1361.7683395152958</v>
      </c>
      <c r="P981">
        <f>-680.61355771611 -249.746759536807 -246.216516002568</f>
        <v>-1176.5768332554849</v>
      </c>
      <c r="Q981">
        <f>-501.990094033311 -117.097697148145 -338.676019730682</f>
        <v>-957.76381091213796</v>
      </c>
      <c r="R981" t="s">
        <v>10780</v>
      </c>
      <c r="S981" t="s">
        <v>10781</v>
      </c>
      <c r="T981" t="s">
        <v>10782</v>
      </c>
      <c r="U981" t="s">
        <v>10783</v>
      </c>
      <c r="V981">
        <f>-603.923886509167 -111.031824504327 -96.4623220823838</f>
        <v>-811.41803309587783</v>
      </c>
      <c r="W981" t="s">
        <v>10784</v>
      </c>
      <c r="X981" t="s">
        <v>10785</v>
      </c>
      <c r="Y981" t="s">
        <v>10786</v>
      </c>
    </row>
    <row r="982" spans="1:25" x14ac:dyDescent="0.3">
      <c r="A982">
        <v>49050</v>
      </c>
      <c r="B982" t="s">
        <v>10787</v>
      </c>
      <c r="C982">
        <f>-614.634772420654 -16.4725542560388 -96.5342946141366</f>
        <v>-727.64162129082945</v>
      </c>
      <c r="D982">
        <f>-639.456899818615 -20.7251723898335 -209.591814348678</f>
        <v>-869.7738865571265</v>
      </c>
      <c r="E982">
        <f>-649.563561901357 -21.3298267990176 -307.694584808435</f>
        <v>-978.58797350880968</v>
      </c>
      <c r="F982">
        <f>-654.774310662442 -20.8033857889461 -396.637332922641</f>
        <v>-1072.2150293740292</v>
      </c>
      <c r="G982">
        <f>-655.687354985861 -19.2345557061419 -485.715625083572</f>
        <v>-1160.6375357755749</v>
      </c>
      <c r="H982">
        <f>-652.441501889308 -16.0036432011452 -610.21392842441</f>
        <v>-1278.6590735148634</v>
      </c>
      <c r="I982">
        <f>-622.088487092814 -13.0833086304303 -687.513442137636</f>
        <v>-1322.6852378608805</v>
      </c>
      <c r="J982" t="s">
        <v>10788</v>
      </c>
      <c r="K982" t="s">
        <v>10789</v>
      </c>
      <c r="L982" t="s">
        <v>10790</v>
      </c>
      <c r="M982" t="s">
        <v>10791</v>
      </c>
      <c r="N982">
        <f>-652.637235741627 -45.0984830813161 -556.114405225219</f>
        <v>-1253.8501240481621</v>
      </c>
      <c r="O982">
        <f>-650.529953957029 -180.174326270901 -530.661998992995</f>
        <v>-1361.366279220925</v>
      </c>
      <c r="P982">
        <f>-680.642969901525 -249.293455197767 -246.220567550488</f>
        <v>-1176.15699264978</v>
      </c>
      <c r="Q982">
        <f>-501.854643266052 -116.850728448574 -338.657213926902</f>
        <v>-957.36258564152809</v>
      </c>
      <c r="R982" t="s">
        <v>10792</v>
      </c>
      <c r="S982" t="s">
        <v>10793</v>
      </c>
      <c r="T982" t="s">
        <v>10794</v>
      </c>
      <c r="U982" t="s">
        <v>10795</v>
      </c>
      <c r="V982">
        <f>-603.66241951962 -110.811381380649 -96.4603454340165</f>
        <v>-810.93414633428551</v>
      </c>
      <c r="W982" t="s">
        <v>10796</v>
      </c>
      <c r="X982" t="s">
        <v>10797</v>
      </c>
      <c r="Y982" t="s">
        <v>10798</v>
      </c>
    </row>
    <row r="983" spans="1:25" x14ac:dyDescent="0.3">
      <c r="A983">
        <v>49100</v>
      </c>
      <c r="B983" t="s">
        <v>10799</v>
      </c>
      <c r="C983">
        <f>-614.105302997891 -16.0604816123684 -96.5105005646556</f>
        <v>-726.67628517491505</v>
      </c>
      <c r="D983">
        <f>-638.991080247648 -20.2224899713922 -209.557317348736</f>
        <v>-868.77088756777619</v>
      </c>
      <c r="E983">
        <f>-649.183742495283 -20.7541279199006 -307.65165655408</f>
        <v>-977.5895269692636</v>
      </c>
      <c r="F983">
        <f>-654.485132652328 -20.162586943037 -396.588550326477</f>
        <v>-1071.236269921842</v>
      </c>
      <c r="G983">
        <f>-655.501603569499 -18.5293659155941 -485.664678249697</f>
        <v>-1159.6956477347901</v>
      </c>
      <c r="H983">
        <f>-652.413500683156 -15.2095745875718 -610.164648562807</f>
        <v>-1277.7877238335348</v>
      </c>
      <c r="I983">
        <f>-622.135934622626 -12.2996953498944 -687.494015222969</f>
        <v>-1321.9296451954892</v>
      </c>
      <c r="J983" t="s">
        <v>10800</v>
      </c>
      <c r="K983" t="s">
        <v>10801</v>
      </c>
      <c r="L983" t="s">
        <v>10802</v>
      </c>
      <c r="M983" t="s">
        <v>10803</v>
      </c>
      <c r="N983">
        <f>-652.58670965151 -44.3449506485726 -556.08691546988</f>
        <v>-1253.0185757699626</v>
      </c>
      <c r="O983">
        <f>-650.660067515065 -179.444619081756 -530.74735314945</f>
        <v>-1360.852039746271</v>
      </c>
      <c r="P983">
        <f>-680.707245362591 -248.761105065493 -246.346900824538</f>
        <v>-1175.8152512526221</v>
      </c>
      <c r="Q983">
        <f>-501.768663747942 -116.454333266369 -338.687367051446</f>
        <v>-956.91036406575699</v>
      </c>
      <c r="R983" t="s">
        <v>10804</v>
      </c>
      <c r="S983" t="s">
        <v>10805</v>
      </c>
      <c r="T983" t="s">
        <v>10806</v>
      </c>
      <c r="U983" t="s">
        <v>10807</v>
      </c>
      <c r="V983">
        <f>-603.242058150176 -110.45111412214 -96.4625692997869</f>
        <v>-810.1557415721029</v>
      </c>
      <c r="W983" t="s">
        <v>10808</v>
      </c>
      <c r="X983" t="s">
        <v>10809</v>
      </c>
      <c r="Y983" t="s">
        <v>10810</v>
      </c>
    </row>
    <row r="984" spans="1:25" x14ac:dyDescent="0.3">
      <c r="A984">
        <v>49150</v>
      </c>
      <c r="B984" t="s">
        <v>10811</v>
      </c>
      <c r="C984">
        <f>-613.85280520757 -16.0594226745652 -96.4850774994279</f>
        <v>-726.39730538156311</v>
      </c>
      <c r="D984">
        <f>-638.751671722235 -20.2009830210234 -209.529797922974</f>
        <v>-868.48245266623235</v>
      </c>
      <c r="E984">
        <f>-648.98711868247 -20.6977631553743 -307.619827645786</f>
        <v>-977.3047094836304</v>
      </c>
      <c r="F984">
        <f>-654.339562201666 -20.067572005185 -396.553437399982</f>
        <v>-1070.9605716068329</v>
      </c>
      <c r="G984">
        <f>-655.419288006461 -18.3887987042904 -485.627978347488</f>
        <v>-1159.4360650582394</v>
      </c>
      <c r="H984">
        <f>-652.432509345475 -14.9983748455768 -610.12857606008</f>
        <v>-1277.5594602511319</v>
      </c>
      <c r="I984">
        <f>-622.201995121217 -12.0708392287252 -687.475545542083</f>
        <v>-1321.7483798920252</v>
      </c>
      <c r="J984" t="s">
        <v>10812</v>
      </c>
      <c r="K984" t="s">
        <v>10813</v>
      </c>
      <c r="L984" t="s">
        <v>10814</v>
      </c>
      <c r="M984" t="s">
        <v>10815</v>
      </c>
      <c r="N984">
        <f>-652.583399541674 -44.1653665554018 -556.067712032559</f>
        <v>-1252.8164781296348</v>
      </c>
      <c r="O984">
        <f>-650.736752351006 -179.28173142679 -530.815483132253</f>
        <v>-1360.833966910049</v>
      </c>
      <c r="P984">
        <f>-680.681111126775 -248.801397560435 -246.453738904883</f>
        <v>-1175.936247592093</v>
      </c>
      <c r="Q984">
        <f>-501.714150901837 -116.489691370698 -338.732149550988</f>
        <v>-956.93599182352295</v>
      </c>
      <c r="R984" t="s">
        <v>10816</v>
      </c>
      <c r="S984" t="s">
        <v>10817</v>
      </c>
      <c r="T984" t="s">
        <v>10818</v>
      </c>
      <c r="U984" t="s">
        <v>10819</v>
      </c>
      <c r="V984">
        <f>-603.030963413744 -110.482943986544 -96.4571946824575</f>
        <v>-809.97110208274546</v>
      </c>
      <c r="W984" t="s">
        <v>10820</v>
      </c>
      <c r="X984" t="s">
        <v>10821</v>
      </c>
      <c r="Y984" t="s">
        <v>10822</v>
      </c>
    </row>
    <row r="985" spans="1:25" x14ac:dyDescent="0.3">
      <c r="A985">
        <v>49200</v>
      </c>
      <c r="B985" t="s">
        <v>10823</v>
      </c>
      <c r="C985">
        <f>-613.404213743074 -16.1339027312911 -96.4234873092379</f>
        <v>-725.96160378360298</v>
      </c>
      <c r="D985">
        <f>-638.32283028314 -20.2076344690045 -209.466424387893</f>
        <v>-867.99688914003741</v>
      </c>
      <c r="E985">
        <f>-648.632533968872 -20.6164954572378 -307.548919189783</f>
        <v>-976.79794861589289</v>
      </c>
      <c r="F985">
        <f>-654.075036700566 -19.8948303566649 -396.47648352414</f>
        <v>-1070.446350581371</v>
      </c>
      <c r="G985">
        <f>-655.267291114367 -18.1133583633009 -485.547522465084</f>
        <v>-1158.928171942752</v>
      </c>
      <c r="H985">
        <f>-652.460836449655 -14.5672689520745 -610.047818610706</f>
        <v>-1277.0759240124355</v>
      </c>
      <c r="I985">
        <f>-622.342176969773 -11.5677205641098 -687.43588973155</f>
        <v>-1321.3457872654328</v>
      </c>
      <c r="J985" t="s">
        <v>10824</v>
      </c>
      <c r="K985" t="s">
        <v>10825</v>
      </c>
      <c r="L985" t="s">
        <v>10826</v>
      </c>
      <c r="M985" t="s">
        <v>10827</v>
      </c>
      <c r="N985">
        <f>-652.571542790875 -43.8033616575927 -556.024303595852</f>
        <v>-1252.3992080443197</v>
      </c>
      <c r="O985">
        <f>-650.846291620708 -178.956157331936 -530.94178469974</f>
        <v>-1360.7442336523841</v>
      </c>
      <c r="P985">
        <f>-680.663992076237 -248.753188215648 -246.634753743635</f>
        <v>-1176.0519340355202</v>
      </c>
      <c r="Q985">
        <f>-501.623169443643 -116.464265104623 -338.80241593046</f>
        <v>-956.88985047872598</v>
      </c>
      <c r="R985" t="s">
        <v>10828</v>
      </c>
      <c r="S985" t="s">
        <v>10829</v>
      </c>
      <c r="T985" t="s">
        <v>10830</v>
      </c>
      <c r="U985" t="s">
        <v>10831</v>
      </c>
      <c r="V985">
        <f>-602.722143130334 -110.553643590402 -96.4388911158891</f>
        <v>-809.71467783662501</v>
      </c>
      <c r="W985" t="s">
        <v>10832</v>
      </c>
      <c r="X985" t="s">
        <v>10833</v>
      </c>
      <c r="Y985" t="s">
        <v>10834</v>
      </c>
    </row>
    <row r="986" spans="1:25" x14ac:dyDescent="0.3">
      <c r="A986">
        <v>49250</v>
      </c>
      <c r="B986" t="s">
        <v>10835</v>
      </c>
      <c r="C986">
        <f>-613.227021517198 -16.106831623847 -96.4054147540037</f>
        <v>-725.73926789504867</v>
      </c>
      <c r="D986">
        <f>-638.139365648984 -20.1525246455158 -209.450599485847</f>
        <v>-867.74248978034677</v>
      </c>
      <c r="E986">
        <f>-648.469758367165 -20.516501911947 -307.531389992654</f>
        <v>-976.517650271766</v>
      </c>
      <c r="F986">
        <f>-653.941208732036 -19.7455078044186 -396.456581250529</f>
        <v>-1070.1432977869836</v>
      </c>
      <c r="G986">
        <f>-655.172534069891 -17.9063530409853 -485.525952584015</f>
        <v>-1158.6048396948913</v>
      </c>
      <c r="H986">
        <f>-652.431131846593 -14.2710934097556 -610.025297209803</f>
        <v>-1276.7275224661516</v>
      </c>
      <c r="I986">
        <f>-622.366967699179 -11.2256982852616 -687.432498877547</f>
        <v>-1321.0251648619876</v>
      </c>
      <c r="J986" t="s">
        <v>10836</v>
      </c>
      <c r="K986" t="s">
        <v>10837</v>
      </c>
      <c r="L986" t="s">
        <v>10838</v>
      </c>
      <c r="M986" t="s">
        <v>10839</v>
      </c>
      <c r="N986">
        <f>-652.528186472899 -43.5465635718825 -556.022923994225</f>
        <v>-1252.0976740390065</v>
      </c>
      <c r="O986">
        <f>-650.842180607747 -178.713488007272 -531.028980732069</f>
        <v>-1360.5846493470881</v>
      </c>
      <c r="P986">
        <f>-680.566692718681 -248.652174287181 -246.747039386817</f>
        <v>-1175.965906392679</v>
      </c>
      <c r="Q986">
        <f>-501.482714394686 -116.366534320726 -338.83573418911</f>
        <v>-956.68498290452203</v>
      </c>
      <c r="R986" t="s">
        <v>10840</v>
      </c>
      <c r="S986" t="s">
        <v>10841</v>
      </c>
      <c r="T986" t="s">
        <v>10842</v>
      </c>
      <c r="U986" t="s">
        <v>10843</v>
      </c>
      <c r="V986">
        <f>-602.57487991086 -110.519742841147 -96.4459029898699</f>
        <v>-809.54052574187688</v>
      </c>
      <c r="W986" t="s">
        <v>10844</v>
      </c>
      <c r="X986" t="s">
        <v>10845</v>
      </c>
      <c r="Y986" t="s">
        <v>10846</v>
      </c>
    </row>
    <row r="987" spans="1:25" x14ac:dyDescent="0.3">
      <c r="A987">
        <v>49300</v>
      </c>
      <c r="B987" t="s">
        <v>10847</v>
      </c>
      <c r="C987">
        <f>-612.938412583448 -16.0861539838991 -96.3890022164395</f>
        <v>-725.41356878378656</v>
      </c>
      <c r="D987">
        <f>-637.860747076912 -20.090974071001 -209.433491666069</f>
        <v>-867.38521281398209</v>
      </c>
      <c r="E987">
        <f>-648.223205716213 -20.3698785400995 -307.510962184269</f>
        <v>-976.10404644058144</v>
      </c>
      <c r="F987">
        <f>-653.732486913987 -19.5021069896513 -396.433039930615</f>
        <v>-1069.6676338342534</v>
      </c>
      <c r="G987">
        <f>-655.010294439757 -17.5463490048405 -485.499235081469</f>
        <v>-1158.0558785260664</v>
      </c>
      <c r="H987">
        <f>-652.342575655037 -13.7277679286694 -609.994737791824</f>
        <v>-1276.0650813755306</v>
      </c>
      <c r="I987">
        <f>-622.367058489997 -10.5881828804957 -687.432664037137</f>
        <v>-1320.3879054076297</v>
      </c>
      <c r="J987" t="s">
        <v>10848</v>
      </c>
      <c r="K987" t="s">
        <v>10849</v>
      </c>
      <c r="L987" t="s">
        <v>10850</v>
      </c>
      <c r="M987" t="s">
        <v>10851</v>
      </c>
      <c r="N987">
        <f>-652.43544099775 -43.0837972250715 -556.03611790622</f>
        <v>-1251.5553561290417</v>
      </c>
      <c r="O987">
        <f>-650.828444097279 -178.294164234653 -531.250582018912</f>
        <v>-1360.3731903508442</v>
      </c>
      <c r="P987">
        <f>-680.452823601603 -248.533084322586 -247.032132003894</f>
        <v>-1176.018039928083</v>
      </c>
      <c r="Q987">
        <f>-501.282950406747 -116.220238398172 -338.91434075004</f>
        <v>-956.41752955495895</v>
      </c>
      <c r="R987" t="s">
        <v>10852</v>
      </c>
      <c r="S987" t="s">
        <v>10853</v>
      </c>
      <c r="T987" t="s">
        <v>10854</v>
      </c>
      <c r="U987" t="s">
        <v>10855</v>
      </c>
      <c r="V987">
        <f>-602.424046926073 -110.496233670122 -96.4409343465246</f>
        <v>-809.36121494271958</v>
      </c>
      <c r="W987" t="s">
        <v>10856</v>
      </c>
      <c r="X987" t="s">
        <v>10857</v>
      </c>
      <c r="Y987" t="s">
        <v>10858</v>
      </c>
    </row>
    <row r="988" spans="1:25" x14ac:dyDescent="0.3">
      <c r="A988">
        <v>49350</v>
      </c>
      <c r="B988" t="s">
        <v>10859</v>
      </c>
      <c r="C988">
        <f>-612.803369623514 -16.021175730295 -96.3711764359814</f>
        <v>-725.19572178979035</v>
      </c>
      <c r="D988">
        <f>-637.72399737827 -19.9921146066774 -209.417224634799</f>
        <v>-867.1333366197465</v>
      </c>
      <c r="E988">
        <f>-648.083049171163 -20.2205363324988 -307.495313504888</f>
        <v>-975.79889900854982</v>
      </c>
      <c r="F988">
        <f>-653.588204774951 -19.2984848060007 -396.417027786349</f>
        <v>-1069.3037173673008</v>
      </c>
      <c r="G988">
        <f>-654.860539741803 -17.2806309866505 -485.481875529377</f>
        <v>-1157.6230462578305</v>
      </c>
      <c r="H988">
        <f>-652.183769482299 -13.3667575574284 -609.974278302889</f>
        <v>-1275.5248053426164</v>
      </c>
      <c r="I988">
        <f>-622.234257495265 -10.1834185961147 -687.420550130042</f>
        <v>-1319.8382262214218</v>
      </c>
      <c r="J988" t="s">
        <v>10860</v>
      </c>
      <c r="K988" t="s">
        <v>10861</v>
      </c>
      <c r="L988" t="s">
        <v>10862</v>
      </c>
      <c r="M988" t="s">
        <v>10863</v>
      </c>
      <c r="N988">
        <f>-652.300292363493 -42.7648084666164 -556.038486518027</f>
        <v>-1251.1035873481364</v>
      </c>
      <c r="O988">
        <f>-650.764620775489 -177.994470088189 -531.342478460713</f>
        <v>-1360.101569324391</v>
      </c>
      <c r="P988">
        <f>-680.335925046484 -248.466822812224 -247.17638775321</f>
        <v>-1175.9791356119181</v>
      </c>
      <c r="Q988">
        <f>-501.16833386709 -116.096459825383 -338.980136581723</f>
        <v>-956.24493027419589</v>
      </c>
      <c r="R988" t="s">
        <v>10864</v>
      </c>
      <c r="S988" t="s">
        <v>10865</v>
      </c>
      <c r="T988" t="s">
        <v>10866</v>
      </c>
      <c r="U988" t="s">
        <v>10867</v>
      </c>
      <c r="V988">
        <f>-602.343864888637 -110.442475752251 -96.4364957740162</f>
        <v>-809.22283641490412</v>
      </c>
      <c r="W988" t="s">
        <v>10868</v>
      </c>
      <c r="X988" t="s">
        <v>10869</v>
      </c>
      <c r="Y988" t="s">
        <v>10870</v>
      </c>
    </row>
    <row r="989" spans="1:25" x14ac:dyDescent="0.3">
      <c r="A989">
        <v>49400</v>
      </c>
      <c r="B989" t="s">
        <v>10871</v>
      </c>
      <c r="C989">
        <f>-612.667337776973 -15.9206501074643 -96.3571853472265</f>
        <v>-724.94517323166383</v>
      </c>
      <c r="D989">
        <f>-637.566327652948 -19.8683189909161 -209.408895130208</f>
        <v>-866.84354177407204</v>
      </c>
      <c r="E989">
        <f>-647.901542389365 -20.0570679497716 -307.489518512908</f>
        <v>-975.44812885204465</v>
      </c>
      <c r="F989">
        <f>-653.382725916922 -19.0910345734703 -396.412288864062</f>
        <v>-1068.8860493544544</v>
      </c>
      <c r="G989">
        <f>-654.628673240015 -17.0215014642397 -485.476265733343</f>
        <v>-1157.1264404375977</v>
      </c>
      <c r="H989">
        <f>-651.912237621403 -13.0279212135706 -609.965280368538</f>
        <v>-1274.9054392035116</v>
      </c>
      <c r="I989">
        <f>-621.983098011901 -9.81273473207148 -687.418093403989</f>
        <v>-1319.2139261479615</v>
      </c>
      <c r="J989" t="s">
        <v>10872</v>
      </c>
      <c r="K989" t="s">
        <v>10873</v>
      </c>
      <c r="L989" t="s">
        <v>10874</v>
      </c>
      <c r="M989" t="s">
        <v>10875</v>
      </c>
      <c r="N989">
        <f>-652.06811318229 -42.4613862232186 -556.048875032254</f>
        <v>-1250.5783744377627</v>
      </c>
      <c r="O989">
        <f>-650.630156495517 -177.69609749774 -531.415062764352</f>
        <v>-1359.741316757609</v>
      </c>
      <c r="P989">
        <f>-680.20400611532 -248.339415551791 -247.291627040046</f>
        <v>-1175.8350487071571</v>
      </c>
      <c r="Q989">
        <f>-500.959057393511 -116.037645383999 -339.043377807811</f>
        <v>-956.04008058532099</v>
      </c>
      <c r="R989" t="s">
        <v>10876</v>
      </c>
      <c r="S989" t="s">
        <v>10877</v>
      </c>
      <c r="T989" t="s">
        <v>10878</v>
      </c>
      <c r="U989" t="s">
        <v>10879</v>
      </c>
      <c r="V989">
        <f>-602.268386447238 -110.310948485535 -96.4317753785251</f>
        <v>-809.01111031129813</v>
      </c>
      <c r="W989" t="s">
        <v>10880</v>
      </c>
      <c r="X989" t="s">
        <v>10881</v>
      </c>
      <c r="Y989" t="s">
        <v>10882</v>
      </c>
    </row>
    <row r="990" spans="1:25" x14ac:dyDescent="0.3">
      <c r="A990">
        <v>49450</v>
      </c>
      <c r="B990" t="s">
        <v>10883</v>
      </c>
      <c r="C990">
        <f>-612.386969418877 -15.7301424889936 -96.3197669222745</f>
        <v>-724.43687883014513</v>
      </c>
      <c r="D990">
        <f>-637.257571328522 -19.6202902287039 -209.379676474307</f>
        <v>-866.25753803153282</v>
      </c>
      <c r="E990">
        <f>-647.52821871759 -19.7343257494638 -307.467067905635</f>
        <v>-974.72961237268873</v>
      </c>
      <c r="F990">
        <f>-652.934595790848 -18.6906416121712 -396.393614719283</f>
        <v>-1068.0188521223022</v>
      </c>
      <c r="G990">
        <f>-654.088685915574 -16.535236969004 -485.456910743709</f>
        <v>-1156.0808336282871</v>
      </c>
      <c r="H990">
        <f>-651.225948489735 -12.41363905561 -609.938401350983</f>
        <v>-1273.577988896328</v>
      </c>
      <c r="I990">
        <f>-621.316265041602 -9.17895968193739 -687.397852549336</f>
        <v>-1317.8930772728754</v>
      </c>
      <c r="J990" t="s">
        <v>10884</v>
      </c>
      <c r="K990" t="s">
        <v>10885</v>
      </c>
      <c r="L990" t="s">
        <v>10886</v>
      </c>
      <c r="M990" t="s">
        <v>10887</v>
      </c>
      <c r="N990">
        <f>-651.502733773734 -41.9046405728277 -556.053998333003</f>
        <v>-1249.4613726795646</v>
      </c>
      <c r="O990">
        <f>-650.300387593234 -177.152940270085 -531.474911366773</f>
        <v>-1358.928239230092</v>
      </c>
      <c r="P990">
        <f>-680.066338845637 -247.845452086719 -247.383759808093</f>
        <v>-1175.295550740449</v>
      </c>
      <c r="Q990">
        <f>-500.589627480653 -115.919593241437 -339.223624358237</f>
        <v>-955.73284508032702</v>
      </c>
      <c r="R990" t="s">
        <v>10888</v>
      </c>
      <c r="S990" t="s">
        <v>10889</v>
      </c>
      <c r="T990" t="s">
        <v>10890</v>
      </c>
      <c r="U990" t="s">
        <v>10891</v>
      </c>
      <c r="V990">
        <f>-602.114350313163 -110.124882086711 -96.4170194803241</f>
        <v>-808.65625188019806</v>
      </c>
      <c r="W990" t="s">
        <v>10892</v>
      </c>
      <c r="X990" t="s">
        <v>10893</v>
      </c>
      <c r="Y990" t="s">
        <v>10894</v>
      </c>
    </row>
    <row r="991" spans="1:25" x14ac:dyDescent="0.3">
      <c r="A991">
        <v>49500</v>
      </c>
      <c r="B991" t="s">
        <v>10895</v>
      </c>
      <c r="C991">
        <f>-612.251077121353 -15.581359503152 -96.3052384898442</f>
        <v>-724.13767511434924</v>
      </c>
      <c r="D991">
        <f>-637.113825467984 -19.4331353942287 -209.368130833161</f>
        <v>-865.91509169537369</v>
      </c>
      <c r="E991">
        <f>-647.358754149295 -19.5108364666914 -307.458285393252</f>
        <v>-974.32787600923848</v>
      </c>
      <c r="F991">
        <f>-652.734107510066 -18.4334508672243 -396.386372435933</f>
        <v>-1067.5539308132234</v>
      </c>
      <c r="G991">
        <f>-653.849274909935 -16.2435893849963 -485.449303880024</f>
        <v>-1155.5421681749553</v>
      </c>
      <c r="H991">
        <f>-650.924041591222 -12.073860228506 -609.9276776372</f>
        <v>-1272.9255794569281</v>
      </c>
      <c r="I991">
        <f>-621.02838166656 -8.85812845139094 -687.393384954599</f>
        <v>-1317.2798950725501</v>
      </c>
      <c r="J991" t="s">
        <v>10896</v>
      </c>
      <c r="K991" t="s">
        <v>10897</v>
      </c>
      <c r="L991" t="s">
        <v>10898</v>
      </c>
      <c r="M991" t="s">
        <v>10899</v>
      </c>
      <c r="N991">
        <f>-651.257320567349 -41.5865881085692 -556.055554121308</f>
        <v>-1248.8994627972261</v>
      </c>
      <c r="O991">
        <f>-650.179792977363 -176.840280531871 -531.484803057388</f>
        <v>-1358.504876566622</v>
      </c>
      <c r="P991">
        <f>-680.075362539811 -247.411618861245 -247.377174324446</f>
        <v>-1174.8641557255019</v>
      </c>
      <c r="Q991">
        <f>-500.451040957732 -115.700342749576 -339.236385107711</f>
        <v>-955.38776881501894</v>
      </c>
      <c r="R991" t="s">
        <v>10900</v>
      </c>
      <c r="S991" t="s">
        <v>10901</v>
      </c>
      <c r="T991" t="s">
        <v>10902</v>
      </c>
      <c r="U991" t="s">
        <v>10903</v>
      </c>
      <c r="V991">
        <f>-602.022597161758 -109.96278506562 -96.4181958321874</f>
        <v>-808.40357805956535</v>
      </c>
      <c r="W991" t="s">
        <v>10904</v>
      </c>
      <c r="X991" t="s">
        <v>10905</v>
      </c>
      <c r="Y991" t="s">
        <v>10906</v>
      </c>
    </row>
    <row r="992" spans="1:25" x14ac:dyDescent="0.3">
      <c r="A992">
        <v>49550</v>
      </c>
      <c r="B992" t="s">
        <v>10907</v>
      </c>
      <c r="C992">
        <f>-612.057187092269 -15.4253121679365 -96.293952520609</f>
        <v>-723.77645178081445</v>
      </c>
      <c r="D992">
        <f>-636.905466184692 -19.2311940514539 -209.36176972085</f>
        <v>-865.49842995699601</v>
      </c>
      <c r="E992">
        <f>-647.099848576429 -19.2700303683489 -307.457082891266</f>
        <v>-973.82696183604389</v>
      </c>
      <c r="F992">
        <f>-652.41391568653 -18.1577181555301 -396.388408425536</f>
        <v>-1066.9600422675962</v>
      </c>
      <c r="G992">
        <f>-653.452153324804 -15.9348552598542 -485.451534732288</f>
        <v>-1154.8385433169462</v>
      </c>
      <c r="H992">
        <f>-650.402834527804 -11.7216502835115 -609.92540901058</f>
        <v>-1272.0498938218955</v>
      </c>
      <c r="I992">
        <f>-620.50718329869 -8.57939285459679 -687.394087418332</f>
        <v>-1316.4806635716188</v>
      </c>
      <c r="J992" t="s">
        <v>10908</v>
      </c>
      <c r="K992" t="s">
        <v>10909</v>
      </c>
      <c r="L992" t="s">
        <v>10910</v>
      </c>
      <c r="M992" t="s">
        <v>10911</v>
      </c>
      <c r="N992">
        <f>-650.852210116632 -41.2553599606704 -556.065577579145</f>
        <v>-1248.1731476564473</v>
      </c>
      <c r="O992">
        <f>-650.04076729711 -176.504483283731 -531.476354627344</f>
        <v>-1358.0216052081851</v>
      </c>
      <c r="P992">
        <f>-679.980446629323 -247.018149812987 -247.359062355208</f>
        <v>-1174.3576587975178</v>
      </c>
      <c r="Q992">
        <f>-500.205517956712 -115.529073501155 -339.242058843266</f>
        <v>-954.97665030113308</v>
      </c>
      <c r="R992" t="s">
        <v>10912</v>
      </c>
      <c r="S992" t="s">
        <v>10913</v>
      </c>
      <c r="T992" t="s">
        <v>10914</v>
      </c>
      <c r="U992" t="s">
        <v>10915</v>
      </c>
      <c r="V992">
        <f>-601.954973578988 -109.830542710615 -96.4078424543501</f>
        <v>-808.19335874395301</v>
      </c>
      <c r="W992" t="s">
        <v>10916</v>
      </c>
      <c r="X992" t="s">
        <v>10917</v>
      </c>
      <c r="Y992" t="s">
        <v>10918</v>
      </c>
    </row>
    <row r="993" spans="1:25" x14ac:dyDescent="0.3">
      <c r="A993">
        <v>49600</v>
      </c>
      <c r="B993" t="s">
        <v>10919</v>
      </c>
      <c r="C993">
        <f>-612.000905391677 -15.3580940690792 -96.2940779218934</f>
        <v>-723.6530773826496</v>
      </c>
      <c r="D993">
        <f>-636.839960818106 -19.1502859780417 -209.364323249193</f>
        <v>-865.35457004534067</v>
      </c>
      <c r="E993">
        <f>-647.01299316979 -19.1770007821644 -307.462022348572</f>
        <v>-973.65201630052638</v>
      </c>
      <c r="F993">
        <f>-652.302083019779 -18.0533395445705 -396.394619886142</f>
        <v>-1066.7500424504915</v>
      </c>
      <c r="G993">
        <f>-653.309871209855 -15.8195638181194 -485.457732585648</f>
        <v>-1154.5871676136223</v>
      </c>
      <c r="H993">
        <f>-650.212136633495 -11.5918295313109 -609.929865707923</f>
        <v>-1271.7338318727288</v>
      </c>
      <c r="I993">
        <f>-620.315738077001 -8.48136693389165 -687.39962676452</f>
        <v>-1316.1967317754127</v>
      </c>
      <c r="J993" t="s">
        <v>10920</v>
      </c>
      <c r="K993" t="s">
        <v>10921</v>
      </c>
      <c r="L993" t="s">
        <v>10922</v>
      </c>
      <c r="M993" t="s">
        <v>10923</v>
      </c>
      <c r="N993">
        <f>-650.704306996975 -41.1322996773104 -556.074360759777</f>
        <v>-1247.9109674340625</v>
      </c>
      <c r="O993">
        <f>-649.99505361735 -176.38111355375 -531.478153537399</f>
        <v>-1357.854320708499</v>
      </c>
      <c r="P993">
        <f>-679.9539932561 -246.834190451521 -247.347860918067</f>
        <v>-1174.1360446256881</v>
      </c>
      <c r="Q993">
        <f>-500.152439446596 -115.432624725493 -339.303815391361</f>
        <v>-954.88887956345002</v>
      </c>
      <c r="R993" t="s">
        <v>10924</v>
      </c>
      <c r="S993" t="s">
        <v>10925</v>
      </c>
      <c r="T993" t="s">
        <v>10926</v>
      </c>
      <c r="U993" t="s">
        <v>10927</v>
      </c>
      <c r="V993">
        <f>-601.946088115315 -109.761081862694 -96.4073439133264</f>
        <v>-808.11451389133538</v>
      </c>
      <c r="W993" t="s">
        <v>10928</v>
      </c>
      <c r="X993" t="s">
        <v>10929</v>
      </c>
      <c r="Y993" t="s">
        <v>10930</v>
      </c>
    </row>
    <row r="994" spans="1:25" x14ac:dyDescent="0.3">
      <c r="A994">
        <v>49650</v>
      </c>
      <c r="B994" t="s">
        <v>10931</v>
      </c>
      <c r="C994">
        <f>-611.807174004373 -14.9222423969275 -96.2632259204021</f>
        <v>-722.99264232170253</v>
      </c>
      <c r="D994">
        <f>-636.603086519864 -18.5694054431876 -209.347682829529</f>
        <v>-864.52017479258052</v>
      </c>
      <c r="E994">
        <f>-646.636941141049 -18.5378877305786 -307.459730684642</f>
        <v>-972.63455955626955</v>
      </c>
      <c r="F994">
        <f>-651.759455503012 -17.3881342704951 -396.401718099332</f>
        <v>-1065.5493078728391</v>
      </c>
      <c r="G994">
        <f>-652.559942293805 -15.157544857514 -485.466987211259</f>
        <v>-1153.1844743625779</v>
      </c>
      <c r="H994">
        <f>-649.130313566986 -10.9663461498394 -609.931742812417</f>
        <v>-1270.0284025292426</v>
      </c>
      <c r="I994">
        <f>-619.199184844853 -8.12844222902322 -687.398629472598</f>
        <v>-1314.7262565464744</v>
      </c>
      <c r="J994" t="s">
        <v>10932</v>
      </c>
      <c r="K994" t="s">
        <v>10933</v>
      </c>
      <c r="L994" t="s">
        <v>10934</v>
      </c>
      <c r="M994" t="s">
        <v>10935</v>
      </c>
      <c r="N994">
        <f>-649.901774236143 -40.4949298260285 -556.072878001416</f>
        <v>-1246.4695820635875</v>
      </c>
      <c r="O994">
        <f>-649.798189438551 -175.739423828645 -531.435697145807</f>
        <v>-1356.9733104130032</v>
      </c>
      <c r="P994">
        <f>-680.07761928907 -245.744876034071 -247.228770086178</f>
        <v>-1173.0512654093191</v>
      </c>
      <c r="Q994">
        <f>-499.88569223843 -115.07734926961 -339.465983025752</f>
        <v>-954.42902453379202</v>
      </c>
      <c r="R994" t="s">
        <v>10936</v>
      </c>
      <c r="S994" t="s">
        <v>10937</v>
      </c>
      <c r="T994" t="s">
        <v>10938</v>
      </c>
      <c r="U994" t="s">
        <v>10939</v>
      </c>
      <c r="V994">
        <f>-602.088918991582 -109.301550755052 -96.3862026373213</f>
        <v>-807.7766723839552</v>
      </c>
      <c r="W994" t="s">
        <v>10940</v>
      </c>
      <c r="X994" t="s">
        <v>10941</v>
      </c>
      <c r="Y994" t="s">
        <v>10942</v>
      </c>
    </row>
    <row r="995" spans="1:25" x14ac:dyDescent="0.3">
      <c r="A995">
        <v>49700</v>
      </c>
      <c r="B995" t="s">
        <v>10943</v>
      </c>
      <c r="C995">
        <f>-611.698492478007 -14.5003994184556 -96.2162310610731</f>
        <v>-722.41512295753569</v>
      </c>
      <c r="D995">
        <f>-636.452291531135 -18.0857306655678 -209.311855107327</f>
        <v>-863.84987730402975</v>
      </c>
      <c r="E995">
        <f>-646.40647605749 -18.0515048030634 -307.432006734842</f>
        <v>-971.88998759539527</v>
      </c>
      <c r="F995">
        <f>-651.439439492004 -16.9202872287269 -396.379358764588</f>
        <v>-1064.7390854853188</v>
      </c>
      <c r="G995">
        <f>-652.133006470158 -14.7319214424726 -485.446600060998</f>
        <v>-1152.3115279736285</v>
      </c>
      <c r="H995">
        <f>-648.5357731803 -10.6257506776669 -609.909516128094</f>
        <v>-1269.0710399860609</v>
      </c>
      <c r="I995">
        <f>-618.603371091133 -7.99871363924399 -687.383151129297</f>
        <v>-1313.985235859674</v>
      </c>
      <c r="J995" t="s">
        <v>10944</v>
      </c>
      <c r="K995" t="s">
        <v>10945</v>
      </c>
      <c r="L995" t="s">
        <v>10946</v>
      </c>
      <c r="M995" t="s">
        <v>10947</v>
      </c>
      <c r="N995">
        <f>-649.493244468532 -40.1203039359386 -556.034841366277</f>
        <v>-1245.6483897707476</v>
      </c>
      <c r="O995">
        <f>-649.944027333681 -175.35254902459 -531.33839095174</f>
        <v>-1356.634967310011</v>
      </c>
      <c r="P995">
        <f>-680.293947952091 -244.995150079984 -247.049766151715</f>
        <v>-1172.3388641837901</v>
      </c>
      <c r="Q995">
        <f>-499.881842266858 -114.947983007382 -339.732331704495</f>
        <v>-954.56215697873495</v>
      </c>
      <c r="R995" t="s">
        <v>10948</v>
      </c>
      <c r="S995" t="s">
        <v>10949</v>
      </c>
      <c r="T995" t="s">
        <v>10950</v>
      </c>
      <c r="U995" t="s">
        <v>10951</v>
      </c>
      <c r="V995">
        <f>-602.205838646584 -108.877946061998 -96.3514665213379</f>
        <v>-807.43525122991991</v>
      </c>
      <c r="W995" t="s">
        <v>10952</v>
      </c>
      <c r="X995" t="s">
        <v>10953</v>
      </c>
      <c r="Y995" t="s">
        <v>10954</v>
      </c>
    </row>
    <row r="996" spans="1:25" x14ac:dyDescent="0.3">
      <c r="A996">
        <v>49750</v>
      </c>
      <c r="B996" t="s">
        <v>10955</v>
      </c>
      <c r="C996">
        <f>-611.683837244894 -14.2946631890143 -96.1928086920205</f>
        <v>-722.17130912592881</v>
      </c>
      <c r="D996">
        <f>-636.446654365509 -17.8161971568481 -209.288453245439</f>
        <v>-863.55130476779607</v>
      </c>
      <c r="E996">
        <f>-646.370770768252 -17.7631908886224 -307.411702353965</f>
        <v>-971.54566401083935</v>
      </c>
      <c r="F996">
        <f>-651.361675795538 -16.6293946250137 -396.361320047192</f>
        <v>-1064.3523904677436</v>
      </c>
      <c r="G996">
        <f>-651.998051334284 -14.4543286478313 -485.429379808492</f>
        <v>-1151.8817597906072</v>
      </c>
      <c r="H996">
        <f>-648.3054402733 -10.3842120020461 -609.890594291371</f>
        <v>-1268.5802465667171</v>
      </c>
      <c r="I996">
        <f>-618.36910779682 -7.8650206010966 -687.366376764057</f>
        <v>-1313.6005051619736</v>
      </c>
      <c r="J996" t="s">
        <v>10956</v>
      </c>
      <c r="K996" t="s">
        <v>10957</v>
      </c>
      <c r="L996" t="s">
        <v>10958</v>
      </c>
      <c r="M996" t="s">
        <v>10959</v>
      </c>
      <c r="N996">
        <f>-649.363761505095 -39.8641588246135 -556.01006417231</f>
        <v>-1245.2379845020184</v>
      </c>
      <c r="O996">
        <f>-650.121490213238 -175.098355773715 -531.30552864524</f>
        <v>-1356.525374632193</v>
      </c>
      <c r="P996">
        <f>-680.336138004773 -244.711490223317 -246.995347921943</f>
        <v>-1172.0429761500332</v>
      </c>
      <c r="Q996">
        <f>-499.755638525527 -114.99157083092 -339.80849747189</f>
        <v>-954.55570682833695</v>
      </c>
      <c r="R996" t="s">
        <v>10960</v>
      </c>
      <c r="S996" t="s">
        <v>10961</v>
      </c>
      <c r="T996" t="s">
        <v>10962</v>
      </c>
      <c r="U996" t="s">
        <v>10963</v>
      </c>
      <c r="V996">
        <f>-602.318645171554 -108.670203744074 -96.3428217374257</f>
        <v>-807.33167065305361</v>
      </c>
      <c r="W996" t="s">
        <v>10964</v>
      </c>
      <c r="X996" t="s">
        <v>10965</v>
      </c>
      <c r="Y996" t="s">
        <v>10966</v>
      </c>
    </row>
    <row r="997" spans="1:25" x14ac:dyDescent="0.3">
      <c r="A997">
        <v>49800</v>
      </c>
      <c r="B997" t="s">
        <v>10967</v>
      </c>
      <c r="C997">
        <f>-611.789374393155 -13.8265598520852 -96.184420484999</f>
        <v>-721.80035473023918</v>
      </c>
      <c r="D997">
        <f>-636.56342447926 -17.2233447382594 -209.281373938417</f>
        <v>-863.06814315593635</v>
      </c>
      <c r="E997">
        <f>-646.419621689764 -17.1241445793144 -307.411422898039</f>
        <v>-970.9551891671174</v>
      </c>
      <c r="F997">
        <f>-651.318136638786 -15.9733909282163 -396.366149070838</f>
        <v>-1063.6576766378403</v>
      </c>
      <c r="G997">
        <f>-651.831293815628 -13.8085827614684 -485.435087261291</f>
        <v>-1151.0749638383875</v>
      </c>
      <c r="H997">
        <f>-647.934389450847 -9.7827045548097 -609.891608358815</f>
        <v>-1267.6087023644718</v>
      </c>
      <c r="I997">
        <f>-617.985282322056 -7.49976883508202 -687.369889281087</f>
        <v>-1312.8549404382252</v>
      </c>
      <c r="J997" t="s">
        <v>10968</v>
      </c>
      <c r="K997" t="s">
        <v>10969</v>
      </c>
      <c r="L997" t="s">
        <v>10970</v>
      </c>
      <c r="M997" t="s">
        <v>10971</v>
      </c>
      <c r="N997">
        <f>-649.195181350144 -39.2455593215079 -556.006009022491</f>
        <v>-1244.4467496941429</v>
      </c>
      <c r="O997">
        <f>-650.517220467092 -174.492220818349 -531.392635658081</f>
        <v>-1356.4020769435219</v>
      </c>
      <c r="P997">
        <f>-679.942054887311 -244.931117348507 -247.203156231713</f>
        <v>-1172.0763284675309</v>
      </c>
      <c r="Q997">
        <f>-499.020204354343 -115.771471606227 -340.132827279332</f>
        <v>-954.92450323990192</v>
      </c>
      <c r="R997" t="s">
        <v>10972</v>
      </c>
      <c r="S997" t="s">
        <v>10973</v>
      </c>
      <c r="T997" t="s">
        <v>10974</v>
      </c>
      <c r="U997" t="s">
        <v>10975</v>
      </c>
      <c r="V997">
        <f>-602.639874464655 -108.277176088693 -96.3595190358055</f>
        <v>-807.2765695891535</v>
      </c>
      <c r="W997" t="s">
        <v>10976</v>
      </c>
      <c r="X997" t="s">
        <v>10977</v>
      </c>
      <c r="Y997" t="s">
        <v>10978</v>
      </c>
    </row>
    <row r="998" spans="1:25" x14ac:dyDescent="0.3">
      <c r="A998">
        <v>49850</v>
      </c>
      <c r="B998" t="s">
        <v>10979</v>
      </c>
      <c r="C998">
        <f>-611.925174624503 -13.776418174371 -96.1706361398748</f>
        <v>-721.87222893874878</v>
      </c>
      <c r="D998">
        <f>-636.705352580396 -17.0909220194681 -209.268651045188</f>
        <v>-863.06492564505209</v>
      </c>
      <c r="E998">
        <f>-646.499907886238 -16.9364801798135 -307.404890482642</f>
        <v>-970.84127854869348</v>
      </c>
      <c r="F998">
        <f>-651.315497015507 -15.742669025509 -396.363443236719</f>
        <v>-1063.4216092777351</v>
      </c>
      <c r="G998">
        <f>-651.718457791725 -13.5436378114973 -485.432180176393</f>
        <v>-1150.6942757796153</v>
      </c>
      <c r="H998">
        <f>-647.639164885416 -9.48031527198032 -609.881693284991</f>
        <v>-1267.0011734423874</v>
      </c>
      <c r="I998">
        <f>-617.682231204398 -7.30059883184572 -687.359804955678</f>
        <v>-1312.3426349919218</v>
      </c>
      <c r="J998" t="s">
        <v>10980</v>
      </c>
      <c r="K998" t="s">
        <v>10981</v>
      </c>
      <c r="L998" t="s">
        <v>10982</v>
      </c>
      <c r="M998" t="s">
        <v>10983</v>
      </c>
      <c r="N998">
        <f>-649.039505909306 -38.9601822581972 -556.008763080789</f>
        <v>-1244.0084512482922</v>
      </c>
      <c r="O998">
        <f>-650.665201061954 -174.215885576839 -531.489878649778</f>
        <v>-1356.3709652885709</v>
      </c>
      <c r="P998">
        <f>-678.98807563008 -245.831578189183 -247.48257385852</f>
        <v>-1172.3022276777829</v>
      </c>
      <c r="Q998">
        <f>-497.891224145032 -116.954261622834 -340.463394587556</f>
        <v>-955.30888035542193</v>
      </c>
      <c r="R998" t="s">
        <v>10984</v>
      </c>
      <c r="S998" t="s">
        <v>10985</v>
      </c>
      <c r="T998" t="s">
        <v>10986</v>
      </c>
      <c r="U998" t="s">
        <v>10987</v>
      </c>
      <c r="V998">
        <f>-602.938922405689 -108.311396408414 -96.3734034844852</f>
        <v>-807.62372229858818</v>
      </c>
      <c r="W998" t="s">
        <v>10988</v>
      </c>
      <c r="X998" t="s">
        <v>10989</v>
      </c>
      <c r="Y998" t="s">
        <v>10990</v>
      </c>
    </row>
    <row r="999" spans="1:25" x14ac:dyDescent="0.3">
      <c r="A999">
        <v>49900</v>
      </c>
      <c r="B999" t="s">
        <v>10991</v>
      </c>
      <c r="C999">
        <f>-612.529940374929 -13.6631920180198 -96.1278930842383</f>
        <v>-722.32102547718705</v>
      </c>
      <c r="D999">
        <f>-637.240623390583 -16.7786151344762 -209.246941695426</f>
        <v>-863.26618022048524</v>
      </c>
      <c r="E999">
        <f>-646.824675137045 -16.4876669276173 -307.403399201276</f>
        <v>-970.71574126593828</v>
      </c>
      <c r="F999">
        <f>-651.389253894776 -15.1842740150614 -396.373764556151</f>
        <v>-1062.9472924659883</v>
      </c>
      <c r="G999">
        <f>-651.480727182397 -12.8926977601643 -485.440983130621</f>
        <v>-1149.8144080731822</v>
      </c>
      <c r="H999">
        <f>-646.903303572076 -8.71930496946152 -609.869536349462</f>
        <v>-1265.4921448909995</v>
      </c>
      <c r="I999">
        <f>-616.97173634743 -6.72720050808448 -687.36246370318</f>
        <v>-1311.0614005586945</v>
      </c>
      <c r="J999" t="s">
        <v>10992</v>
      </c>
      <c r="K999" t="s">
        <v>10993</v>
      </c>
      <c r="L999" t="s">
        <v>10994</v>
      </c>
      <c r="M999" t="s">
        <v>10995</v>
      </c>
      <c r="N999">
        <f>-648.633318948691 -38.2482823195394 -556.032882258333</f>
        <v>-1242.9144835265633</v>
      </c>
      <c r="O999">
        <f>-650.683168103526 -173.52550162592 -531.703671566783</f>
        <v>-1355.912341296229</v>
      </c>
      <c r="P999">
        <f>-674.602785689309 -249.36926794894 -248.389683777217</f>
        <v>-1172.361737415466</v>
      </c>
      <c r="Q999">
        <f>-494.540277162505 -119.32661640937 -341.756111548019</f>
        <v>-955.62300511989406</v>
      </c>
      <c r="R999" t="s">
        <v>10996</v>
      </c>
      <c r="S999" t="s">
        <v>10997</v>
      </c>
      <c r="T999" t="s">
        <v>10998</v>
      </c>
      <c r="U999" t="s">
        <v>10999</v>
      </c>
      <c r="V999">
        <f>-603.909800752911 -108.072668600925 -96.3905134892764</f>
        <v>-808.37298284311237</v>
      </c>
      <c r="W999" t="s">
        <v>11000</v>
      </c>
      <c r="X999" t="s">
        <v>11001</v>
      </c>
      <c r="Y999" t="s">
        <v>11002</v>
      </c>
    </row>
    <row r="1000" spans="1:25" x14ac:dyDescent="0.3">
      <c r="A1000">
        <v>49950</v>
      </c>
      <c r="B1000" t="s">
        <v>11003</v>
      </c>
      <c r="C1000">
        <f>-612.99312341879 -13.5432798953589 -96.0980190022023</f>
        <v>-722.63442231635122</v>
      </c>
      <c r="D1000">
        <f>-637.650036709445 -16.5507635476506 -209.231600356484</f>
        <v>-863.4324006135796</v>
      </c>
      <c r="E1000">
        <f>-647.119750974496 -16.1970061400607 -307.399084560796</f>
        <v>-970.71584167535275</v>
      </c>
      <c r="F1000">
        <f>-651.553728997358 -14.8486846383394 -396.375232416345</f>
        <v>-1062.7776460520424</v>
      </c>
      <c r="G1000">
        <f>-651.487808706284 -12.5249715423563 -485.441648736703</f>
        <v>-1149.4544289853434</v>
      </c>
      <c r="H1000">
        <f>-646.662591979161 -8.32088717699162 -609.859816362762</f>
        <v>-1264.8432955189146</v>
      </c>
      <c r="I1000">
        <f>-616.798902683782 -6.41701895588221 -687.381206764877</f>
        <v>-1310.5971284045413</v>
      </c>
      <c r="J1000" t="s">
        <v>11004</v>
      </c>
      <c r="K1000" t="s">
        <v>11005</v>
      </c>
      <c r="L1000" t="s">
        <v>11006</v>
      </c>
      <c r="M1000" t="s">
        <v>11007</v>
      </c>
      <c r="N1000">
        <f>-648.549016398735 -37.8633927642977 -556.036060415053</f>
        <v>-1242.4484695780857</v>
      </c>
      <c r="O1000">
        <f>-650.753559685585 -173.156544515971 -531.79977775725</f>
        <v>-1355.7098819588059</v>
      </c>
      <c r="P1000">
        <f>-671.273376449978 -251.776100831966 -248.97630990662</f>
        <v>-1172.025787188564</v>
      </c>
      <c r="Q1000">
        <f>-492.793824713217 -119.997387225294 -342.945843752405</f>
        <v>-955.73705569091589</v>
      </c>
      <c r="R1000" t="s">
        <v>11008</v>
      </c>
      <c r="S1000" t="s">
        <v>11009</v>
      </c>
      <c r="T1000" t="s">
        <v>11010</v>
      </c>
      <c r="U1000" t="s">
        <v>11011</v>
      </c>
      <c r="V1000">
        <f>-604.561954262041 -107.88885465988 -96.4050796644382</f>
        <v>-808.85588858635913</v>
      </c>
      <c r="W1000" t="s">
        <v>11012</v>
      </c>
      <c r="X1000" t="s">
        <v>11013</v>
      </c>
      <c r="Y1000" t="s">
        <v>11014</v>
      </c>
    </row>
    <row r="1001" spans="1:25" x14ac:dyDescent="0.3">
      <c r="A1001">
        <v>50000</v>
      </c>
      <c r="B1001" t="s">
        <v>11015</v>
      </c>
      <c r="C1001">
        <f>-613.944040029538 -13.3190714011641 -95.9778960861046</f>
        <v>-723.24100751680669</v>
      </c>
      <c r="D1001">
        <f>-638.513544725937 -16.0880965435222 -209.136603106057</f>
        <v>-863.73824437551616</v>
      </c>
      <c r="E1001">
        <f>-647.736448577507 -15.5889262430924 -307.326891088647</f>
        <v>-970.65226590924635</v>
      </c>
      <c r="F1001">
        <f>-651.879001400818 -14.1311797135593 -396.315404645043</f>
        <v>-1062.3255857594202</v>
      </c>
      <c r="G1001">
        <f>-651.454211381408 -11.72175012192 -485.378737024301</f>
        <v>-1148.5546985276289</v>
      </c>
      <c r="H1001">
        <f>-646.057657491577 -7.42297699863821 -609.769941141933</f>
        <v>-1263.2505756321482</v>
      </c>
      <c r="I1001">
        <f>-616.41768372892 -5.66055289835504 -687.380494318131</f>
        <v>-1309.4587309454059</v>
      </c>
      <c r="J1001" t="s">
        <v>11016</v>
      </c>
      <c r="K1001" t="s">
        <v>11017</v>
      </c>
      <c r="L1001" t="s">
        <v>11018</v>
      </c>
      <c r="M1001" t="s">
        <v>11019</v>
      </c>
      <c r="N1001">
        <f>-648.277741055541 -37.0069324897206 -555.981898171739</f>
        <v>-1241.2665717170007</v>
      </c>
      <c r="O1001">
        <f>-650.834138043368 -172.352437708999 -531.971640062222</f>
        <v>-1355.1582158145889</v>
      </c>
      <c r="P1001">
        <f>-661.607967662788 -257.173193486978 -250.403488994643</f>
        <v>-1169.184650144409</v>
      </c>
      <c r="Q1001">
        <f>-488.471171896369 -120.083648722741 -346.741278814783</f>
        <v>-955.296099433893</v>
      </c>
      <c r="R1001" t="s">
        <v>11020</v>
      </c>
      <c r="S1001" t="s">
        <v>11021</v>
      </c>
      <c r="T1001" t="s">
        <v>11022</v>
      </c>
      <c r="U1001" t="s">
        <v>11023</v>
      </c>
      <c r="V1001">
        <f>-605.962316939796 -107.597791596467 -96.4077880445694</f>
        <v>-809.96789658083242</v>
      </c>
      <c r="W1001" t="s">
        <v>11024</v>
      </c>
      <c r="X1001" t="s">
        <v>11025</v>
      </c>
      <c r="Y1001" t="s">
        <v>11026</v>
      </c>
    </row>
    <row r="1002" spans="1:25" x14ac:dyDescent="0.3">
      <c r="A1002">
        <v>50050</v>
      </c>
      <c r="B1002" t="s">
        <v>11027</v>
      </c>
      <c r="C1002">
        <f>-614.401017603986 -13.1011144726017 -95.9103125462083</f>
        <v>-723.41244462279599</v>
      </c>
      <c r="D1002">
        <f>-638.930363099853 -15.7805417432492 -209.079940979534</f>
        <v>-863.79084582263613</v>
      </c>
      <c r="E1002">
        <f>-648.029882244924 -15.1684091605232 -307.281085604249</f>
        <v>-970.47937700969624</v>
      </c>
      <c r="F1002">
        <f>-652.025441895875 -13.5912703724134 -396.274351203796</f>
        <v>-1061.8910634720844</v>
      </c>
      <c r="G1002">
        <f>-651.418093116397 -11.0445463929523 -485.332630377568</f>
        <v>-1147.7952698869174</v>
      </c>
      <c r="H1002">
        <f>-645.729941607307 -6.53477773945883 -609.703619788338</f>
        <v>-1261.9683391351036</v>
      </c>
      <c r="I1002">
        <f>-616.237159934117 -4.75757100204851 -687.369870258453</f>
        <v>-1308.3646011946184</v>
      </c>
      <c r="J1002" t="s">
        <v>11028</v>
      </c>
      <c r="K1002" t="s">
        <v>11029</v>
      </c>
      <c r="L1002" t="s">
        <v>11030</v>
      </c>
      <c r="M1002" t="s">
        <v>11031</v>
      </c>
      <c r="N1002">
        <f>-648.096255528972 -36.210114874561 -555.97189272307</f>
        <v>-1240.2782631266032</v>
      </c>
      <c r="O1002">
        <f>-650.780675408179 -171.585863878595 -532.16229811159</f>
        <v>-1354.528837398364</v>
      </c>
      <c r="P1002">
        <f>-654.907428527612 -259.952879561944 -251.510436916289</f>
        <v>-1166.370745005845</v>
      </c>
      <c r="Q1002">
        <f>-485.502232213232 -119.257612479731 -349.273499120416</f>
        <v>-954.03334381337902</v>
      </c>
      <c r="R1002" t="s">
        <v>11032</v>
      </c>
      <c r="S1002" t="s">
        <v>11033</v>
      </c>
      <c r="T1002" t="s">
        <v>11034</v>
      </c>
      <c r="U1002" t="s">
        <v>11035</v>
      </c>
      <c r="V1002">
        <f>-606.619999234038 -107.316455069562 -96.3703544278391</f>
        <v>-810.30680873143911</v>
      </c>
      <c r="W1002" t="s">
        <v>11036</v>
      </c>
      <c r="X1002" t="s">
        <v>11037</v>
      </c>
      <c r="Y1002" t="s">
        <v>11038</v>
      </c>
    </row>
    <row r="1003" spans="1:25" x14ac:dyDescent="0.3">
      <c r="A1003">
        <v>50100</v>
      </c>
      <c r="B1003" t="s">
        <v>11039</v>
      </c>
      <c r="C1003">
        <f>-614.820619874776 -12.786494579464 -95.8710753425063</f>
        <v>-723.47818979674628</v>
      </c>
      <c r="D1003">
        <f>-639.355807113184 -15.3986469358085 -209.040920168413</f>
        <v>-863.79537421740554</v>
      </c>
      <c r="E1003">
        <f>-648.363003879256 -14.637107416381 -307.249671205988</f>
        <v>-970.24978250162508</v>
      </c>
      <c r="F1003">
        <f>-652.235741078461 -12.8848563262325 -396.245027802885</f>
        <v>-1061.3656252075784</v>
      </c>
      <c r="G1003">
        <f>-651.466128616482 -10.1216215720092 -485.295690841754</f>
        <v>-1146.8834410302452</v>
      </c>
      <c r="H1003">
        <f>-645.510095824589 -5.26434532032795 -609.640905442445</f>
        <v>-1260.4153465873619</v>
      </c>
      <c r="I1003">
        <f>-616.159643903555 -3.41410194496393 -687.359313608653</f>
        <v>-1306.933059457172</v>
      </c>
      <c r="J1003" t="s">
        <v>11040</v>
      </c>
      <c r="K1003" t="s">
        <v>11041</v>
      </c>
      <c r="L1003" t="s">
        <v>11042</v>
      </c>
      <c r="M1003" t="s">
        <v>11043</v>
      </c>
      <c r="N1003">
        <f>-647.977157748746 -35.0894905173877 -555.996935607242</f>
        <v>-1239.0635838733756</v>
      </c>
      <c r="O1003">
        <f>-650.613904133519 -170.511928143152 -532.477314219101</f>
        <v>-1353.6031464957719</v>
      </c>
      <c r="P1003">
        <f>-647.151276986125 -262.725027599437 -253.056552766963</f>
        <v>-1162.9328573525249</v>
      </c>
      <c r="Q1003">
        <f>-481.921413411769 -118.214401688032 -352.387348533545</f>
        <v>-952.52316363334603</v>
      </c>
      <c r="R1003" t="s">
        <v>11044</v>
      </c>
      <c r="S1003" t="s">
        <v>11045</v>
      </c>
      <c r="T1003" t="s">
        <v>11046</v>
      </c>
      <c r="U1003" t="s">
        <v>11047</v>
      </c>
      <c r="V1003">
        <f>-607.163835293953 -106.934347444381 -96.3548759329157</f>
        <v>-810.45305867124966</v>
      </c>
      <c r="W1003" t="s">
        <v>11048</v>
      </c>
      <c r="X1003" t="s">
        <v>11049</v>
      </c>
      <c r="Y1003" t="s">
        <v>11050</v>
      </c>
    </row>
    <row r="1004" spans="1:25" x14ac:dyDescent="0.3">
      <c r="A1004">
        <v>50150</v>
      </c>
      <c r="B1004" t="s">
        <v>11051</v>
      </c>
      <c r="C1004">
        <f>-615.889933696813 -12.3134552497129 -95.8125753403157</f>
        <v>-724.01596428684161</v>
      </c>
      <c r="D1004">
        <f>-640.442250272346 -14.9532711494894 -208.978152858167</f>
        <v>-864.37367428000243</v>
      </c>
      <c r="E1004">
        <f>-649.326735714988 -13.904781316488 -307.195264476299</f>
        <v>-970.42678150777488</v>
      </c>
      <c r="F1004">
        <f>-653.031438339222 -11.7635949808314 -396.189370748012</f>
        <v>-1060.9844040680653</v>
      </c>
      <c r="G1004">
        <f>-652.036480199397 -8.47792354051467 -485.219975430232</f>
        <v>-1145.7343791701437</v>
      </c>
      <c r="H1004">
        <f>-645.705076018537 -2.7476466517669 -609.509448614991</f>
        <v>-1257.962171285295</v>
      </c>
      <c r="I1004">
        <f>-616.649370652487 -0.630225143397411 -687.331843795859</f>
        <v>-1304.6114395917434</v>
      </c>
      <c r="J1004" t="s">
        <v>11052</v>
      </c>
      <c r="K1004" t="s">
        <v>11053</v>
      </c>
      <c r="L1004" t="s">
        <v>11054</v>
      </c>
      <c r="M1004" t="s">
        <v>11055</v>
      </c>
      <c r="N1004">
        <f>-648.187339246605 -32.9479716858966 -556.076447813722</f>
        <v>-1237.2117587462235</v>
      </c>
      <c r="O1004">
        <f>-650.132531896635 -168.515495936448 -533.423675849869</f>
        <v>-1352.0717036829519</v>
      </c>
      <c r="P1004">
        <f>-630.995134249849 -267.790027956103 -257.073316593721</f>
        <v>-1155.8584787996731</v>
      </c>
      <c r="Q1004">
        <f>-474.375678286731 -116.198985128749 -359.744326351097</f>
        <v>-950.31898976657703</v>
      </c>
      <c r="R1004" t="s">
        <v>11056</v>
      </c>
      <c r="S1004" t="s">
        <v>11057</v>
      </c>
      <c r="T1004" t="s">
        <v>11058</v>
      </c>
      <c r="U1004" t="s">
        <v>11059</v>
      </c>
      <c r="V1004">
        <f>-608.122116296248 -106.537606419892 -96.3050519558816</f>
        <v>-810.96477467202158</v>
      </c>
      <c r="W1004" t="s">
        <v>11060</v>
      </c>
      <c r="X1004" t="s">
        <v>11061</v>
      </c>
      <c r="Y1004" t="s">
        <v>11062</v>
      </c>
    </row>
    <row r="1005" spans="1:25" x14ac:dyDescent="0.3">
      <c r="A1005">
        <v>50200</v>
      </c>
      <c r="B1005" t="s">
        <v>11063</v>
      </c>
      <c r="C1005">
        <f>-617.197212046407 -12.4521416553366 -95.7937499890456</f>
        <v>-725.44310369078926</v>
      </c>
      <c r="D1005">
        <f>-641.777559226279 -15.243486518513 -208.949578373553</f>
        <v>-865.97062411834497</v>
      </c>
      <c r="E1005">
        <f>-650.547743380914 -13.9098045838723 -307.173491971328</f>
        <v>-971.63103993611435</v>
      </c>
      <c r="F1005">
        <f>-654.090737515287 -11.3435743745929 -396.16297638182</f>
        <v>-1061.5972882716999</v>
      </c>
      <c r="G1005">
        <f>-652.874731032504 -7.46083964156924 -485.166763848061</f>
        <v>-1145.5023345221343</v>
      </c>
      <c r="H1005">
        <f>-646.171839222499 -0.713130352407234 -609.385802995281</f>
        <v>-1256.2707725701871</v>
      </c>
      <c r="I1005" t="s">
        <v>11064</v>
      </c>
      <c r="J1005" t="s">
        <v>11065</v>
      </c>
      <c r="K1005" t="s">
        <v>11066</v>
      </c>
      <c r="L1005" t="s">
        <v>11067</v>
      </c>
      <c r="M1005" t="s">
        <v>11068</v>
      </c>
      <c r="N1005">
        <f>-648.535504294636 -31.3462394101739 -556.194164484776</f>
        <v>-1236.0759081895858</v>
      </c>
      <c r="O1005">
        <f>-649.212594576061 -167.105028770351 -534.657205606398</f>
        <v>-1350.9748289528097</v>
      </c>
      <c r="P1005">
        <f>-617.004776372757 -272.307744077552 -261.735558397408</f>
        <v>-1151.0480788477171</v>
      </c>
      <c r="Q1005">
        <f>-468.410296948943 -115.109293811759 -367.844907624207</f>
        <v>-951.36449838490898</v>
      </c>
      <c r="R1005" t="s">
        <v>11069</v>
      </c>
      <c r="S1005" t="s">
        <v>11070</v>
      </c>
      <c r="T1005" t="s">
        <v>11071</v>
      </c>
      <c r="U1005" t="s">
        <v>11072</v>
      </c>
      <c r="V1005">
        <f>-608.915155665029 -106.839210258574 -96.2884888242568</f>
        <v>-812.04285474785979</v>
      </c>
      <c r="W1005" t="s">
        <v>11073</v>
      </c>
      <c r="X1005" t="s">
        <v>11074</v>
      </c>
      <c r="Y1005" t="s">
        <v>11075</v>
      </c>
    </row>
    <row r="1006" spans="1:25" x14ac:dyDescent="0.3">
      <c r="A1006">
        <v>50250</v>
      </c>
      <c r="B1006" t="s">
        <v>11076</v>
      </c>
      <c r="C1006">
        <f>-618.426975634709 -12.8400702572744 -95.8429635310243</f>
        <v>-727.1100094230078</v>
      </c>
      <c r="D1006">
        <f>-643.008126588251 -15.8289975885973 -208.993573862083</f>
        <v>-867.83069803893136</v>
      </c>
      <c r="E1006">
        <f>-651.68854200957 -14.4397713574067 -307.224790327502</f>
        <v>-973.3531036944787</v>
      </c>
      <c r="F1006">
        <f>-655.111669751853 -11.7368063166989 -396.214836839895</f>
        <v>-1063.063312908447</v>
      </c>
      <c r="G1006">
        <f>-653.736774189301 -7.62797430965725 -485.206237035494</f>
        <v>-1146.5709855344521</v>
      </c>
      <c r="H1006">
        <f>-646.770443161644 -0.471193654564559 -609.387775679303</f>
        <v>-1256.6294124955116</v>
      </c>
      <c r="I1006" t="s">
        <v>11077</v>
      </c>
      <c r="J1006" t="s">
        <v>11078</v>
      </c>
      <c r="K1006" t="s">
        <v>11079</v>
      </c>
      <c r="L1006" t="s">
        <v>11080</v>
      </c>
      <c r="M1006" t="s">
        <v>11081</v>
      </c>
      <c r="N1006">
        <f>-649.029806161898 -31.2745792444439 -556.290193132862</f>
        <v>-1236.5945785392039</v>
      </c>
      <c r="O1006">
        <f>-648.576680715228 -167.121072817713 -535.311566202662</f>
        <v>-1351.0093197356032</v>
      </c>
      <c r="P1006">
        <f>-608.435521865314 -276.097876493494 -264.934191757438</f>
        <v>-1149.4675901162459</v>
      </c>
      <c r="Q1006">
        <f>-465.335479154321 -115.377931994856 -373.296104281052</f>
        <v>-954.00951543022893</v>
      </c>
      <c r="R1006" t="s">
        <v>11082</v>
      </c>
      <c r="S1006" t="s">
        <v>11083</v>
      </c>
      <c r="T1006" t="s">
        <v>11084</v>
      </c>
      <c r="U1006" t="s">
        <v>11085</v>
      </c>
      <c r="V1006">
        <f>-609.542739870373 -107.436494362486 -96.3000567388816</f>
        <v>-813.27929097174058</v>
      </c>
      <c r="W1006" t="s">
        <v>11086</v>
      </c>
      <c r="X1006" t="s">
        <v>11087</v>
      </c>
      <c r="Y1006" t="s">
        <v>11088</v>
      </c>
    </row>
    <row r="1007" spans="1:25" x14ac:dyDescent="0.3">
      <c r="A1007">
        <v>50300</v>
      </c>
      <c r="B1007" t="s">
        <v>11089</v>
      </c>
      <c r="C1007">
        <f>-619.945276363558 -13.4001061709168 -95.9324472380379</f>
        <v>-729.27782977251275</v>
      </c>
      <c r="D1007">
        <f>-644.464773545056 -16.6098341489201 -209.090390343899</f>
        <v>-870.16499803787508</v>
      </c>
      <c r="E1007">
        <f>-653.003394970236 -15.3019997754925 -307.335204249055</f>
        <v>-975.64059899478343</v>
      </c>
      <c r="F1007">
        <f>-656.260970934133 -12.6355215443937 -396.332466269529</f>
        <v>-1065.2289587480557</v>
      </c>
      <c r="G1007">
        <f>-654.682455673698 -8.52502514978414 -485.320392312782</f>
        <v>-1148.5278731362641</v>
      </c>
      <c r="H1007">
        <f>-647.391654427479 -1.32723587381179 -609.480914405086</f>
        <v>-1258.1998047063767</v>
      </c>
      <c r="I1007" t="s">
        <v>11090</v>
      </c>
      <c r="J1007" t="s">
        <v>11091</v>
      </c>
      <c r="K1007" t="s">
        <v>11092</v>
      </c>
      <c r="L1007" t="s">
        <v>11093</v>
      </c>
      <c r="M1007" t="s">
        <v>11094</v>
      </c>
      <c r="N1007">
        <f>-649.628770697482 -32.1434140017477 -556.389905978418</f>
        <v>-1238.1620906776477</v>
      </c>
      <c r="O1007">
        <f>-648.260552384195 -168.014191103634 -535.51426000651</f>
        <v>-1351.7890034943389</v>
      </c>
      <c r="P1007">
        <f>-600.845103406774 -279.819743196853 -267.479730569378</f>
        <v>-1148.144577173005</v>
      </c>
      <c r="Q1007">
        <f>-463.585884095724 -115.61015445769 -378.141316200548</f>
        <v>-957.33735475396202</v>
      </c>
      <c r="R1007" t="s">
        <v>11095</v>
      </c>
      <c r="S1007" t="s">
        <v>11096</v>
      </c>
      <c r="T1007" t="s">
        <v>11097</v>
      </c>
      <c r="U1007" t="s">
        <v>11098</v>
      </c>
      <c r="V1007">
        <f>-610.50766956223 -108.147691700267 -96.3370704218798</f>
        <v>-814.99243168437692</v>
      </c>
      <c r="W1007" t="s">
        <v>11099</v>
      </c>
      <c r="X1007" t="s">
        <v>11100</v>
      </c>
      <c r="Y1007" t="s">
        <v>11101</v>
      </c>
    </row>
    <row r="1008" spans="1:25" x14ac:dyDescent="0.3">
      <c r="A1008">
        <v>50350</v>
      </c>
      <c r="B1008" t="s">
        <v>11102</v>
      </c>
      <c r="C1008">
        <f>-621.121960842458 -13.6777532438425 -95.9909727764273</f>
        <v>-730.79068686272774</v>
      </c>
      <c r="D1008">
        <f>-645.568866081315 -17.0120001080229 -209.160997303289</f>
        <v>-871.74186349262698</v>
      </c>
      <c r="E1008">
        <f>-653.952936465494 -15.7693228925064 -307.420006373498</f>
        <v>-977.14226573149836</v>
      </c>
      <c r="F1008">
        <f>-657.032626006982 -13.1481220836083 -396.424944669161</f>
        <v>-1066.6056927597513</v>
      </c>
      <c r="G1008">
        <f>-655.238284090511 -9.06942905212054 -485.41022789138</f>
        <v>-1149.7179410340116</v>
      </c>
      <c r="H1008">
        <f>-647.606064737284 -1.9033071986405 -609.552094704412</f>
        <v>-1259.0614666403364</v>
      </c>
      <c r="I1008" t="s">
        <v>11103</v>
      </c>
      <c r="J1008" t="s">
        <v>11104</v>
      </c>
      <c r="K1008" t="s">
        <v>11105</v>
      </c>
      <c r="L1008" t="s">
        <v>11106</v>
      </c>
      <c r="M1008" t="s">
        <v>11107</v>
      </c>
      <c r="N1008">
        <f>-649.91570854839 -32.7035638632576 -556.454786504286</f>
        <v>-1239.0740589159336</v>
      </c>
      <c r="O1008">
        <f>-648.100322181835 -168.563105909496 -535.477990415122</f>
        <v>-1352.1414185064532</v>
      </c>
      <c r="P1008">
        <f>-596.18419863545 -282.255393564435 -269.075943937398</f>
        <v>-1147.5155361372831</v>
      </c>
      <c r="Q1008">
        <f>-463.335748865758 -115.4675132742 -381.254374364663</f>
        <v>-960.05763650462097</v>
      </c>
      <c r="R1008" t="s">
        <v>11108</v>
      </c>
      <c r="S1008" t="s">
        <v>11109</v>
      </c>
      <c r="T1008" t="s">
        <v>11110</v>
      </c>
      <c r="U1008" t="s">
        <v>11111</v>
      </c>
      <c r="V1008">
        <f>-611.398329443854 -108.447113985934 -96.3450678388348</f>
        <v>-816.1905112686228</v>
      </c>
      <c r="W1008" t="s">
        <v>11112</v>
      </c>
      <c r="X1008" t="s">
        <v>11113</v>
      </c>
      <c r="Y1008" t="s">
        <v>11114</v>
      </c>
    </row>
    <row r="1009" spans="1:25" x14ac:dyDescent="0.3">
      <c r="A1009">
        <v>50400</v>
      </c>
      <c r="B1009" t="s">
        <v>11115</v>
      </c>
      <c r="C1009">
        <f>-623.820050629939 -14.2028109642699 -96.0887748152483</f>
        <v>-734.11163640945722</v>
      </c>
      <c r="D1009">
        <f>-648.044530028809 -17.6351474602786 -209.303641382387</f>
        <v>-874.98331887147469</v>
      </c>
      <c r="E1009">
        <f>-655.982904395817 -16.4860074701903 -307.600865682822</f>
        <v>-980.06977754882928</v>
      </c>
      <c r="F1009">
        <f>-658.557828200466 -13.9552898301863 -396.624409561145</f>
        <v>-1069.1375275917974</v>
      </c>
      <c r="G1009">
        <f>-656.157899238386 -9.97202870742558 -485.599689039228</f>
        <v>-1151.7296169850397</v>
      </c>
      <c r="H1009">
        <f>-647.576009475804 -2.94451119215751 -609.687539778173</f>
        <v>-1260.2080604461344</v>
      </c>
      <c r="I1009" t="s">
        <v>11116</v>
      </c>
      <c r="J1009" t="s">
        <v>11117</v>
      </c>
      <c r="K1009" t="s">
        <v>11118</v>
      </c>
      <c r="L1009" t="s">
        <v>11119</v>
      </c>
      <c r="M1009" t="s">
        <v>11120</v>
      </c>
      <c r="N1009">
        <f>-650.189372640967 -33.6817535278044 -556.567839443284</f>
        <v>-1240.4389656120554</v>
      </c>
      <c r="O1009">
        <f>-647.64830594124 -169.462282555924 -535.178110590724</f>
        <v>-1352.2886990878878</v>
      </c>
      <c r="P1009">
        <f>-586.529952416403 -287.44252682247 -272.620615150373</f>
        <v>-1146.5930943892461</v>
      </c>
      <c r="Q1009">
        <f>-463.845821506036 -113.362218062815 -385.294877172181</f>
        <v>-962.50291674103187</v>
      </c>
      <c r="R1009" t="s">
        <v>11121</v>
      </c>
      <c r="S1009" t="s">
        <v>11122</v>
      </c>
      <c r="T1009" t="s">
        <v>11123</v>
      </c>
      <c r="U1009" t="s">
        <v>11124</v>
      </c>
      <c r="V1009">
        <f>-613.858409412355 -109.080498398399 -96.3753555230169</f>
        <v>-819.31426333377078</v>
      </c>
      <c r="W1009" t="s">
        <v>11125</v>
      </c>
      <c r="X1009" t="s">
        <v>11126</v>
      </c>
      <c r="Y1009" t="s">
        <v>11127</v>
      </c>
    </row>
    <row r="1010" spans="1:25" x14ac:dyDescent="0.3">
      <c r="A1010">
        <v>50450</v>
      </c>
      <c r="B1010" t="s">
        <v>11128</v>
      </c>
      <c r="C1010">
        <f>-625.269931731577 -14.373396682239 -96.1574731524828</f>
        <v>-735.80080156629879</v>
      </c>
      <c r="D1010">
        <f>-649.363167697753 -17.8606233475955 -209.398677939431</f>
        <v>-876.62246898477952</v>
      </c>
      <c r="E1010">
        <f>-657.0737393511 -16.7896039350348 -307.714784157479</f>
        <v>-981.57812744361388</v>
      </c>
      <c r="F1010">
        <f>-659.39710651118 -14.3417292388499 -396.747661473922</f>
        <v>-1070.486497223952</v>
      </c>
      <c r="G1010">
        <f>-656.701103263817 -10.4532824021433 -485.718753779753</f>
        <v>-1152.8731394457132</v>
      </c>
      <c r="H1010">
        <f>-647.659510083748 -3.57001311618887 -609.781881024791</f>
        <v>-1261.0114042247278</v>
      </c>
      <c r="I1010" t="s">
        <v>11129</v>
      </c>
      <c r="J1010" t="s">
        <v>11130</v>
      </c>
      <c r="K1010" t="s">
        <v>11131</v>
      </c>
      <c r="L1010" t="s">
        <v>11132</v>
      </c>
      <c r="M1010" t="s">
        <v>11133</v>
      </c>
      <c r="N1010">
        <f>-650.438780382983 -34.2442283805599 -556.63421896836</f>
        <v>-1241.3172277319029</v>
      </c>
      <c r="O1010">
        <f>-647.556458837168 -169.956467157771 -534.975232139031</f>
        <v>-1352.48815813397</v>
      </c>
      <c r="P1010">
        <f>-581.516950809942 -290.368989655562 -274.723712924262</f>
        <v>-1146.609653389766</v>
      </c>
      <c r="Q1010">
        <f>-464.295403130484 -111.830410082395 -386.23133282615</f>
        <v>-962.35714603902898</v>
      </c>
      <c r="R1010" t="s">
        <v>11134</v>
      </c>
      <c r="S1010" t="s">
        <v>11135</v>
      </c>
      <c r="T1010" t="s">
        <v>11136</v>
      </c>
      <c r="U1010" t="s">
        <v>11137</v>
      </c>
      <c r="V1010">
        <f>-615.26290467563 -109.158141750472 -96.4151030410808</f>
        <v>-820.83614946718285</v>
      </c>
      <c r="W1010" t="s">
        <v>11138</v>
      </c>
      <c r="X1010" t="s">
        <v>11139</v>
      </c>
      <c r="Y1010" t="s">
        <v>11140</v>
      </c>
    </row>
    <row r="1011" spans="1:25" x14ac:dyDescent="0.3">
      <c r="A1011">
        <v>50500</v>
      </c>
      <c r="B1011" t="s">
        <v>11141</v>
      </c>
      <c r="C1011">
        <f>-628.4210418868 -14.8486016012835 -96.3233181073541</f>
        <v>-739.5929615954376</v>
      </c>
      <c r="D1011">
        <f>-652.167302980465 -18.5257133842638 -209.631819219144</f>
        <v>-880.32483558387275</v>
      </c>
      <c r="E1011">
        <f>-659.406361074208 -17.6227033536079 -307.985346947818</f>
        <v>-985.01441137563393</v>
      </c>
      <c r="F1011">
        <f>-661.23433565844 -15.3311393978695 -397.034040061016</f>
        <v>-1073.5995151173256</v>
      </c>
      <c r="G1011">
        <f>-657.975034155775 -11.602257319558 -485.993062772389</f>
        <v>-1155.570354247722</v>
      </c>
      <c r="H1011">
        <f>-648.076501341969 -4.94687665032211 -610.00322967525</f>
        <v>-1263.0266076675412</v>
      </c>
      <c r="I1011">
        <f>-619.742154796551 -0.882526066290893 -688.013991821116</f>
        <v>-1308.6386726839578</v>
      </c>
      <c r="J1011" t="s">
        <v>11142</v>
      </c>
      <c r="K1011" t="s">
        <v>11143</v>
      </c>
      <c r="L1011" t="s">
        <v>11144</v>
      </c>
      <c r="M1011" t="s">
        <v>11145</v>
      </c>
      <c r="N1011">
        <f>-651.158671028985 -35.5207432486516 -556.814566563846</f>
        <v>-1243.4939808414827</v>
      </c>
      <c r="O1011">
        <f>-647.598862208118 -171.140147305497 -534.677766201784</f>
        <v>-1353.4167757153991</v>
      </c>
      <c r="P1011">
        <f>-572.073807940682 -296.186163821454 -279.235660904604</f>
        <v>-1147.49563266674</v>
      </c>
      <c r="Q1011">
        <f>-465.033086425601 -108.942167449886 -386.626846827331</f>
        <v>-960.60210070281801</v>
      </c>
      <c r="R1011" t="s">
        <v>11146</v>
      </c>
      <c r="S1011" t="s">
        <v>11147</v>
      </c>
      <c r="T1011" t="s">
        <v>11148</v>
      </c>
      <c r="U1011" t="s">
        <v>11149</v>
      </c>
      <c r="V1011">
        <f>-618.271337972641 -109.506629025507 -96.4793693463489</f>
        <v>-824.25733634449693</v>
      </c>
      <c r="W1011" t="s">
        <v>11150</v>
      </c>
      <c r="X1011" t="s">
        <v>11151</v>
      </c>
      <c r="Y1011" t="s">
        <v>11152</v>
      </c>
    </row>
    <row r="1012" spans="1:25" x14ac:dyDescent="0.3">
      <c r="A1012">
        <v>50550</v>
      </c>
      <c r="B1012" t="s">
        <v>11153</v>
      </c>
      <c r="C1012">
        <f>-629.947854048543 -15.3686692412239 -96.412991392937</f>
        <v>-741.72951468270389</v>
      </c>
      <c r="D1012">
        <f>-653.557415884114 -19.188643582768 -209.745323949206</f>
        <v>-882.49138341608796</v>
      </c>
      <c r="E1012">
        <f>-660.577943140766 -18.3979713865274 -308.115719026263</f>
        <v>-987.09163355355645</v>
      </c>
      <c r="F1012">
        <f>-662.167133099693 -16.2061742672486 -397.171419968081</f>
        <v>-1075.5447273350226</v>
      </c>
      <c r="G1012">
        <f>-658.628309389473 -12.5762567654942 -486.12386528259</f>
        <v>-1157.3284314375571</v>
      </c>
      <c r="H1012">
        <f>-648.297038288799 -6.05953586796363 -610.106181447586</f>
        <v>-1264.4627556043486</v>
      </c>
      <c r="I1012">
        <f>-619.946796677493 -1.98384161911554 -688.110567241982</f>
        <v>-1310.0412055385905</v>
      </c>
      <c r="J1012" t="s">
        <v>11154</v>
      </c>
      <c r="K1012" t="s">
        <v>11155</v>
      </c>
      <c r="L1012" t="s">
        <v>11156</v>
      </c>
      <c r="M1012" t="s">
        <v>11157</v>
      </c>
      <c r="N1012">
        <f>-651.523757157468 -36.5722720192016 -556.890867519467</f>
        <v>-1244.9868966961367</v>
      </c>
      <c r="O1012">
        <f>-647.562445471537 -172.142153885453 -534.548035530134</f>
        <v>-1354.252634887124</v>
      </c>
      <c r="P1012">
        <f>-568.162513705925 -298.770883152472 -281.068274664798</f>
        <v>-1148.001671523195</v>
      </c>
      <c r="Q1012">
        <f>-466.059975690643 -107.372603160107 -385.91378843197</f>
        <v>-959.34636728271994</v>
      </c>
      <c r="R1012" t="s">
        <v>11158</v>
      </c>
      <c r="S1012" t="s">
        <v>11159</v>
      </c>
      <c r="T1012" t="s">
        <v>11160</v>
      </c>
      <c r="U1012" t="s">
        <v>11161</v>
      </c>
      <c r="V1012">
        <f>-619.644679902471 -110.067516899834 -96.5096301853714</f>
        <v>-826.22182698767642</v>
      </c>
      <c r="W1012" t="s">
        <v>11162</v>
      </c>
      <c r="X1012" t="s">
        <v>11163</v>
      </c>
      <c r="Y1012" t="s">
        <v>11164</v>
      </c>
    </row>
    <row r="1013" spans="1:25" x14ac:dyDescent="0.3">
      <c r="A1013">
        <v>50600</v>
      </c>
      <c r="B1013" t="s">
        <v>11165</v>
      </c>
      <c r="C1013">
        <f>-632.747032482709 -16.6138060798689 -96.5957967598002</f>
        <v>-745.95663532237813</v>
      </c>
      <c r="D1013">
        <f>-656.155332734069 -20.7426562780374 -209.959083201894</f>
        <v>-886.85707221400048</v>
      </c>
      <c r="E1013">
        <f>-662.775512147751 -20.2342491706593 -308.359058044671</f>
        <v>-991.36881936308123</v>
      </c>
      <c r="F1013">
        <f>-663.910846796764 -18.3100358422078 -397.427873121343</f>
        <v>-1079.6487557603148</v>
      </c>
      <c r="G1013">
        <f>-659.827199467566 -14.9606061094405 -486.367950185512</f>
        <v>-1161.1557557625183</v>
      </c>
      <c r="H1013">
        <f>-648.640930783392 -8.85052265388481 -610.296784292029</f>
        <v>-1267.7882377293058</v>
      </c>
      <c r="I1013">
        <f>-620.231564492111 -4.79263461401888 -688.28056438955</f>
        <v>-1313.3047634956799</v>
      </c>
      <c r="J1013" t="s">
        <v>11166</v>
      </c>
      <c r="K1013" t="s">
        <v>11167</v>
      </c>
      <c r="L1013" t="s">
        <v>11168</v>
      </c>
      <c r="M1013" t="s">
        <v>11169</v>
      </c>
      <c r="N1013">
        <f>-652.127186192207 -39.1835652658183 -556.995171215406</f>
        <v>-1248.3059226734313</v>
      </c>
      <c r="O1013">
        <f>-647.17654004629 -174.622585455159 -534.023605425412</f>
        <v>-1355.8227309268609</v>
      </c>
      <c r="P1013">
        <f>-561.542926006112 -302.199867471389 -283.061172440226</f>
        <v>-1146.8039659177271</v>
      </c>
      <c r="Q1013">
        <f>-467.632222688153 -104.425063885219 -383.64333050494</f>
        <v>-955.70061707831201</v>
      </c>
      <c r="R1013" t="s">
        <v>11170</v>
      </c>
      <c r="S1013" t="s">
        <v>11171</v>
      </c>
      <c r="T1013" t="s">
        <v>11172</v>
      </c>
      <c r="U1013" t="s">
        <v>11173</v>
      </c>
      <c r="V1013">
        <f>-622.160915520785 -111.303547241851 -96.5449919809823</f>
        <v>-830.00945474361833</v>
      </c>
      <c r="W1013" t="s">
        <v>11174</v>
      </c>
      <c r="X1013" t="s">
        <v>11175</v>
      </c>
      <c r="Y1013" t="s">
        <v>11176</v>
      </c>
    </row>
    <row r="1014" spans="1:25" x14ac:dyDescent="0.3">
      <c r="A1014">
        <v>50650</v>
      </c>
      <c r="B1014" t="s">
        <v>11177</v>
      </c>
      <c r="C1014">
        <f>-634.011429337935 -17.3355856604285 -96.6881879886861</f>
        <v>-748.03520298704962</v>
      </c>
      <c r="D1014">
        <f>-657.351076674239 -21.6256651131748 -210.059589683461</f>
        <v>-889.03633147087487</v>
      </c>
      <c r="E1014">
        <f>-663.81676285344 -21.2878574662341 -308.470694867427</f>
        <v>-993.57531518710107</v>
      </c>
      <c r="F1014">
        <f>-664.773945615011 -19.5338106068243 -397.545001946135</f>
        <v>-1081.8527581679705</v>
      </c>
      <c r="G1014">
        <f>-660.474218672689 -16.3701803202132 -486.481862354084</f>
        <v>-1163.326261346986</v>
      </c>
      <c r="H1014">
        <f>-648.946814543672 -10.5368887746201 -610.392645057247</f>
        <v>-1269.8763483755392</v>
      </c>
      <c r="I1014">
        <f>-620.517212187694 -6.50744029252132 -688.370451103882</f>
        <v>-1315.3951035840973</v>
      </c>
      <c r="J1014" t="s">
        <v>11178</v>
      </c>
      <c r="K1014" t="s">
        <v>11179</v>
      </c>
      <c r="L1014" t="s">
        <v>11180</v>
      </c>
      <c r="M1014" t="s">
        <v>11181</v>
      </c>
      <c r="N1014">
        <f>-652.524294533889 -40.748060037477 -557.027896219318</f>
        <v>-1250.300250790684</v>
      </c>
      <c r="O1014">
        <f>-647.083424653763 -176.102630591171 -533.621129933953</f>
        <v>-1356.8071851788868</v>
      </c>
      <c r="P1014">
        <f>-558.784508970029 -303.118934986766 -283.298600294973</f>
        <v>-1145.202044251768</v>
      </c>
      <c r="Q1014">
        <f>-468.837867962961 -102.534166686976 -381.920210380816</f>
        <v>-953.29224503075295</v>
      </c>
      <c r="R1014" t="s">
        <v>11182</v>
      </c>
      <c r="S1014" t="s">
        <v>11183</v>
      </c>
      <c r="T1014" t="s">
        <v>11184</v>
      </c>
      <c r="U1014" t="s">
        <v>11185</v>
      </c>
      <c r="V1014">
        <f>-623.250678063476 -112.020196323946 -96.5464155005938</f>
        <v>-831.81728988801581</v>
      </c>
      <c r="W1014" t="s">
        <v>11186</v>
      </c>
      <c r="X1014" t="s">
        <v>11187</v>
      </c>
      <c r="Y1014" t="s">
        <v>11188</v>
      </c>
    </row>
    <row r="1015" spans="1:25" x14ac:dyDescent="0.3">
      <c r="A1015">
        <v>50700</v>
      </c>
      <c r="B1015" t="s">
        <v>11189</v>
      </c>
      <c r="C1015">
        <f>-636.155988491099 -19.0275063932017 -96.7849100153244</f>
        <v>-751.96840489962517</v>
      </c>
      <c r="D1015">
        <f>-659.423806324476 -23.6026012334132 -210.159927712861</f>
        <v>-893.18633527075019</v>
      </c>
      <c r="E1015">
        <f>-665.686280559569 -23.6167536260368 -308.584814149508</f>
        <v>-997.88784833511386</v>
      </c>
      <c r="F1015">
        <f>-666.403034073834 -22.2289130751365 -397.667868286091</f>
        <v>-1086.2998154350614</v>
      </c>
      <c r="G1015">
        <f>-661.806802607579 -19.4801624078102 -486.603617177348</f>
        <v>-1167.8905821927372</v>
      </c>
      <c r="H1015">
        <f>-649.80739400953 -14.2795842792029 -610.497852869126</f>
        <v>-1274.5848311578588</v>
      </c>
      <c r="I1015">
        <f>-621.363169636557 -10.3983645268772 -688.477927225837</f>
        <v>-1320.2394613892711</v>
      </c>
      <c r="J1015" t="s">
        <v>11190</v>
      </c>
      <c r="K1015" t="s">
        <v>11191</v>
      </c>
      <c r="L1015" t="s">
        <v>11192</v>
      </c>
      <c r="M1015" t="s">
        <v>11193</v>
      </c>
      <c r="N1015">
        <f>-653.515338185402 -44.2141275026742 -556.986359557296</f>
        <v>-1254.7158252453723</v>
      </c>
      <c r="O1015">
        <f>-647.310872654831 -179.374524241331 -532.636865028359</f>
        <v>-1359.3222619245209</v>
      </c>
      <c r="P1015">
        <f>-553.897187062702 -305.03549356469 -283.489543290479</f>
        <v>-1142.422223917871</v>
      </c>
      <c r="Q1015">
        <f>-471.221689602599 -99.5018965737836 -378.207993763925</f>
        <v>-948.93157994030753</v>
      </c>
      <c r="R1015" t="s">
        <v>11194</v>
      </c>
      <c r="S1015" t="s">
        <v>11195</v>
      </c>
      <c r="T1015" t="s">
        <v>11196</v>
      </c>
      <c r="U1015" t="s">
        <v>11197</v>
      </c>
      <c r="V1015">
        <f>-625.068912244068 -113.822386768722 -96.5021762841264</f>
        <v>-835.39347529691645</v>
      </c>
      <c r="W1015" t="s">
        <v>11198</v>
      </c>
      <c r="X1015" t="s">
        <v>11199</v>
      </c>
      <c r="Y1015" t="s">
        <v>11200</v>
      </c>
    </row>
    <row r="1016" spans="1:25" x14ac:dyDescent="0.3">
      <c r="A1016">
        <v>50750</v>
      </c>
      <c r="B1016" t="s">
        <v>11201</v>
      </c>
      <c r="C1016">
        <f>-637.075081461788 -19.7914197176151 -96.8250486000838</f>
        <v>-753.69154977948699</v>
      </c>
      <c r="D1016">
        <f>-660.344053094672 -24.4845894318564 -210.195066433028</f>
        <v>-895.02370895955642</v>
      </c>
      <c r="E1016">
        <f>-666.549127079185 -24.6784501204208 -308.623314015088</f>
        <v>-999.85089121469389</v>
      </c>
      <c r="F1016">
        <f>-667.190543418474 -23.4868980644528 -397.709829117286</f>
        <v>-1088.3872706002128</v>
      </c>
      <c r="G1016">
        <f>-662.496058581056 -20.9685242727844 -486.647174832878</f>
        <v>-1170.1117576867184</v>
      </c>
      <c r="H1016">
        <f>-650.335746709153 -16.1261956468381 -610.540364302654</f>
        <v>-1277.002306658645</v>
      </c>
      <c r="I1016">
        <f>-621.895915809472 -12.3834755616658 -688.528755630379</f>
        <v>-1322.8081470015168</v>
      </c>
      <c r="J1016" t="s">
        <v>11202</v>
      </c>
      <c r="K1016" t="s">
        <v>11203</v>
      </c>
      <c r="L1016" t="s">
        <v>11204</v>
      </c>
      <c r="M1016" t="s">
        <v>11205</v>
      </c>
      <c r="N1016">
        <f>-654.101512681841 -45.9051681753665 -556.946099015908</f>
        <v>-1256.9527798731156</v>
      </c>
      <c r="O1016">
        <f>-647.616254573008 -180.96190590079 -532.098962463722</f>
        <v>-1360.6771229375199</v>
      </c>
      <c r="P1016">
        <f>-550.847765097221 -306.490033230337 -284.168073853583</f>
        <v>-1141.5058721811411</v>
      </c>
      <c r="Q1016">
        <f>-472.353242145022 -98.1183678836869 -376.204811914908</f>
        <v>-946.67642194361702</v>
      </c>
      <c r="R1016" t="s">
        <v>11206</v>
      </c>
      <c r="S1016" t="s">
        <v>11207</v>
      </c>
      <c r="T1016" t="s">
        <v>11208</v>
      </c>
      <c r="U1016" t="s">
        <v>11209</v>
      </c>
      <c r="V1016">
        <f>-625.869873947244 -114.610292093035 -96.4809787752027</f>
        <v>-836.9611448154817</v>
      </c>
      <c r="W1016" t="s">
        <v>11210</v>
      </c>
      <c r="X1016" t="s">
        <v>11211</v>
      </c>
      <c r="Y1016" t="s">
        <v>11212</v>
      </c>
    </row>
    <row r="1017" spans="1:25" x14ac:dyDescent="0.3">
      <c r="A1017">
        <v>50800</v>
      </c>
      <c r="B1017" t="s">
        <v>11213</v>
      </c>
      <c r="C1017">
        <f>-638.747888284028 -21.1026946084037 -96.9863397459288</f>
        <v>-756.83692263836053</v>
      </c>
      <c r="D1017">
        <f>-662.068596206732 -26.0258267115264 -210.336045782904</f>
        <v>-898.43046870116234</v>
      </c>
      <c r="E1017">
        <f>-668.226746026839 -26.6050589826023 -308.765566646504</f>
        <v>-1003.5973716559453</v>
      </c>
      <c r="F1017">
        <f>-668.789969013637 -25.8390102774215 -397.857377745252</f>
        <v>-1092.4863570363104</v>
      </c>
      <c r="G1017">
        <f>-663.982569647269 -23.8235229301667 -486.801542870145</f>
        <v>-1174.6076354475808</v>
      </c>
      <c r="H1017">
        <f>-651.628848184176 -19.7660427858657 -610.703590188586</f>
        <v>-1282.0984811586277</v>
      </c>
      <c r="I1017">
        <f>-623.187861889339 -16.4619130850078 -688.711493675659</f>
        <v>-1328.361268650006</v>
      </c>
      <c r="J1017" t="s">
        <v>11214</v>
      </c>
      <c r="K1017" t="s">
        <v>11215</v>
      </c>
      <c r="L1017" t="s">
        <v>11216</v>
      </c>
      <c r="M1017" t="s">
        <v>11217</v>
      </c>
      <c r="N1017">
        <f>-655.481427490774 -49.2051967534783 -556.92813870123</f>
        <v>-1261.6147629454822</v>
      </c>
      <c r="O1017">
        <f>-648.255541464265 -184.010739966524 -531.014605118365</f>
        <v>-1363.2808865491538</v>
      </c>
      <c r="P1017">
        <f>-543.288338112452 -309.777755818864 -286.564781380626</f>
        <v>-1139.6308753119422</v>
      </c>
      <c r="Q1017">
        <f>-473.002994979285 -95.4057958330577 -371.15483965634</f>
        <v>-939.56363046868273</v>
      </c>
      <c r="R1017" t="s">
        <v>11218</v>
      </c>
      <c r="S1017" t="s">
        <v>11219</v>
      </c>
      <c r="T1017" t="s">
        <v>11220</v>
      </c>
      <c r="U1017" t="s">
        <v>11221</v>
      </c>
      <c r="V1017">
        <f>-627.413158375341 -115.94823161346 -96.4598185447906</f>
        <v>-839.82120853359152</v>
      </c>
      <c r="W1017" t="s">
        <v>11222</v>
      </c>
      <c r="X1017" t="s">
        <v>11223</v>
      </c>
      <c r="Y1017" t="s">
        <v>11224</v>
      </c>
    </row>
    <row r="1018" spans="1:25" x14ac:dyDescent="0.3">
      <c r="A1018">
        <v>50850</v>
      </c>
      <c r="B1018" t="s">
        <v>11225</v>
      </c>
      <c r="C1018">
        <f>-639.64658789552 -21.5808668845254 -97.0909807337727</f>
        <v>-758.31843551381814</v>
      </c>
      <c r="D1018">
        <f>-663.01837718162 -26.6237996451739 -210.424736596175</f>
        <v>-900.06691342296892</v>
      </c>
      <c r="E1018">
        <f>-669.16820848464 -27.4326460487127 -308.853341263361</f>
        <v>-1005.4541957967137</v>
      </c>
      <c r="F1018">
        <f>-669.703468331036 -26.926815790514 -397.947107826493</f>
        <v>-1094.577391948043</v>
      </c>
      <c r="G1018">
        <f>-664.847907112878 -25.2254653714272 -486.895183744036</f>
        <v>-1176.9685562283412</v>
      </c>
      <c r="H1018">
        <f>-652.406425461131 -21.6644124882691 -610.803817924315</f>
        <v>-1284.8746558737153</v>
      </c>
      <c r="I1018">
        <f>-623.931990693457 -18.6564526805732 -688.811402537672</f>
        <v>-1331.3998459117024</v>
      </c>
      <c r="J1018" t="s">
        <v>11226</v>
      </c>
      <c r="K1018" t="s">
        <v>11227</v>
      </c>
      <c r="L1018" t="s">
        <v>11228</v>
      </c>
      <c r="M1018" t="s">
        <v>11229</v>
      </c>
      <c r="N1018">
        <f>-656.345556633018 -50.8904792479289 -556.918503906477</f>
        <v>-1264.1545397874238</v>
      </c>
      <c r="O1018">
        <f>-648.87208078841 -185.560741365689 -530.386225093376</f>
        <v>-1364.8190472474751</v>
      </c>
      <c r="P1018">
        <f>-537.413004109798 -311.990913850064 -289.173726058276</f>
        <v>-1138.577644018138</v>
      </c>
      <c r="Q1018">
        <f>-471.042246665847 -94.1733092874554 -367.922049300935</f>
        <v>-933.13760525423743</v>
      </c>
      <c r="R1018" t="s">
        <v>11230</v>
      </c>
      <c r="S1018" t="s">
        <v>11231</v>
      </c>
      <c r="T1018" t="s">
        <v>11232</v>
      </c>
      <c r="U1018" t="s">
        <v>11233</v>
      </c>
      <c r="V1018">
        <f>-628.292589336515 -116.568271841503 -96.4532337386685</f>
        <v>-841.31409491668649</v>
      </c>
      <c r="W1018" t="s">
        <v>11234</v>
      </c>
      <c r="X1018" t="s">
        <v>11235</v>
      </c>
      <c r="Y1018" t="s">
        <v>11236</v>
      </c>
    </row>
    <row r="1019" spans="1:25" x14ac:dyDescent="0.3">
      <c r="A1019">
        <v>50900</v>
      </c>
      <c r="B1019" t="s">
        <v>11237</v>
      </c>
      <c r="C1019">
        <f>-640.597503221151 -21.9311910525018 -97.1914811680153</f>
        <v>-759.72017544166818</v>
      </c>
      <c r="D1019">
        <f>-664.02982964398 -27.0901621479045 -210.507521029796</f>
        <v>-901.62751282168051</v>
      </c>
      <c r="E1019">
        <f>-670.176700392185 -28.1328907217967 -308.934062819743</f>
        <v>-1007.2436539337248</v>
      </c>
      <c r="F1019">
        <f>-670.688100759935 -27.8923129302616 -398.029029838976</f>
        <v>-1096.6094435291725</v>
      </c>
      <c r="G1019">
        <f>-665.788000277493 -26.5105090095506 -486.980269182796</f>
        <v>-1179.2787784698396</v>
      </c>
      <c r="H1019">
        <f>-653.263369924965 -23.4533302412194 -610.893925482368</f>
        <v>-1287.6106256485523</v>
      </c>
      <c r="I1019">
        <f>-624.714212523724 -20.7691659675002 -688.886075489995</f>
        <v>-1334.3694539812191</v>
      </c>
      <c r="J1019" t="s">
        <v>11238</v>
      </c>
      <c r="K1019" t="s">
        <v>11239</v>
      </c>
      <c r="L1019" t="s">
        <v>11240</v>
      </c>
      <c r="M1019" t="s">
        <v>11241</v>
      </c>
      <c r="N1019">
        <f>-657.299577021073 -52.4633155787634 -556.899187379666</f>
        <v>-1266.6620799795023</v>
      </c>
      <c r="O1019">
        <f>-649.29927700311 -186.950464885495 -529.607950061181</f>
        <v>-1365.8576919497859</v>
      </c>
      <c r="P1019">
        <f>-529.6835776398 -314.906990564882 -293.154130384564</f>
        <v>-1137.7446985892459</v>
      </c>
      <c r="Q1019">
        <f>-467.371060429485 -93.1964403589361 -363.952884504709</f>
        <v>-924.52038529313006</v>
      </c>
      <c r="R1019" t="s">
        <v>11242</v>
      </c>
      <c r="S1019" t="s">
        <v>11243</v>
      </c>
      <c r="T1019" t="s">
        <v>11244</v>
      </c>
      <c r="U1019" t="s">
        <v>11245</v>
      </c>
      <c r="V1019">
        <f>-629.350640389048 -116.952180302187 -96.4140994470542</f>
        <v>-842.7169201382892</v>
      </c>
      <c r="W1019" t="s">
        <v>11246</v>
      </c>
      <c r="X1019" t="s">
        <v>11247</v>
      </c>
      <c r="Y1019" t="s">
        <v>11248</v>
      </c>
    </row>
    <row r="1020" spans="1:25" x14ac:dyDescent="0.3">
      <c r="A1020">
        <v>50950</v>
      </c>
      <c r="B1020" t="s">
        <v>11249</v>
      </c>
      <c r="C1020">
        <f>-642.707174865546 -22.0381311506831 -97.4141306620683</f>
        <v>-762.15943667829731</v>
      </c>
      <c r="D1020">
        <f>-665.909666683202 -27.5337614724963 -210.761750021393</f>
        <v>-904.20517817709128</v>
      </c>
      <c r="E1020">
        <f>-671.887902157787 -28.8113800937942 -309.195781030982</f>
        <v>-1009.8950632825633</v>
      </c>
      <c r="F1020">
        <f>-672.261445310126 -28.7476797167819 -398.291858060854</f>
        <v>-1099.3009830877618</v>
      </c>
      <c r="G1020">
        <f>-667.239546562051 -27.4998025214054 -487.238219195487</f>
        <v>-1181.9775682789434</v>
      </c>
      <c r="H1020">
        <f>-654.562695858717 -24.5766917450048 -611.139748541519</f>
        <v>-1290.279136145241</v>
      </c>
      <c r="I1020">
        <f>-625.910340083512 -22.2596977408652 -689.105770322534</f>
        <v>-1337.2758081469112</v>
      </c>
      <c r="J1020" t="s">
        <v>11250</v>
      </c>
      <c r="K1020" t="s">
        <v>11251</v>
      </c>
      <c r="L1020" t="s">
        <v>11252</v>
      </c>
      <c r="M1020" t="s">
        <v>11253</v>
      </c>
      <c r="N1020">
        <f>-658.562778915704 -53.5226682401526 -557.107882060452</f>
        <v>-1269.1933292163085</v>
      </c>
      <c r="O1020">
        <f>-648.785119981925 -187.877849917636 -529.605231365426</f>
        <v>-1366.2682012649871</v>
      </c>
      <c r="P1020">
        <f>-515.554985832711 -317.390404128656 -301.422303986863</f>
        <v>-1134.36769394823</v>
      </c>
      <c r="Q1020">
        <f>-460.071008555051 -90.2572065520895 -359.584908569115</f>
        <v>-909.91312367625551</v>
      </c>
      <c r="R1020" t="s">
        <v>11254</v>
      </c>
      <c r="S1020" t="s">
        <v>11255</v>
      </c>
      <c r="T1020" t="s">
        <v>11256</v>
      </c>
      <c r="U1020" t="s">
        <v>11257</v>
      </c>
      <c r="V1020">
        <f>-631.738159270281 -116.784750014218 -96.2438581782325</f>
        <v>-844.76676746273154</v>
      </c>
      <c r="W1020" t="s">
        <v>11258</v>
      </c>
      <c r="X1020" t="s">
        <v>11259</v>
      </c>
      <c r="Y1020" t="s">
        <v>11260</v>
      </c>
    </row>
    <row r="1021" spans="1:25" x14ac:dyDescent="0.3">
      <c r="A1021">
        <v>51000</v>
      </c>
      <c r="B1021" t="s">
        <v>11261</v>
      </c>
      <c r="C1021">
        <f>-644.710753680364 -21.1361957030049 -97.5984052685905</f>
        <v>-763.44535465195929</v>
      </c>
      <c r="D1021">
        <f>-667.230903712512 -27.2747906088587 -211.050449910411</f>
        <v>-905.55614423178167</v>
      </c>
      <c r="E1021">
        <f>-672.731562606378 -28.7955633752008 -309.509039171475</f>
        <v>-1011.0361651530538</v>
      </c>
      <c r="F1021">
        <f>-672.719320867186 -28.8157734437252 -398.605918281989</f>
        <v>-1100.1410125929001</v>
      </c>
      <c r="G1021">
        <f>-667.359636867955 -27.5043077626103 -487.531668443911</f>
        <v>-1182.3956130744764</v>
      </c>
      <c r="H1021">
        <f>-654.262000155785 -24.3292369335898 -611.383064744038</f>
        <v>-1289.9743018334129</v>
      </c>
      <c r="I1021">
        <f>-625.599595838828 -22.0854248953729 -689.347528931551</f>
        <v>-1337.032549665752</v>
      </c>
      <c r="J1021" t="s">
        <v>11262</v>
      </c>
      <c r="K1021" t="s">
        <v>11263</v>
      </c>
      <c r="L1021" t="s">
        <v>11264</v>
      </c>
      <c r="M1021" t="s">
        <v>11265</v>
      </c>
      <c r="N1021">
        <f>-658.143592046053 -53.3667410552926 -557.391835674141</f>
        <v>-1268.9021687754866</v>
      </c>
      <c r="O1021">
        <f>-646.81766914489 -187.752736982152 -530.639332066596</f>
        <v>-1365.209738193638</v>
      </c>
      <c r="P1021">
        <f>-510.356853927794 -314.240664396656 -302.669032916207</f>
        <v>-1127.266551240657</v>
      </c>
      <c r="Q1021">
        <f>-458.207676955483 -86.4187293063467 -361.222482263314</f>
        <v>-905.84888852514382</v>
      </c>
      <c r="R1021" t="s">
        <v>11266</v>
      </c>
      <c r="S1021" t="s">
        <v>11267</v>
      </c>
      <c r="T1021" t="s">
        <v>11268</v>
      </c>
      <c r="U1021" t="s">
        <v>11269</v>
      </c>
      <c r="V1021">
        <f>-634.08326623527 -115.436850150999 -95.9436761646801</f>
        <v>-845.46379255094917</v>
      </c>
      <c r="W1021" t="s">
        <v>11270</v>
      </c>
      <c r="X1021" t="s">
        <v>11271</v>
      </c>
      <c r="Y1021" t="s">
        <v>11272</v>
      </c>
    </row>
    <row r="1022" spans="1:25" x14ac:dyDescent="0.3">
      <c r="A1022">
        <v>51050</v>
      </c>
      <c r="B1022" t="s">
        <v>11273</v>
      </c>
      <c r="C1022">
        <f>-645.904719717254 -20.2804176300565 -97.6089160336862</f>
        <v>-763.79405338099673</v>
      </c>
      <c r="D1022">
        <f>-667.817120362416 -26.659422256027 -211.166680981138</f>
        <v>-905.64322359958101</v>
      </c>
      <c r="E1022">
        <f>-672.900750735564 -28.4354930453774 -309.643384357227</f>
        <v>-1010.9796281381683</v>
      </c>
      <c r="F1022">
        <f>-672.55678130438 -28.702699079427 -398.7391051754</f>
        <v>-1099.9985855592072</v>
      </c>
      <c r="G1022">
        <f>-666.912646074913 -27.6486238166156 -487.650672851191</f>
        <v>-1182.2119427427197</v>
      </c>
      <c r="H1022">
        <f>-653.468253678838 -24.8403262099723 -611.473831352971</f>
        <v>-1289.7824112417813</v>
      </c>
      <c r="I1022">
        <f>-624.775934692061 -22.7231681522624 -689.430872959028</f>
        <v>-1336.9299758033512</v>
      </c>
      <c r="J1022" t="s">
        <v>11274</v>
      </c>
      <c r="K1022" t="s">
        <v>11275</v>
      </c>
      <c r="L1022" t="s">
        <v>11276</v>
      </c>
      <c r="M1022" t="s">
        <v>11277</v>
      </c>
      <c r="N1022">
        <f>-657.340392650056 -53.7067855070065 -557.390218514139</f>
        <v>-1268.4373966712014</v>
      </c>
      <c r="O1022">
        <f>-645.867631854019 -188.009562984205 -530.431549029224</f>
        <v>-1364.3087438674479</v>
      </c>
      <c r="P1022">
        <f>-517.584868860444 -304.908285384451 -292.798567790647</f>
        <v>-1115.2917220355421</v>
      </c>
      <c r="Q1022">
        <f>-461.065624866974 -82.0749777845335 -364.921584567919</f>
        <v>-908.06218721942651</v>
      </c>
      <c r="R1022" t="s">
        <v>11278</v>
      </c>
      <c r="S1022" t="s">
        <v>11279</v>
      </c>
      <c r="T1022" t="s">
        <v>11280</v>
      </c>
      <c r="U1022" t="s">
        <v>11281</v>
      </c>
      <c r="V1022">
        <f>-635.447182386028 -113.884466490731 -95.8013481065367</f>
        <v>-845.1329969832957</v>
      </c>
      <c r="W1022" t="s">
        <v>11282</v>
      </c>
      <c r="X1022" t="s">
        <v>11283</v>
      </c>
      <c r="Y1022" t="s">
        <v>11284</v>
      </c>
    </row>
    <row r="1023" spans="1:25" x14ac:dyDescent="0.3">
      <c r="A1023">
        <v>51100</v>
      </c>
      <c r="B1023" t="s">
        <v>11285</v>
      </c>
      <c r="C1023">
        <f>-646.466606457874 -19.8719513129379 -97.6393903928325</f>
        <v>-763.97794816364444</v>
      </c>
      <c r="D1023">
        <f>-668.231114806147 -26.2814958628842 -211.223875578387</f>
        <v>-905.73648624741827</v>
      </c>
      <c r="E1023">
        <f>-673.233264835728 -28.241320675708 -309.701261680455</f>
        <v>-1011.1758471918911</v>
      </c>
      <c r="F1023">
        <f>-672.834838378324 -28.740703797461 -398.795783211342</f>
        <v>-1100.3713253871269</v>
      </c>
      <c r="G1023">
        <f>-667.155344143218 -27.9862807881598 -487.708113390499</f>
        <v>-1182.8497383218769</v>
      </c>
      <c r="H1023">
        <f>-653.681857897712 -25.6685670120582 -611.538395080981</f>
        <v>-1290.8888199907512</v>
      </c>
      <c r="I1023">
        <f>-624.973760005786 -23.7670102267791 -689.49512325992</f>
        <v>-1338.235893492485</v>
      </c>
      <c r="J1023" t="s">
        <v>11286</v>
      </c>
      <c r="K1023" t="s">
        <v>11287</v>
      </c>
      <c r="L1023" t="s">
        <v>11288</v>
      </c>
      <c r="M1023" t="s">
        <v>11289</v>
      </c>
      <c r="N1023">
        <f>-657.580983391246 -54.3215385306466 -557.343101054163</f>
        <v>-1269.2456229760555</v>
      </c>
      <c r="O1023">
        <f>-646.316064986438 -188.461928172627 -529.51511323162</f>
        <v>-1364.2931063906851</v>
      </c>
      <c r="P1023">
        <f>-524.747591810249 -298.565383573903 -285.200716839781</f>
        <v>-1108.513692223933</v>
      </c>
      <c r="Q1023">
        <f>-463.399704413524 -80.4575079364198 -367.153181237028</f>
        <v>-911.01039358697176</v>
      </c>
      <c r="R1023" t="s">
        <v>11290</v>
      </c>
      <c r="S1023" t="s">
        <v>11291</v>
      </c>
      <c r="T1023" t="s">
        <v>11292</v>
      </c>
      <c r="U1023" t="s">
        <v>11293</v>
      </c>
      <c r="V1023">
        <f>-635.84011402343 -113.597470195056 -95.8162503790071</f>
        <v>-845.2538345974931</v>
      </c>
      <c r="W1023" t="s">
        <v>11294</v>
      </c>
      <c r="X1023" t="s">
        <v>11295</v>
      </c>
      <c r="Y1023" t="s">
        <v>11296</v>
      </c>
    </row>
    <row r="1024" spans="1:25" x14ac:dyDescent="0.3">
      <c r="A1024">
        <v>51150</v>
      </c>
      <c r="B1024" t="s">
        <v>11297</v>
      </c>
      <c r="C1024">
        <f>-647.032388541651 -19.6533524281895 -97.6807327443003</f>
        <v>-764.36647371414074</v>
      </c>
      <c r="D1024">
        <f>-668.706714855346 -26.0659831486691 -211.28228351621</f>
        <v>-906.05498152022517</v>
      </c>
      <c r="E1024">
        <f>-673.670931990773 -28.2272372858786 -309.757299564863</f>
        <v>-1011.6554688415147</v>
      </c>
      <c r="F1024">
        <f>-673.254667246736 -28.9927835168537 -398.849978759022</f>
        <v>-1101.0974295226117</v>
      </c>
      <c r="G1024">
        <f>-667.574119033768 -28.5904164650401 -487.764625426989</f>
        <v>-1183.9291609257971</v>
      </c>
      <c r="H1024">
        <f>-654.116563933353 -26.8568306169184 -611.605992997522</f>
        <v>-1292.5793875477934</v>
      </c>
      <c r="I1024">
        <f>-625.41031506896 -25.2470666518989 -689.56995063686</f>
        <v>-1340.2273323577188</v>
      </c>
      <c r="J1024" t="s">
        <v>11298</v>
      </c>
      <c r="K1024" t="s">
        <v>11299</v>
      </c>
      <c r="L1024" t="s">
        <v>11300</v>
      </c>
      <c r="M1024" t="s">
        <v>11301</v>
      </c>
      <c r="N1024">
        <f>-658.052206755388 -55.2569595069011 -557.280585230676</f>
        <v>-1270.5897514929652</v>
      </c>
      <c r="O1024">
        <f>-647.165287518589 -189.219283245043 -528.488768223376</f>
        <v>-1364.8733389870081</v>
      </c>
      <c r="P1024">
        <f>-533.45159616122 -291.656897243539 -277.158397225545</f>
        <v>-1102.266890630304</v>
      </c>
      <c r="Q1024">
        <f>-466.635397698637 -79.2811843690486 -369.261742186195</f>
        <v>-915.17832425388065</v>
      </c>
      <c r="R1024" t="s">
        <v>11302</v>
      </c>
      <c r="S1024" t="s">
        <v>11303</v>
      </c>
      <c r="T1024" t="s">
        <v>11304</v>
      </c>
      <c r="U1024" t="s">
        <v>11305</v>
      </c>
      <c r="V1024">
        <f>-636.057608658627 -113.584074368453 -95.8675023740157</f>
        <v>-845.50918540109569</v>
      </c>
      <c r="W1024" t="s">
        <v>11306</v>
      </c>
      <c r="X1024" t="s">
        <v>11307</v>
      </c>
      <c r="Y1024" t="s">
        <v>11308</v>
      </c>
    </row>
    <row r="1025" spans="1:25" x14ac:dyDescent="0.3">
      <c r="A1025">
        <v>51200</v>
      </c>
      <c r="B1025" t="s">
        <v>11309</v>
      </c>
      <c r="C1025">
        <f>-647.530850547766 -19.7070456095264 -97.8548674362327</f>
        <v>-765.09276359352509</v>
      </c>
      <c r="D1025">
        <f>-669.257589140467 -26.0871096938822 -211.448356399986</f>
        <v>-906.79305523433516</v>
      </c>
      <c r="E1025">
        <f>-674.323146797847 -28.5848121757526 -309.910273920126</f>
        <v>-1012.8182328937256</v>
      </c>
      <c r="F1025">
        <f>-674.022241071946 -29.8083940300255 -398.998125922193</f>
        <v>-1102.8287610241646</v>
      </c>
      <c r="G1025">
        <f>-668.480847422598 -30.0222562640317 -487.922190145898</f>
        <v>-1186.4252938325278</v>
      </c>
      <c r="H1025">
        <f>-655.242542459431 -29.3196274216318 -611.797439549894</f>
        <v>-1296.3596094309569</v>
      </c>
      <c r="I1025">
        <f>-626.568945583374 -28.3847224961689 -689.784467775111</f>
        <v>-1344.738135854654</v>
      </c>
      <c r="J1025">
        <f>-662.946888669273 -1.98353848684587 -557.329993248896</f>
        <v>-1222.2604204050149</v>
      </c>
      <c r="K1025" t="s">
        <v>11310</v>
      </c>
      <c r="L1025" t="s">
        <v>11311</v>
      </c>
      <c r="M1025" t="s">
        <v>11312</v>
      </c>
      <c r="N1025">
        <f>-659.18923408634 -57.2739971350883 -557.242075154929</f>
        <v>-1273.7053063763574</v>
      </c>
      <c r="O1025">
        <f>-649.104523925498 -190.952256848757 -526.706040718663</f>
        <v>-1366.762821492918</v>
      </c>
      <c r="P1025">
        <f>-551.02016759944 -277.874881887072 -263.238453346471</f>
        <v>-1092.1335028329829</v>
      </c>
      <c r="Q1025">
        <f>-472.76678721928 -78.5184273762779 -373.620786058735</f>
        <v>-924.90600065429294</v>
      </c>
      <c r="R1025" t="s">
        <v>11313</v>
      </c>
      <c r="S1025" t="s">
        <v>11314</v>
      </c>
      <c r="T1025" t="s">
        <v>11315</v>
      </c>
      <c r="U1025" t="s">
        <v>11316</v>
      </c>
      <c r="V1025">
        <f>-636.282114693583 -113.770632254243 -95.966471413144</f>
        <v>-846.01921836096994</v>
      </c>
      <c r="W1025" t="s">
        <v>11317</v>
      </c>
      <c r="X1025" t="s">
        <v>11318</v>
      </c>
      <c r="Y1025" t="s">
        <v>11319</v>
      </c>
    </row>
    <row r="1026" spans="1:25" x14ac:dyDescent="0.3">
      <c r="A1026">
        <v>51250</v>
      </c>
      <c r="B1026" t="s">
        <v>11320</v>
      </c>
      <c r="C1026">
        <f>-647.546906426478 -19.6995190077553 -97.9173523512592</f>
        <v>-765.16377778549247</v>
      </c>
      <c r="D1026">
        <f>-669.336288149688 -25.9973784011265 -211.503389427694</f>
        <v>-906.83705597850849</v>
      </c>
      <c r="E1026">
        <f>-674.492064785628 -28.5070733025573 -309.960273356534</f>
        <v>-1012.9594114447193</v>
      </c>
      <c r="F1026">
        <f>-674.288055989715 -29.7728087691878 -399.047864636307</f>
        <v>-1103.1087293952098</v>
      </c>
      <c r="G1026">
        <f>-668.859196889822 -30.0600989008033 -487.978788746161</f>
        <v>-1186.8980845367862</v>
      </c>
      <c r="H1026">
        <f>-655.794528961588 -29.4918606587428 -611.873036099346</f>
        <v>-1297.1594257196766</v>
      </c>
      <c r="I1026">
        <f>-627.134511375971 -28.8227752538548 -689.867884509537</f>
        <v>-1345.8251711393627</v>
      </c>
      <c r="J1026">
        <f>-663.396736712208 -2.09506843381473 -557.42200351843</f>
        <v>-1222.9138086644527</v>
      </c>
      <c r="K1026" t="s">
        <v>11321</v>
      </c>
      <c r="L1026" t="s">
        <v>11322</v>
      </c>
      <c r="M1026" t="s">
        <v>11323</v>
      </c>
      <c r="N1026">
        <f>-659.690524749803 -57.3888254901431 -557.284678899501</f>
        <v>-1274.3640291394472</v>
      </c>
      <c r="O1026">
        <f>-649.978615684429 -191.012518221491 -526.354522941593</f>
        <v>-1367.3456568475131</v>
      </c>
      <c r="P1026">
        <f>-559.558853901541 -271.449167474054 -258.128092974746</f>
        <v>-1089.1361143503409</v>
      </c>
      <c r="Q1026">
        <f>-474.685758962417 -79.0390724947473 -375.711204076794</f>
        <v>-929.43603553395837</v>
      </c>
      <c r="R1026" t="s">
        <v>11324</v>
      </c>
      <c r="S1026" t="s">
        <v>11325</v>
      </c>
      <c r="T1026" t="s">
        <v>11326</v>
      </c>
      <c r="U1026" t="s">
        <v>11327</v>
      </c>
      <c r="V1026">
        <f>-636.438261017429 -113.711877381229 -96.0286107071286</f>
        <v>-846.17874910578655</v>
      </c>
      <c r="W1026" t="s">
        <v>11328</v>
      </c>
      <c r="X1026" t="s">
        <v>11329</v>
      </c>
      <c r="Y1026" t="s">
        <v>11330</v>
      </c>
    </row>
    <row r="1027" spans="1:25" x14ac:dyDescent="0.3">
      <c r="A1027">
        <v>51300</v>
      </c>
      <c r="B1027" t="s">
        <v>11331</v>
      </c>
      <c r="C1027">
        <f>-647.407878380091 -19.2639891559754 -97.9546519177121</f>
        <v>-764.62651945377854</v>
      </c>
      <c r="D1027">
        <f>-669.363006427995 -25.3867278288453 -211.518340602295</f>
        <v>-906.26807485913525</v>
      </c>
      <c r="E1027">
        <f>-674.750703903776 -27.7875591462569 -309.965624082909</f>
        <v>-1012.5038871329418</v>
      </c>
      <c r="F1027">
        <f>-674.793618981431 -28.9645773704208 -399.054572608172</f>
        <v>-1102.8127689600237</v>
      </c>
      <c r="G1027">
        <f>-669.648708597414 -29.1701827958498 -488.002616087405</f>
        <v>-1186.8215074806687</v>
      </c>
      <c r="H1027">
        <f>-657.019750293101 -28.492225369893 -611.941375754677</f>
        <v>-1297.453351417671</v>
      </c>
      <c r="I1027">
        <f>-628.505612347128 -28.2042085919527 -689.992078208722</f>
        <v>-1346.7018991478026</v>
      </c>
      <c r="J1027">
        <f>-664.397244427696 -1.14150038610569 -557.436224404485</f>
        <v>-1222.9749692182868</v>
      </c>
      <c r="K1027" t="s">
        <v>11332</v>
      </c>
      <c r="L1027" t="s">
        <v>11333</v>
      </c>
      <c r="M1027" t="s">
        <v>11334</v>
      </c>
      <c r="N1027">
        <f>-660.756962143789 -56.4397863756499 -557.367839274689</f>
        <v>-1274.5645877941279</v>
      </c>
      <c r="O1027">
        <f>-651.599492722153 -190.027343164269 -526.222113769666</f>
        <v>-1367.8489496560878</v>
      </c>
      <c r="P1027">
        <f>-576.63450111877 -259.506156312673 -250.279762393466</f>
        <v>-1086.420419824909</v>
      </c>
      <c r="Q1027">
        <f>-479.983618868362 -79.0436833294831 -377.334007945362</f>
        <v>-936.36131014320699</v>
      </c>
      <c r="R1027" t="s">
        <v>11335</v>
      </c>
      <c r="S1027" t="s">
        <v>11336</v>
      </c>
      <c r="T1027" t="s">
        <v>11337</v>
      </c>
      <c r="U1027" t="s">
        <v>11338</v>
      </c>
      <c r="V1027">
        <f>-636.43916988774 -113.302131638832 -96.1486669710671</f>
        <v>-845.88996849763907</v>
      </c>
      <c r="W1027" t="s">
        <v>11339</v>
      </c>
      <c r="X1027" t="s">
        <v>11340</v>
      </c>
      <c r="Y1027" t="s">
        <v>11341</v>
      </c>
    </row>
    <row r="1028" spans="1:25" x14ac:dyDescent="0.3">
      <c r="A1028">
        <v>51350</v>
      </c>
      <c r="B1028" t="s">
        <v>11342</v>
      </c>
      <c r="C1028">
        <f>-647.241400386938 -18.931349128452 -97.9542943532018</f>
        <v>-764.12704386859184</v>
      </c>
      <c r="D1028">
        <f>-669.292620066319 -25.0181709660922 -211.501329152708</f>
        <v>-905.81212018511917</v>
      </c>
      <c r="E1028">
        <f>-674.778979816759 -27.3710107097522 -309.944259629353</f>
        <v>-1012.0942501558643</v>
      </c>
      <c r="F1028">
        <f>-674.917465296342 -28.4953378882228 -399.033965159185</f>
        <v>-1102.4467683437499</v>
      </c>
      <c r="G1028">
        <f>-669.874413397159 -28.6392229923715 -487.987775773842</f>
        <v>-1186.5014121633724</v>
      </c>
      <c r="H1028">
        <f>-657.394025431044 -27.8642120754314 -611.941185220774</f>
        <v>-1297.1994227272494</v>
      </c>
      <c r="I1028">
        <f>-628.988265141092 -27.707313808713 -690.031573001271</f>
        <v>-1346.7271519510759</v>
      </c>
      <c r="J1028">
        <f>-664.675628026366 -0.554010012853496 -557.402718406366</f>
        <v>-1222.6323564455856</v>
      </c>
      <c r="K1028" t="s">
        <v>11343</v>
      </c>
      <c r="L1028" t="s">
        <v>11344</v>
      </c>
      <c r="M1028" t="s">
        <v>11345</v>
      </c>
      <c r="N1028">
        <f>-661.096528061493 -55.8564098786411 -557.388053956643</f>
        <v>-1274.3409918967773</v>
      </c>
      <c r="O1028">
        <f>-652.311128512785 -189.436035580879 -526.170996247922</f>
        <v>-1367.9181603415859</v>
      </c>
      <c r="P1028">
        <f>-584.478531499529 -254.585563015014 -247.342141721392</f>
        <v>-1086.406236235935</v>
      </c>
      <c r="Q1028">
        <f>-482.455152473315 -79.2031286726818 -377.277231657995</f>
        <v>-938.93551280399186</v>
      </c>
      <c r="R1028" t="s">
        <v>11346</v>
      </c>
      <c r="S1028" t="s">
        <v>11347</v>
      </c>
      <c r="T1028" t="s">
        <v>11348</v>
      </c>
      <c r="U1028" t="s">
        <v>11349</v>
      </c>
      <c r="V1028">
        <f>-636.352419078716 -113.011612220592 -96.1656326245259</f>
        <v>-845.52966392383394</v>
      </c>
      <c r="W1028" t="s">
        <v>11350</v>
      </c>
      <c r="X1028" t="s">
        <v>11351</v>
      </c>
      <c r="Y1028" t="s">
        <v>11352</v>
      </c>
    </row>
    <row r="1029" spans="1:25" x14ac:dyDescent="0.3">
      <c r="A1029">
        <v>51400</v>
      </c>
      <c r="B1029" t="s">
        <v>11353</v>
      </c>
      <c r="C1029">
        <f>-646.51565028634 -18.7002512415888 -97.9444258729736</f>
        <v>-763.16032740090247</v>
      </c>
      <c r="D1029">
        <f>-668.810843416505 -24.7284035721746 -211.44691936213</f>
        <v>-904.98616635080953</v>
      </c>
      <c r="E1029">
        <f>-674.532547777498 -27.0040228016924 -309.878379829064</f>
        <v>-1011.4149504082544</v>
      </c>
      <c r="F1029">
        <f>-674.893935001014 -28.0440802252479 -398.968218525628</f>
        <v>-1101.9062337518899</v>
      </c>
      <c r="G1029">
        <f>-670.083181780071 -28.0896782612449 -487.935127351233</f>
        <v>-1186.1079873925489</v>
      </c>
      <c r="H1029">
        <f>-657.936702417164 -27.1623247626931 -611.920663642444</f>
        <v>-1297.0196908223011</v>
      </c>
      <c r="I1029">
        <f>-629.841883895794 -27.2275369657664 -690.123665262491</f>
        <v>-1347.1930861240514</v>
      </c>
      <c r="J1029" t="s">
        <v>11354</v>
      </c>
      <c r="K1029" t="s">
        <v>11355</v>
      </c>
      <c r="L1029" t="s">
        <v>11356</v>
      </c>
      <c r="M1029" t="s">
        <v>11357</v>
      </c>
      <c r="N1029">
        <f>-661.581547803252 -55.2271497537511 -557.401007350673</f>
        <v>-1274.209704907676</v>
      </c>
      <c r="O1029">
        <f>-653.706522424938 -188.878944085333 -526.210245883578</f>
        <v>-1368.795712393849</v>
      </c>
      <c r="P1029">
        <f>-598.535769764858 -245.576253752434 -242.779881783428</f>
        <v>-1086.8919053007201</v>
      </c>
      <c r="Q1029">
        <f>-485.513930194868 -80.2283972659702 -376.708890211381</f>
        <v>-942.45121767221917</v>
      </c>
      <c r="R1029" t="s">
        <v>11358</v>
      </c>
      <c r="S1029" t="s">
        <v>11359</v>
      </c>
      <c r="T1029" t="s">
        <v>11360</v>
      </c>
      <c r="U1029" t="s">
        <v>11361</v>
      </c>
      <c r="V1029">
        <f>-635.759653762712 -112.949166865204 -96.1934289860733</f>
        <v>-844.90224961398928</v>
      </c>
      <c r="W1029" t="s">
        <v>11362</v>
      </c>
      <c r="X1029" t="s">
        <v>11363</v>
      </c>
      <c r="Y1029" t="s">
        <v>11364</v>
      </c>
    </row>
    <row r="1030" spans="1:25" x14ac:dyDescent="0.3">
      <c r="A1030">
        <v>51450</v>
      </c>
      <c r="B1030" t="s">
        <v>11365</v>
      </c>
      <c r="C1030">
        <f>-646.075545953641 -18.8062768780405 -97.939316349994</f>
        <v>-762.82113918167556</v>
      </c>
      <c r="D1030">
        <f>-668.509115702197 -24.7785990535494 -211.417383485554</f>
        <v>-904.70509824130045</v>
      </c>
      <c r="E1030">
        <f>-674.365099770529 -27.0438265903754 -309.841106679437</f>
        <v>-1011.2500330403413</v>
      </c>
      <c r="F1030">
        <f>-674.854058067494 -28.0893108901796 -398.930509403767</f>
        <v>-1101.8738783614406</v>
      </c>
      <c r="G1030">
        <f>-670.176630300582 -28.1561675897674 -487.904336471274</f>
        <v>-1186.2371343616235</v>
      </c>
      <c r="H1030">
        <f>-658.222181985445 -27.2759058429297 -611.90889296292</f>
        <v>-1297.4069807912947</v>
      </c>
      <c r="I1030">
        <f>-630.277636927061 -27.5036796150989 -690.165476284586</f>
        <v>-1347.9467928267459</v>
      </c>
      <c r="J1030">
        <f>-665.114733914995 -0.00225118531238877 -557.301511326409</f>
        <v>-1222.4184964267165</v>
      </c>
      <c r="K1030" t="s">
        <v>11366</v>
      </c>
      <c r="L1030" t="s">
        <v>11367</v>
      </c>
      <c r="M1030" t="s">
        <v>11368</v>
      </c>
      <c r="N1030">
        <f>-661.850738738007 -55.32418589782 -557.379702155129</f>
        <v>-1274.554626790956</v>
      </c>
      <c r="O1030">
        <f>-654.556145359835 -188.998774763349 -526.173111917435</f>
        <v>-1369.7280320406189</v>
      </c>
      <c r="P1030">
        <f>-604.483459415292 -241.940153863649 -241.07478635924</f>
        <v>-1087.4983996381811</v>
      </c>
      <c r="Q1030">
        <f>-486.997644947401 -80.706108008161 -376.17290902394</f>
        <v>-943.87666197950193</v>
      </c>
      <c r="R1030" t="s">
        <v>11369</v>
      </c>
      <c r="S1030" t="s">
        <v>11370</v>
      </c>
      <c r="T1030" t="s">
        <v>11371</v>
      </c>
      <c r="U1030" t="s">
        <v>11372</v>
      </c>
      <c r="V1030">
        <f>-635.464930420581 -113.146462338529 -96.2005603780932</f>
        <v>-844.8119531372032</v>
      </c>
      <c r="W1030" t="s">
        <v>11373</v>
      </c>
      <c r="X1030" t="s">
        <v>11374</v>
      </c>
      <c r="Y1030" t="s">
        <v>11375</v>
      </c>
    </row>
    <row r="1031" spans="1:25" x14ac:dyDescent="0.3">
      <c r="A1031">
        <v>51500</v>
      </c>
      <c r="B1031" t="s">
        <v>11376</v>
      </c>
      <c r="C1031">
        <f>-645.178495586833 -18.8087108908856 -97.8905123446809</f>
        <v>-761.87771882239952</v>
      </c>
      <c r="D1031">
        <f>-667.899684844696 -24.7014304133177 -211.315571041988</f>
        <v>-903.91668630000163</v>
      </c>
      <c r="E1031">
        <f>-674.014682562251 -26.9967136855566 -309.722912147338</f>
        <v>-1010.7343083951456</v>
      </c>
      <c r="F1031">
        <f>-674.742445360222 -28.1079046396242 -398.809697275387</f>
        <v>-1101.6600472752332</v>
      </c>
      <c r="G1031">
        <f>-670.30814615845 -28.2820453256263 -487.795990752789</f>
        <v>-1186.3861822368654</v>
      </c>
      <c r="H1031">
        <f>-658.697349501413 -27.595540547044 -611.834392168009</f>
        <v>-1298.127282216466</v>
      </c>
      <c r="I1031">
        <f>-631.003082171004 -28.149242597852 -690.178249702944</f>
        <v>-1349.3305744718</v>
      </c>
      <c r="J1031">
        <f>-665.286900823662 -0.228120357207899 -557.236710437446</f>
        <v>-1222.7517316183159</v>
      </c>
      <c r="K1031" t="s">
        <v>11377</v>
      </c>
      <c r="L1031" t="s">
        <v>11378</v>
      </c>
      <c r="M1031" t="s">
        <v>11379</v>
      </c>
      <c r="N1031">
        <f>-662.326470734886 -55.5671009524596 -557.265757300102</f>
        <v>-1275.1593289874477</v>
      </c>
      <c r="O1031">
        <f>-656.299387683934 -189.279063532572 -525.920373966243</f>
        <v>-1371.498825182749</v>
      </c>
      <c r="P1031">
        <f>-612.954326707852 -237.339481726421 -238.861798944974</f>
        <v>-1089.1556073792472</v>
      </c>
      <c r="Q1031">
        <f>-488.127025472816 -82.5226220026465 -374.879384897644</f>
        <v>-945.52903237310647</v>
      </c>
      <c r="R1031" t="s">
        <v>11380</v>
      </c>
      <c r="S1031" t="s">
        <v>11381</v>
      </c>
      <c r="T1031" t="s">
        <v>11382</v>
      </c>
      <c r="U1031" t="s">
        <v>11383</v>
      </c>
      <c r="V1031">
        <f>-634.805109225354 -113.299161013966 -96.181401389891</f>
        <v>-844.28567162921104</v>
      </c>
      <c r="W1031" t="s">
        <v>11384</v>
      </c>
      <c r="X1031" t="s">
        <v>11385</v>
      </c>
      <c r="Y1031" t="s">
        <v>11386</v>
      </c>
    </row>
    <row r="1032" spans="1:25" x14ac:dyDescent="0.3">
      <c r="A1032">
        <v>51550</v>
      </c>
      <c r="B1032" t="s">
        <v>11387</v>
      </c>
      <c r="C1032">
        <f>-644.72189792847 -18.7093804555268 -97.8757807800544</f>
        <v>-761.30705916405111</v>
      </c>
      <c r="D1032">
        <f>-667.580817346015 -24.5759127678507 -211.274551341915</f>
        <v>-903.43128145578066</v>
      </c>
      <c r="E1032">
        <f>-673.81695840634 -26.8992608267238 -309.673553202667</f>
        <v>-1010.3897724357307</v>
      </c>
      <c r="F1032">
        <f>-674.655556537389 -28.0552474989729 -398.75891516063</f>
        <v>-1101.4697191969919</v>
      </c>
      <c r="G1032">
        <f>-670.333207060323 -28.2942407831342 -487.750587765168</f>
        <v>-1186.3780356086254</v>
      </c>
      <c r="H1032">
        <f>-658.88003116963 -27.7202215921391 -611.804072099902</f>
        <v>-1298.4043248616711</v>
      </c>
      <c r="I1032">
        <f>-631.278953609232 -28.4137993139086 -690.179745744438</f>
        <v>-1349.8724986675786</v>
      </c>
      <c r="J1032">
        <f>-665.330662622797 -0.299708172751707 -557.216450494009</f>
        <v>-1222.8468212895577</v>
      </c>
      <c r="K1032" t="s">
        <v>11388</v>
      </c>
      <c r="L1032" t="s">
        <v>11389</v>
      </c>
      <c r="M1032" t="s">
        <v>11390</v>
      </c>
      <c r="N1032">
        <f>-662.509349006622 -55.6460056593038 -557.21211163184</f>
        <v>-1275.3674662977658</v>
      </c>
      <c r="O1032">
        <f>-656.940044468374 -189.354675055978 -525.746958790484</f>
        <v>-1372.041678314836</v>
      </c>
      <c r="P1032">
        <f>-616.238127214128 -235.902403847773 -238.052959899457</f>
        <v>-1090.1934909613581</v>
      </c>
      <c r="Q1032">
        <f>-488.536030678485 -83.6036209346594 -374.244292333609</f>
        <v>-946.38394394675345</v>
      </c>
      <c r="R1032" t="s">
        <v>11391</v>
      </c>
      <c r="S1032" t="s">
        <v>11392</v>
      </c>
      <c r="T1032" t="s">
        <v>11393</v>
      </c>
      <c r="U1032" t="s">
        <v>11394</v>
      </c>
      <c r="V1032">
        <f>-634.465041749732 -113.282530252362 -96.1566082025232</f>
        <v>-843.90418020461721</v>
      </c>
      <c r="W1032" t="s">
        <v>11395</v>
      </c>
      <c r="X1032" t="s">
        <v>11396</v>
      </c>
      <c r="Y1032" t="s">
        <v>11397</v>
      </c>
    </row>
    <row r="1033" spans="1:25" x14ac:dyDescent="0.3">
      <c r="A1033">
        <v>51600</v>
      </c>
      <c r="B1033" t="s">
        <v>11398</v>
      </c>
      <c r="C1033">
        <f>-643.689174187553 -18.1180398925342 -97.8633182489797</f>
        <v>-759.67053232906687</v>
      </c>
      <c r="D1033">
        <f>-666.761311207052 -23.9983048040492 -211.218198683643</f>
        <v>-901.97781469474421</v>
      </c>
      <c r="E1033">
        <f>-673.202092686607 -26.3825660991945 -309.602575997428</f>
        <v>-1009.1872347832295</v>
      </c>
      <c r="F1033">
        <f>-674.23430390075 -27.6118081669081 -398.684882460484</f>
        <v>-1100.5309945281419</v>
      </c>
      <c r="G1033">
        <f>-670.113482474546 -27.9448572296972 -487.685788602264</f>
        <v>-1185.7441283065073</v>
      </c>
      <c r="H1033">
        <f>-658.949791416947 -27.5240332367705 -611.766348474517</f>
        <v>-1298.2401731282346</v>
      </c>
      <c r="I1033">
        <f>-631.510722004927 -28.4670485143165 -690.196249657225</f>
        <v>-1350.1740201764685</v>
      </c>
      <c r="J1033">
        <f>-665.146670935335 -0.029912127309899 -557.186335987587</f>
        <v>-1222.362919050232</v>
      </c>
      <c r="K1033" t="s">
        <v>11399</v>
      </c>
      <c r="L1033" t="s">
        <v>11400</v>
      </c>
      <c r="M1033" t="s">
        <v>11401</v>
      </c>
      <c r="N1033">
        <f>-662.578111044469 -55.3884710917233 -557.142931569889</f>
        <v>-1275.1095137060813</v>
      </c>
      <c r="O1033">
        <f>-657.821720786559 -189.075592842765 -525.469071398352</f>
        <v>-1372.366385027676</v>
      </c>
      <c r="P1033">
        <f>-621.060880319638 -233.992394984976 -236.986241577957</f>
        <v>-1092.0395168825712</v>
      </c>
      <c r="Q1033">
        <f>-489.058657134571 -85.3959128111161 -373.167806506263</f>
        <v>-947.62237645195012</v>
      </c>
      <c r="R1033" t="s">
        <v>11402</v>
      </c>
      <c r="S1033" t="s">
        <v>11403</v>
      </c>
      <c r="T1033" t="s">
        <v>11404</v>
      </c>
      <c r="U1033" t="s">
        <v>11405</v>
      </c>
      <c r="V1033">
        <f>-633.626678735462 -112.571186632354 -96.1250722109418</f>
        <v>-842.32293757875766</v>
      </c>
      <c r="W1033" t="s">
        <v>11406</v>
      </c>
      <c r="X1033" t="s">
        <v>11407</v>
      </c>
      <c r="Y1033" t="s">
        <v>11408</v>
      </c>
    </row>
    <row r="1034" spans="1:25" x14ac:dyDescent="0.3">
      <c r="A1034">
        <v>51650</v>
      </c>
      <c r="B1034" t="s">
        <v>11409</v>
      </c>
      <c r="C1034">
        <f>-643.164831906205 -17.825952888038 -97.879606969883</f>
        <v>-758.870391764126</v>
      </c>
      <c r="D1034">
        <f>-666.324794290678 -23.7265770026497 -211.215526729428</f>
        <v>-901.26689802275575</v>
      </c>
      <c r="E1034">
        <f>-672.84517066835 -26.1534082920996 -309.593639949426</f>
        <v>-1008.5922189098756</v>
      </c>
      <c r="F1034">
        <f>-673.950778704188 -27.4310721035499 -398.674398924775</f>
        <v>-1100.0562497325129</v>
      </c>
      <c r="G1034">
        <f>-669.904713906713 -27.8238709365617 -487.678442949206</f>
        <v>-1185.4070277924807</v>
      </c>
      <c r="H1034">
        <f>-658.846709287579 -27.499027166099 -611.768850336853</f>
        <v>-1298.1145867905311</v>
      </c>
      <c r="I1034">
        <f>-631.465411864976 -28.5684434511045 -690.217228059117</f>
        <v>-1350.2510833751976</v>
      </c>
      <c r="J1034" t="s">
        <v>11410</v>
      </c>
      <c r="K1034" t="s">
        <v>11411</v>
      </c>
      <c r="L1034" t="s">
        <v>11412</v>
      </c>
      <c r="M1034" t="s">
        <v>11413</v>
      </c>
      <c r="N1034">
        <f>-662.493403174518 -55.3241786990164 -557.126568013918</f>
        <v>-1274.9441498874526</v>
      </c>
      <c r="O1034">
        <f>-658.165269632514 -189.000835223123 -525.368355709577</f>
        <v>-1372.534460565214</v>
      </c>
      <c r="P1034">
        <f>-622.92783365647 -233.460437257007 -236.624873529441</f>
        <v>-1093.013144442918</v>
      </c>
      <c r="Q1034">
        <f>-489.368804362896 -86.3187373753351 -372.86784171994</f>
        <v>-948.55538345817115</v>
      </c>
      <c r="R1034" t="s">
        <v>11414</v>
      </c>
      <c r="S1034" t="s">
        <v>11415</v>
      </c>
      <c r="T1034" t="s">
        <v>11416</v>
      </c>
      <c r="U1034" t="s">
        <v>11417</v>
      </c>
      <c r="V1034">
        <f>-633.177067785893 -112.340747404866 -96.11787896183</f>
        <v>-841.63569415258894</v>
      </c>
      <c r="W1034" t="s">
        <v>11418</v>
      </c>
      <c r="X1034" t="s">
        <v>11419</v>
      </c>
      <c r="Y1034" t="s">
        <v>11420</v>
      </c>
    </row>
    <row r="1035" spans="1:25" x14ac:dyDescent="0.3">
      <c r="A1035">
        <v>51700</v>
      </c>
      <c r="B1035" t="s">
        <v>11421</v>
      </c>
      <c r="C1035">
        <f>-641.973547305956 -17.3781222837404 -97.9492713032361</f>
        <v>-757.30094089293243</v>
      </c>
      <c r="D1035">
        <f>-665.304886249406 -23.3459059839831 -211.246529212808</f>
        <v>-899.89732144619711</v>
      </c>
      <c r="E1035">
        <f>-671.959125815129 -25.8925590351332 -309.612641285729</f>
        <v>-1007.4643261359913</v>
      </c>
      <c r="F1035">
        <f>-673.180118393609 -27.3047685472352 -398.689871497491</f>
        <v>-1099.1747584383352</v>
      </c>
      <c r="G1035">
        <f>-669.243301432027 -27.8611177536384 -487.697957078498</f>
        <v>-1184.8023762641633</v>
      </c>
      <c r="H1035">
        <f>-658.331382710086 -27.7965829703344 -611.801585739895</f>
        <v>-1297.9295514203154</v>
      </c>
      <c r="I1035">
        <f>-630.98156160368 -29.2108146789062 -690.255596359814</f>
        <v>-1350.4479726424001</v>
      </c>
      <c r="J1035">
        <f>-664.225011375073 -0.13752757933662 -557.271384173287</f>
        <v>-1221.6339231276966</v>
      </c>
      <c r="K1035" t="s">
        <v>11422</v>
      </c>
      <c r="L1035" t="s">
        <v>11423</v>
      </c>
      <c r="M1035" t="s">
        <v>11424</v>
      </c>
      <c r="N1035">
        <f>-662.041306287378 -55.5122860923046 -557.108083261842</f>
        <v>-1274.6616756415247</v>
      </c>
      <c r="O1035">
        <f>-658.400865311838 -189.139666784131 -525.077061554753</f>
        <v>-1372.617593650722</v>
      </c>
      <c r="P1035">
        <f>-625.061950639106 -232.941450812408 -236.007658427794</f>
        <v>-1094.011059879308</v>
      </c>
      <c r="Q1035">
        <f>-489.609799425058 -87.7114989316258 -372.432852307727</f>
        <v>-949.75415066441076</v>
      </c>
      <c r="R1035" t="s">
        <v>11425</v>
      </c>
      <c r="S1035" t="s">
        <v>11426</v>
      </c>
      <c r="T1035" t="s">
        <v>11427</v>
      </c>
      <c r="U1035" t="s">
        <v>11428</v>
      </c>
      <c r="V1035">
        <f>-632.12760496763 -111.856067211798 -96.0946004771401</f>
        <v>-840.07827265656806</v>
      </c>
      <c r="W1035" t="s">
        <v>11429</v>
      </c>
      <c r="X1035" t="s">
        <v>11430</v>
      </c>
      <c r="Y1035" t="s">
        <v>11431</v>
      </c>
    </row>
    <row r="1036" spans="1:25" x14ac:dyDescent="0.3">
      <c r="A1036">
        <v>51750</v>
      </c>
      <c r="B1036" t="s">
        <v>11432</v>
      </c>
      <c r="C1036">
        <f>-641.373356156666 -17.2036593900095 -97.982749722649</f>
        <v>-756.55976526932454</v>
      </c>
      <c r="D1036">
        <f>-664.750473144701 -23.1982849073463 -211.269138994137</f>
        <v>-899.21789704618436</v>
      </c>
      <c r="E1036">
        <f>-671.423590509878 -25.8098508389644 -309.632273676305</f>
        <v>-1006.8657150251473</v>
      </c>
      <c r="F1036">
        <f>-672.653351188194 -27.2983142020616 -398.708069071072</f>
        <v>-1098.6597344613276</v>
      </c>
      <c r="G1036">
        <f>-668.716974653065 -27.9503889205043 -487.715512927689</f>
        <v>-1184.3828765012584</v>
      </c>
      <c r="H1036">
        <f>-657.797010819036 -28.0412166637398 -611.818562310895</f>
        <v>-1297.6567897936707</v>
      </c>
      <c r="I1036">
        <f>-630.428103883908 -29.6900105620466 -690.261282417139</f>
        <v>-1350.3793968630935</v>
      </c>
      <c r="J1036">
        <f>-663.627281623474 -0.311401844675402 -557.317349156421</f>
        <v>-1221.2560326245703</v>
      </c>
      <c r="K1036" t="s">
        <v>11433</v>
      </c>
      <c r="L1036" t="s">
        <v>11434</v>
      </c>
      <c r="M1036" t="s">
        <v>11435</v>
      </c>
      <c r="N1036">
        <f>-661.577480731899 -55.6911390772799 -557.096587679316</f>
        <v>-1274.3652074884949</v>
      </c>
      <c r="O1036">
        <f>-658.252634033073 -189.288535185227 -524.895823903148</f>
        <v>-1372.436993121448</v>
      </c>
      <c r="P1036">
        <f>-625.486961431048 -232.604853634297 -235.687629904251</f>
        <v>-1093.7794449695959</v>
      </c>
      <c r="Q1036">
        <f>-489.65245057117 -88.0410592629685 -372.439933313495</f>
        <v>-950.13344314763344</v>
      </c>
      <c r="R1036" t="s">
        <v>11436</v>
      </c>
      <c r="S1036" t="s">
        <v>11437</v>
      </c>
      <c r="T1036" t="s">
        <v>11438</v>
      </c>
      <c r="U1036" t="s">
        <v>11439</v>
      </c>
      <c r="V1036">
        <f>-631.596678021355 -111.665751450626 -96.0855425828554</f>
        <v>-839.34797205483642</v>
      </c>
      <c r="W1036" t="s">
        <v>11440</v>
      </c>
      <c r="X1036" t="s">
        <v>11441</v>
      </c>
      <c r="Y1036" t="s">
        <v>11442</v>
      </c>
    </row>
    <row r="1037" spans="1:25" x14ac:dyDescent="0.3">
      <c r="A1037">
        <v>51800</v>
      </c>
      <c r="B1037" t="s">
        <v>11443</v>
      </c>
      <c r="C1037">
        <f>-640.77388440429 -17.1467709257843 -98.0201748981315</f>
        <v>-755.94083022820575</v>
      </c>
      <c r="D1037">
        <f>-664.147926138629 -23.1423245946635 -211.307198783596</f>
        <v>-898.59744951688845</v>
      </c>
      <c r="E1037">
        <f>-670.793515575271 -25.8173043308711 -309.670480375866</f>
        <v>-1006.2813002820083</v>
      </c>
      <c r="F1037">
        <f>-671.988524587046 -27.389073937692 -398.745334209595</f>
        <v>-1098.1229327343331</v>
      </c>
      <c r="G1037">
        <f>-668.007850898958 -28.1520637460847 -487.7499077002</f>
        <v>-1183.9098223452427</v>
      </c>
      <c r="H1037">
        <f>-657.016136596975 -28.4279900257638 -611.846302674817</f>
        <v>-1297.2904292975559</v>
      </c>
      <c r="I1037">
        <f>-629.625620412327 -30.3329562617512 -690.275582354332</f>
        <v>-1350.23415902841</v>
      </c>
      <c r="J1037">
        <f>-662.813019599062 -0.614653861284751 -557.38421637405</f>
        <v>-1220.8118898343969</v>
      </c>
      <c r="K1037" t="s">
        <v>11444</v>
      </c>
      <c r="L1037" t="s">
        <v>11445</v>
      </c>
      <c r="M1037" t="s">
        <v>11446</v>
      </c>
      <c r="N1037">
        <f>-660.893050378407 -55.9987036021289 -557.091002435393</f>
        <v>-1273.9827564159289</v>
      </c>
      <c r="O1037">
        <f>-657.861582962792 -189.556443658082 -524.698172337624</f>
        <v>-1372.116198958498</v>
      </c>
      <c r="P1037">
        <f>-625.569674773885 -232.41198625498 -235.368111565345</f>
        <v>-1093.34977259421</v>
      </c>
      <c r="Q1037">
        <f>-489.548782141803 -88.3943651435968 -372.510805268845</f>
        <v>-950.45395255424478</v>
      </c>
      <c r="R1037" t="s">
        <v>11447</v>
      </c>
      <c r="S1037" t="s">
        <v>11448</v>
      </c>
      <c r="T1037" t="s">
        <v>11449</v>
      </c>
      <c r="U1037" t="s">
        <v>11450</v>
      </c>
      <c r="V1037">
        <f>-631.09570401051 -111.592646217273 -96.0852224410148</f>
        <v>-838.77357266879778</v>
      </c>
      <c r="W1037" t="s">
        <v>11451</v>
      </c>
      <c r="X1037" t="s">
        <v>11452</v>
      </c>
      <c r="Y1037" t="s">
        <v>11453</v>
      </c>
    </row>
    <row r="1038" spans="1:25" x14ac:dyDescent="0.3">
      <c r="A1038">
        <v>51850</v>
      </c>
      <c r="B1038" t="s">
        <v>11454</v>
      </c>
      <c r="C1038">
        <f>-639.695630455684 -16.9735345450115 -98.0929315895985</f>
        <v>-754.76209659029394</v>
      </c>
      <c r="D1038">
        <f>-663.008715420331 -22.9724888739645 -211.392326746048</f>
        <v>-897.37353104034355</v>
      </c>
      <c r="E1038">
        <f>-669.544236761383 -25.8186106182397 -309.758086603001</f>
        <v>-1005.1209339826237</v>
      </c>
      <c r="F1038">
        <f>-670.617872208153 -27.6140004005147 -398.830378475253</f>
        <v>-1097.0622510839207</v>
      </c>
      <c r="G1038">
        <f>-666.494580198605 -28.6728904887038 -487.825503136343</f>
        <v>-1182.9929738236519</v>
      </c>
      <c r="H1038">
        <f>-655.282434228782 -29.4391882697221 -611.90003540246</f>
        <v>-1296.6216579009642</v>
      </c>
      <c r="I1038">
        <f>-627.852226333564 -31.8642174267547 -690.301145125101</f>
        <v>-1350.0175888854196</v>
      </c>
      <c r="J1038">
        <f>-661.05567861848 -1.40664909428097 -557.547858126659</f>
        <v>-1220.01018583942</v>
      </c>
      <c r="K1038" t="s">
        <v>11455</v>
      </c>
      <c r="L1038" t="s">
        <v>11456</v>
      </c>
      <c r="M1038" t="s">
        <v>11457</v>
      </c>
      <c r="N1038">
        <f>-659.377038812298 -56.7971690982832 -557.053984804632</f>
        <v>-1273.2281927152133</v>
      </c>
      <c r="O1038">
        <f>-656.865393324799 -190.253259229253 -524.176541050811</f>
        <v>-1371.295193604863</v>
      </c>
      <c r="P1038">
        <f>-625.339237634311 -231.95335467774 -234.593548829723</f>
        <v>-1091.886141141774</v>
      </c>
      <c r="Q1038">
        <f>-488.948963556845 -89.1292052762929 -372.614624804064</f>
        <v>-950.69279363720193</v>
      </c>
      <c r="R1038" t="s">
        <v>11458</v>
      </c>
      <c r="S1038" t="s">
        <v>11459</v>
      </c>
      <c r="T1038" t="s">
        <v>11460</v>
      </c>
      <c r="U1038" t="s">
        <v>11461</v>
      </c>
      <c r="V1038">
        <f>-630.201064457165 -111.344387699975 -96.0958473203186</f>
        <v>-837.64129947745857</v>
      </c>
      <c r="W1038" t="s">
        <v>11462</v>
      </c>
      <c r="X1038" t="s">
        <v>11463</v>
      </c>
      <c r="Y1038" t="s">
        <v>11464</v>
      </c>
    </row>
    <row r="1039" spans="1:25" x14ac:dyDescent="0.3">
      <c r="A1039">
        <v>51900</v>
      </c>
      <c r="B1039" t="s">
        <v>11465</v>
      </c>
      <c r="C1039">
        <f>-638.700714922872 -16.6848293546909 -98.1572256692864</f>
        <v>-753.54276994684926</v>
      </c>
      <c r="D1039">
        <f>-661.936867474268 -22.7311018356727 -211.469761104578</f>
        <v>-896.13773041451861</v>
      </c>
      <c r="E1039">
        <f>-668.357039949824 -25.7963050551307 -309.836646897733</f>
        <v>-1003.9899919026876</v>
      </c>
      <c r="F1039">
        <f>-669.307857592373 -27.8637776694532 -398.904388925287</f>
        <v>-1096.076024187113</v>
      </c>
      <c r="G1039">
        <f>-665.044124169116 -29.2712350427767 -487.887969885513</f>
        <v>-1182.2033290974057</v>
      </c>
      <c r="H1039">
        <f>-653.61801989056 -30.6072298387812 -611.938232374729</f>
        <v>-1296.1634821040702</v>
      </c>
      <c r="I1039">
        <f>-626.111591726288 -33.4224007411005 -690.299614469725</f>
        <v>-1349.8336069371135</v>
      </c>
      <c r="J1039">
        <f>-659.387419781403 -2.32253564110624 -557.716481153357</f>
        <v>-1219.4264365758663</v>
      </c>
      <c r="K1039" t="s">
        <v>11466</v>
      </c>
      <c r="L1039" t="s">
        <v>11467</v>
      </c>
      <c r="M1039" t="s">
        <v>11468</v>
      </c>
      <c r="N1039">
        <f>-657.904793736264 -57.7159855157599 -556.98342071675</f>
        <v>-1272.6041999687739</v>
      </c>
      <c r="O1039">
        <f>-655.765413113207 -191.039203899527 -523.527948227907</f>
        <v>-1370.3325652406411</v>
      </c>
      <c r="P1039">
        <f>-624.92646951094 -231.357368216147 -233.675250790998</f>
        <v>-1089.9590885180851</v>
      </c>
      <c r="Q1039">
        <f>-487.847921096037 -90.0590921989857 -372.582135807721</f>
        <v>-950.48914910274368</v>
      </c>
      <c r="R1039" t="s">
        <v>11469</v>
      </c>
      <c r="S1039" t="s">
        <v>11470</v>
      </c>
      <c r="T1039" t="s">
        <v>11471</v>
      </c>
      <c r="U1039" t="s">
        <v>11472</v>
      </c>
      <c r="V1039">
        <f>-629.245165682423 -111.012105800476 -96.1170173651774</f>
        <v>-836.37428884807639</v>
      </c>
      <c r="W1039" t="s">
        <v>11473</v>
      </c>
      <c r="X1039" t="s">
        <v>11474</v>
      </c>
      <c r="Y1039" t="s">
        <v>11475</v>
      </c>
    </row>
    <row r="1040" spans="1:25" x14ac:dyDescent="0.3">
      <c r="A1040">
        <v>51950</v>
      </c>
      <c r="B1040" t="s">
        <v>11476</v>
      </c>
      <c r="C1040">
        <f>-638.194844442282 -16.5801034991448 -98.1975574280731</f>
        <v>-752.97250536949991</v>
      </c>
      <c r="D1040">
        <f>-661.390129441105 -22.6719877462426 -211.516088816992</f>
        <v>-895.57820600433968</v>
      </c>
      <c r="E1040">
        <f>-667.74839510942 -25.8408305061673 -309.883707347994</f>
        <v>-1003.4729329635813</v>
      </c>
      <c r="F1040">
        <f>-668.632913828033 -28.0300251805936 -398.949206165131</f>
        <v>-1095.6121451737577</v>
      </c>
      <c r="G1040">
        <f>-664.292746509364 -29.5884817051738 -487.926517902794</f>
        <v>-1181.8077461173316</v>
      </c>
      <c r="H1040">
        <f>-652.749792569485 -31.167765333988 -611.963194800275</f>
        <v>-1295.8807527037479</v>
      </c>
      <c r="I1040">
        <f>-625.174876343569 -34.108186763814 -690.295810729586</f>
        <v>-1349.5788738369693</v>
      </c>
      <c r="J1040">
        <f>-658.530742954624 -2.77584106606014 -557.798761401357</f>
        <v>-1219.105345422041</v>
      </c>
      <c r="K1040" t="s">
        <v>11477</v>
      </c>
      <c r="L1040" t="s">
        <v>11478</v>
      </c>
      <c r="M1040" t="s">
        <v>11479</v>
      </c>
      <c r="N1040">
        <f>-657.127843141525 -58.1698702658363 -556.962956801904</f>
        <v>-1272.2606702092653</v>
      </c>
      <c r="O1040">
        <f>-655.16673128018 -191.430123287644 -523.242668596579</f>
        <v>-1369.8395231644031</v>
      </c>
      <c r="P1040">
        <f>-624.702817949388 -231.124134680432 -233.264179949125</f>
        <v>-1089.091132578945</v>
      </c>
      <c r="Q1040">
        <f>-487.256708119409 -90.5431705173851 -372.535262226375</f>
        <v>-950.33514086316904</v>
      </c>
      <c r="R1040" t="s">
        <v>11480</v>
      </c>
      <c r="S1040" t="s">
        <v>11481</v>
      </c>
      <c r="T1040" t="s">
        <v>11482</v>
      </c>
      <c r="U1040" t="s">
        <v>11483</v>
      </c>
      <c r="V1040">
        <f>-628.741998107698 -110.898533826992 -96.1255813485097</f>
        <v>-835.76611328319973</v>
      </c>
      <c r="W1040" t="s">
        <v>11484</v>
      </c>
      <c r="X1040" t="s">
        <v>11485</v>
      </c>
      <c r="Y1040" t="s">
        <v>11486</v>
      </c>
    </row>
    <row r="1041" spans="1:25" x14ac:dyDescent="0.3">
      <c r="A1041">
        <v>52000</v>
      </c>
      <c r="B1041" t="s">
        <v>11487</v>
      </c>
      <c r="C1041">
        <f>-637.678822945652 -16.439374978384 -98.2508521843063</f>
        <v>-752.36905010834221</v>
      </c>
      <c r="D1041">
        <f>-660.844586661183 -22.5806254371726 -211.572814326066</f>
        <v>-894.9980264244216</v>
      </c>
      <c r="E1041">
        <f>-667.139047511543 -25.8464286696374 -309.941272785746</f>
        <v>-1002.9267489669264</v>
      </c>
      <c r="F1041">
        <f>-667.950530676462 -28.1466077936279 -399.004781553468</f>
        <v>-1095.1019200235578</v>
      </c>
      <c r="G1041">
        <f>-663.522690306667 -29.8412393365957 -487.975356870746</f>
        <v>-1181.3392865140086</v>
      </c>
      <c r="H1041">
        <f>-651.842137407608 -31.6377577926137 -611.996021628258</f>
        <v>-1295.4759168284795</v>
      </c>
      <c r="I1041">
        <f>-624.183670873287 -34.6646533301437 -690.295968351128</f>
        <v>-1349.1442925545587</v>
      </c>
      <c r="J1041">
        <f>-657.651156016395 -3.15016305548647 -557.884869975869</f>
        <v>-1218.6861890477505</v>
      </c>
      <c r="K1041" t="s">
        <v>11488</v>
      </c>
      <c r="L1041" t="s">
        <v>11489</v>
      </c>
      <c r="M1041" t="s">
        <v>11490</v>
      </c>
      <c r="N1041">
        <f>-656.313176038904 -58.5443257630151 -556.956501780715</f>
        <v>-1271.8140035826341</v>
      </c>
      <c r="O1041">
        <f>-654.493361423843 -191.747060098308 -522.997970451019</f>
        <v>-1369.2383919731701</v>
      </c>
      <c r="P1041">
        <f>-624.499762359595 -230.997344823403 -232.910148400325</f>
        <v>-1088.4072555833229</v>
      </c>
      <c r="Q1041">
        <f>-486.54140013647 -91.1225520519066 -372.385566836015</f>
        <v>-950.04951902439166</v>
      </c>
      <c r="R1041" t="s">
        <v>11491</v>
      </c>
      <c r="S1041" t="s">
        <v>11492</v>
      </c>
      <c r="T1041" t="s">
        <v>11493</v>
      </c>
      <c r="U1041" t="s">
        <v>11494</v>
      </c>
      <c r="V1041">
        <f>-628.223229890949 -110.679177839758 -96.1436873890485</f>
        <v>-835.04609511975559</v>
      </c>
      <c r="W1041" t="s">
        <v>11495</v>
      </c>
      <c r="X1041" t="s">
        <v>11496</v>
      </c>
      <c r="Y1041" t="s">
        <v>11497</v>
      </c>
    </row>
    <row r="1042" spans="1:25" x14ac:dyDescent="0.3">
      <c r="A1042">
        <v>52050</v>
      </c>
      <c r="B1042" t="s">
        <v>11498</v>
      </c>
      <c r="C1042">
        <f>-636.620515373734 -16.3327724645414 -98.3754725641505</f>
        <v>-751.32876040242593</v>
      </c>
      <c r="D1042">
        <f>-659.743141534481 -22.5326091711509 -211.702887790412</f>
        <v>-893.9786384960438</v>
      </c>
      <c r="E1042">
        <f>-665.917450032541 -25.9503260039824 -310.073913204625</f>
        <v>-1001.9416892411483</v>
      </c>
      <c r="F1042">
        <f>-666.587624010085 -28.4312332330928 -399.133671353232</f>
        <v>-1094.1525285964099</v>
      </c>
      <c r="G1042">
        <f>-661.986468674259 -30.3518917933966 -488.090856254677</f>
        <v>-1180.4292167223325</v>
      </c>
      <c r="H1042">
        <f>-650.031023830981 -32.5138729746525 -612.079582297134</f>
        <v>-1294.6244791027675</v>
      </c>
      <c r="I1042">
        <f>-622.189739058327 -35.6607763300731 -690.309923153789</f>
        <v>-1348.160438542189</v>
      </c>
      <c r="J1042">
        <f>-655.892740896635 -3.86525766320369 -558.059101437838</f>
        <v>-1217.8170999976767</v>
      </c>
      <c r="K1042" t="s">
        <v>11499</v>
      </c>
      <c r="L1042" t="s">
        <v>11500</v>
      </c>
      <c r="M1042" t="s">
        <v>11501</v>
      </c>
      <c r="N1042">
        <f>-654.691316583217 -59.2597479268911 -556.977381363553</f>
        <v>-1270.9284458736611</v>
      </c>
      <c r="O1042">
        <f>-653.157130248483 -192.368399590121 -522.652197994234</f>
        <v>-1368.1777278328379</v>
      </c>
      <c r="P1042">
        <f>-624.056909748022 -231.224087177869 -232.420244366046</f>
        <v>-1087.7012412919371</v>
      </c>
      <c r="Q1042">
        <f>-485.299843889038 -92.2359871041753 -371.989773614645</f>
        <v>-949.52560460785821</v>
      </c>
      <c r="R1042" t="s">
        <v>11502</v>
      </c>
      <c r="S1042" t="s">
        <v>11503</v>
      </c>
      <c r="T1042" t="s">
        <v>11504</v>
      </c>
      <c r="U1042" t="s">
        <v>11505</v>
      </c>
      <c r="V1042">
        <f>-627.192013073643 -110.534729939018 -96.1647975985517</f>
        <v>-833.89154061121269</v>
      </c>
      <c r="W1042" t="s">
        <v>11506</v>
      </c>
      <c r="X1042" t="s">
        <v>11507</v>
      </c>
      <c r="Y1042" t="s">
        <v>11508</v>
      </c>
    </row>
    <row r="1043" spans="1:25" x14ac:dyDescent="0.3">
      <c r="A1043">
        <v>52100</v>
      </c>
      <c r="B1043" t="s">
        <v>11509</v>
      </c>
      <c r="C1043">
        <f>-635.472235567779 -16.3280057808822 -98.417728662056</f>
        <v>-750.21797001071718</v>
      </c>
      <c r="D1043">
        <f>-658.593655954443 -22.5453153097358 -211.74457619916</f>
        <v>-892.8835474633388</v>
      </c>
      <c r="E1043">
        <f>-664.694227796559 -26.0606745902662 -310.116771936577</f>
        <v>-1000.8716743234022</v>
      </c>
      <c r="F1043">
        <f>-665.269132623397 -28.6634630915657 -399.173706924537</f>
        <v>-1093.1063026394997</v>
      </c>
      <c r="G1043">
        <f>-660.544741655939 -30.7411506046976 -488.120856981524</f>
        <v>-1179.4067492421607</v>
      </c>
      <c r="H1043">
        <f>-648.388655185697 -33.1598051421192 -612.085280839202</f>
        <v>-1293.6337411670183</v>
      </c>
      <c r="I1043">
        <f>-620.349938940156 -36.3557177509824 -690.24325025643</f>
        <v>-1346.9489069475685</v>
      </c>
      <c r="J1043">
        <f>-654.276663594839 -4.39796656324847 -558.127858085658</f>
        <v>-1216.8024882437453</v>
      </c>
      <c r="K1043" t="s">
        <v>11510</v>
      </c>
      <c r="L1043" t="s">
        <v>11511</v>
      </c>
      <c r="M1043" t="s">
        <v>11512</v>
      </c>
      <c r="N1043">
        <f>-653.19923892917 -59.7928925370239 -556.941361606933</f>
        <v>-1269.933493073127</v>
      </c>
      <c r="O1043">
        <f>-651.930805835302 -192.820772368512 -522.298035110783</f>
        <v>-1367.0496133145971</v>
      </c>
      <c r="P1043">
        <f>-623.722902861178 -231.476374856628 -231.951204874423</f>
        <v>-1087.1504825922291</v>
      </c>
      <c r="Q1043">
        <f>-484.169219755591 -93.1572396430691 -371.390997576354</f>
        <v>-948.7174569750141</v>
      </c>
      <c r="R1043" t="s">
        <v>11513</v>
      </c>
      <c r="S1043" t="s">
        <v>11514</v>
      </c>
      <c r="T1043" t="s">
        <v>11515</v>
      </c>
      <c r="U1043" t="s">
        <v>11516</v>
      </c>
      <c r="V1043">
        <f>-626.197692341572 -110.396370605376 -96.1736568994276</f>
        <v>-832.76771984637548</v>
      </c>
      <c r="W1043" t="s">
        <v>11517</v>
      </c>
      <c r="X1043" t="s">
        <v>11518</v>
      </c>
      <c r="Y1043" t="s">
        <v>11519</v>
      </c>
    </row>
    <row r="1044" spans="1:25" x14ac:dyDescent="0.3">
      <c r="A1044">
        <v>52150</v>
      </c>
      <c r="B1044" t="s">
        <v>11520</v>
      </c>
      <c r="C1044">
        <f>-634.924445498067 -16.311169118716 -98.420236553716</f>
        <v>-749.65585117049898</v>
      </c>
      <c r="D1044">
        <f>-658.05417925566 -22.5288884872439 -211.74525633145</f>
        <v>-892.32832407435387</v>
      </c>
      <c r="E1044">
        <f>-664.133392926365 -26.0729873536181 -310.117741141929</f>
        <v>-1000.3241214219122</v>
      </c>
      <c r="F1044">
        <f>-664.677840291083 -28.7128400459344 -399.173858121155</f>
        <v>-1092.5645384581724</v>
      </c>
      <c r="G1044">
        <f>-659.911948982701 -30.839090980897 -488.117607327873</f>
        <v>-1178.868647291471</v>
      </c>
      <c r="H1044">
        <f>-647.686706815594 -33.3377219286742 -612.073698212933</f>
        <v>-1293.0981269572012</v>
      </c>
      <c r="I1044">
        <f>-619.558849745284 -36.5260733810376 -690.199901023499</f>
        <v>-1346.2848241498205</v>
      </c>
      <c r="J1044">
        <f>-653.582528693396 -4.54069335406416 -558.136043944839</f>
        <v>-1216.2592659922991</v>
      </c>
      <c r="K1044" t="s">
        <v>11521</v>
      </c>
      <c r="L1044" t="s">
        <v>11522</v>
      </c>
      <c r="M1044" t="s">
        <v>11523</v>
      </c>
      <c r="N1044">
        <f>-652.550305427481 -59.9358062984115 -556.91754034419</f>
        <v>-1269.4036520700824</v>
      </c>
      <c r="O1044">
        <f>-651.397888991205 -192.936070588111 -522.169912457403</f>
        <v>-1366.503872036719</v>
      </c>
      <c r="P1044">
        <f>-623.629020669639 -231.617812908612 -231.784377435157</f>
        <v>-1087.031211013408</v>
      </c>
      <c r="Q1044">
        <f>-483.77212707664 -93.4598511046747 -371.079936733362</f>
        <v>-948.31191491467666</v>
      </c>
      <c r="R1044" t="s">
        <v>11524</v>
      </c>
      <c r="S1044" t="s">
        <v>11525</v>
      </c>
      <c r="T1044" t="s">
        <v>11526</v>
      </c>
      <c r="U1044" t="s">
        <v>11527</v>
      </c>
      <c r="V1044">
        <f>-625.732136543227 -110.354130272335 -96.1715289488254</f>
        <v>-832.25779576438754</v>
      </c>
      <c r="W1044" t="s">
        <v>11528</v>
      </c>
      <c r="X1044" t="s">
        <v>11529</v>
      </c>
      <c r="Y1044" t="s">
        <v>11530</v>
      </c>
    </row>
    <row r="1045" spans="1:25" x14ac:dyDescent="0.3">
      <c r="A1045">
        <v>52200</v>
      </c>
      <c r="B1045" t="s">
        <v>11531</v>
      </c>
      <c r="C1045">
        <f>-633.905562020234 -16.4773158242151 -98.4585639152371</f>
        <v>-748.84144175968618</v>
      </c>
      <c r="D1045">
        <f>-657.074543140367 -22.6637385499942 -211.777417070204</f>
        <v>-891.51569876056521</v>
      </c>
      <c r="E1045">
        <f>-663.144710136562 -26.2368128033231 -310.149266278457</f>
        <v>-999.53078921834208</v>
      </c>
      <c r="F1045">
        <f>-663.664115997074 -28.9260736578253 -399.204074658371</f>
        <v>-1091.7942643132703</v>
      </c>
      <c r="G1045">
        <f>-658.856655164485 -31.1264019564812 -488.143924761783</f>
        <v>-1178.1269818827493</v>
      </c>
      <c r="H1045">
        <f>-646.556268583274 -33.7551473440747 -612.089812686783</f>
        <v>-1292.4012286141317</v>
      </c>
      <c r="I1045">
        <f>-618.233136015805 -36.9132766645398 -690.146480385041</f>
        <v>-1345.2928930653857</v>
      </c>
      <c r="J1045">
        <f>-652.434182229893 -4.90042982719137 -558.180950164902</f>
        <v>-1215.5155622219863</v>
      </c>
      <c r="K1045" t="s">
        <v>11532</v>
      </c>
      <c r="L1045" t="s">
        <v>11533</v>
      </c>
      <c r="M1045" t="s">
        <v>11534</v>
      </c>
      <c r="N1045">
        <f>-651.503893777868 -60.2963306482573 -556.913780627654</f>
        <v>-1268.7140050537791</v>
      </c>
      <c r="O1045">
        <f>-650.570808548099 -193.260730602418 -522.026431191345</f>
        <v>-1365.8579703418618</v>
      </c>
      <c r="P1045">
        <f>-623.476621572322 -232.148512327762 -231.604593840413</f>
        <v>-1087.2297277404969</v>
      </c>
      <c r="Q1045">
        <f>-483.011938393259 -94.0876874863527 -370.38398819107</f>
        <v>-947.48361407068171</v>
      </c>
      <c r="R1045" t="s">
        <v>11535</v>
      </c>
      <c r="S1045" t="s">
        <v>11536</v>
      </c>
      <c r="T1045" t="s">
        <v>11537</v>
      </c>
      <c r="U1045" t="s">
        <v>11538</v>
      </c>
      <c r="V1045">
        <f>-624.738665771104 -110.698396905519 -96.2065749253842</f>
        <v>-831.64363760200717</v>
      </c>
      <c r="W1045" t="s">
        <v>11539</v>
      </c>
      <c r="X1045" t="s">
        <v>11540</v>
      </c>
      <c r="Y1045" t="s">
        <v>11541</v>
      </c>
    </row>
    <row r="1046" spans="1:25" x14ac:dyDescent="0.3">
      <c r="A1046">
        <v>52250</v>
      </c>
      <c r="B1046" t="s">
        <v>11542</v>
      </c>
      <c r="C1046">
        <f>-633.390050215251 -16.6405813267129 -98.4786394719981</f>
        <v>-748.50927101396201</v>
      </c>
      <c r="D1046">
        <f>-656.572238926454 -22.8264426043681 -211.794662294574</f>
        <v>-891.19334382539614</v>
      </c>
      <c r="E1046">
        <f>-662.644547737558 -26.4031367295524 -310.166348293442</f>
        <v>-999.21403276055253</v>
      </c>
      <c r="F1046">
        <f>-663.162039121829 -29.0979243549366 -399.220966468068</f>
        <v>-1091.4809299448336</v>
      </c>
      <c r="G1046">
        <f>-658.348859160067 -31.306770729705 -488.160197561201</f>
        <v>-1177.8158274509731</v>
      </c>
      <c r="H1046">
        <f>-646.036573574621 -33.9509714802205 -612.104779974644</f>
        <v>-1292.0923250294854</v>
      </c>
      <c r="I1046">
        <f>-617.614942666609 -37.0540380440691 -690.12786876865</f>
        <v>-1344.7968494793281</v>
      </c>
      <c r="J1046">
        <f>-651.90037676699 -5.08912365595961 -558.198172928627</f>
        <v>-1215.1876733515764</v>
      </c>
      <c r="K1046" t="s">
        <v>11543</v>
      </c>
      <c r="L1046" t="s">
        <v>11544</v>
      </c>
      <c r="M1046" t="s">
        <v>11545</v>
      </c>
      <c r="N1046">
        <f>-651.008833104921 -60.4855622673535 -556.927681525161</f>
        <v>-1268.4220768974355</v>
      </c>
      <c r="O1046">
        <f>-650.185549767639 -193.450602039821 -522.023284153938</f>
        <v>-1365.659435961398</v>
      </c>
      <c r="P1046">
        <f>-623.453470017384 -232.513109112103 -231.591370592273</f>
        <v>-1087.55794972176</v>
      </c>
      <c r="Q1046">
        <f>-482.611516707059 -94.5573798490977 -370.092668003125</f>
        <v>-947.26156455928174</v>
      </c>
      <c r="R1046" t="s">
        <v>11546</v>
      </c>
      <c r="S1046" t="s">
        <v>11547</v>
      </c>
      <c r="T1046" t="s">
        <v>11548</v>
      </c>
      <c r="U1046" t="s">
        <v>11549</v>
      </c>
      <c r="V1046">
        <f>-624.245411067859 -110.863305843214 -96.2210675787461</f>
        <v>-831.32978448981908</v>
      </c>
      <c r="W1046" t="s">
        <v>11550</v>
      </c>
      <c r="X1046" t="s">
        <v>11551</v>
      </c>
      <c r="Y1046" t="s">
        <v>11552</v>
      </c>
    </row>
    <row r="1047" spans="1:25" x14ac:dyDescent="0.3">
      <c r="A1047">
        <v>52300</v>
      </c>
      <c r="B1047" t="s">
        <v>11553</v>
      </c>
      <c r="C1047">
        <f>-632.306318726583 -16.9255881421491 -98.5088170049129</f>
        <v>-747.74072387364492</v>
      </c>
      <c r="D1047">
        <f>-655.548889255209 -23.0923316908591 -211.813544331476</f>
        <v>-890.45476527754408</v>
      </c>
      <c r="E1047">
        <f>-661.658088834941 -26.6429033566947 -310.183968076511</f>
        <v>-998.48496026814678</v>
      </c>
      <c r="F1047">
        <f>-662.202646726354 -29.3120410141539 -399.23912192071</f>
        <v>-1090.7538096612179</v>
      </c>
      <c r="G1047">
        <f>-657.409784119891 -31.4946612387314 -488.180116030666</f>
        <v>-1177.0845613892884</v>
      </c>
      <c r="H1047">
        <f>-645.118951292421 -34.10323686367 -612.127506504993</f>
        <v>-1291.349694661084</v>
      </c>
      <c r="I1047">
        <f>-616.510601418099 -37.0171240101704 -690.089651125974</f>
        <v>-1343.6173765542435</v>
      </c>
      <c r="J1047">
        <f>-650.941934584131 -5.2563702283669 -558.208397974986</f>
        <v>-1214.4067027874839</v>
      </c>
      <c r="K1047" t="s">
        <v>11554</v>
      </c>
      <c r="L1047" t="s">
        <v>11555</v>
      </c>
      <c r="M1047" t="s">
        <v>11556</v>
      </c>
      <c r="N1047">
        <f>-650.113192587241 -60.6542768251807 -556.960356882968</f>
        <v>-1267.7278262953896</v>
      </c>
      <c r="O1047">
        <f>-649.436346128575 -193.629010306647 -522.093613767242</f>
        <v>-1365.1589702024639</v>
      </c>
      <c r="P1047">
        <f>-623.21126911963 -233.167315088592 -231.679897471328</f>
        <v>-1088.0584816795499</v>
      </c>
      <c r="Q1047">
        <f>-481.754206540811 -95.4782715821577 -369.81924906189</f>
        <v>-947.05172718485869</v>
      </c>
      <c r="R1047" t="s">
        <v>11557</v>
      </c>
      <c r="S1047" t="s">
        <v>11558</v>
      </c>
      <c r="T1047" t="s">
        <v>11559</v>
      </c>
      <c r="U1047" t="s">
        <v>11560</v>
      </c>
      <c r="V1047">
        <f>-623.165301068524 -111.11022182182 -96.2520484492405</f>
        <v>-830.52757133958448</v>
      </c>
      <c r="W1047" t="s">
        <v>11561</v>
      </c>
      <c r="X1047" t="s">
        <v>11562</v>
      </c>
      <c r="Y1047" t="s">
        <v>11563</v>
      </c>
    </row>
    <row r="1048" spans="1:25" x14ac:dyDescent="0.3">
      <c r="A1048">
        <v>52350</v>
      </c>
      <c r="B1048" t="s">
        <v>11564</v>
      </c>
      <c r="C1048">
        <f>-631.720352658899 -17.0067657519742 -98.5196740651322</f>
        <v>-747.24679247600534</v>
      </c>
      <c r="D1048">
        <f>-655.009582827822 -23.1675224999881 -211.815158635598</f>
        <v>-889.99226396340805</v>
      </c>
      <c r="E1048">
        <f>-661.160019777809 -26.6932233972082 -310.183893326913</f>
        <v>-998.03713650193015</v>
      </c>
      <c r="F1048">
        <f>-661.741762228449 -29.3322509497036 -399.239704716121</f>
        <v>-1090.3137178942736</v>
      </c>
      <c r="G1048">
        <f>-656.98595915024 -31.4774922253764 -488.183615268206</f>
        <v>-1176.6470666438224</v>
      </c>
      <c r="H1048">
        <f>-644.746471679648 -34.0265259681 -612.137385120956</f>
        <v>-1290.910382768704</v>
      </c>
      <c r="I1048">
        <f>-616.062308251588 -36.8250892604494 -690.075915049458</f>
        <v>-1342.9633125614955</v>
      </c>
      <c r="J1048">
        <f>-650.535146786733 -5.20538521807293 -558.200764566823</f>
        <v>-1213.9412965716288</v>
      </c>
      <c r="K1048" t="s">
        <v>11565</v>
      </c>
      <c r="L1048" t="s">
        <v>11566</v>
      </c>
      <c r="M1048" t="s">
        <v>11567</v>
      </c>
      <c r="N1048">
        <f>-649.729790140255 -60.6042018079111 -556.982062864</f>
        <v>-1267.3160548121659</v>
      </c>
      <c r="O1048">
        <f>-649.127691960509 -193.592344423433 -522.167484214201</f>
        <v>-1364.8875205981431</v>
      </c>
      <c r="P1048">
        <f>-623.03688698142 -233.441006805116 -231.784018649966</f>
        <v>-1088.2619124365019</v>
      </c>
      <c r="Q1048">
        <f>-481.354114905384 -95.8657615773745 -369.805564776951</f>
        <v>-947.02544125970951</v>
      </c>
      <c r="R1048" t="s">
        <v>11568</v>
      </c>
      <c r="S1048" t="s">
        <v>11569</v>
      </c>
      <c r="T1048" t="s">
        <v>11570</v>
      </c>
      <c r="U1048" t="s">
        <v>11571</v>
      </c>
      <c r="V1048">
        <f>-622.590097567402 -111.191494790115 -96.2649707339672</f>
        <v>-830.04656309148424</v>
      </c>
      <c r="W1048" t="s">
        <v>11572</v>
      </c>
      <c r="X1048" t="s">
        <v>11573</v>
      </c>
      <c r="Y1048" t="s">
        <v>11574</v>
      </c>
    </row>
    <row r="1049" spans="1:25" x14ac:dyDescent="0.3">
      <c r="A1049">
        <v>52400</v>
      </c>
      <c r="B1049" t="s">
        <v>11575</v>
      </c>
      <c r="C1049">
        <f>-630.668033533276 -17.2160738423408 -98.5009963946168</f>
        <v>-746.38510377023363</v>
      </c>
      <c r="D1049">
        <f>-654.056634051843 -23.3399525601455 -211.77802544213</f>
        <v>-889.1746120541186</v>
      </c>
      <c r="E1049">
        <f>-660.302429599828 -26.7639122422956 -310.144323440138</f>
        <v>-997.21066528226163</v>
      </c>
      <c r="F1049">
        <f>-660.973360953423 -29.2823946299413 -399.203015650439</f>
        <v>-1089.4587712338034</v>
      </c>
      <c r="G1049">
        <f>-656.309141021587 -31.2794568650359 -488.155163031909</f>
        <v>-1175.743760918532</v>
      </c>
      <c r="H1049">
        <f>-644.199480761876 -33.5925041450021 -612.126285263388</f>
        <v>-1289.9182701702662</v>
      </c>
      <c r="I1049">
        <f>-615.403209435367 -36.1412348295132 -690.031945898393</f>
        <v>-1341.5763901632731</v>
      </c>
      <c r="J1049">
        <f>-649.905691951268 -4.87365988448505 -558.126392536108</f>
        <v>-1212.9057443718611</v>
      </c>
      <c r="K1049" t="s">
        <v>11576</v>
      </c>
      <c r="L1049" t="s">
        <v>11577</v>
      </c>
      <c r="M1049" t="s">
        <v>11578</v>
      </c>
      <c r="N1049">
        <f>-649.151020573454 -60.2755422028532 -557.018984676311</f>
        <v>-1266.4455474526183</v>
      </c>
      <c r="O1049">
        <f>-648.666247036757 -193.317825738041 -522.412557379079</f>
        <v>-1364.3966301538771</v>
      </c>
      <c r="P1049">
        <f>-622.561308222105 -234.008863257968 -232.147086159401</f>
        <v>-1088.7172576394739</v>
      </c>
      <c r="Q1049">
        <f>-480.716872986431 -96.232380709624 -369.801165339384</f>
        <v>-946.75041903543888</v>
      </c>
      <c r="R1049" t="s">
        <v>11579</v>
      </c>
      <c r="S1049" t="s">
        <v>11580</v>
      </c>
      <c r="T1049" t="s">
        <v>11581</v>
      </c>
      <c r="U1049" t="s">
        <v>11582</v>
      </c>
      <c r="V1049">
        <f>-621.60560884743 -111.489985703695 -96.271069229496</f>
        <v>-829.36666378062091</v>
      </c>
      <c r="W1049" t="s">
        <v>11583</v>
      </c>
      <c r="X1049" t="s">
        <v>11584</v>
      </c>
      <c r="Y1049" t="s">
        <v>11585</v>
      </c>
    </row>
    <row r="1050" spans="1:25" x14ac:dyDescent="0.3">
      <c r="A1050">
        <v>52450</v>
      </c>
      <c r="B1050" t="s">
        <v>11586</v>
      </c>
      <c r="C1050">
        <f>-630.219561375529 -17.39618180875 -98.5071386821223</f>
        <v>-746.12288186640137</v>
      </c>
      <c r="D1050">
        <f>-653.658867067945 -23.4715333746494 -211.776371931644</f>
        <v>-888.90677237423847</v>
      </c>
      <c r="E1050">
        <f>-659.947572283204 -26.8289749702017 -310.142183506995</f>
        <v>-996.91873076040065</v>
      </c>
      <c r="F1050">
        <f>-660.656889094364 -29.2770456172022 -399.202475151816</f>
        <v>-1089.1364098633821</v>
      </c>
      <c r="G1050">
        <f>-656.030138883276 -31.1935103084704 -488.158457522401</f>
        <v>-1175.3821067141475</v>
      </c>
      <c r="H1050">
        <f>-643.971769992974 -33.3835266448823 -612.136655658759</f>
        <v>-1289.4919522966152</v>
      </c>
      <c r="I1050">
        <f>-615.146621326283 -35.8397894283351 -690.034830743191</f>
        <v>-1341.0212414978091</v>
      </c>
      <c r="J1050">
        <f>-649.639121281196 -4.71808963039393 -558.104438996907</f>
        <v>-1212.4616499084968</v>
      </c>
      <c r="K1050" t="s">
        <v>11587</v>
      </c>
      <c r="L1050" t="s">
        <v>11588</v>
      </c>
      <c r="M1050" t="s">
        <v>11589</v>
      </c>
      <c r="N1050">
        <f>-648.916980145461 -60.1215662207469 -557.055602116821</f>
        <v>-1266.0941484830289</v>
      </c>
      <c r="O1050">
        <f>-648.505338648647 -193.196465182882 -522.581810820139</f>
        <v>-1364.2836146516679</v>
      </c>
      <c r="P1050">
        <f>-622.380430844273 -234.456374374753 -232.398573438557</f>
        <v>-1089.2353786575829</v>
      </c>
      <c r="Q1050">
        <f>-480.540546182549 -96.4085730977794 -369.785309121992</f>
        <v>-946.73442840232042</v>
      </c>
      <c r="R1050" t="s">
        <v>11590</v>
      </c>
      <c r="S1050" t="s">
        <v>11591</v>
      </c>
      <c r="T1050" t="s">
        <v>11592</v>
      </c>
      <c r="U1050" t="s">
        <v>11593</v>
      </c>
      <c r="V1050">
        <f>-621.211447732438 -111.718621951867 -96.2925173364645</f>
        <v>-829.22258702076954</v>
      </c>
      <c r="W1050" t="s">
        <v>11594</v>
      </c>
      <c r="X1050" t="s">
        <v>11595</v>
      </c>
      <c r="Y1050" t="s">
        <v>11596</v>
      </c>
    </row>
    <row r="1051" spans="1:25" x14ac:dyDescent="0.3">
      <c r="A1051">
        <v>52500</v>
      </c>
      <c r="B1051" t="s">
        <v>11597</v>
      </c>
      <c r="C1051">
        <f>-629.541104505938 -17.5545344696741 -98.5413361955677</f>
        <v>-745.63697517117987</v>
      </c>
      <c r="D1051">
        <f>-653.015138769874 -23.5386814886356 -211.808222465108</f>
        <v>-888.36204272361761</v>
      </c>
      <c r="E1051">
        <f>-659.329302755361 -26.7788257413577 -310.176252297244</f>
        <v>-996.28438079396267</v>
      </c>
      <c r="F1051">
        <f>-660.059377874355 -29.1048268997124 -399.239776030225</f>
        <v>-1088.4039808042926</v>
      </c>
      <c r="G1051">
        <f>-655.450906071836 -30.8840135842577 -488.199448416294</f>
        <v>-1174.5343680723877</v>
      </c>
      <c r="H1051">
        <f>-643.415072177828 -32.866377335075 -612.183394555833</f>
        <v>-1288.4648440687361</v>
      </c>
      <c r="I1051">
        <f>-614.590708120975 -35.2088969320207 -690.085418576705</f>
        <v>-1339.8850236297008</v>
      </c>
      <c r="J1051">
        <f>-649.028283236329 -4.29074806074209 -558.097972840872</f>
        <v>-1211.417004137943</v>
      </c>
      <c r="K1051" t="s">
        <v>11598</v>
      </c>
      <c r="L1051" t="s">
        <v>11599</v>
      </c>
      <c r="M1051" t="s">
        <v>11600</v>
      </c>
      <c r="N1051">
        <f>-648.394540099606 -59.6971948194118 -557.150561679216</f>
        <v>-1265.2422965982339</v>
      </c>
      <c r="O1051">
        <f>-648.214453947469 -192.840707846081 -522.940690039949</f>
        <v>-1363.995851833499</v>
      </c>
      <c r="P1051">
        <f>-622.156287732453 -234.85259677387 -232.859310759147</f>
        <v>-1089.8681952654701</v>
      </c>
      <c r="Q1051">
        <f>-480.066920588884 -96.7138499210058 -369.896427561258</f>
        <v>-946.67719807114781</v>
      </c>
      <c r="R1051" t="s">
        <v>11601</v>
      </c>
      <c r="S1051" t="s">
        <v>11602</v>
      </c>
      <c r="T1051" t="s">
        <v>11603</v>
      </c>
      <c r="U1051" t="s">
        <v>11604</v>
      </c>
      <c r="V1051">
        <f>-620.627587937211 -111.856374898208 -96.3377798396219</f>
        <v>-828.82174267504104</v>
      </c>
      <c r="W1051" t="s">
        <v>11605</v>
      </c>
      <c r="X1051" t="s">
        <v>11606</v>
      </c>
      <c r="Y1051" t="s">
        <v>11607</v>
      </c>
    </row>
    <row r="1052" spans="1:25" x14ac:dyDescent="0.3">
      <c r="A1052">
        <v>52550</v>
      </c>
      <c r="B1052" t="s">
        <v>11608</v>
      </c>
      <c r="C1052">
        <f>-629.300676748856 -17.6155929032507 -98.5473914982904</f>
        <v>-745.463661150397</v>
      </c>
      <c r="D1052">
        <f>-652.757928759104 -23.552328803838 -211.820297931987</f>
        <v>-888.13055549492901</v>
      </c>
      <c r="E1052">
        <f>-659.056216289529 -26.7441072494114 -310.191040692199</f>
        <v>-995.99136423113941</v>
      </c>
      <c r="F1052">
        <f>-659.771305634766 -29.022912111767 -399.255873687547</f>
        <v>-1088.0500914340801</v>
      </c>
      <c r="G1052">
        <f>-655.147206510233 -30.752199197648 -488.215721935262</f>
        <v>-1174.1151276431431</v>
      </c>
      <c r="H1052">
        <f>-643.088918129693 -32.6624114727736 -612.198670813391</f>
        <v>-1287.9500004158576</v>
      </c>
      <c r="I1052">
        <f>-614.276935582407 -34.972592437588 -690.10606107852</f>
        <v>-1339.3555890985149</v>
      </c>
      <c r="J1052">
        <f>-648.684817154162 -4.11791004852307 -558.094889131619</f>
        <v>-1210.8976163343041</v>
      </c>
      <c r="K1052" t="s">
        <v>11609</v>
      </c>
      <c r="L1052" t="s">
        <v>11610</v>
      </c>
      <c r="M1052" t="s">
        <v>11611</v>
      </c>
      <c r="N1052">
        <f>-648.105408282131 -59.5256248997928 -557.184890772277</f>
        <v>-1264.8159239542006</v>
      </c>
      <c r="O1052">
        <f>-648.063517031577 -192.692550292518 -523.061743306819</f>
        <v>-1363.8178106309142</v>
      </c>
      <c r="P1052">
        <f>-622.135953870005 -234.838191535785 -232.988174430629</f>
        <v>-1089.9623198364188</v>
      </c>
      <c r="Q1052">
        <f>-479.900840082312 -96.7786554092222 -369.953797585088</f>
        <v>-946.63329307662229</v>
      </c>
      <c r="R1052" t="s">
        <v>11612</v>
      </c>
      <c r="S1052" t="s">
        <v>11613</v>
      </c>
      <c r="T1052" t="s">
        <v>11614</v>
      </c>
      <c r="U1052" t="s">
        <v>11615</v>
      </c>
      <c r="V1052">
        <f>-620.44251582893 -111.943570305068 -96.3631332449714</f>
        <v>-828.74921937896943</v>
      </c>
      <c r="W1052" t="s">
        <v>11616</v>
      </c>
      <c r="X1052" t="s">
        <v>11617</v>
      </c>
      <c r="Y1052" t="s">
        <v>11618</v>
      </c>
    </row>
    <row r="1053" spans="1:25" x14ac:dyDescent="0.3">
      <c r="A1053">
        <v>52600</v>
      </c>
      <c r="B1053" t="s">
        <v>11619</v>
      </c>
      <c r="C1053">
        <f>-628.99680812705 -17.7945894612631 -98.5387947095097</f>
        <v>-745.3301922978228</v>
      </c>
      <c r="D1053">
        <f>-652.441021654154 -23.6557669877518 -211.818216536794</f>
        <v>-887.91500517869986</v>
      </c>
      <c r="E1053">
        <f>-658.704348749367 -26.7790619570915 -310.193441089163</f>
        <v>-995.67685179562147</v>
      </c>
      <c r="F1053">
        <f>-659.378211400506 -28.9952969068097 -399.260142486655</f>
        <v>-1087.6336507939707</v>
      </c>
      <c r="G1053">
        <f>-654.703139644771 -30.6628477862093 -488.218636077505</f>
        <v>-1173.5846235084853</v>
      </c>
      <c r="H1053">
        <f>-642.563561379399 -32.4884283129281 -612.194884263431</f>
        <v>-1287.246873955758</v>
      </c>
      <c r="I1053">
        <f>-613.773604058506 -34.7688687202917 -690.111272350949</f>
        <v>-1338.6537451297468</v>
      </c>
      <c r="J1053">
        <f>-648.136280601899 -3.98033801079259 -558.069641962745</f>
        <v>-1210.1862605754366</v>
      </c>
      <c r="K1053" t="s">
        <v>11620</v>
      </c>
      <c r="L1053" t="s">
        <v>11621</v>
      </c>
      <c r="M1053" t="s">
        <v>11622</v>
      </c>
      <c r="N1053">
        <f>-647.674830216355 -59.3897651227671 -557.208506664333</f>
        <v>-1264.2731020034551</v>
      </c>
      <c r="O1053">
        <f>-647.935084098573 -192.586029998628 -523.19186789447</f>
        <v>-1363.7129819916709</v>
      </c>
      <c r="P1053">
        <f>-622.252240614625 -234.852858633047 -233.114120323825</f>
        <v>-1090.219219571497</v>
      </c>
      <c r="Q1053">
        <f>-479.519076980265 -97.2663199514714 -370.037704648934</f>
        <v>-946.82310158067037</v>
      </c>
      <c r="R1053" t="s">
        <v>11623</v>
      </c>
      <c r="S1053" t="s">
        <v>11624</v>
      </c>
      <c r="T1053" t="s">
        <v>11625</v>
      </c>
      <c r="U1053" t="s">
        <v>11626</v>
      </c>
      <c r="V1053">
        <f>-620.304619911986 -112.145468537078 -96.3879478451918</f>
        <v>-828.83803629425586</v>
      </c>
      <c r="W1053" t="s">
        <v>11627</v>
      </c>
      <c r="X1053" t="s">
        <v>11628</v>
      </c>
      <c r="Y1053" t="s">
        <v>11629</v>
      </c>
    </row>
    <row r="1054" spans="1:25" x14ac:dyDescent="0.3">
      <c r="A1054">
        <v>52650</v>
      </c>
      <c r="B1054" t="s">
        <v>11630</v>
      </c>
      <c r="C1054">
        <f>-628.943066276035 -17.8058212923347 -98.5327620668139</f>
        <v>-745.28164963518361</v>
      </c>
      <c r="D1054">
        <f>-652.359408513268 -23.6374151703881 -211.819561412114</f>
        <v>-887.8163850957701</v>
      </c>
      <c r="E1054">
        <f>-658.600501880044 -26.7350424395986 -310.196922558247</f>
        <v>-995.53246687788965</v>
      </c>
      <c r="F1054">
        <f>-659.254871577966 -28.9278416045131 -399.264266301293</f>
        <v>-1087.4469794837721</v>
      </c>
      <c r="G1054">
        <f>-654.56100747566 -30.5725227028745 -488.222142127773</f>
        <v>-1173.3556723063075</v>
      </c>
      <c r="H1054">
        <f>-642.396077842038 -32.3671378013296 -612.196366653041</f>
        <v>-1286.9595822964086</v>
      </c>
      <c r="I1054">
        <f>-613.613312641743 -34.6284738053162 -690.116024339657</f>
        <v>-1338.3578107867161</v>
      </c>
      <c r="J1054">
        <f>-647.957720787209 -3.87236254463505 -558.063000197651</f>
        <v>-1209.893083529495</v>
      </c>
      <c r="K1054" t="s">
        <v>11631</v>
      </c>
      <c r="L1054" t="s">
        <v>11632</v>
      </c>
      <c r="M1054" t="s">
        <v>11633</v>
      </c>
      <c r="N1054">
        <f>-647.540892138376 -59.282513444732 -557.220081383606</f>
        <v>-1264.043486966714</v>
      </c>
      <c r="O1054">
        <f>-647.941844216701 -192.482733790343 -523.232029526881</f>
        <v>-1363.6566075339251</v>
      </c>
      <c r="P1054">
        <f>-622.405873199524 -234.888553920655 -233.16151814841</f>
        <v>-1090.4559452685889</v>
      </c>
      <c r="Q1054">
        <f>-479.469205019672 -97.4658249807009 -370.037387107462</f>
        <v>-946.97241710783487</v>
      </c>
      <c r="R1054" t="s">
        <v>11634</v>
      </c>
      <c r="S1054" t="s">
        <v>11635</v>
      </c>
      <c r="T1054" t="s">
        <v>11636</v>
      </c>
      <c r="U1054" t="s">
        <v>11637</v>
      </c>
      <c r="V1054">
        <f>-620.303137142824 -112.131843310793 -96.3987176771786</f>
        <v>-828.8336981307956</v>
      </c>
      <c r="W1054" t="s">
        <v>11638</v>
      </c>
      <c r="X1054" t="s">
        <v>11639</v>
      </c>
      <c r="Y1054" t="s">
        <v>11640</v>
      </c>
    </row>
    <row r="1055" spans="1:25" x14ac:dyDescent="0.3">
      <c r="A1055">
        <v>52700</v>
      </c>
      <c r="B1055" t="s">
        <v>11641</v>
      </c>
      <c r="C1055">
        <f>-628.906951622627 -18.0346849297598 -98.505589059117</f>
        <v>-745.44722561150388</v>
      </c>
      <c r="D1055">
        <f>-652.28762865519 -23.8318750787257 -211.801438832117</f>
        <v>-887.92094256603275</v>
      </c>
      <c r="E1055">
        <f>-658.486986139401 -26.9138697046487 -310.181861772383</f>
        <v>-995.58271761643277</v>
      </c>
      <c r="F1055">
        <f>-659.099198662569 -29.0986788332075 -399.249896196791</f>
        <v>-1087.4477736925676</v>
      </c>
      <c r="G1055">
        <f>-654.358990398483 -30.7424512055068 -488.205259427796</f>
        <v>-1173.3067010317859</v>
      </c>
      <c r="H1055">
        <f>-642.124941175189 -32.5441689490212 -612.172684365902</f>
        <v>-1286.8417944901121</v>
      </c>
      <c r="I1055">
        <f>-613.31982241352 -34.7947295973488 -690.084344785828</f>
        <v>-1338.1988967966968</v>
      </c>
      <c r="J1055">
        <f>-647.674806304834 -4.04596180360659 -558.039813236567</f>
        <v>-1209.7605813450077</v>
      </c>
      <c r="K1055" t="s">
        <v>11642</v>
      </c>
      <c r="L1055" t="s">
        <v>11643</v>
      </c>
      <c r="M1055" t="s">
        <v>11644</v>
      </c>
      <c r="N1055">
        <f>-647.342329631049 -59.4567379361156 -557.201751286237</f>
        <v>-1264.0008188534016</v>
      </c>
      <c r="O1055">
        <f>-647.955512959018 -192.660023569747 -523.223436256399</f>
        <v>-1363.8389727851641</v>
      </c>
      <c r="P1055">
        <f>-622.635381722713 -235.237967460651 -233.15926379146</f>
        <v>-1091.0326129748239</v>
      </c>
      <c r="Q1055">
        <f>-479.333648005879 -98.1065587829667 -369.945475970989</f>
        <v>-947.38568275983471</v>
      </c>
      <c r="R1055" t="s">
        <v>11645</v>
      </c>
      <c r="S1055" t="s">
        <v>11646</v>
      </c>
      <c r="T1055" t="s">
        <v>11647</v>
      </c>
      <c r="U1055" t="s">
        <v>11648</v>
      </c>
      <c r="V1055">
        <f>-620.379006584419 -112.488345290423 -96.3920064946664</f>
        <v>-829.25935836950839</v>
      </c>
      <c r="W1055" t="s">
        <v>11649</v>
      </c>
      <c r="X1055" t="s">
        <v>11650</v>
      </c>
      <c r="Y1055" t="s">
        <v>11651</v>
      </c>
    </row>
    <row r="1056" spans="1:25" x14ac:dyDescent="0.3">
      <c r="A1056">
        <v>52750</v>
      </c>
      <c r="B1056" t="s">
        <v>11652</v>
      </c>
      <c r="C1056">
        <f>-628.864541977247 -18.0181108552888 -98.494951998225</f>
        <v>-745.37760483076079</v>
      </c>
      <c r="D1056">
        <f>-652.24978168314 -23.8057999731925 -211.790324466028</f>
        <v>-887.84590612236047</v>
      </c>
      <c r="E1056">
        <f>-658.430594144193 -26.879997049039 -310.172318857745</f>
        <v>-995.48291005097713</v>
      </c>
      <c r="F1056">
        <f>-659.017149910409 -29.0580840219066 -399.2405586274</f>
        <v>-1087.3157925597156</v>
      </c>
      <c r="G1056">
        <f>-654.24232193925 -30.6959893950977 -488.19434243539</f>
        <v>-1173.1326537697378</v>
      </c>
      <c r="H1056">
        <f>-641.950573907323 -32.4903340706571 -612.156021730461</f>
        <v>-1286.5969297084412</v>
      </c>
      <c r="I1056">
        <f>-613.114850181701 -34.728855096364 -690.056705180418</f>
        <v>-1337.9004104584828</v>
      </c>
      <c r="J1056">
        <f>-647.50963577475 -3.9952338198641 -558.022386854673</f>
        <v>-1209.5272564492871</v>
      </c>
      <c r="K1056" t="s">
        <v>11653</v>
      </c>
      <c r="L1056" t="s">
        <v>11654</v>
      </c>
      <c r="M1056" t="s">
        <v>11655</v>
      </c>
      <c r="N1056">
        <f>-647.209446800652 -59.4062960277827 -557.190520577865</f>
        <v>-1263.8062634062996</v>
      </c>
      <c r="O1056">
        <f>-647.938098873644 -192.607365049302 -523.199916577364</f>
        <v>-1363.7453805003099</v>
      </c>
      <c r="P1056">
        <f>-622.703971511139 -235.210663301646 -233.131997786752</f>
        <v>-1091.0466325995371</v>
      </c>
      <c r="Q1056">
        <f>-479.253116083733 -98.2091265054194 -369.892026341607</f>
        <v>-947.35426893075942</v>
      </c>
      <c r="R1056" t="s">
        <v>11656</v>
      </c>
      <c r="S1056" t="s">
        <v>11657</v>
      </c>
      <c r="T1056" t="s">
        <v>11658</v>
      </c>
      <c r="U1056" t="s">
        <v>11659</v>
      </c>
      <c r="V1056">
        <f>-620.404908371313 -112.417145013593 -96.3845312591038</f>
        <v>-829.20658464400981</v>
      </c>
      <c r="W1056" t="s">
        <v>11660</v>
      </c>
      <c r="X1056" t="s">
        <v>11661</v>
      </c>
      <c r="Y1056" t="s">
        <v>11662</v>
      </c>
    </row>
    <row r="1057" spans="1:25" x14ac:dyDescent="0.3">
      <c r="A1057">
        <v>52800</v>
      </c>
      <c r="B1057" t="s">
        <v>11663</v>
      </c>
      <c r="C1057">
        <f>-628.8229148516 -18.0621301045933 -98.4904446998202</f>
        <v>-745.37548965601343</v>
      </c>
      <c r="D1057">
        <f>-652.210389315849 -23.8387906600622 -211.786008311176</f>
        <v>-887.83518828708725</v>
      </c>
      <c r="E1057">
        <f>-658.372824727618 -26.9380075094955 -310.168278416984</f>
        <v>-995.47911065409744</v>
      </c>
      <c r="F1057">
        <f>-658.934971576913 -29.1531688518805 -399.235732940576</f>
        <v>-1087.3238733693695</v>
      </c>
      <c r="G1057">
        <f>-654.128017665817 -30.8430219112124 -488.186805346553</f>
        <v>-1173.1578449235824</v>
      </c>
      <c r="H1057">
        <f>-641.783725476035 -32.7266035052016 -612.141910955542</f>
        <v>-1286.6522399367786</v>
      </c>
      <c r="I1057">
        <f>-612.871658797514 -34.9687688944402 -690.014261217392</f>
        <v>-1337.8546889093464</v>
      </c>
      <c r="J1057">
        <f>-647.329374680636 -4.19230275621157 -558.027662352494</f>
        <v>-1209.5493397893415</v>
      </c>
      <c r="K1057" t="s">
        <v>11664</v>
      </c>
      <c r="L1057" t="s">
        <v>11665</v>
      </c>
      <c r="M1057" t="s">
        <v>11666</v>
      </c>
      <c r="N1057">
        <f>-647.102330108586 -59.6031349869641 -557.163067096912</f>
        <v>-1263.868532192462</v>
      </c>
      <c r="O1057">
        <f>-647.991550383347 -192.782019956427 -523.101171818845</f>
        <v>-1363.874742158619</v>
      </c>
      <c r="P1057">
        <f>-622.87268004023 -235.436295145773 -233.030791369317</f>
        <v>-1091.33976655532</v>
      </c>
      <c r="Q1057">
        <f>-479.178397091121 -98.5852360227165 -369.685811531335</f>
        <v>-947.44944464517243</v>
      </c>
      <c r="R1057" t="s">
        <v>11667</v>
      </c>
      <c r="S1057" t="s">
        <v>11668</v>
      </c>
      <c r="T1057" t="s">
        <v>11669</v>
      </c>
      <c r="U1057" t="s">
        <v>11670</v>
      </c>
      <c r="V1057">
        <f>-620.479145245722 -112.465929038432 -96.3663900267535</f>
        <v>-829.31146431090747</v>
      </c>
      <c r="W1057" t="s">
        <v>11671</v>
      </c>
      <c r="X1057" t="s">
        <v>11672</v>
      </c>
      <c r="Y1057" t="s">
        <v>11673</v>
      </c>
    </row>
    <row r="1058" spans="1:25" x14ac:dyDescent="0.3">
      <c r="A1058">
        <v>52850</v>
      </c>
      <c r="B1058" t="s">
        <v>11674</v>
      </c>
      <c r="C1058">
        <f>-628.797837233929 -18.0923331001632 -98.4830084203234</f>
        <v>-745.37317875441556</v>
      </c>
      <c r="D1058">
        <f>-652.202343435104 -23.8616338582585 -211.775346402803</f>
        <v>-887.83932369616559</v>
      </c>
      <c r="E1058">
        <f>-658.382161284457 -26.9778311970458 -310.156105867285</f>
        <v>-995.51609834878786</v>
      </c>
      <c r="F1058">
        <f>-658.961253555589 -29.2174514035121 -399.222859905605</f>
        <v>-1087.401564864706</v>
      </c>
      <c r="G1058">
        <f>-654.172578815524 -30.9421426019269 -488.174153652384</f>
        <v>-1173.2888750698348</v>
      </c>
      <c r="H1058">
        <f>-641.855278300199 -32.884864611792 -612.131026516668</f>
        <v>-1286.871169428659</v>
      </c>
      <c r="I1058">
        <f>-612.90324603266 -35.1371670422075 -689.988275713602</f>
        <v>-1338.0286887884695</v>
      </c>
      <c r="J1058">
        <f>-647.365402879073 -4.3244908080294 -558.026964051744</f>
        <v>-1209.7168577388466</v>
      </c>
      <c r="K1058" t="s">
        <v>11675</v>
      </c>
      <c r="L1058" t="s">
        <v>11676</v>
      </c>
      <c r="M1058" t="s">
        <v>11677</v>
      </c>
      <c r="N1058">
        <f>-647.185559499175 -59.7352429131503 -557.140683715452</f>
        <v>-1264.0614861277772</v>
      </c>
      <c r="O1058">
        <f>-648.165260376609 -192.900746064624 -523.033678819504</f>
        <v>-1364.0996852607368</v>
      </c>
      <c r="P1058">
        <f>-623.038481591385 -235.60262511896 -232.970965276268</f>
        <v>-1091.612071986613</v>
      </c>
      <c r="Q1058">
        <f>-479.22354214622 -98.8254003746592 -369.573050950274</f>
        <v>-947.62199347115325</v>
      </c>
      <c r="R1058" t="s">
        <v>11678</v>
      </c>
      <c r="S1058" t="s">
        <v>11679</v>
      </c>
      <c r="T1058" t="s">
        <v>11680</v>
      </c>
      <c r="U1058" t="s">
        <v>11681</v>
      </c>
      <c r="V1058">
        <f>-620.503099929908 -112.543392420027 -96.3636008480022</f>
        <v>-829.41009319793716</v>
      </c>
      <c r="W1058" t="s">
        <v>11682</v>
      </c>
      <c r="X1058" t="s">
        <v>11683</v>
      </c>
      <c r="Y1058" t="s">
        <v>11684</v>
      </c>
    </row>
    <row r="1059" spans="1:25" x14ac:dyDescent="0.3">
      <c r="A1059">
        <v>52900</v>
      </c>
      <c r="B1059" t="s">
        <v>11685</v>
      </c>
      <c r="C1059">
        <f>-628.655710422417 -18.0509138631051 -98.4643052243978</f>
        <v>-745.1709295099198</v>
      </c>
      <c r="D1059">
        <f>-652.096031974563 -23.8115574880194 -211.749738373811</f>
        <v>-887.65732783639328</v>
      </c>
      <c r="E1059">
        <f>-658.342496051344 -26.9627689583815 -310.12499283961</f>
        <v>-995.43025784933548</v>
      </c>
      <c r="F1059">
        <f>-658.996582189351 -29.2513900286381 -399.190129447906</f>
        <v>-1087.4381016658949</v>
      </c>
      <c r="G1059">
        <f>-654.297602697893 -31.0433755831912 -488.144832354197</f>
        <v>-1173.4858106352813</v>
      </c>
      <c r="H1059">
        <f>-642.120928328919 -33.0998054679312 -612.113931060974</f>
        <v>-1287.3346648578242</v>
      </c>
      <c r="I1059">
        <f>-613.054704601524 -35.3742759301479 -689.927711655029</f>
        <v>-1338.3566921867009</v>
      </c>
      <c r="J1059">
        <f>-647.521389887951 -4.48970747257704 -558.025055407321</f>
        <v>-1210.0361527678492</v>
      </c>
      <c r="K1059" t="s">
        <v>11686</v>
      </c>
      <c r="L1059" t="s">
        <v>11687</v>
      </c>
      <c r="M1059" t="s">
        <v>11688</v>
      </c>
      <c r="N1059">
        <f>-647.437177535664 -59.899964279914 -557.097569417851</f>
        <v>-1264.434711233429</v>
      </c>
      <c r="O1059">
        <f>-648.590495569816 -193.044696533314 -522.900089065971</f>
        <v>-1364.5352811691009</v>
      </c>
      <c r="P1059">
        <f>-623.400119575278 -235.736193664168 -232.841195205328</f>
        <v>-1091.977508444774</v>
      </c>
      <c r="Q1059">
        <f>-479.276740267884 -99.0336717104788 -369.192722091286</f>
        <v>-947.50313406964881</v>
      </c>
      <c r="R1059" t="s">
        <v>11689</v>
      </c>
      <c r="S1059" t="s">
        <v>11690</v>
      </c>
      <c r="T1059" t="s">
        <v>11691</v>
      </c>
      <c r="U1059" t="s">
        <v>11692</v>
      </c>
      <c r="V1059">
        <f>-620.465347514136 -112.545863152599 -96.3585673652933</f>
        <v>-829.36977803202831</v>
      </c>
      <c r="W1059" t="s">
        <v>11693</v>
      </c>
      <c r="X1059" t="s">
        <v>11694</v>
      </c>
      <c r="Y1059" t="s">
        <v>11695</v>
      </c>
    </row>
    <row r="1060" spans="1:25" x14ac:dyDescent="0.3">
      <c r="A1060">
        <v>52950</v>
      </c>
      <c r="B1060" t="s">
        <v>11696</v>
      </c>
      <c r="C1060">
        <f>-628.538958098364 -18.124421241836 -98.4645743736073</f>
        <v>-745.1279537138073</v>
      </c>
      <c r="D1060">
        <f>-652.013901288437 -23.8844851324145 -211.742886123535</f>
        <v>-887.64127254438642</v>
      </c>
      <c r="E1060">
        <f>-658.3192200922 -27.0543975272101 -310.113794811023</f>
        <v>-995.4874124304331</v>
      </c>
      <c r="F1060">
        <f>-659.038076932302 -29.3681617876262 -399.177764905853</f>
        <v>-1087.5840036257812</v>
      </c>
      <c r="G1060">
        <f>-654.415620100556 -31.1942218916704 -488.135804230622</f>
        <v>-1173.7456462228483</v>
      </c>
      <c r="H1060">
        <f>-642.357772796185 -33.308178496851 -612.115474383906</f>
        <v>-1287.781425676942</v>
      </c>
      <c r="I1060">
        <f>-613.199370776558 -35.5903396865328 -689.894656371456</f>
        <v>-1338.6843668345468</v>
      </c>
      <c r="J1060">
        <f>-647.676987594536 -4.67297825994365 -558.031761030862</f>
        <v>-1210.3817268853415</v>
      </c>
      <c r="K1060" t="s">
        <v>11697</v>
      </c>
      <c r="L1060" t="s">
        <v>11698</v>
      </c>
      <c r="M1060" t="s">
        <v>11699</v>
      </c>
      <c r="N1060">
        <f>-647.650603953457 -60.0830027034525 -557.084421586148</f>
        <v>-1264.8180282430576</v>
      </c>
      <c r="O1060">
        <f>-648.90384545516 -193.211583435808 -522.828495889831</f>
        <v>-1364.9439247807989</v>
      </c>
      <c r="P1060">
        <f>-623.587655788162 -235.905712497915 -232.78102052682</f>
        <v>-1092.2743888128971</v>
      </c>
      <c r="Q1060">
        <f>-479.283103524848 -99.256473159428 -368.994258799387</f>
        <v>-947.53383548366298</v>
      </c>
      <c r="R1060" t="s">
        <v>11700</v>
      </c>
      <c r="S1060" t="s">
        <v>11701</v>
      </c>
      <c r="T1060" t="s">
        <v>11702</v>
      </c>
      <c r="U1060" t="s">
        <v>11703</v>
      </c>
      <c r="V1060">
        <f>-620.391159482713 -112.698841582319 -96.3525378915942</f>
        <v>-829.44253895662621</v>
      </c>
      <c r="W1060" t="s">
        <v>11704</v>
      </c>
      <c r="X1060" t="s">
        <v>11705</v>
      </c>
      <c r="Y1060" t="s">
        <v>11706</v>
      </c>
    </row>
    <row r="1061" spans="1:25" x14ac:dyDescent="0.3">
      <c r="A1061">
        <v>53000</v>
      </c>
      <c r="B1061" t="s">
        <v>11707</v>
      </c>
      <c r="C1061">
        <f>-628.233544685367 -18.1383023302317 -98.4549918786</f>
        <v>-744.82683889419866</v>
      </c>
      <c r="D1061">
        <f>-651.818067540521 -23.8839239560702 -211.711255674731</f>
        <v>-887.41324717132227</v>
      </c>
      <c r="E1061">
        <f>-658.273288121236 -27.0620309046174 -310.072327853594</f>
        <v>-995.40764687944738</v>
      </c>
      <c r="F1061">
        <f>-659.150042270717 -29.3917313245029 -399.134301385198</f>
        <v>-1087.676074980418</v>
      </c>
      <c r="G1061">
        <f>-654.707338244321 -31.2425019913658 -488.100973469072</f>
        <v>-1174.0508137047589</v>
      </c>
      <c r="H1061">
        <f>-642.923367749466 -33.401209818797 -612.106146834513</f>
        <v>-1288.4307244027759</v>
      </c>
      <c r="I1061">
        <f>-613.521118308874 -35.6394847303091 -689.794854447291</f>
        <v>-1338.955457486474</v>
      </c>
      <c r="J1061">
        <f>-648.0774549576 -4.74647900558944 -558.01695084211</f>
        <v>-1210.8408848052995</v>
      </c>
      <c r="K1061" t="s">
        <v>11708</v>
      </c>
      <c r="L1061" t="s">
        <v>11709</v>
      </c>
      <c r="M1061" t="s">
        <v>11710</v>
      </c>
      <c r="N1061">
        <f>-648.140408049883 -60.1562643537628 -557.058309449622</f>
        <v>-1265.3549818532679</v>
      </c>
      <c r="O1061">
        <f>-649.556563608817 -193.275668710423 -522.766980763851</f>
        <v>-1365.5992130830909</v>
      </c>
      <c r="P1061">
        <f>-624.154368155533 -236.081000518602 -232.743376915471</f>
        <v>-1092.978745589606</v>
      </c>
      <c r="Q1061">
        <f>-479.380133304044 -99.5168013753575 -368.542950443579</f>
        <v>-947.43988512298051</v>
      </c>
      <c r="R1061" t="s">
        <v>11711</v>
      </c>
      <c r="S1061" t="s">
        <v>11712</v>
      </c>
      <c r="T1061" t="s">
        <v>11713</v>
      </c>
      <c r="U1061" t="s">
        <v>11714</v>
      </c>
      <c r="V1061">
        <f>-620.174600981074 -112.679080279963 -96.3312639214442</f>
        <v>-829.18494518248133</v>
      </c>
      <c r="W1061" t="s">
        <v>11715</v>
      </c>
      <c r="X1061" t="s">
        <v>11716</v>
      </c>
      <c r="Y1061" t="s">
        <v>11717</v>
      </c>
    </row>
    <row r="1062" spans="1:25" x14ac:dyDescent="0.3">
      <c r="A1062">
        <v>53050</v>
      </c>
      <c r="B1062" t="s">
        <v>11718</v>
      </c>
      <c r="C1062">
        <f>-628.05975084748 -18.1285483449444 -98.4530555542875</f>
        <v>-744.64135474671195</v>
      </c>
      <c r="D1062">
        <f>-651.720096382896 -23.8680929223065 -211.69380597871</f>
        <v>-887.28199528391247</v>
      </c>
      <c r="E1062">
        <f>-658.263724368517 -27.0385461436415 -310.049165661363</f>
        <v>-995.35143617352151</v>
      </c>
      <c r="F1062">
        <f>-659.229661133254 -29.3599739205561 -399.11054632676</f>
        <v>-1087.70018138057</v>
      </c>
      <c r="G1062">
        <f>-654.885065179782 -31.202203674025 -488.082307092667</f>
        <v>-1174.169575946474</v>
      </c>
      <c r="H1062">
        <f>-643.247066587627 -33.3477942725237 -612.101515956885</f>
        <v>-1288.6963768170358</v>
      </c>
      <c r="I1062">
        <f>-613.705127420685 -35.5303469550659 -689.738673289465</f>
        <v>-1338.9741476652159</v>
      </c>
      <c r="J1062">
        <f>-648.318179253274 -4.69861132346432 -558.001399575317</f>
        <v>-1211.0181901520555</v>
      </c>
      <c r="K1062" t="s">
        <v>11719</v>
      </c>
      <c r="L1062" t="s">
        <v>11720</v>
      </c>
      <c r="M1062" t="s">
        <v>11721</v>
      </c>
      <c r="N1062">
        <f>-648.418599044046 -60.1085453500766 -557.052197315905</f>
        <v>-1265.5793417100276</v>
      </c>
      <c r="O1062">
        <f>-649.898494375573 -193.22940514967 -522.778643583934</f>
        <v>-1365.9065431091772</v>
      </c>
      <c r="P1062">
        <f>-624.46108524981 -236.160754975375 -232.776774774318</f>
        <v>-1093.398614999503</v>
      </c>
      <c r="Q1062">
        <f>-479.497075801479 -99.6174630442661 -368.394676664884</f>
        <v>-947.50921551062902</v>
      </c>
      <c r="R1062" t="s">
        <v>11722</v>
      </c>
      <c r="S1062" t="s">
        <v>11723</v>
      </c>
      <c r="T1062" t="s">
        <v>11724</v>
      </c>
      <c r="U1062" t="s">
        <v>11725</v>
      </c>
      <c r="V1062">
        <f>-620.034516658753 -112.671059825166 -96.3334222641859</f>
        <v>-829.03899874810486</v>
      </c>
      <c r="W1062" t="s">
        <v>11726</v>
      </c>
      <c r="X1062" t="s">
        <v>11727</v>
      </c>
      <c r="Y1062" t="s">
        <v>11728</v>
      </c>
    </row>
    <row r="1063" spans="1:25" x14ac:dyDescent="0.3">
      <c r="A1063">
        <v>53100</v>
      </c>
      <c r="B1063" t="s">
        <v>11729</v>
      </c>
      <c r="C1063">
        <f>-627.731339378276 -18.2116348580641 -98.4636634611456</f>
        <v>-744.40663769748573</v>
      </c>
      <c r="D1063">
        <f>-651.582956476965 -23.9442950117859 -211.664604081063</f>
        <v>-887.19185556981392</v>
      </c>
      <c r="E1063">
        <f>-658.314150520273 -27.0908031108347 -310.008129598255</f>
        <v>-995.41308322936266</v>
      </c>
      <c r="F1063">
        <f>-659.458158372236 -29.38408385661 -399.068129308905</f>
        <v>-1087.910371537751</v>
      </c>
      <c r="G1063">
        <f>-655.29947028587 -31.192430486793 -488.049371618518</f>
        <v>-1174.5412723911811</v>
      </c>
      <c r="H1063">
        <f>-643.929070222705 -33.2859248288523 -612.094345892266</f>
        <v>-1289.3093409438234</v>
      </c>
      <c r="I1063">
        <f>-614.056509276723 -35.26727999581 -689.610269478845</f>
        <v>-1338.934058751378</v>
      </c>
      <c r="J1063">
        <f>-648.852472251222 -4.65961387187417 -557.968531603374</f>
        <v>-1211.4806177264702</v>
      </c>
      <c r="K1063" t="s">
        <v>11730</v>
      </c>
      <c r="L1063" t="s">
        <v>11731</v>
      </c>
      <c r="M1063" t="s">
        <v>11732</v>
      </c>
      <c r="N1063">
        <f>-649.01283438188 -60.0697630850833 -557.048141390016</f>
        <v>-1266.1307388569794</v>
      </c>
      <c r="O1063">
        <f>-650.579187105679 -193.210793334902 -522.854279586427</f>
        <v>-1366.6442600270079</v>
      </c>
      <c r="P1063">
        <f>-625.114850617341 -236.548226530762 -232.915280815764</f>
        <v>-1094.5783579638669</v>
      </c>
      <c r="Q1063">
        <f>-479.814659515344 -100.02014773872 -368.188400262224</f>
        <v>-948.02320751628804</v>
      </c>
      <c r="R1063" t="s">
        <v>11733</v>
      </c>
      <c r="S1063" t="s">
        <v>11734</v>
      </c>
      <c r="T1063" t="s">
        <v>11735</v>
      </c>
      <c r="U1063" t="s">
        <v>11736</v>
      </c>
      <c r="V1063">
        <f>-619.729831081522 -112.863460235007 -96.3449310577907</f>
        <v>-828.93822237431971</v>
      </c>
      <c r="W1063" t="s">
        <v>11737</v>
      </c>
      <c r="X1063" t="s">
        <v>11738</v>
      </c>
      <c r="Y1063" t="s">
        <v>11739</v>
      </c>
    </row>
    <row r="1064" spans="1:25" x14ac:dyDescent="0.3">
      <c r="A1064">
        <v>53150</v>
      </c>
      <c r="B1064" t="s">
        <v>11740</v>
      </c>
      <c r="C1064">
        <f>-627.554037304441 -18.233871070154 -98.4782963153842</f>
        <v>-744.26620468997919</v>
      </c>
      <c r="D1064">
        <f>-651.499486924975 -23.9608715258164 -211.659662994179</f>
        <v>-887.12002144497046</v>
      </c>
      <c r="E1064">
        <f>-658.327410201544 -27.0818594305547 -309.997377027421</f>
        <v>-995.40664665951977</v>
      </c>
      <c r="F1064">
        <f>-659.564743076578 -29.3440783379335 -399.056951098103</f>
        <v>-1087.9657725126144</v>
      </c>
      <c r="G1064">
        <f>-655.505052377706 -31.1139509457466 -488.043493023513</f>
        <v>-1174.6624963469656</v>
      </c>
      <c r="H1064">
        <f>-644.278467554972 -33.1461307935072 -612.102655126357</f>
        <v>-1289.5272534748362</v>
      </c>
      <c r="I1064">
        <f>-614.258118320885 -34.9956491160622 -689.564771020598</f>
        <v>-1338.8185384575452</v>
      </c>
      <c r="J1064">
        <f>-649.129661653172 -4.54666007038827 -557.956105217833</f>
        <v>-1211.6324269413933</v>
      </c>
      <c r="K1064" t="s">
        <v>11741</v>
      </c>
      <c r="L1064" t="s">
        <v>11742</v>
      </c>
      <c r="M1064" t="s">
        <v>11743</v>
      </c>
      <c r="N1064">
        <f>-649.307826603745 -59.9572026048913 -557.064651168431</f>
        <v>-1266.3296803770672</v>
      </c>
      <c r="O1064">
        <f>-650.889674397986 -193.111284296041 -522.923078118314</f>
        <v>-1366.924036812341</v>
      </c>
      <c r="P1064">
        <f>-625.389382950591 -236.593879330922 -233.008916199481</f>
        <v>-1094.992178480994</v>
      </c>
      <c r="Q1064">
        <f>-479.892311934442 -100.011116846933 -368.014975916802</f>
        <v>-947.91840469817691</v>
      </c>
      <c r="R1064" t="s">
        <v>11744</v>
      </c>
      <c r="S1064" t="s">
        <v>11745</v>
      </c>
      <c r="T1064" t="s">
        <v>11746</v>
      </c>
      <c r="U1064" t="s">
        <v>11747</v>
      </c>
      <c r="V1064">
        <f>-619.536133393906 -112.928411929411 -96.3559173260946</f>
        <v>-828.82046264941164</v>
      </c>
      <c r="W1064" t="s">
        <v>11748</v>
      </c>
      <c r="X1064" t="s">
        <v>11749</v>
      </c>
      <c r="Y1064" t="s">
        <v>11750</v>
      </c>
    </row>
    <row r="1065" spans="1:25" x14ac:dyDescent="0.3">
      <c r="A1065">
        <v>53200</v>
      </c>
      <c r="B1065" t="s">
        <v>11751</v>
      </c>
      <c r="C1065">
        <f>-627.164154226933 -18.3976706100493 -98.4815676682535</f>
        <v>-744.04339250523583</v>
      </c>
      <c r="D1065">
        <f>-651.238454877905 -24.09999968031 -211.636919465766</f>
        <v>-886.97537402398109</v>
      </c>
      <c r="E1065">
        <f>-658.230492974822 -27.1521107360718 -309.965326566337</f>
        <v>-995.34793027723083</v>
      </c>
      <c r="F1065">
        <f>-659.636824946855 -29.3331221127239 -399.024276735894</f>
        <v>-1087.9942237954729</v>
      </c>
      <c r="G1065">
        <f>-655.765997958325 -31.0027657311437 -488.021327844905</f>
        <v>-1174.7900915343737</v>
      </c>
      <c r="H1065">
        <f>-644.823358186449 -32.8748747020695 -612.108197886907</f>
        <v>-1289.8064307754255</v>
      </c>
      <c r="I1065">
        <f>-614.604327974097 -34.4570133690031 -689.498989790359</f>
        <v>-1338.5603311334592</v>
      </c>
      <c r="J1065">
        <f>-649.550144429252 -4.34516202718601 -557.91383133075</f>
        <v>-1211.8091377871879</v>
      </c>
      <c r="K1065" t="s">
        <v>11752</v>
      </c>
      <c r="L1065" t="s">
        <v>11753</v>
      </c>
      <c r="M1065" t="s">
        <v>11754</v>
      </c>
      <c r="N1065">
        <f>-649.727301960464 -59.7568951142802 -557.093492853568</f>
        <v>-1266.5776899283123</v>
      </c>
      <c r="O1065">
        <f>-651.215716970313 -192.949671065582 -523.100857355042</f>
        <v>-1367.266245390937</v>
      </c>
      <c r="P1065">
        <f>-625.622492821166 -236.892216454405 -233.264118962048</f>
        <v>-1095.7788282376191</v>
      </c>
      <c r="Q1065">
        <f>-479.722209284396 -99.9378707711713 -367.456031608334</f>
        <v>-947.11611166390128</v>
      </c>
      <c r="R1065" t="s">
        <v>11755</v>
      </c>
      <c r="S1065" t="s">
        <v>11756</v>
      </c>
      <c r="T1065" t="s">
        <v>11757</v>
      </c>
      <c r="U1065" t="s">
        <v>11758</v>
      </c>
      <c r="V1065">
        <f>-619.131229695964 -113.15994449248 -96.3777311906874</f>
        <v>-828.66890537913139</v>
      </c>
      <c r="W1065" t="s">
        <v>11759</v>
      </c>
      <c r="X1065" t="s">
        <v>11760</v>
      </c>
      <c r="Y1065" t="s">
        <v>11761</v>
      </c>
    </row>
    <row r="1066" spans="1:25" x14ac:dyDescent="0.3">
      <c r="A1066">
        <v>53250</v>
      </c>
      <c r="B1066" t="s">
        <v>11762</v>
      </c>
      <c r="C1066">
        <f>-626.981495780191 -18.4714498216076 -98.4728924381379</f>
        <v>-743.92583803993659</v>
      </c>
      <c r="D1066">
        <f>-651.108284418367 -24.1552012174479 -211.618005563248</f>
        <v>-886.88149119906302</v>
      </c>
      <c r="E1066">
        <f>-658.170626971824 -27.1638925551392 -309.942572399761</f>
        <v>-995.27709192672432</v>
      </c>
      <c r="F1066">
        <f>-659.65044599648 -29.2948070256655 -399.001643899446</f>
        <v>-1087.9468969215914</v>
      </c>
      <c r="G1066">
        <f>-655.862457590822 -30.9034246904037 -488.003399259143</f>
        <v>-1174.7692815403686</v>
      </c>
      <c r="H1066">
        <f>-645.045038614687 -32.6784930065041 -612.10268012938</f>
        <v>-1289.826211750571</v>
      </c>
      <c r="I1066">
        <f>-614.758766729447 -34.1242660999242 -689.469949311234</f>
        <v>-1338.352982140605</v>
      </c>
      <c r="J1066">
        <f>-649.723117681176 -4.1911601499196 -557.881856720545</f>
        <v>-1211.7961345516405</v>
      </c>
      <c r="K1066" t="s">
        <v>11763</v>
      </c>
      <c r="L1066" t="s">
        <v>11764</v>
      </c>
      <c r="M1066" t="s">
        <v>11765</v>
      </c>
      <c r="N1066">
        <f>-649.887383020482 -59.60369707174 -557.103490699175</f>
        <v>-1266.5945707913979</v>
      </c>
      <c r="O1066">
        <f>-651.293404074971 -192.824546256666 -523.212137840053</f>
        <v>-1367.33008817169</v>
      </c>
      <c r="P1066">
        <f>-625.707141877235 -237.135234670231 -233.431047190862</f>
        <v>-1096.2734237383281</v>
      </c>
      <c r="Q1066">
        <f>-479.600174322132 -99.882726952114 -367.092288351332</f>
        <v>-946.57518962557788</v>
      </c>
      <c r="R1066" t="s">
        <v>11766</v>
      </c>
      <c r="S1066" t="s">
        <v>11767</v>
      </c>
      <c r="T1066" t="s">
        <v>11768</v>
      </c>
      <c r="U1066" t="s">
        <v>11769</v>
      </c>
      <c r="V1066">
        <f>-618.944904800115 -113.233308459445 -96.3887431978628</f>
        <v>-828.56695645742275</v>
      </c>
      <c r="W1066" t="s">
        <v>11770</v>
      </c>
      <c r="X1066" t="s">
        <v>11771</v>
      </c>
      <c r="Y1066" t="s">
        <v>11772</v>
      </c>
    </row>
    <row r="1067" spans="1:25" x14ac:dyDescent="0.3">
      <c r="A1067">
        <v>53300</v>
      </c>
      <c r="B1067" t="s">
        <v>11773</v>
      </c>
      <c r="C1067">
        <f>-626.655226771246 -18.5453041990966 -98.4480961416762</f>
        <v>-743.64862711201874</v>
      </c>
      <c r="D1067">
        <f>-650.888269332748 -24.2095534229907 -211.571462136735</f>
        <v>-886.66928489247368</v>
      </c>
      <c r="E1067">
        <f>-658.078891502414 -27.1199469153707 -309.889792073346</f>
        <v>-995.08863049113074</v>
      </c>
      <c r="F1067">
        <f>-659.6884196475 -29.1293791969904 -398.94937394281</f>
        <v>-1087.7671727873003</v>
      </c>
      <c r="G1067">
        <f>-656.043085326427 -30.5832559368266 -487.959696675306</f>
        <v>-1174.5860379385597</v>
      </c>
      <c r="H1067">
        <f>-645.437873605994 -32.1073539457952 -612.080659294862</f>
        <v>-1289.6258868466512</v>
      </c>
      <c r="I1067">
        <f>-615.12198542971 -33.2716280866791 -689.440929252686</f>
        <v>-1337.8345427690751</v>
      </c>
      <c r="J1067">
        <f>-650.045230175166 -3.7296651243978 -557.79634061221</f>
        <v>-1211.5712359117738</v>
      </c>
      <c r="K1067" t="s">
        <v>11774</v>
      </c>
      <c r="L1067" t="s">
        <v>11775</v>
      </c>
      <c r="M1067" t="s">
        <v>11776</v>
      </c>
      <c r="N1067">
        <f>-650.164200092379 -59.1436794528198 -557.12606322904</f>
        <v>-1266.4339427742389</v>
      </c>
      <c r="O1067">
        <f>-651.396455274653 -192.430579046468 -523.491962561938</f>
        <v>-1367.3189968830588</v>
      </c>
      <c r="P1067">
        <f>-626.039348670926 -237.648770839904 -233.83087113203</f>
        <v>-1097.51899064286</v>
      </c>
      <c r="Q1067">
        <f>-479.434667985448 -99.7038669827651 -366.228476089772</f>
        <v>-945.36701105798511</v>
      </c>
      <c r="R1067" t="s">
        <v>11777</v>
      </c>
      <c r="S1067" t="s">
        <v>11778</v>
      </c>
      <c r="T1067" t="s">
        <v>11779</v>
      </c>
      <c r="U1067" t="s">
        <v>11780</v>
      </c>
      <c r="V1067">
        <f>-618.555029840461 -113.372728316104 -96.4060493564336</f>
        <v>-828.33380751299865</v>
      </c>
      <c r="W1067" t="s">
        <v>11781</v>
      </c>
      <c r="X1067" t="s">
        <v>11782</v>
      </c>
      <c r="Y1067" t="s">
        <v>11783</v>
      </c>
    </row>
    <row r="1068" spans="1:25" x14ac:dyDescent="0.3">
      <c r="A1068">
        <v>53350</v>
      </c>
      <c r="B1068" t="s">
        <v>11784</v>
      </c>
      <c r="C1068">
        <f>-626.517105156273 -18.6365740658584 -98.4492281805736</f>
        <v>-743.60290740270511</v>
      </c>
      <c r="D1068">
        <f>-650.797228453352 -24.2953057833217 -211.562897614857</f>
        <v>-886.65543185153069</v>
      </c>
      <c r="E1068">
        <f>-658.04349136246 -27.1539088873908 -309.878470564056</f>
        <v>-995.07587081390682</v>
      </c>
      <c r="F1068">
        <f>-659.708812679469 -29.0979510778077 -398.938554466317</f>
        <v>-1087.7453182235936</v>
      </c>
      <c r="G1068">
        <f>-656.124331656766 -30.4677380199885 -487.952591267166</f>
        <v>-1174.5446609439205</v>
      </c>
      <c r="H1068">
        <f>-645.608944387874 -31.8548319835684 -612.082923355717</f>
        <v>-1289.5466997271592</v>
      </c>
      <c r="I1068">
        <f>-615.320610568718 -32.887497350511 -689.455828755136</f>
        <v>-1337.6639366743652</v>
      </c>
      <c r="J1068">
        <f>-650.187597266314 -3.53716288293504 -557.764786980944</f>
        <v>-1211.4895471301929</v>
      </c>
      <c r="K1068" t="s">
        <v>11785</v>
      </c>
      <c r="L1068" t="s">
        <v>11786</v>
      </c>
      <c r="M1068" t="s">
        <v>11787</v>
      </c>
      <c r="N1068">
        <f>-650.284863636268 -58.9517270168776 -557.153901507856</f>
        <v>-1266.3904921610015</v>
      </c>
      <c r="O1068">
        <f>-651.435966695852 -192.273977162789 -523.656539330448</f>
        <v>-1367.3664831890892</v>
      </c>
      <c r="P1068">
        <f>-626.298745034552 -237.969191189051 -234.051138641525</f>
        <v>-1098.319074865128</v>
      </c>
      <c r="Q1068">
        <f>-479.468150514122 -99.5957299386744 -365.749407492982</f>
        <v>-944.81328794577848</v>
      </c>
      <c r="R1068" t="s">
        <v>11788</v>
      </c>
      <c r="S1068" t="s">
        <v>11789</v>
      </c>
      <c r="T1068" t="s">
        <v>11790</v>
      </c>
      <c r="U1068" t="s">
        <v>11791</v>
      </c>
      <c r="V1068">
        <f>-618.380982161606 -113.523817500781 -96.4209050716237</f>
        <v>-828.32570473401063</v>
      </c>
      <c r="W1068" t="s">
        <v>11792</v>
      </c>
      <c r="X1068" t="s">
        <v>11793</v>
      </c>
      <c r="Y1068" t="s">
        <v>11794</v>
      </c>
    </row>
    <row r="1069" spans="1:25" x14ac:dyDescent="0.3">
      <c r="A1069">
        <v>53400</v>
      </c>
      <c r="B1069" t="s">
        <v>11795</v>
      </c>
      <c r="C1069">
        <f>-626.27152087813 -18.8888841046255 -98.456170762132</f>
        <v>-743.61657574488754</v>
      </c>
      <c r="D1069">
        <f>-650.616153695853 -24.5270351755423 -211.556847826199</f>
        <v>-886.70003669759433</v>
      </c>
      <c r="E1069">
        <f>-657.960165000757 -27.2908867974265 -309.868019405599</f>
        <v>-995.1190712037826</v>
      </c>
      <c r="F1069">
        <f>-659.729935478104 -29.1181900889037 -398.928525260986</f>
        <v>-1087.7766508279938</v>
      </c>
      <c r="G1069">
        <f>-656.265273332303 -30.3398482506141 -487.94944449435</f>
        <v>-1174.5545660772671</v>
      </c>
      <c r="H1069">
        <f>-645.93272884013 -31.4868031548981 -612.097577101218</f>
        <v>-1289.5171090962463</v>
      </c>
      <c r="I1069">
        <f>-615.715584936875 -32.2819782161268 -689.501161190589</f>
        <v>-1337.4987243435908</v>
      </c>
      <c r="J1069">
        <f>-650.457088136922 -3.27418295806092 -557.720248628079</f>
        <v>-1211.4515197230621</v>
      </c>
      <c r="K1069" t="s">
        <v>11796</v>
      </c>
      <c r="L1069" t="s">
        <v>11797</v>
      </c>
      <c r="M1069" t="s">
        <v>11798</v>
      </c>
      <c r="N1069">
        <f>-650.502088907531 -58.6899755852105 -557.21208109168</f>
        <v>-1266.4041455844215</v>
      </c>
      <c r="O1069">
        <f>-651.503462737891 -192.075283849955 -523.972792609856</f>
        <v>-1367.5515391977019</v>
      </c>
      <c r="P1069">
        <f>-626.713198433156 -238.662356088468 -234.479502628216</f>
        <v>-1099.8550571498399</v>
      </c>
      <c r="Q1069">
        <f>-479.488136313421 -99.4458465065584 -364.842118490839</f>
        <v>-943.77610131081838</v>
      </c>
      <c r="R1069" t="s">
        <v>11799</v>
      </c>
      <c r="S1069" t="s">
        <v>11800</v>
      </c>
      <c r="T1069" t="s">
        <v>11801</v>
      </c>
      <c r="U1069" t="s">
        <v>11802</v>
      </c>
      <c r="V1069">
        <f>-618.074497922388 -113.873294359464 -96.4366449980535</f>
        <v>-828.38443727990546</v>
      </c>
      <c r="W1069" t="s">
        <v>11803</v>
      </c>
      <c r="X1069" t="s">
        <v>11804</v>
      </c>
      <c r="Y1069" t="s">
        <v>11805</v>
      </c>
    </row>
    <row r="1070" spans="1:25" x14ac:dyDescent="0.3">
      <c r="A1070">
        <v>53450</v>
      </c>
      <c r="B1070" t="s">
        <v>11806</v>
      </c>
      <c r="C1070">
        <f>-626.145596737893 -18.8427007919552 -98.4494801845112</f>
        <v>-743.43777771435941</v>
      </c>
      <c r="D1070">
        <f>-650.503295819723 -24.4754186158737 -211.547756238762</f>
        <v>-886.52647067435862</v>
      </c>
      <c r="E1070">
        <f>-657.897887359452 -27.2005194809765 -309.856151512302</f>
        <v>-994.9545583527306</v>
      </c>
      <c r="F1070">
        <f>-659.728867976147 -28.9785542223024 -398.916332193496</f>
        <v>-1087.6237543919453</v>
      </c>
      <c r="G1070">
        <f>-656.340841066099 -30.1354992538616 -487.94128500072</f>
        <v>-1174.4176253206806</v>
      </c>
      <c r="H1070">
        <f>-646.130831965211 -31.1756555706609 -612.100327765802</f>
        <v>-1289.4068153016738</v>
      </c>
      <c r="I1070">
        <f>-615.957916127509 -31.8570100756883 -689.5223725713</f>
        <v>-1337.3372987744974</v>
      </c>
      <c r="J1070">
        <f>-650.617718429103 -3.00982494321556 -557.695675688936</f>
        <v>-1211.3232190612546</v>
      </c>
      <c r="K1070" t="s">
        <v>11807</v>
      </c>
      <c r="L1070" t="s">
        <v>11808</v>
      </c>
      <c r="M1070" t="s">
        <v>11809</v>
      </c>
      <c r="N1070">
        <f>-650.629822955465 -58.4260123541868 -557.232388846233</f>
        <v>-1266.2882241558848</v>
      </c>
      <c r="O1070">
        <f>-651.540235590373 -191.837553196338 -524.094971661222</f>
        <v>-1367.4727604479331</v>
      </c>
      <c r="P1070">
        <f>-626.864242945049 -238.86590763656 -234.663401477486</f>
        <v>-1100.3935520590949</v>
      </c>
      <c r="Q1070">
        <f>-479.491453247333 -99.2435538126384 -364.423705465491</f>
        <v>-943.15871252546242</v>
      </c>
      <c r="R1070" t="s">
        <v>11810</v>
      </c>
      <c r="S1070" t="s">
        <v>11811</v>
      </c>
      <c r="T1070" t="s">
        <v>11812</v>
      </c>
      <c r="U1070" t="s">
        <v>11813</v>
      </c>
      <c r="V1070">
        <f>-617.935809971709 -113.731201731079 -96.4506413174777</f>
        <v>-828.11765302026561</v>
      </c>
      <c r="W1070" t="s">
        <v>11814</v>
      </c>
      <c r="X1070" t="s">
        <v>11815</v>
      </c>
      <c r="Y1070" t="s">
        <v>11816</v>
      </c>
    </row>
    <row r="1071" spans="1:25" x14ac:dyDescent="0.3">
      <c r="A1071">
        <v>53500</v>
      </c>
      <c r="B1071" t="s">
        <v>11817</v>
      </c>
      <c r="C1071">
        <f>-625.976522394286 -18.8144688623279 -98.4301137687233</f>
        <v>-743.22110502533724</v>
      </c>
      <c r="D1071">
        <f>-650.36218748413 -24.4377322536561 -211.522817269102</f>
        <v>-886.32273700688813</v>
      </c>
      <c r="E1071">
        <f>-657.859079187778 -27.077741950656 -309.825805387397</f>
        <v>-994.76262652583091</v>
      </c>
      <c r="F1071">
        <f>-659.813603420275 -28.74550038026 -398.885583048082</f>
        <v>-1087.444686848617</v>
      </c>
      <c r="G1071">
        <f>-656.579364734699 -29.7572333288952 -487.917748466633</f>
        <v>-1174.2543465302272</v>
      </c>
      <c r="H1071">
        <f>-646.615304790054 -30.5565447890585 -612.098757306999</f>
        <v>-1289.2706068861116</v>
      </c>
      <c r="I1071">
        <f>-616.54147257476 -31.0141674296597 -689.560800014093</f>
        <v>-1337.1164400185125</v>
      </c>
      <c r="J1071">
        <f>-651.036888420464 -2.49631646008379 -557.634184682306</f>
        <v>-1211.1673895628537</v>
      </c>
      <c r="K1071" t="s">
        <v>11818</v>
      </c>
      <c r="L1071" t="s">
        <v>11819</v>
      </c>
      <c r="M1071" t="s">
        <v>11820</v>
      </c>
      <c r="N1071">
        <f>-650.96311629519 -57.913332049933 -557.27162329222</f>
        <v>-1266.148071637343</v>
      </c>
      <c r="O1071">
        <f>-651.70168273672 -191.378875275745 -524.34586740517</f>
        <v>-1367.4264254176351</v>
      </c>
      <c r="P1071">
        <f>-627.174131799109 -239.11712101849 -235.017871242668</f>
        <v>-1101.3091240602671</v>
      </c>
      <c r="Q1071">
        <f>-479.678713307497 -98.8647231732499 -363.956990214034</f>
        <v>-942.50042669478091</v>
      </c>
      <c r="R1071" t="s">
        <v>11821</v>
      </c>
      <c r="S1071" t="s">
        <v>11822</v>
      </c>
      <c r="T1071" t="s">
        <v>11823</v>
      </c>
      <c r="U1071" t="s">
        <v>11824</v>
      </c>
      <c r="V1071">
        <f>-617.761435183018 -113.689502408574 -96.4552476636844</f>
        <v>-827.90618525527634</v>
      </c>
      <c r="W1071" t="s">
        <v>11825</v>
      </c>
      <c r="X1071" t="s">
        <v>11826</v>
      </c>
      <c r="Y1071" t="s">
        <v>11827</v>
      </c>
    </row>
    <row r="1072" spans="1:25" x14ac:dyDescent="0.3">
      <c r="A1072">
        <v>53550</v>
      </c>
      <c r="B1072" t="s">
        <v>11828</v>
      </c>
      <c r="C1072">
        <f>-625.95555416014 -18.8950322502135 -98.4177001446628</f>
        <v>-743.26828655501629</v>
      </c>
      <c r="D1072">
        <f>-650.348823919888 -24.5096933447117 -211.509065017902</f>
        <v>-886.36758228250164</v>
      </c>
      <c r="E1072">
        <f>-657.885653334884 -27.1086089867956 -309.81019463621</f>
        <v>-994.80445695788956</v>
      </c>
      <c r="F1072">
        <f>-659.889558867535 -28.7248793433619 -398.869748091648</f>
        <v>-1087.4841863025449</v>
      </c>
      <c r="G1072">
        <f>-656.7178316926 -29.6696968646083 -487.905028191062</f>
        <v>-1174.2925567482703</v>
      </c>
      <c r="H1072">
        <f>-646.854536298066 -30.3587711701146 -612.094615149692</f>
        <v>-1289.3079226178725</v>
      </c>
      <c r="I1072">
        <f>-616.830430809245 -30.7281557196127 -689.576623353653</f>
        <v>-1337.1352098825105</v>
      </c>
      <c r="J1072">
        <f>-651.251037029377 -2.34706806883833 -557.603221064289</f>
        <v>-1211.2013261625043</v>
      </c>
      <c r="K1072" t="s">
        <v>11829</v>
      </c>
      <c r="L1072" t="s">
        <v>11830</v>
      </c>
      <c r="M1072" t="s">
        <v>11831</v>
      </c>
      <c r="N1072">
        <f>-651.138784803987 -57.7640046427762 -557.286846678595</f>
        <v>-1266.1896361253582</v>
      </c>
      <c r="O1072">
        <f>-651.808565184832 -191.254383463341 -524.460266439054</f>
        <v>-1367.5232150872271</v>
      </c>
      <c r="P1072">
        <f>-627.34021673618 -239.259297362023 -235.171342288545</f>
        <v>-1101.7708563867479</v>
      </c>
      <c r="Q1072">
        <f>-479.859080458316 -98.8042043460937 -363.905858477475</f>
        <v>-942.56914328188475</v>
      </c>
      <c r="R1072" t="s">
        <v>11832</v>
      </c>
      <c r="S1072" t="s">
        <v>11833</v>
      </c>
      <c r="T1072" t="s">
        <v>11834</v>
      </c>
      <c r="U1072" t="s">
        <v>11835</v>
      </c>
      <c r="V1072">
        <f>-617.761536613725 -113.827297481812 -96.4493144332445</f>
        <v>-828.03814852878145</v>
      </c>
      <c r="W1072" t="s">
        <v>11836</v>
      </c>
      <c r="X1072" t="s">
        <v>11837</v>
      </c>
      <c r="Y1072" t="s">
        <v>11838</v>
      </c>
    </row>
    <row r="1073" spans="1:25" x14ac:dyDescent="0.3">
      <c r="A1073">
        <v>53600</v>
      </c>
      <c r="B1073" t="s">
        <v>11839</v>
      </c>
      <c r="C1073">
        <f>-625.913385410436 -19.0716844576204 -98.3932961805115</f>
        <v>-743.37836604856795</v>
      </c>
      <c r="D1073">
        <f>-650.302244120518 -24.6734007750672 -211.486291918351</f>
        <v>-886.46193681393618</v>
      </c>
      <c r="E1073">
        <f>-657.887091001936 -27.2237291866791 -309.784974910314</f>
        <v>-994.89579509892906</v>
      </c>
      <c r="F1073">
        <f>-659.955223181701 -28.7793179539979 -398.844254223614</f>
        <v>-1087.5787953593128</v>
      </c>
      <c r="G1073">
        <f>-656.868159941633 -29.6454673621124 -487.88338366385</f>
        <v>-1174.3970109675954</v>
      </c>
      <c r="H1073">
        <f>-647.144322794 -30.2047290418905 -612.084584364579</f>
        <v>-1289.4336362004694</v>
      </c>
      <c r="I1073">
        <f>-617.178952844992 -30.4695398647132 -689.589574411863</f>
        <v>-1337.2380671215683</v>
      </c>
      <c r="J1073">
        <f>-651.506004569906 -2.25002213033599 -557.56088189222</f>
        <v>-1211.3169085924619</v>
      </c>
      <c r="K1073" t="s">
        <v>11840</v>
      </c>
      <c r="L1073" t="s">
        <v>11841</v>
      </c>
      <c r="M1073" t="s">
        <v>11842</v>
      </c>
      <c r="N1073">
        <f>-651.340583764052 -57.6672278085333 -557.298530133998</f>
        <v>-1266.3063417065832</v>
      </c>
      <c r="O1073">
        <f>-651.876374227171 -191.192548509335 -524.62129658629</f>
        <v>-1367.6902193227961</v>
      </c>
      <c r="P1073">
        <f>-627.331389019394 -239.479908349924 -235.385824692362</f>
        <v>-1102.1971220616801</v>
      </c>
      <c r="Q1073">
        <f>-480.160066696518 -98.5846269734059 -363.993803683441</f>
        <v>-942.73849735336489</v>
      </c>
      <c r="R1073" t="s">
        <v>11843</v>
      </c>
      <c r="S1073" t="s">
        <v>11844</v>
      </c>
      <c r="T1073" t="s">
        <v>11845</v>
      </c>
      <c r="U1073" t="s">
        <v>11846</v>
      </c>
      <c r="V1073">
        <f>-617.763129321075 -114.020816664267 -96.4409302055569</f>
        <v>-828.22487619089895</v>
      </c>
      <c r="W1073" t="s">
        <v>11847</v>
      </c>
      <c r="X1073" t="s">
        <v>11848</v>
      </c>
      <c r="Y1073" t="s">
        <v>11849</v>
      </c>
    </row>
    <row r="1074" spans="1:25" x14ac:dyDescent="0.3">
      <c r="A1074">
        <v>53650</v>
      </c>
      <c r="B1074" t="s">
        <v>11850</v>
      </c>
      <c r="C1074">
        <f>-625.912577312291 -19.1192777005426 -98.3765844635972</f>
        <v>-743.40843947643077</v>
      </c>
      <c r="D1074">
        <f>-650.291113754392 -24.720144329332 -211.471855437812</f>
        <v>-886.48311352153598</v>
      </c>
      <c r="E1074">
        <f>-657.89990536581 -27.264241479907 -309.768754229944</f>
        <v>-994.93290107566099</v>
      </c>
      <c r="F1074">
        <f>-660.00285532747 -28.8118338176778 -398.827256496427</f>
        <v>-1087.6419456415747</v>
      </c>
      <c r="G1074">
        <f>-656.963783191086 -29.6673652130146 -487.868267108928</f>
        <v>-1174.4994155130287</v>
      </c>
      <c r="H1074">
        <f>-647.320562232992 -30.2085499304517 -612.075767040945</f>
        <v>-1289.6048792043887</v>
      </c>
      <c r="I1074">
        <f>-617.369056702602 -30.4574828824366 -689.586158397089</f>
        <v>-1337.4126979821276</v>
      </c>
      <c r="J1074">
        <f>-651.651025808417 -2.26183583121224 -557.545629418188</f>
        <v>-1211.4584910578174</v>
      </c>
      <c r="K1074" t="s">
        <v>11851</v>
      </c>
      <c r="L1074" t="s">
        <v>11852</v>
      </c>
      <c r="M1074" t="s">
        <v>11853</v>
      </c>
      <c r="N1074">
        <f>-651.477130695065 -57.6791432852793 -557.290779977085</f>
        <v>-1266.4470539574293</v>
      </c>
      <c r="O1074">
        <f>-651.96478882794 -191.213735502314 -524.6455472439</f>
        <v>-1367.824071574154</v>
      </c>
      <c r="P1074">
        <f>-627.301039249945 -239.529883824883 -235.425129691254</f>
        <v>-1102.2560527660819</v>
      </c>
      <c r="Q1074">
        <f>-480.243157992213 -98.5097540015881 -364.026083538434</f>
        <v>-942.77899553223517</v>
      </c>
      <c r="R1074" t="s">
        <v>11854</v>
      </c>
      <c r="S1074" t="s">
        <v>11855</v>
      </c>
      <c r="T1074" t="s">
        <v>11856</v>
      </c>
      <c r="U1074" t="s">
        <v>11857</v>
      </c>
      <c r="V1074">
        <f>-617.766390584248 -114.066643533364 -96.4298619306226</f>
        <v>-828.26289604823455</v>
      </c>
      <c r="W1074" t="s">
        <v>11858</v>
      </c>
      <c r="X1074" t="s">
        <v>11859</v>
      </c>
      <c r="Y1074" t="s">
        <v>11860</v>
      </c>
    </row>
    <row r="1075" spans="1:25" x14ac:dyDescent="0.3">
      <c r="A1075">
        <v>53700</v>
      </c>
      <c r="B1075" t="s">
        <v>11861</v>
      </c>
      <c r="C1075">
        <f>-625.826140959164 -19.140667734109 -98.3519583688749</f>
        <v>-743.31876706214791</v>
      </c>
      <c r="D1075">
        <f>-650.212572417338 -24.7525665736621 -211.444973614814</f>
        <v>-886.41011260581411</v>
      </c>
      <c r="E1075">
        <f>-657.888191445944 -27.2932146989162 -309.736811322959</f>
        <v>-994.9182174678192</v>
      </c>
      <c r="F1075">
        <f>-660.075631021238 -28.8322230559645 -398.793426134882</f>
        <v>-1087.7012802120844</v>
      </c>
      <c r="G1075">
        <f>-657.144948535617 -29.6733678181024 -487.838087060927</f>
        <v>-1174.6564034146463</v>
      </c>
      <c r="H1075">
        <f>-647.677788379252 -30.1880447680471 -612.059386728221</f>
        <v>-1289.9252198755203</v>
      </c>
      <c r="I1075">
        <f>-617.753317141054 -30.4390570533169 -689.580267706993</f>
        <v>-1337.7726419013638</v>
      </c>
      <c r="J1075">
        <f>-651.944325363639 -2.25299116405904 -557.518124816626</f>
        <v>-1211.7154413443241</v>
      </c>
      <c r="K1075" t="s">
        <v>11862</v>
      </c>
      <c r="L1075" t="s">
        <v>11863</v>
      </c>
      <c r="M1075" t="s">
        <v>11864</v>
      </c>
      <c r="N1075">
        <f>-651.743346364365 -57.6701990681458 -557.273265589647</f>
        <v>-1266.6868110221581</v>
      </c>
      <c r="O1075">
        <f>-652.14300962599 -191.225470793591 -524.693281717539</f>
        <v>-1368.0617621371198</v>
      </c>
      <c r="P1075">
        <f>-627.318347925636 -239.674307060875 -235.508847446548</f>
        <v>-1102.5015024330589</v>
      </c>
      <c r="Q1075">
        <f>-480.393427164567 -98.469866970634 -364.059438288382</f>
        <v>-942.92273242358306</v>
      </c>
      <c r="R1075" t="s">
        <v>11865</v>
      </c>
      <c r="S1075" t="s">
        <v>11866</v>
      </c>
      <c r="T1075" t="s">
        <v>11867</v>
      </c>
      <c r="U1075" t="s">
        <v>11868</v>
      </c>
      <c r="V1075">
        <f>-617.683728740111 -114.071922643092 -96.4157604657578</f>
        <v>-828.1714118489607</v>
      </c>
      <c r="W1075" t="s">
        <v>11869</v>
      </c>
      <c r="X1075" t="s">
        <v>11870</v>
      </c>
      <c r="Y1075" t="s">
        <v>11871</v>
      </c>
    </row>
    <row r="1076" spans="1:25" x14ac:dyDescent="0.3">
      <c r="A1076">
        <v>53750</v>
      </c>
      <c r="B1076" t="s">
        <v>11872</v>
      </c>
      <c r="C1076">
        <f>-625.786893108967 -19.1595167317523 -98.3438893252574</f>
        <v>-743.29029916597665</v>
      </c>
      <c r="D1076">
        <f>-650.172389249985 -24.7597272325106 -211.437650225701</f>
        <v>-886.36976670819661</v>
      </c>
      <c r="E1076">
        <f>-657.876728075075 -27.291972944302 -309.727467702815</f>
        <v>-994.89616872219199</v>
      </c>
      <c r="F1076">
        <f>-660.102167860323 -28.8232920136295 -398.783308949144</f>
        <v>-1087.7087688230965</v>
      </c>
      <c r="G1076">
        <f>-657.221539107241 -29.6564637382323 -487.829714404403</f>
        <v>-1174.7077172498764</v>
      </c>
      <c r="H1076">
        <f>-647.836755252569 -30.1588910977139 -612.057231722452</f>
        <v>-1290.052878072735</v>
      </c>
      <c r="I1076">
        <f>-617.921602899405 -30.4177592276219 -689.581749457173</f>
        <v>-1337.9211115841999</v>
      </c>
      <c r="J1076">
        <f>-652.07366079985 -2.22915086218995 -557.511010800058</f>
        <v>-1211.813822462098</v>
      </c>
      <c r="K1076" t="s">
        <v>11873</v>
      </c>
      <c r="L1076" t="s">
        <v>11874</v>
      </c>
      <c r="M1076" t="s">
        <v>11875</v>
      </c>
      <c r="N1076">
        <f>-651.859398391812 -57.6463527335268 -557.270647853835</f>
        <v>-1266.7763989791738</v>
      </c>
      <c r="O1076">
        <f>-652.236002508364 -191.204593551587 -524.71644438091</f>
        <v>-1368.157040440861</v>
      </c>
      <c r="P1076">
        <f>-627.386148036265 -239.649478517846 -235.533475592442</f>
        <v>-1102.569102146553</v>
      </c>
      <c r="Q1076">
        <f>-480.439721479868 -98.3937034772028 -364.003110092603</f>
        <v>-942.83653504967378</v>
      </c>
      <c r="R1076" t="s">
        <v>11876</v>
      </c>
      <c r="S1076" t="s">
        <v>11877</v>
      </c>
      <c r="T1076" t="s">
        <v>11878</v>
      </c>
      <c r="U1076" t="s">
        <v>11879</v>
      </c>
      <c r="V1076">
        <f>-617.662325644741 -114.089902356998 -96.4155196032634</f>
        <v>-828.16774760500243</v>
      </c>
      <c r="W1076" t="s">
        <v>11880</v>
      </c>
      <c r="X1076" t="s">
        <v>11881</v>
      </c>
      <c r="Y1076" t="s">
        <v>11882</v>
      </c>
    </row>
    <row r="1077" spans="1:25" x14ac:dyDescent="0.3">
      <c r="A1077">
        <v>53800</v>
      </c>
      <c r="B1077" t="s">
        <v>11883</v>
      </c>
      <c r="C1077">
        <f>-625.692862237973 -19.1048706264028 -98.3351301921692</f>
        <v>-743.13286305654503</v>
      </c>
      <c r="D1077">
        <f>-650.081431035182 -24.6902479175533 -211.428962566033</f>
        <v>-886.20064151876829</v>
      </c>
      <c r="E1077">
        <f>-657.844828126665 -27.2141980265355 -309.714353110523</f>
        <v>-994.77337926372354</v>
      </c>
      <c r="F1077">
        <f>-660.146543008805 -28.7385519086074 -398.768310057236</f>
        <v>-1087.6534049746483</v>
      </c>
      <c r="G1077">
        <f>-657.365078925709 -29.5643367524574 -487.817906384539</f>
        <v>-1174.7473220627053</v>
      </c>
      <c r="H1077">
        <f>-648.142794862543 -30.0553718440726 -612.057739935413</f>
        <v>-1290.2559066420285</v>
      </c>
      <c r="I1077">
        <f>-618.233940219536 -30.3261489129436 -689.584557055698</f>
        <v>-1338.1446461881776</v>
      </c>
      <c r="J1077">
        <f>-652.320117449275 -2.13071432097559 -557.504313322244</f>
        <v>-1211.9551450924946</v>
      </c>
      <c r="K1077" t="s">
        <v>11884</v>
      </c>
      <c r="L1077" t="s">
        <v>11885</v>
      </c>
      <c r="M1077" t="s">
        <v>11886</v>
      </c>
      <c r="N1077">
        <f>-652.082032368805 -57.5477189940168 -557.267597779964</f>
        <v>-1266.897349142786</v>
      </c>
      <c r="O1077">
        <f>-652.419085012832 -191.109883410269 -524.71382528175</f>
        <v>-1368.242793704851</v>
      </c>
      <c r="P1077">
        <f>-627.688433640819 -239.564974628764 -235.52241010602</f>
        <v>-1102.775818375603</v>
      </c>
      <c r="Q1077">
        <f>-480.611505216637 -98.2506985181017 -363.777984537988</f>
        <v>-942.64018827272673</v>
      </c>
      <c r="R1077" t="s">
        <v>11887</v>
      </c>
      <c r="S1077" t="s">
        <v>11888</v>
      </c>
      <c r="T1077" t="s">
        <v>11889</v>
      </c>
      <c r="U1077" t="s">
        <v>11890</v>
      </c>
      <c r="V1077">
        <f>-617.600412674162 -114.009735560524 -96.4137753487717</f>
        <v>-828.02392358345764</v>
      </c>
      <c r="W1077" t="s">
        <v>11891</v>
      </c>
      <c r="X1077" t="s">
        <v>11892</v>
      </c>
      <c r="Y1077" t="s">
        <v>11893</v>
      </c>
    </row>
    <row r="1078" spans="1:25" x14ac:dyDescent="0.3">
      <c r="A1078">
        <v>53850</v>
      </c>
      <c r="B1078" t="s">
        <v>11894</v>
      </c>
      <c r="C1078">
        <f>-625.620594995487 -19.0841904325166 -98.323620680065</f>
        <v>-743.02840610806857</v>
      </c>
      <c r="D1078">
        <f>-650.001015727888 -24.6580522287804 -211.419729422386</f>
        <v>-886.07879737905444</v>
      </c>
      <c r="E1078">
        <f>-657.787330009036 -27.1793337829533 -309.70340687949</f>
        <v>-994.67007067147938</v>
      </c>
      <c r="F1078">
        <f>-660.122058654409 -28.7034189655506 -398.756583346483</f>
        <v>-1087.5820609664424</v>
      </c>
      <c r="G1078">
        <f>-657.38593368079 -29.5305928191992 -487.807616033064</f>
        <v>-1174.7241425330533</v>
      </c>
      <c r="H1078">
        <f>-648.239758770624 -30.0244980669577 -612.052906212227</f>
        <v>-1290.3171630498086</v>
      </c>
      <c r="I1078">
        <f>-618.321666850931 -30.2974384653205 -689.576327859447</f>
        <v>-1338.1954331756986</v>
      </c>
      <c r="J1078">
        <f>-652.3898249094 -2.09860229282549 -557.498018612193</f>
        <v>-1211.9864458144184</v>
      </c>
      <c r="K1078" t="s">
        <v>11895</v>
      </c>
      <c r="L1078" t="s">
        <v>11896</v>
      </c>
      <c r="M1078" t="s">
        <v>11897</v>
      </c>
      <c r="N1078">
        <f>-652.139147641997 -57.5155473003972 -557.259300905532</f>
        <v>-1266.9139958479263</v>
      </c>
      <c r="O1078">
        <f>-652.470488234536 -191.079053245189 -524.710949040722</f>
        <v>-1368.2604905204471</v>
      </c>
      <c r="P1078">
        <f>-627.82401181959 -239.510370027268 -235.508253745147</f>
        <v>-1102.8426355920051</v>
      </c>
      <c r="Q1078">
        <f>-480.717343465163 -98.1338017681607 -363.661067893832</f>
        <v>-942.51221312715575</v>
      </c>
      <c r="R1078" t="s">
        <v>11898</v>
      </c>
      <c r="S1078" t="s">
        <v>11899</v>
      </c>
      <c r="T1078" t="s">
        <v>11900</v>
      </c>
      <c r="U1078" t="s">
        <v>11901</v>
      </c>
      <c r="V1078">
        <f>-617.558930720048 -113.990454127292 -96.4103195624477</f>
        <v>-827.95970440978772</v>
      </c>
      <c r="W1078" t="s">
        <v>11902</v>
      </c>
      <c r="X1078" t="s">
        <v>11903</v>
      </c>
      <c r="Y1078" t="s">
        <v>11904</v>
      </c>
    </row>
    <row r="1079" spans="1:25" x14ac:dyDescent="0.3">
      <c r="A1079">
        <v>53900</v>
      </c>
      <c r="B1079" t="s">
        <v>11905</v>
      </c>
      <c r="C1079">
        <f>-625.427912434793 -18.9817422741767 -98.3223468924674</f>
        <v>-742.7320016014371</v>
      </c>
      <c r="D1079">
        <f>-649.788866599018 -24.558635743821 -211.422605088718</f>
        <v>-885.77010743155699</v>
      </c>
      <c r="E1079">
        <f>-657.633461439728 -27.0988521108072 -309.701095852499</f>
        <v>-994.43340940303415</v>
      </c>
      <c r="F1079">
        <f>-660.05154986205 -28.6453773686931 -398.751666978548</f>
        <v>-1087.4485942092911</v>
      </c>
      <c r="G1079">
        <f>-657.429490266536 -29.4994489319461 -487.805876899715</f>
        <v>-1174.7348160981971</v>
      </c>
      <c r="H1079">
        <f>-648.474631890758 -30.0349547834026 -612.064970326231</f>
        <v>-1290.5745570003915</v>
      </c>
      <c r="I1079">
        <f>-618.491834680859 -30.2980911305692 -689.56327933333</f>
        <v>-1338.3532051447582</v>
      </c>
      <c r="J1079">
        <f>-652.551481733438 -2.09085788318339 -557.513940682889</f>
        <v>-1212.1562802995104</v>
      </c>
      <c r="K1079" t="s">
        <v>11906</v>
      </c>
      <c r="L1079" t="s">
        <v>11907</v>
      </c>
      <c r="M1079" t="s">
        <v>11908</v>
      </c>
      <c r="N1079">
        <f>-652.279045613239 -57.5075911626936 -557.255462018541</f>
        <v>-1267.0420987944735</v>
      </c>
      <c r="O1079">
        <f>-652.577271993057 -191.055454486218 -524.662586820416</f>
        <v>-1368.2953132996909</v>
      </c>
      <c r="P1079">
        <f>-628.039126325402 -239.437842538756 -235.442394536817</f>
        <v>-1102.9193634009748</v>
      </c>
      <c r="Q1079">
        <f>-480.812527320291 -98.0286257816757 -363.421567527313</f>
        <v>-942.26272062927978</v>
      </c>
      <c r="R1079" t="s">
        <v>11909</v>
      </c>
      <c r="S1079" t="s">
        <v>11910</v>
      </c>
      <c r="T1079" t="s">
        <v>11911</v>
      </c>
      <c r="U1079" t="s">
        <v>11912</v>
      </c>
      <c r="V1079">
        <f>-617.377911256866 -113.892167836036 -96.4083533652056</f>
        <v>-827.67843245810764</v>
      </c>
      <c r="W1079" t="s">
        <v>11913</v>
      </c>
      <c r="X1079" t="s">
        <v>11914</v>
      </c>
      <c r="Y1079" t="s">
        <v>11915</v>
      </c>
    </row>
    <row r="1080" spans="1:25" x14ac:dyDescent="0.3">
      <c r="A1080">
        <v>53950</v>
      </c>
      <c r="B1080" t="s">
        <v>11916</v>
      </c>
      <c r="C1080">
        <f>-625.292844568308 -18.9340545824134 -98.3170510843781</f>
        <v>-742.5439502350996</v>
      </c>
      <c r="D1080">
        <f>-649.648902093498 -24.511676806912 -211.418378949516</f>
        <v>-885.57895784992593</v>
      </c>
      <c r="E1080">
        <f>-657.54660306748 -27.0611706383902 -309.692343946763</f>
        <v>-994.30011765263316</v>
      </c>
      <c r="F1080">
        <f>-660.03593865122 -28.6190150173034 -398.740760101407</f>
        <v>-1087.3957137699304</v>
      </c>
      <c r="G1080">
        <f>-657.508303825855 -29.4870205870488 -487.79743948508</f>
        <v>-1174.7927638979838</v>
      </c>
      <c r="H1080">
        <f>-648.709524595394 -30.0441990225988 -612.067655405911</f>
        <v>-1290.8213790239038</v>
      </c>
      <c r="I1080">
        <f>-618.680906340859 -30.2941914711773 -689.548337400063</f>
        <v>-1338.5234352120992</v>
      </c>
      <c r="J1080">
        <f>-652.724933772729 -2.09062990484699 -557.516926809789</f>
        <v>-1212.3324904873648</v>
      </c>
      <c r="K1080" t="s">
        <v>11917</v>
      </c>
      <c r="L1080" t="s">
        <v>11918</v>
      </c>
      <c r="M1080" t="s">
        <v>11919</v>
      </c>
      <c r="N1080">
        <f>-652.437969308636 -57.5073742303314 -557.248081408996</f>
        <v>-1267.1934249479632</v>
      </c>
      <c r="O1080">
        <f>-652.712586010626 -191.049742626253 -524.625497863968</f>
        <v>-1368.387826500847</v>
      </c>
      <c r="P1080">
        <f>-628.168702837127 -239.383014043301 -235.397785883921</f>
        <v>-1102.9495027643488</v>
      </c>
      <c r="Q1080">
        <f>-480.829679251703 -97.9807779674869 -363.255114622771</f>
        <v>-942.06557184196083</v>
      </c>
      <c r="R1080" t="s">
        <v>11920</v>
      </c>
      <c r="S1080" t="s">
        <v>11921</v>
      </c>
      <c r="T1080" t="s">
        <v>11922</v>
      </c>
      <c r="U1080" t="s">
        <v>11923</v>
      </c>
      <c r="V1080">
        <f>-617.225892271726 -113.839241034434 -96.4104366426282</f>
        <v>-827.47556994878823</v>
      </c>
      <c r="W1080" t="s">
        <v>11924</v>
      </c>
      <c r="X1080" t="s">
        <v>11925</v>
      </c>
      <c r="Y1080" t="s">
        <v>11926</v>
      </c>
    </row>
    <row r="1081" spans="1:25" x14ac:dyDescent="0.3">
      <c r="A1081">
        <v>54000</v>
      </c>
      <c r="B1081" t="s">
        <v>11927</v>
      </c>
      <c r="C1081">
        <f>-624.874602689339 -18.9455265854081 -98.3174567836038</f>
        <v>-742.13758605835085</v>
      </c>
      <c r="D1081">
        <f>-649.229989319169 -24.5096198943647 -211.419382724494</f>
        <v>-885.15899193802773</v>
      </c>
      <c r="E1081">
        <f>-657.286758714274 -27.0602239729201 -309.680553684747</f>
        <v>-994.0275363719411</v>
      </c>
      <c r="F1081">
        <f>-659.985098625275 -28.6215890331835 -398.722802573969</f>
        <v>-1087.3294902324274</v>
      </c>
      <c r="G1081">
        <f>-657.731312181024 -29.4929774069667 -487.786813615596</f>
        <v>-1175.0111032035866</v>
      </c>
      <c r="H1081">
        <f>-649.382804982137 -30.0530437007419 -612.088142981262</f>
        <v>-1291.5239916641408</v>
      </c>
      <c r="I1081">
        <f>-619.212822697085 -30.2362698043839 -689.513937376032</f>
        <v>-1338.963029877501</v>
      </c>
      <c r="J1081">
        <f>-653.243531626797 -2.09854861660801 -557.52671406826</f>
        <v>-1212.8687943116652</v>
      </c>
      <c r="K1081" t="s">
        <v>11928</v>
      </c>
      <c r="L1081" t="s">
        <v>11929</v>
      </c>
      <c r="M1081" t="s">
        <v>11930</v>
      </c>
      <c r="N1081">
        <f>-652.869606841873 -57.5146849295568 -557.251758532697</f>
        <v>-1267.6360503041267</v>
      </c>
      <c r="O1081">
        <f>-652.936034169409 -191.03874227146 -524.557478900534</f>
        <v>-1368.532255341403</v>
      </c>
      <c r="P1081">
        <f>-628.332448844435 -239.190151230936 -235.304403443177</f>
        <v>-1102.8270035185481</v>
      </c>
      <c r="Q1081">
        <f>-480.902677396518 -97.7586333744584 -363.024743093976</f>
        <v>-941.68605386495244</v>
      </c>
      <c r="R1081" t="s">
        <v>11931</v>
      </c>
      <c r="S1081" t="s">
        <v>11932</v>
      </c>
      <c r="T1081" t="s">
        <v>11933</v>
      </c>
      <c r="U1081" t="s">
        <v>11934</v>
      </c>
      <c r="V1081">
        <f>-616.802943079714 -113.898500275209 -96.4208976299834</f>
        <v>-827.12234098490649</v>
      </c>
      <c r="W1081" t="s">
        <v>11935</v>
      </c>
      <c r="X1081" t="s">
        <v>11936</v>
      </c>
      <c r="Y1081" t="s">
        <v>11937</v>
      </c>
    </row>
    <row r="1082" spans="1:25" x14ac:dyDescent="0.3">
      <c r="A1082">
        <v>54050</v>
      </c>
      <c r="B1082" t="s">
        <v>11938</v>
      </c>
      <c r="C1082">
        <f>-624.646503398993 -19.0164116259584 -98.3105622034926</f>
        <v>-741.97347722844404</v>
      </c>
      <c r="D1082">
        <f>-648.998203281387 -24.5636433226809 -211.414311499818</f>
        <v>-884.97615810388595</v>
      </c>
      <c r="E1082">
        <f>-657.138524448366 -27.1101973954617 -309.668629845334</f>
        <v>-993.91735168916171</v>
      </c>
      <c r="F1082">
        <f>-659.947711624706 -28.6705076787516 -398.707397749177</f>
        <v>-1087.3256170526347</v>
      </c>
      <c r="G1082">
        <f>-657.840100816684 -29.5420689572004 -487.77497169294</f>
        <v>-1175.1571414668244</v>
      </c>
      <c r="H1082">
        <f>-649.732759543454 -30.1027996642599 -612.092171954042</f>
        <v>-1291.9277311617559</v>
      </c>
      <c r="I1082">
        <f>-619.448536674347 -30.2352604883631 -689.473591940057</f>
        <v>-1339.157389102767</v>
      </c>
      <c r="J1082">
        <f>-653.5208072431 -2.14831213246475 -557.525707207358</f>
        <v>-1213.1948265829228</v>
      </c>
      <c r="K1082" t="s">
        <v>11939</v>
      </c>
      <c r="L1082" t="s">
        <v>11940</v>
      </c>
      <c r="M1082" t="s">
        <v>11941</v>
      </c>
      <c r="N1082">
        <f>-653.079978363137 -57.5638918441208 -557.246993996679</f>
        <v>-1267.8908642039369</v>
      </c>
      <c r="O1082">
        <f>-652.973414173001 -191.075963911302 -524.525696247683</f>
        <v>-1368.5750743319859</v>
      </c>
      <c r="P1082">
        <f>-628.281324011058 -239.224498269967 -235.279693341208</f>
        <v>-1102.7855156222331</v>
      </c>
      <c r="Q1082">
        <f>-481.016795013354 -97.6169111820869 -362.99550272065</f>
        <v>-941.62920891609087</v>
      </c>
      <c r="R1082" t="s">
        <v>11942</v>
      </c>
      <c r="S1082" t="s">
        <v>11943</v>
      </c>
      <c r="T1082" t="s">
        <v>11944</v>
      </c>
      <c r="U1082" t="s">
        <v>11945</v>
      </c>
      <c r="V1082">
        <f>-616.552858376566 -113.976005465997 -96.435197187511</f>
        <v>-826.96406103007394</v>
      </c>
      <c r="W1082" t="s">
        <v>11946</v>
      </c>
      <c r="X1082" t="s">
        <v>11947</v>
      </c>
      <c r="Y1082" t="s">
        <v>11948</v>
      </c>
    </row>
    <row r="1083" spans="1:25" x14ac:dyDescent="0.3">
      <c r="A1083">
        <v>54100</v>
      </c>
      <c r="B1083" t="s">
        <v>11949</v>
      </c>
      <c r="C1083">
        <f>-624.235683880486 -19.1903718557655 -98.2943404631674</f>
        <v>-741.72039619941893</v>
      </c>
      <c r="D1083">
        <f>-648.573502637431 -24.7483025989266 -211.400451783377</f>
        <v>-884.72225701973457</v>
      </c>
      <c r="E1083">
        <f>-656.769345417796 -27.3065219966425 -309.649857304235</f>
        <v>-993.72572471867352</v>
      </c>
      <c r="F1083">
        <f>-659.655897265044 -28.8794905992565 -398.685979420619</f>
        <v>-1087.2213672849196</v>
      </c>
      <c r="G1083">
        <f>-657.65284592453 -29.7649163483304 -487.755914755276</f>
        <v>-1175.1736770281364</v>
      </c>
      <c r="H1083">
        <f>-649.719763121499 -30.3458848556497 -612.0843703932</f>
        <v>-1292.1500183703488</v>
      </c>
      <c r="I1083">
        <f>-619.078779739574 -30.3649597556571 -689.325121317944</f>
        <v>-1338.768860813175</v>
      </c>
      <c r="J1083">
        <f>-653.487399895366 -2.38293138748031 -557.520658244447</f>
        <v>-1213.3909895272932</v>
      </c>
      <c r="K1083" t="s">
        <v>11950</v>
      </c>
      <c r="L1083" t="s">
        <v>11951</v>
      </c>
      <c r="M1083" t="s">
        <v>11952</v>
      </c>
      <c r="N1083">
        <f>-652.933992587421 -57.7975355026349 -557.226475815365</f>
        <v>-1267.9580039054208</v>
      </c>
      <c r="O1083">
        <f>-652.551424336146 -191.311796571424 -524.506582756591</f>
        <v>-1368.3698036641611</v>
      </c>
      <c r="P1083">
        <f>-627.533257114999 -239.55434257258 -235.304378208511</f>
        <v>-1102.3919778960899</v>
      </c>
      <c r="Q1083">
        <f>-480.855167024979 -97.4225045354407 -363.112560450385</f>
        <v>-941.39023201080465</v>
      </c>
      <c r="R1083" t="s">
        <v>11953</v>
      </c>
      <c r="S1083" t="s">
        <v>11954</v>
      </c>
      <c r="T1083" t="s">
        <v>11955</v>
      </c>
      <c r="U1083" t="s">
        <v>11956</v>
      </c>
      <c r="V1083">
        <f>-615.888052564418 -114.149788591342 -96.4544290836116</f>
        <v>-826.49227023937158</v>
      </c>
      <c r="W1083" t="s">
        <v>11957</v>
      </c>
      <c r="X1083" t="s">
        <v>11958</v>
      </c>
      <c r="Y1083" t="s">
        <v>11959</v>
      </c>
    </row>
    <row r="1084" spans="1:25" x14ac:dyDescent="0.3">
      <c r="A1084">
        <v>54150</v>
      </c>
      <c r="B1084" t="s">
        <v>11960</v>
      </c>
      <c r="C1084">
        <f>-623.970706194104 -19.3253865162822 -98.2799602717117</f>
        <v>-741.57605298209785</v>
      </c>
      <c r="D1084">
        <f>-648.294860910215 -24.8958428985432 -211.388381439174</f>
        <v>-884.5790852479322</v>
      </c>
      <c r="E1084">
        <f>-656.46441840495 -27.4588776161629 -309.639809692086</f>
        <v>-993.56310571319887</v>
      </c>
      <c r="F1084">
        <f>-659.321093422523 -29.0358496738465 -398.677000226963</f>
        <v>-1087.0339433233326</v>
      </c>
      <c r="G1084">
        <f>-657.282093873605 -29.9246068415985 -487.745911093009</f>
        <v>-1174.9526118082126</v>
      </c>
      <c r="H1084">
        <f>-649.292237413591 -30.5108140641721 -612.070602321362</f>
        <v>-1291.8736537991251</v>
      </c>
      <c r="I1084">
        <f>-618.458751409131 -30.4786797316544 -689.234902714594</f>
        <v>-1338.1723338553793</v>
      </c>
      <c r="J1084">
        <f>-653.107876321723 -2.54573456526373 -557.511373818069</f>
        <v>-1213.1649847050558</v>
      </c>
      <c r="K1084" t="s">
        <v>11961</v>
      </c>
      <c r="L1084" t="s">
        <v>11962</v>
      </c>
      <c r="M1084" t="s">
        <v>11963</v>
      </c>
      <c r="N1084">
        <f>-652.508517585715 -57.9599560576551 -557.211597698106</f>
        <v>-1267.6800713414759</v>
      </c>
      <c r="O1084">
        <f>-652.006104307289 -191.47843454571 -524.492857017402</f>
        <v>-1367.9773958704009</v>
      </c>
      <c r="P1084">
        <f>-626.929953446735 -239.749907356012 -235.300402894163</f>
        <v>-1101.98026369691</v>
      </c>
      <c r="Q1084">
        <f>-480.550015724255 -97.390250538997 -363.196952736568</f>
        <v>-941.13721899981988</v>
      </c>
      <c r="R1084" t="s">
        <v>11964</v>
      </c>
      <c r="S1084" t="s">
        <v>11965</v>
      </c>
      <c r="T1084" t="s">
        <v>11966</v>
      </c>
      <c r="U1084" t="s">
        <v>11967</v>
      </c>
      <c r="V1084">
        <f>-615.493777294779 -114.332913170733 -96.4628802958506</f>
        <v>-826.2895707613626</v>
      </c>
      <c r="W1084" t="s">
        <v>11968</v>
      </c>
      <c r="X1084" t="s">
        <v>11969</v>
      </c>
      <c r="Y1084" t="s">
        <v>11970</v>
      </c>
    </row>
    <row r="1085" spans="1:25" x14ac:dyDescent="0.3">
      <c r="A1085">
        <v>54200</v>
      </c>
      <c r="B1085" t="s">
        <v>11971</v>
      </c>
      <c r="C1085">
        <f>-623.450538254831 -19.7416899432217 -98.2521131736222</f>
        <v>-741.44434137167491</v>
      </c>
      <c r="D1085">
        <f>-647.715245251398 -25.3207720398161 -211.372969689327</f>
        <v>-884.40898698054104</v>
      </c>
      <c r="E1085">
        <f>-655.776678172093 -27.8931238355349 -309.633080241181</f>
        <v>-993.30288224880894</v>
      </c>
      <c r="F1085">
        <f>-658.512331724949 -29.4819648926007 -398.673721092994</f>
        <v>-1086.6680177105436</v>
      </c>
      <c r="G1085">
        <f>-656.329251309041 -30.3868789858188 -487.739208119072</f>
        <v>-1174.4553384139317</v>
      </c>
      <c r="H1085">
        <f>-648.114324179968 -31.0004796908111 -612.048980349518</f>
        <v>-1291.1637842202972</v>
      </c>
      <c r="I1085">
        <f>-616.920218284707 -30.8872844725797 -689.068169796256</f>
        <v>-1336.8756725535427</v>
      </c>
      <c r="J1085">
        <f>-652.072615182621 -3.02386135630832 -557.505819713809</f>
        <v>-1212.6022962527384</v>
      </c>
      <c r="K1085" t="s">
        <v>11972</v>
      </c>
      <c r="L1085" t="s">
        <v>11973</v>
      </c>
      <c r="M1085" t="s">
        <v>11974</v>
      </c>
      <c r="N1085">
        <f>-651.386083799105 -58.4369104614703 -557.18700345308</f>
        <v>-1267.0099977136554</v>
      </c>
      <c r="O1085">
        <f>-650.682102398618 -191.95215794333 -524.452537061607</f>
        <v>-1367.086797403555</v>
      </c>
      <c r="P1085">
        <f>-625.810678662369 -240.041155257793 -235.212054684657</f>
        <v>-1101.0638886048191</v>
      </c>
      <c r="Q1085">
        <f>-479.747357197772 -97.486501392831 -363.25331739075</f>
        <v>-940.48717598135295</v>
      </c>
      <c r="R1085" t="s">
        <v>11975</v>
      </c>
      <c r="S1085" t="s">
        <v>11976</v>
      </c>
      <c r="T1085" t="s">
        <v>11977</v>
      </c>
      <c r="U1085" t="s">
        <v>11978</v>
      </c>
      <c r="V1085">
        <f>-614.863951804256 -114.77257040969 -96.4568663225562</f>
        <v>-826.09338853650218</v>
      </c>
      <c r="W1085" t="s">
        <v>11979</v>
      </c>
      <c r="X1085" t="s">
        <v>11980</v>
      </c>
      <c r="Y1085" t="s">
        <v>11981</v>
      </c>
    </row>
    <row r="1086" spans="1:25" x14ac:dyDescent="0.3">
      <c r="A1086">
        <v>54250</v>
      </c>
      <c r="B1086" t="s">
        <v>11982</v>
      </c>
      <c r="C1086">
        <f>-623.275930600281 -19.8117216368432 -98.2363448785695</f>
        <v>-741.32399711569371</v>
      </c>
      <c r="D1086">
        <f>-647.500385886014 -25.3878668413608 -211.366010454407</f>
        <v>-884.25426318178188</v>
      </c>
      <c r="E1086">
        <f>-655.49268156376 -27.9765376982364 -309.631315158784</f>
        <v>-993.10053442078038</v>
      </c>
      <c r="F1086">
        <f>-658.152246558754 -29.5882166576621 -398.673812847546</f>
        <v>-1086.414276063962</v>
      </c>
      <c r="G1086">
        <f>-655.879644018958 -30.523925955461 -487.736788973329</f>
        <v>-1174.1403589477479</v>
      </c>
      <c r="H1086">
        <f>-647.525823851853 -31.1892190681383 -612.037079161133</f>
        <v>-1290.7521220811243</v>
      </c>
      <c r="I1086">
        <f>-616.135086227506 -31.0387237674938 -688.976201732077</f>
        <v>-1336.1500117270768</v>
      </c>
      <c r="J1086">
        <f>-651.556884718648 -3.19017070524615 -557.510739230918</f>
        <v>-1212.2577946548122</v>
      </c>
      <c r="K1086" t="s">
        <v>11983</v>
      </c>
      <c r="L1086" t="s">
        <v>11984</v>
      </c>
      <c r="M1086" t="s">
        <v>11985</v>
      </c>
      <c r="N1086">
        <f>-650.846930204159 -58.6026556592507 -557.166608436622</f>
        <v>-1266.6161943000316</v>
      </c>
      <c r="O1086">
        <f>-650.08352500085 -192.109160795567 -524.394845184609</f>
        <v>-1366.587530981026</v>
      </c>
      <c r="P1086">
        <f>-625.276499413288 -240.114278181709 -235.134977828898</f>
        <v>-1100.5257554238949</v>
      </c>
      <c r="Q1086">
        <f>-479.262177777186 -97.5013231732179 -363.167032394475</f>
        <v>-939.93053334487888</v>
      </c>
      <c r="R1086" t="s">
        <v>11986</v>
      </c>
      <c r="S1086" t="s">
        <v>11987</v>
      </c>
      <c r="T1086" t="s">
        <v>11988</v>
      </c>
      <c r="U1086" t="s">
        <v>11989</v>
      </c>
      <c r="V1086">
        <f>-614.673590138695 -114.828455988054 -96.4545785089757</f>
        <v>-825.95662463572467</v>
      </c>
      <c r="W1086" t="s">
        <v>11990</v>
      </c>
      <c r="X1086" t="s">
        <v>11991</v>
      </c>
      <c r="Y1086" t="s">
        <v>11992</v>
      </c>
    </row>
    <row r="1087" spans="1:25" x14ac:dyDescent="0.3">
      <c r="A1087">
        <v>54300</v>
      </c>
      <c r="B1087" t="s">
        <v>11993</v>
      </c>
      <c r="C1087">
        <f>-622.94984986392 -19.9290813269179 -98.2225147868533</f>
        <v>-741.10144597769113</v>
      </c>
      <c r="D1087">
        <f>-647.087373436739 -25.4996246917647 -211.370993913897</f>
        <v>-883.95799204240063</v>
      </c>
      <c r="E1087">
        <f>-654.945510676314 -28.1362231442206 -309.645803305142</f>
        <v>-992.72753712567669</v>
      </c>
      <c r="F1087">
        <f>-657.460524285457 -29.8129610310209 -398.691397202249</f>
        <v>-1085.9648825187269</v>
      </c>
      <c r="G1087">
        <f>-655.020535219356 -30.8357991981429 -487.748809452207</f>
        <v>-1173.6051438697059</v>
      </c>
      <c r="H1087">
        <f>-646.409628725474 -31.6464907220693 -612.030952413899</f>
        <v>-1290.0870718614424</v>
      </c>
      <c r="I1087">
        <f>-614.619483132963 -31.4365459131718 -688.805631917298</f>
        <v>-1334.8616609634328</v>
      </c>
      <c r="J1087">
        <f>-650.548663062874 -3.58367688148746 -557.545404046901</f>
        <v>-1211.6777439912626</v>
      </c>
      <c r="K1087" t="s">
        <v>11994</v>
      </c>
      <c r="L1087" t="s">
        <v>11995</v>
      </c>
      <c r="M1087" t="s">
        <v>11996</v>
      </c>
      <c r="N1087">
        <f>-649.849141274585 -58.9957856369172 -557.135550971087</f>
        <v>-1265.9804778825892</v>
      </c>
      <c r="O1087">
        <f>-649.129251112537 -192.465895298364 -524.225579704536</f>
        <v>-1365.8207261154371</v>
      </c>
      <c r="P1087">
        <f>-624.556048598892 -240.343307017525 -234.924493945009</f>
        <v>-1099.823849561426</v>
      </c>
      <c r="Q1087">
        <f>-478.320682482869 -97.951470230275 -362.95056605017</f>
        <v>-939.22271876331399</v>
      </c>
      <c r="R1087" t="s">
        <v>11997</v>
      </c>
      <c r="S1087" t="s">
        <v>11998</v>
      </c>
      <c r="T1087" t="s">
        <v>11999</v>
      </c>
      <c r="U1087" t="s">
        <v>12000</v>
      </c>
      <c r="V1087">
        <f>-614.348470189771 -114.928631531241 -96.4429059747213</f>
        <v>-825.72000769573322</v>
      </c>
      <c r="W1087" t="s">
        <v>12001</v>
      </c>
      <c r="X1087" t="s">
        <v>12002</v>
      </c>
      <c r="Y1087" t="s">
        <v>12003</v>
      </c>
    </row>
    <row r="1088" spans="1:25" x14ac:dyDescent="0.3">
      <c r="A1088">
        <v>54350</v>
      </c>
      <c r="B1088" t="s">
        <v>12004</v>
      </c>
      <c r="C1088">
        <f>-622.783767234646 -19.9852749201195 -98.2262132291254</f>
        <v>-740.99525538389094</v>
      </c>
      <c r="D1088">
        <f>-646.879423311085 -25.5643861008468 -211.383277020542</f>
        <v>-883.82708643247383</v>
      </c>
      <c r="E1088">
        <f>-654.673590510748 -28.2368414520679 -309.662134323051</f>
        <v>-992.57256628586697</v>
      </c>
      <c r="F1088">
        <f>-657.119579478163 -29.9586155325874 -398.708796317077</f>
        <v>-1085.7869913278273</v>
      </c>
      <c r="G1088">
        <f>-654.599758347794 -31.0397847541151 -487.763419948116</f>
        <v>-1173.4029630500252</v>
      </c>
      <c r="H1088">
        <f>-645.866156617693 -31.9464456775781 -612.036144512942</f>
        <v>-1289.848746808213</v>
      </c>
      <c r="I1088">
        <f>-613.881704976459 -31.7288178841084 -688.730075037942</f>
        <v>-1334.3405978985093</v>
      </c>
      <c r="J1088">
        <f>-650.042357788898 -3.84130306989823 -557.57537792083</f>
        <v>-1211.4590387796261</v>
      </c>
      <c r="K1088" t="s">
        <v>12005</v>
      </c>
      <c r="L1088" t="s">
        <v>12006</v>
      </c>
      <c r="M1088" t="s">
        <v>12007</v>
      </c>
      <c r="N1088">
        <f>-649.37641807741 -59.2535836958622 -557.124271788114</f>
        <v>-1265.7542735613861</v>
      </c>
      <c r="O1088">
        <f>-648.749508848227 -192.700628658604 -524.116068931133</f>
        <v>-1365.566206437964</v>
      </c>
      <c r="P1088">
        <f>-624.391803446213 -240.455077207534 -234.776366427241</f>
        <v>-1099.623247080988</v>
      </c>
      <c r="Q1088">
        <f>-477.93718021756 -98.3643743697639 -362.88632048794</f>
        <v>-939.18787507526395</v>
      </c>
      <c r="R1088" t="s">
        <v>12008</v>
      </c>
      <c r="S1088" t="s">
        <v>12009</v>
      </c>
      <c r="T1088" t="s">
        <v>12010</v>
      </c>
      <c r="U1088" t="s">
        <v>12011</v>
      </c>
      <c r="V1088">
        <f>-614.163310709495 -114.963393239955 -96.4422349663373</f>
        <v>-825.56893891578738</v>
      </c>
      <c r="W1088" t="s">
        <v>12012</v>
      </c>
      <c r="X1088" t="s">
        <v>12013</v>
      </c>
      <c r="Y1088" t="s">
        <v>12014</v>
      </c>
    </row>
    <row r="1089" spans="1:25" x14ac:dyDescent="0.3">
      <c r="A1089">
        <v>54400</v>
      </c>
      <c r="B1089" t="s">
        <v>12015</v>
      </c>
      <c r="C1089">
        <f>-622.371735619713 -20.1639717927094 -98.2323995437961</f>
        <v>-740.7681069562185</v>
      </c>
      <c r="D1089">
        <f>-646.379284323715 -25.7434801819863 -211.407988245132</f>
        <v>-883.53075275083324</v>
      </c>
      <c r="E1089">
        <f>-654.013905312202 -28.4878174813821 -309.697630016901</f>
        <v>-992.19935281048515</v>
      </c>
      <c r="F1089">
        <f>-656.282439945337 -30.3044451981857 -398.747077488314</f>
        <v>-1085.3339626318368</v>
      </c>
      <c r="G1089">
        <f>-653.552730806587 -31.5120684108108 -487.793729989861</f>
        <v>-1172.8585292072587</v>
      </c>
      <c r="H1089">
        <f>-644.492706589173 -32.6291224337488 -612.041446029138</f>
        <v>-1289.1632750520598</v>
      </c>
      <c r="I1089">
        <f>-612.101681751546 -32.4339737615496 -688.564785277042</f>
        <v>-1333.1004407901378</v>
      </c>
      <c r="J1089">
        <f>-648.785364816209 -4.43151350650396 -557.637514401981</f>
        <v>-1210.854392724694</v>
      </c>
      <c r="K1089" t="s">
        <v>12016</v>
      </c>
      <c r="L1089" t="s">
        <v>12017</v>
      </c>
      <c r="M1089" t="s">
        <v>12018</v>
      </c>
      <c r="N1089">
        <f>-648.173802076453 -59.843657335875 -557.09470839073</f>
        <v>-1265.1121678030581</v>
      </c>
      <c r="O1089">
        <f>-647.731373676016 -193.232256925894 -523.862904003371</f>
        <v>-1364.826534605281</v>
      </c>
      <c r="P1089">
        <f>-623.988460913288 -240.609747196183 -234.410244228905</f>
        <v>-1099.0084523383759</v>
      </c>
      <c r="Q1089">
        <f>-477.083820629448 -99.2318825105978 -362.793184294032</f>
        <v>-939.10888743407781</v>
      </c>
      <c r="R1089" t="s">
        <v>12019</v>
      </c>
      <c r="S1089" t="s">
        <v>12020</v>
      </c>
      <c r="T1089" t="s">
        <v>12021</v>
      </c>
      <c r="U1089" t="s">
        <v>12022</v>
      </c>
      <c r="V1089">
        <f>-613.743132141431 -115.157593609316 -96.4372089957128</f>
        <v>-825.33793474645984</v>
      </c>
      <c r="W1089" t="s">
        <v>12023</v>
      </c>
      <c r="X1089" t="s">
        <v>12024</v>
      </c>
      <c r="Y1089" t="s">
        <v>12025</v>
      </c>
    </row>
    <row r="1090" spans="1:25" x14ac:dyDescent="0.3">
      <c r="A1090">
        <v>54450</v>
      </c>
      <c r="B1090" t="s">
        <v>12026</v>
      </c>
      <c r="C1090">
        <f>-622.161703142327 -20.22164070493 -98.2379031398362</f>
        <v>-740.62124698709329</v>
      </c>
      <c r="D1090">
        <f>-646.118211885101 -25.8055431799619 -211.424148349819</f>
        <v>-883.3479034148819</v>
      </c>
      <c r="E1090">
        <f>-653.682053049442 -28.6066196061515 -309.717566202323</f>
        <v>-992.00623885791651</v>
      </c>
      <c r="F1090">
        <f>-655.876408470377 -30.4968137488677 -398.767198854716</f>
        <v>-1085.1404210739606</v>
      </c>
      <c r="G1090">
        <f>-653.06268694325 -31.8005615563327 -487.810164003339</f>
        <v>-1172.6734125029218</v>
      </c>
      <c r="H1090">
        <f>-643.875212460966 -33.0764079814435 -612.046849787773</f>
        <v>-1288.9984702301826</v>
      </c>
      <c r="I1090">
        <f>-611.320828787473 -32.9429021150836 -688.500961484974</f>
        <v>-1332.7646923875307</v>
      </c>
      <c r="J1090">
        <f>-648.209291126138 -4.80916090757364 -557.682513181844</f>
        <v>-1210.7009652155557</v>
      </c>
      <c r="K1090" t="s">
        <v>12027</v>
      </c>
      <c r="L1090" t="s">
        <v>12028</v>
      </c>
      <c r="M1090" t="s">
        <v>12029</v>
      </c>
      <c r="N1090">
        <f>-647.627030449091 -60.2207310872748 -557.070398020073</f>
        <v>-1264.9181595564387</v>
      </c>
      <c r="O1090">
        <f>-647.24711519258 -193.576943988364 -523.708787500972</f>
        <v>-1364.532846681916</v>
      </c>
      <c r="P1090">
        <f>-623.746659175652 -240.7051777197 -234.195704538395</f>
        <v>-1098.6475414337469</v>
      </c>
      <c r="Q1090">
        <f>-476.666099167797 -99.6343277417446 -362.714994934376</f>
        <v>-939.01542184391758</v>
      </c>
      <c r="R1090" t="s">
        <v>12030</v>
      </c>
      <c r="S1090" t="s">
        <v>12031</v>
      </c>
      <c r="T1090" t="s">
        <v>12032</v>
      </c>
      <c r="U1090" t="s">
        <v>12033</v>
      </c>
      <c r="V1090">
        <f>-613.53674638675 -115.191158208284 -96.4363314608054</f>
        <v>-825.16423605583941</v>
      </c>
      <c r="W1090" t="s">
        <v>12034</v>
      </c>
      <c r="X1090" t="s">
        <v>12035</v>
      </c>
      <c r="Y1090" t="s">
        <v>12036</v>
      </c>
    </row>
    <row r="1091" spans="1:25" x14ac:dyDescent="0.3">
      <c r="A1091">
        <v>54500</v>
      </c>
      <c r="B1091" t="s">
        <v>12037</v>
      </c>
      <c r="C1091">
        <f>-621.755333104218 -20.3100674957973 -98.2184212844016</f>
        <v>-740.28382188441697</v>
      </c>
      <c r="D1091">
        <f>-645.585663715336 -25.9051600824116 -211.430794904445</f>
        <v>-882.92161870219252</v>
      </c>
      <c r="E1091">
        <f>-653.01062809611 -28.8133124941542 -309.731705284807</f>
        <v>-991.55564587507115</v>
      </c>
      <c r="F1091">
        <f>-655.068163762014 -30.8410191993928 -398.781662143095</f>
        <v>-1084.6908451045019</v>
      </c>
      <c r="G1091">
        <f>-652.107110620574 -32.3242879933302 -487.81696242016</f>
        <v>-1172.2483610340641</v>
      </c>
      <c r="H1091">
        <f>-642.703795948547 -33.8958053089887 -612.034178869232</f>
        <v>-1288.6337801267678</v>
      </c>
      <c r="I1091">
        <f>-609.865031602077 -33.9158693435586 -688.366554878614</f>
        <v>-1332.1474558242496</v>
      </c>
      <c r="J1091">
        <f>-647.098923463324 -5.49892169207646 -557.742227576087</f>
        <v>-1210.3400727314875</v>
      </c>
      <c r="K1091" t="s">
        <v>12038</v>
      </c>
      <c r="L1091" t="s">
        <v>12039</v>
      </c>
      <c r="M1091" t="s">
        <v>12040</v>
      </c>
      <c r="N1091">
        <f>-646.58450470417 -60.9098090231616 -557.0022784691</f>
        <v>-1264.4965921964317</v>
      </c>
      <c r="O1091">
        <f>-646.338722488879 -194.209010957716 -523.385679585057</f>
        <v>-1363.933413031652</v>
      </c>
      <c r="P1091">
        <f>-623.121563701679 -240.810933902687 -233.764483249274</f>
        <v>-1097.6969808536401</v>
      </c>
      <c r="Q1091">
        <f>-475.991393621109 -100.123017287242 -362.646245626105</f>
        <v>-938.76065653445607</v>
      </c>
      <c r="R1091" t="s">
        <v>12041</v>
      </c>
      <c r="S1091" t="s">
        <v>12042</v>
      </c>
      <c r="T1091" t="s">
        <v>12043</v>
      </c>
      <c r="U1091" t="s">
        <v>12044</v>
      </c>
      <c r="V1091">
        <f>-613.158963691222 -115.250317338568 -96.4227964200372</f>
        <v>-824.83207744982724</v>
      </c>
      <c r="W1091" t="s">
        <v>12045</v>
      </c>
      <c r="X1091" t="s">
        <v>12046</v>
      </c>
      <c r="Y1091" t="s">
        <v>12047</v>
      </c>
    </row>
    <row r="1092" spans="1:25" x14ac:dyDescent="0.3">
      <c r="A1092">
        <v>54550</v>
      </c>
      <c r="B1092" t="s">
        <v>12048</v>
      </c>
      <c r="C1092">
        <f>-621.573580254797 -20.3307602473105 -98.2217623101129</f>
        <v>-740.12610281222044</v>
      </c>
      <c r="D1092">
        <f>-645.353198333983 -25.9388942077876 -211.444081173588</f>
        <v>-882.73617371535852</v>
      </c>
      <c r="E1092">
        <f>-652.717247635875 -28.9004076244134 -309.748016678802</f>
        <v>-991.36567193909036</v>
      </c>
      <c r="F1092">
        <f>-654.713202580316 -30.9935013924967 -398.797918171871</f>
        <v>-1084.5046221446837</v>
      </c>
      <c r="G1092">
        <f>-651.684312599683 -32.5600105992053 -487.829402594697</f>
        <v>-1172.0737257935853</v>
      </c>
      <c r="H1092">
        <f>-642.180142310199 -34.2667820362872 -612.037189025932</f>
        <v>-1288.4841133724181</v>
      </c>
      <c r="I1092">
        <f>-609.216588152407 -34.36635419908 -688.315781198727</f>
        <v>-1331.8987235502141</v>
      </c>
      <c r="J1092">
        <f>-646.602140498091 -5.81063454718651 -557.778612298521</f>
        <v>-1210.1913873437984</v>
      </c>
      <c r="K1092" t="s">
        <v>12049</v>
      </c>
      <c r="L1092" t="s">
        <v>12050</v>
      </c>
      <c r="M1092" t="s">
        <v>12051</v>
      </c>
      <c r="N1092">
        <f>-646.122717215449 -61.2208746091075 -556.980397562856</f>
        <v>-1264.3239893874124</v>
      </c>
      <c r="O1092">
        <f>-645.957094489063 -194.48610723161 -523.240012357932</f>
        <v>-1363.683214078605</v>
      </c>
      <c r="P1092">
        <f>-622.874921286273 -240.812272774807 -233.563772536707</f>
        <v>-1097.2509665977868</v>
      </c>
      <c r="Q1092">
        <f>-475.699005107511 -100.356170782769 -362.64588336796</f>
        <v>-938.70105925823998</v>
      </c>
      <c r="R1092" t="s">
        <v>12052</v>
      </c>
      <c r="S1092" t="s">
        <v>12053</v>
      </c>
      <c r="T1092" t="s">
        <v>12054</v>
      </c>
      <c r="U1092" t="s">
        <v>12055</v>
      </c>
      <c r="V1092">
        <f>-613.018642627619 -115.280025994815 -96.4073642560386</f>
        <v>-824.70603287847257</v>
      </c>
      <c r="W1092" t="s">
        <v>12056</v>
      </c>
      <c r="X1092" t="s">
        <v>12057</v>
      </c>
      <c r="Y1092" t="s">
        <v>12058</v>
      </c>
    </row>
    <row r="1093" spans="1:25" x14ac:dyDescent="0.3">
      <c r="A1093">
        <v>54600</v>
      </c>
      <c r="B1093" t="s">
        <v>12059</v>
      </c>
      <c r="C1093">
        <f>-621.25958893056 -20.1760475233461 -98.2572205310009</f>
        <v>-739.69285698490705</v>
      </c>
      <c r="D1093">
        <f>-644.942632189264 -25.792830124893 -211.499380553935</f>
        <v>-882.23484286809207</v>
      </c>
      <c r="E1093">
        <f>-652.194261435875 -28.8529361468759 -309.808747228608</f>
        <v>-990.85594481135888</v>
      </c>
      <c r="F1093">
        <f>-654.077712230043 -31.0731694074773 -398.85788778495</f>
        <v>-1084.0087694224703</v>
      </c>
      <c r="G1093">
        <f>-650.926229693985 -32.8059256707747 -487.882144387357</f>
        <v>-1171.6142997521167</v>
      </c>
      <c r="H1093">
        <f>-641.240724451695 -34.7869944429046 -612.071732458904</f>
        <v>-1288.0994513535036</v>
      </c>
      <c r="I1093">
        <f>-608.06137984931 -35.0628791284369 -688.256304504538</f>
        <v>-1331.3805634822847</v>
      </c>
      <c r="J1093">
        <f>-645.706044968195 -6.21067939859245 -557.879820236034</f>
        <v>-1209.7965446028215</v>
      </c>
      <c r="K1093" t="s">
        <v>12060</v>
      </c>
      <c r="L1093" t="s">
        <v>12061</v>
      </c>
      <c r="M1093" t="s">
        <v>12062</v>
      </c>
      <c r="N1093">
        <f>-645.299640986121 -61.6197915916337 -556.964231269321</f>
        <v>-1263.8836638470757</v>
      </c>
      <c r="O1093">
        <f>-645.286222665481 -194.8266673493 -522.987074995996</f>
        <v>-1363.0999650107769</v>
      </c>
      <c r="P1093">
        <f>-622.371556112819 -240.729515054505 -233.230155932026</f>
        <v>-1096.3312270993499</v>
      </c>
      <c r="Q1093">
        <f>-475.143447353879 -100.719061547084 -362.736221265654</f>
        <v>-938.59873016661709</v>
      </c>
      <c r="R1093" t="s">
        <v>12063</v>
      </c>
      <c r="S1093" t="s">
        <v>12064</v>
      </c>
      <c r="T1093" t="s">
        <v>12065</v>
      </c>
      <c r="U1093" t="s">
        <v>12066</v>
      </c>
      <c r="V1093">
        <f>-612.715151371986 -114.999822196125 -96.4091091072315</f>
        <v>-824.12408267534261</v>
      </c>
      <c r="W1093" t="s">
        <v>12067</v>
      </c>
      <c r="X1093" t="s">
        <v>12068</v>
      </c>
      <c r="Y1093" t="s">
        <v>12069</v>
      </c>
    </row>
    <row r="1094" spans="1:25" x14ac:dyDescent="0.3">
      <c r="A1094">
        <v>54650</v>
      </c>
      <c r="B1094" t="s">
        <v>12070</v>
      </c>
      <c r="C1094">
        <f>-621.115312869061 -20.2199950778308 -98.2660762838714</f>
        <v>-739.60138423076319</v>
      </c>
      <c r="D1094">
        <f>-644.758328070244 -25.8434665413211 -211.516313841401</f>
        <v>-882.11810845296611</v>
      </c>
      <c r="E1094">
        <f>-651.961607901482 -28.9450748276165 -309.827822976563</f>
        <v>-990.7345057056616</v>
      </c>
      <c r="F1094">
        <f>-653.796107446076 -31.2176329765639 -398.876785739133</f>
        <v>-1083.8905261617729</v>
      </c>
      <c r="G1094">
        <f>-650.590737350234 -33.0182379846276 -487.897725715274</f>
        <v>-1171.5067010501357</v>
      </c>
      <c r="H1094">
        <f>-640.825273169119 -35.1106332933343 -612.079203886284</f>
        <v>-1288.0151103487374</v>
      </c>
      <c r="I1094">
        <f>-607.553051691645 -35.4758921870921 -688.222931321019</f>
        <v>-1331.2518751997561</v>
      </c>
      <c r="J1094">
        <f>-645.309337874232 -6.48567869006774 -557.914581767783</f>
        <v>-1209.7095983320828</v>
      </c>
      <c r="K1094" t="s">
        <v>12071</v>
      </c>
      <c r="L1094" t="s">
        <v>12072</v>
      </c>
      <c r="M1094" t="s">
        <v>12073</v>
      </c>
      <c r="N1094">
        <f>-644.935858068457 -61.8940871748131 -556.951552868548</f>
        <v>-1263.7814981118181</v>
      </c>
      <c r="O1094">
        <f>-645.014527867457 -195.073793319116 -522.877396042359</f>
        <v>-1362.9657172289321</v>
      </c>
      <c r="P1094">
        <f>-622.2084781774 -240.785748610792 -233.08175504553</f>
        <v>-1096.0759818337219</v>
      </c>
      <c r="Q1094">
        <f>-474.893569482327 -101.05502716177 -362.79099939046</f>
        <v>-938.73959603455705</v>
      </c>
      <c r="R1094" t="s">
        <v>12074</v>
      </c>
      <c r="S1094" t="s">
        <v>12075</v>
      </c>
      <c r="T1094" t="s">
        <v>12076</v>
      </c>
      <c r="U1094" t="s">
        <v>12077</v>
      </c>
      <c r="V1094">
        <f>-612.588789870951 -115.103499399469 -96.4023797303214</f>
        <v>-824.09466900074142</v>
      </c>
      <c r="W1094" t="s">
        <v>12078</v>
      </c>
      <c r="X1094" t="s">
        <v>12079</v>
      </c>
      <c r="Y1094" t="s">
        <v>12080</v>
      </c>
    </row>
    <row r="1095" spans="1:25" x14ac:dyDescent="0.3">
      <c r="A1095">
        <v>54700</v>
      </c>
      <c r="B1095" t="s">
        <v>12081</v>
      </c>
      <c r="C1095">
        <f>-620.793897205967 -20.229551697623 -98.2767075024134</f>
        <v>-739.30015640600345</v>
      </c>
      <c r="D1095">
        <f>-644.361672734443 -25.8579857487928 -211.542281994631</f>
        <v>-881.7619404778668</v>
      </c>
      <c r="E1095">
        <f>-651.471715463457 -29.0216657166593 -309.858710468709</f>
        <v>-990.35209164882531</v>
      </c>
      <c r="F1095">
        <f>-653.21108391032 -31.3747655256661 -398.907442792957</f>
        <v>-1083.4932922289431</v>
      </c>
      <c r="G1095">
        <f>-649.900250327654 -33.2814825139515 -487.922268808806</f>
        <v>-1171.1040016504114</v>
      </c>
      <c r="H1095">
        <f>-639.976990511553 -35.5504685720141 -612.088333142991</f>
        <v>-1287.6157922265581</v>
      </c>
      <c r="I1095">
        <f>-606.534583093433 -36.0961652097637 -688.156261739276</f>
        <v>-1330.7870100424727</v>
      </c>
      <c r="J1095">
        <f>-644.491946780921 -6.84834620351148 -557.966912294259</f>
        <v>-1209.3072052786915</v>
      </c>
      <c r="K1095" t="s">
        <v>12082</v>
      </c>
      <c r="L1095" t="s">
        <v>12083</v>
      </c>
      <c r="M1095" t="s">
        <v>12084</v>
      </c>
      <c r="N1095">
        <f>-644.195462194442 -62.2558698965253 -556.930838243323</f>
        <v>-1263.3821703342903</v>
      </c>
      <c r="O1095">
        <f>-644.456692121101 -195.390365781227 -522.679741467527</f>
        <v>-1362.5267993698551</v>
      </c>
      <c r="P1095">
        <f>-621.817224498443 -240.603340036181 -232.792838162629</f>
        <v>-1095.2134026972531</v>
      </c>
      <c r="Q1095">
        <f>-474.709259127525 -100.743659285307 -362.597943763908</f>
        <v>-938.05086217674</v>
      </c>
      <c r="R1095" t="s">
        <v>12085</v>
      </c>
      <c r="S1095" t="s">
        <v>12086</v>
      </c>
      <c r="T1095" t="s">
        <v>12087</v>
      </c>
      <c r="U1095" t="s">
        <v>12088</v>
      </c>
      <c r="V1095">
        <f>-612.312716259594 -115.10319302292 -96.3943176380916</f>
        <v>-823.8102269206056</v>
      </c>
      <c r="W1095" t="s">
        <v>12089</v>
      </c>
      <c r="X1095" t="s">
        <v>12090</v>
      </c>
      <c r="Y1095" t="s">
        <v>12091</v>
      </c>
    </row>
    <row r="1096" spans="1:25" x14ac:dyDescent="0.3">
      <c r="A1096">
        <v>54750</v>
      </c>
      <c r="B1096" t="s">
        <v>12092</v>
      </c>
      <c r="C1096">
        <f>-620.632333780895 -20.1587040807744 -98.2778512366597</f>
        <v>-739.06888909832912</v>
      </c>
      <c r="D1096">
        <f>-644.172990263989 -25.779733957575 -211.549441334159</f>
        <v>-881.50216555572308</v>
      </c>
      <c r="E1096">
        <f>-651.250495184934 -28.9601844533581 -309.867574803598</f>
        <v>-990.07825444189018</v>
      </c>
      <c r="F1096">
        <f>-652.957061175001 -31.338200924683 -398.916356331662</f>
        <v>-1083.2116184313459</v>
      </c>
      <c r="G1096">
        <f>-649.61006749659 -33.2801006848324 -487.929021177463</f>
        <v>-1170.8191893588855</v>
      </c>
      <c r="H1096">
        <f>-639.633000484674 -35.6089452455565 -612.089761875849</f>
        <v>-1287.3317076060794</v>
      </c>
      <c r="I1096">
        <f>-606.124123964926 -36.2417167213118 -688.127586450957</f>
        <v>-1330.4934271371949</v>
      </c>
      <c r="J1096">
        <f>-644.154539827916 -6.88056042896505 -557.982802955794</f>
        <v>-1209.017903212675</v>
      </c>
      <c r="K1096" t="s">
        <v>12093</v>
      </c>
      <c r="L1096" t="s">
        <v>12094</v>
      </c>
      <c r="M1096" t="s">
        <v>12095</v>
      </c>
      <c r="N1096">
        <f>-643.892338851393 -62.287755354306 -556.922568918585</f>
        <v>-1263.1026631242839</v>
      </c>
      <c r="O1096">
        <f>-644.229357928362 -195.400785685069 -522.580400019797</f>
        <v>-1362.2105436332281</v>
      </c>
      <c r="P1096">
        <f>-621.644569864905 -240.254123713055 -232.633288133309</f>
        <v>-1094.5319817112691</v>
      </c>
      <c r="Q1096">
        <f>-474.653534635286 -100.264570972667 -362.430880584847</f>
        <v>-937.34898619280011</v>
      </c>
      <c r="R1096" t="s">
        <v>12096</v>
      </c>
      <c r="S1096" t="s">
        <v>12097</v>
      </c>
      <c r="T1096" t="s">
        <v>12098</v>
      </c>
      <c r="U1096" t="s">
        <v>12099</v>
      </c>
      <c r="V1096">
        <f>-612.173126325564 -114.980755907629 -96.3976024232434</f>
        <v>-823.5514846564364</v>
      </c>
      <c r="W1096" t="s">
        <v>12100</v>
      </c>
      <c r="X1096" t="s">
        <v>12101</v>
      </c>
      <c r="Y1096" t="s">
        <v>12102</v>
      </c>
    </row>
    <row r="1097" spans="1:25" x14ac:dyDescent="0.3">
      <c r="A1097">
        <v>54800</v>
      </c>
      <c r="B1097" t="s">
        <v>12103</v>
      </c>
      <c r="C1097">
        <f>-620.306078277363 -20.0674369107849 -98.2919681705735</f>
        <v>-738.6654833587213</v>
      </c>
      <c r="D1097">
        <f>-643.808037592005 -25.6814595062845 -211.571923651189</f>
        <v>-881.06142074947843</v>
      </c>
      <c r="E1097">
        <f>-650.865703790928 -28.9062491292514 -309.890156643446</f>
        <v>-989.66210956362534</v>
      </c>
      <c r="F1097">
        <f>-652.560370276465 -31.3439263700125 -398.937408794009</f>
        <v>-1082.8417054404865</v>
      </c>
      <c r="G1097">
        <f>-649.208018123994 -33.3651414142519 -487.948202435882</f>
        <v>-1170.5213619741278</v>
      </c>
      <c r="H1097">
        <f>-639.230418693459 -35.8250928018763 -612.106127674764</f>
        <v>-1287.1616391700993</v>
      </c>
      <c r="I1097">
        <f>-605.632637793847 -36.6092170455825 -688.103532876409</f>
        <v>-1330.3453877158386</v>
      </c>
      <c r="J1097">
        <f>-643.742456786926 -7.03937386118832 -558.028879889842</f>
        <v>-1208.8107105379563</v>
      </c>
      <c r="K1097" t="s">
        <v>12104</v>
      </c>
      <c r="L1097" t="s">
        <v>12105</v>
      </c>
      <c r="M1097" t="s">
        <v>12106</v>
      </c>
      <c r="N1097">
        <f>-643.499653859068 -62.4456949128601 -556.911663855627</f>
        <v>-1262.8570126275549</v>
      </c>
      <c r="O1097">
        <f>-643.930295407207 -195.514290146156 -522.413360054094</f>
        <v>-1361.8579456074572</v>
      </c>
      <c r="P1097">
        <f>-621.636656585943 -239.26097686258 -232.274649435012</f>
        <v>-1093.172282883535</v>
      </c>
      <c r="Q1097">
        <f>-473.733020766304 -100.207311409233 -362.041696644159</f>
        <v>-935.98202881969587</v>
      </c>
      <c r="R1097" t="s">
        <v>12107</v>
      </c>
      <c r="S1097" t="s">
        <v>12108</v>
      </c>
      <c r="T1097" t="s">
        <v>12109</v>
      </c>
      <c r="U1097" t="s">
        <v>12110</v>
      </c>
      <c r="V1097">
        <f>-611.87040190263 -114.917825161295 -96.4049515783804</f>
        <v>-823.19317864230538</v>
      </c>
      <c r="W1097" t="s">
        <v>12111</v>
      </c>
      <c r="X1097" t="s">
        <v>12112</v>
      </c>
      <c r="Y1097" t="s">
        <v>12113</v>
      </c>
    </row>
    <row r="1098" spans="1:25" x14ac:dyDescent="0.3">
      <c r="A1098">
        <v>54850</v>
      </c>
      <c r="B1098" t="s">
        <v>12114</v>
      </c>
      <c r="C1098">
        <f>-620.153648948939 -20.1918894931964 -98.3004875061418</f>
        <v>-738.64602594827727</v>
      </c>
      <c r="D1098">
        <f>-643.635459027115 -25.8050513142257 -211.584711318052</f>
        <v>-881.02522165939263</v>
      </c>
      <c r="E1098">
        <f>-650.681152136155 -29.0549768295705 -309.902871238306</f>
        <v>-989.63900020403139</v>
      </c>
      <c r="F1098">
        <f>-652.367526688905 -31.5258897250651 -398.949479592715</f>
        <v>-1082.8428960066851</v>
      </c>
      <c r="G1098">
        <f>-649.009628910301 -33.5906554170133 -487.959037301608</f>
        <v>-1170.5593216289224</v>
      </c>
      <c r="H1098">
        <f>-639.027257552293 -36.1223401647851 -612.115133751509</f>
        <v>-1287.2647314685871</v>
      </c>
      <c r="I1098">
        <f>-605.397368405116 -36.9744733409414 -688.097705451195</f>
        <v>-1330.4695471972523</v>
      </c>
      <c r="J1098">
        <f>-643.544102049623 -7.3054503825922 -558.054973424413</f>
        <v>-1208.9045258566282</v>
      </c>
      <c r="K1098" t="s">
        <v>12115</v>
      </c>
      <c r="L1098" t="s">
        <v>12116</v>
      </c>
      <c r="M1098" t="s">
        <v>12117</v>
      </c>
      <c r="N1098">
        <f>-643.295886769483 -62.7109957955445 -556.905220895662</f>
        <v>-1262.9121034606894</v>
      </c>
      <c r="O1098">
        <f>-643.726469657857 -195.759362666063 -522.340457687726</f>
        <v>-1361.8262900116461</v>
      </c>
      <c r="P1098">
        <f>-621.681996142997 -238.903896921373 -232.09264583389</f>
        <v>-1092.6785388982601</v>
      </c>
      <c r="Q1098">
        <f>-472.927090508142 -100.718712389455 -361.814232912709</f>
        <v>-935.46003581030595</v>
      </c>
      <c r="R1098" t="s">
        <v>12118</v>
      </c>
      <c r="S1098" t="s">
        <v>12119</v>
      </c>
      <c r="T1098" t="s">
        <v>12120</v>
      </c>
      <c r="U1098" t="s">
        <v>12121</v>
      </c>
      <c r="V1098">
        <f>-611.705960808134 -115.131013150719 -96.4170392881214</f>
        <v>-823.25401324697441</v>
      </c>
      <c r="W1098" t="s">
        <v>12122</v>
      </c>
      <c r="X1098" t="s">
        <v>12123</v>
      </c>
      <c r="Y1098" t="s">
        <v>12124</v>
      </c>
    </row>
    <row r="1099" spans="1:25" x14ac:dyDescent="0.3">
      <c r="A1099">
        <v>54900</v>
      </c>
      <c r="B1099" t="s">
        <v>12125</v>
      </c>
      <c r="C1099">
        <f>-619.935101049906 -20.0142397839347 -98.3445334873235</f>
        <v>-738.29387432116425</v>
      </c>
      <c r="D1099">
        <f>-643.360855191012 -25.6059263963921 -211.641442416673</f>
        <v>-880.6082240040771</v>
      </c>
      <c r="E1099">
        <f>-650.389158060581 -28.9111190574142 -309.958982983166</f>
        <v>-989.25926010116132</v>
      </c>
      <c r="F1099">
        <f>-652.072950993779 -31.4634839372472 -399.003326579578</f>
        <v>-1082.5397615106044</v>
      </c>
      <c r="G1099">
        <f>-648.725987936421 -33.6421762621922 -488.010454088597</f>
        <v>-1170.3786182872102</v>
      </c>
      <c r="H1099">
        <f>-638.773566771496 -36.3685500707061 -612.165027555389</f>
        <v>-1287.3071443975909</v>
      </c>
      <c r="I1099">
        <f>-605.119163032557 -37.3900820660781 -688.134423782766</f>
        <v>-1330.643668881401</v>
      </c>
      <c r="J1099">
        <f>-643.249889154586 -7.46687772934365 -558.146839965895</f>
        <v>-1208.8636068498245</v>
      </c>
      <c r="K1099" t="s">
        <v>12126</v>
      </c>
      <c r="L1099" t="s">
        <v>12127</v>
      </c>
      <c r="M1099" t="s">
        <v>12128</v>
      </c>
      <c r="N1099">
        <f>-643.05634401515 -62.8708654749053 -556.914697769231</f>
        <v>-1262.8419072592862</v>
      </c>
      <c r="O1099">
        <f>-643.560923667833 -195.898780897576 -522.254135246947</f>
        <v>-1361.7138398123561</v>
      </c>
      <c r="P1099">
        <f>-622.142996152421 -237.756442729121 -231.771116857125</f>
        <v>-1091.670555738667</v>
      </c>
      <c r="Q1099">
        <f>-472.560700518301 -101.026904254763 -362.082445697813</f>
        <v>-935.67005047087696</v>
      </c>
      <c r="R1099" t="s">
        <v>12129</v>
      </c>
      <c r="S1099" t="s">
        <v>12130</v>
      </c>
      <c r="T1099" t="s">
        <v>12131</v>
      </c>
      <c r="U1099" t="s">
        <v>12132</v>
      </c>
      <c r="V1099">
        <f>-611.403207746048 -114.917300021078 -96.4823188093176</f>
        <v>-822.80282657644352</v>
      </c>
      <c r="W1099" t="s">
        <v>12133</v>
      </c>
      <c r="X1099" t="s">
        <v>12134</v>
      </c>
      <c r="Y1099" t="s">
        <v>12135</v>
      </c>
    </row>
    <row r="1100" spans="1:25" x14ac:dyDescent="0.3">
      <c r="A1100">
        <v>54950</v>
      </c>
      <c r="B1100" t="s">
        <v>12136</v>
      </c>
      <c r="C1100">
        <f>-619.858653274962 -19.9188682357467 -98.3709757855059</f>
        <v>-738.1484972962146</v>
      </c>
      <c r="D1100">
        <f>-643.235503095253 -25.4887874633446 -211.679105258169</f>
        <v>-880.40339581676653</v>
      </c>
      <c r="E1100">
        <f>-650.246000515476 -28.8066672950522 -309.997446994008</f>
        <v>-989.05011480453618</v>
      </c>
      <c r="F1100">
        <f>-651.923906308651 -31.3840401586885 -399.041141439293</f>
        <v>-1082.3490879066326</v>
      </c>
      <c r="G1100">
        <f>-648.581232624582 -33.6023259182334 -488.047519047326</f>
        <v>-1170.2310775901415</v>
      </c>
      <c r="H1100">
        <f>-638.645881610219 -36.3994548549449 -612.201845831593</f>
        <v>-1287.2471822967568</v>
      </c>
      <c r="I1100">
        <f>-605.000143089095 -37.5065070223641 -688.173983147303</f>
        <v>-1330.6806332587621</v>
      </c>
      <c r="J1100">
        <f>-643.087434996459 -7.46665409258003 -558.197362461776</f>
        <v>-1208.7514515508151</v>
      </c>
      <c r="K1100" t="s">
        <v>12137</v>
      </c>
      <c r="L1100" t="s">
        <v>12138</v>
      </c>
      <c r="M1100" t="s">
        <v>12139</v>
      </c>
      <c r="N1100">
        <f>-642.948532357309 -62.8703459730789 -556.938026643486</f>
        <v>-1262.7569049738738</v>
      </c>
      <c r="O1100">
        <f>-643.632476544412 -195.882474108144 -522.226863778006</f>
        <v>-1361.741814430562</v>
      </c>
      <c r="P1100">
        <f>-622.473267591653 -237.093411509386 -231.632321728979</f>
        <v>-1091.1990008300179</v>
      </c>
      <c r="Q1100">
        <f>-472.589855551335 -101.158748596634 -362.428379538833</f>
        <v>-936.17698368680203</v>
      </c>
      <c r="R1100" t="s">
        <v>12140</v>
      </c>
      <c r="S1100" t="s">
        <v>12141</v>
      </c>
      <c r="T1100" t="s">
        <v>12142</v>
      </c>
      <c r="U1100" t="s">
        <v>12143</v>
      </c>
      <c r="V1100">
        <f>-611.346756292864 -114.795861245119 -96.5117532739739</f>
        <v>-822.65437081195694</v>
      </c>
      <c r="W1100" t="s">
        <v>12144</v>
      </c>
      <c r="X1100" t="s">
        <v>12145</v>
      </c>
      <c r="Y1100" t="s">
        <v>12146</v>
      </c>
    </row>
    <row r="1101" spans="1:25" x14ac:dyDescent="0.3">
      <c r="A1101">
        <v>55000</v>
      </c>
      <c r="B1101" t="s">
        <v>12147</v>
      </c>
      <c r="C1101">
        <f>-619.937718888014 -19.8985368639267 -98.3885027183554</f>
        <v>-738.22475847029614</v>
      </c>
      <c r="D1101">
        <f>-643.232364292683 -25.3952716383515 -211.71717476181</f>
        <v>-880.34481069284448</v>
      </c>
      <c r="E1101">
        <f>-650.225464796527 -28.7082577860181 -310.036854760465</f>
        <v>-988.97057734301006</v>
      </c>
      <c r="F1101">
        <f>-651.90965261124 -31.3051589806707 -399.07985296668</f>
        <v>-1082.2946645585907</v>
      </c>
      <c r="G1101">
        <f>-648.595953779537 -33.5682170448242 -488.08632439162</f>
        <v>-1170.2504952159811</v>
      </c>
      <c r="H1101">
        <f>-638.72463833197 -36.4552114812639 -612.24355066876</f>
        <v>-1287.4234004819939</v>
      </c>
      <c r="I1101">
        <f>-605.099346711022 -37.7476763106272 -688.221932215724</f>
        <v>-1331.0689552373733</v>
      </c>
      <c r="J1101">
        <f>-643.071151067368 -7.4832396951565 -558.252508092994</f>
        <v>-1208.8068988555185</v>
      </c>
      <c r="K1101" t="s">
        <v>12148</v>
      </c>
      <c r="L1101" t="s">
        <v>12149</v>
      </c>
      <c r="M1101" t="s">
        <v>12150</v>
      </c>
      <c r="N1101">
        <f>-643.065914734799 -62.8863909626265 -556.963834245985</f>
        <v>-1262.9161399434106</v>
      </c>
      <c r="O1101">
        <f>-644.08778151499 -195.894279818052 -522.205778843639</f>
        <v>-1362.187840176681</v>
      </c>
      <c r="P1101">
        <f>-623.800524411938 -235.599436516627 -231.339688109907</f>
        <v>-1090.739649038472</v>
      </c>
      <c r="Q1101">
        <f>-473.31124914123 -101.244834539822 -363.06915728739</f>
        <v>-937.62524096844197</v>
      </c>
      <c r="R1101" t="s">
        <v>12151</v>
      </c>
      <c r="S1101" t="s">
        <v>12152</v>
      </c>
      <c r="T1101" t="s">
        <v>12153</v>
      </c>
      <c r="U1101" t="s">
        <v>12154</v>
      </c>
      <c r="V1101">
        <f>-611.605644625937 -114.721500517227 -96.5295695207889</f>
        <v>-822.85671466395286</v>
      </c>
      <c r="W1101" t="s">
        <v>12155</v>
      </c>
      <c r="X1101" t="s">
        <v>12156</v>
      </c>
      <c r="Y1101" t="s">
        <v>12157</v>
      </c>
    </row>
    <row r="1102" spans="1:25" x14ac:dyDescent="0.3">
      <c r="A1102">
        <v>55050</v>
      </c>
      <c r="B1102" t="s">
        <v>12158</v>
      </c>
      <c r="C1102">
        <f>-620.051167273546 -19.7495927262607 -98.3776059353585</f>
        <v>-738.17836593516517</v>
      </c>
      <c r="D1102">
        <f>-643.319813760526 -25.1963210504125 -211.713966456011</f>
        <v>-880.23010126694953</v>
      </c>
      <c r="E1102">
        <f>-650.30508145734 -28.4576049166246 -310.035915406119</f>
        <v>-988.79860178008357</v>
      </c>
      <c r="F1102">
        <f>-651.988130301606 -31.0027830570766 -399.080460447013</f>
        <v>-1082.0713738056957</v>
      </c>
      <c r="G1102">
        <f>-648.679182815468 -33.209365059593 -488.088388915788</f>
        <v>-1169.9769367908491</v>
      </c>
      <c r="H1102">
        <f>-638.82056346935 -36.0121745793992 -612.248692873188</f>
        <v>-1287.0814309219372</v>
      </c>
      <c r="I1102">
        <f>-605.181920093687 -37.3234151794895 -688.220729185299</f>
        <v>-1330.7260644584755</v>
      </c>
      <c r="J1102">
        <f>-643.135750993248 -7.0767483359582 -558.235493568539</f>
        <v>-1208.4479928977453</v>
      </c>
      <c r="K1102" t="s">
        <v>12159</v>
      </c>
      <c r="L1102" t="s">
        <v>12160</v>
      </c>
      <c r="M1102" t="s">
        <v>12161</v>
      </c>
      <c r="N1102">
        <f>-643.181935352103 -62.4808403694476 -556.988496481487</f>
        <v>-1262.6512722030375</v>
      </c>
      <c r="O1102">
        <f>-644.435345214536 -195.500790104845 -522.260176478641</f>
        <v>-1362.1963117980222</v>
      </c>
      <c r="P1102">
        <f>-624.368241056702 -234.472604100887 -231.279548605774</f>
        <v>-1090.1203937633629</v>
      </c>
      <c r="Q1102">
        <f>-473.449105059294 -100.929050928069 -363.341580871361</f>
        <v>-937.71973685872399</v>
      </c>
      <c r="R1102" t="s">
        <v>12162</v>
      </c>
      <c r="S1102" t="s">
        <v>12163</v>
      </c>
      <c r="T1102" t="s">
        <v>12164</v>
      </c>
      <c r="U1102" t="s">
        <v>12165</v>
      </c>
      <c r="V1102">
        <f>-611.840161884893 -114.541464033401 -96.532795410852</f>
        <v>-822.91442132914597</v>
      </c>
      <c r="W1102" t="s">
        <v>12166</v>
      </c>
      <c r="X1102" t="s">
        <v>12167</v>
      </c>
      <c r="Y1102" t="s">
        <v>12168</v>
      </c>
    </row>
    <row r="1103" spans="1:25" x14ac:dyDescent="0.3">
      <c r="A1103">
        <v>55100</v>
      </c>
      <c r="B1103" t="s">
        <v>12169</v>
      </c>
      <c r="C1103">
        <f>-620.276688162246 -19.3443889799453 -98.3465065000289</f>
        <v>-737.96758364222023</v>
      </c>
      <c r="D1103">
        <f>-643.563468281711 -24.7295710563226 -211.682025330121</f>
        <v>-879.97506466815457</v>
      </c>
      <c r="E1103">
        <f>-650.577274191349 -27.9054637189852 -310.00481730974</f>
        <v>-988.48755522007423</v>
      </c>
      <c r="F1103">
        <f>-652.29140333353 -30.3555862488777 -399.051452113324</f>
        <v>-1081.6984416957316</v>
      </c>
      <c r="G1103">
        <f>-649.01846508254 -32.4466791772643 -488.063629658829</f>
        <v>-1169.5287739186333</v>
      </c>
      <c r="H1103">
        <f>-639.21534866237 -35.0646126132528 -612.232249954092</f>
        <v>-1286.5122112297149</v>
      </c>
      <c r="I1103">
        <f>-605.574181400325 -36.3864937067324 -688.203015068692</f>
        <v>-1330.1636901757493</v>
      </c>
      <c r="J1103">
        <f>-643.516107953285 -6.20980749062414 -558.174823262551</f>
        <v>-1207.9007387064601</v>
      </c>
      <c r="K1103" t="s">
        <v>12170</v>
      </c>
      <c r="L1103" t="s">
        <v>12171</v>
      </c>
      <c r="M1103" t="s">
        <v>12172</v>
      </c>
      <c r="N1103">
        <f>-643.542330234432 -61.6155673298426 -557.008756006596</f>
        <v>-1262.1666535708705</v>
      </c>
      <c r="O1103">
        <f>-644.869161218998 -194.636909701329 -522.393053323265</f>
        <v>-1361.8991242435918</v>
      </c>
      <c r="P1103">
        <f>-625.42484310067 -233.001519084214 -231.289537046928</f>
        <v>-1089.715899231812</v>
      </c>
      <c r="Q1103">
        <f>-474.216998411956 -100.698362412976 -364.266673465504</f>
        <v>-939.18203429043604</v>
      </c>
      <c r="R1103" t="s">
        <v>12173</v>
      </c>
      <c r="S1103" t="s">
        <v>12174</v>
      </c>
      <c r="T1103" t="s">
        <v>12175</v>
      </c>
      <c r="U1103" t="s">
        <v>12176</v>
      </c>
      <c r="V1103">
        <f>-612.266365821998 -114.073867277798 -96.539519984138</f>
        <v>-822.87975308393402</v>
      </c>
      <c r="W1103" t="s">
        <v>12177</v>
      </c>
      <c r="X1103" t="s">
        <v>12178</v>
      </c>
      <c r="Y1103" t="s">
        <v>12179</v>
      </c>
    </row>
    <row r="1104" spans="1:25" x14ac:dyDescent="0.3">
      <c r="A1104">
        <v>55150</v>
      </c>
      <c r="B1104" t="s">
        <v>12180</v>
      </c>
      <c r="C1104">
        <f>-620.413482533354 -19.369800317254 -98.3365244252398</f>
        <v>-738.11980727584773</v>
      </c>
      <c r="D1104">
        <f>-643.717266659521 -24.7457969002498 -211.669046436427</f>
        <v>-880.13210999619787</v>
      </c>
      <c r="E1104">
        <f>-650.780640682689 -27.9198253350223 -309.988441356949</f>
        <v>-988.68890737466029</v>
      </c>
      <c r="F1104">
        <f>-652.553675480923 -30.3702817334511 -399.033742787344</f>
        <v>-1081.957700001718</v>
      </c>
      <c r="G1104">
        <f>-649.353805338475 -32.463620417542 -488.048566117949</f>
        <v>-1169.8659918739659</v>
      </c>
      <c r="H1104">
        <f>-639.667457164181 -35.0862004570051 -612.22631055366</f>
        <v>-1286.9799681748461</v>
      </c>
      <c r="I1104">
        <f>-606.032629391419 -36.4152356434192 -688.199734032561</f>
        <v>-1330.6475990673994</v>
      </c>
      <c r="J1104">
        <f>-643.92257485667 -6.22912723504078 -558.166257721481</f>
        <v>-1208.3179598131919</v>
      </c>
      <c r="K1104" t="s">
        <v>12181</v>
      </c>
      <c r="L1104" t="s">
        <v>12182</v>
      </c>
      <c r="M1104" t="s">
        <v>12183</v>
      </c>
      <c r="N1104">
        <f>-643.937338429142 -61.6350279837021 -556.997288530017</f>
        <v>-1262.5696549428612</v>
      </c>
      <c r="O1104">
        <f>-645.253851759344 -194.674539881069 -522.445892283647</f>
        <v>-1362.3742839240599</v>
      </c>
      <c r="P1104">
        <f>-625.782171106752 -232.81295997742 -231.314520996138</f>
        <v>-1089.90965208031</v>
      </c>
      <c r="Q1104">
        <f>-474.852569896305 -100.726131907782 -364.821703989132</f>
        <v>-940.40040579321908</v>
      </c>
      <c r="R1104" t="s">
        <v>12184</v>
      </c>
      <c r="S1104" t="s">
        <v>12185</v>
      </c>
      <c r="T1104" t="s">
        <v>12186</v>
      </c>
      <c r="U1104" t="s">
        <v>12187</v>
      </c>
      <c r="V1104">
        <f>-612.400209392124 -114.184293428629 -96.537584473453</f>
        <v>-823.12208729420593</v>
      </c>
      <c r="W1104" t="s">
        <v>12188</v>
      </c>
      <c r="X1104" t="s">
        <v>12189</v>
      </c>
      <c r="Y1104" t="s">
        <v>12190</v>
      </c>
    </row>
    <row r="1105" spans="1:25" x14ac:dyDescent="0.3">
      <c r="A1105">
        <v>55200</v>
      </c>
      <c r="B1105" t="s">
        <v>12191</v>
      </c>
      <c r="C1105">
        <f>-620.48688060557 -19.5566093711625 -98.3063070542623</f>
        <v>-738.34979703099486</v>
      </c>
      <c r="D1105">
        <f>-643.853077251934 -24.9325867885227 -211.626018924292</f>
        <v>-880.41168296474871</v>
      </c>
      <c r="E1105">
        <f>-651.030739871719 -28.1224586184717 -309.936512842752</f>
        <v>-989.08971133294267</v>
      </c>
      <c r="F1105">
        <f>-652.931411375025 -30.5957394150407 -398.978752034813</f>
        <v>-1082.5059028248788</v>
      </c>
      <c r="G1105">
        <f>-649.883269436739 -32.7218993757031 -487.997979945633</f>
        <v>-1170.6031487580751</v>
      </c>
      <c r="H1105">
        <f>-640.433676109399 -35.40204368676 -612.192681801703</f>
        <v>-1288.0284015978618</v>
      </c>
      <c r="I1105">
        <f>-606.849536231437 -36.7833109614919 -688.187617432275</f>
        <v>-1331.8204646252038</v>
      </c>
      <c r="J1105">
        <f>-644.550476507318 -6.52001701709355 -558.135383301982</f>
        <v>-1209.2058768263935</v>
      </c>
      <c r="K1105" t="s">
        <v>12192</v>
      </c>
      <c r="L1105" t="s">
        <v>12193</v>
      </c>
      <c r="M1105" t="s">
        <v>12194</v>
      </c>
      <c r="N1105">
        <f>-644.633430103354 -61.9253581534919 -556.946084413027</f>
        <v>-1263.5048726698728</v>
      </c>
      <c r="O1105">
        <f>-646.06764561734 -194.998665513609 -522.471122990542</f>
        <v>-1363.5374341214911</v>
      </c>
      <c r="P1105">
        <f>-626.044386850799 -233.111401402145 -231.373825232578</f>
        <v>-1090.5296134855221</v>
      </c>
      <c r="Q1105">
        <f>-475.318713891944 -101.243477345396 -365.326962245104</f>
        <v>-941.88915348244404</v>
      </c>
      <c r="R1105" t="s">
        <v>12195</v>
      </c>
      <c r="S1105" t="s">
        <v>12196</v>
      </c>
      <c r="T1105" t="s">
        <v>12197</v>
      </c>
      <c r="U1105" t="s">
        <v>12198</v>
      </c>
      <c r="V1105">
        <f>-612.458158349897 -114.480623641566 -96.5288142433027</f>
        <v>-823.46759623476567</v>
      </c>
      <c r="W1105" t="s">
        <v>12199</v>
      </c>
      <c r="X1105" t="s">
        <v>12200</v>
      </c>
      <c r="Y1105" t="s">
        <v>12201</v>
      </c>
    </row>
    <row r="1106" spans="1:25" x14ac:dyDescent="0.3">
      <c r="A1106">
        <v>55250</v>
      </c>
      <c r="B1106" t="s">
        <v>12202</v>
      </c>
      <c r="C1106">
        <f>-620.464127190748 -19.6645314744646 -98.2975031721985</f>
        <v>-738.42616183741109</v>
      </c>
      <c r="D1106">
        <f>-643.865023615891 -25.0206505663859 -211.610866998163</f>
        <v>-880.49654118043998</v>
      </c>
      <c r="E1106">
        <f>-651.092108505989 -28.2141504360936 -309.917712694116</f>
        <v>-989.22397163619871</v>
      </c>
      <c r="F1106">
        <f>-653.045669979667 -30.6991084734605 -398.95842961805</f>
        <v>-1082.7032080711774</v>
      </c>
      <c r="G1106">
        <f>-650.058328803856 -32.8456680732634 -487.979189158666</f>
        <v>-1170.8831860357855</v>
      </c>
      <c r="H1106">
        <f>-640.702422071496 -35.5637968421545 -612.180319849194</f>
        <v>-1288.4465387628445</v>
      </c>
      <c r="I1106">
        <f>-607.166750126901 -36.998285350162 -688.195599243592</f>
        <v>-1332.3606347206551</v>
      </c>
      <c r="J1106">
        <f>-644.762427520234 -6.6651101239147 -558.127489694075</f>
        <v>-1209.5550273382237</v>
      </c>
      <c r="K1106" t="s">
        <v>12203</v>
      </c>
      <c r="L1106" t="s">
        <v>12204</v>
      </c>
      <c r="M1106" t="s">
        <v>12205</v>
      </c>
      <c r="N1106">
        <f>-644.876512038707 -62.0701755400152 -556.923547635801</f>
        <v>-1263.8702352145233</v>
      </c>
      <c r="O1106">
        <f>-646.370913082713 -195.149292397187 -522.474198663265</f>
        <v>-1363.994404143165</v>
      </c>
      <c r="P1106">
        <f>-626.30358030708 -233.271627467968 -231.381138971048</f>
        <v>-1090.956346746096</v>
      </c>
      <c r="Q1106">
        <f>-475.427935082589 -101.640458077235 -365.398370515533</f>
        <v>-942.4667636753569</v>
      </c>
      <c r="R1106" t="s">
        <v>12206</v>
      </c>
      <c r="S1106" t="s">
        <v>12207</v>
      </c>
      <c r="T1106" t="s">
        <v>12208</v>
      </c>
      <c r="U1106" t="s">
        <v>12209</v>
      </c>
      <c r="V1106">
        <f>-612.536028952906 -114.501342310017 -96.5167904194893</f>
        <v>-823.55416168241231</v>
      </c>
      <c r="W1106" t="s">
        <v>12210</v>
      </c>
      <c r="X1106" t="s">
        <v>12211</v>
      </c>
      <c r="Y1106" t="s">
        <v>12212</v>
      </c>
    </row>
    <row r="1107" spans="1:25" x14ac:dyDescent="0.3">
      <c r="A1107">
        <v>55300</v>
      </c>
      <c r="B1107" t="s">
        <v>12213</v>
      </c>
      <c r="C1107">
        <f>-620.571729048219 -19.4765263532386 -98.2684596230938</f>
        <v>-738.3167150245514</v>
      </c>
      <c r="D1107">
        <f>-644.034949529539 -24.8175008146002 -211.569691097933</f>
        <v>-880.42214144207219</v>
      </c>
      <c r="E1107">
        <f>-651.361680245245 -27.9794275860784 -309.870160255917</f>
        <v>-989.21126808724034</v>
      </c>
      <c r="F1107">
        <f>-653.423660329926 -30.425934830618 -398.909493607388</f>
        <v>-1082.7590887679319</v>
      </c>
      <c r="G1107">
        <f>-650.562967790622 -32.5233718193745 -487.935701784265</f>
        <v>-1171.0220413942616</v>
      </c>
      <c r="H1107">
        <f>-641.402417017571 -35.1603446956155 -612.153002606996</f>
        <v>-1288.7157643201826</v>
      </c>
      <c r="I1107">
        <f>-608.032795185545 -36.6117570930883 -688.240995677933</f>
        <v>-1332.8855479565664</v>
      </c>
      <c r="J1107">
        <f>-645.368095773677 -6.29708868509647 -558.074379670905</f>
        <v>-1209.7395641296785</v>
      </c>
      <c r="K1107" t="s">
        <v>12214</v>
      </c>
      <c r="L1107" t="s">
        <v>12215</v>
      </c>
      <c r="M1107" t="s">
        <v>12216</v>
      </c>
      <c r="N1107">
        <f>-645.498873314001 -61.7027192155774 -556.907838861801</f>
        <v>-1264.1094313913795</v>
      </c>
      <c r="O1107">
        <f>-647.129296591326 -194.790675673898 -522.476246836564</f>
        <v>-1364.3962191017881</v>
      </c>
      <c r="P1107">
        <f>-627.326628226885 -232.447443336932 -231.304420714342</f>
        <v>-1091.078492278159</v>
      </c>
      <c r="Q1107">
        <f>-475.625152317328 -102.28644129208 -365.824358596003</f>
        <v>-943.73595220541097</v>
      </c>
      <c r="R1107" t="s">
        <v>12217</v>
      </c>
      <c r="S1107" t="s">
        <v>12218</v>
      </c>
      <c r="T1107" t="s">
        <v>12219</v>
      </c>
      <c r="U1107" t="s">
        <v>12220</v>
      </c>
      <c r="V1107">
        <f>-612.780657270675 -114.274353591045 -96.476640722816</f>
        <v>-823.53165158453601</v>
      </c>
      <c r="W1107" t="s">
        <v>12221</v>
      </c>
      <c r="X1107" t="s">
        <v>12222</v>
      </c>
      <c r="Y1107" t="s">
        <v>12223</v>
      </c>
    </row>
    <row r="1108" spans="1:25" x14ac:dyDescent="0.3">
      <c r="A1108">
        <v>55350</v>
      </c>
      <c r="B1108" t="s">
        <v>12224</v>
      </c>
      <c r="C1108">
        <f>-620.658883824019 -19.3786555224265 -98.2437948643876</f>
        <v>-738.28133421083305</v>
      </c>
      <c r="D1108">
        <f>-644.160758939838 -24.7172474974102 -211.537197120203</f>
        <v>-880.41520355745126</v>
      </c>
      <c r="E1108">
        <f>-651.519459187268 -27.8351965229142 -309.836645328052</f>
        <v>-989.1913010382342</v>
      </c>
      <c r="F1108">
        <f>-653.609579609135 -30.2227026064595 -398.876924459564</f>
        <v>-1082.7092066751586</v>
      </c>
      <c r="G1108">
        <f>-650.775969650719 -32.2414167352629 -487.905818638899</f>
        <v>-1170.9232050248809</v>
      </c>
      <c r="H1108">
        <f>-641.651812890154 -34.746189834508 -612.128496125379</f>
        <v>-1288.526498850041</v>
      </c>
      <c r="I1108">
        <f>-608.363160355256 -36.1377776851316 -688.253118717974</f>
        <v>-1332.7540567583615</v>
      </c>
      <c r="J1108">
        <f>-645.616395207968 -5.94044102739667 -558.019184145656</f>
        <v>-1209.5760203810207</v>
      </c>
      <c r="K1108" t="s">
        <v>12225</v>
      </c>
      <c r="L1108" t="s">
        <v>12226</v>
      </c>
      <c r="M1108" t="s">
        <v>12227</v>
      </c>
      <c r="N1108">
        <f>-645.717445681049 -61.3473116544989 -556.909244227812</f>
        <v>-1263.9740015633597</v>
      </c>
      <c r="O1108">
        <f>-647.333392092629 -194.439086730588 -522.514474824637</f>
        <v>-1364.2869536478538</v>
      </c>
      <c r="P1108">
        <f>-627.815901565887 -231.870286369436 -231.294327458938</f>
        <v>-1090.9805153942609</v>
      </c>
      <c r="Q1108">
        <f>-475.792945297431 -102.373503099638 -366.09225517927</f>
        <v>-944.25870357633903</v>
      </c>
      <c r="R1108" t="s">
        <v>12228</v>
      </c>
      <c r="S1108" t="s">
        <v>12229</v>
      </c>
      <c r="T1108" t="s">
        <v>12230</v>
      </c>
      <c r="U1108" t="s">
        <v>12231</v>
      </c>
      <c r="V1108">
        <f>-612.911765087852 -114.202033419069 -96.4491443915164</f>
        <v>-823.56294289843743</v>
      </c>
      <c r="W1108" t="s">
        <v>12232</v>
      </c>
      <c r="X1108" t="s">
        <v>12233</v>
      </c>
      <c r="Y1108" t="s">
        <v>12234</v>
      </c>
    </row>
    <row r="1109" spans="1:25" x14ac:dyDescent="0.3">
      <c r="A1109">
        <v>55400</v>
      </c>
      <c r="B1109" t="s">
        <v>12235</v>
      </c>
      <c r="C1109">
        <f>-620.745495579673 -19.2777342812599 -98.233457652418</f>
        <v>-738.25668751335093</v>
      </c>
      <c r="D1109">
        <f>-644.281542453487 -24.6384437891008 -211.518650323066</f>
        <v>-880.43863656565384</v>
      </c>
      <c r="E1109">
        <f>-651.669513444047 -27.7179632610835 -309.81715862068</f>
        <v>-989.20463532581039</v>
      </c>
      <c r="F1109">
        <f>-653.785450147555 -30.0463884066694 -398.858344506871</f>
        <v>-1082.6901830610955</v>
      </c>
      <c r="G1109">
        <f>-650.976598136 -31.9799499802523 -487.889918517874</f>
        <v>-1170.8464666341263</v>
      </c>
      <c r="H1109">
        <f>-641.8856809425 -34.337806983141 -612.118075606606</f>
        <v>-1288.3415635322472</v>
      </c>
      <c r="I1109">
        <f>-608.668003005943 -35.6599943703627 -688.274779120997</f>
        <v>-1332.6027764973028</v>
      </c>
      <c r="J1109">
        <f>-645.869009510551 -5.59610176016258 -557.975877670286</f>
        <v>-1209.4409889409994</v>
      </c>
      <c r="K1109" t="s">
        <v>12236</v>
      </c>
      <c r="L1109" t="s">
        <v>12237</v>
      </c>
      <c r="M1109" t="s">
        <v>12238</v>
      </c>
      <c r="N1109">
        <f>-645.90321926417 -61.0042776320282 -556.926766244137</f>
        <v>-1263.8342631403352</v>
      </c>
      <c r="O1109">
        <f>-647.403623351151 -194.110742208471 -522.632565232184</f>
        <v>-1364.146930791806</v>
      </c>
      <c r="P1109">
        <f>-628.161744362255 -231.494424374825 -231.388063771705</f>
        <v>-1091.0442325087852</v>
      </c>
      <c r="Q1109">
        <f>-475.840894975083 -102.552111341417 -366.381042613796</f>
        <v>-944.77404893029609</v>
      </c>
      <c r="R1109" t="s">
        <v>12239</v>
      </c>
      <c r="S1109" t="s">
        <v>12240</v>
      </c>
      <c r="T1109" t="s">
        <v>12241</v>
      </c>
      <c r="U1109" t="s">
        <v>12242</v>
      </c>
      <c r="V1109">
        <f>-612.981908455086 -114.109566045803 -96.4276301287764</f>
        <v>-823.51910462966543</v>
      </c>
      <c r="W1109" t="s">
        <v>12243</v>
      </c>
      <c r="X1109" t="s">
        <v>12244</v>
      </c>
      <c r="Y1109" t="s">
        <v>12245</v>
      </c>
    </row>
    <row r="1110" spans="1:25" x14ac:dyDescent="0.3">
      <c r="A1110">
        <v>55450</v>
      </c>
      <c r="B1110" t="s">
        <v>12246</v>
      </c>
      <c r="C1110">
        <f>-620.852879212786 -19.2225882409907 -98.2327621748051</f>
        <v>-738.30822962858178</v>
      </c>
      <c r="D1110">
        <f>-644.427997734555 -24.5979780193968 -211.509022519015</f>
        <v>-880.53499827296673</v>
      </c>
      <c r="E1110">
        <f>-651.861989894759 -27.668864308466 -309.80430076052</f>
        <v>-989.33515496374503</v>
      </c>
      <c r="F1110">
        <f>-654.024366209048 -29.9804095648246 -398.844886912711</f>
        <v>-1082.8496626865835</v>
      </c>
      <c r="G1110">
        <f>-651.266561601337 -31.8873042740006 -487.878627089162</f>
        <v>-1171.0324929644996</v>
      </c>
      <c r="H1110">
        <f>-642.251585003943 -34.1971285316356 -612.113122804672</f>
        <v>-1288.5618363402505</v>
      </c>
      <c r="I1110">
        <f>-609.081403891433 -35.4895340938047 -688.291252854432</f>
        <v>-1332.8621908396694</v>
      </c>
      <c r="J1110">
        <f>-646.241925575415 -5.47652339142587 -557.960390259261</f>
        <v>-1209.6788392261019</v>
      </c>
      <c r="K1110" t="s">
        <v>12247</v>
      </c>
      <c r="L1110" t="s">
        <v>12248</v>
      </c>
      <c r="M1110" t="s">
        <v>12249</v>
      </c>
      <c r="N1110">
        <f>-646.195315801674 -60.8848884980755 -556.926927269836</f>
        <v>-1264.0071315695855</v>
      </c>
      <c r="O1110">
        <f>-647.459345899014 -194.007551000685 -522.730393475854</f>
        <v>-1364.1972903755532</v>
      </c>
      <c r="P1110">
        <f>-628.44223726126 -231.350755558977 -231.465830564584</f>
        <v>-1091.258823384821</v>
      </c>
      <c r="Q1110">
        <f>-475.904726349211 -102.855288570968 -366.640087330531</f>
        <v>-945.40010225071001</v>
      </c>
      <c r="R1110" t="s">
        <v>12250</v>
      </c>
      <c r="S1110" t="s">
        <v>12251</v>
      </c>
      <c r="T1110" t="s">
        <v>12252</v>
      </c>
      <c r="U1110" t="s">
        <v>12253</v>
      </c>
      <c r="V1110">
        <f>-613.034762471314 -114.086033143533 -96.4343606343953</f>
        <v>-823.55515624924226</v>
      </c>
      <c r="W1110" t="s">
        <v>12254</v>
      </c>
      <c r="X1110" t="s">
        <v>12255</v>
      </c>
      <c r="Y1110" t="s">
        <v>12256</v>
      </c>
    </row>
    <row r="1111" spans="1:25" x14ac:dyDescent="0.3">
      <c r="A1111">
        <v>55500</v>
      </c>
      <c r="B1111" t="s">
        <v>12257</v>
      </c>
      <c r="C1111">
        <f>-620.98648898276 -19.6692659419982 -98.2463904266203</f>
        <v>-738.90214535137852</v>
      </c>
      <c r="D1111">
        <f>-644.76264878723 -25.1607477870932 -211.475160029415</f>
        <v>-881.39855660373814</v>
      </c>
      <c r="E1111">
        <f>-652.514714061761 -28.2914811587755 -309.744056537327</f>
        <v>-990.55025175786341</v>
      </c>
      <c r="F1111">
        <f>-655.022112020629 -30.6443336626294 -398.774388543372</f>
        <v>-1084.4408342266304</v>
      </c>
      <c r="G1111">
        <f>-652.666167058835 -32.5785730324501 -487.819077247267</f>
        <v>-1173.0638173385521</v>
      </c>
      <c r="H1111">
        <f>-644.270935933052 -34.9124829249276 -612.096574274747</f>
        <v>-1291.2799931327268</v>
      </c>
      <c r="I1111">
        <f>-611.23535688025 -36.1200935867923 -688.33438341653</f>
        <v>-1335.6898338835724</v>
      </c>
      <c r="J1111">
        <f>-648.049702737479 -6.1815373872837 -557.934259529854</f>
        <v>-1212.1654996546167</v>
      </c>
      <c r="K1111" t="s">
        <v>12258</v>
      </c>
      <c r="L1111" t="s">
        <v>12259</v>
      </c>
      <c r="M1111" t="s">
        <v>12260</v>
      </c>
      <c r="N1111">
        <f>-647.880766035707 -61.5893975484978 -556.882235396707</f>
        <v>-1266.3523989809119</v>
      </c>
      <c r="O1111">
        <f>-648.677076239222 -194.762653426555 -522.75078189355</f>
        <v>-1366.1905115593268</v>
      </c>
      <c r="P1111">
        <f>-628.922857587707 -231.58693193986 -231.469173317688</f>
        <v>-1091.978962845255</v>
      </c>
      <c r="Q1111">
        <f>-476.255971417227 -104.319161025951 -367.655175863446</f>
        <v>-948.23030830662401</v>
      </c>
      <c r="R1111" t="s">
        <v>12261</v>
      </c>
      <c r="S1111" t="s">
        <v>12262</v>
      </c>
      <c r="T1111" t="s">
        <v>12263</v>
      </c>
      <c r="U1111" t="s">
        <v>12264</v>
      </c>
      <c r="V1111">
        <f>-612.950774411558 -114.708609687383 -96.431138323701</f>
        <v>-824.09052242264204</v>
      </c>
      <c r="W1111" t="s">
        <v>12265</v>
      </c>
      <c r="X1111" t="s">
        <v>12266</v>
      </c>
      <c r="Y1111" t="s">
        <v>12267</v>
      </c>
    </row>
    <row r="1112" spans="1:25" x14ac:dyDescent="0.3">
      <c r="A1112">
        <v>55550</v>
      </c>
      <c r="B1112" t="s">
        <v>12268</v>
      </c>
      <c r="C1112">
        <f>-621.009223259691 -19.7182838526189 -98.2455601202415</f>
        <v>-738.97306723255144</v>
      </c>
      <c r="D1112">
        <f>-644.852993398695 -25.2335205086206 -211.458863774157</f>
        <v>-881.5453776814727</v>
      </c>
      <c r="E1112">
        <f>-652.711885183157 -28.3664444932344 -309.719208956046</f>
        <v>-990.79753863243741</v>
      </c>
      <c r="F1112">
        <f>-655.335319570536 -30.7142474638715 -398.746464899936</f>
        <v>-1084.7960319343433</v>
      </c>
      <c r="G1112">
        <f>-653.114265018539 -32.6367811306714 -487.794789916997</f>
        <v>-1173.5458360662074</v>
      </c>
      <c r="H1112">
        <f>-644.927062545735 -34.9475082251979 -612.086599010149</f>
        <v>-1291.9611697810819</v>
      </c>
      <c r="I1112">
        <f>-611.951477919235 -36.1439084756466 -688.350564954208</f>
        <v>-1336.4459513490897</v>
      </c>
      <c r="J1112">
        <f>-648.612219025834 -6.22655936575893 -557.91240509972</f>
        <v>-1212.751183491313</v>
      </c>
      <c r="K1112" t="s">
        <v>12269</v>
      </c>
      <c r="L1112" t="s">
        <v>12270</v>
      </c>
      <c r="M1112" t="s">
        <v>12271</v>
      </c>
      <c r="N1112">
        <f>-648.447518866085 -61.6347404942716 -556.871465762393</f>
        <v>-1266.9537251227496</v>
      </c>
      <c r="O1112">
        <f>-649.165405247632 -194.806021992484 -522.766137382351</f>
        <v>-1366.7375646224668</v>
      </c>
      <c r="P1112">
        <f>-629.287765819191 -231.437527970083 -231.468622481085</f>
        <v>-1092.1939162703591</v>
      </c>
      <c r="Q1112">
        <f>-476.355991239632 -105.05012726396 -368.176198588251</f>
        <v>-949.58231709184292</v>
      </c>
      <c r="R1112" t="s">
        <v>12272</v>
      </c>
      <c r="S1112" t="s">
        <v>12273</v>
      </c>
      <c r="T1112" t="s">
        <v>12274</v>
      </c>
      <c r="U1112" t="s">
        <v>12275</v>
      </c>
      <c r="V1112">
        <f>-612.918675967737 -114.736634465743 -96.41440932339</f>
        <v>-824.06971975687009</v>
      </c>
      <c r="W1112" t="s">
        <v>12276</v>
      </c>
      <c r="X1112" t="s">
        <v>12277</v>
      </c>
      <c r="Y1112" t="s">
        <v>12278</v>
      </c>
    </row>
    <row r="1113" spans="1:25" x14ac:dyDescent="0.3">
      <c r="A1113">
        <v>55600</v>
      </c>
      <c r="B1113" t="s">
        <v>12279</v>
      </c>
      <c r="C1113">
        <f>-621.054126170479 -19.6191006182801 -98.2540487052934</f>
        <v>-738.92727549405242</v>
      </c>
      <c r="D1113">
        <f>-644.969395749544 -25.1481205643236 -211.451627398695</f>
        <v>-881.56914371256255</v>
      </c>
      <c r="E1113">
        <f>-652.944750076842 -28.2907213519939 -309.702290887462</f>
        <v>-990.93776231629784</v>
      </c>
      <c r="F1113">
        <f>-655.695370525463 -30.6464300553932 -398.725398363272</f>
        <v>-1085.0671989441282</v>
      </c>
      <c r="G1113">
        <f>-653.62331551668 -32.5761668579787 -487.777260347017</f>
        <v>-1173.9767427216757</v>
      </c>
      <c r="H1113">
        <f>-645.666727356722 -34.8965215793512 -612.083868411704</f>
        <v>-1292.6471173477771</v>
      </c>
      <c r="I1113">
        <f>-612.755239246164 -36.1176927578942 -688.375168697806</f>
        <v>-1337.2481007018641</v>
      </c>
      <c r="J1113">
        <f>-649.240998132591 -6.17140057253118 -557.904365205962</f>
        <v>-1213.3167639110843</v>
      </c>
      <c r="K1113" t="s">
        <v>12280</v>
      </c>
      <c r="L1113" t="s">
        <v>12281</v>
      </c>
      <c r="M1113" t="s">
        <v>12282</v>
      </c>
      <c r="N1113">
        <f>-649.095085963625 -61.5795354359993 -556.860937781701</f>
        <v>-1267.5355591813254</v>
      </c>
      <c r="O1113">
        <f>-649.79276771498 -194.756250652309 -522.779519353841</f>
        <v>-1367.32853772113</v>
      </c>
      <c r="P1113">
        <f>-629.715502925958 -231.067722669307 -231.455617542385</f>
        <v>-1092.2388431376501</v>
      </c>
      <c r="Q1113">
        <f>-476.389655467533 -105.953841225882 -368.891301367793</f>
        <v>-951.23479806120804</v>
      </c>
      <c r="R1113" t="s">
        <v>12283</v>
      </c>
      <c r="S1113" t="s">
        <v>12284</v>
      </c>
      <c r="T1113" t="s">
        <v>12285</v>
      </c>
      <c r="U1113" t="s">
        <v>12286</v>
      </c>
      <c r="V1113">
        <f>-612.974451808075 -114.60238380799 -96.4108504857347</f>
        <v>-823.98768610179968</v>
      </c>
      <c r="W1113" t="s">
        <v>12287</v>
      </c>
      <c r="X1113" t="s">
        <v>12288</v>
      </c>
      <c r="Y1113" t="s">
        <v>12289</v>
      </c>
    </row>
    <row r="1114" spans="1:25" x14ac:dyDescent="0.3">
      <c r="A1114">
        <v>55650</v>
      </c>
      <c r="B1114" t="s">
        <v>12290</v>
      </c>
      <c r="C1114">
        <f>-621.184946640103 -19.5883606984899 -98.2407589031919</f>
        <v>-739.0140662417848</v>
      </c>
      <c r="D1114">
        <f>-645.23475354119 -25.122823635842 -211.40961723698</f>
        <v>-881.76719441401201</v>
      </c>
      <c r="E1114">
        <f>-653.442836340825 -28.2781817044242 -309.640718697039</f>
        <v>-991.36173674228826</v>
      </c>
      <c r="F1114">
        <f>-656.451005234606 -30.6473116786565 -398.65511005455</f>
        <v>-1085.7534269678124</v>
      </c>
      <c r="G1114">
        <f>-654.683354424085 -32.592535048776 -487.713184882974</f>
        <v>-1174.9890743558349</v>
      </c>
      <c r="H1114">
        <f>-647.200694628151 -34.9361661427445 -612.048726784838</f>
        <v>-1294.1855875557335</v>
      </c>
      <c r="I1114">
        <f>-614.402641580203 -36.2427578641 -688.387493412235</f>
        <v>-1339.032892856538</v>
      </c>
      <c r="J1114">
        <f>-650.529167687233 -6.20071927161325 -557.859126358263</f>
        <v>-1214.5890133171092</v>
      </c>
      <c r="K1114" t="s">
        <v>12291</v>
      </c>
      <c r="L1114" t="s">
        <v>12292</v>
      </c>
      <c r="M1114" t="s">
        <v>12293</v>
      </c>
      <c r="N1114">
        <f>-650.45777886039 -61.6089196901504 -556.810405317811</f>
        <v>-1268.8771038683515</v>
      </c>
      <c r="O1114">
        <f>-651.393277726207 -194.815949035457 -522.843584268376</f>
        <v>-1369.0528110300402</v>
      </c>
      <c r="P1114">
        <f>-631.080187513378 -230.188629213419 -231.420595647282</f>
        <v>-1092.689412374079</v>
      </c>
      <c r="Q1114">
        <f>-476.536780702285 -108.815651809665 -370.833019544279</f>
        <v>-956.185452056229</v>
      </c>
      <c r="R1114" t="s">
        <v>12294</v>
      </c>
      <c r="S1114" t="s">
        <v>12295</v>
      </c>
      <c r="T1114" t="s">
        <v>12296</v>
      </c>
      <c r="U1114" t="s">
        <v>12297</v>
      </c>
      <c r="V1114">
        <f>-613.143515881467 -114.6792369056 -96.3917650568901</f>
        <v>-824.21451784395708</v>
      </c>
      <c r="W1114" t="s">
        <v>12298</v>
      </c>
      <c r="X1114" t="s">
        <v>12299</v>
      </c>
      <c r="Y1114" t="s">
        <v>12300</v>
      </c>
    </row>
    <row r="1115" spans="1:25" x14ac:dyDescent="0.3">
      <c r="A1115">
        <v>55700</v>
      </c>
      <c r="B1115" t="s">
        <v>12301</v>
      </c>
      <c r="C1115">
        <f>-621.294651211823 -19.4652102180139 -98.2572816530507</f>
        <v>-739.01714308288751</v>
      </c>
      <c r="D1115">
        <f>-645.437575645049 -25.0256228637757 -211.405147377479</f>
        <v>-881.8683458863037</v>
      </c>
      <c r="E1115">
        <f>-653.843717114799 -28.2109134381108 -309.618334240649</f>
        <v>-991.67296479355878</v>
      </c>
      <c r="F1115">
        <f>-657.078503539362 -30.6107774137533 -398.624178916102</f>
        <v>-1086.3134598692172</v>
      </c>
      <c r="G1115">
        <f>-655.584419050769 -32.5913063377568 -487.686372330367</f>
        <v>-1175.862097718893</v>
      </c>
      <c r="H1115">
        <f>-648.532896891323 -34.9900349338741 -612.046068307369</f>
        <v>-1295.5690001325661</v>
      </c>
      <c r="I1115">
        <f>-615.794421579718 -36.4225045770891 -688.408148393079</f>
        <v>-1340.625074549886</v>
      </c>
      <c r="J1115">
        <f>-651.598945657514 -6.23059035948404 -557.853760994942</f>
        <v>-1215.6832970119401</v>
      </c>
      <c r="K1115" t="s">
        <v>12302</v>
      </c>
      <c r="L1115" t="s">
        <v>12303</v>
      </c>
      <c r="M1115" t="s">
        <v>12304</v>
      </c>
      <c r="N1115">
        <f>-651.672932902635 -61.6384926711708 -556.789215489544</f>
        <v>-1270.1006410633497</v>
      </c>
      <c r="O1115">
        <f>-653.0609328101 -194.85073873434 -522.872555587156</f>
        <v>-1370.7842271315958</v>
      </c>
      <c r="P1115">
        <f>-632.944550437966 -228.62372917846 -231.246180188971</f>
        <v>-1092.8144598053971</v>
      </c>
      <c r="Q1115">
        <f>-476.962501966667 -111.814628279035 -372.936251238857</f>
        <v>-961.71338148455902</v>
      </c>
      <c r="R1115" t="s">
        <v>12305</v>
      </c>
      <c r="S1115" t="s">
        <v>12306</v>
      </c>
      <c r="T1115" t="s">
        <v>12307</v>
      </c>
      <c r="U1115" t="s">
        <v>12308</v>
      </c>
      <c r="V1115">
        <f>-613.351655314373 -114.516972933081 -96.3657276751684</f>
        <v>-824.2343559226224</v>
      </c>
      <c r="W1115" t="s">
        <v>12309</v>
      </c>
      <c r="X1115" t="s">
        <v>12310</v>
      </c>
      <c r="Y1115" t="s">
        <v>12311</v>
      </c>
    </row>
    <row r="1116" spans="1:25" x14ac:dyDescent="0.3">
      <c r="A1116">
        <v>55750</v>
      </c>
      <c r="B1116" t="s">
        <v>12312</v>
      </c>
      <c r="C1116">
        <f>-621.358782137858 -19.3944339437285 -98.2634885282918</f>
        <v>-739.01670460987827</v>
      </c>
      <c r="D1116">
        <f>-645.512852401025 -24.9611650435759 -211.408611281515</f>
        <v>-881.88262872611585</v>
      </c>
      <c r="E1116">
        <f>-653.976879256027 -28.177594476226 -309.615960788571</f>
        <v>-991.77043452082398</v>
      </c>
      <c r="F1116">
        <f>-657.283751962523 -30.6159550237021 -398.617980260839</f>
        <v>-1086.517687247064</v>
      </c>
      <c r="G1116">
        <f>-655.881603814721 -32.6463170564155 -487.680509720436</f>
        <v>-1176.2084305915723</v>
      </c>
      <c r="H1116">
        <f>-648.979238590576 -35.1267027979698 -612.046929005269</f>
        <v>-1296.1528703938147</v>
      </c>
      <c r="I1116">
        <f>-616.252692498637 -36.6414769262137 -688.412569897122</f>
        <v>-1341.3067393219726</v>
      </c>
      <c r="J1116">
        <f>-651.932574919054 -6.33169377338072 -557.867247945775</f>
        <v>-1216.1315166382096</v>
      </c>
      <c r="K1116" t="s">
        <v>12313</v>
      </c>
      <c r="L1116" t="s">
        <v>12314</v>
      </c>
      <c r="M1116" t="s">
        <v>12315</v>
      </c>
      <c r="N1116">
        <f>-652.100700508515 -61.7387095596785 -556.771577351016</f>
        <v>-1270.6109874192096</v>
      </c>
      <c r="O1116">
        <f>-653.76008114518 -194.940544982886 -522.814410503086</f>
        <v>-1371.515036631152</v>
      </c>
      <c r="P1116">
        <f>-634.05551236038 -228.08267702695 -231.087635601063</f>
        <v>-1093.225824988393</v>
      </c>
      <c r="Q1116">
        <f>-477.456730659073 -113.148100169734 -373.627823943491</f>
        <v>-964.23265477229802</v>
      </c>
      <c r="R1116" t="s">
        <v>12316</v>
      </c>
      <c r="S1116" t="s">
        <v>12317</v>
      </c>
      <c r="T1116" t="s">
        <v>12318</v>
      </c>
      <c r="U1116" t="s">
        <v>12319</v>
      </c>
      <c r="V1116">
        <f>-613.48904306986 -114.455728278132 -96.3511203663429</f>
        <v>-824.29589171433497</v>
      </c>
      <c r="W1116" t="s">
        <v>12320</v>
      </c>
      <c r="X1116" t="s">
        <v>12321</v>
      </c>
      <c r="Y1116" t="s">
        <v>12322</v>
      </c>
    </row>
    <row r="1117" spans="1:25" x14ac:dyDescent="0.3">
      <c r="A1117">
        <v>55800</v>
      </c>
      <c r="B1117" t="s">
        <v>12323</v>
      </c>
      <c r="C1117">
        <f>-621.510518633851 -19.3329049580677 -98.2506471314769</f>
        <v>-739.09407072339559</v>
      </c>
      <c r="D1117">
        <f>-645.67194803068 -24.8838449468262 -211.394920784926</f>
        <v>-881.95071376243231</v>
      </c>
      <c r="E1117">
        <f>-654.194036910866 -28.1614231233477 -309.595205431453</f>
        <v>-991.9506654656667</v>
      </c>
      <c r="F1117">
        <f>-657.575003461753 -30.6840087088203 -398.592091037382</f>
        <v>-1086.8511032079552</v>
      </c>
      <c r="G1117">
        <f>-656.269007583177 -32.8293082494035 -487.653586428722</f>
        <v>-1176.7519022613026</v>
      </c>
      <c r="H1117">
        <f>-649.524259822958 -35.5030131095123 -612.0246849236</f>
        <v>-1297.0519578560702</v>
      </c>
      <c r="I1117">
        <f>-616.778475799437 -37.2286186027522 -688.377420677575</f>
        <v>-1342.3845150797642</v>
      </c>
      <c r="J1117">
        <f>-652.308602844775 -6.62423792521395 -557.880688949167</f>
        <v>-1216.8135297191561</v>
      </c>
      <c r="K1117" t="s">
        <v>12324</v>
      </c>
      <c r="L1117" t="s">
        <v>12325</v>
      </c>
      <c r="M1117" t="s">
        <v>12326</v>
      </c>
      <c r="N1117">
        <f>-652.676019866831 -62.0287613516715 -556.709571831458</f>
        <v>-1271.4143530499605</v>
      </c>
      <c r="O1117">
        <f>-654.922861215823 -195.190251169371 -522.639516169506</f>
        <v>-1372.7526285547001</v>
      </c>
      <c r="P1117">
        <f>-636.66226341336 -227.387471876229 -230.712955097074</f>
        <v>-1094.7626903866631</v>
      </c>
      <c r="Q1117">
        <f>-478.777246220831 -114.919462252192 -373.800884127076</f>
        <v>-967.4975926000991</v>
      </c>
      <c r="R1117" t="s">
        <v>12327</v>
      </c>
      <c r="S1117" t="s">
        <v>12328</v>
      </c>
      <c r="T1117" t="s">
        <v>12329</v>
      </c>
      <c r="U1117" t="s">
        <v>12330</v>
      </c>
      <c r="V1117">
        <f>-613.849516234881 -114.461438621532 -96.3184085186114</f>
        <v>-824.62936337502435</v>
      </c>
      <c r="W1117" t="s">
        <v>12331</v>
      </c>
      <c r="X1117" t="s">
        <v>12332</v>
      </c>
      <c r="Y1117" t="s">
        <v>12333</v>
      </c>
    </row>
    <row r="1118" spans="1:25" x14ac:dyDescent="0.3">
      <c r="A1118">
        <v>55850</v>
      </c>
      <c r="B1118" t="s">
        <v>12334</v>
      </c>
      <c r="C1118">
        <f>-621.549396671217 -19.1474074432524 -98.2412934714067</f>
        <v>-738.93809758587611</v>
      </c>
      <c r="D1118">
        <f>-645.708496887744 -24.7004754597228 -211.385902015235</f>
        <v>-881.79487436270188</v>
      </c>
      <c r="E1118">
        <f>-654.237277401059 -28.0108626883684 -309.584540992339</f>
        <v>-991.8326810817664</v>
      </c>
      <c r="F1118">
        <f>-657.628174886368 -30.5754825674428 -398.579931255759</f>
        <v>-1086.7835887095698</v>
      </c>
      <c r="G1118">
        <f>-656.336158148057 -32.7759346887265 -487.640080509692</f>
        <v>-1176.7521733464755</v>
      </c>
      <c r="H1118">
        <f>-649.615283716959 -35.5410205189992 -612.010557623271</f>
        <v>-1297.1668618592291</v>
      </c>
      <c r="I1118">
        <f>-616.835686789478 -37.3894403694419 -688.345959707242</f>
        <v>-1342.5710868661617</v>
      </c>
      <c r="J1118">
        <f>-652.340226565949 -6.62264797782063 -557.884632179582</f>
        <v>-1216.8475067233517</v>
      </c>
      <c r="K1118" t="s">
        <v>12335</v>
      </c>
      <c r="L1118" t="s">
        <v>12336</v>
      </c>
      <c r="M1118" t="s">
        <v>12337</v>
      </c>
      <c r="N1118">
        <f>-652.805345043558 -62.0256810597539 -556.678003868567</f>
        <v>-1271.5090299718788</v>
      </c>
      <c r="O1118">
        <f>-655.349644660782 -195.167672529314 -522.545858920035</f>
        <v>-1373.0631761101311</v>
      </c>
      <c r="P1118">
        <f>-637.967449152905 -227.149215145624 -230.541942479138</f>
        <v>-1095.658606777667</v>
      </c>
      <c r="Q1118">
        <f>-479.316952350788 -115.549624315773 -373.46302162996</f>
        <v>-968.329598296521</v>
      </c>
      <c r="R1118" t="s">
        <v>12338</v>
      </c>
      <c r="S1118" t="s">
        <v>12339</v>
      </c>
      <c r="T1118" t="s">
        <v>12340</v>
      </c>
      <c r="U1118" t="s">
        <v>12341</v>
      </c>
      <c r="V1118">
        <f>-613.995335334856 -114.184299115454 -96.2966811327808</f>
        <v>-824.47631558309081</v>
      </c>
      <c r="W1118" t="s">
        <v>12342</v>
      </c>
      <c r="X1118" t="s">
        <v>12343</v>
      </c>
      <c r="Y1118" t="s">
        <v>12344</v>
      </c>
    </row>
    <row r="1119" spans="1:25" x14ac:dyDescent="0.3">
      <c r="A1119">
        <v>55900</v>
      </c>
      <c r="B1119" t="s">
        <v>12345</v>
      </c>
      <c r="C1119">
        <f>-621.589635459183 -18.8957745780988 -98.2450528927245</f>
        <v>-738.7304629300063</v>
      </c>
      <c r="D1119">
        <f>-645.736134273876 -24.4528051711675 -211.392204286398</f>
        <v>-881.58114373144144</v>
      </c>
      <c r="E1119">
        <f>-654.260684849929 -27.8015971840007 -309.589931341295</f>
        <v>-991.65221337522473</v>
      </c>
      <c r="F1119">
        <f>-657.650947689687 -30.4144351176178 -398.583922309354</f>
        <v>-1086.6493051166588</v>
      </c>
      <c r="G1119">
        <f>-656.361511738592 -32.6778204230379 -487.642567227419</f>
        <v>-1176.6818993890488</v>
      </c>
      <c r="H1119">
        <f>-649.648075963334 -35.5457971284447 -612.011127890681</f>
        <v>-1297.2050009824598</v>
      </c>
      <c r="I1119">
        <f>-616.826862146571 -37.524531011198 -688.325376114537</f>
        <v>-1342.676769272306</v>
      </c>
      <c r="J1119">
        <f>-652.328484229289 -6.58299400314854 -557.906659142842</f>
        <v>-1216.8181373752795</v>
      </c>
      <c r="K1119" t="s">
        <v>12346</v>
      </c>
      <c r="L1119" t="s">
        <v>12347</v>
      </c>
      <c r="M1119" t="s">
        <v>12348</v>
      </c>
      <c r="N1119">
        <f>-652.87619169982 -61.9843642196179 -556.658576315629</f>
        <v>-1271.519132235067</v>
      </c>
      <c r="O1119">
        <f>-655.712279928862 -195.106416725454 -522.479090506683</f>
        <v>-1373.297787160999</v>
      </c>
      <c r="P1119">
        <f>-639.243260775818 -226.711291122544 -230.381351287839</f>
        <v>-1096.335903186201</v>
      </c>
      <c r="Q1119">
        <f>-479.608311069542 -116.10133193103 -372.975084029379</f>
        <v>-968.68472702995098</v>
      </c>
      <c r="R1119" t="s">
        <v>12349</v>
      </c>
      <c r="S1119" t="s">
        <v>12350</v>
      </c>
      <c r="T1119" t="s">
        <v>12351</v>
      </c>
      <c r="U1119" t="s">
        <v>12352</v>
      </c>
      <c r="V1119">
        <f>-614.140844613284 -113.860865425908 -96.2744452704304</f>
        <v>-824.27615530962237</v>
      </c>
      <c r="W1119" t="s">
        <v>12353</v>
      </c>
      <c r="X1119" t="s">
        <v>12354</v>
      </c>
      <c r="Y1119" t="s">
        <v>12355</v>
      </c>
    </row>
    <row r="1120" spans="1:25" x14ac:dyDescent="0.3">
      <c r="A1120">
        <v>55950</v>
      </c>
      <c r="B1120" t="s">
        <v>12356</v>
      </c>
      <c r="C1120">
        <f>-621.583079096073 -18.5050134317471 -98.3203104315234</f>
        <v>-738.40840295934345</v>
      </c>
      <c r="D1120">
        <f>-645.670712044078 -24.0627232714662 -211.480009742293</f>
        <v>-881.21344505783713</v>
      </c>
      <c r="E1120">
        <f>-654.169555426916 -27.5045437956544 -309.676730582454</f>
        <v>-991.35082980502443</v>
      </c>
      <c r="F1120">
        <f>-657.547753274993 -30.2373348631284 -398.66748172354</f>
        <v>-1086.4525698616615</v>
      </c>
      <c r="G1120">
        <f>-656.258281827328 -32.6563350894514 -487.722084615953</f>
        <v>-1176.6367015327323</v>
      </c>
      <c r="H1120">
        <f>-649.557811123101 -35.779181728446 -612.085069940322</f>
        <v>-1297.4220627918689</v>
      </c>
      <c r="I1120">
        <f>-616.640950055452 -37.9792089992793 -688.35229538977</f>
        <v>-1342.9724544445012</v>
      </c>
      <c r="J1120">
        <f>-652.182741593907 -6.70610770671396 -558.037280853869</f>
        <v>-1216.92613015449</v>
      </c>
      <c r="K1120" t="s">
        <v>12357</v>
      </c>
      <c r="L1120" t="s">
        <v>12358</v>
      </c>
      <c r="M1120" t="s">
        <v>12359</v>
      </c>
      <c r="N1120">
        <f>-652.829940437915 -62.1038875888237 -556.680977764994</f>
        <v>-1271.6148057917326</v>
      </c>
      <c r="O1120">
        <f>-656.047592064035 -195.174007930369 -522.333523804823</f>
        <v>-1373.555123799227</v>
      </c>
      <c r="P1120">
        <f>-641.385895697789 -226.245308089535 -230.082292710972</f>
        <v>-1097.7134964982961</v>
      </c>
      <c r="Q1120">
        <f>-480.266635473701 -116.650653952739 -371.787846043369</f>
        <v>-968.70513546980897</v>
      </c>
      <c r="R1120" t="s">
        <v>12360</v>
      </c>
      <c r="S1120" t="s">
        <v>12361</v>
      </c>
      <c r="T1120" t="s">
        <v>12362</v>
      </c>
      <c r="U1120" t="s">
        <v>12363</v>
      </c>
      <c r="V1120">
        <f>-614.250959762555 -113.497158050149 -96.2830808180507</f>
        <v>-824.03119863075472</v>
      </c>
      <c r="W1120" t="s">
        <v>12364</v>
      </c>
      <c r="X1120" t="s">
        <v>12365</v>
      </c>
      <c r="Y1120" t="s">
        <v>12366</v>
      </c>
    </row>
    <row r="1121" spans="1:25" x14ac:dyDescent="0.3">
      <c r="A1121">
        <v>56000</v>
      </c>
      <c r="B1121" t="s">
        <v>12367</v>
      </c>
      <c r="C1121">
        <f>-621.449203340339 -18.215037818673 -98.336099305324</f>
        <v>-738.00034046433586</v>
      </c>
      <c r="D1121">
        <f>-645.470613452204 -23.7998275928994 -211.508570010679</f>
        <v>-880.77901105578246</v>
      </c>
      <c r="E1121">
        <f>-653.932568052993 -27.3363686069874 -309.705000587089</f>
        <v>-990.97393724706944</v>
      </c>
      <c r="F1121">
        <f>-657.286504560397 -30.1826407655647 -398.693218249883</f>
        <v>-1086.1623635758447</v>
      </c>
      <c r="G1121">
        <f>-655.982356241905 -32.7427483830563 -487.74366743411</f>
        <v>-1176.4687720590714</v>
      </c>
      <c r="H1121">
        <f>-649.271963296464 -36.0915600603546 -612.100261349294</f>
        <v>-1297.4637847061126</v>
      </c>
      <c r="I1121">
        <f>-616.25123271072 -38.3607373238501 -688.320433508565</f>
        <v>-1342.932403543135</v>
      </c>
      <c r="J1121">
        <f>-651.893922886993 -6.92044586245811 -558.105063725013</f>
        <v>-1216.919432474464</v>
      </c>
      <c r="K1121" t="s">
        <v>12368</v>
      </c>
      <c r="L1121" t="s">
        <v>12369</v>
      </c>
      <c r="M1121" t="s">
        <v>12370</v>
      </c>
      <c r="N1121">
        <f>-652.555835565456 -62.315453624715 -556.64910307078</f>
        <v>-1271.5203922609512</v>
      </c>
      <c r="O1121">
        <f>-655.871326422872 -195.324214402244 -522.082490187059</f>
        <v>-1373.278031012175</v>
      </c>
      <c r="P1121">
        <f>-642.396102742183 -225.733066338505 -229.704562257052</f>
        <v>-1097.8337313377399</v>
      </c>
      <c r="Q1121">
        <f>-480.551880361306 -116.237390066506 -370.658524930023</f>
        <v>-967.44779535783505</v>
      </c>
      <c r="R1121" t="s">
        <v>12371</v>
      </c>
      <c r="S1121" t="s">
        <v>12372</v>
      </c>
      <c r="T1121" t="s">
        <v>12373</v>
      </c>
      <c r="U1121" t="s">
        <v>12374</v>
      </c>
      <c r="V1121">
        <f>-614.196506807248 -113.204961076348 -96.2668863030307</f>
        <v>-823.66835418662674</v>
      </c>
      <c r="W1121" t="s">
        <v>12375</v>
      </c>
      <c r="X1121" t="s">
        <v>12376</v>
      </c>
      <c r="Y1121" t="s">
        <v>12377</v>
      </c>
    </row>
    <row r="1122" spans="1:25" x14ac:dyDescent="0.3">
      <c r="A1122">
        <v>56050</v>
      </c>
      <c r="B1122" t="s">
        <v>12378</v>
      </c>
      <c r="C1122">
        <f>-621.357775925925 -18.0336216376677 -98.3293053984941</f>
        <v>-737.72070296208676</v>
      </c>
      <c r="D1122">
        <f>-645.334748552021 -23.632891073087 -211.510428429991</f>
        <v>-880.4780680550989</v>
      </c>
      <c r="E1122">
        <f>-653.754523824032 -27.2076466691581 -309.709110490666</f>
        <v>-990.67128098385615</v>
      </c>
      <c r="F1122">
        <f>-657.069093738412 -30.0993528812276 -398.697350211987</f>
        <v>-1085.8657968316265</v>
      </c>
      <c r="G1122">
        <f>-655.724552068008 -32.7156064711162 -487.745640932118</f>
        <v>-1176.1857994712423</v>
      </c>
      <c r="H1122">
        <f>-648.956777182238 -36.1543811432809 -612.096667748319</f>
        <v>-1297.2078260738381</v>
      </c>
      <c r="I1122">
        <f>-615.876525806885 -38.414135313998 -688.29129244581</f>
        <v>-1342.5819535666928</v>
      </c>
      <c r="J1122">
        <f>-651.609051199836 -6.94418714414633 -558.124090582557</f>
        <v>-1216.6773289265393</v>
      </c>
      <c r="K1122" t="s">
        <v>12379</v>
      </c>
      <c r="L1122" t="s">
        <v>12380</v>
      </c>
      <c r="M1122" t="s">
        <v>12381</v>
      </c>
      <c r="N1122">
        <f>-652.260937886039 -62.338185228376 -556.627696402734</f>
        <v>-1271.2268195171491</v>
      </c>
      <c r="O1122">
        <f>-655.569815675887 -195.339972742734 -521.99721753913</f>
        <v>-1372.9070059577512</v>
      </c>
      <c r="P1122">
        <f>-642.531183857977 -226.0917194543 -229.635249884172</f>
        <v>-1098.258153196449</v>
      </c>
      <c r="Q1122">
        <f>-480.829572128608 -115.572294057816 -369.952375452512</f>
        <v>-966.35424163893595</v>
      </c>
      <c r="R1122" t="s">
        <v>12382</v>
      </c>
      <c r="S1122" t="s">
        <v>12383</v>
      </c>
      <c r="T1122" t="s">
        <v>12384</v>
      </c>
      <c r="U1122" t="s">
        <v>12385</v>
      </c>
      <c r="V1122">
        <f>-614.063772104026 -113.052214772306 -96.2451966919728</f>
        <v>-823.3611835683048</v>
      </c>
      <c r="W1122" t="s">
        <v>12386</v>
      </c>
      <c r="X1122" t="s">
        <v>12387</v>
      </c>
      <c r="Y1122" t="s">
        <v>12388</v>
      </c>
    </row>
    <row r="1123" spans="1:25" x14ac:dyDescent="0.3">
      <c r="A1123">
        <v>56100</v>
      </c>
      <c r="B1123" t="s">
        <v>12389</v>
      </c>
      <c r="C1123">
        <f>-621.017373841379 -17.7231688362851 -98.3246479505178</f>
        <v>-737.06519062818199</v>
      </c>
      <c r="D1123">
        <f>-644.876429173426 -23.3069613613809 -211.531467561254</f>
        <v>-879.71485809606088</v>
      </c>
      <c r="E1123">
        <f>-653.188998436053 -26.917621083719 -309.73802859426</f>
        <v>-989.844648114032</v>
      </c>
      <c r="F1123">
        <f>-656.405067501897 -29.860672056524 -398.728090197049</f>
        <v>-1084.99382975547</v>
      </c>
      <c r="G1123">
        <f>-654.961091437325 -32.5463493623736 -487.77278464433</f>
        <v>-1175.2802254440285</v>
      </c>
      <c r="H1123">
        <f>-648.053837508442 -36.1000555158216 -612.112928270159</f>
        <v>-1296.2668212944227</v>
      </c>
      <c r="I1123">
        <f>-614.836712293527 -38.2670157785694 -688.250578055784</f>
        <v>-1341.3543061278804</v>
      </c>
      <c r="J1123">
        <f>-650.791483436355 -6.83959307834243 -558.171706255776</f>
        <v>-1215.8027827704734</v>
      </c>
      <c r="K1123" t="s">
        <v>12390</v>
      </c>
      <c r="L1123" t="s">
        <v>12391</v>
      </c>
      <c r="M1123" t="s">
        <v>12392</v>
      </c>
      <c r="N1123">
        <f>-651.395282432597 -62.2327889748711 -556.622152621877</f>
        <v>-1270.2502240293452</v>
      </c>
      <c r="O1123">
        <f>-654.598861598771 -195.225406656456 -521.981159632366</f>
        <v>-1371.8054278875929</v>
      </c>
      <c r="P1123">
        <f>-642.117819445898 -226.773412559233 -229.679603249963</f>
        <v>-1098.5708352550942</v>
      </c>
      <c r="Q1123">
        <f>-480.949664750713 -114.002010630128 -368.813818439175</f>
        <v>-963.76549382001599</v>
      </c>
      <c r="R1123" t="s">
        <v>12393</v>
      </c>
      <c r="S1123" t="s">
        <v>12394</v>
      </c>
      <c r="T1123" t="s">
        <v>12395</v>
      </c>
      <c r="U1123" t="s">
        <v>12396</v>
      </c>
      <c r="V1123">
        <f>-613.734777676096 -112.769681962575 -96.2349383406909</f>
        <v>-822.7393979793618</v>
      </c>
      <c r="W1123" t="s">
        <v>12397</v>
      </c>
      <c r="X1123" t="s">
        <v>12398</v>
      </c>
      <c r="Y1123" t="s">
        <v>12399</v>
      </c>
    </row>
    <row r="1124" spans="1:25" x14ac:dyDescent="0.3">
      <c r="A1124">
        <v>56150</v>
      </c>
      <c r="B1124" t="s">
        <v>12400</v>
      </c>
      <c r="C1124">
        <f>-620.781428561099 -17.6579046913778 -98.2983200823958</f>
        <v>-736.73765333487256</v>
      </c>
      <c r="D1124">
        <f>-644.586827979038 -23.235659362178 -211.516692091555</f>
        <v>-879.33917943277106</v>
      </c>
      <c r="E1124">
        <f>-652.85786606455 -26.8398610694526 -309.727061242125</f>
        <v>-989.42478837612748</v>
      </c>
      <c r="F1124">
        <f>-656.038364992247 -29.7762826488533 -398.718527591859</f>
        <v>-1084.5331752329594</v>
      </c>
      <c r="G1124">
        <f>-654.560828147627 -32.455004405406 -487.762854000092</f>
        <v>-1174.778686553125</v>
      </c>
      <c r="H1124">
        <f>-647.608832050558 -35.9983784527619 -612.10090346064</f>
        <v>-1295.7081139639599</v>
      </c>
      <c r="I1124">
        <f>-614.337136436455 -38.0698344186292 -688.217500042087</f>
        <v>-1340.6244708971712</v>
      </c>
      <c r="J1124">
        <f>-650.374080801319 -6.74238485050637 -558.158730022216</f>
        <v>-1215.2751956740412</v>
      </c>
      <c r="K1124" t="s">
        <v>12401</v>
      </c>
      <c r="L1124" t="s">
        <v>12402</v>
      </c>
      <c r="M1124" t="s">
        <v>12403</v>
      </c>
      <c r="N1124">
        <f>-650.962073750464 -62.1357886471015 -556.613022506784</f>
        <v>-1269.7108849043495</v>
      </c>
      <c r="O1124">
        <f>-654.138447446557 -195.134762953937 -521.983699087747</f>
        <v>-1371.256909488241</v>
      </c>
      <c r="P1124">
        <f>-641.77077744435 -226.926494559337 -229.703754057986</f>
        <v>-1098.4010260616731</v>
      </c>
      <c r="Q1124">
        <f>-480.990040847775 -113.456851959981 -368.718318885864</f>
        <v>-963.16521169361999</v>
      </c>
      <c r="R1124" t="s">
        <v>12404</v>
      </c>
      <c r="S1124" t="s">
        <v>12405</v>
      </c>
      <c r="T1124" t="s">
        <v>12406</v>
      </c>
      <c r="U1124" t="s">
        <v>12407</v>
      </c>
      <c r="V1124">
        <f>-613.497794365149 -112.740941485001 -96.2251659357537</f>
        <v>-822.46390178590377</v>
      </c>
      <c r="W1124" t="s">
        <v>12408</v>
      </c>
      <c r="X1124" t="s">
        <v>12409</v>
      </c>
      <c r="Y1124" t="s">
        <v>12410</v>
      </c>
    </row>
    <row r="1125" spans="1:25" x14ac:dyDescent="0.3">
      <c r="A1125">
        <v>56200</v>
      </c>
      <c r="B1125" t="s">
        <v>12411</v>
      </c>
      <c r="C1125">
        <f>-620.333902128632 -17.3874742993441 -98.2466399671296</f>
        <v>-735.96801639510568</v>
      </c>
      <c r="D1125">
        <f>-644.049683292802 -22.9212627646093 -211.486077772327</f>
        <v>-878.45702382973832</v>
      </c>
      <c r="E1125">
        <f>-652.264269468857 -26.4592769945491 -309.703456347436</f>
        <v>-988.42700281084217</v>
      </c>
      <c r="F1125">
        <f>-655.401849342122 -29.3240534449731 -398.698904498025</f>
        <v>-1083.4248072851201</v>
      </c>
      <c r="G1125">
        <f>-653.889372155779 -31.9181035391116 -487.745052656679</f>
        <v>-1173.5525283515697</v>
      </c>
      <c r="H1125">
        <f>-646.896854117812 -35.3295114973896 -612.084440746516</f>
        <v>-1294.3108063617176</v>
      </c>
      <c r="I1125">
        <f>-613.539115724504 -37.1471510352676 -688.169920312753</f>
        <v>-1338.8561870725246</v>
      </c>
      <c r="J1125">
        <f>-649.695501597448 -6.13066359237837 -558.113069728449</f>
        <v>-1213.9392349182754</v>
      </c>
      <c r="K1125" t="s">
        <v>12412</v>
      </c>
      <c r="L1125" t="s">
        <v>12413</v>
      </c>
      <c r="M1125" t="s">
        <v>12414</v>
      </c>
      <c r="N1125">
        <f>-650.252333340944 -61.5260190085892 -556.62448457142</f>
        <v>-1268.4028369209532</v>
      </c>
      <c r="O1125">
        <f>-653.312913237569 -194.548177382285 -522.064130401794</f>
        <v>-1369.925221021648</v>
      </c>
      <c r="P1125">
        <f>-640.958903032567 -226.583654581791 -229.810380066372</f>
        <v>-1097.3529376807301</v>
      </c>
      <c r="Q1125">
        <f>-480.725969790237 -112.315957876409 -368.803781664923</f>
        <v>-961.84570933156897</v>
      </c>
      <c r="R1125" t="s">
        <v>12415</v>
      </c>
      <c r="S1125" t="s">
        <v>12416</v>
      </c>
      <c r="T1125" t="s">
        <v>12417</v>
      </c>
      <c r="U1125" t="s">
        <v>12418</v>
      </c>
      <c r="V1125">
        <f>-613.01153877801 -112.385087065294 -96.2253082411736</f>
        <v>-821.62193408447763</v>
      </c>
      <c r="W1125" t="s">
        <v>12419</v>
      </c>
      <c r="X1125" t="s">
        <v>12420</v>
      </c>
      <c r="Y1125" t="s">
        <v>12421</v>
      </c>
    </row>
    <row r="1126" spans="1:25" x14ac:dyDescent="0.3">
      <c r="A1126">
        <v>56250</v>
      </c>
      <c r="B1126" t="s">
        <v>12422</v>
      </c>
      <c r="C1126">
        <f>-620.119243877111 -17.341009487508 -98.2406743187847</f>
        <v>-735.70092768340373</v>
      </c>
      <c r="D1126">
        <f>-643.809048473239 -22.836258132153 -211.487275532173</f>
        <v>-878.13258213756512</v>
      </c>
      <c r="E1126">
        <f>-652.011219526287 -26.3210880592842 -309.707730261424</f>
        <v>-988.04003784699523</v>
      </c>
      <c r="F1126">
        <f>-655.14152230088 -29.1286497230292 -398.705195974581</f>
        <v>-1082.9753679984901</v>
      </c>
      <c r="G1126">
        <f>-653.625555044034 -31.6561318977492 -487.753335517103</f>
        <v>-1173.035022458886</v>
      </c>
      <c r="H1126">
        <f>-646.632144727846 -34.9640544737838 -612.095281091933</f>
        <v>-1293.6914802935628</v>
      </c>
      <c r="I1126">
        <f>-613.260748486431 -36.6503417665269 -688.177846712872</f>
        <v>-1338.0889369658298</v>
      </c>
      <c r="J1126">
        <f>-649.439035434177 -5.81013433196995 -558.100166097142</f>
        <v>-1213.3493358632891</v>
      </c>
      <c r="K1126" t="s">
        <v>12423</v>
      </c>
      <c r="L1126" t="s">
        <v>12424</v>
      </c>
      <c r="M1126" t="s">
        <v>12425</v>
      </c>
      <c r="N1126">
        <f>-649.980104231156 -61.2067953237239 -556.65681816874</f>
        <v>-1267.8437177236199</v>
      </c>
      <c r="O1126">
        <f>-652.989174137255 -194.246545333934 -522.172853666818</f>
        <v>-1369.4085731380069</v>
      </c>
      <c r="P1126">
        <f>-640.54633561701 -226.567042274819 -229.954102860574</f>
        <v>-1097.0674807524028</v>
      </c>
      <c r="Q1126">
        <f>-480.622274869865 -111.933014182964 -369.001735797932</f>
        <v>-961.55702485076108</v>
      </c>
      <c r="R1126" t="s">
        <v>12426</v>
      </c>
      <c r="S1126" t="s">
        <v>12427</v>
      </c>
      <c r="T1126" t="s">
        <v>12428</v>
      </c>
      <c r="U1126" t="s">
        <v>12429</v>
      </c>
      <c r="V1126">
        <f>-612.848435425687 -112.368973886836 -96.2358604472598</f>
        <v>-821.45326975978276</v>
      </c>
      <c r="W1126" t="s">
        <v>12430</v>
      </c>
      <c r="X1126" t="s">
        <v>12431</v>
      </c>
      <c r="Y1126" t="s">
        <v>12432</v>
      </c>
    </row>
    <row r="1127" spans="1:25" x14ac:dyDescent="0.3">
      <c r="A1127">
        <v>56300</v>
      </c>
      <c r="B1127" t="s">
        <v>12433</v>
      </c>
      <c r="C1127">
        <f>-619.747852097331 -17.3414604166762 -98.2065398234653</f>
        <v>-735.29585233747252</v>
      </c>
      <c r="D1127">
        <f>-643.372268595348 -22.7433700522079 -211.471449850727</f>
        <v>-877.58708849828292</v>
      </c>
      <c r="E1127">
        <f>-651.517281568722 -26.0769721832837 -309.701747788679</f>
        <v>-987.29600154068464</v>
      </c>
      <c r="F1127">
        <f>-654.594806031575 -28.7186195317254 -398.706207671961</f>
        <v>-1082.0196332352614</v>
      </c>
      <c r="G1127">
        <f>-653.024771655297 -31.0501012681823 -487.758699814958</f>
        <v>-1171.8335727384372</v>
      </c>
      <c r="H1127">
        <f>-645.953806301883 -34.0521586788802 -612.104224416251</f>
        <v>-1292.1101893970142</v>
      </c>
      <c r="I1127">
        <f>-612.620953375548 -35.4901063964357 -688.208611117582</f>
        <v>-1336.3196708895657</v>
      </c>
      <c r="J1127">
        <f>-648.805488182899 -5.03098595537017 -558.039791997373</f>
        <v>-1211.8762661356423</v>
      </c>
      <c r="K1127" t="s">
        <v>12434</v>
      </c>
      <c r="L1127" t="s">
        <v>12435</v>
      </c>
      <c r="M1127" t="s">
        <v>12436</v>
      </c>
      <c r="N1127">
        <f>-649.325272332269 -60.4311937304557 -556.73186704084</f>
        <v>-1266.4883331035649</v>
      </c>
      <c r="O1127">
        <f>-652.302691029347 -193.554200268188 -522.556705272975</f>
        <v>-1368.41359657051</v>
      </c>
      <c r="P1127">
        <f>-639.789493349853 -226.889385263532 -230.455050917663</f>
        <v>-1097.1339295310479</v>
      </c>
      <c r="Q1127">
        <f>-480.05267166455 -111.569798015257 -369.150487952607</f>
        <v>-960.77295763241409</v>
      </c>
      <c r="R1127" t="s">
        <v>12437</v>
      </c>
      <c r="S1127" t="s">
        <v>12438</v>
      </c>
      <c r="T1127" t="s">
        <v>12439</v>
      </c>
      <c r="U1127" t="s">
        <v>12440</v>
      </c>
      <c r="V1127">
        <f>-612.509719911712 -112.370606502885 -96.2488168723928</f>
        <v>-821.1291432869898</v>
      </c>
      <c r="W1127" t="s">
        <v>12441</v>
      </c>
      <c r="X1127" t="s">
        <v>12442</v>
      </c>
      <c r="Y1127" t="s">
        <v>12443</v>
      </c>
    </row>
    <row r="1128" spans="1:25" x14ac:dyDescent="0.3">
      <c r="A1128">
        <v>56350</v>
      </c>
      <c r="B1128" t="s">
        <v>12444</v>
      </c>
      <c r="C1128">
        <f>-619.554257771101 -17.3341872568124 -98.1816538512093</f>
        <v>-735.07009887912261</v>
      </c>
      <c r="D1128">
        <f>-643.140439007077 -22.6834549174748 -211.456943523713</f>
        <v>-877.28083744826483</v>
      </c>
      <c r="E1128">
        <f>-651.239436704304 -25.9353998906972 -309.693897309926</f>
        <v>-986.86873390492724</v>
      </c>
      <c r="F1128">
        <f>-654.269803110818 -28.4881437900888 -398.702541885507</f>
        <v>-1081.4604887864139</v>
      </c>
      <c r="G1128">
        <f>-652.646674773468 -30.7159896299195 -487.75660907746</f>
        <v>-1171.1192734808474</v>
      </c>
      <c r="H1128">
        <f>-645.495534810004 -33.5579454359831 -612.101390561247</f>
        <v>-1291.1548708072341</v>
      </c>
      <c r="I1128">
        <f>-612.198533697683 -34.8960037561294 -688.223213126097</f>
        <v>-1335.3177505799094</v>
      </c>
      <c r="J1128">
        <f>-648.380945848083 -4.6063336852103 -558.001459055681</f>
        <v>-1210.9887385889742</v>
      </c>
      <c r="K1128" t="s">
        <v>12445</v>
      </c>
      <c r="L1128" t="s">
        <v>12446</v>
      </c>
      <c r="M1128" t="s">
        <v>12447</v>
      </c>
      <c r="N1128">
        <f>-648.903782411679 -60.0081593952885 -556.765230464323</f>
        <v>-1265.6771722712906</v>
      </c>
      <c r="O1128">
        <f>-651.909413808939 -193.171843275791 -522.759998741684</f>
        <v>-1367.841255826414</v>
      </c>
      <c r="P1128">
        <f>-639.498488564533 -227.071002625449 -230.718954454596</f>
        <v>-1097.2884456445781</v>
      </c>
      <c r="Q1128">
        <f>-479.704062060017 -111.463293802064 -369.10772191359</f>
        <v>-960.27507777567098</v>
      </c>
      <c r="R1128" t="s">
        <v>12448</v>
      </c>
      <c r="S1128" t="s">
        <v>12449</v>
      </c>
      <c r="T1128" t="s">
        <v>12450</v>
      </c>
      <c r="U1128" t="s">
        <v>12451</v>
      </c>
      <c r="V1128">
        <f>-612.362521787645 -112.318874078874 -96.2607213946169</f>
        <v>-820.94211726113599</v>
      </c>
      <c r="W1128" t="s">
        <v>12452</v>
      </c>
      <c r="X1128" t="s">
        <v>12453</v>
      </c>
      <c r="Y1128" t="s">
        <v>12454</v>
      </c>
    </row>
    <row r="1129" spans="1:25" x14ac:dyDescent="0.3">
      <c r="A1129">
        <v>56400</v>
      </c>
      <c r="B1129" t="s">
        <v>12455</v>
      </c>
      <c r="C1129">
        <f>-619.093103665876 -17.2855134400909 -98.1283352444734</f>
        <v>-734.50695235044032</v>
      </c>
      <c r="D1129">
        <f>-642.583807144968 -22.5347107357782 -211.428219983484</f>
        <v>-876.54673786423018</v>
      </c>
      <c r="E1129">
        <f>-650.575413748383 -25.6369481277829 -309.678812212364</f>
        <v>-985.89117408852985</v>
      </c>
      <c r="F1129">
        <f>-653.49792560744 -28.0292277858437 -398.695509323016</f>
        <v>-1080.2226627162997</v>
      </c>
      <c r="G1129">
        <f>-651.755770369653 -30.0726141454998 -487.751885252752</f>
        <v>-1169.5802697679046</v>
      </c>
      <c r="H1129">
        <f>-644.426347928749 -32.6322422563221 -612.092194523613</f>
        <v>-1289.1507847086841</v>
      </c>
      <c r="I1129">
        <f>-611.196128257933 -33.8212186762764 -688.245746106112</f>
        <v>-1333.2630930403216</v>
      </c>
      <c r="J1129">
        <f>-647.364348221767 -3.80387075560429 -557.929502983243</f>
        <v>-1209.0977219606143</v>
      </c>
      <c r="K1129" t="s">
        <v>12456</v>
      </c>
      <c r="L1129" t="s">
        <v>12457</v>
      </c>
      <c r="M1129" t="s">
        <v>12458</v>
      </c>
      <c r="N1129">
        <f>-647.939089878138 -59.2078517958015 -556.822752828749</f>
        <v>-1263.9696945026885</v>
      </c>
      <c r="O1129">
        <f>-651.116938265731 -192.433415873267 -523.075614624831</f>
        <v>-1366.625968763829</v>
      </c>
      <c r="P1129">
        <f>-639.106002948663 -227.148729153702 -231.113687151192</f>
        <v>-1097.368419253557</v>
      </c>
      <c r="Q1129">
        <f>-478.965502523557 -111.186102414095 -368.803686775678</f>
        <v>-958.95529171332998</v>
      </c>
      <c r="R1129" t="s">
        <v>12459</v>
      </c>
      <c r="S1129" t="s">
        <v>12460</v>
      </c>
      <c r="T1129" t="s">
        <v>12461</v>
      </c>
      <c r="U1129" t="s">
        <v>12462</v>
      </c>
      <c r="V1129">
        <f>-611.947068626473 -112.211040267975 -96.278420634697</f>
        <v>-820.43652952914499</v>
      </c>
      <c r="W1129" t="s">
        <v>12463</v>
      </c>
      <c r="X1129" t="s">
        <v>12464</v>
      </c>
      <c r="Y1129" t="s">
        <v>12465</v>
      </c>
    </row>
    <row r="1130" spans="1:25" x14ac:dyDescent="0.3">
      <c r="A1130">
        <v>56450</v>
      </c>
      <c r="B1130" t="s">
        <v>12466</v>
      </c>
      <c r="C1130">
        <f>-618.811204524347 -17.3276096679911 -98.097387870362</f>
        <v>-734.23620206270004</v>
      </c>
      <c r="D1130">
        <f>-642.257894005375 -22.5302767890641 -211.4084380624</f>
        <v>-876.19660885683913</v>
      </c>
      <c r="E1130">
        <f>-650.189336305273 -25.5705428817764 -309.665822147542</f>
        <v>-985.42570133459139</v>
      </c>
      <c r="F1130">
        <f>-653.048225147212 -27.89790981895 -398.686327066946</f>
        <v>-1079.6324620331079</v>
      </c>
      <c r="G1130">
        <f>-651.233060195411 -29.8681627704552 -487.742885325613</f>
        <v>-1168.8441082914792</v>
      </c>
      <c r="H1130">
        <f>-643.791928187887 -32.3169187966914 -612.07893051485</f>
        <v>-1288.1877774994284</v>
      </c>
      <c r="I1130">
        <f>-610.577427298133 -33.4399691523886 -688.240262208639</f>
        <v>-1332.2576586591606</v>
      </c>
      <c r="J1130">
        <f>-646.760088770161 -3.53708143361882 -557.891885484006</f>
        <v>-1208.1890556877859</v>
      </c>
      <c r="K1130" t="s">
        <v>12467</v>
      </c>
      <c r="L1130" t="s">
        <v>12468</v>
      </c>
      <c r="M1130" t="s">
        <v>12469</v>
      </c>
      <c r="N1130">
        <f>-647.372627063777 -58.9416717142077 -556.837559458325</f>
        <v>-1263.1518582363096</v>
      </c>
      <c r="O1130">
        <f>-650.647191744117 -192.178632526482 -523.13954578855</f>
        <v>-1365.9653700591489</v>
      </c>
      <c r="P1130">
        <f>-638.815366232935 -227.114702855035 -231.196638078325</f>
        <v>-1097.1267071662951</v>
      </c>
      <c r="Q1130">
        <f>-478.572839105388 -110.992024983045 -368.632886652324</f>
        <v>-958.1977507407571</v>
      </c>
      <c r="R1130" t="s">
        <v>12470</v>
      </c>
      <c r="S1130" t="s">
        <v>12471</v>
      </c>
      <c r="T1130" t="s">
        <v>12472</v>
      </c>
      <c r="U1130" t="s">
        <v>12473</v>
      </c>
      <c r="V1130">
        <f>-611.729258722765 -112.273123836512 -96.2861653014945</f>
        <v>-820.28854786077159</v>
      </c>
      <c r="W1130" t="s">
        <v>12474</v>
      </c>
      <c r="X1130" t="s">
        <v>12475</v>
      </c>
      <c r="Y1130" t="s">
        <v>12476</v>
      </c>
    </row>
    <row r="1131" spans="1:25" x14ac:dyDescent="0.3">
      <c r="A1131">
        <v>56500</v>
      </c>
      <c r="B1131" t="s">
        <v>12477</v>
      </c>
      <c r="C1131">
        <f>-618.221230151765 -17.2251245144066 -98.0427366188701</f>
        <v>-733.4890912850417</v>
      </c>
      <c r="D1131">
        <f>-641.572875177415 -22.3218495783747 -211.378326806011</f>
        <v>-875.27305156180068</v>
      </c>
      <c r="E1131">
        <f>-649.362437194674 -25.2593551332761 -309.650019296442</f>
        <v>-984.27181162439217</v>
      </c>
      <c r="F1131">
        <f>-652.068736490836 -27.4887530998462 -398.678003349391</f>
        <v>-1078.2354929400733</v>
      </c>
      <c r="G1131">
        <f>-650.076939736338 -29.3566139940699 -487.732847778787</f>
        <v>-1167.1664015091949</v>
      </c>
      <c r="H1131">
        <f>-642.363944174329 -31.6581667734615 -612.055228437023</f>
        <v>-1286.0773393848135</v>
      </c>
      <c r="I1131">
        <f>-609.195647378057 -32.7074869950779 -688.237760719865</f>
        <v>-1330.1408950929999</v>
      </c>
      <c r="J1131">
        <f>-645.402134855512 -2.94294430519017 -557.837767858363</f>
        <v>-1206.1828470190653</v>
      </c>
      <c r="K1131" t="s">
        <v>12478</v>
      </c>
      <c r="L1131" t="s">
        <v>12479</v>
      </c>
      <c r="M1131" t="s">
        <v>12480</v>
      </c>
      <c r="N1131">
        <f>-646.113940873808 -58.3477518535225 -556.856208911451</f>
        <v>-1261.3179016387814</v>
      </c>
      <c r="O1131">
        <f>-649.630729192711 -191.591474887853 -523.220797882064</f>
        <v>-1364.4430019626279</v>
      </c>
      <c r="P1131">
        <f>-638.104088226172 -227.082645385635 -231.332726256722</f>
        <v>-1096.5194598685291</v>
      </c>
      <c r="Q1131">
        <f>-478.122361155998 -110.362088052076 -368.566138511296</f>
        <v>-957.05058771937001</v>
      </c>
      <c r="R1131" t="s">
        <v>12481</v>
      </c>
      <c r="S1131" t="s">
        <v>12482</v>
      </c>
      <c r="T1131" t="s">
        <v>12483</v>
      </c>
      <c r="U1131" t="s">
        <v>12484</v>
      </c>
      <c r="V1131">
        <f>-611.319807459391 -112.081415523731 -96.2631833387794</f>
        <v>-819.66440632190142</v>
      </c>
      <c r="W1131" t="s">
        <v>12485</v>
      </c>
      <c r="X1131" t="s">
        <v>12486</v>
      </c>
      <c r="Y1131" t="s">
        <v>12487</v>
      </c>
    </row>
    <row r="1132" spans="1:25" x14ac:dyDescent="0.3">
      <c r="A1132">
        <v>56550</v>
      </c>
      <c r="B1132" t="s">
        <v>12488</v>
      </c>
      <c r="C1132">
        <f>-617.946162875594 -17.1700065241309 -98.0169171744627</f>
        <v>-733.1330865741877</v>
      </c>
      <c r="D1132">
        <f>-641.250501131574 -22.2160074910689 -211.364440070352</f>
        <v>-874.83094869299487</v>
      </c>
      <c r="E1132">
        <f>-648.974632376728 -25.1166657982162 -309.642495106967</f>
        <v>-983.73379328191118</v>
      </c>
      <c r="F1132">
        <f>-651.611883992552 -27.3150539124767 -398.673160151368</f>
        <v>-1077.6000980563967</v>
      </c>
      <c r="G1132">
        <f>-649.541376233933 -29.1547997451271 -487.726920586231</f>
        <v>-1166.423096565291</v>
      </c>
      <c r="H1132">
        <f>-641.708269251905 -31.420436625699 -612.042401268074</f>
        <v>-1285.171107145678</v>
      </c>
      <c r="I1132">
        <f>-608.608796317036 -32.4756941431792 -688.254761739178</f>
        <v>-1329.3392521993933</v>
      </c>
      <c r="J1132">
        <f>-644.768089027241 -2.72124175043109 -557.81780676953</f>
        <v>-1205.307137547202</v>
      </c>
      <c r="K1132" t="s">
        <v>12489</v>
      </c>
      <c r="L1132" t="s">
        <v>12490</v>
      </c>
      <c r="M1132" t="s">
        <v>12491</v>
      </c>
      <c r="N1132">
        <f>-645.542468166763 -58.1256388876175 -556.856674896061</f>
        <v>-1260.5247819504416</v>
      </c>
      <c r="O1132">
        <f>-649.20460409792 -191.372311999864 -523.259487354234</f>
        <v>-1363.836403452018</v>
      </c>
      <c r="P1132">
        <f>-637.650549178408 -227.205314740057 -231.414000854903</f>
        <v>-1096.269864773368</v>
      </c>
      <c r="Q1132">
        <f>-478.241325952242 -109.787305487069 -368.718843072155</f>
        <v>-956.74747451146595</v>
      </c>
      <c r="R1132" t="s">
        <v>12492</v>
      </c>
      <c r="S1132" t="s">
        <v>12493</v>
      </c>
      <c r="T1132" t="s">
        <v>12494</v>
      </c>
      <c r="U1132" t="s">
        <v>12495</v>
      </c>
      <c r="V1132">
        <f>-611.152888779542 -112.032504410174 -96.2560369051132</f>
        <v>-819.44143009482923</v>
      </c>
      <c r="W1132" t="s">
        <v>12496</v>
      </c>
      <c r="X1132" t="s">
        <v>12497</v>
      </c>
      <c r="Y1132" t="s">
        <v>12498</v>
      </c>
    </row>
    <row r="1133" spans="1:25" x14ac:dyDescent="0.3">
      <c r="A1133">
        <v>56600</v>
      </c>
      <c r="B1133" t="s">
        <v>12499</v>
      </c>
      <c r="C1133">
        <f>-617.448373374027 -17.1021249491746 -97.9447600777995</f>
        <v>-732.49525840100114</v>
      </c>
      <c r="D1133">
        <f>-640.683038493829 -22.0540161150848 -211.310760334149</f>
        <v>-874.0478149430628</v>
      </c>
      <c r="E1133">
        <f>-648.280409616248 -24.8994339385838 -309.600213559184</f>
        <v>-982.78005711401579</v>
      </c>
      <c r="F1133">
        <f>-650.77645569878 -27.0583272960212 -398.636043742257</f>
        <v>-1076.4708267370581</v>
      </c>
      <c r="G1133">
        <f>-648.53846452954 -28.8703285444424 -487.686192733097</f>
        <v>-1165.0949858070794</v>
      </c>
      <c r="H1133">
        <f>-640.444264817536 -31.1102594294402 -611.985399595521</f>
        <v>-1283.5399238424973</v>
      </c>
      <c r="I1133">
        <f>-607.554954421509 -32.2112503112501 -688.288144571658</f>
        <v>-1328.054349304417</v>
      </c>
      <c r="J1133">
        <f>-643.562917806776 -2.42308346800314 -557.757845004601</f>
        <v>-1203.7438462793803</v>
      </c>
      <c r="K1133" t="s">
        <v>12500</v>
      </c>
      <c r="L1133" t="s">
        <v>12501</v>
      </c>
      <c r="M1133" t="s">
        <v>12502</v>
      </c>
      <c r="N1133">
        <f>-644.449327204653 -57.8260261544669 -556.817148073115</f>
        <v>-1259.0925014322349</v>
      </c>
      <c r="O1133">
        <f>-648.400733559931 -191.076865149927 -523.277317187933</f>
        <v>-1362.7549158977911</v>
      </c>
      <c r="P1133">
        <f>-636.812456297878 -227.815905048707 -231.545918316005</f>
        <v>-1096.1742796625899</v>
      </c>
      <c r="Q1133">
        <f>-478.191646696306 -108.860687753491 -368.439946136022</f>
        <v>-955.49228058581912</v>
      </c>
      <c r="R1133" t="s">
        <v>12503</v>
      </c>
      <c r="S1133" t="s">
        <v>12504</v>
      </c>
      <c r="T1133" t="s">
        <v>12505</v>
      </c>
      <c r="U1133" t="s">
        <v>12506</v>
      </c>
      <c r="V1133">
        <f>-610.800350073848 -111.997255008396 -96.2343943669857</f>
        <v>-819.03199944922972</v>
      </c>
      <c r="W1133" t="s">
        <v>12507</v>
      </c>
      <c r="X1133" t="s">
        <v>12508</v>
      </c>
      <c r="Y1133" t="s">
        <v>12509</v>
      </c>
    </row>
    <row r="1134" spans="1:25" x14ac:dyDescent="0.3">
      <c r="A1134">
        <v>56650</v>
      </c>
      <c r="B1134" t="s">
        <v>12510</v>
      </c>
      <c r="C1134">
        <f>-617.203218913583 -17.091646198875 -97.914423130474</f>
        <v>-732.20928824293196</v>
      </c>
      <c r="D1134">
        <f>-640.409199688023 -21.9995701274572 -211.288302631324</f>
        <v>-873.69707244680421</v>
      </c>
      <c r="E1134">
        <f>-647.934220628556 -24.8198709316584 -309.584073823111</f>
        <v>-982.33816538332542</v>
      </c>
      <c r="F1134">
        <f>-650.34567184184 -26.9618438518598 -398.622539938928</f>
        <v>-1075.930055632628</v>
      </c>
      <c r="G1134">
        <f>-648.004286934362 -28.7633784934856 -487.670326037206</f>
        <v>-1164.4379914650535</v>
      </c>
      <c r="H1134">
        <f>-639.746121249949 -30.9962054064288 -611.958819063271</f>
        <v>-1282.7011457196488</v>
      </c>
      <c r="I1134">
        <f>-607.0078028892 -32.1270185601838 -688.326058504553</f>
        <v>-1327.4608799539369</v>
      </c>
      <c r="J1134">
        <f>-642.919735557332 -2.31231179958218 -557.732562749393</f>
        <v>-1202.9646101063072</v>
      </c>
      <c r="K1134" t="s">
        <v>12511</v>
      </c>
      <c r="L1134" t="s">
        <v>12512</v>
      </c>
      <c r="M1134" t="s">
        <v>12513</v>
      </c>
      <c r="N1134">
        <f>-643.840511896734 -57.7149019646098 -556.798493151758</f>
        <v>-1258.3539070131019</v>
      </c>
      <c r="O1134">
        <f>-647.868059987897 -190.980763809239 -523.300719792282</f>
        <v>-1362.149543589418</v>
      </c>
      <c r="P1134">
        <f>-636.50763320752 -228.137274494562 -231.613358086197</f>
        <v>-1096.258265788279</v>
      </c>
      <c r="Q1134">
        <f>-477.799829286559 -108.885903151365 -368.148301833884</f>
        <v>-954.83403427180792</v>
      </c>
      <c r="R1134" t="s">
        <v>12514</v>
      </c>
      <c r="S1134" t="s">
        <v>12515</v>
      </c>
      <c r="T1134" t="s">
        <v>12516</v>
      </c>
      <c r="U1134" t="s">
        <v>12517</v>
      </c>
      <c r="V1134">
        <f>-610.585628155087 -111.989242423018 -96.2349452903131</f>
        <v>-818.80981586841813</v>
      </c>
      <c r="W1134" t="s">
        <v>12518</v>
      </c>
      <c r="X1134" t="s">
        <v>12519</v>
      </c>
      <c r="Y1134" t="s">
        <v>12520</v>
      </c>
    </row>
    <row r="1135" spans="1:25" x14ac:dyDescent="0.3">
      <c r="A1135">
        <v>56700</v>
      </c>
      <c r="B1135" t="s">
        <v>12521</v>
      </c>
      <c r="C1135">
        <f>-616.702677938077 -17.0422051816731 -97.8937779043905</f>
        <v>-731.63866102414067</v>
      </c>
      <c r="D1135">
        <f>-639.820531158193 -21.8897539464485 -211.28809424216</f>
        <v>-872.99837934680158</v>
      </c>
      <c r="E1135">
        <f>-647.203426887063 -24.6740448096132 -309.595819781318</f>
        <v>-981.47329147799417</v>
      </c>
      <c r="F1135">
        <f>-649.459876964891 -26.7905659756232 -398.63885718071</f>
        <v>-1074.8893001212241</v>
      </c>
      <c r="G1135">
        <f>-646.937312990066 -28.5748452440168 -487.682032518787</f>
        <v>-1163.1941907528699</v>
      </c>
      <c r="H1135">
        <f>-638.398945443374 -30.7927683658197 -611.951967754748</f>
        <v>-1281.1436815639418</v>
      </c>
      <c r="I1135">
        <f>-606.017345258169 -31.9565070894666 -688.470516813783</f>
        <v>-1326.4443691614188</v>
      </c>
      <c r="J1135">
        <f>-641.683788978825 -2.11567339115959 -557.728867534616</f>
        <v>-1201.5283299046005</v>
      </c>
      <c r="K1135" t="s">
        <v>12522</v>
      </c>
      <c r="L1135" t="s">
        <v>12523</v>
      </c>
      <c r="M1135" t="s">
        <v>12524</v>
      </c>
      <c r="N1135">
        <f>-642.628731649468 -57.5179454935824 -556.804957574364</f>
        <v>-1256.9516347174144</v>
      </c>
      <c r="O1135">
        <f>-646.725630052971 -190.784583925323 -523.341029789025</f>
        <v>-1360.8512437673189</v>
      </c>
      <c r="P1135">
        <f>-636.155141178683 -228.010110352379 -231.632689186126</f>
        <v>-1095.7979407171881</v>
      </c>
      <c r="Q1135">
        <f>-476.799569816374 -109.162089469658 -367.764394013142</f>
        <v>-953.72605329917405</v>
      </c>
      <c r="R1135" t="s">
        <v>12525</v>
      </c>
      <c r="S1135" t="s">
        <v>12526</v>
      </c>
      <c r="T1135" t="s">
        <v>12527</v>
      </c>
      <c r="U1135" t="s">
        <v>12528</v>
      </c>
      <c r="V1135">
        <f>-610.132817639935 -111.870536656727 -96.2418139097601</f>
        <v>-818.24516820642214</v>
      </c>
      <c r="W1135" t="s">
        <v>12529</v>
      </c>
      <c r="X1135" t="s">
        <v>12530</v>
      </c>
      <c r="Y1135" t="s">
        <v>12531</v>
      </c>
    </row>
    <row r="1136" spans="1:25" x14ac:dyDescent="0.3">
      <c r="A1136">
        <v>56750</v>
      </c>
      <c r="B1136" t="s">
        <v>12532</v>
      </c>
      <c r="C1136">
        <f>-616.489141926211 -17.0291804006556 -97.8730891357122</f>
        <v>-731.39141146257884</v>
      </c>
      <c r="D1136">
        <f>-639.562925211873 -21.8578897745683 -211.277224891544</f>
        <v>-872.69803987798537</v>
      </c>
      <c r="E1136">
        <f>-646.883379193906 -24.6328411859483 -309.589803919967</f>
        <v>-981.10602429982123</v>
      </c>
      <c r="F1136">
        <f>-649.073769176127 -26.7446550741547 -398.634653632138</f>
        <v>-1074.4530778824196</v>
      </c>
      <c r="G1136">
        <f>-646.475254044508 -28.5282217344227 -487.675735223088</f>
        <v>-1162.6792110020187</v>
      </c>
      <c r="H1136">
        <f>-637.820984142624 -30.7496896617661 -611.93753790345</f>
        <v>-1280.50821170784</v>
      </c>
      <c r="I1136">
        <f>-605.622090432684 -31.9185483905364 -688.533149667323</f>
        <v>-1326.0737884905434</v>
      </c>
      <c r="J1136">
        <f>-641.153138219902 -2.07094894587499 -557.718078501693</f>
        <v>-1200.9421656674699</v>
      </c>
      <c r="K1136" t="s">
        <v>12533</v>
      </c>
      <c r="L1136" t="s">
        <v>12534</v>
      </c>
      <c r="M1136" t="s">
        <v>12535</v>
      </c>
      <c r="N1136">
        <f>-642.10546263421 -57.4731990973271 -556.793911140887</f>
        <v>-1256.3725728724239</v>
      </c>
      <c r="O1136">
        <f>-646.219800675625 -190.739566431098 -523.315085393862</f>
        <v>-1360.2744525005851</v>
      </c>
      <c r="P1136">
        <f>-635.988255929562 -227.874951101757 -231.583173149833</f>
        <v>-1095.4463801811521</v>
      </c>
      <c r="Q1136">
        <f>-476.324956730905 -109.359297486504 -367.643963874202</f>
        <v>-953.32821809161101</v>
      </c>
      <c r="R1136" t="s">
        <v>12536</v>
      </c>
      <c r="S1136" t="s">
        <v>12537</v>
      </c>
      <c r="T1136" t="s">
        <v>12538</v>
      </c>
      <c r="U1136" t="s">
        <v>12539</v>
      </c>
      <c r="V1136">
        <f>-609.899419472093 -111.865062274128 -96.2395954825342</f>
        <v>-818.00407722875525</v>
      </c>
      <c r="W1136" t="s">
        <v>12540</v>
      </c>
      <c r="X1136" t="s">
        <v>12541</v>
      </c>
      <c r="Y1136" t="s">
        <v>12542</v>
      </c>
    </row>
    <row r="1137" spans="1:25" x14ac:dyDescent="0.3">
      <c r="A1137">
        <v>56800</v>
      </c>
      <c r="B1137" t="s">
        <v>12543</v>
      </c>
      <c r="C1137">
        <f>-616.163924786192 -17.0215652000227 -97.8487176720666</f>
        <v>-731.03420765828128</v>
      </c>
      <c r="D1137">
        <f>-639.175613420701 -21.7905019253176 -211.267967380186</f>
        <v>-872.23408272620463</v>
      </c>
      <c r="E1137">
        <f>-646.369795789537 -24.5242274264774 -309.59109667599</f>
        <v>-980.48511989200438</v>
      </c>
      <c r="F1137">
        <f>-648.416654228482 -26.6042599876494 -398.640149233432</f>
        <v>-1073.6610634495632</v>
      </c>
      <c r="G1137">
        <f>-645.645714330746 -28.3625859004137 -487.676386926641</f>
        <v>-1161.6846871578007</v>
      </c>
      <c r="H1137">
        <f>-636.720402872391 -30.5567627555038 -611.919491952814</f>
        <v>-1279.1966575807087</v>
      </c>
      <c r="I1137">
        <f>-604.88133569682 -31.7351340906964 -688.665287927722</f>
        <v>-1325.2817577152384</v>
      </c>
      <c r="J1137">
        <f>-640.16815472347 -1.8901820247163 -557.701072397142</f>
        <v>-1199.7594091453284</v>
      </c>
      <c r="K1137" t="s">
        <v>12544</v>
      </c>
      <c r="L1137" t="s">
        <v>12545</v>
      </c>
      <c r="M1137" t="s">
        <v>12546</v>
      </c>
      <c r="N1137">
        <f>-641.127825082313 -57.2924181315727 -556.79155479507</f>
        <v>-1255.2117980089558</v>
      </c>
      <c r="O1137">
        <f>-645.29021137336 -190.562181803456 -523.320741703677</f>
        <v>-1359.1731348804929</v>
      </c>
      <c r="P1137">
        <f>-635.315612374481 -227.939111102458 -231.610731029517</f>
        <v>-1094.865454506456</v>
      </c>
      <c r="Q1137">
        <f>-475.430744834047 -109.616534258966 -367.579371348162</f>
        <v>-952.626650441175</v>
      </c>
      <c r="R1137" t="s">
        <v>12547</v>
      </c>
      <c r="S1137" t="s">
        <v>12548</v>
      </c>
      <c r="T1137" t="s">
        <v>12549</v>
      </c>
      <c r="U1137" t="s">
        <v>12550</v>
      </c>
      <c r="V1137">
        <f>-609.544761467094 -111.948393308912 -96.2647988289181</f>
        <v>-817.75795360492407</v>
      </c>
      <c r="W1137" t="s">
        <v>12551</v>
      </c>
      <c r="X1137" t="s">
        <v>12552</v>
      </c>
      <c r="Y1137" t="s">
        <v>12553</v>
      </c>
    </row>
    <row r="1138" spans="1:25" x14ac:dyDescent="0.3">
      <c r="A1138">
        <v>56850</v>
      </c>
      <c r="B1138" t="s">
        <v>12554</v>
      </c>
      <c r="C1138">
        <f>-616.054350601898 -16.8860969440734 -97.8441241536061</f>
        <v>-730.78457169957755</v>
      </c>
      <c r="D1138">
        <f>-639.019608129856 -21.6364936329076 -211.27363502057</f>
        <v>-871.92973678333351</v>
      </c>
      <c r="E1138">
        <f>-646.133376626255 -24.3447681434791 -309.603250020285</f>
        <v>-980.08139479001898</v>
      </c>
      <c r="F1138">
        <f>-648.091126696807 -26.3988049991367 -398.654951227173</f>
        <v>-1073.1448829231167</v>
      </c>
      <c r="G1138">
        <f>-645.214834058237 -28.1282507675135 -487.688488727209</f>
        <v>-1161.0315735529593</v>
      </c>
      <c r="H1138">
        <f>-636.125444284719 -30.2792828400177 -611.92029750438</f>
        <v>-1278.3250246291168</v>
      </c>
      <c r="I1138">
        <f>-604.453991638094 -31.4605414421703 -688.735429721407</f>
        <v>-1324.6499628016713</v>
      </c>
      <c r="J1138">
        <f>-639.646805826972 -1.63135317711772 -557.696773450153</f>
        <v>-1198.9749324542427</v>
      </c>
      <c r="K1138" t="s">
        <v>12555</v>
      </c>
      <c r="L1138" t="s">
        <v>12556</v>
      </c>
      <c r="M1138" t="s">
        <v>12557</v>
      </c>
      <c r="N1138">
        <f>-640.603696529696 -57.0340233674376 -556.80738008929</f>
        <v>-1254.4450999864234</v>
      </c>
      <c r="O1138">
        <f>-644.768915325415 -190.30982717097 -523.360390258528</f>
        <v>-1358.4391327549131</v>
      </c>
      <c r="P1138">
        <f>-634.844164992643 -227.911530646222 -231.677483420306</f>
        <v>-1094.4331790591709</v>
      </c>
      <c r="Q1138">
        <f>-475.094215435955 -109.510291337095 -367.736309556435</f>
        <v>-952.34081632948494</v>
      </c>
      <c r="R1138" t="s">
        <v>12558</v>
      </c>
      <c r="S1138" t="s">
        <v>12559</v>
      </c>
      <c r="T1138" t="s">
        <v>12560</v>
      </c>
      <c r="U1138" t="s">
        <v>12561</v>
      </c>
      <c r="V1138">
        <f>-609.410202169636 -111.730527202956 -96.2748803474758</f>
        <v>-817.41560972006778</v>
      </c>
      <c r="W1138" t="s">
        <v>12562</v>
      </c>
      <c r="X1138" t="s">
        <v>12563</v>
      </c>
      <c r="Y1138" t="s">
        <v>12564</v>
      </c>
    </row>
    <row r="1139" spans="1:25" x14ac:dyDescent="0.3">
      <c r="A1139">
        <v>56900</v>
      </c>
      <c r="B1139" t="s">
        <v>12565</v>
      </c>
      <c r="C1139">
        <f>-615.949370126683 -16.788146643758 -97.8292906365377</f>
        <v>-730.56680740697868</v>
      </c>
      <c r="D1139">
        <f>-638.868925831025 -21.5137581341253 -211.268945275263</f>
        <v>-871.65162924041329</v>
      </c>
      <c r="E1139">
        <f>-645.866059613723 -24.1948838871947 -309.607819245034</f>
        <v>-979.66876274595165</v>
      </c>
      <c r="F1139">
        <f>-647.686968006388 -26.2232245397784 -398.662974441926</f>
        <v>-1072.5731669880925</v>
      </c>
      <c r="G1139">
        <f>-644.642628329666 -27.9268528769585 -487.691406972515</f>
        <v>-1160.2608881791393</v>
      </c>
      <c r="H1139">
        <f>-635.28623111639 -30.0420811290783 -611.904096223791</f>
        <v>-1277.2324084692593</v>
      </c>
      <c r="I1139">
        <f>-603.961892610629 -31.2537606011629 -688.860915937577</f>
        <v>-1324.0765691493689</v>
      </c>
      <c r="J1139">
        <f>-638.92117563524 -1.40984138987164 -557.679641345523</f>
        <v>-1198.0106583706347</v>
      </c>
      <c r="K1139" t="s">
        <v>12566</v>
      </c>
      <c r="L1139" t="s">
        <v>12567</v>
      </c>
      <c r="M1139" t="s">
        <v>12568</v>
      </c>
      <c r="N1139">
        <f>-639.885855864295 -56.8127088712309 -556.808786881465</f>
        <v>-1253.5073516169909</v>
      </c>
      <c r="O1139">
        <f>-644.06571184006 -190.09017606269 -523.390324100198</f>
        <v>-1357.5462120029479</v>
      </c>
      <c r="P1139">
        <f>-634.201713537786 -227.846548391642 -231.725466134468</f>
        <v>-1093.773728063896</v>
      </c>
      <c r="Q1139">
        <f>-474.961629143502 -109.340945607978 -368.290126703295</f>
        <v>-952.59270145477512</v>
      </c>
      <c r="R1139" t="s">
        <v>12569</v>
      </c>
      <c r="S1139" t="s">
        <v>12570</v>
      </c>
      <c r="T1139" t="s">
        <v>12571</v>
      </c>
      <c r="U1139" t="s">
        <v>12572</v>
      </c>
      <c r="V1139">
        <f>-609.310592560984 -111.638567333677 -96.2813389845032</f>
        <v>-817.2304988791642</v>
      </c>
      <c r="W1139" t="s">
        <v>12573</v>
      </c>
      <c r="X1139" t="s">
        <v>12574</v>
      </c>
      <c r="Y1139" t="s">
        <v>12575</v>
      </c>
    </row>
    <row r="1140" spans="1:25" x14ac:dyDescent="0.3">
      <c r="A1140">
        <v>56950</v>
      </c>
      <c r="B1140" t="s">
        <v>12576</v>
      </c>
      <c r="C1140">
        <f>-615.906007328494 -16.7119766535891 -97.8034640208068</f>
        <v>-730.42144800288986</v>
      </c>
      <c r="D1140">
        <f>-638.822341035908 -21.426809512436 -211.24434964239</f>
        <v>-871.49350019073404</v>
      </c>
      <c r="E1140">
        <f>-645.789917120885 -24.1113405815674 -309.585028568239</f>
        <v>-979.48628627069138</v>
      </c>
      <c r="F1140">
        <f>-647.573442577783 -26.1482067451832 -398.640670985259</f>
        <v>-1072.3623203082252</v>
      </c>
      <c r="G1140">
        <f>-644.481184015996 -27.8658753520731 -487.66738063756</f>
        <v>-1160.014440005629</v>
      </c>
      <c r="H1140">
        <f>-635.047013006982 -30.0074279283265 -611.873592182116</f>
        <v>-1276.9280331174245</v>
      </c>
      <c r="I1140">
        <f>-603.884707347962 -31.2498433845531 -688.895720073577</f>
        <v>-1324.0302708060922</v>
      </c>
      <c r="J1140">
        <f>-638.709249181567 -1.36376298176924 -557.657015261383</f>
        <v>-1197.7300274247191</v>
      </c>
      <c r="K1140" t="s">
        <v>12577</v>
      </c>
      <c r="L1140" t="s">
        <v>12578</v>
      </c>
      <c r="M1140" t="s">
        <v>12579</v>
      </c>
      <c r="N1140">
        <f>-639.687870321915 -56.7662418389516 -556.776153024094</f>
        <v>-1253.2302651849607</v>
      </c>
      <c r="O1140">
        <f>-643.900882053783 -190.039762576734 -523.341844119914</f>
        <v>-1357.282488750431</v>
      </c>
      <c r="P1140">
        <f>-634.079420046039 -227.742985540767 -231.668733367399</f>
        <v>-1093.4911389542049</v>
      </c>
      <c r="Q1140">
        <f>-474.924621834096 -108.827790992565 -367.976501561201</f>
        <v>-951.72891438786201</v>
      </c>
      <c r="R1140" t="s">
        <v>12580</v>
      </c>
      <c r="S1140" t="s">
        <v>12581</v>
      </c>
      <c r="T1140" t="s">
        <v>12582</v>
      </c>
      <c r="U1140" t="s">
        <v>12583</v>
      </c>
      <c r="V1140">
        <f>-609.284756238906 -111.516481512706 -96.2760585670777</f>
        <v>-817.07729631868972</v>
      </c>
      <c r="W1140" t="s">
        <v>12584</v>
      </c>
      <c r="X1140" t="s">
        <v>12585</v>
      </c>
      <c r="Y1140" t="s">
        <v>12586</v>
      </c>
    </row>
    <row r="1141" spans="1:25" x14ac:dyDescent="0.3">
      <c r="A1141">
        <v>57000</v>
      </c>
      <c r="B1141" t="s">
        <v>12587</v>
      </c>
      <c r="C1141">
        <f>-615.744717652285 -16.5815360860713 -97.761212499708</f>
        <v>-730.08746623806428</v>
      </c>
      <c r="D1141">
        <f>-638.681711642053 -21.2881937875502 -211.198276882143</f>
        <v>-871.16818231174614</v>
      </c>
      <c r="E1141">
        <f>-645.623621990427 -23.9784984106939 -309.540689136541</f>
        <v>-979.14280953766183</v>
      </c>
      <c r="F1141">
        <f>-647.366525502909 -26.0266415475876 -398.596986964576</f>
        <v>-1071.9901540150727</v>
      </c>
      <c r="G1141">
        <f>-644.216452933612 -27.7630319599405 -487.62110558165</f>
        <v>-1159.6005904752024</v>
      </c>
      <c r="H1141">
        <f>-634.683475100565 -29.9388345749016 -611.819303801758</f>
        <v>-1276.4416134772246</v>
      </c>
      <c r="I1141">
        <f>-603.839218018264 -31.2705730903565 -688.967790779022</f>
        <v>-1324.0775818876425</v>
      </c>
      <c r="J1141">
        <f>-638.363509779515 -1.28064942980996 -557.611623014167</f>
        <v>-1197.2557822234919</v>
      </c>
      <c r="K1141" t="s">
        <v>12588</v>
      </c>
      <c r="L1141" t="s">
        <v>12589</v>
      </c>
      <c r="M1141" t="s">
        <v>12590</v>
      </c>
      <c r="N1141">
        <f>-639.393352145638 -56.6820246245827 -556.719956517323</f>
        <v>-1252.7953332875436</v>
      </c>
      <c r="O1141">
        <f>-643.653299790737 -189.948218740022 -523.24264482094</f>
        <v>-1356.8441633516991</v>
      </c>
      <c r="P1141">
        <f>-633.888316013988 -227.872296716645 -231.596257564043</f>
        <v>-1093.3568702946759</v>
      </c>
      <c r="Q1141">
        <f>-474.720263494248 -108.508050593412 -367.495392411806</f>
        <v>-950.72370649946606</v>
      </c>
      <c r="R1141" t="s">
        <v>12591</v>
      </c>
      <c r="S1141" t="s">
        <v>12592</v>
      </c>
      <c r="T1141" t="s">
        <v>12593</v>
      </c>
      <c r="U1141" t="s">
        <v>12594</v>
      </c>
      <c r="V1141">
        <f>-609.156950755318 -111.429069621808 -96.2505246799394</f>
        <v>-816.83654505706545</v>
      </c>
      <c r="W1141" t="s">
        <v>12595</v>
      </c>
      <c r="X1141" t="s">
        <v>12596</v>
      </c>
      <c r="Y1141" t="s">
        <v>12597</v>
      </c>
    </row>
    <row r="1142" spans="1:25" x14ac:dyDescent="0.3">
      <c r="A1142">
        <v>57050</v>
      </c>
      <c r="B1142" t="s">
        <v>12598</v>
      </c>
      <c r="C1142">
        <f>-615.683934965259 -16.6090440998898 -97.7561281741667</f>
        <v>-730.04910723931562</v>
      </c>
      <c r="D1142">
        <f>-638.643872920914 -21.3029584003407 -211.189097587901</f>
        <v>-871.13592890915561</v>
      </c>
      <c r="E1142">
        <f>-645.598020129811 -23.9927679495781 -309.530605617263</f>
        <v>-979.12139369665215</v>
      </c>
      <c r="F1142">
        <f>-647.348999428441 -26.0453916373385 -398.586511877171</f>
        <v>-1071.9809029429505</v>
      </c>
      <c r="G1142">
        <f>-644.203887455147 -27.7917060424877 -487.610703616789</f>
        <v>-1159.6062971144238</v>
      </c>
      <c r="H1142">
        <f>-634.674843544359 -29.9875863190657 -611.808885141662</f>
        <v>-1276.4713150050866</v>
      </c>
      <c r="I1142">
        <f>-603.981604827631 -31.372220779559 -689.016659500699</f>
        <v>-1324.3704851078892</v>
      </c>
      <c r="J1142">
        <f>-638.334780757398 -1.32093524337097 -557.604190361113</f>
        <v>-1197.2599063618818</v>
      </c>
      <c r="K1142" t="s">
        <v>12599</v>
      </c>
      <c r="L1142" t="s">
        <v>12600</v>
      </c>
      <c r="M1142" t="s">
        <v>12601</v>
      </c>
      <c r="N1142">
        <f>-639.401358528006 -56.7214774918194 -556.706617688171</f>
        <v>-1252.8294537079964</v>
      </c>
      <c r="O1142">
        <f>-643.721643250097 -189.977433812212 -523.211686222384</f>
        <v>-1356.9107632846931</v>
      </c>
      <c r="P1142">
        <f>-633.928539407768 -227.932266324824 -231.570295829399</f>
        <v>-1093.431101561991</v>
      </c>
      <c r="Q1142">
        <f>-474.79256814651 -108.3841678645 -367.345240789832</f>
        <v>-950.52197680084203</v>
      </c>
      <c r="R1142" t="s">
        <v>12602</v>
      </c>
      <c r="S1142" t="s">
        <v>12603</v>
      </c>
      <c r="T1142" t="s">
        <v>12604</v>
      </c>
      <c r="U1142" t="s">
        <v>12605</v>
      </c>
      <c r="V1142">
        <f>-609.116875640749 -111.519325700158 -96.2524707298082</f>
        <v>-816.88867207071519</v>
      </c>
      <c r="W1142" t="s">
        <v>12606</v>
      </c>
      <c r="X1142" t="s">
        <v>12607</v>
      </c>
      <c r="Y1142" t="s">
        <v>12608</v>
      </c>
    </row>
    <row r="1143" spans="1:25" x14ac:dyDescent="0.3">
      <c r="A1143">
        <v>57100</v>
      </c>
      <c r="B1143" t="s">
        <v>12609</v>
      </c>
      <c r="C1143">
        <f>-615.627971164795 -16.687167258603 -97.7470129424654</f>
        <v>-730.06215136586343</v>
      </c>
      <c r="D1143">
        <f>-638.612992081347 -21.3760941888997 -211.175073488663</f>
        <v>-871.1641597589097</v>
      </c>
      <c r="E1143">
        <f>-645.583116852401 -24.0664341856402 -309.515521548357</f>
        <v>-979.1650725863982</v>
      </c>
      <c r="F1143">
        <f>-647.346171790662 -26.1218767366024 -398.571059221963</f>
        <v>-1072.0391077492275</v>
      </c>
      <c r="G1143">
        <f>-644.21089127889 -27.8736353066463 -487.595629789971</f>
        <v>-1159.6801563755073</v>
      </c>
      <c r="H1143">
        <f>-634.693135703674 -30.0804329910422 -611.794372165979</f>
        <v>-1276.5679408606952</v>
      </c>
      <c r="I1143">
        <f>-604.122503259434 -31.5160054532332 -689.049889834115</f>
        <v>-1324.6883985467821</v>
      </c>
      <c r="J1143">
        <f>-638.327726913762 -1.40951010304934 -557.590422959665</f>
        <v>-1197.3276599764763</v>
      </c>
      <c r="K1143" t="s">
        <v>12610</v>
      </c>
      <c r="L1143" t="s">
        <v>12611</v>
      </c>
      <c r="M1143" t="s">
        <v>12612</v>
      </c>
      <c r="N1143">
        <f>-639.43514489812 -56.8092403213112 -556.690832146049</f>
        <v>-1252.9352173654802</v>
      </c>
      <c r="O1143">
        <f>-643.846457629727 -190.059980955249 -523.179773878321</f>
        <v>-1357.086212463297</v>
      </c>
      <c r="P1143">
        <f>-634.026060453224 -228.016450535114 -231.539541579998</f>
        <v>-1093.5820525683359</v>
      </c>
      <c r="Q1143">
        <f>-474.774572087073 -108.367168079691 -367.089704185251</f>
        <v>-950.23144435201505</v>
      </c>
      <c r="R1143" t="s">
        <v>12613</v>
      </c>
      <c r="S1143" t="s">
        <v>12614</v>
      </c>
      <c r="T1143" t="s">
        <v>12615</v>
      </c>
      <c r="U1143" t="s">
        <v>12616</v>
      </c>
      <c r="V1143">
        <f>-609.075221962259 -111.627029557501 -96.2501362027347</f>
        <v>-816.95238772249468</v>
      </c>
      <c r="W1143" t="s">
        <v>12617</v>
      </c>
      <c r="X1143" t="s">
        <v>12618</v>
      </c>
      <c r="Y1143" t="s">
        <v>12619</v>
      </c>
    </row>
    <row r="1144" spans="1:25" x14ac:dyDescent="0.3">
      <c r="A1144">
        <v>57150</v>
      </c>
      <c r="B1144" t="s">
        <v>12620</v>
      </c>
      <c r="C1144">
        <f>-615.491252504323 -16.5724775466445 -97.7228840496996</f>
        <v>-729.78661410066707</v>
      </c>
      <c r="D1144">
        <f>-638.516467328441 -21.236417875112 -211.143857769521</f>
        <v>-870.89674297307397</v>
      </c>
      <c r="E1144">
        <f>-645.504119944733 -23.9290827825453 -309.482903519688</f>
        <v>-978.91610624696636</v>
      </c>
      <c r="F1144">
        <f>-647.276364655609 -25.9959474181646 -398.538085603875</f>
        <v>-1071.8103976776486</v>
      </c>
      <c r="G1144">
        <f>-644.143752133299 -27.7695048768812 -487.562152967891</f>
        <v>-1159.4754099780712</v>
      </c>
      <c r="H1144">
        <f>-634.623047500267 -30.0177367973693 -611.75998689014</f>
        <v>-1276.4007711877762</v>
      </c>
      <c r="I1144">
        <f>-604.230374406166 -31.546721496828 -689.083857767439</f>
        <v>-1324.860953670433</v>
      </c>
      <c r="J1144">
        <f>-638.225714848112 -1.32926613680252 -557.563079714737</f>
        <v>-1197.1180606996516</v>
      </c>
      <c r="K1144" t="s">
        <v>12621</v>
      </c>
      <c r="L1144" t="s">
        <v>12622</v>
      </c>
      <c r="M1144" t="s">
        <v>12623</v>
      </c>
      <c r="N1144">
        <f>-639.399473708935 -56.7274297704215 -556.65033490705</f>
        <v>-1252.7772383864067</v>
      </c>
      <c r="O1144">
        <f>-643.95297685787 -189.971410432373 -523.121521976576</f>
        <v>-1357.0459092668189</v>
      </c>
      <c r="P1144">
        <f>-634.203209184002 -227.909340967166 -231.476341939501</f>
        <v>-1093.5888920906691</v>
      </c>
      <c r="Q1144">
        <f>-474.807500884682 -108.422200811963 -367.000217115792</f>
        <v>-950.22991881243695</v>
      </c>
      <c r="R1144" t="s">
        <v>12624</v>
      </c>
      <c r="S1144" t="s">
        <v>12625</v>
      </c>
      <c r="T1144" t="s">
        <v>12626</v>
      </c>
      <c r="U1144" t="s">
        <v>12627</v>
      </c>
      <c r="V1144">
        <f>-609.046069392868 -111.47814322562 -96.2134311874526</f>
        <v>-816.73764380594059</v>
      </c>
      <c r="W1144" t="s">
        <v>12628</v>
      </c>
      <c r="X1144" t="s">
        <v>12629</v>
      </c>
      <c r="Y1144" t="s">
        <v>12630</v>
      </c>
    </row>
    <row r="1145" spans="1:25" x14ac:dyDescent="0.3">
      <c r="A1145">
        <v>57200</v>
      </c>
      <c r="B1145" t="s">
        <v>12631</v>
      </c>
      <c r="C1145">
        <f>-615.402894875625 -16.3742555170977 -97.6959278006769</f>
        <v>-729.4730781933996</v>
      </c>
      <c r="D1145">
        <f>-638.442486523425 -21.018088880292 -211.11475184375</f>
        <v>-870.57532724746704</v>
      </c>
      <c r="E1145">
        <f>-645.451702802559 -23.7100737022149 -309.452449802666</f>
        <v>-978.61422630743994</v>
      </c>
      <c r="F1145">
        <f>-647.247312781718 -25.7829575635967 -398.506912866178</f>
        <v>-1071.5371832114929</v>
      </c>
      <c r="G1145">
        <f>-644.14199100742 -27.5703120455737 -487.531644706547</f>
        <v>-1159.2439477595408</v>
      </c>
      <c r="H1145">
        <f>-634.663510157605 -29.8457932996496 -611.732225255102</f>
        <v>-1276.2415287123565</v>
      </c>
      <c r="I1145">
        <f>-604.4101075095 -31.4338528643434 -689.109534116587</f>
        <v>-1324.9534944904303</v>
      </c>
      <c r="J1145">
        <f>-638.205860439831 -1.14628157031166 -557.537206519746</f>
        <v>-1196.8893485298886</v>
      </c>
      <c r="K1145" t="s">
        <v>12632</v>
      </c>
      <c r="L1145" t="s">
        <v>12633</v>
      </c>
      <c r="M1145" t="s">
        <v>12634</v>
      </c>
      <c r="N1145">
        <f>-639.463115614348 -56.5426116358559 -556.618290013987</f>
        <v>-1252.624017264191</v>
      </c>
      <c r="O1145">
        <f>-644.194771929122 -189.762021944418 -523.033513149247</f>
        <v>-1356.990307022787</v>
      </c>
      <c r="P1145">
        <f>-634.253909050897 -227.676553409857 -231.39191624058</f>
        <v>-1093.3223787013339</v>
      </c>
      <c r="Q1145">
        <f>-474.833605581696 -108.522574561107 -367.179759803145</f>
        <v>-950.53593994594803</v>
      </c>
      <c r="R1145" t="s">
        <v>12635</v>
      </c>
      <c r="S1145" t="s">
        <v>12636</v>
      </c>
      <c r="T1145" t="s">
        <v>12637</v>
      </c>
      <c r="U1145" t="s">
        <v>12638</v>
      </c>
      <c r="V1145">
        <f>-609.054595054732 -111.270338619746 -96.1832013467196</f>
        <v>-816.50813502119752</v>
      </c>
      <c r="W1145" t="s">
        <v>12639</v>
      </c>
      <c r="X1145" t="s">
        <v>12640</v>
      </c>
      <c r="Y1145" t="s">
        <v>12641</v>
      </c>
    </row>
    <row r="1146" spans="1:25" x14ac:dyDescent="0.3">
      <c r="A1146">
        <v>57250</v>
      </c>
      <c r="B1146" t="s">
        <v>12642</v>
      </c>
      <c r="C1146">
        <f>-615.367717436255 -16.3603686027343 -97.7004283456727</f>
        <v>-729.42851438466198</v>
      </c>
      <c r="D1146">
        <f>-638.415736451595 -21.0003453016488 -211.117830253727</f>
        <v>-870.53391200697081</v>
      </c>
      <c r="E1146">
        <f>-645.439408460298 -23.6934944146246 -309.454261583741</f>
        <v>-978.58716445866366</v>
      </c>
      <c r="F1146">
        <f>-647.251195578903 -25.7694894118374 -398.508449971676</f>
        <v>-1071.5291349624163</v>
      </c>
      <c r="G1146">
        <f>-644.164804877233 -27.5618786710877 -487.533741396151</f>
        <v>-1159.2604249444717</v>
      </c>
      <c r="H1146">
        <f>-634.71608677609 -29.8468735177066 -611.736470785132</f>
        <v>-1276.2994310789286</v>
      </c>
      <c r="I1146">
        <f>-604.511335728913 -31.450612463954 -689.132345486604</f>
        <v>-1325.0942936794709</v>
      </c>
      <c r="J1146">
        <f>-638.230517378353 -1.14361310294953 -557.541663878191</f>
        <v>-1196.9157943594937</v>
      </c>
      <c r="K1146" t="s">
        <v>12643</v>
      </c>
      <c r="L1146" t="s">
        <v>12644</v>
      </c>
      <c r="M1146" t="s">
        <v>12645</v>
      </c>
      <c r="N1146">
        <f>-639.517602650466 -56.5389614001048 -556.620385009245</f>
        <v>-1252.6769490598158</v>
      </c>
      <c r="O1146">
        <f>-644.339541435194 -189.74983817031 -523.015678592566</f>
        <v>-1357.1050581980699</v>
      </c>
      <c r="P1146">
        <f>-634.249770978245 -227.56607139657 -231.366289734851</f>
        <v>-1093.1821321096661</v>
      </c>
      <c r="Q1146">
        <f>-474.830642649299 -108.556336382901 -367.282037851756</f>
        <v>-950.66901688395592</v>
      </c>
      <c r="R1146" t="s">
        <v>12646</v>
      </c>
      <c r="S1146" t="s">
        <v>12647</v>
      </c>
      <c r="T1146" t="s">
        <v>12648</v>
      </c>
      <c r="U1146" t="s">
        <v>12649</v>
      </c>
      <c r="V1146">
        <f>-609.051813708921 -111.343112112896 -96.1853706787609</f>
        <v>-816.5802965005779</v>
      </c>
      <c r="W1146" t="s">
        <v>12650</v>
      </c>
      <c r="X1146" t="s">
        <v>12651</v>
      </c>
      <c r="Y1146" t="s">
        <v>12652</v>
      </c>
    </row>
    <row r="1147" spans="1:25" x14ac:dyDescent="0.3">
      <c r="A1147">
        <v>57300</v>
      </c>
      <c r="B1147" t="s">
        <v>12653</v>
      </c>
      <c r="C1147">
        <f>-615.200264233817 -16.2464449046288 -97.6791263207236</f>
        <v>-729.12583545916948</v>
      </c>
      <c r="D1147">
        <f>-638.27146618032 -20.8672000256988 -211.092399784893</f>
        <v>-870.23106599091182</v>
      </c>
      <c r="E1147">
        <f>-645.322107553458 -23.5588251445406 -309.427070674393</f>
        <v>-978.30800337239157</v>
      </c>
      <c r="F1147">
        <f>-647.161085643038 -25.6394282480478 -398.480685172974</f>
        <v>-1071.2811990640598</v>
      </c>
      <c r="G1147">
        <f>-644.10492828444 -27.4428749717501 -487.506727312071</f>
        <v>-1159.0545305682613</v>
      </c>
      <c r="H1147">
        <f>-634.701414224318 -29.7506762068224 -611.712574195335</f>
        <v>-1276.1646646264753</v>
      </c>
      <c r="I1147">
        <f>-604.552360695807 -31.3920065829802 -689.129410323629</f>
        <v>-1325.0737776024162</v>
      </c>
      <c r="J1147">
        <f>-638.17878821373 -1.03778850154367 -557.520274611008</f>
        <v>-1196.7368513262816</v>
      </c>
      <c r="K1147" t="s">
        <v>12654</v>
      </c>
      <c r="L1147" t="s">
        <v>12655</v>
      </c>
      <c r="M1147" t="s">
        <v>12656</v>
      </c>
      <c r="N1147">
        <f>-639.500096949816 -56.432300828904 -556.591100333501</f>
        <v>-1252.523498112221</v>
      </c>
      <c r="O1147">
        <f>-644.413134222053 -189.633385804339 -522.960724053553</f>
        <v>-1357.0072440799449</v>
      </c>
      <c r="P1147">
        <f>-634.096032407301 -227.357458388829 -231.307355547368</f>
        <v>-1092.7608463434979</v>
      </c>
      <c r="Q1147">
        <f>-474.704784577133 -108.497747032021 -367.387077041285</f>
        <v>-950.589608650439</v>
      </c>
      <c r="R1147" t="s">
        <v>12657</v>
      </c>
      <c r="S1147" t="s">
        <v>12658</v>
      </c>
      <c r="T1147" t="s">
        <v>12659</v>
      </c>
      <c r="U1147" t="s">
        <v>12660</v>
      </c>
      <c r="V1147">
        <f>-608.926597452351 -111.19914806988 -96.1712679166512</f>
        <v>-816.29701343888223</v>
      </c>
      <c r="W1147" t="s">
        <v>12661</v>
      </c>
      <c r="X1147" t="s">
        <v>12662</v>
      </c>
      <c r="Y1147" t="s">
        <v>12663</v>
      </c>
    </row>
    <row r="1148" spans="1:25" x14ac:dyDescent="0.3">
      <c r="A1148">
        <v>57350</v>
      </c>
      <c r="B1148" t="s">
        <v>12664</v>
      </c>
      <c r="C1148">
        <f>-615.066758802427 -16.1163414618052 -97.6612483097446</f>
        <v>-728.84434857397673</v>
      </c>
      <c r="D1148">
        <f>-638.137442123699 -20.7316218686135 -211.074978998722</f>
        <v>-869.94404299103451</v>
      </c>
      <c r="E1148">
        <f>-645.190792972781 -23.4283143263754 -309.409187145168</f>
        <v>-978.02829444432427</v>
      </c>
      <c r="F1148">
        <f>-647.033404016818 -25.5170273139111 -398.462598900304</f>
        <v>-1071.0130302310331</v>
      </c>
      <c r="G1148">
        <f>-643.982370176007 -27.3325918452297 -487.488654913193</f>
        <v>-1158.8036169344296</v>
      </c>
      <c r="H1148">
        <f>-634.587512785608 -29.661361170869 -611.694542701697</f>
        <v>-1275.9434166581741</v>
      </c>
      <c r="I1148">
        <f>-604.45145927374 -31.3285764699083 -689.11591300239</f>
        <v>-1324.8959487460384</v>
      </c>
      <c r="J1148">
        <f>-638.055327708455 -0.939475567654199 -557.506462228173</f>
        <v>-1196.5012655042822</v>
      </c>
      <c r="K1148" t="s">
        <v>12665</v>
      </c>
      <c r="L1148" t="s">
        <v>12666</v>
      </c>
      <c r="M1148" t="s">
        <v>12667</v>
      </c>
      <c r="N1148">
        <f>-639.388067026152 -56.3336849686646 -556.568831976413</f>
        <v>-1252.2905839712296</v>
      </c>
      <c r="O1148">
        <f>-644.323758526354 -189.527576967694 -522.91926816184</f>
        <v>-1356.770603655888</v>
      </c>
      <c r="P1148">
        <f>-633.957657100212 -227.271481525621 -231.270304391459</f>
        <v>-1092.4994430172919</v>
      </c>
      <c r="Q1148">
        <f>-474.560287257395 -108.470699153411 -367.39425260823</f>
        <v>-950.42523901903598</v>
      </c>
      <c r="R1148" t="s">
        <v>12668</v>
      </c>
      <c r="S1148" t="s">
        <v>12669</v>
      </c>
      <c r="T1148" t="s">
        <v>12670</v>
      </c>
      <c r="U1148" t="s">
        <v>12671</v>
      </c>
      <c r="V1148">
        <f>-608.797324883195 -111.032825886252 -96.1513771022948</f>
        <v>-815.98152787174172</v>
      </c>
      <c r="W1148" t="s">
        <v>12672</v>
      </c>
      <c r="X1148" t="s">
        <v>12673</v>
      </c>
      <c r="Y1148" t="s">
        <v>12674</v>
      </c>
    </row>
    <row r="1149" spans="1:25" x14ac:dyDescent="0.3">
      <c r="A1149">
        <v>57400</v>
      </c>
      <c r="B1149" t="s">
        <v>12675</v>
      </c>
      <c r="C1149">
        <f>-614.806897989076 -15.907217672707 -97.6321204432704</f>
        <v>-728.34623610505344</v>
      </c>
      <c r="D1149">
        <f>-637.865513088611 -20.4958189961148 -211.049306653745</f>
        <v>-869.41063873847088</v>
      </c>
      <c r="E1149">
        <f>-644.900446883978 -23.1978964267564 -309.384882146752</f>
        <v>-977.48322545748647</v>
      </c>
      <c r="F1149">
        <f>-646.723587796837 -25.3032134028465 -398.438202353063</f>
        <v>-1070.4650035527466</v>
      </c>
      <c r="G1149">
        <f>-643.650462987 -27.1473669144136 -487.46286618517</f>
        <v>-1158.2606960865837</v>
      </c>
      <c r="H1149">
        <f>-634.222248277471 -29.5290629667909 -611.665206430448</f>
        <v>-1275.4165176747099</v>
      </c>
      <c r="I1149">
        <f>-604.090216295498 -31.2512956635003 -689.087048011355</f>
        <v>-1324.4285599703533</v>
      </c>
      <c r="J1149">
        <f>-637.687348413437 -0.784568572499893 -557.48913559658</f>
        <v>-1195.9610525825169</v>
      </c>
      <c r="K1149" t="s">
        <v>12676</v>
      </c>
      <c r="L1149" t="s">
        <v>12677</v>
      </c>
      <c r="M1149" t="s">
        <v>12678</v>
      </c>
      <c r="N1149">
        <f>-639.055020215022 -56.1774847706206 -556.530767301726</f>
        <v>-1251.7632722873686</v>
      </c>
      <c r="O1149">
        <f>-644.072408228824 -189.3570427917 -522.828115732641</f>
        <v>-1356.2575667531651</v>
      </c>
      <c r="P1149">
        <f>-633.722269871519 -227.158591445628 -231.186106178049</f>
        <v>-1092.066967495196</v>
      </c>
      <c r="Q1149">
        <f>-474.171473749847 -108.404319459975 -367.170717206467</f>
        <v>-949.74651041628897</v>
      </c>
      <c r="R1149" t="s">
        <v>12679</v>
      </c>
      <c r="S1149" t="s">
        <v>12680</v>
      </c>
      <c r="T1149" t="s">
        <v>12681</v>
      </c>
      <c r="U1149" t="s">
        <v>12682</v>
      </c>
      <c r="V1149">
        <f>-608.538860608939 -110.857317443158 -96.1366524573626</f>
        <v>-815.53283050945959</v>
      </c>
      <c r="W1149" t="s">
        <v>12683</v>
      </c>
      <c r="X1149" t="s">
        <v>12684</v>
      </c>
      <c r="Y1149" t="s">
        <v>12685</v>
      </c>
    </row>
    <row r="1150" spans="1:25" x14ac:dyDescent="0.3">
      <c r="A1150">
        <v>57450</v>
      </c>
      <c r="B1150" t="s">
        <v>12686</v>
      </c>
      <c r="C1150">
        <f>-614.699177345629 -15.8180161827702 -97.6232170640714</f>
        <v>-728.14041059247052</v>
      </c>
      <c r="D1150">
        <f>-637.744362065103 -20.3982763331592 -211.043580905527</f>
        <v>-869.18621930378913</v>
      </c>
      <c r="E1150">
        <f>-644.757131856821 -23.1048292714647 -309.380432512551</f>
        <v>-977.24239364083678</v>
      </c>
      <c r="F1150">
        <f>-646.556087547586 -25.2192747991699 -398.434008418918</f>
        <v>-1070.2093707656738</v>
      </c>
      <c r="G1150">
        <f>-643.454801304902 -27.0779681344131 -487.457468614742</f>
        <v>-1157.9902380540573</v>
      </c>
      <c r="H1150">
        <f>-633.983106633116 -29.4856615368483 -611.656050620975</f>
        <v>-1275.1248187909391</v>
      </c>
      <c r="I1150">
        <f>-603.848492377188 -31.2383088044958 -689.076140315702</f>
        <v>-1324.1629414973859</v>
      </c>
      <c r="J1150">
        <f>-637.457123238025 -0.729923262973898 -557.486296131757</f>
        <v>-1195.673342632756</v>
      </c>
      <c r="K1150" t="s">
        <v>12687</v>
      </c>
      <c r="L1150" t="s">
        <v>12688</v>
      </c>
      <c r="M1150" t="s">
        <v>12689</v>
      </c>
      <c r="N1150">
        <f>-638.845158655208 -56.1222187871301 -556.518312209101</f>
        <v>-1251.4856896514393</v>
      </c>
      <c r="O1150">
        <f>-643.932091770184 -189.295704760857 -522.800549772136</f>
        <v>-1356.0283463031769</v>
      </c>
      <c r="P1150">
        <f>-633.621728150939 -227.14829961959 -231.163601652069</f>
        <v>-1091.933629422598</v>
      </c>
      <c r="Q1150">
        <f>-473.972905854699 -108.423606125841 -367.059157831439</f>
        <v>-949.45566981197908</v>
      </c>
      <c r="R1150" t="s">
        <v>12690</v>
      </c>
      <c r="S1150" t="s">
        <v>12691</v>
      </c>
      <c r="T1150" t="s">
        <v>12692</v>
      </c>
      <c r="U1150" t="s">
        <v>12693</v>
      </c>
      <c r="V1150">
        <f>-608.431070270458 -110.777016810353 -96.1295502130361</f>
        <v>-815.33763729384702</v>
      </c>
      <c r="W1150" t="s">
        <v>12694</v>
      </c>
      <c r="X1150" t="s">
        <v>12695</v>
      </c>
      <c r="Y1150" t="s">
        <v>12696</v>
      </c>
    </row>
    <row r="1151" spans="1:25" x14ac:dyDescent="0.3">
      <c r="A1151">
        <v>57500</v>
      </c>
      <c r="B1151" t="s">
        <v>12697</v>
      </c>
      <c r="C1151">
        <f>-614.535563390186 -15.7915292555706 -97.5946980248186</f>
        <v>-727.92179067057521</v>
      </c>
      <c r="D1151">
        <f>-637.523047932016 -20.3476549391739 -211.0276249936</f>
        <v>-868.89832786478996</v>
      </c>
      <c r="E1151">
        <f>-644.462216594795 -23.060840426604 -309.369696658052</f>
        <v>-976.89275367945106</v>
      </c>
      <c r="F1151">
        <f>-646.185441990686 -25.1929660666267 -398.424265346538</f>
        <v>-1069.8026734038506</v>
      </c>
      <c r="G1151">
        <f>-642.999399621263 -27.0816017543791 -487.443969295881</f>
        <v>-1157.5249706715231</v>
      </c>
      <c r="H1151">
        <f>-633.400200796426 -29.5447717830964 -611.631723654353</f>
        <v>-1274.5766962338753</v>
      </c>
      <c r="I1151">
        <f>-603.221203776849 -31.3794715538563 -689.03266739287</f>
        <v>-1323.6333427235754</v>
      </c>
      <c r="J1151">
        <f>-636.90327180786 -0.765527538609831 -557.476433866145</f>
        <v>-1195.145233212615</v>
      </c>
      <c r="K1151" t="s">
        <v>12698</v>
      </c>
      <c r="L1151" t="s">
        <v>12699</v>
      </c>
      <c r="M1151" t="s">
        <v>12700</v>
      </c>
      <c r="N1151">
        <f>-638.345342194196 -56.1560902333146 -556.489254405312</f>
        <v>-1250.9906868328226</v>
      </c>
      <c r="O1151">
        <f>-643.601000975448 -189.309160166474 -522.723209089041</f>
        <v>-1355.633370230963</v>
      </c>
      <c r="P1151">
        <f>-633.426735217328 -226.967336873783 -231.056439345648</f>
        <v>-1091.4505114367589</v>
      </c>
      <c r="Q1151">
        <f>-473.604627780289 -108.635903123297 -367.091157792851</f>
        <v>-949.33168869643691</v>
      </c>
      <c r="R1151" t="s">
        <v>12701</v>
      </c>
      <c r="S1151" t="s">
        <v>12702</v>
      </c>
      <c r="T1151" t="s">
        <v>12703</v>
      </c>
      <c r="U1151" t="s">
        <v>12704</v>
      </c>
      <c r="V1151">
        <f>-608.3422900679 -110.775378381961 -96.1102110778461</f>
        <v>-815.22787952770705</v>
      </c>
      <c r="W1151" t="s">
        <v>12705</v>
      </c>
      <c r="X1151" t="s">
        <v>12706</v>
      </c>
      <c r="Y1151" t="s">
        <v>12707</v>
      </c>
    </row>
    <row r="1152" spans="1:25" x14ac:dyDescent="0.3">
      <c r="A1152">
        <v>57550</v>
      </c>
      <c r="B1152" t="s">
        <v>12708</v>
      </c>
      <c r="C1152">
        <f>-614.489126883187 -15.6351351915359 -97.5818113819442</f>
        <v>-727.70607345666724</v>
      </c>
      <c r="D1152">
        <f>-637.443640380924 -20.1692266712344 -211.022293039934</f>
        <v>-868.63516009209229</v>
      </c>
      <c r="E1152">
        <f>-644.344486214484 -22.8860007103372 -309.36696018734</f>
        <v>-976.59744711216126</v>
      </c>
      <c r="F1152">
        <f>-646.029362409727 -25.0304544221451 -398.421957030746</f>
        <v>-1069.4817738626182</v>
      </c>
      <c r="G1152">
        <f>-642.801473315414 -26.940951628676 -487.439779353834</f>
        <v>-1157.182204297924</v>
      </c>
      <c r="H1152">
        <f>-633.140572334194 -29.4448249769464 -611.621976117029</f>
        <v>-1274.2073734281694</v>
      </c>
      <c r="I1152">
        <f>-602.93189154965 -31.327387064011 -689.010081814586</f>
        <v>-1323.269360428247</v>
      </c>
      <c r="J1152">
        <f>-636.656843033929 -0.648242348403983 -557.476667222239</f>
        <v>-1194.7817526045719</v>
      </c>
      <c r="K1152" t="s">
        <v>12709</v>
      </c>
      <c r="L1152" t="s">
        <v>12710</v>
      </c>
      <c r="M1152" t="s">
        <v>12711</v>
      </c>
      <c r="N1152">
        <f>-638.12683264486 -56.0377802566815 -556.474242016176</f>
        <v>-1250.6388549177175</v>
      </c>
      <c r="O1152">
        <f>-643.467214983575 -189.183962122602 -522.676691829312</f>
        <v>-1355.3278689354888</v>
      </c>
      <c r="P1152">
        <f>-633.36225582055 -226.729956339356 -230.993011420423</f>
        <v>-1091.0852235803291</v>
      </c>
      <c r="Q1152">
        <f>-473.546246838864 -108.531617901188 -367.1506029405</f>
        <v>-949.22846768055206</v>
      </c>
      <c r="R1152" t="s">
        <v>12712</v>
      </c>
      <c r="S1152" t="s">
        <v>12713</v>
      </c>
      <c r="T1152" t="s">
        <v>12714</v>
      </c>
      <c r="U1152" t="s">
        <v>12715</v>
      </c>
      <c r="V1152">
        <f>-608.346745223601 -110.514684399767 -96.1034683162875</f>
        <v>-814.96489793965554</v>
      </c>
      <c r="W1152" t="s">
        <v>12716</v>
      </c>
      <c r="X1152" t="s">
        <v>12717</v>
      </c>
      <c r="Y1152" t="s">
        <v>12718</v>
      </c>
    </row>
    <row r="1153" spans="1:25" x14ac:dyDescent="0.3">
      <c r="A1153">
        <v>57600</v>
      </c>
      <c r="B1153" t="s">
        <v>12719</v>
      </c>
      <c r="C1153">
        <f>-614.446010646922 -15.4937813164386 -97.5769942374974</f>
        <v>-727.51678620085795</v>
      </c>
      <c r="D1153">
        <f>-637.367002806209 -20.0123182519292 -211.02489163055</f>
        <v>-868.40421268868818</v>
      </c>
      <c r="E1153">
        <f>-644.232121544565 -22.7316476417541 -309.371844419926</f>
        <v>-976.33561360624503</v>
      </c>
      <c r="F1153">
        <f>-645.882187070536 -24.8847048597952 -398.427481060374</f>
        <v>-1069.1943729907052</v>
      </c>
      <c r="G1153">
        <f>-642.617218483791 -26.8107488304038 -487.443531516543</f>
        <v>-1156.8714988307379</v>
      </c>
      <c r="H1153">
        <f>-632.902043674474 -29.3433595938563 -611.620936321342</f>
        <v>-1273.8663395896724</v>
      </c>
      <c r="I1153">
        <f>-602.660218797883 -31.2706444033356 -688.995057542016</f>
        <v>-1322.9259207432347</v>
      </c>
      <c r="J1153">
        <f>-636.430361353199 -0.534523116969694 -557.482958669416</f>
        <v>-1194.4478431395846</v>
      </c>
      <c r="K1153" t="s">
        <v>12720</v>
      </c>
      <c r="L1153" t="s">
        <v>12721</v>
      </c>
      <c r="M1153" t="s">
        <v>12722</v>
      </c>
      <c r="N1153">
        <f>-637.924106288398 -55.9232368270407 -556.470193383523</f>
        <v>-1250.3175364989615</v>
      </c>
      <c r="O1153">
        <f>-643.340867556381 -189.053105601665 -522.636528385028</f>
        <v>-1355.030501543074</v>
      </c>
      <c r="P1153">
        <f>-633.303659176205 -226.48290761674 -230.935600835843</f>
        <v>-1090.7221676287879</v>
      </c>
      <c r="Q1153">
        <f>-473.452063463383 -108.420628407463 -367.169310280195</f>
        <v>-949.04200215104106</v>
      </c>
      <c r="R1153" t="s">
        <v>12723</v>
      </c>
      <c r="S1153" t="s">
        <v>12724</v>
      </c>
      <c r="T1153" t="s">
        <v>12725</v>
      </c>
      <c r="U1153" t="s">
        <v>12726</v>
      </c>
      <c r="V1153">
        <f>-608.321811735435 -110.407176284329 -96.105497890654</f>
        <v>-814.83448591041792</v>
      </c>
      <c r="W1153" t="s">
        <v>12727</v>
      </c>
      <c r="X1153" t="s">
        <v>12728</v>
      </c>
      <c r="Y1153" t="s">
        <v>12729</v>
      </c>
    </row>
    <row r="1154" spans="1:25" x14ac:dyDescent="0.3">
      <c r="A1154">
        <v>57650</v>
      </c>
      <c r="B1154" t="s">
        <v>12730</v>
      </c>
      <c r="C1154">
        <f>-614.361867591258 -15.3791092655172 -97.5683164255873</f>
        <v>-727.30929328236255</v>
      </c>
      <c r="D1154">
        <f>-637.234611229851 -19.8728008711525 -211.026936770887</f>
        <v>-868.13434887189055</v>
      </c>
      <c r="E1154">
        <f>-644.036166327073 -22.6016030717908 -309.378078640128</f>
        <v>-976.01584803899186</v>
      </c>
      <c r="F1154">
        <f>-645.620277877375 -24.7761805628643 -398.434394888223</f>
        <v>-1068.8308533284621</v>
      </c>
      <c r="G1154">
        <f>-642.281107662315 -26.737349774779 -487.446926858766</f>
        <v>-1156.4653842958601</v>
      </c>
      <c r="H1154">
        <f>-632.454315100156 -29.3338298887199 -611.614210194577</f>
        <v>-1273.402355183453</v>
      </c>
      <c r="I1154">
        <f>-602.145226129041 -31.355198915551 -688.959550232583</f>
        <v>-1322.4599752771751</v>
      </c>
      <c r="J1154">
        <f>-636.006477343458 -0.497716976196443 -557.492315326577</f>
        <v>-1193.9965096462315</v>
      </c>
      <c r="K1154" t="s">
        <v>12731</v>
      </c>
      <c r="L1154" t="s">
        <v>12732</v>
      </c>
      <c r="M1154" t="s">
        <v>12733</v>
      </c>
      <c r="N1154">
        <f>-637.550697063085 -55.8846632554748 -556.456325589479</f>
        <v>-1249.8916859080387</v>
      </c>
      <c r="O1154">
        <f>-643.10725607003 -189.003883795237 -522.58199221639</f>
        <v>-1354.693132081657</v>
      </c>
      <c r="P1154">
        <f>-633.253512052055 -226.472182625127 -230.879701052073</f>
        <v>-1090.605395729255</v>
      </c>
      <c r="Q1154">
        <f>-473.38897172579 -108.355018838526 -367.050691015059</f>
        <v>-948.79468157937492</v>
      </c>
      <c r="R1154" t="s">
        <v>12734</v>
      </c>
      <c r="S1154" t="s">
        <v>12735</v>
      </c>
      <c r="T1154" t="s">
        <v>12736</v>
      </c>
      <c r="U1154" t="s">
        <v>12737</v>
      </c>
      <c r="V1154">
        <f>-608.29125789077 -110.382533558131 -96.0960486156139</f>
        <v>-814.76984006451494</v>
      </c>
      <c r="W1154" t="s">
        <v>12738</v>
      </c>
      <c r="X1154" t="s">
        <v>12739</v>
      </c>
      <c r="Y1154" t="s">
        <v>12740</v>
      </c>
    </row>
    <row r="1155" spans="1:25" x14ac:dyDescent="0.3">
      <c r="A1155">
        <v>57700</v>
      </c>
      <c r="B1155" t="s">
        <v>12741</v>
      </c>
      <c r="C1155">
        <f>-614.21929278757 -15.2424517976042 -97.5355815837333</f>
        <v>-726.99732616890753</v>
      </c>
      <c r="D1155">
        <f>-637.053869689295 -19.7355824566264 -211.001902683662</f>
        <v>-867.79135482958338</v>
      </c>
      <c r="E1155">
        <f>-643.808416154774 -22.4663179484494 -309.356228310212</f>
        <v>-975.63096241343533</v>
      </c>
      <c r="F1155">
        <f>-645.344350006856 -24.6437637095407 -398.413180536464</f>
        <v>-1068.4012942528607</v>
      </c>
      <c r="G1155">
        <f>-641.951501226934 -26.6091807215294 -487.423696855053</f>
        <v>-1155.9843788035164</v>
      </c>
      <c r="H1155">
        <f>-632.043947604704 -29.2135978026499 -611.584444836739</f>
        <v>-1272.8419902440928</v>
      </c>
      <c r="I1155">
        <f>-601.672758833424 -31.28152286364 -688.90406058638</f>
        <v>-1321.858342283444</v>
      </c>
      <c r="J1155">
        <f>-635.614412355132 -0.374647310302862 -557.465278596638</f>
        <v>-1193.4543382620727</v>
      </c>
      <c r="K1155" t="s">
        <v>12742</v>
      </c>
      <c r="L1155" t="s">
        <v>12743</v>
      </c>
      <c r="M1155" t="s">
        <v>12744</v>
      </c>
      <c r="N1155">
        <f>-637.193251952503 -55.7605857098058 -556.429447752491</f>
        <v>-1249.3832854148</v>
      </c>
      <c r="O1155">
        <f>-642.872182919935 -188.865776911895 -522.537130053506</f>
        <v>-1354.275089885336</v>
      </c>
      <c r="P1155">
        <f>-633.268717374637 -226.446501738641 -230.840943058976</f>
        <v>-1090.5561621722541</v>
      </c>
      <c r="Q1155">
        <f>-473.320671625166 -108.496581145612 -367.058907509646</f>
        <v>-948.87616028042407</v>
      </c>
      <c r="R1155" t="s">
        <v>12745</v>
      </c>
      <c r="S1155" t="s">
        <v>12746</v>
      </c>
      <c r="T1155" t="s">
        <v>12747</v>
      </c>
      <c r="U1155" t="s">
        <v>12748</v>
      </c>
      <c r="V1155">
        <f>-608.20421199249 -110.180306903825 -96.0686555685711</f>
        <v>-814.45317446488605</v>
      </c>
      <c r="W1155" t="s">
        <v>12749</v>
      </c>
      <c r="X1155" t="s">
        <v>12750</v>
      </c>
      <c r="Y1155" t="s">
        <v>12751</v>
      </c>
    </row>
    <row r="1156" spans="1:25" x14ac:dyDescent="0.3">
      <c r="A1156">
        <v>57750</v>
      </c>
      <c r="B1156" t="s">
        <v>12752</v>
      </c>
      <c r="C1156">
        <f>-614.181131552809 -15.0847660272748 -97.5260416599195</f>
        <v>-726.79193924000333</v>
      </c>
      <c r="D1156">
        <f>-636.998649962338 -19.5736663545692 -210.996055535989</f>
        <v>-867.56837185289623</v>
      </c>
      <c r="E1156">
        <f>-643.755214281304 -22.308143131276 -309.350097139555</f>
        <v>-975.41345455213491</v>
      </c>
      <c r="F1156">
        <f>-645.299813176524 -24.4917728411024 -398.406839986196</f>
        <v>-1068.1984260038225</v>
      </c>
      <c r="G1156">
        <f>-641.922612261429 -26.4665544908369 -487.417680548545</f>
        <v>-1155.8068473008109</v>
      </c>
      <c r="H1156">
        <f>-632.04391228206 -29.0875790394825 -611.580313778763</f>
        <v>-1272.7118051003054</v>
      </c>
      <c r="I1156">
        <f>-601.65426592535 -31.1780044078967 -688.892205605868</f>
        <v>-1321.7244759391147</v>
      </c>
      <c r="J1156">
        <f>-635.587124467931 -0.241733198478187 -557.463001228472</f>
        <v>-1193.291858894881</v>
      </c>
      <c r="K1156" t="s">
        <v>12753</v>
      </c>
      <c r="L1156" t="s">
        <v>12754</v>
      </c>
      <c r="M1156" t="s">
        <v>12755</v>
      </c>
      <c r="N1156">
        <f>-637.194899049734 -55.626633841306 -556.421908317595</f>
        <v>-1249.243441208635</v>
      </c>
      <c r="O1156">
        <f>-642.954179576164 -188.727990529665 -522.528953694441</f>
        <v>-1354.2111238002701</v>
      </c>
      <c r="P1156">
        <f>-633.435059973697 -226.29953290273 -230.828821795909</f>
        <v>-1090.563414672336</v>
      </c>
      <c r="Q1156">
        <f>-473.339275168573 -108.555582398418 -367.05131895276</f>
        <v>-948.94617651975113</v>
      </c>
      <c r="R1156" t="s">
        <v>12756</v>
      </c>
      <c r="S1156" t="s">
        <v>12757</v>
      </c>
      <c r="T1156" t="s">
        <v>12758</v>
      </c>
      <c r="U1156" t="s">
        <v>12759</v>
      </c>
      <c r="V1156">
        <f>-608.188173399402 -110.022358866527 -96.0577992121055</f>
        <v>-814.2683314780345</v>
      </c>
      <c r="W1156" t="s">
        <v>12760</v>
      </c>
      <c r="X1156" t="s">
        <v>12761</v>
      </c>
      <c r="Y1156" t="s">
        <v>12762</v>
      </c>
    </row>
    <row r="1157" spans="1:25" x14ac:dyDescent="0.3">
      <c r="A1157">
        <v>57800</v>
      </c>
      <c r="B1157" t="s">
        <v>12763</v>
      </c>
      <c r="C1157">
        <f>-614.086924696158 -14.7271687979862 -97.4851587768583</f>
        <v>-726.2992522710025</v>
      </c>
      <c r="D1157">
        <f>-636.897313440342 -19.2380744528994 -210.955617669452</f>
        <v>-867.09100556269345</v>
      </c>
      <c r="E1157">
        <f>-643.710401751421 -21.9938607816869 -309.305331254003</f>
        <v>-975.00959378711093</v>
      </c>
      <c r="F1157">
        <f>-645.331368329605 -24.1972688837693 -398.360144601834</f>
        <v>-1067.8887818152084</v>
      </c>
      <c r="G1157">
        <f>-642.055542872771 -26.1930838632663 -487.374382435011</f>
        <v>-1155.6230091710484</v>
      </c>
      <c r="H1157">
        <f>-632.344687156949 -28.8445135324519 -611.549590956356</f>
        <v>-1272.7387916457569</v>
      </c>
      <c r="I1157">
        <f>-601.969677294814 -30.9922913153548 -688.865558125819</f>
        <v>-1321.8275267359877</v>
      </c>
      <c r="J1157" t="s">
        <v>12764</v>
      </c>
      <c r="K1157" t="s">
        <v>12765</v>
      </c>
      <c r="L1157" t="s">
        <v>12766</v>
      </c>
      <c r="M1157" t="s">
        <v>12767</v>
      </c>
      <c r="N1157">
        <f>-637.459545112659 -55.3690824958167 -556.380827803169</f>
        <v>-1249.2094554116447</v>
      </c>
      <c r="O1157">
        <f>-643.390038290757 -188.464744228387 -522.492781553881</f>
        <v>-1354.3475640730248</v>
      </c>
      <c r="P1157">
        <f>-633.823615017028 -226.012462462585 -230.791218727952</f>
        <v>-1090.627296207565</v>
      </c>
      <c r="Q1157">
        <f>-473.525284005814 -108.707039216548 -367.153772976129</f>
        <v>-949.38609619849103</v>
      </c>
      <c r="R1157" t="s">
        <v>12768</v>
      </c>
      <c r="S1157" t="s">
        <v>12769</v>
      </c>
      <c r="T1157" t="s">
        <v>12770</v>
      </c>
      <c r="U1157" t="s">
        <v>12771</v>
      </c>
      <c r="V1157">
        <f>-608.145597337772 -109.574142224909 -96.0066335895017</f>
        <v>-813.72637315218265</v>
      </c>
      <c r="W1157" t="s">
        <v>12772</v>
      </c>
      <c r="X1157" t="s">
        <v>12773</v>
      </c>
      <c r="Y1157" t="s">
        <v>12774</v>
      </c>
    </row>
    <row r="1158" spans="1:25" x14ac:dyDescent="0.3">
      <c r="A1158">
        <v>57850</v>
      </c>
      <c r="B1158" t="s">
        <v>12775</v>
      </c>
      <c r="C1158">
        <f>-614.081365789871 -14.6690084006302 -97.4702172954535</f>
        <v>-726.22059148595474</v>
      </c>
      <c r="D1158">
        <f>-636.908180549598 -19.1859906139684 -210.937082622898</f>
        <v>-867.0312537864645</v>
      </c>
      <c r="E1158">
        <f>-643.782863466269 -21.9543124763779 -309.282138658307</f>
        <v>-975.01931460095398</v>
      </c>
      <c r="F1158">
        <f>-645.47862711371 -24.1717930176387 -398.335216683373</f>
        <v>-1067.9856368147216</v>
      </c>
      <c r="G1158">
        <f>-642.296690182704 -26.1843750361465 -487.35248446198</f>
        <v>-1155.8335496808304</v>
      </c>
      <c r="H1158">
        <f>-632.737003931504 -28.8626963264828 -611.538737444685</f>
        <v>-1273.1384377026718</v>
      </c>
      <c r="I1158">
        <f>-602.397642982196 -31.0849779727009 -688.866790612715</f>
        <v>-1322.3494115676119</v>
      </c>
      <c r="J1158" t="s">
        <v>12776</v>
      </c>
      <c r="K1158" t="s">
        <v>12777</v>
      </c>
      <c r="L1158" t="s">
        <v>12778</v>
      </c>
      <c r="M1158" t="s">
        <v>12779</v>
      </c>
      <c r="N1158">
        <f>-637.816831250746 -55.3742471733411 -556.360519845443</f>
        <v>-1249.5515982695301</v>
      </c>
      <c r="O1158">
        <f>-643.873724900298 -188.463669228186 -522.478350210777</f>
        <v>-1354.8157443392611</v>
      </c>
      <c r="P1158">
        <f>-634.215760064488 -226.005636295806 -230.778904661079</f>
        <v>-1091.0003010213729</v>
      </c>
      <c r="Q1158">
        <f>-473.909160259947 -108.920426069199 -367.320987686733</f>
        <v>-950.15057401587899</v>
      </c>
      <c r="R1158" t="s">
        <v>12780</v>
      </c>
      <c r="S1158" t="s">
        <v>12781</v>
      </c>
      <c r="T1158" t="s">
        <v>12782</v>
      </c>
      <c r="U1158" t="s">
        <v>12783</v>
      </c>
      <c r="V1158">
        <f>-608.210808010093 -109.62985676801 -95.9708001165793</f>
        <v>-813.81146489468233</v>
      </c>
      <c r="W1158" t="s">
        <v>12784</v>
      </c>
      <c r="X1158" t="s">
        <v>12785</v>
      </c>
      <c r="Y1158" t="s">
        <v>12786</v>
      </c>
    </row>
    <row r="1159" spans="1:25" x14ac:dyDescent="0.3">
      <c r="A1159">
        <v>57900</v>
      </c>
      <c r="B1159" t="s">
        <v>12787</v>
      </c>
      <c r="C1159">
        <f>-614.093856524291 -14.4925572809309 -97.4610761060677</f>
        <v>-726.04748991128963</v>
      </c>
      <c r="D1159">
        <f>-636.939851225938 -18.999936204988 -210.924512237879</f>
        <v>-866.86429966880496</v>
      </c>
      <c r="E1159">
        <f>-643.878972693171 -21.7797586183042 -309.264714434709</f>
        <v>-974.92344574618414</v>
      </c>
      <c r="F1159">
        <f>-645.652588048231 -24.0150326575933 -398.315737379954</f>
        <v>-1067.9833580857783</v>
      </c>
      <c r="G1159">
        <f>-642.567946558727 -26.0532314002944 -487.335944379881</f>
        <v>-1155.9571223389025</v>
      </c>
      <c r="H1159">
        <f>-633.164515484273 -28.7750788984349 -611.533146754215</f>
        <v>-1273.4727411369229</v>
      </c>
      <c r="I1159">
        <f>-602.863763559252 -31.0918420723574 -688.873427875251</f>
        <v>-1322.8290335068605</v>
      </c>
      <c r="J1159" t="s">
        <v>12788</v>
      </c>
      <c r="K1159" t="s">
        <v>12789</v>
      </c>
      <c r="L1159" t="s">
        <v>12790</v>
      </c>
      <c r="M1159" t="s">
        <v>12791</v>
      </c>
      <c r="N1159">
        <f>-638.204088821635 -55.2664051572639 -556.34155681087</f>
        <v>-1249.8120507897688</v>
      </c>
      <c r="O1159">
        <f>-644.36746018885 -188.351720244048 -522.447825065567</f>
        <v>-1355.1670054984652</v>
      </c>
      <c r="P1159">
        <f>-634.667209754114 -225.844954231422 -230.743593710891</f>
        <v>-1091.2557576964268</v>
      </c>
      <c r="Q1159">
        <f>-474.312105785909 -109.031598994168 -367.461318764914</f>
        <v>-950.80502354499095</v>
      </c>
      <c r="R1159" t="s">
        <v>12792</v>
      </c>
      <c r="S1159" t="s">
        <v>12793</v>
      </c>
      <c r="T1159" t="s">
        <v>12794</v>
      </c>
      <c r="U1159" t="s">
        <v>12795</v>
      </c>
      <c r="V1159">
        <f>-608.268247946489 -109.421805869982 -95.9598211711084</f>
        <v>-813.64987498757944</v>
      </c>
      <c r="W1159" t="s">
        <v>12796</v>
      </c>
      <c r="X1159" t="s">
        <v>12797</v>
      </c>
      <c r="Y1159" t="s">
        <v>12798</v>
      </c>
    </row>
    <row r="1160" spans="1:25" x14ac:dyDescent="0.3">
      <c r="A1160">
        <v>57950</v>
      </c>
      <c r="B1160" t="s">
        <v>12799</v>
      </c>
      <c r="C1160">
        <f>-614.072773613947 -14.3988449471656 -97.4535929404569</f>
        <v>-725.92521150156949</v>
      </c>
      <c r="D1160">
        <f>-636.938388563282 -18.9077113621847 -210.913008287937</f>
        <v>-866.75910821340381</v>
      </c>
      <c r="E1160">
        <f>-643.925069136363 -21.6957172645996 -309.249638338434</f>
        <v>-974.87042473939664</v>
      </c>
      <c r="F1160">
        <f>-645.754166768543 -23.9405491557677 -398.299344535205</f>
        <v>-1067.9940604595158</v>
      </c>
      <c r="G1160">
        <f>-642.737378081045 -25.9903562877328 -487.321540087629</f>
        <v>-1156.0492744564067</v>
      </c>
      <c r="H1160">
        <f>-633.441772780428 -28.7305393025399 -611.526500905225</f>
        <v>-1273.6988129881929</v>
      </c>
      <c r="I1160">
        <f>-603.16590509297 -31.1029784321943 -688.874938734852</f>
        <v>-1323.1438222600163</v>
      </c>
      <c r="J1160" t="s">
        <v>12800</v>
      </c>
      <c r="K1160" t="s">
        <v>12801</v>
      </c>
      <c r="L1160" t="s">
        <v>12802</v>
      </c>
      <c r="M1160" t="s">
        <v>12803</v>
      </c>
      <c r="N1160">
        <f>-638.448251239929 -55.2132648763799 -556.327724659546</f>
        <v>-1249.9892407758548</v>
      </c>
      <c r="O1160">
        <f>-644.6728155511 -188.291709713978 -522.419804283108</f>
        <v>-1355.3843295481861</v>
      </c>
      <c r="P1160">
        <f>-634.914616605805 -225.721750382711 -230.709365988735</f>
        <v>-1091.3457329772509</v>
      </c>
      <c r="Q1160">
        <f>-474.461234781209 -109.113236711085 -367.486737240649</f>
        <v>-951.06120873294299</v>
      </c>
      <c r="R1160" t="s">
        <v>12804</v>
      </c>
      <c r="S1160" t="s">
        <v>12805</v>
      </c>
      <c r="T1160" t="s">
        <v>12806</v>
      </c>
      <c r="U1160" t="s">
        <v>12807</v>
      </c>
      <c r="V1160">
        <f>-608.291321872111 -109.342001587932 -95.9407421277899</f>
        <v>-813.57406558783293</v>
      </c>
      <c r="W1160" t="s">
        <v>12808</v>
      </c>
      <c r="X1160" t="s">
        <v>12809</v>
      </c>
      <c r="Y1160" t="s">
        <v>12810</v>
      </c>
    </row>
    <row r="1161" spans="1:25" x14ac:dyDescent="0.3">
      <c r="A1161">
        <v>58000</v>
      </c>
      <c r="B1161" t="s">
        <v>12811</v>
      </c>
      <c r="C1161">
        <f>-614.141661009101 -14.114566091321 -97.4528108379492</f>
        <v>-725.70903793837113</v>
      </c>
      <c r="D1161">
        <f>-637.051991697047 -18.6303086028797 -210.903103885844</f>
        <v>-866.5854041857707</v>
      </c>
      <c r="E1161">
        <f>-644.133989870141 -21.4659114770225 -309.231331558845</f>
        <v>-974.83123290600849</v>
      </c>
      <c r="F1161">
        <f>-646.072709286199 -23.7695470785718 -398.277237944239</f>
        <v>-1068.11949430901</v>
      </c>
      <c r="G1161">
        <f>-643.189168906496 -25.8942452060055 -487.302112802839</f>
        <v>-1156.3855269153405</v>
      </c>
      <c r="H1161">
        <f>-634.104233576756 -28.7553961455844 -611.519973615479</f>
        <v>-1274.3796033378194</v>
      </c>
      <c r="I1161">
        <f>-603.851959166151 -31.2408717438693 -688.873991154756</f>
        <v>-1323.9668220647764</v>
      </c>
      <c r="J1161" t="s">
        <v>12812</v>
      </c>
      <c r="K1161" t="s">
        <v>12813</v>
      </c>
      <c r="L1161" t="s">
        <v>12814</v>
      </c>
      <c r="M1161" t="s">
        <v>12815</v>
      </c>
      <c r="N1161">
        <f>-639.054007562196 -55.1831867695109 -556.289698217793</f>
        <v>-1250.5268925495</v>
      </c>
      <c r="O1161">
        <f>-645.366360390875 -188.235065965575 -522.303239956806</f>
        <v>-1355.904666313256</v>
      </c>
      <c r="P1161">
        <f>-635.462517758991 -225.4938464526 -230.575680522645</f>
        <v>-1091.532044734236</v>
      </c>
      <c r="Q1161">
        <f>-474.883623744095 -109.311048438067 -367.567948358286</f>
        <v>-951.76262054044798</v>
      </c>
      <c r="R1161" t="s">
        <v>12816</v>
      </c>
      <c r="S1161" t="s">
        <v>12817</v>
      </c>
      <c r="T1161" t="s">
        <v>12818</v>
      </c>
      <c r="U1161" t="s">
        <v>12819</v>
      </c>
      <c r="V1161">
        <f>-608.463517687202 -109.068332126141 -95.9114105801108</f>
        <v>-813.4432603934539</v>
      </c>
      <c r="W1161" t="s">
        <v>12820</v>
      </c>
      <c r="X1161" t="s">
        <v>12821</v>
      </c>
      <c r="Y1161" t="s">
        <v>12822</v>
      </c>
    </row>
    <row r="1162" spans="1:25" x14ac:dyDescent="0.3">
      <c r="A1162">
        <v>58050</v>
      </c>
      <c r="B1162" t="s">
        <v>12823</v>
      </c>
      <c r="C1162">
        <f>-614.195117028466 -13.9929924136532 -97.4562933664847</f>
        <v>-725.6444028086039</v>
      </c>
      <c r="D1162">
        <f>-637.119623194915 -18.528040407494 -210.902870722506</f>
        <v>-866.55053432491502</v>
      </c>
      <c r="E1162">
        <f>-644.249278904956 -21.3969651563013 -309.226786945113</f>
        <v>-974.87303100637041</v>
      </c>
      <c r="F1162">
        <f>-646.245632558733 -23.7374539273485 -398.270512867089</f>
        <v>-1068.2535993531706</v>
      </c>
      <c r="G1162">
        <f>-643.434087066034 -25.9059052654 -487.296568998591</f>
        <v>-1156.636561330025</v>
      </c>
      <c r="H1162">
        <f>-634.464960970412 -28.8361482875109 -611.521281118594</f>
        <v>-1274.822390376517</v>
      </c>
      <c r="I1162">
        <f>-604.216069106661 -31.3801688656065 -688.874728700399</f>
        <v>-1324.4709666726667</v>
      </c>
      <c r="J1162" t="s">
        <v>12824</v>
      </c>
      <c r="K1162" t="s">
        <v>12825</v>
      </c>
      <c r="L1162" t="s">
        <v>12826</v>
      </c>
      <c r="M1162" t="s">
        <v>12827</v>
      </c>
      <c r="N1162">
        <f>-639.389025042186 -55.2323507522025 -556.273614964927</f>
        <v>-1250.8949907593155</v>
      </c>
      <c r="O1162">
        <f>-645.767644956614 -188.269770324497 -522.241942028721</f>
        <v>-1356.279357309832</v>
      </c>
      <c r="P1162">
        <f>-635.719946346512 -225.480154524334 -230.51325986977</f>
        <v>-1091.7133607406161</v>
      </c>
      <c r="Q1162">
        <f>-475.147552777988 -109.389137645645 -367.590786055726</f>
        <v>-952.12747647935907</v>
      </c>
      <c r="R1162" t="s">
        <v>12828</v>
      </c>
      <c r="S1162" t="s">
        <v>12829</v>
      </c>
      <c r="T1162" t="s">
        <v>12830</v>
      </c>
      <c r="U1162" t="s">
        <v>12831</v>
      </c>
      <c r="V1162">
        <f>-608.536135580949 -108.989772265939 -95.893563407015</f>
        <v>-813.419471253903</v>
      </c>
      <c r="W1162" t="s">
        <v>12832</v>
      </c>
      <c r="X1162" t="s">
        <v>12833</v>
      </c>
      <c r="Y1162" t="s">
        <v>12834</v>
      </c>
    </row>
    <row r="1163" spans="1:25" x14ac:dyDescent="0.3">
      <c r="A1163">
        <v>58100</v>
      </c>
      <c r="B1163" t="s">
        <v>12835</v>
      </c>
      <c r="C1163">
        <f>-614.31134696412 -13.5261071656143 -97.4703496674441</f>
        <v>-725.30780379717851</v>
      </c>
      <c r="D1163">
        <f>-637.289673913947 -18.1127071967144 -210.903891218965</f>
        <v>-866.30627232962638</v>
      </c>
      <c r="E1163">
        <f>-644.536944936027 -21.0585539639997 -309.217054769507</f>
        <v>-974.8125536695336</v>
      </c>
      <c r="F1163">
        <f>-646.668394090256 -23.4827339096503 -398.255361026199</f>
        <v>-1068.4064890261052</v>
      </c>
      <c r="G1163">
        <f>-644.021053896097 -25.7508965230861 -487.283875005959</f>
        <v>-1157.0558254251421</v>
      </c>
      <c r="H1163">
        <f>-635.311609092829 -28.8376339548015 -611.523305785731</f>
        <v>-1275.6725488333616</v>
      </c>
      <c r="I1163">
        <f>-605.056705745003 -31.5210639447484 -688.869772516337</f>
        <v>-1325.4475422060884</v>
      </c>
      <c r="J1163" t="s">
        <v>12836</v>
      </c>
      <c r="K1163" t="s">
        <v>12837</v>
      </c>
      <c r="L1163" t="s">
        <v>12838</v>
      </c>
      <c r="M1163" t="s">
        <v>12839</v>
      </c>
      <c r="N1163">
        <f>-640.181007041173 -55.1621853273184 -556.236535557626</f>
        <v>-1251.5797279261174</v>
      </c>
      <c r="O1163">
        <f>-646.743896489481 -188.170088992625 -522.121803661841</f>
        <v>-1357.0357891439471</v>
      </c>
      <c r="P1163">
        <f>-636.361015155253 -225.217039251769 -230.384020626274</f>
        <v>-1091.9620750332958</v>
      </c>
      <c r="Q1163">
        <f>-475.897227618479 -109.377685321857 -367.801168495924</f>
        <v>-953.07608143625998</v>
      </c>
      <c r="R1163" t="s">
        <v>12840</v>
      </c>
      <c r="S1163" t="s">
        <v>12841</v>
      </c>
      <c r="T1163" t="s">
        <v>12842</v>
      </c>
      <c r="U1163" t="s">
        <v>12843</v>
      </c>
      <c r="V1163">
        <f>-608.693466189179 -108.469221888274 -95.870411651085</f>
        <v>-813.03309972853799</v>
      </c>
      <c r="W1163" t="s">
        <v>12844</v>
      </c>
      <c r="X1163" t="s">
        <v>12845</v>
      </c>
      <c r="Y1163" t="s">
        <v>12846</v>
      </c>
    </row>
    <row r="1164" spans="1:25" x14ac:dyDescent="0.3">
      <c r="A1164">
        <v>58150</v>
      </c>
      <c r="B1164" t="s">
        <v>12847</v>
      </c>
      <c r="C1164">
        <f>-614.390134419243 -13.3439315470209 -97.472166128497</f>
        <v>-725.20623209476094</v>
      </c>
      <c r="D1164">
        <f>-637.404222338219 -17.9490846287574 -210.897773943069</f>
        <v>-866.2510809100454</v>
      </c>
      <c r="E1164">
        <f>-644.727682928466 -20.9329113636327 -309.204171356225</f>
        <v>-974.86476564832378</v>
      </c>
      <c r="F1164">
        <f>-646.946606211015 -23.4010487653431 -398.238958857262</f>
        <v>-1068.58661383362</v>
      </c>
      <c r="G1164">
        <f>-644.405275174255 -25.7237072440221 -487.269402575931</f>
        <v>-1157.3983849942081</v>
      </c>
      <c r="H1164">
        <f>-635.863284000677 -28.8985436085568 -611.518181145869</f>
        <v>-1276.2800087551027</v>
      </c>
      <c r="I1164">
        <f>-605.61678251502 -31.667922859695 -688.864821887755</f>
        <v>-1326.14952726247</v>
      </c>
      <c r="J1164" t="s">
        <v>12848</v>
      </c>
      <c r="K1164" t="s">
        <v>12849</v>
      </c>
      <c r="L1164" t="s">
        <v>12850</v>
      </c>
      <c r="M1164" t="s">
        <v>12851</v>
      </c>
      <c r="N1164">
        <f>-640.700275491019 -55.1823517237727 -556.209223861961</f>
        <v>-1252.0918510767528</v>
      </c>
      <c r="O1164">
        <f>-647.391061786736 -188.166625127736 -522.031341937959</f>
        <v>-1357.5890288524311</v>
      </c>
      <c r="P1164">
        <f>-636.769919430846 -225.038330522953 -230.280015679136</f>
        <v>-1092.088265632935</v>
      </c>
      <c r="Q1164">
        <f>-476.368184423275 -109.434509654737 -367.967696258921</f>
        <v>-953.77039033693302</v>
      </c>
      <c r="R1164" t="s">
        <v>12852</v>
      </c>
      <c r="S1164" t="s">
        <v>12853</v>
      </c>
      <c r="T1164" t="s">
        <v>12854</v>
      </c>
      <c r="U1164" t="s">
        <v>12855</v>
      </c>
      <c r="V1164">
        <f>-608.802744769812 -108.344191809633 -95.8579160554391</f>
        <v>-813.00485263488406</v>
      </c>
      <c r="W1164" t="s">
        <v>12856</v>
      </c>
      <c r="X1164" t="s">
        <v>12857</v>
      </c>
      <c r="Y1164" t="s">
        <v>12858</v>
      </c>
    </row>
    <row r="1165" spans="1:25" x14ac:dyDescent="0.3">
      <c r="A1165">
        <v>58200</v>
      </c>
      <c r="B1165" t="s">
        <v>12859</v>
      </c>
      <c r="C1165">
        <f>-614.586723148813 -12.9681764913682 -97.5224870365483</f>
        <v>-725.07738667672959</v>
      </c>
      <c r="D1165">
        <f>-637.676251463258 -17.6230254258221 -210.930683482562</f>
        <v>-866.22996037164216</v>
      </c>
      <c r="E1165">
        <f>-645.17612907759 -20.6920708435061 -309.221016477177</f>
        <v>-975.08921639827304</v>
      </c>
      <c r="F1165">
        <f>-647.599852715874 -23.2547542872201 -398.248050204664</f>
        <v>-1069.1026572077581</v>
      </c>
      <c r="G1165">
        <f>-645.308664457934 -25.6905704993601 -487.282019166956</f>
        <v>-1158.2812541242502</v>
      </c>
      <c r="H1165">
        <f>-637.163618465852 -29.0440717876104 -611.552763484228</f>
        <v>-1277.7604537376903</v>
      </c>
      <c r="I1165">
        <f>-606.98336257801 -32.0006504206258 -688.918421896296</f>
        <v>-1327.9024348949317</v>
      </c>
      <c r="J1165" t="s">
        <v>12860</v>
      </c>
      <c r="K1165" t="s">
        <v>12861</v>
      </c>
      <c r="L1165" t="s">
        <v>12862</v>
      </c>
      <c r="M1165" t="s">
        <v>12863</v>
      </c>
      <c r="N1165">
        <f>-641.903475706345 -55.2452080385239 -556.196314072695</f>
        <v>-1253.344997817564</v>
      </c>
      <c r="O1165">
        <f>-648.796476226765 -188.176980671636 -521.857600051292</f>
        <v>-1358.831056949693</v>
      </c>
      <c r="P1165">
        <f>-637.879995910967 -224.594743173223 -230.060109200084</f>
        <v>-1092.5348482842739</v>
      </c>
      <c r="Q1165">
        <f>-477.431426017649 -109.562125314713 -368.171057812387</f>
        <v>-955.16460914474897</v>
      </c>
      <c r="R1165" t="s">
        <v>12864</v>
      </c>
      <c r="S1165" t="s">
        <v>12865</v>
      </c>
      <c r="T1165" t="s">
        <v>12866</v>
      </c>
      <c r="U1165" t="s">
        <v>12867</v>
      </c>
      <c r="V1165">
        <f>-609.040748960954 -107.997759479683 -95.8420510448367</f>
        <v>-812.88055948547378</v>
      </c>
      <c r="W1165" t="s">
        <v>12868</v>
      </c>
      <c r="X1165" t="s">
        <v>12869</v>
      </c>
      <c r="Y1165" t="s">
        <v>12870</v>
      </c>
    </row>
    <row r="1166" spans="1:25" x14ac:dyDescent="0.3">
      <c r="A1166">
        <v>58250</v>
      </c>
      <c r="B1166" t="s">
        <v>12871</v>
      </c>
      <c r="C1166">
        <f>-614.685800270814 -12.9554299913796 -97.5456662461995</f>
        <v>-725.18689650839303</v>
      </c>
      <c r="D1166">
        <f>-637.844425263068 -17.6004671111032 -210.940263872661</f>
        <v>-866.38515624683225</v>
      </c>
      <c r="E1166">
        <f>-645.457525040168 -20.7078195785773 -309.220573835873</f>
        <v>-975.38591845461826</v>
      </c>
      <c r="F1166">
        <f>-648.00599192454 -23.3238639963959 -398.242556971693</f>
        <v>-1069.5724128926288</v>
      </c>
      <c r="G1166">
        <f>-645.861966907696 -25.8324566762644 -487.278281913543</f>
        <v>-1158.9727054975035</v>
      </c>
      <c r="H1166">
        <f>-637.946180106533 -29.307277211421 -611.560535008918</f>
        <v>-1278.813992326872</v>
      </c>
      <c r="I1166">
        <f>-607.810357417998 -32.3569209304635 -688.939840796411</f>
        <v>-1329.1071191448725</v>
      </c>
      <c r="J1166">
        <f>-640.245760604643 -0.103293106723413 -557.568485311815</f>
        <v>-1197.9175390231815</v>
      </c>
      <c r="K1166" t="s">
        <v>12872</v>
      </c>
      <c r="L1166" t="s">
        <v>12873</v>
      </c>
      <c r="M1166" t="s">
        <v>12874</v>
      </c>
      <c r="N1166">
        <f>-642.613169700679 -55.4531468292111 -556.171693149905</f>
        <v>-1254.2380096797951</v>
      </c>
      <c r="O1166">
        <f>-649.533087701223 -188.354599875992 -521.739676689909</f>
        <v>-1359.627364267124</v>
      </c>
      <c r="P1166">
        <f>-638.479378464215 -224.545225426618 -229.919048234189</f>
        <v>-1092.943652125022</v>
      </c>
      <c r="Q1166">
        <f>-477.98376830691 -109.698638714674 -368.130097836069</f>
        <v>-955.81250485765304</v>
      </c>
      <c r="R1166" t="s">
        <v>12875</v>
      </c>
      <c r="S1166" t="s">
        <v>12876</v>
      </c>
      <c r="T1166" t="s">
        <v>12877</v>
      </c>
      <c r="U1166" t="s">
        <v>12878</v>
      </c>
      <c r="V1166">
        <f>-609.145178779935 -108.031649387354 -95.8612167348459</f>
        <v>-813.03804490213497</v>
      </c>
      <c r="W1166" t="s">
        <v>12879</v>
      </c>
      <c r="X1166" t="s">
        <v>12880</v>
      </c>
      <c r="Y1166" t="s">
        <v>12881</v>
      </c>
    </row>
    <row r="1167" spans="1:25" x14ac:dyDescent="0.3">
      <c r="A1167">
        <v>58300</v>
      </c>
      <c r="B1167" t="s">
        <v>12882</v>
      </c>
      <c r="C1167">
        <f>-614.868172215751 -13.0031753635963 -97.5835795394769</f>
        <v>-725.45492711882412</v>
      </c>
      <c r="D1167">
        <f>-638.177132477941 -17.6705035037726 -210.946355318997</f>
        <v>-866.79399130071056</v>
      </c>
      <c r="E1167">
        <f>-646.001140590647 -20.8643087593409 -309.207532807106</f>
        <v>-976.07298215709397</v>
      </c>
      <c r="F1167">
        <f>-648.773672638754 -23.5862100857221 -398.219591074412</f>
        <v>-1070.5794737988881</v>
      </c>
      <c r="G1167">
        <f>-646.887544959831 -26.2295136181087 -487.257188869044</f>
        <v>-1160.3742474469836</v>
      </c>
      <c r="H1167">
        <f>-639.367476787263 -29.9238410989324 -611.55764336</f>
        <v>-1280.8489612461954</v>
      </c>
      <c r="I1167">
        <f>-609.347933715041 -33.1289853252449 -688.975885322682</f>
        <v>-1331.452804362968</v>
      </c>
      <c r="J1167">
        <f>-641.453929606807 -0.626205212348168 -557.607705126237</f>
        <v>-1199.6878399453922</v>
      </c>
      <c r="K1167" t="s">
        <v>12883</v>
      </c>
      <c r="L1167" t="s">
        <v>12884</v>
      </c>
      <c r="M1167" t="s">
        <v>12885</v>
      </c>
      <c r="N1167">
        <f>-643.899437392438 -55.9701371795728 -556.110705819589</f>
        <v>-1255.9802803916</v>
      </c>
      <c r="O1167">
        <f>-650.817286020879 -188.831800563423 -521.510023392302</f>
        <v>-1361.159109976604</v>
      </c>
      <c r="P1167">
        <f>-639.307201405053 -224.821056638108 -229.682156030662</f>
        <v>-1093.8104140738228</v>
      </c>
      <c r="Q1167">
        <f>-479.028443423045 -109.950768015678 -368.124826699231</f>
        <v>-957.10403813795403</v>
      </c>
      <c r="R1167" t="s">
        <v>12886</v>
      </c>
      <c r="S1167" t="s">
        <v>12887</v>
      </c>
      <c r="T1167" t="s">
        <v>12888</v>
      </c>
      <c r="U1167" t="s">
        <v>12889</v>
      </c>
      <c r="V1167">
        <f>-609.290309856904 -108.077488083607 -95.9025549422572</f>
        <v>-813.27035288276818</v>
      </c>
      <c r="W1167" t="s">
        <v>12890</v>
      </c>
      <c r="X1167" t="s">
        <v>12891</v>
      </c>
      <c r="Y1167" t="s">
        <v>12892</v>
      </c>
    </row>
    <row r="1168" spans="1:25" x14ac:dyDescent="0.3">
      <c r="A1168">
        <v>58350</v>
      </c>
      <c r="B1168" t="s">
        <v>12893</v>
      </c>
      <c r="C1168">
        <f>-615.001516201737 -13.0800490668501 -97.6020906508093</f>
        <v>-725.6836559193963</v>
      </c>
      <c r="D1168">
        <f>-638.35665990345 -17.7587269405769 -210.955033819066</f>
        <v>-867.07042066309293</v>
      </c>
      <c r="E1168">
        <f>-646.269799243945 -20.963502064945 -309.208552701809</f>
        <v>-976.4418540106991</v>
      </c>
      <c r="F1168">
        <f>-649.142848694037 -23.6966305356304 -398.217068924808</f>
        <v>-1071.0565481544754</v>
      </c>
      <c r="G1168">
        <f>-647.377061691798 -26.3520351914099 -487.256886266431</f>
        <v>-1160.9859831496387</v>
      </c>
      <c r="H1168">
        <f>-640.045855117918 -30.0647258108211 -611.568009448163</f>
        <v>-1281.6785903769021</v>
      </c>
      <c r="I1168">
        <f>-610.111404920287 -33.3255968416149 -689.016861451992</f>
        <v>-1332.4538632138938</v>
      </c>
      <c r="J1168">
        <f>-642.050280559235 -0.759242933118458 -557.619174118206</f>
        <v>-1200.4286976105595</v>
      </c>
      <c r="K1168" t="s">
        <v>12894</v>
      </c>
      <c r="L1168" t="s">
        <v>12895</v>
      </c>
      <c r="M1168" t="s">
        <v>12896</v>
      </c>
      <c r="N1168">
        <f>-644.493665052092 -56.1027974046998 -556.110406647757</f>
        <v>-1256.7068691045488</v>
      </c>
      <c r="O1168">
        <f>-651.307552280623 -188.975333763778 -521.498307535993</f>
        <v>-1361.7811935803941</v>
      </c>
      <c r="P1168">
        <f>-639.716727579099 -224.854944053541 -229.66017675924</f>
        <v>-1094.23184839188</v>
      </c>
      <c r="Q1168">
        <f>-479.568590595394 -109.898481103271 -368.182492650608</f>
        <v>-957.64956434927308</v>
      </c>
      <c r="R1168" t="s">
        <v>12897</v>
      </c>
      <c r="S1168" t="s">
        <v>12898</v>
      </c>
      <c r="T1168" t="s">
        <v>12899</v>
      </c>
      <c r="U1168" t="s">
        <v>12900</v>
      </c>
      <c r="V1168">
        <f>-609.351968480366 -108.164669739218 -95.9159884084917</f>
        <v>-813.4326266280757</v>
      </c>
      <c r="W1168" t="s">
        <v>12901</v>
      </c>
      <c r="X1168" t="s">
        <v>12902</v>
      </c>
      <c r="Y1168" t="s">
        <v>12903</v>
      </c>
    </row>
    <row r="1169" spans="1:25" x14ac:dyDescent="0.3">
      <c r="A1169">
        <v>58400</v>
      </c>
      <c r="B1169" t="s">
        <v>12904</v>
      </c>
      <c r="C1169">
        <f>-615.182791923581 -13.1756243659713 -97.6325211944945</f>
        <v>-725.99093748404687</v>
      </c>
      <c r="D1169">
        <f>-638.569474352977 -17.8612356648948 -210.978572727884</f>
        <v>-867.40928274575572</v>
      </c>
      <c r="E1169">
        <f>-646.573972820544 -21.0520440602595 -309.225208276643</f>
        <v>-976.85122515744649</v>
      </c>
      <c r="F1169">
        <f>-649.555422892698 -23.7641484352619 -398.230816501189</f>
        <v>-1071.5503878291488</v>
      </c>
      <c r="G1169">
        <f>-647.92331478157 -26.3900326045177 -487.274014300674</f>
        <v>-1161.5873616867616</v>
      </c>
      <c r="H1169">
        <f>-640.805090588523 -30.0520850645423 -611.599213611559</f>
        <v>-1282.4563892646242</v>
      </c>
      <c r="I1169">
        <f>-610.96894311135 -33.3298836673403 -689.085148123453</f>
        <v>-1333.3839749021431</v>
      </c>
      <c r="J1169">
        <f>-642.733197322495 -0.767691873333661 -557.635913563054</f>
        <v>-1201.1368027588828</v>
      </c>
      <c r="K1169" t="s">
        <v>12905</v>
      </c>
      <c r="L1169" t="s">
        <v>12906</v>
      </c>
      <c r="M1169" t="s">
        <v>12907</v>
      </c>
      <c r="N1169">
        <f>-645.141764311348 -56.1132876360451 -556.143707696128</f>
        <v>-1257.3987596435211</v>
      </c>
      <c r="O1169">
        <f>-651.785388360221 -189.003551332636 -521.581110455806</f>
        <v>-1362.3700501486628</v>
      </c>
      <c r="P1169">
        <f>-640.141085933315 -224.840295085759 -229.739785732194</f>
        <v>-1094.7211667512679</v>
      </c>
      <c r="Q1169">
        <f>-480.160748149268 -109.668769692999 -368.277616365339</f>
        <v>-958.10713420760601</v>
      </c>
      <c r="R1169" t="s">
        <v>12908</v>
      </c>
      <c r="S1169" t="s">
        <v>12909</v>
      </c>
      <c r="T1169" t="s">
        <v>12910</v>
      </c>
      <c r="U1169" t="s">
        <v>12911</v>
      </c>
      <c r="V1169">
        <f>-609.49383477465 -108.263775216422 -95.9458771184668</f>
        <v>-813.70348710953886</v>
      </c>
      <c r="W1169" t="s">
        <v>12912</v>
      </c>
      <c r="X1169" t="s">
        <v>12913</v>
      </c>
      <c r="Y1169" t="s">
        <v>12914</v>
      </c>
    </row>
    <row r="1170" spans="1:25" x14ac:dyDescent="0.3">
      <c r="A1170">
        <v>58450</v>
      </c>
      <c r="B1170" t="s">
        <v>12915</v>
      </c>
      <c r="C1170">
        <f>-615.622171405938 -13.4761183780681 -97.6789259093008</f>
        <v>-726.77721569330697</v>
      </c>
      <c r="D1170">
        <f>-639.029695087173 -18.2077174735753 -211.018789102921</f>
        <v>-868.25620166366923</v>
      </c>
      <c r="E1170">
        <f>-647.17465834856 -21.3756063708174 -309.254600377619</f>
        <v>-977.80486509699642</v>
      </c>
      <c r="F1170">
        <f>-650.331598914461 -24.0426755701023 -398.255542480707</f>
        <v>-1072.6298169652703</v>
      </c>
      <c r="G1170">
        <f>-648.922853871258 -26.597979070764 -487.304510023098</f>
        <v>-1162.8253429651199</v>
      </c>
      <c r="H1170">
        <f>-642.166016089934 -30.1344469910357 -611.653502848902</f>
        <v>-1283.9539659298716</v>
      </c>
      <c r="I1170">
        <f>-612.506227004602 -33.3714953370329 -689.208922453138</f>
        <v>-1335.0866447947728</v>
      </c>
      <c r="J1170">
        <f>-643.966536817286 -0.903382184938664 -557.656949122865</f>
        <v>-1202.5268681250895</v>
      </c>
      <c r="K1170" t="s">
        <v>12916</v>
      </c>
      <c r="L1170" t="s">
        <v>12917</v>
      </c>
      <c r="M1170" t="s">
        <v>12918</v>
      </c>
      <c r="N1170">
        <f>-646.312250135646 -56.2530024120091 -556.210337765555</f>
        <v>-1258.7755903132102</v>
      </c>
      <c r="O1170">
        <f>-652.710371214956 -189.182229542266 -521.760077077505</f>
        <v>-1363.652677834727</v>
      </c>
      <c r="P1170">
        <f>-640.645486535784 -225.206558807975 -229.958925729321</f>
        <v>-1095.8109710730801</v>
      </c>
      <c r="Q1170">
        <f>-481.086788067835 -109.389822433155 -368.444992002766</f>
        <v>-958.92160250375605</v>
      </c>
      <c r="R1170" t="s">
        <v>12919</v>
      </c>
      <c r="S1170" t="s">
        <v>12920</v>
      </c>
      <c r="T1170" t="s">
        <v>12921</v>
      </c>
      <c r="U1170" t="s">
        <v>12922</v>
      </c>
      <c r="V1170">
        <f>-609.83851263528 -108.653611443095 -95.9658580507586</f>
        <v>-814.4579821291336</v>
      </c>
      <c r="W1170" t="s">
        <v>12923</v>
      </c>
      <c r="X1170" t="s">
        <v>12924</v>
      </c>
      <c r="Y1170" t="s">
        <v>12925</v>
      </c>
    </row>
    <row r="1171" spans="1:25" x14ac:dyDescent="0.3">
      <c r="A1171">
        <v>58500</v>
      </c>
      <c r="B1171" t="s">
        <v>12926</v>
      </c>
      <c r="C1171">
        <f>-616.016137863573 -13.5025583921888 -97.672272788947</f>
        <v>-727.19096904470882</v>
      </c>
      <c r="D1171">
        <f>-639.426728853847 -18.2395732998505 -211.011224594882</f>
        <v>-868.67752674857945</v>
      </c>
      <c r="E1171">
        <f>-647.620485518327 -21.3677698571655 -309.244344986174</f>
        <v>-978.23260036166653</v>
      </c>
      <c r="F1171">
        <f>-650.839727169015 -23.9793152283905 -398.244709956393</f>
        <v>-1073.0637523537985</v>
      </c>
      <c r="G1171">
        <f>-649.511138699207 -26.4572468574199 -487.29716396924</f>
        <v>-1163.2655495258668</v>
      </c>
      <c r="H1171">
        <f>-642.884439790949 -29.8608737983732 -611.656703934061</f>
        <v>-1284.4020175233832</v>
      </c>
      <c r="I1171">
        <f>-613.356704512924 -33.0048554190364 -689.266351091611</f>
        <v>-1335.6279110235714</v>
      </c>
      <c r="J1171">
        <f>-644.704090626048 -0.684541713008912 -557.631265753146</f>
        <v>-1203.0198980922028</v>
      </c>
      <c r="K1171" t="s">
        <v>12927</v>
      </c>
      <c r="L1171" t="s">
        <v>12928</v>
      </c>
      <c r="M1171" t="s">
        <v>12929</v>
      </c>
      <c r="N1171">
        <f>-646.897014988814 -56.041521496053 -556.233065688039</f>
        <v>-1259.171602172906</v>
      </c>
      <c r="O1171">
        <f>-652.926630638823 -189.019025942359 -521.897501654531</f>
        <v>-1363.843158235713</v>
      </c>
      <c r="P1171">
        <f>-640.806163049819 -225.173520461648 -230.114908237656</f>
        <v>-1096.0945917491231</v>
      </c>
      <c r="Q1171">
        <f>-481.542511388866 -108.95997313138 -368.60804928834</f>
        <v>-959.11053380858596</v>
      </c>
      <c r="R1171" t="s">
        <v>12930</v>
      </c>
      <c r="S1171" t="s">
        <v>12931</v>
      </c>
      <c r="T1171" t="s">
        <v>12932</v>
      </c>
      <c r="U1171" t="s">
        <v>12933</v>
      </c>
      <c r="V1171">
        <f>-610.13205385599 -108.561390382526 -95.9766071202135</f>
        <v>-814.67005135872955</v>
      </c>
      <c r="W1171" t="s">
        <v>12934</v>
      </c>
      <c r="X1171" t="s">
        <v>12935</v>
      </c>
      <c r="Y1171" t="s">
        <v>12936</v>
      </c>
    </row>
    <row r="1172" spans="1:25" x14ac:dyDescent="0.3">
      <c r="A1172">
        <v>58550</v>
      </c>
      <c r="B1172" t="s">
        <v>12937</v>
      </c>
      <c r="C1172">
        <f>-616.192638855311 -13.3882749028453 -97.6634582573054</f>
        <v>-727.24437201546164</v>
      </c>
      <c r="D1172">
        <f>-639.616186842504 -18.1409635290374 -210.999069969821</f>
        <v>-868.75622034136245</v>
      </c>
      <c r="E1172">
        <f>-647.835307157912 -21.2639965805565 -309.230208333245</f>
        <v>-978.32951207171345</v>
      </c>
      <c r="F1172">
        <f>-651.083168339246 -23.8627781124005 -398.229884859593</f>
        <v>-1073.1758313112396</v>
      </c>
      <c r="G1172">
        <f>-649.788455335586 -26.3187320750053 -487.28340223923</f>
        <v>-1163.3905896498213</v>
      </c>
      <c r="H1172">
        <f>-643.214540408959 -29.6814145433461 -611.646862411</f>
        <v>-1284.5428173633052</v>
      </c>
      <c r="I1172">
        <f>-613.71991737751 -32.7848331201469 -689.270760154737</f>
        <v>-1335.7755106523939</v>
      </c>
      <c r="J1172">
        <f>-645.044972740567 -0.521644989849165 -557.612945756894</f>
        <v>-1203.1795634873101</v>
      </c>
      <c r="K1172" t="s">
        <v>12938</v>
      </c>
      <c r="L1172" t="s">
        <v>12939</v>
      </c>
      <c r="M1172" t="s">
        <v>12940</v>
      </c>
      <c r="N1172">
        <f>-647.169709963495 -55.8817042790809 -556.228415989758</f>
        <v>-1259.279830232334</v>
      </c>
      <c r="O1172">
        <f>-653.024152132284 -188.873205117337 -521.938462327015</f>
        <v>-1363.8358195766359</v>
      </c>
      <c r="P1172">
        <f>-640.749469960414 -225.109211926408 -230.172341039141</f>
        <v>-1096.031022925963</v>
      </c>
      <c r="Q1172">
        <f>-481.706355587004 -108.647819903548 -368.71086615234</f>
        <v>-959.06504164289208</v>
      </c>
      <c r="R1172" t="s">
        <v>12941</v>
      </c>
      <c r="S1172" t="s">
        <v>12942</v>
      </c>
      <c r="T1172" t="s">
        <v>12943</v>
      </c>
      <c r="U1172" t="s">
        <v>12944</v>
      </c>
      <c r="V1172">
        <f>-610.271464918733 -108.407148373542 -95.9758676833592</f>
        <v>-814.65448097563421</v>
      </c>
      <c r="W1172" t="s">
        <v>12945</v>
      </c>
      <c r="X1172" t="s">
        <v>12946</v>
      </c>
      <c r="Y1172" t="s">
        <v>12947</v>
      </c>
    </row>
    <row r="1173" spans="1:25" x14ac:dyDescent="0.3">
      <c r="A1173">
        <v>58600</v>
      </c>
      <c r="B1173" t="s">
        <v>12948</v>
      </c>
      <c r="C1173">
        <f>-616.539942447981 -13.3857551007652 -97.6361114777201</f>
        <v>-727.56180902646634</v>
      </c>
      <c r="D1173">
        <f>-639.973604135856 -18.1915202673144 -210.967508272626</f>
        <v>-869.13263267579646</v>
      </c>
      <c r="E1173">
        <f>-648.225179277295 -21.307774571558 -309.195967531915</f>
        <v>-978.72892138076793</v>
      </c>
      <c r="F1173">
        <f>-651.511253021509 -23.8779851170514 -398.195128478565</f>
        <v>-1073.5843666171254</v>
      </c>
      <c r="G1173">
        <f>-650.263404709998 -26.2808464170948 -487.250748021911</f>
        <v>-1163.7949991490038</v>
      </c>
      <c r="H1173">
        <f>-643.763302423518 -29.5422940525889 -611.620820326464</f>
        <v>-1284.9264168025709</v>
      </c>
      <c r="I1173">
        <f>-614.296989442504 -32.5931138997839 -689.257597557296</f>
        <v>-1336.1477008995839</v>
      </c>
      <c r="J1173">
        <f>-645.6431252593 -0.423592406064245 -557.566459019386</f>
        <v>-1203.6331766847502</v>
      </c>
      <c r="K1173" t="s">
        <v>12949</v>
      </c>
      <c r="L1173" t="s">
        <v>12950</v>
      </c>
      <c r="M1173" t="s">
        <v>12951</v>
      </c>
      <c r="N1173">
        <f>-647.604160570208 -55.7905152111338 -556.21704968984</f>
        <v>-1259.6117254711817</v>
      </c>
      <c r="O1173">
        <f>-653.13219441455 -188.81289778238 -521.968659485216</f>
        <v>-1363.9137516821461</v>
      </c>
      <c r="P1173">
        <f>-640.716888242878 -224.944793670574 -230.195576149168</f>
        <v>-1095.8572580626201</v>
      </c>
      <c r="Q1173">
        <f>-482.086101120541 -108.032325995744 -368.826861850185</f>
        <v>-958.94528896647012</v>
      </c>
      <c r="R1173" t="s">
        <v>12952</v>
      </c>
      <c r="S1173" t="s">
        <v>12953</v>
      </c>
      <c r="T1173" t="s">
        <v>12954</v>
      </c>
      <c r="U1173" t="s">
        <v>12955</v>
      </c>
      <c r="V1173">
        <f>-610.455076729779 -108.531280387361 -95.9462616037745</f>
        <v>-814.93261872091443</v>
      </c>
      <c r="W1173" t="s">
        <v>12956</v>
      </c>
      <c r="X1173" t="s">
        <v>12957</v>
      </c>
      <c r="Y1173" t="s">
        <v>12958</v>
      </c>
    </row>
    <row r="1174" spans="1:25" x14ac:dyDescent="0.3">
      <c r="A1174">
        <v>58650</v>
      </c>
      <c r="B1174" t="s">
        <v>12959</v>
      </c>
      <c r="C1174">
        <f>-616.677525854824 -13.398865231494 -97.61345092882</f>
        <v>-727.68984201513808</v>
      </c>
      <c r="D1174">
        <f>-640.139839971206 -18.2198054782557 -210.938161199217</f>
        <v>-869.29780664867872</v>
      </c>
      <c r="E1174">
        <f>-648.39323061613 -21.318454540442 -309.167231165446</f>
        <v>-978.87891632201809</v>
      </c>
      <c r="F1174">
        <f>-651.671390304457 -23.8601365103102 -398.167365094326</f>
        <v>-1073.6988919090932</v>
      </c>
      <c r="G1174">
        <f>-650.405772572453 -26.2209729549741 -487.2238983778</f>
        <v>-1163.8506439052271</v>
      </c>
      <c r="H1174">
        <f>-643.870463165872 -29.4088274886612 -611.594187309809</f>
        <v>-1284.8734779643423</v>
      </c>
      <c r="I1174">
        <f>-614.400879031289 -32.4369782837821 -689.230410432862</f>
        <v>-1336.0682677479331</v>
      </c>
      <c r="J1174">
        <f>-645.809872298514 -0.320526006506043 -557.525272383411</f>
        <v>-1203.6556706884312</v>
      </c>
      <c r="K1174" t="s">
        <v>12960</v>
      </c>
      <c r="L1174" t="s">
        <v>12961</v>
      </c>
      <c r="M1174" t="s">
        <v>12962</v>
      </c>
      <c r="N1174">
        <f>-647.682788312433 -55.6912752339578 -556.204506792552</f>
        <v>-1259.5785703389429</v>
      </c>
      <c r="O1174">
        <f>-653.067643560481 -188.721917019303 -521.974480086084</f>
        <v>-1363.7640406658679</v>
      </c>
      <c r="P1174">
        <f>-640.642871446731 -224.760770815051 -230.190314586548</f>
        <v>-1095.59395684833</v>
      </c>
      <c r="Q1174">
        <f>-482.155323679185 -107.856628833277 -368.992332769693</f>
        <v>-959.00428528215502</v>
      </c>
      <c r="R1174" t="s">
        <v>12963</v>
      </c>
      <c r="S1174" t="s">
        <v>12964</v>
      </c>
      <c r="T1174" t="s">
        <v>12965</v>
      </c>
      <c r="U1174" t="s">
        <v>12966</v>
      </c>
      <c r="V1174">
        <f>-610.539530395179 -108.544905472178 -95.9289882222162</f>
        <v>-815.01342408957316</v>
      </c>
      <c r="W1174" t="s">
        <v>12967</v>
      </c>
      <c r="X1174" t="s">
        <v>12968</v>
      </c>
      <c r="Y1174" t="s">
        <v>12969</v>
      </c>
    </row>
    <row r="1175" spans="1:25" x14ac:dyDescent="0.3">
      <c r="A1175">
        <v>58700</v>
      </c>
      <c r="B1175" t="s">
        <v>12970</v>
      </c>
      <c r="C1175">
        <f>-616.973095848865 -13.2776766101433 -97.6126181541023</f>
        <v>-727.8633906131106</v>
      </c>
      <c r="D1175">
        <f>-640.518717789484 -18.154705831666 -210.917714451449</f>
        <v>-869.59113807259894</v>
      </c>
      <c r="E1175">
        <f>-648.757632339654 -21.2347371099356 -309.148477836472</f>
        <v>-979.14084728606167</v>
      </c>
      <c r="F1175">
        <f>-651.987027356834 -23.7324602175688 -398.151633219037</f>
        <v>-1073.8711207934398</v>
      </c>
      <c r="G1175">
        <f>-650.636509365142 -26.0202762250892 -487.208883739876</f>
        <v>-1163.8656693301073</v>
      </c>
      <c r="H1175">
        <f>-643.944313157913 -29.074876076638 -611.574101255625</f>
        <v>-1284.5932904901761</v>
      </c>
      <c r="I1175">
        <f>-614.419493810794 -32.0812052055055 -689.190305815745</f>
        <v>-1335.6910048320447</v>
      </c>
      <c r="J1175">
        <f>-646.050148064069 -0.0416385733865354 -557.482143216139</f>
        <v>-1203.5739298535946</v>
      </c>
      <c r="K1175" t="s">
        <v>12971</v>
      </c>
      <c r="L1175" t="s">
        <v>12972</v>
      </c>
      <c r="M1175" t="s">
        <v>12973</v>
      </c>
      <c r="N1175">
        <f>-647.728273009914 -55.4197368488897 -556.212234281227</f>
        <v>-1259.3602441400308</v>
      </c>
      <c r="O1175">
        <f>-652.780649686286 -188.462799381301 -521.989245642002</f>
        <v>-1363.2326947095889</v>
      </c>
      <c r="P1175">
        <f>-640.410072022793 -224.276698474386 -230.175078276075</f>
        <v>-1094.861848773254</v>
      </c>
      <c r="Q1175">
        <f>-482.112893268205 -107.494879942068 -369.296980894197</f>
        <v>-958.90475410447016</v>
      </c>
      <c r="R1175" t="s">
        <v>12974</v>
      </c>
      <c r="S1175" t="s">
        <v>12975</v>
      </c>
      <c r="T1175" t="s">
        <v>12976</v>
      </c>
      <c r="U1175" t="s">
        <v>12977</v>
      </c>
      <c r="V1175">
        <f>-610.672307431877 -108.482569455448 -95.9088261514166</f>
        <v>-815.06370303874166</v>
      </c>
      <c r="W1175" t="s">
        <v>12978</v>
      </c>
      <c r="X1175" t="s">
        <v>12979</v>
      </c>
      <c r="Y1175" t="s">
        <v>12980</v>
      </c>
    </row>
    <row r="1176" spans="1:25" x14ac:dyDescent="0.3">
      <c r="A1176">
        <v>58750</v>
      </c>
      <c r="B1176" t="s">
        <v>12981</v>
      </c>
      <c r="C1176">
        <f>-617.150103089528 -13.2797021089734 -97.6253217149739</f>
        <v>-728.05512691347531</v>
      </c>
      <c r="D1176">
        <f>-640.744377815281 -18.2151064032209 -210.917762768615</f>
        <v>-869.87724698711702</v>
      </c>
      <c r="E1176">
        <f>-648.984049236823 -21.2964655230619 -309.148467291132</f>
        <v>-979.42898205101687</v>
      </c>
      <c r="F1176">
        <f>-652.197006342425 -23.7759630424955 -398.152886344236</f>
        <v>-1074.1258557291565</v>
      </c>
      <c r="G1176">
        <f>-650.812507988613 -26.0247281143961 -487.210444825323</f>
        <v>-1164.0476809283321</v>
      </c>
      <c r="H1176">
        <f>-644.054305418112 -29.0023503716372 -611.573861083246</f>
        <v>-1284.6305168729953</v>
      </c>
      <c r="I1176">
        <f>-614.489987582259 -31.9980580493868 -689.175455017422</f>
        <v>-1335.6635006490678</v>
      </c>
      <c r="J1176">
        <f>-646.254308086973 -0.000733499888383449 -557.468677072323</f>
        <v>-1203.7237186591842</v>
      </c>
      <c r="K1176" t="s">
        <v>12982</v>
      </c>
      <c r="L1176" t="s">
        <v>12983</v>
      </c>
      <c r="M1176" t="s">
        <v>12984</v>
      </c>
      <c r="N1176">
        <f>-647.802157745793 -55.3833065118481 -556.226792004433</f>
        <v>-1259.4122562620742</v>
      </c>
      <c r="O1176">
        <f>-652.580550368123 -188.442471103528 -522.025812982269</f>
        <v>-1363.0488344539199</v>
      </c>
      <c r="P1176">
        <f>-640.330731970227 -224.091294650297 -230.186286527863</f>
        <v>-1094.608313148387</v>
      </c>
      <c r="Q1176">
        <f>-482.019054677173 -107.481109729047 -369.435484008002</f>
        <v>-958.93564841422199</v>
      </c>
      <c r="R1176" t="s">
        <v>12985</v>
      </c>
      <c r="S1176" t="s">
        <v>12986</v>
      </c>
      <c r="T1176" t="s">
        <v>12987</v>
      </c>
      <c r="U1176" t="s">
        <v>12988</v>
      </c>
      <c r="V1176">
        <f>-610.69212336827 -108.523555173027 -95.9093935330824</f>
        <v>-815.12507207437943</v>
      </c>
      <c r="W1176" t="s">
        <v>12989</v>
      </c>
      <c r="X1176" t="s">
        <v>12990</v>
      </c>
      <c r="Y1176" t="s">
        <v>12991</v>
      </c>
    </row>
    <row r="1177" spans="1:25" x14ac:dyDescent="0.3">
      <c r="A1177">
        <v>58800</v>
      </c>
      <c r="B1177" t="s">
        <v>12992</v>
      </c>
      <c r="C1177">
        <f>-617.361322353877 -13.2677577013619 -97.6372319497395</f>
        <v>-728.26631200497843</v>
      </c>
      <c r="D1177">
        <f>-640.998854240879 -18.2619063316286 -210.917991459154</f>
        <v>-870.17875203166159</v>
      </c>
      <c r="E1177">
        <f>-649.258454797084 -21.3603060722116 -309.146606159858</f>
        <v>-979.76536702915359</v>
      </c>
      <c r="F1177">
        <f>-652.481888798512 -23.8424034125812 -398.150473475719</f>
        <v>-1074.4747656868124</v>
      </c>
      <c r="G1177">
        <f>-651.100173512953 -26.0796471255615 -487.208460333618</f>
        <v>-1164.3882809721324</v>
      </c>
      <c r="H1177">
        <f>-644.337413896442 -29.0262250323888 -611.572427143662</f>
        <v>-1284.9360660724928</v>
      </c>
      <c r="I1177">
        <f>-614.730819624958 -32.011823068689 -689.158273214252</f>
        <v>-1335.9009159078989</v>
      </c>
      <c r="J1177">
        <f>-646.607833113315 -0.036398041499524 -557.463761699991</f>
        <v>-1204.1079928548056</v>
      </c>
      <c r="K1177" t="s">
        <v>12993</v>
      </c>
      <c r="L1177" t="s">
        <v>12994</v>
      </c>
      <c r="M1177" t="s">
        <v>12995</v>
      </c>
      <c r="N1177">
        <f>-648.018907303975 -55.422780669296 -556.22827344118</f>
        <v>-1259.6699614144509</v>
      </c>
      <c r="O1177">
        <f>-652.469385120717 -188.496667139357 -522.046701500634</f>
        <v>-1363.0127537607079</v>
      </c>
      <c r="P1177">
        <f>-640.186993989767 -223.882447505605 -230.176614161284</f>
        <v>-1094.2460556566559</v>
      </c>
      <c r="Q1177">
        <f>-481.891043490089 -107.382634674944 -369.536073978599</f>
        <v>-958.80975214363195</v>
      </c>
      <c r="R1177" t="s">
        <v>12996</v>
      </c>
      <c r="S1177" t="s">
        <v>12997</v>
      </c>
      <c r="T1177" t="s">
        <v>12998</v>
      </c>
      <c r="U1177" t="s">
        <v>12999</v>
      </c>
      <c r="V1177">
        <f>-610.743584049133 -108.502809465959 -95.9166544989222</f>
        <v>-815.16304801401418</v>
      </c>
      <c r="W1177" t="s">
        <v>13000</v>
      </c>
      <c r="X1177" t="s">
        <v>13001</v>
      </c>
      <c r="Y1177" t="s">
        <v>13002</v>
      </c>
    </row>
    <row r="1178" spans="1:25" x14ac:dyDescent="0.3">
      <c r="A1178">
        <v>58850</v>
      </c>
      <c r="B1178" t="s">
        <v>13003</v>
      </c>
      <c r="C1178">
        <f>-617.809639159244 -13.3490319712591 -97.6806731441503</f>
        <v>-728.8393442746534</v>
      </c>
      <c r="D1178">
        <f>-641.472235575531 -18.4662872564477 -210.950831567871</f>
        <v>-870.88935439984971</v>
      </c>
      <c r="E1178">
        <f>-649.767173100029 -21.6619406052685 -309.173149346568</f>
        <v>-980.60226305186552</v>
      </c>
      <c r="F1178">
        <f>-653.027835161349 -24.2304498993467 -398.173239771726</f>
        <v>-1075.4315248324217</v>
      </c>
      <c r="G1178">
        <f>-651.688687032969 -26.5514963983305 -487.229648315189</f>
        <v>-1165.4698317464886</v>
      </c>
      <c r="H1178">
        <f>-644.990915698242 -29.6122955288427 -611.594420576998</f>
        <v>-1286.1976318040827</v>
      </c>
      <c r="I1178">
        <f>-615.29328777494 -32.5821243082682 -689.146078573344</f>
        <v>-1337.0214906565523</v>
      </c>
      <c r="J1178">
        <f>-647.322152853693 -0.57080237455375 -557.516169665527</f>
        <v>-1205.4091248937737</v>
      </c>
      <c r="K1178" t="s">
        <v>13004</v>
      </c>
      <c r="L1178" t="s">
        <v>13005</v>
      </c>
      <c r="M1178" t="s">
        <v>13006</v>
      </c>
      <c r="N1178">
        <f>-648.554386955106 -55.9599548480846 -556.219174542755</f>
        <v>-1260.7335163459456</v>
      </c>
      <c r="O1178">
        <f>-652.532217861352 -189.01863009963 -521.897730969652</f>
        <v>-1363.4485789306341</v>
      </c>
      <c r="P1178">
        <f>-639.731306251365 -224.075889814912 -230.010163261898</f>
        <v>-1093.8173593281749</v>
      </c>
      <c r="Q1178">
        <f>-481.767128742692 -107.494310947077 -369.677330667506</f>
        <v>-958.93877035727508</v>
      </c>
      <c r="R1178" t="s">
        <v>13007</v>
      </c>
      <c r="S1178" t="s">
        <v>13008</v>
      </c>
      <c r="T1178" t="s">
        <v>13009</v>
      </c>
      <c r="U1178" t="s">
        <v>13010</v>
      </c>
      <c r="V1178">
        <f>-610.959639137019 -108.718068685319 -95.9119140023082</f>
        <v>-815.58962182464631</v>
      </c>
      <c r="W1178" t="s">
        <v>13011</v>
      </c>
      <c r="X1178" t="s">
        <v>13012</v>
      </c>
      <c r="Y1178" t="s">
        <v>13013</v>
      </c>
    </row>
    <row r="1179" spans="1:25" x14ac:dyDescent="0.3">
      <c r="A1179">
        <v>58900</v>
      </c>
      <c r="B1179" t="s">
        <v>13014</v>
      </c>
      <c r="C1179">
        <f>-618.128104777288 -13.5021958465879 -97.7280573980805</f>
        <v>-729.35835802195641</v>
      </c>
      <c r="D1179">
        <f>-641.790198409185 -18.6899736369426 -210.995106697007</f>
        <v>-871.4752787431346</v>
      </c>
      <c r="E1179">
        <f>-650.0675210267 -21.9844722121522 -309.215749135253</f>
        <v>-981.26774237410518</v>
      </c>
      <c r="F1179">
        <f>-653.305734577256 -24.658981866158 -398.213425358506</f>
        <v>-1076.17814180192</v>
      </c>
      <c r="G1179">
        <f>-651.937828865105 -27.1028488806987 -487.266252088324</f>
        <v>-1166.3069298341277</v>
      </c>
      <c r="H1179">
        <f>-645.193720877235 -30.3533832025782 -611.62361309118</f>
        <v>-1287.1707171709932</v>
      </c>
      <c r="I1179">
        <f>-615.458095243338 -33.3673579061885 -689.159026665848</f>
        <v>-1337.9844798153745</v>
      </c>
      <c r="J1179">
        <f>-647.570270076605 -1.22892129780371 -557.591988792945</f>
        <v>-1206.3911801673537</v>
      </c>
      <c r="K1179" t="s">
        <v>13015</v>
      </c>
      <c r="L1179" t="s">
        <v>13016</v>
      </c>
      <c r="M1179" t="s">
        <v>13017</v>
      </c>
      <c r="N1179">
        <f>-648.752707044486 -56.6170735874172 -556.208298963108</f>
        <v>-1261.5780795950111</v>
      </c>
      <c r="O1179">
        <f>-652.578085616065 -189.608877545845 -521.614875342557</f>
        <v>-1363.801838504467</v>
      </c>
      <c r="P1179">
        <f>-639.578683717671 -224.041363907411 -229.661769401988</f>
        <v>-1093.28181702707</v>
      </c>
      <c r="Q1179">
        <f>-481.909105030208 -107.619909834783 -369.794661387022</f>
        <v>-959.323676252013</v>
      </c>
      <c r="R1179" t="s">
        <v>13018</v>
      </c>
      <c r="S1179" t="s">
        <v>13019</v>
      </c>
      <c r="T1179" t="s">
        <v>13020</v>
      </c>
      <c r="U1179" t="s">
        <v>13021</v>
      </c>
      <c r="V1179">
        <f>-611.241664623746 -108.817014372822 -95.9251797121432</f>
        <v>-815.98385870871118</v>
      </c>
      <c r="W1179" t="s">
        <v>13022</v>
      </c>
      <c r="X1179" t="s">
        <v>13023</v>
      </c>
      <c r="Y1179" t="s">
        <v>13024</v>
      </c>
    </row>
    <row r="1180" spans="1:25" x14ac:dyDescent="0.3">
      <c r="A1180">
        <v>58950</v>
      </c>
      <c r="B1180" t="s">
        <v>13025</v>
      </c>
      <c r="C1180">
        <f>-618.307465269359 -13.5031611026845 -97.7440645952494</f>
        <v>-729.55469096729291</v>
      </c>
      <c r="D1180">
        <f>-641.988803472094 -18.7125590449152 -211.006064939024</f>
        <v>-871.7074274560332</v>
      </c>
      <c r="E1180">
        <f>-650.252556424669 -22.054319706438 -309.226272125488</f>
        <v>-981.53314825659504</v>
      </c>
      <c r="F1180">
        <f>-653.46659053116 -24.7838536059237 -398.223205612876</f>
        <v>-1076.4736497499598</v>
      </c>
      <c r="G1180">
        <f>-652.062961639723 -27.2952517321532 -487.273554935967</f>
        <v>-1166.6317683078432</v>
      </c>
      <c r="H1180">
        <f>-645.25684652857 -30.6534060429221 -611.624712865529</f>
        <v>-1287.5349654370211</v>
      </c>
      <c r="I1180">
        <f>-615.505177853497 -33.7273110099013 -689.151648761979</f>
        <v>-1338.3841376253772</v>
      </c>
      <c r="J1180">
        <f>-647.659719711822 -1.48221634517017 -557.619456238601</f>
        <v>-1206.7613922955932</v>
      </c>
      <c r="K1180" t="s">
        <v>13026</v>
      </c>
      <c r="L1180" t="s">
        <v>13027</v>
      </c>
      <c r="M1180" t="s">
        <v>13028</v>
      </c>
      <c r="N1180">
        <f>-648.844044718298 -56.8691474123666 -556.188446140237</f>
        <v>-1261.9016382709017</v>
      </c>
      <c r="O1180">
        <f>-652.666292085952 -189.830125047795 -521.454276507077</f>
        <v>-1363.9506936408241</v>
      </c>
      <c r="P1180">
        <f>-639.664797176103 -223.91686324317 -229.460689532609</f>
        <v>-1093.042349951882</v>
      </c>
      <c r="Q1180">
        <f>-482.102004579819 -107.603899574153 -369.8037066703</f>
        <v>-959.50961082427204</v>
      </c>
      <c r="R1180" t="s">
        <v>13029</v>
      </c>
      <c r="S1180" t="s">
        <v>13030</v>
      </c>
      <c r="T1180" t="s">
        <v>13031</v>
      </c>
      <c r="U1180" t="s">
        <v>13032</v>
      </c>
      <c r="V1180">
        <f>-611.446785331501 -108.841638516089 -95.9273078302192</f>
        <v>-816.21573167780923</v>
      </c>
      <c r="W1180" t="s">
        <v>13033</v>
      </c>
      <c r="X1180" t="s">
        <v>13034</v>
      </c>
      <c r="Y1180" t="s">
        <v>13035</v>
      </c>
    </row>
    <row r="1181" spans="1:25" x14ac:dyDescent="0.3">
      <c r="A1181">
        <v>59000</v>
      </c>
      <c r="B1181" t="s">
        <v>13036</v>
      </c>
      <c r="C1181">
        <f>-618.548518922435 -13.3661268768722 -97.7672718291246</f>
        <v>-729.68191762843185</v>
      </c>
      <c r="D1181">
        <f>-642.292640873946 -18.5898871501697 -211.015548160805</f>
        <v>-871.89807618492068</v>
      </c>
      <c r="E1181">
        <f>-650.526890867693 -22.0038850582273 -309.235633688975</f>
        <v>-981.76640961489534</v>
      </c>
      <c r="F1181">
        <f>-653.68131906629 -24.8226933699864 -398.2319818445</f>
        <v>-1076.7359942807764</v>
      </c>
      <c r="G1181">
        <f>-652.185606904962 -27.447436782312 -487.277527986926</f>
        <v>-1166.9105716742001</v>
      </c>
      <c r="H1181">
        <f>-645.217429436899 -30.9895030600783 -611.614708616332</f>
        <v>-1287.8216411133094</v>
      </c>
      <c r="I1181">
        <f>-615.388507557572 -34.2224613269236 -689.105272915415</f>
        <v>-1338.7162417999107</v>
      </c>
      <c r="J1181">
        <f>-647.683116766949 -1.73865870788859 -557.655141769053</f>
        <v>-1207.0769172438904</v>
      </c>
      <c r="K1181" t="s">
        <v>13037</v>
      </c>
      <c r="L1181" t="s">
        <v>13038</v>
      </c>
      <c r="M1181" t="s">
        <v>13039</v>
      </c>
      <c r="N1181">
        <f>-648.88444841132 -57.1230399091702 -556.144792816929</f>
        <v>-1262.1522811374193</v>
      </c>
      <c r="O1181">
        <f>-652.818528723702 -190.019919760705 -521.194951928252</f>
        <v>-1364.0334004126589</v>
      </c>
      <c r="P1181">
        <f>-639.930757678907 -223.570186019779 -229.134246580782</f>
        <v>-1092.6351902794679</v>
      </c>
      <c r="Q1181">
        <f>-482.249636325096 -107.821077081409 -369.809985087572</f>
        <v>-959.88069849407702</v>
      </c>
      <c r="R1181" t="s">
        <v>13040</v>
      </c>
      <c r="S1181" t="s">
        <v>13041</v>
      </c>
      <c r="T1181" t="s">
        <v>13042</v>
      </c>
      <c r="U1181" t="s">
        <v>13043</v>
      </c>
      <c r="V1181">
        <f>-611.744577116767 -108.772693865118 -95.9099715662747</f>
        <v>-816.42724254815971</v>
      </c>
      <c r="W1181" t="s">
        <v>13044</v>
      </c>
      <c r="X1181" t="s">
        <v>13045</v>
      </c>
      <c r="Y1181" t="s">
        <v>13046</v>
      </c>
    </row>
    <row r="1182" spans="1:25" x14ac:dyDescent="0.3">
      <c r="A1182">
        <v>59050</v>
      </c>
      <c r="B1182" t="s">
        <v>13047</v>
      </c>
      <c r="C1182">
        <f>-618.563659455616 -13.3829207638585 -97.7663938960881</f>
        <v>-729.71297411556247</v>
      </c>
      <c r="D1182">
        <f>-642.318474436966 -18.6080086531006 -211.012248187635</f>
        <v>-871.93873127770155</v>
      </c>
      <c r="E1182">
        <f>-650.525173539489 -22.0540618148182 -309.233613503196</f>
        <v>-981.81284885750313</v>
      </c>
      <c r="F1182">
        <f>-653.640228175359 -24.9148837106727 -398.229945280835</f>
        <v>-1076.7850571668666</v>
      </c>
      <c r="G1182">
        <f>-652.090842653249 -27.5951563580672 -487.272956783408</f>
        <v>-1166.9589557947243</v>
      </c>
      <c r="H1182">
        <f>-645.032996436866 -31.2293195807147 -611.602347509234</f>
        <v>-1287.8646635268146</v>
      </c>
      <c r="I1182">
        <f>-615.137224264791 -34.5366939276539 -689.064229765553</f>
        <v>-1338.7381479579981</v>
      </c>
      <c r="J1182">
        <f>-647.516704780625 -1.93888761909329 -557.665232173742</f>
        <v>-1207.1208245734601</v>
      </c>
      <c r="K1182" t="s">
        <v>13048</v>
      </c>
      <c r="L1182" t="s">
        <v>13049</v>
      </c>
      <c r="M1182" t="s">
        <v>13050</v>
      </c>
      <c r="N1182">
        <f>-648.760916765829 -57.3212761716502 -556.117023535778</f>
        <v>-1262.1992164732574</v>
      </c>
      <c r="O1182">
        <f>-652.853827869417 -190.188299275128 -521.071092248828</f>
        <v>-1364.1132193933731</v>
      </c>
      <c r="P1182">
        <f>-640.046036116927 -223.580693618605 -228.988720532912</f>
        <v>-1092.615450268444</v>
      </c>
      <c r="Q1182">
        <f>-482.144455135488 -108.247188084867 -369.758539764901</f>
        <v>-960.15018298525604</v>
      </c>
      <c r="R1182" t="s">
        <v>13051</v>
      </c>
      <c r="S1182" t="s">
        <v>13052</v>
      </c>
      <c r="T1182" t="s">
        <v>13053</v>
      </c>
      <c r="U1182" t="s">
        <v>13054</v>
      </c>
      <c r="V1182">
        <f>-611.805951351358 -108.836594081012 -95.8982030965516</f>
        <v>-816.54074852892154</v>
      </c>
      <c r="W1182" t="s">
        <v>13055</v>
      </c>
      <c r="X1182" t="s">
        <v>13056</v>
      </c>
      <c r="Y1182" t="s">
        <v>13057</v>
      </c>
    </row>
    <row r="1183" spans="1:25" x14ac:dyDescent="0.3">
      <c r="A1183">
        <v>59100</v>
      </c>
      <c r="B1183" t="s">
        <v>13058</v>
      </c>
      <c r="C1183">
        <f>-618.420034782429 -13.4430546403505 -97.7442253636754</f>
        <v>-729.60731478645482</v>
      </c>
      <c r="D1183">
        <f>-642.172764567419 -18.6838078012138 -210.989831183878</f>
        <v>-871.84640355251076</v>
      </c>
      <c r="E1183">
        <f>-650.299306312452 -22.1999741708883 -309.215340307078</f>
        <v>-981.71462079041828</v>
      </c>
      <c r="F1183">
        <f>-653.310781032282 -25.1479928972828 -398.212429669766</f>
        <v>-1076.6712035993307</v>
      </c>
      <c r="G1183">
        <f>-651.627247817734 -27.941753835614 -487.249416350335</f>
        <v>-1166.8184180036831</v>
      </c>
      <c r="H1183">
        <f>-644.350638380025 -31.7631042563139 -611.560744212387</f>
        <v>-1287.6744868487258</v>
      </c>
      <c r="I1183">
        <f>-614.260458712905 -35.1989656298574 -688.941611353556</f>
        <v>-1338.4010356963186</v>
      </c>
      <c r="J1183">
        <f>-646.866341414219 -2.39283758104216 -557.668445061864</f>
        <v>-1206.9276240571253</v>
      </c>
      <c r="K1183" t="s">
        <v>13059</v>
      </c>
      <c r="L1183" t="s">
        <v>13060</v>
      </c>
      <c r="M1183" t="s">
        <v>13061</v>
      </c>
      <c r="N1183">
        <f>-648.239180984675 -57.770246152573 -556.046464531193</f>
        <v>-1262.0558916684411</v>
      </c>
      <c r="O1183">
        <f>-652.747883455989 -190.564514026308 -520.777628985272</f>
        <v>-1364.090026467569</v>
      </c>
      <c r="P1183">
        <f>-640.363734894358 -223.552429948877 -228.630948293589</f>
        <v>-1092.547113136824</v>
      </c>
      <c r="Q1183">
        <f>-481.83555408557 -109.429483181753 -369.682923774897</f>
        <v>-960.94796104221996</v>
      </c>
      <c r="R1183" t="s">
        <v>13062</v>
      </c>
      <c r="S1183" t="s">
        <v>13063</v>
      </c>
      <c r="T1183" t="s">
        <v>13064</v>
      </c>
      <c r="U1183" t="s">
        <v>13065</v>
      </c>
      <c r="V1183">
        <f>-611.760025215699 -108.862147045709 -95.8627129893919</f>
        <v>-816.48488525079983</v>
      </c>
      <c r="W1183" t="s">
        <v>13066</v>
      </c>
      <c r="X1183" t="s">
        <v>13067</v>
      </c>
      <c r="Y1183" t="s">
        <v>13068</v>
      </c>
    </row>
    <row r="1184" spans="1:25" x14ac:dyDescent="0.3">
      <c r="A1184">
        <v>59150</v>
      </c>
      <c r="B1184" t="s">
        <v>13069</v>
      </c>
      <c r="C1184">
        <f>-618.355108714074 -13.3686160694529 -97.7422021933438</f>
        <v>-729.46592697687072</v>
      </c>
      <c r="D1184">
        <f>-642.089945504011 -18.6023555604702 -210.99190334961</f>
        <v>-871.68420441409114</v>
      </c>
      <c r="E1184">
        <f>-650.161210954044 -22.1438222959846 -309.220925586703</f>
        <v>-981.52595883673166</v>
      </c>
      <c r="F1184">
        <f>-653.10708441108 -25.1276532327561 -398.219066421596</f>
        <v>-1076.453804065432</v>
      </c>
      <c r="G1184">
        <f>-651.342621212586 -27.9708443745728 -487.253031412062</f>
        <v>-1166.5664969992208</v>
      </c>
      <c r="H1184">
        <f>-643.937126693113 -31.876286816404 -611.553980944912</f>
        <v>-1287.3673944544289</v>
      </c>
      <c r="I1184">
        <f>-613.727483109982 -35.3581004812272 -688.886218024426</f>
        <v>-1337.9718016156353</v>
      </c>
      <c r="J1184">
        <f>-646.481133330634 -2.47023221149357 -557.682581617999</f>
        <v>-1206.6339471601264</v>
      </c>
      <c r="K1184" t="s">
        <v>13070</v>
      </c>
      <c r="L1184" t="s">
        <v>13071</v>
      </c>
      <c r="M1184" t="s">
        <v>13072</v>
      </c>
      <c r="N1184">
        <f>-647.910642627695 -57.8451537398386 -556.02789196873</f>
        <v>-1261.7836883362636</v>
      </c>
      <c r="O1184">
        <f>-652.611278485431 -190.603676472168 -520.657310202421</f>
        <v>-1363.8722651600199</v>
      </c>
      <c r="P1184">
        <f>-640.542132948677 -223.297192443086 -228.464534795604</f>
        <v>-1092.303860187367</v>
      </c>
      <c r="Q1184">
        <f>-481.592422680014 -109.906182669842 -369.632253631593</f>
        <v>-961.13085898144902</v>
      </c>
      <c r="R1184" t="s">
        <v>13073</v>
      </c>
      <c r="S1184" t="s">
        <v>13074</v>
      </c>
      <c r="T1184" t="s">
        <v>13075</v>
      </c>
      <c r="U1184" t="s">
        <v>13076</v>
      </c>
      <c r="V1184">
        <f>-611.748233921594 -108.76794047698 -95.8521681409617</f>
        <v>-816.36834253953566</v>
      </c>
      <c r="W1184" t="s">
        <v>13077</v>
      </c>
      <c r="X1184" t="s">
        <v>13078</v>
      </c>
      <c r="Y1184" t="s">
        <v>13079</v>
      </c>
    </row>
    <row r="1185" spans="1:25" x14ac:dyDescent="0.3">
      <c r="A1185">
        <v>59200</v>
      </c>
      <c r="B1185" t="s">
        <v>13080</v>
      </c>
      <c r="C1185">
        <f>-618.176184262339 -13.2440195010659 -97.7397054527103</f>
        <v>-729.15990921611512</v>
      </c>
      <c r="D1185">
        <f>-641.847793101477 -18.4314482936747 -211.004781340863</f>
        <v>-871.28402273601478</v>
      </c>
      <c r="E1185">
        <f>-649.783568938582 -21.9714484893916 -309.245049323867</f>
        <v>-981.00006675184068</v>
      </c>
      <c r="F1185">
        <f>-652.574699766529 -24.9682914324064 -398.247668692311</f>
        <v>-1075.7906598912464</v>
      </c>
      <c r="G1185">
        <f>-650.623805840365 -27.8386509836334 -487.276732851822</f>
        <v>-1165.7391896758204</v>
      </c>
      <c r="H1185">
        <f>-642.925350864702 -31.7968221727417 -611.558285895418</f>
        <v>-1286.2804589328616</v>
      </c>
      <c r="I1185">
        <f>-612.434909488772 -35.310017121777 -688.778853674588</f>
        <v>-1336.523780285137</v>
      </c>
      <c r="J1185">
        <f>-645.57953771763 -2.36839208115521 -557.704475811787</f>
        <v>-1205.6524056105723</v>
      </c>
      <c r="K1185" t="s">
        <v>13081</v>
      </c>
      <c r="L1185" t="s">
        <v>13082</v>
      </c>
      <c r="M1185" t="s">
        <v>13083</v>
      </c>
      <c r="N1185">
        <f>-647.046634433523 -57.7417948927659 -556.03177102136</f>
        <v>-1260.820200347649</v>
      </c>
      <c r="O1185">
        <f>-651.978555796188 -190.459989565314 -520.54473992574</f>
        <v>-1362.9832852872419</v>
      </c>
      <c r="P1185">
        <f>-640.555348447372 -222.853943202745 -228.292477235248</f>
        <v>-1091.701768885365</v>
      </c>
      <c r="Q1185">
        <f>-480.960860825534 -110.362837299322 -369.452815775697</f>
        <v>-960.77651390055303</v>
      </c>
      <c r="R1185" t="s">
        <v>13084</v>
      </c>
      <c r="S1185" t="s">
        <v>13085</v>
      </c>
      <c r="T1185" t="s">
        <v>13086</v>
      </c>
      <c r="U1185" t="s">
        <v>13087</v>
      </c>
      <c r="V1185">
        <f>-611.642899683918 -108.554992028126 -95.838993622836</f>
        <v>-816.03688533488003</v>
      </c>
      <c r="W1185" t="s">
        <v>13088</v>
      </c>
      <c r="X1185" t="s">
        <v>13089</v>
      </c>
      <c r="Y1185" t="s">
        <v>13090</v>
      </c>
    </row>
    <row r="1186" spans="1:25" x14ac:dyDescent="0.3">
      <c r="A1186">
        <v>59250</v>
      </c>
      <c r="B1186" t="s">
        <v>13091</v>
      </c>
      <c r="C1186">
        <f>-618.058864359155 -13.2177933030173 -97.7267899629254</f>
        <v>-729.00344762509769</v>
      </c>
      <c r="D1186">
        <f>-641.705598373667 -18.3605549624995 -210.999018161684</f>
        <v>-871.06517149785054</v>
      </c>
      <c r="E1186">
        <f>-649.568386138233 -21.8763172111426 -309.246093665465</f>
        <v>-980.69079701484065</v>
      </c>
      <c r="F1186">
        <f>-652.273102698324 -24.8559212867387 -398.25190903917</f>
        <v>-1075.3809330242327</v>
      </c>
      <c r="G1186">
        <f>-650.215423756279 -27.7134454069931 -487.279030996313</f>
        <v>-1165.2079001595851</v>
      </c>
      <c r="H1186">
        <f>-642.346778669412 -31.6576799625641 -611.550376671897</f>
        <v>-1285.554835303873</v>
      </c>
      <c r="I1186">
        <f>-611.69805405384 -35.1643245165446 -688.708580263983</f>
        <v>-1335.5709588343675</v>
      </c>
      <c r="J1186">
        <f>-645.083632286883 -2.23505841770861 -557.697446004186</f>
        <v>-1205.0161367087776</v>
      </c>
      <c r="K1186" t="s">
        <v>13092</v>
      </c>
      <c r="L1186" t="s">
        <v>13093</v>
      </c>
      <c r="M1186" t="s">
        <v>13094</v>
      </c>
      <c r="N1186">
        <f>-646.535045979994 -57.6091765543363 -556.031869537381</f>
        <v>-1260.1760920717113</v>
      </c>
      <c r="O1186">
        <f>-651.507735547434 -190.330269431637 -520.561670321871</f>
        <v>-1362.3996753009419</v>
      </c>
      <c r="P1186">
        <f>-640.29330486855 -222.791025162609 -228.308667807991</f>
        <v>-1091.39299783915</v>
      </c>
      <c r="Q1186">
        <f>-480.52120247348 -110.450317211867 -369.387847009161</f>
        <v>-960.35936669450803</v>
      </c>
      <c r="R1186" t="s">
        <v>13095</v>
      </c>
      <c r="S1186" t="s">
        <v>13096</v>
      </c>
      <c r="T1186" t="s">
        <v>13097</v>
      </c>
      <c r="U1186" t="s">
        <v>13098</v>
      </c>
      <c r="V1186">
        <f>-611.573876610672 -108.497320472115 -95.8450737015621</f>
        <v>-815.91627078434908</v>
      </c>
      <c r="W1186" t="s">
        <v>13099</v>
      </c>
      <c r="X1186" t="s">
        <v>13100</v>
      </c>
      <c r="Y1186" t="s">
        <v>13101</v>
      </c>
    </row>
    <row r="1187" spans="1:25" x14ac:dyDescent="0.3">
      <c r="A1187">
        <v>59300</v>
      </c>
      <c r="B1187" t="s">
        <v>13102</v>
      </c>
      <c r="C1187">
        <f>-617.875255094553 -13.3875960971498 -97.7088394831018</f>
        <v>-728.97169067480456</v>
      </c>
      <c r="D1187">
        <f>-641.502224035762 -18.48996044316 -210.986959760094</f>
        <v>-870.97914423901602</v>
      </c>
      <c r="E1187">
        <f>-649.302822890193 -21.9725959109016 -309.240193706555</f>
        <v>-980.51561250764962</v>
      </c>
      <c r="F1187">
        <f>-651.933096866329 -24.9221620082128 -398.249343582066</f>
        <v>-1075.1046024566078</v>
      </c>
      <c r="G1187">
        <f>-649.782920237608 -27.7495056727355 -487.275302800584</f>
        <v>-1164.8077287109274</v>
      </c>
      <c r="H1187">
        <f>-641.766244654727 -31.6504962464805 -611.538459333015</f>
        <v>-1284.9552002342225</v>
      </c>
      <c r="I1187">
        <f>-610.955017033577 -35.1340242554234 -688.632895704841</f>
        <v>-1334.7219369938412</v>
      </c>
      <c r="J1187">
        <f>-644.585043620503 -2.24598780717906 -557.679779487593</f>
        <v>-1204.5108109152752</v>
      </c>
      <c r="K1187" t="s">
        <v>13103</v>
      </c>
      <c r="L1187" t="s">
        <v>13104</v>
      </c>
      <c r="M1187" t="s">
        <v>13105</v>
      </c>
      <c r="N1187">
        <f>-646.002920629015 -57.621563999753 -556.032811187066</f>
        <v>-1259.657295815834</v>
      </c>
      <c r="O1187">
        <f>-650.96210434785 -190.349474628757 -520.602870702002</f>
        <v>-1361.9144496786089</v>
      </c>
      <c r="P1187">
        <f>-639.836445366229 -222.996239599338 -228.367394707583</f>
        <v>-1091.20007967315</v>
      </c>
      <c r="Q1187">
        <f>-479.998196817331 -110.605397525105 -369.3315933798</f>
        <v>-959.93518772223604</v>
      </c>
      <c r="R1187" t="s">
        <v>13106</v>
      </c>
      <c r="S1187" t="s">
        <v>13107</v>
      </c>
      <c r="T1187" t="s">
        <v>13108</v>
      </c>
      <c r="U1187" t="s">
        <v>13109</v>
      </c>
      <c r="V1187">
        <f>-611.402483029668 -108.697665915649 -95.8487986387065</f>
        <v>-815.94894758402347</v>
      </c>
      <c r="W1187" t="s">
        <v>13110</v>
      </c>
      <c r="X1187" t="s">
        <v>13111</v>
      </c>
      <c r="Y1187" t="s">
        <v>13112</v>
      </c>
    </row>
    <row r="1188" spans="1:25" x14ac:dyDescent="0.3">
      <c r="A1188">
        <v>59350</v>
      </c>
      <c r="B1188" t="s">
        <v>13113</v>
      </c>
      <c r="C1188">
        <f>-617.561203097066 -13.6003460207651 -97.6408832139542</f>
        <v>-728.80243233178533</v>
      </c>
      <c r="D1188">
        <f>-641.131320813395 -18.6704000041088 -210.932469632375</f>
        <v>-870.73419044987872</v>
      </c>
      <c r="E1188">
        <f>-648.788801944244 -22.0855699599583 -309.199071412739</f>
        <v>-980.07344331694139</v>
      </c>
      <c r="F1188">
        <f>-651.251265174451 -24.9586985683848 -398.215584476119</f>
        <v>-1074.4255482189546</v>
      </c>
      <c r="G1188">
        <f>-648.894812117563 -27.6932238531474 -487.239165833578</f>
        <v>-1163.8272018042885</v>
      </c>
      <c r="H1188">
        <f>-640.549787326565 -31.4476123010047 -611.485240938115</f>
        <v>-1283.4826405656847</v>
      </c>
      <c r="I1188">
        <f>-609.40106591745 -34.8133789704002 -688.449315958227</f>
        <v>-1332.6637608460771</v>
      </c>
      <c r="J1188">
        <f>-643.561775982491 -2.10559766797974 -557.603134490468</f>
        <v>-1203.2705081409388</v>
      </c>
      <c r="K1188" t="s">
        <v>13114</v>
      </c>
      <c r="L1188" t="s">
        <v>13115</v>
      </c>
      <c r="M1188" t="s">
        <v>13116</v>
      </c>
      <c r="N1188">
        <f>-644.882250355818 -57.485281494451 -556.018360721721</f>
        <v>-1258.3858925719901</v>
      </c>
      <c r="O1188">
        <f>-649.703719932544 -190.258483413336 -520.733734613107</f>
        <v>-1360.6959379589871</v>
      </c>
      <c r="P1188">
        <f>-638.72203496581 -223.300093306898 -228.537104121228</f>
        <v>-1090.5592323939361</v>
      </c>
      <c r="Q1188">
        <f>-478.979881524079 -110.61279273884 -369.373470908935</f>
        <v>-958.96614517185401</v>
      </c>
      <c r="R1188" t="s">
        <v>13117</v>
      </c>
      <c r="S1188" t="s">
        <v>13118</v>
      </c>
      <c r="T1188" t="s">
        <v>13119</v>
      </c>
      <c r="U1188" t="s">
        <v>13120</v>
      </c>
      <c r="V1188">
        <f>-610.984129607465 -108.927581771939 -95.8375221186835</f>
        <v>-815.74923349808751</v>
      </c>
      <c r="W1188" t="s">
        <v>13121</v>
      </c>
      <c r="X1188" t="s">
        <v>13122</v>
      </c>
      <c r="Y1188" t="s">
        <v>13123</v>
      </c>
    </row>
    <row r="1189" spans="1:25" x14ac:dyDescent="0.3">
      <c r="A1189">
        <v>59400</v>
      </c>
      <c r="B1189" t="s">
        <v>13124</v>
      </c>
      <c r="C1189">
        <f>-617.452911942593 -13.7124196926604 -97.6220156807993</f>
        <v>-728.78734731605277</v>
      </c>
      <c r="D1189">
        <f>-640.97063407933 -18.7454153407684 -210.926112099152</f>
        <v>-870.64216151925041</v>
      </c>
      <c r="E1189">
        <f>-648.555682269783 -22.130352755735 -309.199526162705</f>
        <v>-979.88556118822294</v>
      </c>
      <c r="F1189">
        <f>-650.941615008139 -24.9768894208296 -398.218873834615</f>
        <v>-1074.1373782635837</v>
      </c>
      <c r="G1189">
        <f>-648.497923258629 -27.6851594760071 -487.241012867722</f>
        <v>-1163.4240956023582</v>
      </c>
      <c r="H1189">
        <f>-640.019729968385 -31.4032366864319 -611.479065538612</f>
        <v>-1282.902032193429</v>
      </c>
      <c r="I1189">
        <f>-608.717175637348 -34.6903964344588 -688.38409046157</f>
        <v>-1331.7916625333769</v>
      </c>
      <c r="J1189">
        <f>-643.110190773033 -2.07663543224953 -557.592985536812</f>
        <v>-1202.7798117420944</v>
      </c>
      <c r="K1189" t="s">
        <v>13125</v>
      </c>
      <c r="L1189" t="s">
        <v>13126</v>
      </c>
      <c r="M1189" t="s">
        <v>13127</v>
      </c>
      <c r="N1189">
        <f>-644.390884545717 -57.457554018768 -556.023011585151</f>
        <v>-1257.8714501496361</v>
      </c>
      <c r="O1189">
        <f>-649.127766170279 -190.248877824808 -520.786961090977</f>
        <v>-1360.1636050860639</v>
      </c>
      <c r="P1189">
        <f>-638.173699625284 -223.396565209913 -228.601437696349</f>
        <v>-1090.1717025315461</v>
      </c>
      <c r="Q1189">
        <f>-478.533666208163 -110.490806117951 -369.378600813605</f>
        <v>-958.40307313971903</v>
      </c>
      <c r="R1189" t="s">
        <v>13128</v>
      </c>
      <c r="S1189" t="s">
        <v>13129</v>
      </c>
      <c r="T1189" t="s">
        <v>13130</v>
      </c>
      <c r="U1189" t="s">
        <v>13131</v>
      </c>
      <c r="V1189">
        <f>-610.817728001251 -109.019591553592 -95.8471384089132</f>
        <v>-815.68445796375624</v>
      </c>
      <c r="W1189" t="s">
        <v>13132</v>
      </c>
      <c r="X1189" t="s">
        <v>13133</v>
      </c>
      <c r="Y1189" t="s">
        <v>13134</v>
      </c>
    </row>
    <row r="1190" spans="1:25" x14ac:dyDescent="0.3">
      <c r="A1190">
        <v>59450</v>
      </c>
      <c r="B1190" t="s">
        <v>13135</v>
      </c>
      <c r="C1190">
        <f>-617.199702153294 -13.9953106221731 -97.5764900864558</f>
        <v>-728.77150286192284</v>
      </c>
      <c r="D1190">
        <f>-640.638758139611 -19.0011422108475 -210.897988172495</f>
        <v>-870.53788852295361</v>
      </c>
      <c r="E1190">
        <f>-648.114314504248 -22.3519656133278 -309.180948196616</f>
        <v>-979.64722831419181</v>
      </c>
      <c r="F1190">
        <f>-650.384444726146 -25.1635162111215 -398.204463295742</f>
        <v>-1073.7524242330096</v>
      </c>
      <c r="G1190">
        <f>-647.808193626795 -27.8318171546116 -487.224146058947</f>
        <v>-1162.8641568403536</v>
      </c>
      <c r="H1190">
        <f>-639.127424112859 -31.4887588442054 -611.449998901342</f>
        <v>-1282.0661818584065</v>
      </c>
      <c r="I1190">
        <f>-607.567027878388 -34.6080095843154 -688.256581091064</f>
        <v>-1330.4316185537673</v>
      </c>
      <c r="J1190">
        <f>-642.341847843382 -2.18776911367195 -557.557251557509</f>
        <v>-1202.0868685145629</v>
      </c>
      <c r="K1190" t="s">
        <v>13136</v>
      </c>
      <c r="L1190" t="s">
        <v>13137</v>
      </c>
      <c r="M1190" t="s">
        <v>13138</v>
      </c>
      <c r="N1190">
        <f>-643.552936414323 -57.5712036820189 -556.011518790961</f>
        <v>-1257.1356588873027</v>
      </c>
      <c r="O1190">
        <f>-648.146090529728 -190.386731570447 -520.832681877915</f>
        <v>-1359.3655039780901</v>
      </c>
      <c r="P1190">
        <f>-637.342029575953 -223.698834920956 -228.660017949174</f>
        <v>-1089.7008824460829</v>
      </c>
      <c r="Q1190">
        <f>-477.757220193958 -110.52091729361 -369.281227168227</f>
        <v>-957.55936465579498</v>
      </c>
      <c r="R1190" t="s">
        <v>13139</v>
      </c>
      <c r="S1190" t="s">
        <v>13140</v>
      </c>
      <c r="T1190" t="s">
        <v>13141</v>
      </c>
      <c r="U1190" t="s">
        <v>13142</v>
      </c>
      <c r="V1190">
        <f>-610.579508351122 -109.261812396599 -95.8395303937301</f>
        <v>-815.68085114145106</v>
      </c>
      <c r="W1190" t="s">
        <v>13143</v>
      </c>
      <c r="X1190" t="s">
        <v>13144</v>
      </c>
      <c r="Y1190" t="s">
        <v>13145</v>
      </c>
    </row>
    <row r="1191" spans="1:25" x14ac:dyDescent="0.3">
      <c r="A1191">
        <v>59500</v>
      </c>
      <c r="B1191" t="s">
        <v>13146</v>
      </c>
      <c r="C1191">
        <f>-616.970532885689 -13.9944650059936 -97.5525680991711</f>
        <v>-728.51756599085365</v>
      </c>
      <c r="D1191">
        <f>-640.399870992098 -18.9655160182035 -210.877637355264</f>
        <v>-870.24302436556559</v>
      </c>
      <c r="E1191">
        <f>-647.828017166417 -22.2822926313765 -309.165406608275</f>
        <v>-979.27571640606857</v>
      </c>
      <c r="F1191">
        <f>-650.039491858563 -25.0604367097071 -398.191420260439</f>
        <v>-1073.291348828709</v>
      </c>
      <c r="G1191">
        <f>-647.388816344326 -27.6921110390308 -487.209832668521</f>
        <v>-1162.2907600518779</v>
      </c>
      <c r="H1191">
        <f>-638.587806862446 -31.2936043885468 -611.429022493989</f>
        <v>-1281.3104337449818</v>
      </c>
      <c r="I1191">
        <f>-606.821819196441 -34.2921828867673 -688.155442557378</f>
        <v>-1329.2694446405862</v>
      </c>
      <c r="J1191">
        <f>-641.884515060623 -2.01616466378186 -557.528426497498</f>
        <v>-1201.4291062219029</v>
      </c>
      <c r="K1191" t="s">
        <v>13147</v>
      </c>
      <c r="L1191" t="s">
        <v>13148</v>
      </c>
      <c r="M1191" t="s">
        <v>13149</v>
      </c>
      <c r="N1191">
        <f>-643.036883808025 -57.4012344332259 -556.00425461374</f>
        <v>-1256.4423728549909</v>
      </c>
      <c r="O1191">
        <f>-647.563124696985 -190.231432935564 -520.87126070873</f>
        <v>-1358.665818341279</v>
      </c>
      <c r="P1191">
        <f>-637.016574627137 -223.645107516119 -228.700925604282</f>
        <v>-1089.3626077475378</v>
      </c>
      <c r="Q1191">
        <f>-477.244122518754 -110.38764870055 -369.044729389469</f>
        <v>-956.67650060877304</v>
      </c>
      <c r="R1191" t="s">
        <v>13150</v>
      </c>
      <c r="S1191" t="s">
        <v>13151</v>
      </c>
      <c r="T1191" t="s">
        <v>13152</v>
      </c>
      <c r="U1191" t="s">
        <v>13153</v>
      </c>
      <c r="V1191">
        <f>-610.309101703568 -109.225374974571 -95.8462031555769</f>
        <v>-815.38067983371582</v>
      </c>
      <c r="W1191" t="s">
        <v>13154</v>
      </c>
      <c r="X1191" t="s">
        <v>13155</v>
      </c>
      <c r="Y1191" t="s">
        <v>13156</v>
      </c>
    </row>
    <row r="1192" spans="1:25" x14ac:dyDescent="0.3">
      <c r="A1192">
        <v>59550</v>
      </c>
      <c r="B1192" t="s">
        <v>13157</v>
      </c>
      <c r="C1192">
        <f>-616.892163411569 -14.0889261016662 -97.545180924909</f>
        <v>-728.52627043814414</v>
      </c>
      <c r="D1192">
        <f>-640.32141659299 -19.0383841858065 -210.871146823</f>
        <v>-870.23094760179652</v>
      </c>
      <c r="E1192">
        <f>-647.755162770576 -22.3413813720679 -309.159056784236</f>
        <v>-979.25560092687988</v>
      </c>
      <c r="F1192">
        <f>-649.974243369066 -25.1083951657979 -398.185198563144</f>
        <v>-1073.2678370980079</v>
      </c>
      <c r="G1192">
        <f>-647.333539886221 -27.7303730154672 -487.204232323147</f>
        <v>-1162.2681452248353</v>
      </c>
      <c r="H1192">
        <f>-638.549077664851 -31.3196249929968 -611.424853321438</f>
        <v>-1281.2935559792859</v>
      </c>
      <c r="I1192">
        <f>-606.713503787493 -34.2946228527901 -688.123490902961</f>
        <v>-1329.1316175432439</v>
      </c>
      <c r="J1192">
        <f>-641.835257487402 -2.04754109871965 -557.520584667766</f>
        <v>-1201.4033832538876</v>
      </c>
      <c r="K1192" t="s">
        <v>13158</v>
      </c>
      <c r="L1192" t="s">
        <v>13159</v>
      </c>
      <c r="M1192" t="s">
        <v>13160</v>
      </c>
      <c r="N1192">
        <f>-642.994184272075 -57.4327580083362 -556.002289095857</f>
        <v>-1256.4292313762683</v>
      </c>
      <c r="O1192">
        <f>-647.571959835699 -190.267173428761 -520.88584085226</f>
        <v>-1358.72497411672</v>
      </c>
      <c r="P1192">
        <f>-637.116018861564 -223.712752657863 -228.715837119024</f>
        <v>-1089.5446086384511</v>
      </c>
      <c r="Q1192">
        <f>-477.189268639967 -110.512257679244 -368.929853480832</f>
        <v>-956.63137980004296</v>
      </c>
      <c r="R1192" t="s">
        <v>13161</v>
      </c>
      <c r="S1192" t="s">
        <v>13162</v>
      </c>
      <c r="T1192" t="s">
        <v>13163</v>
      </c>
      <c r="U1192" t="s">
        <v>13164</v>
      </c>
      <c r="V1192">
        <f>-610.249588877203 -109.422886028503 -95.8419948266335</f>
        <v>-815.51446973233942</v>
      </c>
      <c r="W1192" t="s">
        <v>13165</v>
      </c>
      <c r="X1192" t="s">
        <v>13166</v>
      </c>
      <c r="Y1192" t="s">
        <v>13167</v>
      </c>
    </row>
    <row r="1193" spans="1:25" x14ac:dyDescent="0.3">
      <c r="A1193">
        <v>59600</v>
      </c>
      <c r="B1193" t="s">
        <v>13168</v>
      </c>
      <c r="C1193">
        <f>-616.814964815075 -14.1630217321688 -97.5301249561626</f>
        <v>-728.50811150340633</v>
      </c>
      <c r="D1193">
        <f>-640.243565300979 -19.1028609020045 -210.856776114037</f>
        <v>-870.20320231702044</v>
      </c>
      <c r="E1193">
        <f>-647.693947803659 -22.3963610390424 -309.143603517804</f>
        <v>-979.23391236050543</v>
      </c>
      <c r="F1193">
        <f>-649.934878194507 -25.1535564502044 -398.169465861498</f>
        <v>-1073.2579005062094</v>
      </c>
      <c r="G1193">
        <f>-647.323013975015 -27.7644018581607 -487.18971857215</f>
        <v>-1162.2771344053258</v>
      </c>
      <c r="H1193">
        <f>-638.585998315665 -31.3366234283155 -611.41422902843</f>
        <v>-1281.3368507724106</v>
      </c>
      <c r="I1193">
        <f>-606.698473076635 -34.3071680262042 -688.091454031933</f>
        <v>-1329.0970951347722</v>
      </c>
      <c r="J1193">
        <f>-641.840114349928 -2.07231391339883 -557.503926647203</f>
        <v>-1201.4163549105297</v>
      </c>
      <c r="K1193" t="s">
        <v>13169</v>
      </c>
      <c r="L1193" t="s">
        <v>13170</v>
      </c>
      <c r="M1193" t="s">
        <v>13171</v>
      </c>
      <c r="N1193">
        <f>-643.021324431798 -57.4570907149869 -555.994393316045</f>
        <v>-1256.47280846283</v>
      </c>
      <c r="O1193">
        <f>-647.685989014431 -190.286940979268 -520.892003581318</f>
        <v>-1358.8649335750169</v>
      </c>
      <c r="P1193">
        <f>-637.288879961606 -223.798186182416 -228.727626831605</f>
        <v>-1089.8146929756269</v>
      </c>
      <c r="Q1193">
        <f>-477.250691453575 -110.661439287307 -368.865907131465</f>
        <v>-956.77803787234689</v>
      </c>
      <c r="R1193" t="s">
        <v>13172</v>
      </c>
      <c r="S1193" t="s">
        <v>13173</v>
      </c>
      <c r="T1193" t="s">
        <v>13174</v>
      </c>
      <c r="U1193" t="s">
        <v>13175</v>
      </c>
      <c r="V1193">
        <f>-610.233164620185 -109.468570092413 -95.8252033879289</f>
        <v>-815.52693810052688</v>
      </c>
      <c r="W1193" t="s">
        <v>13176</v>
      </c>
      <c r="X1193" t="s">
        <v>13177</v>
      </c>
      <c r="Y1193" t="s">
        <v>13178</v>
      </c>
    </row>
    <row r="1194" spans="1:25" x14ac:dyDescent="0.3">
      <c r="A1194">
        <v>59650</v>
      </c>
      <c r="B1194" t="s">
        <v>13179</v>
      </c>
      <c r="C1194">
        <f>-616.763151855583 -13.9923407549975 -97.5182025890073</f>
        <v>-728.27369519958779</v>
      </c>
      <c r="D1194">
        <f>-640.179124507046 -18.9383354195979 -210.847160714637</f>
        <v>-869.96462064128093</v>
      </c>
      <c r="E1194">
        <f>-647.670328114395 -22.2551602196831 -309.130159603904</f>
        <v>-979.05564793798226</v>
      </c>
      <c r="F1194">
        <f>-649.969326043334 -25.0404031933554 -398.153674764416</f>
        <v>-1073.1634040011054</v>
      </c>
      <c r="G1194">
        <f>-647.436749014405 -27.6866849142696 -487.175179151789</f>
        <v>-1162.2986130804636</v>
      </c>
      <c r="H1194">
        <f>-638.832504840714 -31.3164630675749 -611.407207268578</f>
        <v>-1281.5561751768669</v>
      </c>
      <c r="I1194">
        <f>-606.890113687485 -34.343214535967 -688.059319246019</f>
        <v>-1329.2926474694709</v>
      </c>
      <c r="J1194">
        <f>-641.979916072578 -2.02805454057943 -557.503665350967</f>
        <v>-1201.5116359641245</v>
      </c>
      <c r="K1194" t="s">
        <v>13180</v>
      </c>
      <c r="L1194" t="s">
        <v>13181</v>
      </c>
      <c r="M1194" t="s">
        <v>13182</v>
      </c>
      <c r="N1194">
        <f>-643.257686349811 -57.4102811545495 -555.973959222941</f>
        <v>-1256.6419267273013</v>
      </c>
      <c r="O1194">
        <f>-648.189915311856 -190.218318982843 -520.831352057242</f>
        <v>-1359.2395863519409</v>
      </c>
      <c r="P1194">
        <f>-637.786825763746 -223.669784704703 -228.660213129971</f>
        <v>-1090.1168235984201</v>
      </c>
      <c r="Q1194">
        <f>-477.65412021365 -110.660277716327 -368.793191730526</f>
        <v>-957.10758966050298</v>
      </c>
      <c r="R1194" t="s">
        <v>13183</v>
      </c>
      <c r="S1194" t="s">
        <v>13184</v>
      </c>
      <c r="T1194" t="s">
        <v>13185</v>
      </c>
      <c r="U1194" t="s">
        <v>13186</v>
      </c>
      <c r="V1194">
        <f>-610.262864233919 -109.224743090423 -95.7987784977797</f>
        <v>-815.2863858221217</v>
      </c>
      <c r="W1194" t="s">
        <v>13187</v>
      </c>
      <c r="X1194" t="s">
        <v>13188</v>
      </c>
      <c r="Y1194" t="s">
        <v>13189</v>
      </c>
    </row>
    <row r="1195" spans="1:25" x14ac:dyDescent="0.3">
      <c r="A1195">
        <v>59700</v>
      </c>
      <c r="B1195" t="s">
        <v>13190</v>
      </c>
      <c r="C1195">
        <f>-616.735667647088 -13.7873976640751 -97.5120090432564</f>
        <v>-728.03507435441952</v>
      </c>
      <c r="D1195">
        <f>-640.139574600515 -18.7505157020037 -210.842742381761</f>
        <v>-869.73283268427963</v>
      </c>
      <c r="E1195">
        <f>-647.695123916384 -22.1282476664969 -309.118584921671</f>
        <v>-978.94195650455185</v>
      </c>
      <c r="F1195">
        <f>-650.083041397427 -24.9863408541125 -398.137581121529</f>
        <v>-1073.2069633730684</v>
      </c>
      <c r="G1195">
        <f>-647.670155381445 -27.7239563023818 -487.159637876338</f>
        <v>-1162.5537495601648</v>
      </c>
      <c r="H1195">
        <f>-639.265731260099 -31.5009512210161 -611.401005427804</f>
        <v>-1282.1676879089191</v>
      </c>
      <c r="I1195">
        <f>-607.346492134158 -34.6441530692912 -688.058140467505</f>
        <v>-1330.0487856709542</v>
      </c>
      <c r="J1195">
        <f>-642.261803394071 -2.1501725273788 -557.522845803093</f>
        <v>-1201.9348217245429</v>
      </c>
      <c r="K1195" t="s">
        <v>13191</v>
      </c>
      <c r="L1195" t="s">
        <v>13192</v>
      </c>
      <c r="M1195" t="s">
        <v>13193</v>
      </c>
      <c r="N1195">
        <f>-643.66639711251 -57.5277026142246 -555.934207824124</f>
        <v>-1257.1283075508586</v>
      </c>
      <c r="O1195">
        <f>-648.846102827628 -190.292375282978 -520.641548614993</f>
        <v>-1359.7800267255989</v>
      </c>
      <c r="P1195">
        <f>-638.36273140639 -223.350478367271 -228.428447169855</f>
        <v>-1090.141656943516</v>
      </c>
      <c r="Q1195">
        <f>-478.068513939362 -110.688642444225 -368.656815631</f>
        <v>-957.41397201458699</v>
      </c>
      <c r="R1195" t="s">
        <v>13194</v>
      </c>
      <c r="S1195" t="s">
        <v>13195</v>
      </c>
      <c r="T1195" t="s">
        <v>13196</v>
      </c>
      <c r="U1195" t="s">
        <v>13197</v>
      </c>
      <c r="V1195">
        <f>-610.326078067809 -108.981193981665 -95.7645168805319</f>
        <v>-815.07178893000594</v>
      </c>
      <c r="W1195" t="s">
        <v>13198</v>
      </c>
      <c r="X1195" t="s">
        <v>13199</v>
      </c>
      <c r="Y1195" t="s">
        <v>13200</v>
      </c>
    </row>
    <row r="1196" spans="1:25" x14ac:dyDescent="0.3">
      <c r="A1196">
        <v>59750</v>
      </c>
      <c r="B1196" t="s">
        <v>13201</v>
      </c>
      <c r="C1196">
        <f>-616.741041899229 -13.6284726609404 -97.5097751774382</f>
        <v>-727.87928973760756</v>
      </c>
      <c r="D1196">
        <f>-640.157239070596 -18.5906840421555 -210.837840847306</f>
        <v>-869.58576396005753</v>
      </c>
      <c r="E1196">
        <f>-647.761215286849 -21.9910979510669 -309.109360435219</f>
        <v>-978.86167367313487</v>
      </c>
      <c r="F1196">
        <f>-650.208427453627 -24.878063026837 -398.125702086386</f>
        <v>-1073.21219256685</v>
      </c>
      <c r="G1196">
        <f>-647.870517877803 -27.6531395250479 -487.148622993291</f>
        <v>-1162.6722803961418</v>
      </c>
      <c r="H1196">
        <f>-639.587154867469 -31.4908090162448 -611.39625292272</f>
        <v>-1282.474216806434</v>
      </c>
      <c r="I1196">
        <f>-607.702836341837 -34.6932597973157 -688.065383091921</f>
        <v>-1330.4614792310738</v>
      </c>
      <c r="J1196">
        <f>-642.506889805906 -2.11421932925418 -557.527866413633</f>
        <v>-1202.1489755487933</v>
      </c>
      <c r="K1196" t="s">
        <v>13202</v>
      </c>
      <c r="L1196" t="s">
        <v>13203</v>
      </c>
      <c r="M1196" t="s">
        <v>13204</v>
      </c>
      <c r="N1196">
        <f>-643.957553485708 -57.4898938338075 -555.91408297117</f>
        <v>-1257.3615302906856</v>
      </c>
      <c r="O1196">
        <f>-649.200258098969 -190.236318689932 -520.561509662057</f>
        <v>-1359.998086450958</v>
      </c>
      <c r="P1196">
        <f>-638.704000230122 -223.15523898266 -228.333318180843</f>
        <v>-1090.1925573936251</v>
      </c>
      <c r="Q1196">
        <f>-478.291451358024 -110.687931688333 -368.582332083167</f>
        <v>-957.56171512952403</v>
      </c>
      <c r="R1196" t="s">
        <v>13205</v>
      </c>
      <c r="S1196" t="s">
        <v>13206</v>
      </c>
      <c r="T1196" t="s">
        <v>13207</v>
      </c>
      <c r="U1196" t="s">
        <v>13208</v>
      </c>
      <c r="V1196">
        <f>-610.401960068517 -108.805544230137 -95.7492312828749</f>
        <v>-814.95673558152896</v>
      </c>
      <c r="W1196" t="s">
        <v>13209</v>
      </c>
      <c r="X1196" t="s">
        <v>13210</v>
      </c>
      <c r="Y1196" t="s">
        <v>13211</v>
      </c>
    </row>
    <row r="1197" spans="1:25" x14ac:dyDescent="0.3">
      <c r="A1197">
        <v>59800</v>
      </c>
      <c r="B1197" t="s">
        <v>13212</v>
      </c>
      <c r="C1197">
        <f>-616.833228189437 -13.3798453032848 -97.5356546508882</f>
        <v>-727.74872814361004</v>
      </c>
      <c r="D1197">
        <f>-640.276705054267 -18.3544665777501 -210.857760173124</f>
        <v>-869.48893180514119</v>
      </c>
      <c r="E1197">
        <f>-647.991994516233 -21.8027358988109 -309.118723791854</f>
        <v>-978.91345420689788</v>
      </c>
      <c r="F1197">
        <f>-650.575806930678 -24.7474687340177 -398.129492958965</f>
        <v>-1073.4527686236606</v>
      </c>
      <c r="G1197">
        <f>-648.410526123544 -27.5946083413776 -487.15439706184</f>
        <v>-1163.1595315267614</v>
      </c>
      <c r="H1197">
        <f>-640.406089323188 -31.5483535252481 -611.416693352511</f>
        <v>-1283.3711362009471</v>
      </c>
      <c r="I1197">
        <f>-608.597424480874 -34.8652282884104 -688.112398116136</f>
        <v>-1331.5750508854203</v>
      </c>
      <c r="J1197">
        <f>-643.171152665825 -2.12235944439226 -557.567135638669</f>
        <v>-1202.8606477488863</v>
      </c>
      <c r="K1197" t="s">
        <v>13213</v>
      </c>
      <c r="L1197" t="s">
        <v>13214</v>
      </c>
      <c r="M1197" t="s">
        <v>13215</v>
      </c>
      <c r="N1197">
        <f>-644.685674236771 -57.4947218625141 -555.902817959554</f>
        <v>-1258.0832140588391</v>
      </c>
      <c r="O1197">
        <f>-650.002113678417 -190.215695594694 -520.488665085259</f>
        <v>-1360.7064743583701</v>
      </c>
      <c r="P1197">
        <f>-639.156365146684 -223.059534149848 -228.264744092558</f>
        <v>-1090.4806433890901</v>
      </c>
      <c r="Q1197">
        <f>-478.671270590559 -110.834950645188 -368.625095605789</f>
        <v>-958.13131684153609</v>
      </c>
      <c r="R1197" t="s">
        <v>13216</v>
      </c>
      <c r="S1197" t="s">
        <v>13217</v>
      </c>
      <c r="T1197" t="s">
        <v>13218</v>
      </c>
      <c r="U1197" t="s">
        <v>13219</v>
      </c>
      <c r="V1197">
        <f>-610.516797740439 -108.523617734743 -95.7546668222075</f>
        <v>-814.7950822973894</v>
      </c>
      <c r="W1197" t="s">
        <v>13220</v>
      </c>
      <c r="X1197" t="s">
        <v>13221</v>
      </c>
      <c r="Y1197" t="s">
        <v>13222</v>
      </c>
    </row>
    <row r="1198" spans="1:25" x14ac:dyDescent="0.3">
      <c r="A1198">
        <v>59850</v>
      </c>
      <c r="B1198" t="s">
        <v>13223</v>
      </c>
      <c r="C1198">
        <f>-616.910073529884 -13.307342113688 -97.5555102440579</f>
        <v>-727.77292588762998</v>
      </c>
      <c r="D1198">
        <f>-640.372877003794 -18.3080964508827 -210.872392683828</f>
        <v>-869.55336613850466</v>
      </c>
      <c r="E1198">
        <f>-648.143620304109 -21.787076086945 -309.128103097045</f>
        <v>-979.05879948809911</v>
      </c>
      <c r="F1198">
        <f>-650.793285474231 -24.762743745021 -398.135693837134</f>
        <v>-1073.6917230563859</v>
      </c>
      <c r="G1198">
        <f>-648.709533041794 -27.6449036569745 -487.161537097565</f>
        <v>-1163.5159737963336</v>
      </c>
      <c r="H1198">
        <f>-640.835301160441 -31.6514677978435 -611.430456756426</f>
        <v>-1283.9172257147104</v>
      </c>
      <c r="I1198">
        <f>-609.056533952325 -35.0142083266808 -688.136459616226</f>
        <v>-1332.2072018952317</v>
      </c>
      <c r="J1198">
        <f>-643.532544661384 -2.20277675108559 -557.589687614669</f>
        <v>-1203.3250090271385</v>
      </c>
      <c r="K1198" t="s">
        <v>13224</v>
      </c>
      <c r="L1198" t="s">
        <v>13225</v>
      </c>
      <c r="M1198" t="s">
        <v>13226</v>
      </c>
      <c r="N1198">
        <f>-645.068098238879 -57.5739124556305 -555.901817095161</f>
        <v>-1258.5438277896706</v>
      </c>
      <c r="O1198">
        <f>-650.389019769017 -190.288383101067 -520.465429389353</f>
        <v>-1361.142832259437</v>
      </c>
      <c r="P1198">
        <f>-639.33628299437 -223.140022138115 -228.250139007162</f>
        <v>-1090.7264441396469</v>
      </c>
      <c r="Q1198">
        <f>-478.791367258402 -110.980631502871 -368.594250500137</f>
        <v>-958.36624926140985</v>
      </c>
      <c r="R1198" t="s">
        <v>13227</v>
      </c>
      <c r="S1198" t="s">
        <v>13228</v>
      </c>
      <c r="T1198" t="s">
        <v>13229</v>
      </c>
      <c r="U1198" t="s">
        <v>13230</v>
      </c>
      <c r="V1198">
        <f>-610.568079797554 -108.43585290523 -95.7556894295469</f>
        <v>-814.75962213233095</v>
      </c>
      <c r="W1198" t="s">
        <v>13231</v>
      </c>
      <c r="X1198" t="s">
        <v>13232</v>
      </c>
      <c r="Y1198" t="s">
        <v>13233</v>
      </c>
    </row>
    <row r="1199" spans="1:25" x14ac:dyDescent="0.3">
      <c r="A1199">
        <v>59900</v>
      </c>
      <c r="B1199" t="s">
        <v>13234</v>
      </c>
      <c r="C1199">
        <f>-617.131206120886 -13.4154969970616 -97.6009798132719</f>
        <v>-728.14768293121949</v>
      </c>
      <c r="D1199">
        <f>-640.682321627766 -18.453798581279 -210.897976249814</f>
        <v>-870.03409645885904</v>
      </c>
      <c r="E1199">
        <f>-648.572406508729 -21.9904671711643 -309.141877018508</f>
        <v>-979.70475069840131</v>
      </c>
      <c r="F1199">
        <f>-651.347556049918 -25.0306981795984 -398.143629070821</f>
        <v>-1074.5218833003373</v>
      </c>
      <c r="G1199">
        <f>-649.407050770848 -27.990321508697 -487.170151099416</f>
        <v>-1164.5675233789609</v>
      </c>
      <c r="H1199">
        <f>-641.751416872077 -32.119822454004 -611.448713316423</f>
        <v>-1285.3199526425039</v>
      </c>
      <c r="I1199">
        <f>-610.020703304863 -35.5486536359881 -688.171705716538</f>
        <v>-1333.7410626573892</v>
      </c>
      <c r="J1199">
        <f>-644.341246824821 -2.61828207297708 -557.631681356576</f>
        <v>-1204.5912102543741</v>
      </c>
      <c r="K1199" t="s">
        <v>13235</v>
      </c>
      <c r="L1199" t="s">
        <v>13236</v>
      </c>
      <c r="M1199" t="s">
        <v>13237</v>
      </c>
      <c r="N1199">
        <f>-645.899257736909 -57.9869860762708 -555.887859601467</f>
        <v>-1259.7741034146468</v>
      </c>
      <c r="O1199">
        <f>-651.144070743624 -190.696348143742 -520.422488926511</f>
        <v>-1362.2629078138771</v>
      </c>
      <c r="P1199">
        <f>-639.88240993019 -223.365624925795 -228.194636682751</f>
        <v>-1091.442671538736</v>
      </c>
      <c r="Q1199">
        <f>-479.304807559904 -111.306222008766 -368.581190261795</f>
        <v>-959.19221983046498</v>
      </c>
      <c r="R1199" t="s">
        <v>13238</v>
      </c>
      <c r="S1199" t="s">
        <v>13239</v>
      </c>
      <c r="T1199" t="s">
        <v>13240</v>
      </c>
      <c r="U1199" t="s">
        <v>13241</v>
      </c>
      <c r="V1199">
        <f>-610.691227624732 -108.676171176041 -95.7899324910135</f>
        <v>-815.15733129178648</v>
      </c>
      <c r="W1199" t="s">
        <v>13242</v>
      </c>
      <c r="X1199" t="s">
        <v>13243</v>
      </c>
      <c r="Y1199" t="s">
        <v>13244</v>
      </c>
    </row>
    <row r="1200" spans="1:25" x14ac:dyDescent="0.3">
      <c r="A1200">
        <v>59950</v>
      </c>
      <c r="B1200" t="s">
        <v>13245</v>
      </c>
      <c r="C1200">
        <f>-617.273465123553 -13.4563408294064 -97.6309331036327</f>
        <v>-728.36073905659214</v>
      </c>
      <c r="D1200">
        <f>-640.881756365574 -18.5108458739223 -210.915272898645</f>
        <v>-870.3078751381413</v>
      </c>
      <c r="E1200">
        <f>-648.841258907669 -22.06609465201 -309.152995567449</f>
        <v>-980.06034912712801</v>
      </c>
      <c r="F1200">
        <f>-651.687488604399 -25.1261765996128 -398.151779297651</f>
        <v>-1074.9654445016629</v>
      </c>
      <c r="G1200">
        <f>-649.825965574625 -28.1095065310708 -487.179116919541</f>
        <v>-1165.1145890252369</v>
      </c>
      <c r="H1200">
        <f>-642.28910140429 -32.2767558936082 -611.463603809881</f>
        <v>-1286.0294611077793</v>
      </c>
      <c r="I1200">
        <f>-610.578635980958 -35.7146947321542 -688.194707757409</f>
        <v>-1334.4880384705211</v>
      </c>
      <c r="J1200">
        <f>-644.820371287242 -2.75911790512623 -557.652676496964</f>
        <v>-1205.2321656893323</v>
      </c>
      <c r="K1200" t="s">
        <v>13246</v>
      </c>
      <c r="L1200" t="s">
        <v>13247</v>
      </c>
      <c r="M1200" t="s">
        <v>13248</v>
      </c>
      <c r="N1200">
        <f>-646.391023807052 -58.126908839753 -555.891574302824</f>
        <v>-1260.4095069496288</v>
      </c>
      <c r="O1200">
        <f>-651.588551340195 -190.841968282542 -520.420996850309</f>
        <v>-1362.8515164730461</v>
      </c>
      <c r="P1200">
        <f>-640.18291545179 -223.419222133911 -228.188448181909</f>
        <v>-1091.7905857676101</v>
      </c>
      <c r="Q1200">
        <f>-479.689013673298 -111.301727394965 -368.624322566451</f>
        <v>-959.61506363471403</v>
      </c>
      <c r="R1200" t="s">
        <v>13249</v>
      </c>
      <c r="S1200" t="s">
        <v>13250</v>
      </c>
      <c r="T1200" t="s">
        <v>13251</v>
      </c>
      <c r="U1200" t="s">
        <v>13252</v>
      </c>
      <c r="V1200">
        <f>-610.741309764229 -108.705510568092 -95.8210049856999</f>
        <v>-815.26782531802087</v>
      </c>
      <c r="W1200" t="s">
        <v>13253</v>
      </c>
      <c r="X1200" t="s">
        <v>13254</v>
      </c>
      <c r="Y1200" t="s">
        <v>13255</v>
      </c>
    </row>
    <row r="1201" spans="1:25" x14ac:dyDescent="0.3">
      <c r="A1201">
        <v>60000</v>
      </c>
      <c r="B1201" t="s">
        <v>13256</v>
      </c>
      <c r="C1201">
        <f>-617.529346229909 -13.5941976836109 -97.6788619046229</f>
        <v>-728.8024058181428</v>
      </c>
      <c r="D1201">
        <f>-641.195341509003 -18.6742849493196 -210.949931098197</f>
        <v>-870.81955755651961</v>
      </c>
      <c r="E1201">
        <f>-649.283019266639 -22.2204174062447 -309.177532861058</f>
        <v>-980.68096953394172</v>
      </c>
      <c r="F1201">
        <f>-652.276353946734 -25.2605540853531 -398.172152011062</f>
        <v>-1075.7090600431491</v>
      </c>
      <c r="G1201">
        <f>-650.592733089537 -28.2119844767954 -487.204193064313</f>
        <v>-1166.0089106306455</v>
      </c>
      <c r="H1201">
        <f>-643.336317897928 -32.3221994648632 -611.507274743066</f>
        <v>-1287.1657921058572</v>
      </c>
      <c r="I1201">
        <f>-611.660417635521 -35.6917764837101 -688.255578579843</f>
        <v>-1335.6077726990741</v>
      </c>
      <c r="J1201">
        <f>-645.756869507361 -2.82888197990269 -557.677996418844</f>
        <v>-1206.2637479061077</v>
      </c>
      <c r="K1201" t="s">
        <v>13257</v>
      </c>
      <c r="L1201" t="s">
        <v>13258</v>
      </c>
      <c r="M1201" t="s">
        <v>13259</v>
      </c>
      <c r="N1201">
        <f>-647.302171381068 -58.1981453564424 -555.937293079008</f>
        <v>-1261.4376098165185</v>
      </c>
      <c r="O1201">
        <f>-652.299263794587 -190.933426632705 -520.500716427717</f>
        <v>-1363.733406855009</v>
      </c>
      <c r="P1201">
        <f>-640.507622903649 -223.576029165365 -228.29081236763</f>
        <v>-1092.3744644366438</v>
      </c>
      <c r="Q1201">
        <f>-480.474431217358 -110.994985398424 -368.881595428849</f>
        <v>-960.35101204463103</v>
      </c>
      <c r="R1201" t="s">
        <v>13260</v>
      </c>
      <c r="S1201" t="s">
        <v>13261</v>
      </c>
      <c r="T1201" t="s">
        <v>13262</v>
      </c>
      <c r="U1201" t="s">
        <v>13263</v>
      </c>
      <c r="V1201">
        <f>-610.933593249305 -108.80226666348 -95.8653172605984</f>
        <v>-815.60117717338335</v>
      </c>
      <c r="W1201" t="s">
        <v>13264</v>
      </c>
      <c r="X1201" t="s">
        <v>13265</v>
      </c>
      <c r="Y1201" t="s">
        <v>13266</v>
      </c>
    </row>
    <row r="1202" spans="1:25" x14ac:dyDescent="0.3">
      <c r="A1202">
        <v>60050</v>
      </c>
      <c r="B1202" t="s">
        <v>13267</v>
      </c>
      <c r="C1202">
        <f>-617.701463872625 -13.6333242423595 -97.6917469601049</f>
        <v>-729.02653507508944</v>
      </c>
      <c r="D1202">
        <f>-641.37447608578 -18.6920171253182 -210.962299071173</f>
        <v>-871.02879228227118</v>
      </c>
      <c r="E1202">
        <f>-649.510509792929 -22.1909044763145 -309.187653978346</f>
        <v>-980.88906824758953</v>
      </c>
      <c r="F1202">
        <f>-652.564211297135 -25.1758083533978 -398.182123022236</f>
        <v>-1075.9221426727688</v>
      </c>
      <c r="G1202">
        <f>-650.957553646643 -28.0581129884067 -487.217805186538</f>
        <v>-1166.2334718215877</v>
      </c>
      <c r="H1202">
        <f>-643.825401675169 -32.0564852986909 -611.53161542394</f>
        <v>-1287.4135023977999</v>
      </c>
      <c r="I1202">
        <f>-612.169635284702 -35.3340343691063 -688.292336461789</f>
        <v>-1335.7960061155973</v>
      </c>
      <c r="J1202">
        <f>-646.212890027407 -2.61108885059321 -557.674709611705</f>
        <v>-1206.4986884897053</v>
      </c>
      <c r="K1202" t="s">
        <v>13268</v>
      </c>
      <c r="L1202" t="s">
        <v>13269</v>
      </c>
      <c r="M1202" t="s">
        <v>13270</v>
      </c>
      <c r="N1202">
        <f>-647.714985513367 -57.9829163305595 -555.979805175459</f>
        <v>-1261.6777070193855</v>
      </c>
      <c r="O1202">
        <f>-652.613164755345 -190.735952498769 -520.598178352083</f>
        <v>-1363.9472956061968</v>
      </c>
      <c r="P1202">
        <f>-640.586152822487 -223.512590772272 -228.41289779812</f>
        <v>-1092.511641392879</v>
      </c>
      <c r="Q1202">
        <f>-480.734848446756 -110.724239816778 -369.044294229261</f>
        <v>-960.50338249279503</v>
      </c>
      <c r="R1202" t="s">
        <v>13271</v>
      </c>
      <c r="S1202" t="s">
        <v>13272</v>
      </c>
      <c r="T1202" t="s">
        <v>13273</v>
      </c>
      <c r="U1202" t="s">
        <v>13274</v>
      </c>
      <c r="V1202">
        <f>-611.10433337205 -108.829910546036 -95.8819518399632</f>
        <v>-815.81619575804916</v>
      </c>
      <c r="W1202" t="s">
        <v>13275</v>
      </c>
      <c r="X1202" t="s">
        <v>13276</v>
      </c>
      <c r="Y1202" t="s">
        <v>13277</v>
      </c>
    </row>
    <row r="1203" spans="1:25" x14ac:dyDescent="0.3">
      <c r="A1203">
        <v>60100</v>
      </c>
      <c r="B1203" t="s">
        <v>13278</v>
      </c>
      <c r="C1203">
        <f>-618.034385799131 -13.7276167952909 -97.6814773879727</f>
        <v>-729.44347998239459</v>
      </c>
      <c r="D1203">
        <f>-641.719462706633 -18.7113612452829 -210.952826679578</f>
        <v>-871.38365063149388</v>
      </c>
      <c r="E1203">
        <f>-649.922481811448 -22.0991652469172 -309.176597842053</f>
        <v>-981.19824490041833</v>
      </c>
      <c r="F1203">
        <f>-653.059105927434 -24.9617633494875 -398.172132567451</f>
        <v>-1076.1930018443725</v>
      </c>
      <c r="G1203">
        <f>-651.557268846508 -27.6982822517678 -487.214186594076</f>
        <v>-1166.4697376923518</v>
      </c>
      <c r="H1203">
        <f>-644.594019757538 -31.466768428528 -611.544934517283</f>
        <v>-1287.6057227033489</v>
      </c>
      <c r="I1203">
        <f>-612.989133766236 -34.5489326051261 -688.334672031174</f>
        <v>-1335.872738402536</v>
      </c>
      <c r="J1203">
        <f>-646.932999136547 -2.12040078257041 -557.631713789905</f>
        <v>-1206.6851137090225</v>
      </c>
      <c r="K1203" t="s">
        <v>13279</v>
      </c>
      <c r="L1203" t="s">
        <v>13280</v>
      </c>
      <c r="M1203" t="s">
        <v>13281</v>
      </c>
      <c r="N1203">
        <f>-648.383323318067 -57.4964950694203 -556.034426418999</f>
        <v>-1261.9142448064863</v>
      </c>
      <c r="O1203">
        <f>-653.15546523916 -190.289781645946 -520.783533818436</f>
        <v>-1364.2287807035418</v>
      </c>
      <c r="P1203">
        <f>-640.695724106936 -223.503634083971 -228.665746010922</f>
        <v>-1092.8651042018291</v>
      </c>
      <c r="Q1203">
        <f>-481.263727184705 -110.113722140464 -369.289478818382</f>
        <v>-960.66692814355099</v>
      </c>
      <c r="R1203" t="s">
        <v>13282</v>
      </c>
      <c r="S1203" t="s">
        <v>13283</v>
      </c>
      <c r="T1203" t="s">
        <v>13284</v>
      </c>
      <c r="U1203" t="s">
        <v>13285</v>
      </c>
      <c r="V1203">
        <f>-611.53373670014 -108.967905829236 -95.9134285664198</f>
        <v>-816.41507109579584</v>
      </c>
      <c r="W1203" t="s">
        <v>13286</v>
      </c>
      <c r="X1203" t="s">
        <v>13287</v>
      </c>
      <c r="Y1203" t="s">
        <v>13288</v>
      </c>
    </row>
    <row r="1204" spans="1:25" x14ac:dyDescent="0.3">
      <c r="A1204">
        <v>60150</v>
      </c>
      <c r="B1204" t="s">
        <v>13289</v>
      </c>
      <c r="C1204">
        <f>-618.242146144353 -13.8232889190749 -97.6721265210015</f>
        <v>-729.73756158442939</v>
      </c>
      <c r="D1204">
        <f>-641.931377163484 -18.7475236999987 -210.945272144646</f>
        <v>-871.62417300812865</v>
      </c>
      <c r="E1204">
        <f>-650.14243717606 -22.0521824979269 -309.171158639275</f>
        <v>-981.3657783132619</v>
      </c>
      <c r="F1204">
        <f>-653.287911791202 -24.8255229650242 -398.169173987962</f>
        <v>-1076.2826087441881</v>
      </c>
      <c r="G1204">
        <f>-651.796135246219 -27.4582483017475 -487.214509934963</f>
        <v>-1166.4688934829296</v>
      </c>
      <c r="H1204">
        <f>-644.848025981957 -31.0661137112036 -611.550849203449</f>
        <v>-1287.4649888966096</v>
      </c>
      <c r="I1204">
        <f>-613.259043697421 -34.0293093023067 -688.35185451274</f>
        <v>-1335.6402075124679</v>
      </c>
      <c r="J1204">
        <f>-647.182961842899 -1.78933877366944 -557.599660869643</f>
        <v>-1206.5719614862114</v>
      </c>
      <c r="K1204" t="s">
        <v>13290</v>
      </c>
      <c r="L1204" t="s">
        <v>13291</v>
      </c>
      <c r="M1204" t="s">
        <v>13292</v>
      </c>
      <c r="N1204">
        <f>-648.628088676916 -57.1676817933906 -556.073609644919</f>
        <v>-1261.8693801152256</v>
      </c>
      <c r="O1204">
        <f>-653.423906442549 -189.976586847524 -520.898238237953</f>
        <v>-1364.2987315280261</v>
      </c>
      <c r="P1204">
        <f>-640.823808687812 -223.42690949893 -228.813548441207</f>
        <v>-1093.0642666279491</v>
      </c>
      <c r="Q1204">
        <f>-481.472104235383 -109.752090818514 -369.298112333507</f>
        <v>-960.522307387404</v>
      </c>
      <c r="R1204" t="s">
        <v>13293</v>
      </c>
      <c r="S1204" t="s">
        <v>13294</v>
      </c>
      <c r="T1204" t="s">
        <v>13295</v>
      </c>
      <c r="U1204" t="s">
        <v>13296</v>
      </c>
      <c r="V1204">
        <f>-611.842188687545 -109.14317871087 -95.9218304738276</f>
        <v>-816.90719787224259</v>
      </c>
      <c r="W1204" t="s">
        <v>13297</v>
      </c>
      <c r="X1204" t="s">
        <v>13298</v>
      </c>
      <c r="Y1204" t="s">
        <v>13299</v>
      </c>
    </row>
    <row r="1205" spans="1:25" x14ac:dyDescent="0.3">
      <c r="A1205">
        <v>60200</v>
      </c>
      <c r="B1205" t="s">
        <v>13300</v>
      </c>
      <c r="C1205">
        <f>-618.479433985256 -13.7698351208012 -97.6504171910383</f>
        <v>-729.89968629709551</v>
      </c>
      <c r="D1205">
        <f>-642.183336008334 -18.6362574502941 -210.922934238478</f>
        <v>-871.74252769710608</v>
      </c>
      <c r="E1205">
        <f>-650.389835443958 -21.8681597009131 -309.151611506985</f>
        <v>-981.40960665185605</v>
      </c>
      <c r="F1205">
        <f>-653.524076981166 -24.5647177937867 -398.15250470028</f>
        <v>-1076.2412994752326</v>
      </c>
      <c r="G1205">
        <f>-652.013679937962 -27.1095451926033 -487.200026170524</f>
        <v>-1166.3232513010894</v>
      </c>
      <c r="H1205">
        <f>-645.031789013355 -30.5821610092623 -611.53840397187</f>
        <v>-1287.1523539944874</v>
      </c>
      <c r="I1205">
        <f>-613.45707023305 -33.4388390361858 -688.349208620805</f>
        <v>-1335.2451178900408</v>
      </c>
      <c r="J1205">
        <f>-647.375825849354 -1.36426881525881 -557.555647966919</f>
        <v>-1206.2957426315318</v>
      </c>
      <c r="K1205" t="s">
        <v>13301</v>
      </c>
      <c r="L1205" t="s">
        <v>13302</v>
      </c>
      <c r="M1205" t="s">
        <v>13303</v>
      </c>
      <c r="N1205">
        <f>-648.832549003376 -56.743683959856 -556.090744669195</f>
        <v>-1261.666977632427</v>
      </c>
      <c r="O1205">
        <f>-653.667137791239 -189.571301942131 -521.015949493902</f>
        <v>-1364.254389227272</v>
      </c>
      <c r="P1205">
        <f>-640.992567685667 -223.253483414817 -228.960946310784</f>
        <v>-1093.206997411268</v>
      </c>
      <c r="Q1205">
        <f>-481.714970876151 -109.322105090824 -369.321748936661</f>
        <v>-960.3588249036361</v>
      </c>
      <c r="R1205" t="s">
        <v>13304</v>
      </c>
      <c r="S1205" t="s">
        <v>13305</v>
      </c>
      <c r="T1205" t="s">
        <v>13306</v>
      </c>
      <c r="U1205" t="s">
        <v>13307</v>
      </c>
      <c r="V1205">
        <f>-612.152913942796 -109.084828289417 -95.9299304218637</f>
        <v>-817.16767265407668</v>
      </c>
      <c r="W1205" t="s">
        <v>13308</v>
      </c>
      <c r="X1205" t="s">
        <v>13309</v>
      </c>
      <c r="Y1205" t="s">
        <v>13310</v>
      </c>
    </row>
    <row r="1206" spans="1:25" x14ac:dyDescent="0.3">
      <c r="A1206">
        <v>60250</v>
      </c>
      <c r="B1206" t="s">
        <v>13311</v>
      </c>
      <c r="C1206">
        <f>-618.926359277985 -13.5938465223298 -97.6076962254441</f>
        <v>-730.12790202575889</v>
      </c>
      <c r="D1206">
        <f>-642.733087847796 -18.3943748969091 -210.861490056485</f>
        <v>-871.98895280119007</v>
      </c>
      <c r="E1206">
        <f>-650.970050620739 -21.5206970420625 -309.090947216898</f>
        <v>-981.5816948796994</v>
      </c>
      <c r="F1206">
        <f>-654.107568868738 -24.1006438206787 -398.095183559139</f>
        <v>-1076.3033962485556</v>
      </c>
      <c r="G1206">
        <f>-652.576039508924 -26.5077047766799 -487.146317903216</f>
        <v>-1166.2300621888201</v>
      </c>
      <c r="H1206">
        <f>-645.538547848025 -29.7652513177377 -611.487245963798</f>
        <v>-1286.7910451295606</v>
      </c>
      <c r="I1206">
        <f>-613.976245006573 -32.4324533643728 -688.310061890083</f>
        <v>-1334.7187602610288</v>
      </c>
      <c r="J1206">
        <f>-647.882366539789 -0.641354482884253 -557.453819208234</f>
        <v>-1205.9775402309074</v>
      </c>
      <c r="K1206" t="s">
        <v>13312</v>
      </c>
      <c r="L1206" t="s">
        <v>13313</v>
      </c>
      <c r="M1206" t="s">
        <v>13314</v>
      </c>
      <c r="N1206">
        <f>-649.388469959447 -56.0222121637539 -556.088076863388</f>
        <v>-1261.4987589865889</v>
      </c>
      <c r="O1206">
        <f>-654.363424171226 -188.895849375927 -521.206897554902</f>
        <v>-1364.4661711020549</v>
      </c>
      <c r="P1206">
        <f>-641.557621047454 -222.999656671263 -229.206666835613</f>
        <v>-1093.76394455433</v>
      </c>
      <c r="Q1206">
        <f>-482.307726196216 -108.904679722047 -369.466030398999</f>
        <v>-960.67843631726203</v>
      </c>
      <c r="R1206" t="s">
        <v>13315</v>
      </c>
      <c r="S1206" t="s">
        <v>13316</v>
      </c>
      <c r="T1206" t="s">
        <v>13317</v>
      </c>
      <c r="U1206" t="s">
        <v>13318</v>
      </c>
      <c r="V1206">
        <f>-612.748098727866 -108.864188062192 -95.9287536096796</f>
        <v>-817.54104039973765</v>
      </c>
      <c r="W1206" t="s">
        <v>13319</v>
      </c>
      <c r="X1206" t="s">
        <v>13320</v>
      </c>
      <c r="Y1206" t="s">
        <v>13321</v>
      </c>
    </row>
    <row r="1207" spans="1:25" x14ac:dyDescent="0.3">
      <c r="A1207">
        <v>60300</v>
      </c>
      <c r="B1207" t="s">
        <v>13322</v>
      </c>
      <c r="C1207">
        <f>-619.431188835458 -13.4512652466062 -97.5814410179022</f>
        <v>-730.46389509996641</v>
      </c>
      <c r="D1207">
        <f>-643.360361669033 -18.1946982754034 -210.811823731475</f>
        <v>-872.36688367591137</v>
      </c>
      <c r="E1207">
        <f>-651.677067813405 -21.2422432504454 -309.037118694068</f>
        <v>-981.95642975791839</v>
      </c>
      <c r="F1207">
        <f>-654.875878597503 -23.7389762908188 -398.041366935296</f>
        <v>-1076.6562218236177</v>
      </c>
      <c r="G1207">
        <f>-653.394433370778 -26.0522465857919 -487.095851019276</f>
        <v>-1166.5425309758457</v>
      </c>
      <c r="H1207">
        <f>-646.4148900506 -29.1679517535176 -611.443837215442</f>
        <v>-1287.0266790195597</v>
      </c>
      <c r="I1207">
        <f>-614.764062015752 -31.6832318443144 -688.235212478973</f>
        <v>-1334.6825063390393</v>
      </c>
      <c r="J1207">
        <f>-648.695449503356 -0.10672576748857 -557.373825707319</f>
        <v>-1206.1760009781638</v>
      </c>
      <c r="K1207" t="s">
        <v>13323</v>
      </c>
      <c r="L1207" t="s">
        <v>13324</v>
      </c>
      <c r="M1207" t="s">
        <v>13325</v>
      </c>
      <c r="N1207">
        <f>-650.276963685041 -55.4869993070097 -556.074983663091</f>
        <v>-1261.8389466551416</v>
      </c>
      <c r="O1207">
        <f>-655.377764364686 -188.401637503821 -521.371311237403</f>
        <v>-1365.15071310591</v>
      </c>
      <c r="P1207">
        <f>-642.443246338682 -222.756215708542 -229.405988431096</f>
        <v>-1094.6054504783199</v>
      </c>
      <c r="Q1207">
        <f>-483.129228311794 -108.75410147312 -369.668135800086</f>
        <v>-961.55146558500007</v>
      </c>
      <c r="R1207" t="s">
        <v>13326</v>
      </c>
      <c r="S1207" t="s">
        <v>13327</v>
      </c>
      <c r="T1207" t="s">
        <v>13328</v>
      </c>
      <c r="U1207" t="s">
        <v>13329</v>
      </c>
      <c r="V1207">
        <f>-613.3517749387 -108.753819161595 -95.9236717608734</f>
        <v>-818.02926586116848</v>
      </c>
      <c r="W1207" t="s">
        <v>13330</v>
      </c>
      <c r="X1207" t="s">
        <v>13331</v>
      </c>
      <c r="Y1207" t="s">
        <v>13332</v>
      </c>
    </row>
    <row r="1208" spans="1:25" x14ac:dyDescent="0.3">
      <c r="A1208">
        <v>60350</v>
      </c>
      <c r="B1208" t="s">
        <v>13333</v>
      </c>
      <c r="C1208">
        <f>-620.003704035782 -13.3739494013246 -97.553854327891</f>
        <v>-730.9315077649976</v>
      </c>
      <c r="D1208">
        <f>-644.031004540552 -18.0539099027178 -210.766046537094</f>
        <v>-872.85096098036377</v>
      </c>
      <c r="E1208">
        <f>-652.467467155352 -21.0563744609303 -308.982392728522</f>
        <v>-982.50623434480428</v>
      </c>
      <c r="F1208">
        <f>-655.788841959316 -23.5166661374333 -397.983370074285</f>
        <v>-1077.2888781710342</v>
      </c>
      <c r="G1208">
        <f>-654.444021646029 -25.7987625750422 -487.040805493757</f>
        <v>-1167.2835897148282</v>
      </c>
      <c r="H1208">
        <f>-647.669953510473 -28.876867978976 -611.400979125729</f>
        <v>-1287.947800615178</v>
      </c>
      <c r="I1208">
        <f>-616.095202187036 -31.3118280076974 -688.226234138304</f>
        <v>-1335.6332643330375</v>
      </c>
      <c r="J1208" t="s">
        <v>13334</v>
      </c>
      <c r="K1208" t="s">
        <v>13335</v>
      </c>
      <c r="L1208" t="s">
        <v>13336</v>
      </c>
      <c r="M1208" t="s">
        <v>13337</v>
      </c>
      <c r="N1208">
        <f>-651.487887889174 -55.2113807568938 -556.036467078285</f>
        <v>-1262.7357357243527</v>
      </c>
      <c r="O1208">
        <f>-656.7353477485 -188.150045157458 -521.43081528851</f>
        <v>-1366.3162081944679</v>
      </c>
      <c r="P1208">
        <f>-643.476994748806 -222.681310647204 -229.500962962559</f>
        <v>-1095.6592683585689</v>
      </c>
      <c r="Q1208">
        <f>-483.903922712107 -109.118215913829 -369.824734726302</f>
        <v>-962.84687335223794</v>
      </c>
      <c r="R1208" t="s">
        <v>13338</v>
      </c>
      <c r="S1208" t="s">
        <v>13339</v>
      </c>
      <c r="T1208" t="s">
        <v>13340</v>
      </c>
      <c r="U1208" t="s">
        <v>13341</v>
      </c>
      <c r="V1208">
        <f>-614.01003717262 -108.76449483234 -95.9256402389341</f>
        <v>-818.70017224389403</v>
      </c>
      <c r="W1208" t="s">
        <v>13342</v>
      </c>
      <c r="X1208" t="s">
        <v>13343</v>
      </c>
      <c r="Y1208" t="s">
        <v>13344</v>
      </c>
    </row>
    <row r="1209" spans="1:25" x14ac:dyDescent="0.3">
      <c r="A1209">
        <v>60400</v>
      </c>
      <c r="B1209" t="s">
        <v>13345</v>
      </c>
      <c r="C1209">
        <f>-620.282483840259 -13.3523900212419 -97.5393855925203</f>
        <v>-731.17425945402124</v>
      </c>
      <c r="D1209">
        <f>-644.326253477696 -17.9971853624261 -210.749539346546</f>
        <v>-873.07297818666802</v>
      </c>
      <c r="E1209">
        <f>-652.792729514041 -20.9690082285786 -308.964363014352</f>
        <v>-982.7261007569715</v>
      </c>
      <c r="F1209">
        <f>-656.147564993813 -23.4015478307122 -397.964726469365</f>
        <v>-1077.5138392938902</v>
      </c>
      <c r="G1209">
        <f>-654.842502773847 -25.6558244291898 -487.023528865854</f>
        <v>-1167.5218560688909</v>
      </c>
      <c r="H1209">
        <f>-648.130690836699 -28.6957482593939 -611.38795736053</f>
        <v>-1288.214396456623</v>
      </c>
      <c r="I1209">
        <f>-616.627329319208 -31.0980199699898 -688.243649475072</f>
        <v>-1335.9689987642696</v>
      </c>
      <c r="J1209" t="s">
        <v>13346</v>
      </c>
      <c r="K1209" t="s">
        <v>13347</v>
      </c>
      <c r="L1209" t="s">
        <v>13348</v>
      </c>
      <c r="M1209" t="s">
        <v>13349</v>
      </c>
      <c r="N1209">
        <f>-651.937219145377 -55.0467723403677 -556.030527299323</f>
        <v>-1263.0145187850676</v>
      </c>
      <c r="O1209">
        <f>-657.240589712359 -188.001419178328 -521.473114684026</f>
        <v>-1366.7151235747128</v>
      </c>
      <c r="P1209">
        <f>-643.943960877659 -222.497491878289 -229.540816060285</f>
        <v>-1095.982268816233</v>
      </c>
      <c r="Q1209">
        <f>-484.237116588178 -109.148267607601 -369.885300629856</f>
        <v>-963.27068482563504</v>
      </c>
      <c r="R1209" t="s">
        <v>13350</v>
      </c>
      <c r="S1209" t="s">
        <v>13351</v>
      </c>
      <c r="T1209" t="s">
        <v>13352</v>
      </c>
      <c r="U1209" t="s">
        <v>13353</v>
      </c>
      <c r="V1209">
        <f>-614.346528287089 -108.844979803598 -95.9274956870648</f>
        <v>-819.1190037777518</v>
      </c>
      <c r="W1209" t="s">
        <v>13354</v>
      </c>
      <c r="X1209" t="s">
        <v>13355</v>
      </c>
      <c r="Y1209" t="s">
        <v>13356</v>
      </c>
    </row>
    <row r="1210" spans="1:25" x14ac:dyDescent="0.3">
      <c r="A1210">
        <v>60450</v>
      </c>
      <c r="B1210" t="s">
        <v>13357</v>
      </c>
      <c r="C1210">
        <f>-620.527376502075 -13.2393408733867 -97.5186210229551</f>
        <v>-731.2853383984168</v>
      </c>
      <c r="D1210">
        <f>-644.567336371049 -17.844089579296 -210.731290609818</f>
        <v>-873.14271656016297</v>
      </c>
      <c r="E1210">
        <f>-653.035246026109 -20.7780504337175 -308.94711065986</f>
        <v>-982.76040711968653</v>
      </c>
      <c r="F1210">
        <f>-656.39313946784 -23.1747712737424 -397.948363858298</f>
        <v>-1077.5162745998805</v>
      </c>
      <c r="G1210">
        <f>-655.093003069162 -25.3919721193702 -487.008021416493</f>
        <v>-1167.4929966050252</v>
      </c>
      <c r="H1210">
        <f>-648.38987423336 -28.3790201430702 -611.374292585328</f>
        <v>-1288.1431869617581</v>
      </c>
      <c r="I1210">
        <f>-616.918753952677 -30.7494147797556 -688.24417585876</f>
        <v>-1335.9123445911926</v>
      </c>
      <c r="J1210" t="s">
        <v>13358</v>
      </c>
      <c r="K1210" t="s">
        <v>13359</v>
      </c>
      <c r="L1210" t="s">
        <v>13360</v>
      </c>
      <c r="M1210" t="s">
        <v>13361</v>
      </c>
      <c r="N1210">
        <f>-652.21179692634 -54.7530146835209 -556.028715049399</f>
        <v>-1262.9935266592597</v>
      </c>
      <c r="O1210">
        <f>-657.575983660216 -187.715154179119 -521.523120707545</f>
        <v>-1366.81425854688</v>
      </c>
      <c r="P1210">
        <f>-644.176709619032 -222.241931016099 -229.599279539381</f>
        <v>-1096.017920174512</v>
      </c>
      <c r="Q1210">
        <f>-484.423528392741 -109.002678904565 -369.979719464453</f>
        <v>-963.40592676175902</v>
      </c>
      <c r="R1210" t="s">
        <v>13362</v>
      </c>
      <c r="S1210" t="s">
        <v>13363</v>
      </c>
      <c r="T1210" t="s">
        <v>13364</v>
      </c>
      <c r="U1210" t="s">
        <v>13365</v>
      </c>
      <c r="V1210">
        <f>-614.681457712077 -108.694784219987 -95.924224093405</f>
        <v>-819.30046602546895</v>
      </c>
      <c r="W1210" t="s">
        <v>13366</v>
      </c>
      <c r="X1210" t="s">
        <v>13367</v>
      </c>
      <c r="Y1210" t="s">
        <v>13368</v>
      </c>
    </row>
    <row r="1211" spans="1:25" x14ac:dyDescent="0.3">
      <c r="A1211">
        <v>60500</v>
      </c>
      <c r="B1211" t="s">
        <v>13369</v>
      </c>
      <c r="C1211">
        <f>-620.98741129793 -12.9038531425163 -97.4857502155104</f>
        <v>-731.3770146559566</v>
      </c>
      <c r="D1211">
        <f>-645.067911209573 -17.4666367037171 -210.691491002565</f>
        <v>-873.22603891585504</v>
      </c>
      <c r="E1211">
        <f>-653.601227155322 -20.3543257086844 -308.902978482477</f>
        <v>-982.85853134648346</v>
      </c>
      <c r="F1211">
        <f>-657.030434049338 -22.7051021363675 -397.902739235423</f>
        <v>-1077.6382754211286</v>
      </c>
      <c r="G1211">
        <f>-655.813645820584 -24.8728103013314 -486.964724605718</f>
        <v>-1167.6511807276333</v>
      </c>
      <c r="H1211">
        <f>-649.239435963328 -27.786835938372 -611.339636511202</f>
        <v>-1288.3659084129019</v>
      </c>
      <c r="I1211">
        <f>-617.831831923667 -30.1049531612503 -688.237044786773</f>
        <v>-1336.1738298716903</v>
      </c>
      <c r="J1211" t="s">
        <v>13370</v>
      </c>
      <c r="K1211" t="s">
        <v>13371</v>
      </c>
      <c r="L1211" t="s">
        <v>13372</v>
      </c>
      <c r="M1211" t="s">
        <v>13373</v>
      </c>
      <c r="N1211">
        <f>-653.030056087232 -54.192520392843 -556.007208165596</f>
        <v>-1263.2297846456709</v>
      </c>
      <c r="O1211">
        <f>-658.458955365589 -187.168262468111 -521.563776552235</f>
        <v>-1367.190994385935</v>
      </c>
      <c r="P1211">
        <f>-644.597486224745 -221.850908732961 -229.679893452012</f>
        <v>-1096.1282884097179</v>
      </c>
      <c r="Q1211">
        <f>-485.045191629649 -108.517379620765 -370.212496017851</f>
        <v>-963.77506726826505</v>
      </c>
      <c r="R1211" t="s">
        <v>13374</v>
      </c>
      <c r="S1211" t="s">
        <v>13375</v>
      </c>
      <c r="T1211" t="s">
        <v>13376</v>
      </c>
      <c r="U1211" t="s">
        <v>13377</v>
      </c>
      <c r="V1211">
        <f>-615.226041732172 -108.416789303143 -95.9335464215072</f>
        <v>-819.57637745682223</v>
      </c>
      <c r="W1211" t="s">
        <v>13378</v>
      </c>
      <c r="X1211" t="s">
        <v>13379</v>
      </c>
      <c r="Y1211" t="s">
        <v>13380</v>
      </c>
    </row>
    <row r="1212" spans="1:25" x14ac:dyDescent="0.3">
      <c r="A1212">
        <v>60550</v>
      </c>
      <c r="B1212" t="s">
        <v>13381</v>
      </c>
      <c r="C1212">
        <f>-621.176618542107 -12.7292790842996 -97.4685555725172</f>
        <v>-731.37445319892379</v>
      </c>
      <c r="D1212">
        <f>-645.28938585246 -17.2757929022714 -210.668006794264</f>
        <v>-873.23318554899538</v>
      </c>
      <c r="E1212">
        <f>-653.864067852504 -20.1377266980212 -308.876722684632</f>
        <v>-982.87851723515723</v>
      </c>
      <c r="F1212">
        <f>-657.335998674354 -22.4602041744074 -397.875559216308</f>
        <v>-1077.6717620650693</v>
      </c>
      <c r="G1212">
        <f>-656.167062922516 -24.5953026158074 -486.938990019756</f>
        <v>-1167.7013555580795</v>
      </c>
      <c r="H1212">
        <f>-649.664970261264 -27.4587671516879 -611.318847518779</f>
        <v>-1288.4425849317308</v>
      </c>
      <c r="I1212">
        <f>-618.29146788472 -29.7352280156772 -688.231475947374</f>
        <v>-1336.2581718477711</v>
      </c>
      <c r="J1212" t="s">
        <v>13382</v>
      </c>
      <c r="K1212" t="s">
        <v>13383</v>
      </c>
      <c r="L1212" t="s">
        <v>13384</v>
      </c>
      <c r="M1212" t="s">
        <v>13385</v>
      </c>
      <c r="N1212">
        <f>-653.425540934542 -53.886846638955 -555.995108600955</f>
        <v>-1263.3074961744519</v>
      </c>
      <c r="O1212">
        <f>-658.873008394273 -186.868158415869 -521.592800338107</f>
        <v>-1367.333967148249</v>
      </c>
      <c r="P1212">
        <f>-644.815441850124 -221.618957275062 -229.726445909175</f>
        <v>-1096.160845034361</v>
      </c>
      <c r="Q1212">
        <f>-485.33712389958 -108.304308671214 -370.35839044395</f>
        <v>-963.99982301474392</v>
      </c>
      <c r="R1212" t="s">
        <v>13386</v>
      </c>
      <c r="S1212" t="s">
        <v>13387</v>
      </c>
      <c r="T1212" t="s">
        <v>13388</v>
      </c>
      <c r="U1212" t="s">
        <v>13389</v>
      </c>
      <c r="V1212">
        <f>-615.390648274678 -108.238436744613 -95.9348977164467</f>
        <v>-819.56398273573768</v>
      </c>
      <c r="W1212" t="s">
        <v>13390</v>
      </c>
      <c r="X1212" t="s">
        <v>13391</v>
      </c>
      <c r="Y1212" t="s">
        <v>13392</v>
      </c>
    </row>
    <row r="1213" spans="1:25" x14ac:dyDescent="0.3">
      <c r="A1213">
        <v>60600</v>
      </c>
      <c r="B1213" t="s">
        <v>13393</v>
      </c>
      <c r="C1213">
        <f>-621.316685098087 -12.5273534463763 -97.4393894532627</f>
        <v>-731.28342799772599</v>
      </c>
      <c r="D1213">
        <f>-645.506079075994 -17.0864260199767 -210.621927910191</f>
        <v>-873.2144330061617</v>
      </c>
      <c r="E1213">
        <f>-654.188999064804 -19.9196245707985 -308.822065035459</f>
        <v>-982.93068867106149</v>
      </c>
      <c r="F1213">
        <f>-657.775232049195 -22.2021449016158 -397.817394283646</f>
        <v>-1077.7947712344569</v>
      </c>
      <c r="G1213">
        <f>-656.736543099844 -24.2827409561025 -486.883835703537</f>
        <v>-1167.9031197594836</v>
      </c>
      <c r="H1213">
        <f>-650.432786483147 -27.0558553246485 -611.275829496329</f>
        <v>-1288.7644713041245</v>
      </c>
      <c r="I1213">
        <f>-619.115453646518 -29.2057739842498 -688.214998077488</f>
        <v>-1336.5362257082556</v>
      </c>
      <c r="J1213" t="s">
        <v>13394</v>
      </c>
      <c r="K1213" t="s">
        <v>13395</v>
      </c>
      <c r="L1213" t="s">
        <v>13396</v>
      </c>
      <c r="M1213" t="s">
        <v>13397</v>
      </c>
      <c r="N1213">
        <f>-654.097341834845 -53.5243933815458 -555.964843307436</f>
        <v>-1263.5865785238268</v>
      </c>
      <c r="O1213">
        <f>-659.487208093328 -186.525840339075 -521.623802815904</f>
        <v>-1367.636851248307</v>
      </c>
      <c r="P1213">
        <f>-645.170167502596 -221.243098026215 -229.7659898748</f>
        <v>-1096.179255403611</v>
      </c>
      <c r="Q1213">
        <f>-485.903042362615 -107.838683817583 -370.56477725746</f>
        <v>-964.30650343765797</v>
      </c>
      <c r="R1213" t="s">
        <v>13398</v>
      </c>
      <c r="S1213" t="s">
        <v>13399</v>
      </c>
      <c r="T1213" t="s">
        <v>13400</v>
      </c>
      <c r="U1213" t="s">
        <v>13401</v>
      </c>
      <c r="V1213">
        <f>-615.421003876314 -108.1005630863 -95.9384246283468</f>
        <v>-819.45999159096073</v>
      </c>
      <c r="W1213" t="s">
        <v>13402</v>
      </c>
      <c r="X1213" t="s">
        <v>13403</v>
      </c>
      <c r="Y1213" t="s">
        <v>13404</v>
      </c>
    </row>
    <row r="1214" spans="1:25" x14ac:dyDescent="0.3">
      <c r="A1214">
        <v>60650</v>
      </c>
      <c r="B1214" t="s">
        <v>13405</v>
      </c>
      <c r="C1214">
        <f>-621.255509961449 -12.4683652989925 -97.432887149473</f>
        <v>-731.15676240991445</v>
      </c>
      <c r="D1214">
        <f>-645.475052488113 -17.0447746381546 -210.608389669913</f>
        <v>-873.1282167961806</v>
      </c>
      <c r="E1214">
        <f>-654.222409322055 -19.8722303285228 -308.802749973175</f>
        <v>-982.89738962375282</v>
      </c>
      <c r="F1214">
        <f>-657.882210087066 -22.1415920505017 -397.795585449066</f>
        <v>-1077.8193875866336</v>
      </c>
      <c r="G1214">
        <f>-656.932160907662 -24.2012751599161 -486.863472085009</f>
        <v>-1167.9969081525871</v>
      </c>
      <c r="H1214">
        <f>-650.767701844718 -26.9370580752482 -611.263239210317</f>
        <v>-1288.9679991302833</v>
      </c>
      <c r="I1214">
        <f>-619.478149562797 -28.9928895750556 -688.216318604613</f>
        <v>-1336.6873577424656</v>
      </c>
      <c r="J1214" t="s">
        <v>13406</v>
      </c>
      <c r="K1214" t="s">
        <v>13407</v>
      </c>
      <c r="L1214" t="s">
        <v>13408</v>
      </c>
      <c r="M1214" t="s">
        <v>13409</v>
      </c>
      <c r="N1214">
        <f>-654.360503660758 -53.4224085471596 -555.95569383246</f>
        <v>-1263.7386060403778</v>
      </c>
      <c r="O1214">
        <f>-659.674862010341 -186.431920430025 -521.62931300775</f>
        <v>-1367.736095448116</v>
      </c>
      <c r="P1214">
        <f>-645.184257596607 -221.158764765743 -229.7812405828</f>
        <v>-1096.1242629451499</v>
      </c>
      <c r="Q1214">
        <f>-486.024280035194 -107.655879554159 -370.621817807021</f>
        <v>-964.30197739637401</v>
      </c>
      <c r="R1214" t="s">
        <v>13410</v>
      </c>
      <c r="S1214" t="s">
        <v>13411</v>
      </c>
      <c r="T1214" t="s">
        <v>13412</v>
      </c>
      <c r="U1214" t="s">
        <v>13413</v>
      </c>
      <c r="V1214">
        <f>-615.303766666184 -108.044141478088 -95.9414549399557</f>
        <v>-819.28936308422772</v>
      </c>
      <c r="W1214" t="s">
        <v>13414</v>
      </c>
      <c r="X1214" t="s">
        <v>13415</v>
      </c>
      <c r="Y1214" t="s">
        <v>13416</v>
      </c>
    </row>
    <row r="1215" spans="1:25" x14ac:dyDescent="0.3">
      <c r="A1215">
        <v>60700</v>
      </c>
      <c r="B1215" t="s">
        <v>13417</v>
      </c>
      <c r="C1215">
        <f>-620.957926351512 -12.6131295158011 -97.4470212235653</f>
        <v>-731.01807709087848</v>
      </c>
      <c r="D1215">
        <f>-645.245518254282 -17.2309739200557 -210.606244296422</f>
        <v>-873.08273647075976</v>
      </c>
      <c r="E1215">
        <f>-654.128633957331 -20.0497388947872 -308.788742138204</f>
        <v>-982.96711499032222</v>
      </c>
      <c r="F1215">
        <f>-657.941743108332 -22.2947195523961 -397.775594022971</f>
        <v>-1078.0120566836993</v>
      </c>
      <c r="G1215">
        <f>-657.174911701631 -24.3134404279806 -486.846264691842</f>
        <v>-1168.3346168214537</v>
      </c>
      <c r="H1215">
        <f>-651.297357084749 -26.9745295713208 -611.261655430265</f>
        <v>-1289.5335420863348</v>
      </c>
      <c r="I1215">
        <f>-620.094466037462 -28.8008969651019 -688.255551094174</f>
        <v>-1337.1509140967378</v>
      </c>
      <c r="J1215" t="s">
        <v>13418</v>
      </c>
      <c r="K1215" t="s">
        <v>13419</v>
      </c>
      <c r="L1215" t="s">
        <v>13420</v>
      </c>
      <c r="M1215" t="s">
        <v>13421</v>
      </c>
      <c r="N1215">
        <f>-654.739743501243 -53.493868451979 -555.960613287044</f>
        <v>-1264.194225240266</v>
      </c>
      <c r="O1215">
        <f>-659.837801041552 -186.525136925704 -521.690864973046</f>
        <v>-1368.0538029403019</v>
      </c>
      <c r="P1215">
        <f>-644.882762921111 -221.369361288278 -229.880347377294</f>
        <v>-1096.1324715866829</v>
      </c>
      <c r="Q1215">
        <f>-485.963725460223 -107.334958316591 -370.563591043026</f>
        <v>-963.86227481983997</v>
      </c>
      <c r="R1215" t="s">
        <v>13422</v>
      </c>
      <c r="S1215" t="s">
        <v>13423</v>
      </c>
      <c r="T1215" t="s">
        <v>13424</v>
      </c>
      <c r="U1215" t="s">
        <v>13425</v>
      </c>
      <c r="V1215">
        <f>-614.876975028503 -108.289308288238 -95.9549648285054</f>
        <v>-819.12124814524634</v>
      </c>
      <c r="W1215" t="s">
        <v>13426</v>
      </c>
      <c r="X1215" t="s">
        <v>13427</v>
      </c>
      <c r="Y1215" t="s">
        <v>13428</v>
      </c>
    </row>
    <row r="1216" spans="1:25" x14ac:dyDescent="0.3">
      <c r="A1216">
        <v>60750</v>
      </c>
      <c r="B1216" t="s">
        <v>13429</v>
      </c>
      <c r="C1216">
        <f>-620.731082121952 -12.6491040772287 -97.4466775448343</f>
        <v>-730.82686374401499</v>
      </c>
      <c r="D1216">
        <f>-645.042322353991 -17.2872438086042 -210.599997039243</f>
        <v>-872.92956320183828</v>
      </c>
      <c r="E1216">
        <f>-653.986836766162 -20.103748857915 -308.77698355521</f>
        <v>-982.86756917928699</v>
      </c>
      <c r="F1216">
        <f>-657.871802800045 -22.3393788127323 -397.760941947823</f>
        <v>-1077.9721235606003</v>
      </c>
      <c r="G1216">
        <f>-657.192950411354 -24.3414654437504 -486.832732106216</f>
        <v>-1168.3671479613204</v>
      </c>
      <c r="H1216">
        <f>-651.454927942435 -26.9721634605876 -611.255229826523</f>
        <v>-1289.6823212295456</v>
      </c>
      <c r="I1216">
        <f>-620.303634460932 -28.6773778796171 -688.272883669462</f>
        <v>-1337.253896010011</v>
      </c>
      <c r="J1216" t="s">
        <v>13430</v>
      </c>
      <c r="K1216" t="s">
        <v>13431</v>
      </c>
      <c r="L1216" t="s">
        <v>13432</v>
      </c>
      <c r="M1216" t="s">
        <v>13433</v>
      </c>
      <c r="N1216">
        <f>-654.826506644626 -53.5052204418731 -555.956693534768</f>
        <v>-1264.2884206212671</v>
      </c>
      <c r="O1216">
        <f>-659.844961519622 -186.551409597277 -521.726016836178</f>
        <v>-1368.1223879530771</v>
      </c>
      <c r="P1216">
        <f>-644.53736087148 -221.426386650678 -229.937331125598</f>
        <v>-1095.9010786477561</v>
      </c>
      <c r="Q1216">
        <f>-485.752662849837 -107.237226205647 -370.646660645848</f>
        <v>-963.636549701332</v>
      </c>
      <c r="R1216" t="s">
        <v>13434</v>
      </c>
      <c r="S1216" t="s">
        <v>13435</v>
      </c>
      <c r="T1216" t="s">
        <v>13436</v>
      </c>
      <c r="U1216" t="s">
        <v>13437</v>
      </c>
      <c r="V1216">
        <f>-614.568760912009 -108.339390446715 -95.96237380763</f>
        <v>-818.87052516635401</v>
      </c>
      <c r="W1216" t="s">
        <v>13438</v>
      </c>
      <c r="X1216" t="s">
        <v>13439</v>
      </c>
      <c r="Y1216" t="s">
        <v>13440</v>
      </c>
    </row>
    <row r="1217" spans="1:25" x14ac:dyDescent="0.3">
      <c r="A1217">
        <v>60800</v>
      </c>
      <c r="B1217" t="s">
        <v>13441</v>
      </c>
      <c r="C1217">
        <f>-620.109612308792 -12.6549704587515 -97.4182168450964</f>
        <v>-730.18279961263977</v>
      </c>
      <c r="D1217">
        <f>-644.488891812761 -17.273298237533 -210.557729869136</f>
        <v>-872.31991991943005</v>
      </c>
      <c r="E1217">
        <f>-653.582037245443 -20.0599655372951 -308.721942935237</f>
        <v>-982.36394571797496</v>
      </c>
      <c r="F1217">
        <f>-657.637313483459 -22.2642825883386 -397.699126329068</f>
        <v>-1077.6007224008656</v>
      </c>
      <c r="G1217">
        <f>-657.164601588573 -24.2308215083665 -486.772889544383</f>
        <v>-1168.1683126413225</v>
      </c>
      <c r="H1217">
        <f>-651.751698739709 -26.8073668032225 -611.211128991051</f>
        <v>-1289.7701945339827</v>
      </c>
      <c r="I1217">
        <f>-620.697802381336 -28.2505266915052 -688.273440641687</f>
        <v>-1337.2217697145284</v>
      </c>
      <c r="J1217" t="s">
        <v>13442</v>
      </c>
      <c r="K1217" t="s">
        <v>13443</v>
      </c>
      <c r="L1217" t="s">
        <v>13444</v>
      </c>
      <c r="M1217" t="s">
        <v>13445</v>
      </c>
      <c r="N1217">
        <f>-654.969296584279 -53.3647292150143 -555.915058381025</f>
        <v>-1264.2490841803183</v>
      </c>
      <c r="O1217">
        <f>-659.857133260566 -186.432905009128 -521.745712027327</f>
        <v>-1368.035750297021</v>
      </c>
      <c r="P1217">
        <f>-643.774607034281 -221.328688710967 -230.001190288509</f>
        <v>-1095.104486033757</v>
      </c>
      <c r="Q1217">
        <f>-485.396187692934 -106.900462261465 -370.973890450624</f>
        <v>-963.27054040502298</v>
      </c>
      <c r="R1217" t="s">
        <v>13446</v>
      </c>
      <c r="S1217" t="s">
        <v>13447</v>
      </c>
      <c r="T1217" t="s">
        <v>13448</v>
      </c>
      <c r="U1217" t="s">
        <v>13449</v>
      </c>
      <c r="V1217">
        <f>-613.814871200099 -108.343389465612 -95.9972327302188</f>
        <v>-818.15549339592974</v>
      </c>
      <c r="W1217" t="s">
        <v>13450</v>
      </c>
      <c r="X1217" t="s">
        <v>13451</v>
      </c>
      <c r="Y1217" t="s">
        <v>13452</v>
      </c>
    </row>
    <row r="1218" spans="1:25" x14ac:dyDescent="0.3">
      <c r="A1218">
        <v>60850</v>
      </c>
      <c r="B1218" t="s">
        <v>13453</v>
      </c>
      <c r="C1218">
        <f>-619.726137739551 -12.6383439940594 -97.3905417825858</f>
        <v>-729.75502351619616</v>
      </c>
      <c r="D1218">
        <f>-644.181199193411 -17.2156877386362 -210.515395014702</f>
        <v>-871.9122819467492</v>
      </c>
      <c r="E1218">
        <f>-653.39188586678 -19.9809720578171 -308.669180759265</f>
        <v>-982.04203868386207</v>
      </c>
      <c r="F1218">
        <f>-657.574742531529 -22.1721446908984 -397.640760887003</f>
        <v>-1077.3876481094303</v>
      </c>
      <c r="G1218">
        <f>-657.250844708111 -24.1315364588618 -486.71548552423</f>
        <v>-1168.0978666912029</v>
      </c>
      <c r="H1218">
        <f>-652.068012091858 -26.7047726023732 -611.163604979418</f>
        <v>-1289.936389673649</v>
      </c>
      <c r="I1218">
        <f>-621.022802061559 -28.0324943434136 -688.231363555983</f>
        <v>-1337.2866599609556</v>
      </c>
      <c r="J1218" t="s">
        <v>13454</v>
      </c>
      <c r="K1218" t="s">
        <v>13455</v>
      </c>
      <c r="L1218" t="s">
        <v>13456</v>
      </c>
      <c r="M1218" t="s">
        <v>13457</v>
      </c>
      <c r="N1218">
        <f>-655.192926019626 -53.263374976348 -555.862678748545</f>
        <v>-1264.3189797445191</v>
      </c>
      <c r="O1218">
        <f>-660.039290251615 -186.326091628603 -521.685873408819</f>
        <v>-1368.0512552890368</v>
      </c>
      <c r="P1218">
        <f>-643.40808832298 -221.266109023417 -229.977526728903</f>
        <v>-1094.6517240753001</v>
      </c>
      <c r="Q1218">
        <f>-485.280748402534 -106.738269693497 -371.150982388191</f>
        <v>-963.17000048422199</v>
      </c>
      <c r="R1218" t="s">
        <v>13458</v>
      </c>
      <c r="S1218" t="s">
        <v>13459</v>
      </c>
      <c r="T1218" t="s">
        <v>13460</v>
      </c>
      <c r="U1218" t="s">
        <v>13461</v>
      </c>
      <c r="V1218">
        <f>-613.366662761717 -108.373362447566 -96.0215704869596</f>
        <v>-817.76159569624258</v>
      </c>
      <c r="W1218" t="s">
        <v>13462</v>
      </c>
      <c r="X1218" t="s">
        <v>13463</v>
      </c>
      <c r="Y1218" t="s">
        <v>13464</v>
      </c>
    </row>
    <row r="1219" spans="1:25" x14ac:dyDescent="0.3">
      <c r="A1219">
        <v>60900</v>
      </c>
      <c r="B1219" t="s">
        <v>13465</v>
      </c>
      <c r="C1219">
        <f>-619.037263063457 -12.7135320572088 -97.4123496311705</f>
        <v>-729.16314475183628</v>
      </c>
      <c r="D1219">
        <f>-643.744757469602 -17.2186726174746 -210.485243293215</f>
        <v>-871.44867338029155</v>
      </c>
      <c r="E1219">
        <f>-653.225332617277 -19.9704732696707 -308.613677537243</f>
        <v>-981.80948342419072</v>
      </c>
      <c r="F1219">
        <f>-657.673823417351 -22.1713878347141 -397.572194673999</f>
        <v>-1077.417405926064</v>
      </c>
      <c r="G1219">
        <f>-657.637172375037 -24.1642556762861 -486.646694732469</f>
        <v>-1168.4481227837921</v>
      </c>
      <c r="H1219">
        <f>-652.878438954568 -26.8104545109479 -611.110225393546</f>
        <v>-1290.7991188590618</v>
      </c>
      <c r="I1219">
        <f>-621.503583501058 -27.9534578363227 -688.047394592014</f>
        <v>-1337.5044359293947</v>
      </c>
      <c r="J1219" t="s">
        <v>13466</v>
      </c>
      <c r="K1219" t="s">
        <v>13467</v>
      </c>
      <c r="L1219" t="s">
        <v>13468</v>
      </c>
      <c r="M1219" t="s">
        <v>13469</v>
      </c>
      <c r="N1219">
        <f>-655.850980231689 -53.3356211529241 -555.784772210004</f>
        <v>-1264.971373594617</v>
      </c>
      <c r="O1219">
        <f>-660.654634958771 -186.388013200203 -521.583320162338</f>
        <v>-1368.625968321312</v>
      </c>
      <c r="P1219">
        <f>-643.087985474859 -221.319523700869 -229.928760989632</f>
        <v>-1094.33627016536</v>
      </c>
      <c r="Q1219">
        <f>-485.379245863978 -106.737654766454 -371.526195065968</f>
        <v>-963.6430956964</v>
      </c>
      <c r="R1219" t="s">
        <v>13470</v>
      </c>
      <c r="S1219" t="s">
        <v>13471</v>
      </c>
      <c r="T1219" t="s">
        <v>13472</v>
      </c>
      <c r="U1219" t="s">
        <v>13473</v>
      </c>
      <c r="V1219">
        <f>-612.412779801426 -108.583905516275 -96.1253918390864</f>
        <v>-817.12207715678744</v>
      </c>
      <c r="W1219" t="s">
        <v>13474</v>
      </c>
      <c r="X1219" t="s">
        <v>13475</v>
      </c>
      <c r="Y1219" t="s">
        <v>13476</v>
      </c>
    </row>
    <row r="1220" spans="1:25" x14ac:dyDescent="0.3">
      <c r="A1220">
        <v>60950</v>
      </c>
      <c r="B1220" t="s">
        <v>13477</v>
      </c>
      <c r="C1220">
        <f>-618.701128853443 -12.9130037695479 -97.4803771191991</f>
        <v>-729.0945097421901</v>
      </c>
      <c r="D1220">
        <f>-643.564577150049 -17.3927865978767 -210.52003328438</f>
        <v>-871.4773970323057</v>
      </c>
      <c r="E1220">
        <f>-653.166172124242 -20.1309326368482 -308.637119084159</f>
        <v>-981.93422384524933</v>
      </c>
      <c r="F1220">
        <f>-657.71843470582 -22.3248977253418 -397.590469293407</f>
        <v>-1077.6338017245687</v>
      </c>
      <c r="G1220">
        <f>-657.780000212196 -24.3175219269208 -486.664964442385</f>
        <v>-1168.7624865815019</v>
      </c>
      <c r="H1220">
        <f>-653.152483599422 -26.9712891730521 -611.133377612784</f>
        <v>-1291.2571503852582</v>
      </c>
      <c r="I1220">
        <f>-621.563994295079 -28.0368500243956 -687.984234401951</f>
        <v>-1337.5850787214256</v>
      </c>
      <c r="J1220" t="s">
        <v>13478</v>
      </c>
      <c r="K1220" t="s">
        <v>13479</v>
      </c>
      <c r="L1220" t="s">
        <v>13480</v>
      </c>
      <c r="M1220" t="s">
        <v>13481</v>
      </c>
      <c r="N1220">
        <f>-656.080701013762 -53.492535505764 -555.803704222679</f>
        <v>-1265.3769407422051</v>
      </c>
      <c r="O1220">
        <f>-660.902305676995 -186.553530070969 -521.600681866335</f>
        <v>-1369.0565176142991</v>
      </c>
      <c r="P1220">
        <f>-643.034596909893 -221.371387536601 -229.950742110584</f>
        <v>-1094.356726557078</v>
      </c>
      <c r="Q1220">
        <f>-485.389026910756 -106.920500728399 -371.724210342305</f>
        <v>-964.03373798146004</v>
      </c>
      <c r="R1220" t="s">
        <v>13482</v>
      </c>
      <c r="S1220" t="s">
        <v>13483</v>
      </c>
      <c r="T1220" t="s">
        <v>13484</v>
      </c>
      <c r="U1220" t="s">
        <v>13485</v>
      </c>
      <c r="V1220">
        <f>-611.900597536385 -108.907955638186 -96.191825674108</f>
        <v>-817.00037884867902</v>
      </c>
      <c r="W1220" t="s">
        <v>13486</v>
      </c>
      <c r="X1220" t="s">
        <v>13487</v>
      </c>
      <c r="Y1220" t="s">
        <v>13488</v>
      </c>
    </row>
    <row r="1221" spans="1:25" x14ac:dyDescent="0.3">
      <c r="A1221">
        <v>61000</v>
      </c>
      <c r="B1221" t="s">
        <v>13489</v>
      </c>
      <c r="C1221">
        <f>-617.840812216001 -13.779846076251 -97.5650295002722</f>
        <v>-729.18568779252428</v>
      </c>
      <c r="D1221">
        <f>-642.841364531729 -18.2347230658911 -210.575455779991</f>
        <v>-871.65154337761112</v>
      </c>
      <c r="E1221">
        <f>-652.515840981597 -20.9305706979635 -308.68662899605</f>
        <v>-982.13304067561046</v>
      </c>
      <c r="F1221">
        <f>-657.115211317551 -23.080753998838 -397.638546685513</f>
        <v>-1077.8345120019021</v>
      </c>
      <c r="G1221">
        <f>-657.204649057364 -25.0254984720282 -486.714092027503</f>
        <v>-1168.9442395568951</v>
      </c>
      <c r="H1221">
        <f>-652.595891639151 -27.6100881806649 -611.184638111933</f>
        <v>-1291.3906179317489</v>
      </c>
      <c r="I1221">
        <f>-620.641869620146 -28.5127509374802 -687.886322208635</f>
        <v>-1337.0409427662612</v>
      </c>
      <c r="J1221" t="s">
        <v>13490</v>
      </c>
      <c r="K1221" t="s">
        <v>13491</v>
      </c>
      <c r="L1221" t="s">
        <v>13492</v>
      </c>
      <c r="M1221" t="s">
        <v>13493</v>
      </c>
      <c r="N1221">
        <f>-655.534688491118 -54.1615607368977 -555.870107255358</f>
        <v>-1265.5663564833737</v>
      </c>
      <c r="O1221">
        <f>-660.432336397808 -187.255250025141 -521.783122782642</f>
        <v>-1369.470709205591</v>
      </c>
      <c r="P1221">
        <f>-642.563346621995 -221.987692952155 -230.123094830021</f>
        <v>-1094.6741344041711</v>
      </c>
      <c r="Q1221">
        <f>-484.930963248391 -107.889176884611 -372.19490793677</f>
        <v>-965.01504806977209</v>
      </c>
      <c r="R1221" t="s">
        <v>13494</v>
      </c>
      <c r="S1221" t="s">
        <v>13495</v>
      </c>
      <c r="T1221" t="s">
        <v>13496</v>
      </c>
      <c r="U1221" t="s">
        <v>13497</v>
      </c>
      <c r="V1221">
        <f>-610.940549601366 -109.877606483142 -96.2719549785191</f>
        <v>-817.09011106302717</v>
      </c>
      <c r="W1221" t="s">
        <v>13498</v>
      </c>
      <c r="X1221" t="s">
        <v>13499</v>
      </c>
      <c r="Y1221" t="s">
        <v>13500</v>
      </c>
    </row>
    <row r="1222" spans="1:25" x14ac:dyDescent="0.3">
      <c r="A1222">
        <v>61050</v>
      </c>
      <c r="B1222" t="s">
        <v>13501</v>
      </c>
      <c r="C1222">
        <f>-617.359624532784 -14.21043748482 -97.5222759690545</f>
        <v>-729.09233798665844</v>
      </c>
      <c r="D1222">
        <f>-642.380727324442 -18.6284569626807 -210.52952395553</f>
        <v>-871.53870824265277</v>
      </c>
      <c r="E1222">
        <f>-652.051027822552 -21.2828964824721 -308.642220496585</f>
        <v>-981.97614480160905</v>
      </c>
      <c r="F1222">
        <f>-656.637677441945 -23.3917132503009 -397.595836890113</f>
        <v>-1077.625227582359</v>
      </c>
      <c r="G1222">
        <f>-656.705440151116 -25.2913325653765 -486.672385948008</f>
        <v>-1168.6691586645006</v>
      </c>
      <c r="H1222">
        <f>-652.056772218744 -27.809246836523 -611.142777589212</f>
        <v>-1291.0087966444789</v>
      </c>
      <c r="I1222">
        <f>-619.961683175439 -28.6122127987976 -687.786702178586</f>
        <v>-1336.3605981528226</v>
      </c>
      <c r="J1222" t="s">
        <v>13502</v>
      </c>
      <c r="K1222" t="s">
        <v>13503</v>
      </c>
      <c r="L1222" t="s">
        <v>13504</v>
      </c>
      <c r="M1222" t="s">
        <v>13505</v>
      </c>
      <c r="N1222">
        <f>-655.020738679179 -54.3900690718674 -555.84363393476</f>
        <v>-1265.2544416858063</v>
      </c>
      <c r="O1222">
        <f>-659.976611797109 -187.506787650434 -521.853874739852</f>
        <v>-1369.337274187395</v>
      </c>
      <c r="P1222">
        <f>-642.179407786061 -222.447919705874 -230.214345518961</f>
        <v>-1094.8416730108961</v>
      </c>
      <c r="Q1222">
        <f>-484.511684843431 -108.433016421515 -372.31406487765</f>
        <v>-965.25876614259607</v>
      </c>
      <c r="R1222" t="s">
        <v>13506</v>
      </c>
      <c r="S1222" t="s">
        <v>13507</v>
      </c>
      <c r="T1222" t="s">
        <v>13508</v>
      </c>
      <c r="U1222" t="s">
        <v>13509</v>
      </c>
      <c r="V1222">
        <f>-610.536556287126 -110.242129373946 -96.269719647608</f>
        <v>-817.04840530868</v>
      </c>
      <c r="W1222" t="s">
        <v>13510</v>
      </c>
      <c r="X1222" t="s">
        <v>13511</v>
      </c>
      <c r="Y1222" t="s">
        <v>13512</v>
      </c>
    </row>
    <row r="1223" spans="1:25" x14ac:dyDescent="0.3">
      <c r="A1223">
        <v>61100</v>
      </c>
      <c r="B1223" t="s">
        <v>13513</v>
      </c>
      <c r="C1223">
        <f>-616.5884254194 -14.6897303979254 -97.3796038324397</f>
        <v>-728.65775964976501</v>
      </c>
      <c r="D1223">
        <f>-641.617466026277 -19.0067759160331 -210.388978358605</f>
        <v>-871.01322030091512</v>
      </c>
      <c r="E1223">
        <f>-651.279895803482 -21.5616682650486 -308.505113175264</f>
        <v>-981.3466772437946</v>
      </c>
      <c r="F1223">
        <f>-655.853435780458 -23.5724894250939 -397.461702122431</f>
        <v>-1076.887627327983</v>
      </c>
      <c r="G1223">
        <f>-655.901975481855 -25.3656609882157 -486.540544055171</f>
        <v>-1167.8081805252416</v>
      </c>
      <c r="H1223">
        <f>-651.22003281184 -27.7247377052818 -611.012677082181</f>
        <v>-1289.9574475993027</v>
      </c>
      <c r="I1223">
        <f>-618.937923846907 -28.3386204850458 -687.579782114687</f>
        <v>-1334.8563264466397</v>
      </c>
      <c r="J1223" t="s">
        <v>13514</v>
      </c>
      <c r="K1223" t="s">
        <v>13515</v>
      </c>
      <c r="L1223" t="s">
        <v>13516</v>
      </c>
      <c r="M1223" t="s">
        <v>13517</v>
      </c>
      <c r="N1223">
        <f>-654.220610262961 -54.3752622118096 -555.749161808889</f>
        <v>-1264.3450342836595</v>
      </c>
      <c r="O1223">
        <f>-659.314539933452 -187.516594117598 -521.915867745693</f>
        <v>-1368.747001796743</v>
      </c>
      <c r="P1223">
        <f>-641.366719195622 -223.100109599979 -230.363297833122</f>
        <v>-1094.8301266287228</v>
      </c>
      <c r="Q1223">
        <f>-483.701372582198 -108.964019068545 -372.368392040308</f>
        <v>-965.03378369105098</v>
      </c>
      <c r="R1223" t="s">
        <v>13518</v>
      </c>
      <c r="S1223" t="s">
        <v>13519</v>
      </c>
      <c r="T1223" t="s">
        <v>13520</v>
      </c>
      <c r="U1223" t="s">
        <v>13521</v>
      </c>
      <c r="V1223">
        <f>-609.985604152552 -110.511193023504 -96.2331027460808</f>
        <v>-816.72989992213684</v>
      </c>
      <c r="W1223" t="s">
        <v>13522</v>
      </c>
      <c r="X1223" t="s">
        <v>13523</v>
      </c>
      <c r="Y1223" t="s">
        <v>13524</v>
      </c>
    </row>
    <row r="1224" spans="1:25" x14ac:dyDescent="0.3">
      <c r="A1224">
        <v>61150</v>
      </c>
      <c r="B1224" t="s">
        <v>13525</v>
      </c>
      <c r="C1224">
        <f>-616.296087731101 -14.7919933839416 -97.3537836427822</f>
        <v>-728.44186475782487</v>
      </c>
      <c r="D1224">
        <f>-641.335154519724 -19.0667021367981 -210.362558461009</f>
        <v>-870.76441511753114</v>
      </c>
      <c r="E1224">
        <f>-651.002901496543 -21.5832813647162 -308.479198427058</f>
        <v>-981.06538128831721</v>
      </c>
      <c r="F1224">
        <f>-655.580087136763 -23.5575338455974 -397.436430526721</f>
        <v>-1076.5740515090815</v>
      </c>
      <c r="G1224">
        <f>-655.630833395036 -25.3122119214295 -486.516012886717</f>
        <v>-1167.4590582031824</v>
      </c>
      <c r="H1224">
        <f>-650.950699906554 -27.6149797872479 -610.989212957457</f>
        <v>-1289.5548926512588</v>
      </c>
      <c r="I1224">
        <f>-618.586552899281 -28.1541847968929 -687.522276224374</f>
        <v>-1334.2630139205478</v>
      </c>
      <c r="J1224" t="s">
        <v>13526</v>
      </c>
      <c r="K1224" t="s">
        <v>13527</v>
      </c>
      <c r="L1224" t="s">
        <v>13528</v>
      </c>
      <c r="M1224" t="s">
        <v>13529</v>
      </c>
      <c r="N1224">
        <f>-653.963860479049 -54.2901346764667 -555.738341006504</f>
        <v>-1263.9923361620197</v>
      </c>
      <c r="O1224">
        <f>-659.129040080772 -187.438901507591 -521.947705001083</f>
        <v>-1368.5156465894461</v>
      </c>
      <c r="P1224">
        <f>-641.154887645692 -223.210263065506 -230.419815474883</f>
        <v>-1094.7849661860812</v>
      </c>
      <c r="Q1224">
        <f>-483.363598821196 -109.142853179915 -372.340274240396</f>
        <v>-964.84672624150699</v>
      </c>
      <c r="R1224" t="s">
        <v>13530</v>
      </c>
      <c r="S1224" t="s">
        <v>13531</v>
      </c>
      <c r="T1224" t="s">
        <v>13532</v>
      </c>
      <c r="U1224" t="s">
        <v>13533</v>
      </c>
      <c r="V1224">
        <f>-609.742470931101 -110.520572734673 -96.2413083536425</f>
        <v>-816.5043520194165</v>
      </c>
      <c r="W1224" t="s">
        <v>13534</v>
      </c>
      <c r="X1224" t="s">
        <v>13535</v>
      </c>
      <c r="Y1224" t="s">
        <v>13536</v>
      </c>
    </row>
    <row r="1225" spans="1:25" x14ac:dyDescent="0.3">
      <c r="A1225">
        <v>61200</v>
      </c>
      <c r="B1225" t="s">
        <v>13537</v>
      </c>
      <c r="C1225">
        <f>-615.634789443827 -15.3202029255019 -97.3344284434194</f>
        <v>-728.28942081274829</v>
      </c>
      <c r="D1225">
        <f>-640.718846792247 -19.5416046211842 -210.335357290999</f>
        <v>-870.59580870443017</v>
      </c>
      <c r="E1225">
        <f>-650.399076489782 -22.0128774875348 -308.451689658845</f>
        <v>-980.86364363616178</v>
      </c>
      <c r="F1225">
        <f>-654.976726630514 -23.9465985883398 -397.409894988152</f>
        <v>-1076.333220207006</v>
      </c>
      <c r="G1225">
        <f>-655.01738346936 -25.6619123135995 -486.490179962361</f>
        <v>-1167.1694757453206</v>
      </c>
      <c r="H1225">
        <f>-650.311659692269 -27.9114231006222 -610.963497264369</f>
        <v>-1289.1865800572602</v>
      </c>
      <c r="I1225">
        <f>-617.866523198195 -28.3604258167072 -687.462738933287</f>
        <v>-1333.6896879481892</v>
      </c>
      <c r="J1225" t="s">
        <v>13538</v>
      </c>
      <c r="K1225" t="s">
        <v>13539</v>
      </c>
      <c r="L1225" t="s">
        <v>13540</v>
      </c>
      <c r="M1225" t="s">
        <v>13541</v>
      </c>
      <c r="N1225">
        <f>-653.354903038969 -54.6095396772342 -555.725308796826</f>
        <v>-1263.6897515130293</v>
      </c>
      <c r="O1225">
        <f>-658.631516744376 -187.76189297695 -521.963313823351</f>
        <v>-1368.3567235446769</v>
      </c>
      <c r="P1225">
        <f>-640.889845903007 -223.494857150646 -230.41638660632</f>
        <v>-1094.8010896599731</v>
      </c>
      <c r="Q1225">
        <f>-482.802511237216 -109.741290057081 -372.259133149743</f>
        <v>-964.80293444403992</v>
      </c>
      <c r="R1225" t="s">
        <v>13542</v>
      </c>
      <c r="S1225" t="s">
        <v>13543</v>
      </c>
      <c r="T1225" t="s">
        <v>13544</v>
      </c>
      <c r="U1225" t="s">
        <v>13545</v>
      </c>
      <c r="V1225">
        <f>-609.103184589885 -111.046674890798 -96.2663202958873</f>
        <v>-816.4161797765704</v>
      </c>
      <c r="W1225" t="s">
        <v>13546</v>
      </c>
      <c r="X1225" t="s">
        <v>13547</v>
      </c>
      <c r="Y1225" t="s">
        <v>13548</v>
      </c>
    </row>
    <row r="1226" spans="1:25" x14ac:dyDescent="0.3">
      <c r="A1226">
        <v>61250</v>
      </c>
      <c r="B1226" t="s">
        <v>13549</v>
      </c>
      <c r="C1226">
        <f>-615.223834415318 -15.6493908277641 -97.3327491619079</f>
        <v>-728.20597440499012</v>
      </c>
      <c r="D1226">
        <f>-640.345650072599 -19.8637771845247 -210.325504483823</f>
        <v>-870.53493174094672</v>
      </c>
      <c r="E1226">
        <f>-650.038377188488 -22.3195309863822 -308.441045928547</f>
        <v>-980.79895410341715</v>
      </c>
      <c r="F1226">
        <f>-654.619063443942 -24.236346182674 -397.399435697761</f>
        <v>-1076.2548453243769</v>
      </c>
      <c r="G1226">
        <f>-654.654331187371 -25.9316167553213 -486.480031734441</f>
        <v>-1167.0659796771333</v>
      </c>
      <c r="H1226">
        <f>-649.93231778743 -28.1506568184093 -610.953440282294</f>
        <v>-1289.0364148881331</v>
      </c>
      <c r="I1226">
        <f>-617.469990138749 -28.5703653786331 -687.445445106651</f>
        <v>-1333.4858006240333</v>
      </c>
      <c r="J1226" t="s">
        <v>13550</v>
      </c>
      <c r="K1226" t="s">
        <v>13551</v>
      </c>
      <c r="L1226" t="s">
        <v>13552</v>
      </c>
      <c r="M1226" t="s">
        <v>13553</v>
      </c>
      <c r="N1226">
        <f>-652.982233318871 -54.8623780425337 -555.722139603296</f>
        <v>-1263.5667509647005</v>
      </c>
      <c r="O1226">
        <f>-658.270841485444 -188.022233819055 -521.976036818049</f>
        <v>-1368.269112122548</v>
      </c>
      <c r="P1226">
        <f>-640.654862805693 -223.683194823107 -230.412668890571</f>
        <v>-1094.750726519371</v>
      </c>
      <c r="Q1226">
        <f>-482.477995512453 -109.97177874088 -372.189460021238</f>
        <v>-964.63923427457098</v>
      </c>
      <c r="R1226" t="s">
        <v>13554</v>
      </c>
      <c r="S1226" t="s">
        <v>13555</v>
      </c>
      <c r="T1226" t="s">
        <v>13556</v>
      </c>
      <c r="U1226" t="s">
        <v>13557</v>
      </c>
      <c r="V1226">
        <f>-608.667666805268 -111.350193997707 -96.2771833248083</f>
        <v>-816.2950441277834</v>
      </c>
      <c r="W1226" t="s">
        <v>13558</v>
      </c>
      <c r="X1226" t="s">
        <v>13559</v>
      </c>
      <c r="Y1226" t="s">
        <v>13560</v>
      </c>
    </row>
    <row r="1227" spans="1:25" x14ac:dyDescent="0.3">
      <c r="A1227">
        <v>61300</v>
      </c>
      <c r="B1227" t="s">
        <v>13561</v>
      </c>
      <c r="C1227">
        <f>-614.804117551765 -16.0004839374612 -97.3214333369386</f>
        <v>-728.12603482616487</v>
      </c>
      <c r="D1227">
        <f>-639.956720335302 -20.2213225101732 -210.307029581287</f>
        <v>-870.48507242676214</v>
      </c>
      <c r="E1227">
        <f>-649.663491326619 -22.6725120444382 -308.421458635075</f>
        <v>-980.7574620061323</v>
      </c>
      <c r="F1227">
        <f>-654.251538273707 -24.5818572742812 -397.379651380681</f>
        <v>-1076.2130469286692</v>
      </c>
      <c r="G1227">
        <f>-654.288747212957 -26.2667152873137 -486.460433780728</f>
        <v>-1167.0158962809987</v>
      </c>
      <c r="H1227">
        <f>-649.56369892226 -28.4678602037068 -610.933896510579</f>
        <v>-1288.9654556365458</v>
      </c>
      <c r="I1227">
        <f>-617.091433556385 -28.870555551342 -687.421898848285</f>
        <v>-1333.3838879560121</v>
      </c>
      <c r="J1227" t="s">
        <v>13562</v>
      </c>
      <c r="K1227" t="s">
        <v>13563</v>
      </c>
      <c r="L1227" t="s">
        <v>13564</v>
      </c>
      <c r="M1227" t="s">
        <v>13565</v>
      </c>
      <c r="N1227">
        <f>-652.606752659123 -55.187859684926 -555.70617676278</f>
        <v>-1263.500789106829</v>
      </c>
      <c r="O1227">
        <f>-657.859645345111 -188.348302944136 -521.969127217403</f>
        <v>-1368.17707550665</v>
      </c>
      <c r="P1227">
        <f>-640.212908120375 -224.08480066183 -230.416963805432</f>
        <v>-1094.7146725876371</v>
      </c>
      <c r="Q1227">
        <f>-482.033444229578 -110.321759788218 -372.149410189308</f>
        <v>-964.50461420710405</v>
      </c>
      <c r="R1227" t="s">
        <v>13566</v>
      </c>
      <c r="S1227" t="s">
        <v>13567</v>
      </c>
      <c r="T1227" t="s">
        <v>13568</v>
      </c>
      <c r="U1227" t="s">
        <v>13569</v>
      </c>
      <c r="V1227">
        <f>-608.198156829687 -111.718167343449 -96.2737320028183</f>
        <v>-816.19005617595428</v>
      </c>
      <c r="W1227" t="s">
        <v>13570</v>
      </c>
      <c r="X1227" t="s">
        <v>13571</v>
      </c>
      <c r="Y1227" t="s">
        <v>13572</v>
      </c>
    </row>
    <row r="1228" spans="1:25" x14ac:dyDescent="0.3">
      <c r="A1228">
        <v>61350</v>
      </c>
      <c r="B1228" t="s">
        <v>13573</v>
      </c>
      <c r="C1228">
        <f>-614.079066406365 -16.4519653621337 -97.3070341913007</f>
        <v>-727.83806595979934</v>
      </c>
      <c r="D1228">
        <f>-639.255489937913 -20.6826006834399 -210.287038216515</f>
        <v>-870.22512883786794</v>
      </c>
      <c r="E1228">
        <f>-648.985554582862 -23.1328077889482 -308.399088960478</f>
        <v>-980.51745133228826</v>
      </c>
      <c r="F1228">
        <f>-653.595704258146 -25.0374376566015 -397.356135769721</f>
        <v>-1075.9892776844686</v>
      </c>
      <c r="G1228">
        <f>-653.656078680893 -26.7131992532613 -486.437186042049</f>
        <v>-1166.8064639762033</v>
      </c>
      <c r="H1228">
        <f>-648.964274935394 -28.89666604485 -610.912240129126</f>
        <v>-1288.7731811093699</v>
      </c>
      <c r="I1228">
        <f>-616.519834894907 -29.2611593276642 -687.412176531265</f>
        <v>-1333.1931707538363</v>
      </c>
      <c r="J1228">
        <f>-650.106095929399 -0.245873179994078 -556.587806012138</f>
        <v>-1206.9397751215311</v>
      </c>
      <c r="K1228" t="s">
        <v>13574</v>
      </c>
      <c r="L1228" t="s">
        <v>13575</v>
      </c>
      <c r="M1228" t="s">
        <v>13576</v>
      </c>
      <c r="N1228">
        <f>-651.951725867788 -55.6259187643352 -555.685870845734</f>
        <v>-1263.2635154778573</v>
      </c>
      <c r="O1228">
        <f>-657.006633379075 -188.796805655872 -521.947787028125</f>
        <v>-1367.751226063072</v>
      </c>
      <c r="P1228">
        <f>-639.199896451567 -224.56698495889 -230.409555747565</f>
        <v>-1094.1764371580221</v>
      </c>
      <c r="Q1228">
        <f>-481.189224863829 -110.60469380363 -372.170291727143</f>
        <v>-963.96421039460211</v>
      </c>
      <c r="R1228" t="s">
        <v>13577</v>
      </c>
      <c r="S1228" t="s">
        <v>13578</v>
      </c>
      <c r="T1228" t="s">
        <v>13579</v>
      </c>
      <c r="U1228" t="s">
        <v>13580</v>
      </c>
      <c r="V1228">
        <f>-607.387773706284 -112.138129573241 -96.2612513037956</f>
        <v>-815.78715458332056</v>
      </c>
      <c r="W1228" t="s">
        <v>13581</v>
      </c>
      <c r="X1228" t="s">
        <v>13582</v>
      </c>
      <c r="Y1228" t="s">
        <v>13583</v>
      </c>
    </row>
    <row r="1229" spans="1:25" x14ac:dyDescent="0.3">
      <c r="A1229">
        <v>61400</v>
      </c>
      <c r="B1229" t="s">
        <v>13584</v>
      </c>
      <c r="C1229">
        <f>-613.558773585001 -16.7556310496288 -97.3021010839467</f>
        <v>-727.61650571857649</v>
      </c>
      <c r="D1229">
        <f>-638.685895853533 -21.0186961674603 -210.291894268646</f>
        <v>-869.99648628963928</v>
      </c>
      <c r="E1229">
        <f>-648.397312459839 -23.4908983768021 -308.405159302716</f>
        <v>-980.29337013935708</v>
      </c>
      <c r="F1229">
        <f>-653.000233529312 -25.4131292741588 -397.362273379706</f>
        <v>-1075.7756361831769</v>
      </c>
      <c r="G1229">
        <f>-653.063010652 -27.103005458787 -486.443017308655</f>
        <v>-1166.6090334194421</v>
      </c>
      <c r="H1229">
        <f>-648.384770693973 -29.3018582487962 -610.918321467619</f>
        <v>-1288.604950410388</v>
      </c>
      <c r="I1229">
        <f>-615.994769679483 -29.5943558438685 -687.441694172525</f>
        <v>-1333.0308196958765</v>
      </c>
      <c r="J1229">
        <f>-649.578602023655 -0.642422839592427 -556.599611833664</f>
        <v>-1206.8206366969114</v>
      </c>
      <c r="K1229" t="s">
        <v>13585</v>
      </c>
      <c r="L1229" t="s">
        <v>13586</v>
      </c>
      <c r="M1229" t="s">
        <v>13587</v>
      </c>
      <c r="N1229">
        <f>-651.308214544471 -56.0259328423148 -555.686251203363</f>
        <v>-1263.0203985901487</v>
      </c>
      <c r="O1229">
        <f>-656.090976949772 -189.192124981798 -521.897067383789</f>
        <v>-1367.1801693153589</v>
      </c>
      <c r="P1229">
        <f>-638.167096407276 -224.770068353319 -230.342208613893</f>
        <v>-1093.2793733744879</v>
      </c>
      <c r="Q1229">
        <f>-480.414628626154 -110.624000934886 -372.242582464013</f>
        <v>-963.28121202505304</v>
      </c>
      <c r="R1229" t="s">
        <v>13588</v>
      </c>
      <c r="S1229" t="s">
        <v>13589</v>
      </c>
      <c r="T1229" t="s">
        <v>13590</v>
      </c>
      <c r="U1229" t="s">
        <v>13591</v>
      </c>
      <c r="V1229">
        <f>-606.758128436544 -112.426323534594 -96.2593562200933</f>
        <v>-815.44380819123126</v>
      </c>
      <c r="W1229" t="s">
        <v>13592</v>
      </c>
      <c r="X1229" t="s">
        <v>13593</v>
      </c>
      <c r="Y1229" t="s">
        <v>13594</v>
      </c>
    </row>
    <row r="1230" spans="1:25" x14ac:dyDescent="0.3">
      <c r="A1230">
        <v>61450</v>
      </c>
      <c r="B1230" t="s">
        <v>13595</v>
      </c>
      <c r="C1230">
        <f>-613.338836542663 -16.9512927531221 -97.2948075687333</f>
        <v>-727.58493686451834</v>
      </c>
      <c r="D1230">
        <f>-638.42983711865 -21.2382916493386 -210.291693169422</f>
        <v>-869.95982193741065</v>
      </c>
      <c r="E1230">
        <f>-648.120332799626 -23.7342512567182 -308.406575435883</f>
        <v>-980.26115949222708</v>
      </c>
      <c r="F1230">
        <f>-652.708684900014 -25.6795968103995 -397.363878671316</f>
        <v>-1075.7521603817295</v>
      </c>
      <c r="G1230">
        <f>-652.761095796489 -27.3933447465229 -486.444035516295</f>
        <v>-1166.5984760593069</v>
      </c>
      <c r="H1230">
        <f>-648.072861673995 -29.6264336592046 -610.918364392193</f>
        <v>-1288.6176597253925</v>
      </c>
      <c r="I1230">
        <f>-615.707508857934 -29.886008938357 -687.452431476313</f>
        <v>-1333.045949272604</v>
      </c>
      <c r="J1230">
        <f>-649.298399731994 -0.951245584795288 -556.608705896577</f>
        <v>-1206.8583512133664</v>
      </c>
      <c r="K1230" t="s">
        <v>13596</v>
      </c>
      <c r="L1230" t="s">
        <v>13597</v>
      </c>
      <c r="M1230" t="s">
        <v>13598</v>
      </c>
      <c r="N1230">
        <f>-650.97345283308 -56.3363189684991 -555.678153281302</f>
        <v>-1262.9879250828812</v>
      </c>
      <c r="O1230">
        <f>-655.636618426481 -189.495072973263 -521.841891784238</f>
        <v>-1366.9735831839821</v>
      </c>
      <c r="P1230">
        <f>-637.667849804381 -224.960858678907 -230.276311248755</f>
        <v>-1092.905019732043</v>
      </c>
      <c r="Q1230">
        <f>-480.039052111067 -110.719349775437 -372.237128268892</f>
        <v>-962.99553015539595</v>
      </c>
      <c r="R1230" t="s">
        <v>13599</v>
      </c>
      <c r="S1230" t="s">
        <v>13600</v>
      </c>
      <c r="T1230" t="s">
        <v>13601</v>
      </c>
      <c r="U1230" t="s">
        <v>13602</v>
      </c>
      <c r="V1230">
        <f>-606.483089362142 -112.633723005899 -96.2505859421311</f>
        <v>-815.36739831017212</v>
      </c>
      <c r="W1230" t="s">
        <v>13603</v>
      </c>
      <c r="X1230" t="s">
        <v>13604</v>
      </c>
      <c r="Y1230" t="s">
        <v>13605</v>
      </c>
    </row>
    <row r="1231" spans="1:25" x14ac:dyDescent="0.3">
      <c r="A1231">
        <v>61500</v>
      </c>
      <c r="B1231" t="s">
        <v>13606</v>
      </c>
      <c r="C1231">
        <f>-613.080626587263 -17.119596637935 -97.2931236129215</f>
        <v>-727.49334683811958</v>
      </c>
      <c r="D1231">
        <f>-638.057017299197 -21.4685392449571 -210.312906037278</f>
        <v>-869.83846258143217</v>
      </c>
      <c r="E1231">
        <f>-647.666036842972 -24.0189446973641 -308.43443774742</f>
        <v>-980.11941928775605</v>
      </c>
      <c r="F1231">
        <f>-652.187709091078 -26.0148068493722 -397.393937350993</f>
        <v>-1075.5964532914431</v>
      </c>
      <c r="G1231">
        <f>-652.180556536558 -27.7795975554905 -486.473341068896</f>
        <v>-1166.4334951609444</v>
      </c>
      <c r="H1231">
        <f>-647.416672941788 -30.0844595678395 -610.943429576477</f>
        <v>-1288.4445620861045</v>
      </c>
      <c r="I1231">
        <f>-615.092213496342 -30.2993717563033 -687.494752156342</f>
        <v>-1332.8863374089874</v>
      </c>
      <c r="J1231">
        <f>-648.725367107176 -1.37656947503001 -556.652923250389</f>
        <v>-1206.754859832595</v>
      </c>
      <c r="K1231" t="s">
        <v>13607</v>
      </c>
      <c r="L1231" t="s">
        <v>13608</v>
      </c>
      <c r="M1231" t="s">
        <v>13609</v>
      </c>
      <c r="N1231">
        <f>-650.300679771006 -56.7638543318444 -555.687681304762</f>
        <v>-1262.7522154076123</v>
      </c>
      <c r="O1231">
        <f>-654.756083448454 -189.902718233482 -521.748713317805</f>
        <v>-1366.4075149997411</v>
      </c>
      <c r="P1231">
        <f>-636.912098118859 -225.157358847852 -230.149960700193</f>
        <v>-1092.2194176669041</v>
      </c>
      <c r="Q1231">
        <f>-479.42874237856 -110.782597753214 -372.165029749916</f>
        <v>-962.37636988169004</v>
      </c>
      <c r="R1231" t="s">
        <v>13610</v>
      </c>
      <c r="S1231" t="s">
        <v>13611</v>
      </c>
      <c r="T1231" t="s">
        <v>13612</v>
      </c>
      <c r="U1231" t="s">
        <v>13613</v>
      </c>
      <c r="V1231">
        <f>-606.119617601188 -112.734352305892 -96.2406700721311</f>
        <v>-815.09463997921114</v>
      </c>
      <c r="W1231" t="s">
        <v>13614</v>
      </c>
      <c r="X1231" t="s">
        <v>13615</v>
      </c>
      <c r="Y1231" t="s">
        <v>13616</v>
      </c>
    </row>
    <row r="1232" spans="1:25" x14ac:dyDescent="0.3">
      <c r="A1232">
        <v>61550</v>
      </c>
      <c r="B1232" t="s">
        <v>13617</v>
      </c>
      <c r="C1232">
        <f>-613.025154317823 -17.1627139562568 -97.3056776633318</f>
        <v>-727.49354593741157</v>
      </c>
      <c r="D1232">
        <f>-637.95550010524 -21.5298521916279 -210.334994225457</f>
        <v>-869.82034652232494</v>
      </c>
      <c r="E1232">
        <f>-647.523086905266 -24.1048058442534 -308.459818045828</f>
        <v>-980.08771079534745</v>
      </c>
      <c r="F1232">
        <f>-652.006770324415 -26.1265708271173 -397.420745814959</f>
        <v>-1075.5540869664915</v>
      </c>
      <c r="G1232">
        <f>-651.961195265045 -27.9205193471535 -486.499558492268</f>
        <v>-1166.3812731044666</v>
      </c>
      <c r="H1232">
        <f>-647.143400891983 -30.2693046823063 -610.966793076091</f>
        <v>-1288.3794986503804</v>
      </c>
      <c r="I1232">
        <f>-614.830668634481 -30.4785051526474 -687.523099104412</f>
        <v>-1332.8322728915405</v>
      </c>
      <c r="J1232">
        <f>-648.497192046904 -1.54181249671842 -556.687896320251</f>
        <v>-1206.7269008638734</v>
      </c>
      <c r="K1232" t="s">
        <v>13618</v>
      </c>
      <c r="L1232" t="s">
        <v>13619</v>
      </c>
      <c r="M1232" t="s">
        <v>13620</v>
      </c>
      <c r="N1232">
        <f>-650.029778910591 -56.9298620871984 -555.701891680253</f>
        <v>-1262.6615326780425</v>
      </c>
      <c r="O1232">
        <f>-654.397271209093 -190.057584314827 -521.708598020679</f>
        <v>-1366.1634535445992</v>
      </c>
      <c r="P1232">
        <f>-636.65417263919 -225.175799139337 -230.087169290926</f>
        <v>-1091.917141069453</v>
      </c>
      <c r="Q1232">
        <f>-479.182319802564 -110.781824698879 -372.099495274195</f>
        <v>-962.06363977563797</v>
      </c>
      <c r="R1232" t="s">
        <v>13621</v>
      </c>
      <c r="S1232" t="s">
        <v>13622</v>
      </c>
      <c r="T1232" t="s">
        <v>13623</v>
      </c>
      <c r="U1232" t="s">
        <v>13624</v>
      </c>
      <c r="V1232">
        <f>-606.04176275781 -112.724515408762 -96.2434473820267</f>
        <v>-815.00972554859879</v>
      </c>
      <c r="W1232" t="s">
        <v>13625</v>
      </c>
      <c r="X1232" t="s">
        <v>13626</v>
      </c>
      <c r="Y1232" t="s">
        <v>13627</v>
      </c>
    </row>
    <row r="1233" spans="1:25" x14ac:dyDescent="0.3">
      <c r="A1233">
        <v>61600</v>
      </c>
      <c r="B1233" t="s">
        <v>13628</v>
      </c>
      <c r="C1233">
        <f>-613.005422221693 -17.2239538530637 -97.3223440563826</f>
        <v>-727.55172013113929</v>
      </c>
      <c r="D1233">
        <f>-637.844108429645 -21.6014771987818 -210.37134872679</f>
        <v>-869.81693435521674</v>
      </c>
      <c r="E1233">
        <f>-647.333817163851 -24.208342230505 -308.503002019039</f>
        <v>-980.04516141339491</v>
      </c>
      <c r="F1233">
        <f>-651.747841703683 -26.2678691947699 -397.466663800408</f>
        <v>-1075.4823746988609</v>
      </c>
      <c r="G1233">
        <f>-651.633856628681 -28.1078853268293 -486.544298658018</f>
        <v>-1166.2860406135283</v>
      </c>
      <c r="H1233">
        <f>-646.721767328593 -30.5291369452525 -611.006461295894</f>
        <v>-1288.2573655697397</v>
      </c>
      <c r="I1233">
        <f>-614.443333169916 -30.7612658356879 -687.577259224403</f>
        <v>-1332.7818582300069</v>
      </c>
      <c r="J1233">
        <f>-648.144777370265 -1.76907115615427 -556.746345307626</f>
        <v>-1206.6601938340455</v>
      </c>
      <c r="K1233" t="s">
        <v>13629</v>
      </c>
      <c r="L1233" t="s">
        <v>13630</v>
      </c>
      <c r="M1233" t="s">
        <v>13631</v>
      </c>
      <c r="N1233">
        <f>-649.621878349686 -57.1581792288317 -555.727187649494</f>
        <v>-1262.5072452280117</v>
      </c>
      <c r="O1233">
        <f>-653.87230635745 -190.268365042854 -521.636635703651</f>
        <v>-1365.7773071039551</v>
      </c>
      <c r="P1233">
        <f>-636.309308213785 -225.168686000292 -229.978067465611</f>
        <v>-1091.456061679688</v>
      </c>
      <c r="Q1233">
        <f>-478.848856922627 -110.713367195991 -371.953616442652</f>
        <v>-961.51584056127001</v>
      </c>
      <c r="R1233" t="s">
        <v>13632</v>
      </c>
      <c r="S1233" t="s">
        <v>13633</v>
      </c>
      <c r="T1233" t="s">
        <v>13634</v>
      </c>
      <c r="U1233" t="s">
        <v>13635</v>
      </c>
      <c r="V1233">
        <f>-606.010325876621 -112.788942851284 -96.2518922731364</f>
        <v>-815.05116100104135</v>
      </c>
      <c r="W1233" t="s">
        <v>13636</v>
      </c>
      <c r="X1233" t="s">
        <v>13637</v>
      </c>
      <c r="Y1233" t="s">
        <v>13638</v>
      </c>
    </row>
    <row r="1234" spans="1:25" x14ac:dyDescent="0.3">
      <c r="A1234">
        <v>61650</v>
      </c>
      <c r="B1234" t="s">
        <v>13639</v>
      </c>
      <c r="C1234">
        <f>-612.972433826804 -17.2350673304095 -97.3319003104676</f>
        <v>-727.53940146768116</v>
      </c>
      <c r="D1234">
        <f>-637.783664207174 -21.6093521291443 -210.38719720548</f>
        <v>-869.78021354179828</v>
      </c>
      <c r="E1234">
        <f>-647.241376153106 -24.22115920535 -308.521680616017</f>
        <v>-979.98421597447305</v>
      </c>
      <c r="F1234">
        <f>-651.623278562747 -26.2881570927505 -397.486648986013</f>
        <v>-1075.3980846415104</v>
      </c>
      <c r="G1234">
        <f>-651.474055648967 -28.1383503586605 -486.564044883193</f>
        <v>-1166.1764508908204</v>
      </c>
      <c r="H1234">
        <f>-646.509744114141 -30.5765151047556 -611.02383179273</f>
        <v>-1288.1100910116265</v>
      </c>
      <c r="I1234">
        <f>-614.251278333297 -30.8280219860781 -687.602989047478</f>
        <v>-1332.6822893668532</v>
      </c>
      <c r="J1234">
        <f>-647.963320443354 -1.80892071657263 -556.768696227937</f>
        <v>-1206.5409373878636</v>
      </c>
      <c r="K1234" t="s">
        <v>13640</v>
      </c>
      <c r="L1234" t="s">
        <v>13641</v>
      </c>
      <c r="M1234" t="s">
        <v>13642</v>
      </c>
      <c r="N1234">
        <f>-649.425196272758 -57.1982428136367 -555.741879211839</f>
        <v>-1262.3653182982337</v>
      </c>
      <c r="O1234">
        <f>-653.670006070361 -190.297514183546 -521.618556750626</f>
        <v>-1365.5860770045329</v>
      </c>
      <c r="P1234">
        <f>-636.21059958172 -225.144660146387 -229.947403664938</f>
        <v>-1091.3026633930449</v>
      </c>
      <c r="Q1234">
        <f>-478.715405952117 -110.666140733071 -371.865597322568</f>
        <v>-961.24714400775611</v>
      </c>
      <c r="R1234" t="s">
        <v>13643</v>
      </c>
      <c r="S1234" t="s">
        <v>13644</v>
      </c>
      <c r="T1234" t="s">
        <v>13645</v>
      </c>
      <c r="U1234" t="s">
        <v>13646</v>
      </c>
      <c r="V1234">
        <f>-605.968783964477 -112.769050338533 -96.2629930576089</f>
        <v>-815.00082736061893</v>
      </c>
      <c r="W1234" t="s">
        <v>13647</v>
      </c>
      <c r="X1234" t="s">
        <v>13648</v>
      </c>
      <c r="Y1234" t="s">
        <v>13649</v>
      </c>
    </row>
    <row r="1235" spans="1:25" x14ac:dyDescent="0.3">
      <c r="A1235">
        <v>61700</v>
      </c>
      <c r="B1235" t="s">
        <v>13650</v>
      </c>
      <c r="C1235">
        <f>-612.930217224564 -17.2470258368937 -97.3390704064752</f>
        <v>-727.51631346793295</v>
      </c>
      <c r="D1235">
        <f>-637.724106238684 -21.6312457529523 -210.397785242654</f>
        <v>-869.75313723429031</v>
      </c>
      <c r="E1235">
        <f>-647.15198140996 -24.2525908318758 -308.534911097762</f>
        <v>-979.9394833395977</v>
      </c>
      <c r="F1235">
        <f>-651.501007238064 -26.3289082486417 -397.501289471388</f>
        <v>-1075.3312049580936</v>
      </c>
      <c r="G1235">
        <f>-651.312998133372 -28.1889786451757 -486.57845553894</f>
        <v>-1166.0804323174877</v>
      </c>
      <c r="H1235">
        <f>-646.288099018607 -30.6417602474492 -611.035481996143</f>
        <v>-1287.9653412621992</v>
      </c>
      <c r="I1235">
        <f>-614.049523296134 -30.9182611856402 -687.622864213241</f>
        <v>-1332.5906486950153</v>
      </c>
      <c r="J1235">
        <f>-647.774680294888 -1.86767288018018 -556.78460545445</f>
        <v>-1206.4269586295181</v>
      </c>
      <c r="K1235" t="s">
        <v>13651</v>
      </c>
      <c r="L1235" t="s">
        <v>13652</v>
      </c>
      <c r="M1235" t="s">
        <v>13653</v>
      </c>
      <c r="N1235">
        <f>-649.223880319444 -57.2570739380262 -555.751509471054</f>
        <v>-1262.2324637285242</v>
      </c>
      <c r="O1235">
        <f>-653.453285189567 -190.354359181895 -521.613012412418</f>
        <v>-1365.4206567838801</v>
      </c>
      <c r="P1235">
        <f>-636.135253087089 -225.160796450868 -229.928505194974</f>
        <v>-1091.224554732931</v>
      </c>
      <c r="Q1235">
        <f>-478.616984196684 -110.689542477138 -371.827045721629</f>
        <v>-961.13357239545098</v>
      </c>
      <c r="R1235" t="s">
        <v>13654</v>
      </c>
      <c r="S1235" t="s">
        <v>13655</v>
      </c>
      <c r="T1235" t="s">
        <v>13656</v>
      </c>
      <c r="U1235" t="s">
        <v>13657</v>
      </c>
      <c r="V1235">
        <f>-605.907365979039 -112.710927173935 -96.2737667574102</f>
        <v>-814.89205991038421</v>
      </c>
      <c r="W1235" t="s">
        <v>13658</v>
      </c>
      <c r="X1235" t="s">
        <v>13659</v>
      </c>
      <c r="Y1235" t="s">
        <v>13660</v>
      </c>
    </row>
    <row r="1236" spans="1:25" x14ac:dyDescent="0.3">
      <c r="A1236">
        <v>61750</v>
      </c>
      <c r="B1236" t="s">
        <v>13661</v>
      </c>
      <c r="C1236">
        <f>-612.870926280741 -17.4330876444023 -97.3460079489264</f>
        <v>-727.65002187406969</v>
      </c>
      <c r="D1236">
        <f>-637.634304720554 -21.8267033503141 -210.410935499247</f>
        <v>-869.87194357011515</v>
      </c>
      <c r="E1236">
        <f>-647.002750833558 -24.4540597612154 -308.553656637889</f>
        <v>-980.01046723266245</v>
      </c>
      <c r="F1236">
        <f>-651.284429558011 -26.5357402573595 -397.523112629808</f>
        <v>-1075.3432824451784</v>
      </c>
      <c r="G1236">
        <f>-651.015587287146 -28.4014640066036 -486.600032849975</f>
        <v>-1166.0170841437246</v>
      </c>
      <c r="H1236">
        <f>-645.863857795534 -30.8627029082988 -611.051632302113</f>
        <v>-1287.7781930059459</v>
      </c>
      <c r="I1236">
        <f>-613.629999277216 -31.177147491974 -687.640977929245</f>
        <v>-1332.4481246984351</v>
      </c>
      <c r="J1236">
        <f>-647.409378845528 -2.08480229081329 -556.804531862913</f>
        <v>-1206.2987129992543</v>
      </c>
      <c r="K1236" t="s">
        <v>13662</v>
      </c>
      <c r="L1236" t="s">
        <v>13663</v>
      </c>
      <c r="M1236" t="s">
        <v>13664</v>
      </c>
      <c r="N1236">
        <f>-648.852262419562 -57.4743782377072 -555.768842155876</f>
        <v>-1262.0954828131453</v>
      </c>
      <c r="O1236">
        <f>-653.122533921165 -190.558816602093 -521.591598939537</f>
        <v>-1365.2729494627949</v>
      </c>
      <c r="P1236">
        <f>-635.987317026566 -225.341843744471 -229.893577785294</f>
        <v>-1091.222738556331</v>
      </c>
      <c r="Q1236">
        <f>-478.351621833819 -111.010279767184 -371.774361981985</f>
        <v>-961.13626358298802</v>
      </c>
      <c r="R1236" t="s">
        <v>13665</v>
      </c>
      <c r="S1236" t="s">
        <v>13666</v>
      </c>
      <c r="T1236" t="s">
        <v>13667</v>
      </c>
      <c r="U1236" t="s">
        <v>13668</v>
      </c>
      <c r="V1236">
        <f>-605.845840643652 -112.984534876933 -96.2708866829204</f>
        <v>-815.10126220350537</v>
      </c>
      <c r="W1236" t="s">
        <v>13669</v>
      </c>
      <c r="X1236" t="s">
        <v>13670</v>
      </c>
      <c r="Y1236" t="s">
        <v>13671</v>
      </c>
    </row>
    <row r="1237" spans="1:25" x14ac:dyDescent="0.3">
      <c r="A1237">
        <v>61800</v>
      </c>
      <c r="B1237" t="s">
        <v>13672</v>
      </c>
      <c r="C1237">
        <f>-612.850944781 -17.4651535685377 -97.3630898049222</f>
        <v>-727.67918815445989</v>
      </c>
      <c r="D1237">
        <f>-637.575257278368 -21.8540989472237 -210.436766208086</f>
        <v>-869.86612243367767</v>
      </c>
      <c r="E1237">
        <f>-646.892815735213 -24.5016872694184 -308.583826110973</f>
        <v>-979.97832911560454</v>
      </c>
      <c r="F1237">
        <f>-651.121846352657 -26.6116315137444 -397.55516486477</f>
        <v>-1075.2886427311714</v>
      </c>
      <c r="G1237">
        <f>-650.793914587887 -28.5156797463412 -486.631014972278</f>
        <v>-1165.9406093065063</v>
      </c>
      <c r="H1237">
        <f>-645.553235427423 -31.0413501277758 -611.077674030342</f>
        <v>-1287.6722595855408</v>
      </c>
      <c r="I1237">
        <f>-613.284742970592 -31.3883103764358 -687.652163429143</f>
        <v>-1332.3252167761707</v>
      </c>
      <c r="J1237">
        <f>-647.137054466702 -2.23540901136448 -556.846414351362</f>
        <v>-1206.2188778294285</v>
      </c>
      <c r="K1237" t="s">
        <v>13673</v>
      </c>
      <c r="L1237" t="s">
        <v>13674</v>
      </c>
      <c r="M1237" t="s">
        <v>13675</v>
      </c>
      <c r="N1237">
        <f>-648.581789155144 -57.6245043575925 -555.783180933558</f>
        <v>-1261.9894744462945</v>
      </c>
      <c r="O1237">
        <f>-652.877796471987 -190.691208528396 -521.550978577941</f>
        <v>-1365.1199835783241</v>
      </c>
      <c r="P1237">
        <f>-635.837311687822 -225.352646959589 -229.832944331081</f>
        <v>-1091.0229029784921</v>
      </c>
      <c r="Q1237">
        <f>-478.158767798975 -111.144389945538 -371.765364376476</f>
        <v>-961.06852212098897</v>
      </c>
      <c r="R1237" t="s">
        <v>13676</v>
      </c>
      <c r="S1237" t="s">
        <v>13677</v>
      </c>
      <c r="T1237" t="s">
        <v>13678</v>
      </c>
      <c r="U1237" t="s">
        <v>13679</v>
      </c>
      <c r="V1237">
        <f>-605.853784714846 -112.941219986374 -96.2760039405963</f>
        <v>-815.07100864181632</v>
      </c>
      <c r="W1237" t="s">
        <v>13680</v>
      </c>
      <c r="X1237" t="s">
        <v>13681</v>
      </c>
      <c r="Y1237" t="s">
        <v>13682</v>
      </c>
    </row>
    <row r="1238" spans="1:25" x14ac:dyDescent="0.3">
      <c r="A1238">
        <v>61850</v>
      </c>
      <c r="B1238" t="s">
        <v>13683</v>
      </c>
      <c r="C1238">
        <f>-612.848976362436 -17.4413801360602 -97.3584240678897</f>
        <v>-727.64878056638588</v>
      </c>
      <c r="D1238">
        <f>-637.559331800359 -21.8362750719921 -210.434947637251</f>
        <v>-869.83055450960205</v>
      </c>
      <c r="E1238">
        <f>-646.862996954416 -24.499775855706 -308.582837635233</f>
        <v>-979.94561044535499</v>
      </c>
      <c r="F1238">
        <f>-651.0787187183 -26.6286572370752 -397.55430131722</f>
        <v>-1075.2616772725953</v>
      </c>
      <c r="G1238">
        <f>-650.737066423306 -28.5566426583339 -486.629679950991</f>
        <v>-1165.9233890326309</v>
      </c>
      <c r="H1238">
        <f>-645.476612837997 -31.120621241977 -611.074628614815</f>
        <v>-1287.6718626947891</v>
      </c>
      <c r="I1238">
        <f>-613.192747520904 -31.4863905690602 -687.64259822577</f>
        <v>-1332.3217363157341</v>
      </c>
      <c r="J1238">
        <f>-647.067446850461 -2.29792613271638 -556.852574222984</f>
        <v>-1206.2179472061614</v>
      </c>
      <c r="K1238" t="s">
        <v>13684</v>
      </c>
      <c r="L1238" t="s">
        <v>13685</v>
      </c>
      <c r="M1238" t="s">
        <v>13686</v>
      </c>
      <c r="N1238">
        <f>-648.515507430392 -57.6866624315758 -555.772616717807</f>
        <v>-1261.9747865797747</v>
      </c>
      <c r="O1238">
        <f>-652.815296871021 -190.744852810822 -521.500781169192</f>
        <v>-1365.0609308510352</v>
      </c>
      <c r="P1238">
        <f>-635.795462460172 -225.348610299995 -229.774758603904</f>
        <v>-1090.9188313640709</v>
      </c>
      <c r="Q1238">
        <f>-478.111233189572 -111.179810623397 -371.732560837955</f>
        <v>-961.02360465092397</v>
      </c>
      <c r="R1238" t="s">
        <v>13687</v>
      </c>
      <c r="S1238" t="s">
        <v>13688</v>
      </c>
      <c r="T1238" t="s">
        <v>13689</v>
      </c>
      <c r="U1238" t="s">
        <v>13690</v>
      </c>
      <c r="V1238">
        <f>-605.826112337616 -112.936970785855 -96.2783575166007</f>
        <v>-815.04144064007176</v>
      </c>
      <c r="W1238" t="s">
        <v>13691</v>
      </c>
      <c r="X1238" t="s">
        <v>13692</v>
      </c>
      <c r="Y1238" t="s">
        <v>13693</v>
      </c>
    </row>
    <row r="1239" spans="1:25" x14ac:dyDescent="0.3">
      <c r="A1239">
        <v>61900</v>
      </c>
      <c r="B1239" t="s">
        <v>13694</v>
      </c>
      <c r="C1239">
        <f>-612.845791948778 -17.4441259425864 -97.3584072174215</f>
        <v>-727.64832510878591</v>
      </c>
      <c r="D1239">
        <f>-637.590300403198 -21.8702883245287 -210.426315215177</f>
        <v>-869.8869039429037</v>
      </c>
      <c r="E1239">
        <f>-646.906946575826 -24.5675647796688 -308.571949636228</f>
        <v>-980.04646099172282</v>
      </c>
      <c r="F1239">
        <f>-651.127818069978 -26.730280097288 -397.542529593972</f>
        <v>-1075.400627761238</v>
      </c>
      <c r="G1239">
        <f>-650.784537531931 -28.695280001298 -486.617061517374</f>
        <v>-1166.0968790506031</v>
      </c>
      <c r="H1239">
        <f>-645.515156464867 -31.3147114989315 -611.060479676892</f>
        <v>-1287.8903476406904</v>
      </c>
      <c r="I1239">
        <f>-613.211504692294 -31.7242324164474 -687.619764283967</f>
        <v>-1332.5555013927085</v>
      </c>
      <c r="J1239">
        <f>-647.113236206998 -2.46778228738026 -556.851470549754</f>
        <v>-1206.4324890441321</v>
      </c>
      <c r="K1239" t="s">
        <v>13695</v>
      </c>
      <c r="L1239" t="s">
        <v>13696</v>
      </c>
      <c r="M1239" t="s">
        <v>13697</v>
      </c>
      <c r="N1239">
        <f>-648.55462738058 -57.8561403006196 -555.746586006216</f>
        <v>-1262.1573536874157</v>
      </c>
      <c r="O1239">
        <f>-652.822672923123 -190.904035176477 -521.435058134662</f>
        <v>-1365.1617662342619</v>
      </c>
      <c r="P1239">
        <f>-635.795692792929 -225.406387194734 -229.697343413124</f>
        <v>-1090.8994234007869</v>
      </c>
      <c r="Q1239">
        <f>-478.151411421969 -111.286576506974 -371.739058099707</f>
        <v>-961.17704602865001</v>
      </c>
      <c r="R1239" t="s">
        <v>13698</v>
      </c>
      <c r="S1239" t="s">
        <v>13699</v>
      </c>
      <c r="T1239" t="s">
        <v>13700</v>
      </c>
      <c r="U1239" t="s">
        <v>13701</v>
      </c>
      <c r="V1239">
        <f>-605.793052070981 -112.994089835826 -96.2668776555892</f>
        <v>-815.05401956239621</v>
      </c>
      <c r="W1239" t="s">
        <v>13702</v>
      </c>
      <c r="X1239" t="s">
        <v>13703</v>
      </c>
      <c r="Y1239" t="s">
        <v>13704</v>
      </c>
    </row>
    <row r="1240" spans="1:25" x14ac:dyDescent="0.3">
      <c r="A1240">
        <v>61950</v>
      </c>
      <c r="B1240" t="s">
        <v>13705</v>
      </c>
      <c r="C1240">
        <f>-612.870130715174 -17.3999086667022 -97.3665168866243</f>
        <v>-727.6365562685005</v>
      </c>
      <c r="D1240">
        <f>-637.643363381154 -21.8355050747766 -210.427753822235</f>
        <v>-869.90662227816563</v>
      </c>
      <c r="E1240">
        <f>-646.980319125873 -24.551270209721 -308.570883234253</f>
        <v>-980.10247256984712</v>
      </c>
      <c r="F1240">
        <f>-651.217992614134 -26.7353774474398 -397.540109502362</f>
        <v>-1075.4934795639358</v>
      </c>
      <c r="G1240">
        <f>-650.889985961554 -28.7265806574637 -486.614078943597</f>
        <v>-1166.2306455626147</v>
      </c>
      <c r="H1240">
        <f>-645.640118328058 -31.3881495262251 -611.057497125359</f>
        <v>-1288.0857649796421</v>
      </c>
      <c r="I1240">
        <f>-613.332802723554 -31.8350693800699 -687.615141497115</f>
        <v>-1332.7830136007387</v>
      </c>
      <c r="J1240">
        <f>-647.227170607544 -2.52297523182506 -556.857871408975</f>
        <v>-1206.6080172483441</v>
      </c>
      <c r="K1240" t="s">
        <v>13706</v>
      </c>
      <c r="L1240" t="s">
        <v>13707</v>
      </c>
      <c r="M1240" t="s">
        <v>13708</v>
      </c>
      <c r="N1240">
        <f>-648.673402883651 -57.9107736161297 -555.734259830929</f>
        <v>-1262.3184363307096</v>
      </c>
      <c r="O1240">
        <f>-652.934182547426 -190.955525359127 -521.401558694031</f>
        <v>-1365.2912666005841</v>
      </c>
      <c r="P1240">
        <f>-635.854740661836 -225.427642275302 -229.66348287406</f>
        <v>-1090.945865811198</v>
      </c>
      <c r="Q1240">
        <f>-478.218873265565 -111.330469452816 -371.732696944126</f>
        <v>-961.28203966250703</v>
      </c>
      <c r="R1240" t="s">
        <v>13709</v>
      </c>
      <c r="S1240" t="s">
        <v>13710</v>
      </c>
      <c r="T1240" t="s">
        <v>13711</v>
      </c>
      <c r="U1240" t="s">
        <v>13712</v>
      </c>
      <c r="V1240">
        <f>-605.795394183981 -112.926417563977 -96.2632551466122</f>
        <v>-814.9850668945702</v>
      </c>
      <c r="W1240" t="s">
        <v>13713</v>
      </c>
      <c r="X1240" t="s">
        <v>13714</v>
      </c>
      <c r="Y1240" t="s">
        <v>13715</v>
      </c>
    </row>
    <row r="1241" spans="1:25" x14ac:dyDescent="0.3">
      <c r="A1241">
        <v>62000</v>
      </c>
      <c r="B1241" t="s">
        <v>13716</v>
      </c>
      <c r="C1241">
        <f>-613.048536982756 -17.2795119073808 -97.3880859457516</f>
        <v>-727.7161348358884</v>
      </c>
      <c r="D1241">
        <f>-637.851765817869 -21.7378123605652 -210.441916879939</f>
        <v>-870.03149505837314</v>
      </c>
      <c r="E1241">
        <f>-647.212930750075 -24.4619815755586 -308.582651208029</f>
        <v>-980.25756353366262</v>
      </c>
      <c r="F1241">
        <f>-651.471519645842 -26.6494553158861 -397.550697912706</f>
        <v>-1075.6716728744341</v>
      </c>
      <c r="G1241">
        <f>-651.16341816253 -28.6401665149881 -486.624716916</f>
        <v>-1166.428301593518</v>
      </c>
      <c r="H1241">
        <f>-645.940321350794 -31.2972373339999 -611.069386545897</f>
        <v>-1288.3069452306909</v>
      </c>
      <c r="I1241">
        <f>-613.63689670924 -31.7720870044918 -687.628412390154</f>
        <v>-1333.0373961038858</v>
      </c>
      <c r="J1241">
        <f>-647.513072790428 -2.43412694743142 -556.868377434386</f>
        <v>-1206.8155771722454</v>
      </c>
      <c r="K1241" t="s">
        <v>13717</v>
      </c>
      <c r="L1241" t="s">
        <v>13718</v>
      </c>
      <c r="M1241" t="s">
        <v>13719</v>
      </c>
      <c r="N1241">
        <f>-648.964371939155 -57.8217533969057 -555.746547903099</f>
        <v>-1262.5326732391595</v>
      </c>
      <c r="O1241">
        <f>-653.244915340532 -190.869269799998 -521.429216593732</f>
        <v>-1365.543401734262</v>
      </c>
      <c r="P1241">
        <f>-636.167645774455 -225.294056594743 -229.685255974197</f>
        <v>-1091.146958343395</v>
      </c>
      <c r="Q1241">
        <f>-478.404647147723 -111.435678768777 -371.804887623159</f>
        <v>-961.64521353965893</v>
      </c>
      <c r="R1241" t="s">
        <v>13720</v>
      </c>
      <c r="S1241" t="s">
        <v>13721</v>
      </c>
      <c r="T1241" t="s">
        <v>13722</v>
      </c>
      <c r="U1241" t="s">
        <v>13723</v>
      </c>
      <c r="V1241">
        <f>-605.962800990184 -112.905808450636 -96.2477065248984</f>
        <v>-815.11631596571829</v>
      </c>
      <c r="W1241" t="s">
        <v>13724</v>
      </c>
      <c r="X1241" t="s">
        <v>13725</v>
      </c>
      <c r="Y1241" t="s">
        <v>13726</v>
      </c>
    </row>
    <row r="1242" spans="1:25" x14ac:dyDescent="0.3">
      <c r="A1242">
        <v>62050</v>
      </c>
      <c r="B1242" t="s">
        <v>13727</v>
      </c>
      <c r="C1242">
        <f>-613.18020768513 -17.1636147274151 -97.4033586225702</f>
        <v>-727.7471810351152</v>
      </c>
      <c r="D1242">
        <f>-637.978521318321 -21.6454563737295 -210.457214247674</f>
        <v>-870.08119193972448</v>
      </c>
      <c r="E1242">
        <f>-647.336818582221 -24.3792048965577 -308.597937108318</f>
        <v>-980.31396058709663</v>
      </c>
      <c r="F1242">
        <f>-651.593306900547 -26.5713638333916 -397.566187198709</f>
        <v>-1075.7308579326475</v>
      </c>
      <c r="G1242">
        <f>-651.283380922758 -28.5628368356747 -486.640006994749</f>
        <v>-1166.4862247531819</v>
      </c>
      <c r="H1242">
        <f>-646.058092971067 -31.2171400708769 -611.084698570179</f>
        <v>-1288.3599316121229</v>
      </c>
      <c r="I1242">
        <f>-613.75133340666 -31.6958017856305 -687.642281710588</f>
        <v>-1333.0894169028784</v>
      </c>
      <c r="J1242">
        <f>-647.626135054181 -2.35543661939482 -556.88272003844</f>
        <v>-1206.8642917120158</v>
      </c>
      <c r="K1242" t="s">
        <v>13728</v>
      </c>
      <c r="L1242" t="s">
        <v>13729</v>
      </c>
      <c r="M1242" t="s">
        <v>13730</v>
      </c>
      <c r="N1242">
        <f>-649.08879783168 -57.742899530775 -555.762818868134</f>
        <v>-1262.5945162305891</v>
      </c>
      <c r="O1242">
        <f>-653.41182642556 -190.797058776037 -521.469254535424</f>
        <v>-1365.678139737021</v>
      </c>
      <c r="P1242">
        <f>-636.313252780872 -225.303367749997 -229.736266312792</f>
        <v>-1091.3528868436608</v>
      </c>
      <c r="Q1242">
        <f>-478.463304979772 -111.563010687281 -371.85385577332</f>
        <v>-961.88017144037292</v>
      </c>
      <c r="R1242" t="s">
        <v>13731</v>
      </c>
      <c r="S1242" t="s">
        <v>13732</v>
      </c>
      <c r="T1242" t="s">
        <v>13733</v>
      </c>
      <c r="U1242" t="s">
        <v>13734</v>
      </c>
      <c r="V1242">
        <f>-606.089703688882 -112.775063944393 -96.2322909774804</f>
        <v>-815.09705861075531</v>
      </c>
      <c r="W1242" t="s">
        <v>13735</v>
      </c>
      <c r="X1242" t="s">
        <v>13736</v>
      </c>
      <c r="Y1242" t="s">
        <v>13737</v>
      </c>
    </row>
    <row r="1243" spans="1:25" x14ac:dyDescent="0.3">
      <c r="A1243">
        <v>62100</v>
      </c>
      <c r="B1243" t="s">
        <v>13738</v>
      </c>
      <c r="C1243">
        <f>-613.440149845002 -16.9481658061857 -97.3721055124881</f>
        <v>-727.7604211636758</v>
      </c>
      <c r="D1243">
        <f>-638.225267694609 -21.4344744359078 -210.428695714664</f>
        <v>-870.08843784518081</v>
      </c>
      <c r="E1243">
        <f>-647.587203326965 -24.1772999972372 -308.568825488832</f>
        <v>-980.3333288130342</v>
      </c>
      <c r="F1243">
        <f>-651.853243511439 -26.3782985544074 -397.536281656377</f>
        <v>-1075.7678237222235</v>
      </c>
      <c r="G1243">
        <f>-651.559137850644 -28.3792457040265 -486.610050453422</f>
        <v>-1166.5484340080925</v>
      </c>
      <c r="H1243">
        <f>-646.362484067193 -31.0469597098349 -611.055613354369</f>
        <v>-1288.4650571313969</v>
      </c>
      <c r="I1243">
        <f>-614.051893448405 -31.5355459063865 -687.611621908904</f>
        <v>-1333.1990612636955</v>
      </c>
      <c r="J1243">
        <f>-647.89897504384 -2.17991249000102 -556.855723017811</f>
        <v>-1206.934610551652</v>
      </c>
      <c r="K1243" t="s">
        <v>13739</v>
      </c>
      <c r="L1243" t="s">
        <v>13740</v>
      </c>
      <c r="M1243" t="s">
        <v>13741</v>
      </c>
      <c r="N1243">
        <f>-649.399631038756 -57.5663044111504 -555.731099343072</f>
        <v>-1262.6970347929782</v>
      </c>
      <c r="O1243">
        <f>-653.850005228001 -190.620697337692 -521.463624824573</f>
        <v>-1365.9343273902659</v>
      </c>
      <c r="P1243">
        <f>-636.873708711187 -225.300073763853 -229.744009404885</f>
        <v>-1091.9177918799251</v>
      </c>
      <c r="Q1243">
        <f>-478.729157182638 -111.85679359258 -371.771416523237</f>
        <v>-962.35736729845496</v>
      </c>
      <c r="R1243" t="s">
        <v>13742</v>
      </c>
      <c r="S1243" t="s">
        <v>13743</v>
      </c>
      <c r="T1243" t="s">
        <v>13744</v>
      </c>
      <c r="U1243" t="s">
        <v>13745</v>
      </c>
      <c r="V1243">
        <f>-606.501475583593 -112.547212151611 -96.1967684284322</f>
        <v>-815.24545616363616</v>
      </c>
      <c r="W1243" t="s">
        <v>13746</v>
      </c>
      <c r="X1243" t="s">
        <v>13747</v>
      </c>
      <c r="Y1243" t="s">
        <v>13748</v>
      </c>
    </row>
    <row r="1244" spans="1:25" x14ac:dyDescent="0.3">
      <c r="A1244">
        <v>62150</v>
      </c>
      <c r="B1244" t="s">
        <v>13749</v>
      </c>
      <c r="C1244">
        <f>-613.574713312656 -16.9541087498928 -97.3438607589754</f>
        <v>-727.87268282152422</v>
      </c>
      <c r="D1244">
        <f>-638.381460340428 -21.4529528076773 -210.395296097748</f>
        <v>-870.22970924585331</v>
      </c>
      <c r="E1244">
        <f>-647.766928629652 -24.2106615109831 -308.532774078285</f>
        <v>-980.51036421892013</v>
      </c>
      <c r="F1244">
        <f>-652.05621925263 -26.4259629233939 -397.498579928961</f>
        <v>-1075.9807621049849</v>
      </c>
      <c r="G1244">
        <f>-651.787452486699 -28.4423104680586 -486.572186994991</f>
        <v>-1166.8019499497486</v>
      </c>
      <c r="H1244">
        <f>-646.628216895345 -31.1318261070028 -611.018842533362</f>
        <v>-1288.7788855357098</v>
      </c>
      <c r="I1244">
        <f>-614.32067919308 -31.6402905857974 -687.575969674908</f>
        <v>-1333.5369394537854</v>
      </c>
      <c r="J1244">
        <f>-648.134302392233 -2.25554984996438 -556.822805745161</f>
        <v>-1207.2126579873584</v>
      </c>
      <c r="K1244" t="s">
        <v>13750</v>
      </c>
      <c r="L1244" t="s">
        <v>13751</v>
      </c>
      <c r="M1244" t="s">
        <v>13752</v>
      </c>
      <c r="N1244">
        <f>-649.662852989144 -57.6409545526701 -555.689289688714</f>
        <v>-1262.9930972305281</v>
      </c>
      <c r="O1244">
        <f>-654.195212748612 -190.688867836662 -521.404569015575</f>
        <v>-1366.2886496008491</v>
      </c>
      <c r="P1244">
        <f>-637.268443242572 -225.371961891235 -229.682521338021</f>
        <v>-1092.3229264718279</v>
      </c>
      <c r="Q1244">
        <f>-479.034992903954 -112.044924629705 -371.703721453809</f>
        <v>-962.78363898746807</v>
      </c>
      <c r="R1244" t="s">
        <v>13753</v>
      </c>
      <c r="S1244" t="s">
        <v>13754</v>
      </c>
      <c r="T1244" t="s">
        <v>13755</v>
      </c>
      <c r="U1244" t="s">
        <v>13756</v>
      </c>
      <c r="V1244">
        <f>-606.711538754108 -112.595886082032 -96.1656365479414</f>
        <v>-815.47306138408135</v>
      </c>
      <c r="W1244" t="s">
        <v>13757</v>
      </c>
      <c r="X1244" t="s">
        <v>13758</v>
      </c>
      <c r="Y1244" t="s">
        <v>13759</v>
      </c>
    </row>
    <row r="1245" spans="1:25" x14ac:dyDescent="0.3">
      <c r="A1245">
        <v>62200</v>
      </c>
      <c r="B1245" t="s">
        <v>13760</v>
      </c>
      <c r="C1245">
        <f>-613.738543419607 -16.7565538497975 -97.3264644235031</f>
        <v>-727.82156169290761</v>
      </c>
      <c r="D1245">
        <f>-638.594318871402 -21.2712965718429 -210.366512698013</f>
        <v>-870.23212814125793</v>
      </c>
      <c r="E1245">
        <f>-648.039858553136 -24.0445821179451 -308.497723754113</f>
        <v>-980.58216442519415</v>
      </c>
      <c r="F1245">
        <f>-652.390883205951 -26.2739177314065 -397.460296771945</f>
        <v>-1076.1250977093025</v>
      </c>
      <c r="G1245">
        <f>-652.190969977635 -28.3037549979235 -486.533734415107</f>
        <v>-1167.0284593906654</v>
      </c>
      <c r="H1245">
        <f>-647.13552998723 -31.0123161124138 -610.984239911064</f>
        <v>-1289.132086010708</v>
      </c>
      <c r="I1245">
        <f>-614.820749617625 -31.5814061635563 -687.537940864477</f>
        <v>-1333.9400966456583</v>
      </c>
      <c r="J1245">
        <f>-648.571599588994 -2.12836143000573 -556.790348374513</f>
        <v>-1207.4903093935127</v>
      </c>
      <c r="K1245" t="s">
        <v>13761</v>
      </c>
      <c r="L1245" t="s">
        <v>13762</v>
      </c>
      <c r="M1245" t="s">
        <v>13763</v>
      </c>
      <c r="N1245">
        <f>-650.148720159443 -57.5122994218658 -555.649061910466</f>
        <v>-1263.3100814917748</v>
      </c>
      <c r="O1245">
        <f>-654.805695977277 -190.550093597289 -521.338363445592</f>
        <v>-1366.694153020158</v>
      </c>
      <c r="P1245">
        <f>-637.930632805832 -225.086132173496 -229.595861998365</f>
        <v>-1092.612626977693</v>
      </c>
      <c r="Q1245">
        <f>-479.586156754723 -112.016814002673 -371.698710773375</f>
        <v>-963.30168153077102</v>
      </c>
      <c r="R1245" t="s">
        <v>13764</v>
      </c>
      <c r="S1245" t="s">
        <v>13765</v>
      </c>
      <c r="T1245" t="s">
        <v>13766</v>
      </c>
      <c r="U1245" t="s">
        <v>13767</v>
      </c>
      <c r="V1245">
        <f>-606.913632904509 -112.330078735715 -96.1238276800814</f>
        <v>-815.36753932030535</v>
      </c>
      <c r="W1245" t="s">
        <v>13768</v>
      </c>
      <c r="X1245" t="s">
        <v>13769</v>
      </c>
      <c r="Y1245" t="s">
        <v>13770</v>
      </c>
    </row>
    <row r="1246" spans="1:25" x14ac:dyDescent="0.3">
      <c r="A1246">
        <v>62250</v>
      </c>
      <c r="B1246" t="s">
        <v>13771</v>
      </c>
      <c r="C1246">
        <f>-613.791886099184 -16.6274348551542 -97.3309292877854</f>
        <v>-727.75025024212357</v>
      </c>
      <c r="D1246">
        <f>-638.663090607464 -21.1542466372428 -210.366967090281</f>
        <v>-870.18430433498781</v>
      </c>
      <c r="E1246">
        <f>-648.14344206258 -23.9398609370571 -308.494583684915</f>
        <v>-980.57788668455214</v>
      </c>
      <c r="F1246">
        <f>-652.53456089031 -26.1807266471383 -397.454863331962</f>
        <v>-1076.1701508694102</v>
      </c>
      <c r="G1246">
        <f>-652.383559632925 -28.2225934736707 -486.52813091886</f>
        <v>-1167.1342840254556</v>
      </c>
      <c r="H1246">
        <f>-647.405380679983 -30.9477363594035 -610.981396620599</f>
        <v>-1289.3345136599855</v>
      </c>
      <c r="I1246">
        <f>-615.093423108565 -31.559905786336 -687.535902174346</f>
        <v>-1334.1892310692469</v>
      </c>
      <c r="J1246">
        <f>-648.797364921677 -2.05697365964943 -556.790067002679</f>
        <v>-1207.6444055840054</v>
      </c>
      <c r="K1246" t="s">
        <v>13772</v>
      </c>
      <c r="L1246" t="s">
        <v>13773</v>
      </c>
      <c r="M1246" t="s">
        <v>13774</v>
      </c>
      <c r="N1246">
        <f>-650.394673055348 -57.4401023291542 -555.641252747563</f>
        <v>-1263.4760281320653</v>
      </c>
      <c r="O1246">
        <f>-655.100724796357 -190.474232473975 -521.328073627213</f>
        <v>-1366.903030897545</v>
      </c>
      <c r="P1246">
        <f>-638.173212357911 -224.99650415309 -229.586885699651</f>
        <v>-1092.7566022106519</v>
      </c>
      <c r="Q1246">
        <f>-479.814675896074 -111.980077233828 -371.716180986533</f>
        <v>-963.51093411643501</v>
      </c>
      <c r="R1246" t="s">
        <v>13775</v>
      </c>
      <c r="S1246" t="s">
        <v>13776</v>
      </c>
      <c r="T1246" t="s">
        <v>13777</v>
      </c>
      <c r="U1246" t="s">
        <v>13778</v>
      </c>
      <c r="V1246">
        <f>-606.986559358932 -112.181528528123 -96.1155590287161</f>
        <v>-815.2836469157711</v>
      </c>
      <c r="W1246" t="s">
        <v>13779</v>
      </c>
      <c r="X1246" t="s">
        <v>13780</v>
      </c>
      <c r="Y1246" t="s">
        <v>13781</v>
      </c>
    </row>
    <row r="1247" spans="1:25" x14ac:dyDescent="0.3">
      <c r="A1247">
        <v>62300</v>
      </c>
      <c r="B1247" t="s">
        <v>13782</v>
      </c>
      <c r="C1247">
        <f>-613.861641866513 -16.5961229947984 -97.3468503268265</f>
        <v>-727.80461518813786</v>
      </c>
      <c r="D1247">
        <f>-638.741573620018 -21.1395622298292 -210.380344547527</f>
        <v>-870.26148039737416</v>
      </c>
      <c r="E1247">
        <f>-648.277532620748 -23.9563445228148 -308.501591762369</f>
        <v>-980.73546890593184</v>
      </c>
      <c r="F1247">
        <f>-652.738755294851 -26.2319464662658 -397.457596369813</f>
        <v>-1076.4282981309298</v>
      </c>
      <c r="G1247">
        <f>-652.677465143476 -28.3149871695655 -486.530022974319</f>
        <v>-1167.5224752873605</v>
      </c>
      <c r="H1247">
        <f>-647.845400203009 -31.104926438104 -610.987475390613</f>
        <v>-1289.9378020317261</v>
      </c>
      <c r="I1247">
        <f>-615.567839202878 -31.79630816282 -687.555828476951</f>
        <v>-1334.9199758426489</v>
      </c>
      <c r="J1247">
        <f>-649.15934648313 -2.18638749722982 -556.809080822307</f>
        <v>-1208.1548148026668</v>
      </c>
      <c r="K1247" t="s">
        <v>13783</v>
      </c>
      <c r="L1247" t="s">
        <v>13784</v>
      </c>
      <c r="M1247" t="s">
        <v>13785</v>
      </c>
      <c r="N1247">
        <f>-650.784197212438 -57.5681406564171 -555.630747348659</f>
        <v>-1263.9830852175141</v>
      </c>
      <c r="O1247">
        <f>-655.537894057647 -190.581853688199 -521.254700331759</f>
        <v>-1367.3744480776049</v>
      </c>
      <c r="P1247">
        <f>-638.439736322952 -225.041297059057 -229.515999524107</f>
        <v>-1092.9970329061159</v>
      </c>
      <c r="Q1247">
        <f>-480.098945024933 -112.083918057307 -371.712021253464</f>
        <v>-963.89488433570409</v>
      </c>
      <c r="R1247" t="s">
        <v>13786</v>
      </c>
      <c r="S1247" t="s">
        <v>13787</v>
      </c>
      <c r="T1247" t="s">
        <v>13788</v>
      </c>
      <c r="U1247" t="s">
        <v>13789</v>
      </c>
      <c r="V1247">
        <f>-607.063220040092 -112.155072534789 -96.1110825404493</f>
        <v>-815.32937511533032</v>
      </c>
      <c r="W1247" t="s">
        <v>13790</v>
      </c>
      <c r="X1247" t="s">
        <v>13791</v>
      </c>
      <c r="Y1247" t="s">
        <v>13792</v>
      </c>
    </row>
    <row r="1248" spans="1:25" x14ac:dyDescent="0.3">
      <c r="A1248">
        <v>62350</v>
      </c>
      <c r="B1248" t="s">
        <v>13793</v>
      </c>
      <c r="C1248">
        <f>-613.919954143665 -16.5346273378436 -97.3632971770859</f>
        <v>-727.81787865859451</v>
      </c>
      <c r="D1248">
        <f>-638.804132871485 -21.0849194430775 -210.395620436174</f>
        <v>-870.28467275073649</v>
      </c>
      <c r="E1248">
        <f>-648.364725730842 -23.9235174799235 -308.513885957395</f>
        <v>-980.80212916816049</v>
      </c>
      <c r="F1248">
        <f>-652.856672735355 -26.2251127664274 -397.467571519887</f>
        <v>-1076.5493570216695</v>
      </c>
      <c r="G1248">
        <f>-652.835023392786 -28.3406158733428 -486.539286671234</f>
        <v>-1167.7149259373628</v>
      </c>
      <c r="H1248">
        <f>-648.067599472205 -31.18214435134 -610.998108209914</f>
        <v>-1290.2478520334589</v>
      </c>
      <c r="I1248">
        <f>-615.820713932806 -31.9051451790012 -687.579034904263</f>
        <v>-1335.3048940160702</v>
      </c>
      <c r="J1248">
        <f>-649.35333701738 -2.24108801477382 -556.831023516792</f>
        <v>-1208.425448548946</v>
      </c>
      <c r="K1248" t="s">
        <v>13794</v>
      </c>
      <c r="L1248" t="s">
        <v>13795</v>
      </c>
      <c r="M1248" t="s">
        <v>13796</v>
      </c>
      <c r="N1248">
        <f>-650.977663952173 -57.6223766619972 -555.62889435959</f>
        <v>-1264.2289349737603</v>
      </c>
      <c r="O1248">
        <f>-655.704385446648 -190.630269051352 -521.212512610174</f>
        <v>-1367.5471671081741</v>
      </c>
      <c r="P1248">
        <f>-638.566629882918 -224.981802873287 -229.463534563506</f>
        <v>-1093.0119673197112</v>
      </c>
      <c r="Q1248">
        <f>-480.253693719183 -112.025182759305 -371.69106462756</f>
        <v>-963.96994110604805</v>
      </c>
      <c r="R1248" t="s">
        <v>13797</v>
      </c>
      <c r="S1248" t="s">
        <v>13798</v>
      </c>
      <c r="T1248" t="s">
        <v>13799</v>
      </c>
      <c r="U1248" t="s">
        <v>13800</v>
      </c>
      <c r="V1248">
        <f>-607.087213549963 -112.120767812858 -96.1124255944476</f>
        <v>-815.32040695726869</v>
      </c>
      <c r="W1248" t="s">
        <v>13801</v>
      </c>
      <c r="X1248" t="s">
        <v>13802</v>
      </c>
      <c r="Y1248" t="s">
        <v>13803</v>
      </c>
    </row>
    <row r="1249" spans="1:25" x14ac:dyDescent="0.3">
      <c r="A1249">
        <v>62400</v>
      </c>
      <c r="B1249" t="s">
        <v>13804</v>
      </c>
      <c r="C1249">
        <f>-614.109887566135 -16.4473411809661 -97.4134673487403</f>
        <v>-727.97069609584128</v>
      </c>
      <c r="D1249">
        <f>-638.968181758836 -21.0382748749489 -210.449795995609</f>
        <v>-870.45625262939393</v>
      </c>
      <c r="E1249">
        <f>-648.562545849809 -23.9254662312032 -308.563373754068</f>
        <v>-981.05138583508028</v>
      </c>
      <c r="F1249">
        <f>-653.108028074564 -26.2762793791806 -397.513009697329</f>
        <v>-1076.8973171510736</v>
      </c>
      <c r="G1249">
        <f>-653.162881072803 -28.445526315561 -486.583427647209</f>
        <v>-1168.1918350355729</v>
      </c>
      <c r="H1249">
        <f>-648.52655469321 -31.3667601407019 -611.045374840874</f>
        <v>-1290.938689674786</v>
      </c>
      <c r="I1249">
        <f>-616.343606212062 -32.132834102297 -687.652828108398</f>
        <v>-1336.1292684227569</v>
      </c>
      <c r="J1249">
        <f>-649.76396078132 -2.39077272114969 -556.895859996079</f>
        <v>-1209.0505934985486</v>
      </c>
      <c r="K1249" t="s">
        <v>13805</v>
      </c>
      <c r="L1249" t="s">
        <v>13806</v>
      </c>
      <c r="M1249" t="s">
        <v>13807</v>
      </c>
      <c r="N1249">
        <f>-651.369629465181 -57.7717054335137 -555.655904428515</f>
        <v>-1264.7972393272098</v>
      </c>
      <c r="O1249">
        <f>-656.001204003309 -190.771010500732 -521.179400601341</f>
        <v>-1367.951615105382</v>
      </c>
      <c r="P1249">
        <f>-638.744168143779 -224.910714312118 -229.412515343594</f>
        <v>-1093.0673977994911</v>
      </c>
      <c r="Q1249">
        <f>-480.525837999261 -111.864707136556 -371.674354310317</f>
        <v>-964.06489944613395</v>
      </c>
      <c r="R1249" t="s">
        <v>13808</v>
      </c>
      <c r="S1249" t="s">
        <v>13809</v>
      </c>
      <c r="T1249" t="s">
        <v>13810</v>
      </c>
      <c r="U1249" t="s">
        <v>13811</v>
      </c>
      <c r="V1249">
        <f>-607.264069720759 -112.049805189845 -96.119524275103</f>
        <v>-815.433399185707</v>
      </c>
      <c r="W1249" t="s">
        <v>13812</v>
      </c>
      <c r="X1249" t="s">
        <v>13813</v>
      </c>
      <c r="Y1249" t="s">
        <v>13814</v>
      </c>
    </row>
    <row r="1250" spans="1:25" x14ac:dyDescent="0.3">
      <c r="A1250">
        <v>62450</v>
      </c>
      <c r="B1250" t="s">
        <v>13815</v>
      </c>
      <c r="C1250">
        <f>-614.244018213801 -16.3512255679723 -97.4304315087023</f>
        <v>-728.02567529047565</v>
      </c>
      <c r="D1250">
        <f>-639.095944595503 -20.9690319340375 -210.467059728394</f>
        <v>-870.53203625793458</v>
      </c>
      <c r="E1250">
        <f>-648.707340577663 -23.8753892487864 -308.578352655408</f>
        <v>-981.16108248185742</v>
      </c>
      <c r="F1250">
        <f>-653.277254460768 -26.2414617101192 -397.526395838956</f>
        <v>-1077.0451120098433</v>
      </c>
      <c r="G1250">
        <f>-653.36558908529 -28.4243634724435 -486.596410143789</f>
        <v>-1168.3863627015226</v>
      </c>
      <c r="H1250">
        <f>-648.785357909906 -31.3623050242727 -611.060143518855</f>
        <v>-1291.2078064530338</v>
      </c>
      <c r="I1250">
        <f>-616.62608930404 -32.1351434925755 -687.677356158272</f>
        <v>-1336.4385889548876</v>
      </c>
      <c r="J1250">
        <f>-650.004969106861 -2.37892361373974 -556.914241141973</f>
        <v>-1209.2981338625736</v>
      </c>
      <c r="K1250" t="s">
        <v>13816</v>
      </c>
      <c r="L1250" t="s">
        <v>13817</v>
      </c>
      <c r="M1250" t="s">
        <v>13818</v>
      </c>
      <c r="N1250">
        <f>-651.596840257712 -57.7601370111681 -555.665475074201</f>
        <v>-1265.0224523430811</v>
      </c>
      <c r="O1250">
        <f>-656.16883801825 -190.760577145537 -521.194812913786</f>
        <v>-1368.124228077573</v>
      </c>
      <c r="P1250">
        <f>-638.82740572934 -224.885880202616 -229.431350411893</f>
        <v>-1093.144636343849</v>
      </c>
      <c r="Q1250">
        <f>-480.703662440491 -111.713782101224 -371.698094045823</f>
        <v>-964.11553858753791</v>
      </c>
      <c r="R1250" t="s">
        <v>13819</v>
      </c>
      <c r="S1250" t="s">
        <v>13820</v>
      </c>
      <c r="T1250" t="s">
        <v>13821</v>
      </c>
      <c r="U1250" t="s">
        <v>13822</v>
      </c>
      <c r="V1250">
        <f>-607.391701993405 -111.896137346516 -96.1134398872582</f>
        <v>-815.4012792271792</v>
      </c>
      <c r="W1250" t="s">
        <v>13823</v>
      </c>
      <c r="X1250" t="s">
        <v>13824</v>
      </c>
      <c r="Y1250" t="s">
        <v>13825</v>
      </c>
    </row>
    <row r="1251" spans="1:25" x14ac:dyDescent="0.3">
      <c r="A1251">
        <v>62500</v>
      </c>
      <c r="B1251" t="s">
        <v>13826</v>
      </c>
      <c r="C1251">
        <f>-614.515629478915 -16.1715481900251 -97.4463422183501</f>
        <v>-728.13351988729016</v>
      </c>
      <c r="D1251">
        <f>-639.351487496006 -20.8298792652506 -210.484741869812</f>
        <v>-870.66610863106871</v>
      </c>
      <c r="E1251">
        <f>-648.97541935205 -23.7555024904373 -308.594393351962</f>
        <v>-981.32531519444933</v>
      </c>
      <c r="F1251">
        <f>-653.567004105785 -26.1327382477468 -397.541040237388</f>
        <v>-1077.2407825909199</v>
      </c>
      <c r="G1251">
        <f>-653.687240210232 -28.3198053584497 -486.610937770498</f>
        <v>-1168.6179833391798</v>
      </c>
      <c r="H1251">
        <f>-649.162393403846 -31.2566392672381 -611.076550534327</f>
        <v>-1291.4955832054111</v>
      </c>
      <c r="I1251">
        <f>-617.020848984095 -32.0162740498247 -687.701530134336</f>
        <v>-1336.7386531682557</v>
      </c>
      <c r="J1251">
        <f>-650.364090417984 -2.27345467452301 -556.930047507063</f>
        <v>-1209.5675925995702</v>
      </c>
      <c r="K1251" t="s">
        <v>13827</v>
      </c>
      <c r="L1251" t="s">
        <v>13828</v>
      </c>
      <c r="M1251" t="s">
        <v>13829</v>
      </c>
      <c r="N1251">
        <f>-651.943061421181 -57.6550173051004 -555.680746227611</f>
        <v>-1265.2788249538926</v>
      </c>
      <c r="O1251">
        <f>-656.452965659885 -190.664134507302 -521.239654884352</f>
        <v>-1368.356755051539</v>
      </c>
      <c r="P1251">
        <f>-638.973751600252 -224.970380046209 -229.505546548485</f>
        <v>-1093.449678194946</v>
      </c>
      <c r="Q1251">
        <f>-480.986407006273 -111.538739495206 -371.717168020098</f>
        <v>-964.24231452157687</v>
      </c>
      <c r="R1251" t="s">
        <v>13830</v>
      </c>
      <c r="S1251" t="s">
        <v>13831</v>
      </c>
      <c r="T1251" t="s">
        <v>13832</v>
      </c>
      <c r="U1251" t="s">
        <v>13833</v>
      </c>
      <c r="V1251">
        <f>-607.662488645288 -111.741604824541 -96.0965097435444</f>
        <v>-815.50060321337344</v>
      </c>
      <c r="W1251" t="s">
        <v>13834</v>
      </c>
      <c r="X1251" t="s">
        <v>13835</v>
      </c>
      <c r="Y1251" t="s">
        <v>13836</v>
      </c>
    </row>
    <row r="1252" spans="1:25" x14ac:dyDescent="0.3">
      <c r="A1252">
        <v>62550</v>
      </c>
      <c r="B1252" t="s">
        <v>13837</v>
      </c>
      <c r="C1252">
        <f>-614.632543109389 -16.0884102453856 -97.4420261955005</f>
        <v>-728.16297955027505</v>
      </c>
      <c r="D1252">
        <f>-639.431626414617 -20.7443392225648 -210.488794903729</f>
        <v>-870.66476054091072</v>
      </c>
      <c r="E1252">
        <f>-649.035012041558 -23.668682043678 -308.600295209987</f>
        <v>-981.30398929522312</v>
      </c>
      <c r="F1252">
        <f>-653.612609643372 -26.0446100717957 -397.547707128056</f>
        <v>-1077.2049268432238</v>
      </c>
      <c r="G1252">
        <f>-653.723533313667 -28.2302629547607 -486.617598041648</f>
        <v>-1168.5713943100757</v>
      </c>
      <c r="H1252">
        <f>-649.19056226041 -31.1641917336067 -611.083076882805</f>
        <v>-1291.4378308768219</v>
      </c>
      <c r="I1252">
        <f>-617.045609399302 -31.9143298596314 -687.706696880327</f>
        <v>-1336.6666361392604</v>
      </c>
      <c r="J1252">
        <f>-650.389695273105 -2.18250039954569 -556.935771726256</f>
        <v>-1209.5079673989067</v>
      </c>
      <c r="K1252" t="s">
        <v>13838</v>
      </c>
      <c r="L1252" t="s">
        <v>13839</v>
      </c>
      <c r="M1252" t="s">
        <v>13840</v>
      </c>
      <c r="N1252">
        <f>-651.980872929935 -57.563754869894 -555.688128518634</f>
        <v>-1265.2327563184631</v>
      </c>
      <c r="O1252">
        <f>-656.501788735043 -190.574931301537 -521.256987532117</f>
        <v>-1368.3337075686968</v>
      </c>
      <c r="P1252">
        <f>-638.981244871562 -224.945891970658 -229.533006740263</f>
        <v>-1093.4601435824832</v>
      </c>
      <c r="Q1252">
        <f>-481.005976556396 -111.463827737134 -371.71770206705</f>
        <v>-964.18750636057996</v>
      </c>
      <c r="R1252" t="s">
        <v>13841</v>
      </c>
      <c r="S1252" t="s">
        <v>13842</v>
      </c>
      <c r="T1252" t="s">
        <v>13843</v>
      </c>
      <c r="U1252" t="s">
        <v>13844</v>
      </c>
      <c r="V1252">
        <f>-607.839268667156 -111.638332267457 -96.0789250701932</f>
        <v>-815.5565260048063</v>
      </c>
      <c r="W1252" t="s">
        <v>13845</v>
      </c>
      <c r="X1252" t="s">
        <v>13846</v>
      </c>
      <c r="Y1252" t="s">
        <v>13847</v>
      </c>
    </row>
    <row r="1253" spans="1:25" x14ac:dyDescent="0.3">
      <c r="A1253">
        <v>62600</v>
      </c>
      <c r="B1253" t="s">
        <v>13848</v>
      </c>
      <c r="C1253">
        <f>-614.922982672808 -16.0094529748642 -97.4314835962442</f>
        <v>-728.36391924391637</v>
      </c>
      <c r="D1253">
        <f>-639.629279885481 -20.6672512974428 -210.498432026851</f>
        <v>-870.79496320977478</v>
      </c>
      <c r="E1253">
        <f>-649.176876230853 -23.6002135372389 -308.61509240235</f>
        <v>-981.39218217044197</v>
      </c>
      <c r="F1253">
        <f>-653.714045906353 -25.9859776354849 -397.564287758017</f>
        <v>-1077.2643112998549</v>
      </c>
      <c r="G1253">
        <f>-653.794657920918 -28.1837926091271 -486.633963483269</f>
        <v>-1168.612414013314</v>
      </c>
      <c r="H1253">
        <f>-649.229881140723 -31.1370832766092 -611.09788176809</f>
        <v>-1291.4648461854222</v>
      </c>
      <c r="I1253">
        <f>-617.075342298076 -31.8883967307672 -687.717409509498</f>
        <v>-1336.6811485383412</v>
      </c>
      <c r="J1253">
        <f>-650.41549462476 -2.14779861170723 -556.954288916332</f>
        <v>-1209.5175821527992</v>
      </c>
      <c r="K1253" t="s">
        <v>13849</v>
      </c>
      <c r="L1253" t="s">
        <v>13850</v>
      </c>
      <c r="M1253" t="s">
        <v>13851</v>
      </c>
      <c r="N1253">
        <f>-652.061774810776 -57.527266848484 -555.700731917375</f>
        <v>-1265.2897735766351</v>
      </c>
      <c r="O1253">
        <f>-656.677642135551 -190.5366251345 -521.274992336566</f>
        <v>-1368.489259606617</v>
      </c>
      <c r="P1253">
        <f>-639.297036975038 -225.020638302843 -229.55606871897</f>
        <v>-1093.8737439968511</v>
      </c>
      <c r="Q1253">
        <f>-481.197335985117 -111.567124725354 -371.625166236279</f>
        <v>-964.38962694675001</v>
      </c>
      <c r="R1253" t="s">
        <v>13852</v>
      </c>
      <c r="S1253" t="s">
        <v>13853</v>
      </c>
      <c r="T1253" t="s">
        <v>13854</v>
      </c>
      <c r="U1253" t="s">
        <v>13855</v>
      </c>
      <c r="V1253">
        <f>-608.253465030774 -111.575728744666 -96.0503411240891</f>
        <v>-815.87953489952906</v>
      </c>
      <c r="W1253" t="s">
        <v>13856</v>
      </c>
      <c r="X1253" t="s">
        <v>13857</v>
      </c>
      <c r="Y1253" t="s">
        <v>13858</v>
      </c>
    </row>
    <row r="1254" spans="1:25" x14ac:dyDescent="0.3">
      <c r="A1254">
        <v>62650</v>
      </c>
      <c r="B1254" t="s">
        <v>13859</v>
      </c>
      <c r="C1254">
        <f>-615.091764087886 -15.9961097512462 -97.4144877542941</f>
        <v>-728.50236159342626</v>
      </c>
      <c r="D1254">
        <f>-639.770942977715 -20.652974339903 -210.487354897783</f>
        <v>-870.91127221540103</v>
      </c>
      <c r="E1254">
        <f>-649.298249249592 -23.5783104301647 -308.606254422648</f>
        <v>-981.48281410240475</v>
      </c>
      <c r="F1254">
        <f>-653.818231978435 -25.9545325306299 -397.556649817547</f>
        <v>-1077.3294143266119</v>
      </c>
      <c r="G1254">
        <f>-653.882729392068 -28.1399528341665 -486.626580302369</f>
        <v>-1168.6492625286035</v>
      </c>
      <c r="H1254">
        <f>-649.29660320354 -31.0734811051173 -611.090138677102</f>
        <v>-1291.4602229857592</v>
      </c>
      <c r="I1254">
        <f>-617.13939871085 -31.8184660279192 -687.708570063602</f>
        <v>-1336.666434802371</v>
      </c>
      <c r="J1254">
        <f>-650.480635140158 -2.09302102487686 -556.941742776904</f>
        <v>-1209.5153989419389</v>
      </c>
      <c r="K1254" t="s">
        <v>13860</v>
      </c>
      <c r="L1254" t="s">
        <v>13861</v>
      </c>
      <c r="M1254" t="s">
        <v>13862</v>
      </c>
      <c r="N1254">
        <f>-652.14893204077 -57.4720818981785 -555.698056164821</f>
        <v>-1265.3190701037695</v>
      </c>
      <c r="O1254">
        <f>-656.815307170946 -190.489827916786 -521.30101442389</f>
        <v>-1368.6061495116219</v>
      </c>
      <c r="P1254">
        <f>-639.589427095217 -225.010890405907 -229.577123865257</f>
        <v>-1094.1774413663809</v>
      </c>
      <c r="Q1254">
        <f>-481.342966531842 -111.61269311893 -371.526962706148</f>
        <v>-964.48262235692005</v>
      </c>
      <c r="R1254" t="s">
        <v>13863</v>
      </c>
      <c r="S1254" t="s">
        <v>13864</v>
      </c>
      <c r="T1254" t="s">
        <v>13865</v>
      </c>
      <c r="U1254" t="s">
        <v>13866</v>
      </c>
      <c r="V1254">
        <f>-608.516407598372 -111.543791207415 -96.0412609282248</f>
        <v>-816.10145973401177</v>
      </c>
      <c r="W1254" t="s">
        <v>13867</v>
      </c>
      <c r="X1254" t="s">
        <v>13868</v>
      </c>
      <c r="Y1254" t="s">
        <v>13869</v>
      </c>
    </row>
    <row r="1255" spans="1:25" x14ac:dyDescent="0.3">
      <c r="A1255">
        <v>62700</v>
      </c>
      <c r="B1255" t="s">
        <v>13870</v>
      </c>
      <c r="C1255">
        <f>-615.393692566871 -15.9168246576048 -97.4042847936815</f>
        <v>-728.71480201815734</v>
      </c>
      <c r="D1255">
        <f>-640.07401714345 -20.5734166644957 -210.476874196039</f>
        <v>-871.12430800398465</v>
      </c>
      <c r="E1255">
        <f>-649.584422598187 -23.4800724599188 -308.598042116175</f>
        <v>-981.66253717428071</v>
      </c>
      <c r="F1255">
        <f>-654.081463363153 -25.8325843783068 -397.550184521527</f>
        <v>-1077.4642322629868</v>
      </c>
      <c r="G1255">
        <f>-654.115469913641 -27.9880581724424 -486.620811862666</f>
        <v>-1168.7243399487495</v>
      </c>
      <c r="H1255">
        <f>-649.478418293843 -30.8736660345041 -611.08365410641</f>
        <v>-1291.4357384347572</v>
      </c>
      <c r="I1255">
        <f>-617.281853524571 -31.599192930641 -687.685853040418</f>
        <v>-1336.56689949563</v>
      </c>
      <c r="J1255">
        <f>-650.669079551636 -1.91454231071657 -556.924120295231</f>
        <v>-1209.5077421575834</v>
      </c>
      <c r="K1255" t="s">
        <v>13871</v>
      </c>
      <c r="L1255" t="s">
        <v>13872</v>
      </c>
      <c r="M1255" t="s">
        <v>13873</v>
      </c>
      <c r="N1255">
        <f>-652.368829066049 -57.2932293945871 -555.703535645332</f>
        <v>-1265.3655941059681</v>
      </c>
      <c r="O1255">
        <f>-657.109095564352 -190.327086860184 -521.404929002735</f>
        <v>-1368.8411114272708</v>
      </c>
      <c r="P1255">
        <f>-640.091667218842 -225.102900081171 -229.699180516352</f>
        <v>-1094.893747816365</v>
      </c>
      <c r="Q1255">
        <f>-481.579746967926 -111.652068578479 -371.310386342025</f>
        <v>-964.54220188842999</v>
      </c>
      <c r="R1255" t="s">
        <v>13874</v>
      </c>
      <c r="S1255" t="s">
        <v>13875</v>
      </c>
      <c r="T1255" t="s">
        <v>13876</v>
      </c>
      <c r="U1255" t="s">
        <v>13877</v>
      </c>
      <c r="V1255">
        <f>-608.880939336968 -111.49402508961 -96.0371912369114</f>
        <v>-816.41215566348944</v>
      </c>
      <c r="W1255" t="s">
        <v>13878</v>
      </c>
      <c r="X1255" t="s">
        <v>13879</v>
      </c>
      <c r="Y1255" t="s">
        <v>13880</v>
      </c>
    </row>
    <row r="1256" spans="1:25" x14ac:dyDescent="0.3">
      <c r="A1256">
        <v>62750</v>
      </c>
      <c r="B1256" t="s">
        <v>13881</v>
      </c>
      <c r="C1256">
        <f>-615.474094781085 -15.8272428386879 -97.4129479989574</f>
        <v>-728.71428561873029</v>
      </c>
      <c r="D1256">
        <f>-640.151618457151 -20.4764594231813 -210.486426227857</f>
        <v>-871.11450410818929</v>
      </c>
      <c r="E1256">
        <f>-649.657865075524 -23.3688030214835 -308.608455403844</f>
        <v>-981.63512350085148</v>
      </c>
      <c r="F1256">
        <f>-654.150281996666 -25.7054189761459 -397.561269614481</f>
        <v>-1077.4169705872928</v>
      </c>
      <c r="G1256">
        <f>-654.178752310903 -27.8423232711423 -486.63242154674</f>
        <v>-1168.6534971287851</v>
      </c>
      <c r="H1256">
        <f>-649.532907242961 -30.6994013504996 -611.095534443375</f>
        <v>-1291.3278430368355</v>
      </c>
      <c r="I1256">
        <f>-617.307413192509 -31.4098990659236 -687.685671206184</f>
        <v>-1336.4029834646167</v>
      </c>
      <c r="J1256">
        <f>-650.721564651635 -1.75296724842224 -556.929163087397</f>
        <v>-1209.4036949874544</v>
      </c>
      <c r="K1256" t="s">
        <v>13882</v>
      </c>
      <c r="L1256" t="s">
        <v>13883</v>
      </c>
      <c r="M1256" t="s">
        <v>13884</v>
      </c>
      <c r="N1256">
        <f>-652.433067296281 -57.1314016509107 -555.721858212299</f>
        <v>-1265.2863271594906</v>
      </c>
      <c r="O1256">
        <f>-657.198294760718 -190.182541483771 -521.478405166359</f>
        <v>-1368.859241410848</v>
      </c>
      <c r="P1256">
        <f>-640.219837390062 -225.173472618574 -229.796222180691</f>
        <v>-1095.1895321893271</v>
      </c>
      <c r="Q1256">
        <f>-481.633832123559 -111.626707711209 -371.247536283221</f>
        <v>-964.50807611798905</v>
      </c>
      <c r="R1256" t="s">
        <v>13885</v>
      </c>
      <c r="S1256" t="s">
        <v>13886</v>
      </c>
      <c r="T1256" t="s">
        <v>13887</v>
      </c>
      <c r="U1256" t="s">
        <v>13888</v>
      </c>
      <c r="V1256">
        <f>-608.937872851663 -111.39445449765 -96.0440470874985</f>
        <v>-816.37637443681149</v>
      </c>
      <c r="W1256" t="s">
        <v>13889</v>
      </c>
      <c r="X1256" t="s">
        <v>13890</v>
      </c>
      <c r="Y1256" t="s">
        <v>13891</v>
      </c>
    </row>
    <row r="1257" spans="1:25" x14ac:dyDescent="0.3">
      <c r="A1257">
        <v>62800</v>
      </c>
      <c r="B1257" t="s">
        <v>13892</v>
      </c>
      <c r="C1257">
        <f>-615.505148553759 -15.8605274140409 -97.4142881539104</f>
        <v>-728.77996412171035</v>
      </c>
      <c r="D1257">
        <f>-640.18425988641 -20.5066601162475 -210.487725099946</f>
        <v>-871.17864510260358</v>
      </c>
      <c r="E1257">
        <f>-649.685648497775 -23.3735950756943 -308.610788670014</f>
        <v>-981.67003224348332</v>
      </c>
      <c r="F1257">
        <f>-654.171015838659 -25.6787393263962 -397.564739685377</f>
        <v>-1077.4144948504322</v>
      </c>
      <c r="G1257">
        <f>-654.189400418823 -27.7758001595371 -486.636972342715</f>
        <v>-1168.6021729210752</v>
      </c>
      <c r="H1257">
        <f>-649.526263425375 -30.5687337188681 -611.1007891975</f>
        <v>-1291.1957863417431</v>
      </c>
      <c r="I1257">
        <f>-617.272869152955 -31.2436830295844 -687.679573113092</f>
        <v>-1336.1961252956314</v>
      </c>
      <c r="J1257">
        <f>-650.720146702036 -1.65016557917397 -556.919626314973</f>
        <v>-1209.289938596183</v>
      </c>
      <c r="K1257" t="s">
        <v>13893</v>
      </c>
      <c r="L1257" t="s">
        <v>13894</v>
      </c>
      <c r="M1257" t="s">
        <v>13895</v>
      </c>
      <c r="N1257">
        <f>-652.436442540852 -57.0291128032534 -555.741220550508</f>
        <v>-1265.2067758946134</v>
      </c>
      <c r="O1257">
        <f>-657.213071559544 -190.100675211873 -521.570667965848</f>
        <v>-1368.8844147372652</v>
      </c>
      <c r="P1257">
        <f>-640.292367784688 -225.268248720051 -229.906346565621</f>
        <v>-1095.4669630703602</v>
      </c>
      <c r="Q1257">
        <f>-481.684724488469 -111.587534464417 -371.22569912388</f>
        <v>-964.49795807676605</v>
      </c>
      <c r="R1257" t="s">
        <v>13896</v>
      </c>
      <c r="S1257" t="s">
        <v>13897</v>
      </c>
      <c r="T1257" t="s">
        <v>13898</v>
      </c>
      <c r="U1257" t="s">
        <v>13899</v>
      </c>
      <c r="V1257">
        <f>-608.968225806756 -111.506032777566 -96.0427673216733</f>
        <v>-816.5170259059953</v>
      </c>
      <c r="W1257" t="s">
        <v>13900</v>
      </c>
      <c r="X1257" t="s">
        <v>13901</v>
      </c>
      <c r="Y1257" t="s">
        <v>13902</v>
      </c>
    </row>
    <row r="1258" spans="1:25" x14ac:dyDescent="0.3">
      <c r="A1258">
        <v>62850</v>
      </c>
      <c r="B1258" t="s">
        <v>13903</v>
      </c>
      <c r="C1258">
        <f>-615.52883811535 -15.8201918434813 -97.4208595730371</f>
        <v>-728.76988953186844</v>
      </c>
      <c r="D1258">
        <f>-640.202016710935 -20.4570680491897 -210.495768334976</f>
        <v>-871.15485309510075</v>
      </c>
      <c r="E1258">
        <f>-649.68967227241 -23.2952523912429 -308.621235449472</f>
        <v>-981.60616011312493</v>
      </c>
      <c r="F1258">
        <f>-654.158854570707 -25.5660578978882 -397.57695683836</f>
        <v>-1077.3018693069553</v>
      </c>
      <c r="G1258">
        <f>-654.156958451227 -27.6210146906808 -486.649948556909</f>
        <v>-1168.4279216988168</v>
      </c>
      <c r="H1258">
        <f>-649.461317968596 -30.3470276810715 -611.114213400963</f>
        <v>-1290.9225590506303</v>
      </c>
      <c r="I1258">
        <f>-617.176008586661 -30.9780300161528 -687.679790526255</f>
        <v>-1335.8338291290688</v>
      </c>
      <c r="J1258">
        <f>-650.667577146042 -1.45764149872139 -556.917610482195</f>
        <v>-1209.0428291269584</v>
      </c>
      <c r="K1258" t="s">
        <v>13904</v>
      </c>
      <c r="L1258" t="s">
        <v>13905</v>
      </c>
      <c r="M1258" t="s">
        <v>13906</v>
      </c>
      <c r="N1258">
        <f>-652.387680532986 -56.8371574980514 -555.769603077235</f>
        <v>-1264.9944411082724</v>
      </c>
      <c r="O1258">
        <f>-657.173603929392 -189.929980552752 -521.679457175377</f>
        <v>-1368.7830416575212</v>
      </c>
      <c r="P1258">
        <f>-640.314834270984 -225.213840320381 -230.025405484182</f>
        <v>-1095.5540800755471</v>
      </c>
      <c r="Q1258">
        <f>-481.689160699167 -111.429875594776 -371.241611028546</f>
        <v>-964.36064732248906</v>
      </c>
      <c r="R1258" t="s">
        <v>13907</v>
      </c>
      <c r="S1258" t="s">
        <v>13908</v>
      </c>
      <c r="T1258" t="s">
        <v>13909</v>
      </c>
      <c r="U1258" t="s">
        <v>13910</v>
      </c>
      <c r="V1258">
        <f>-608.997885485004 -111.37879014689 -96.0484415566134</f>
        <v>-816.42511718850733</v>
      </c>
      <c r="W1258" t="s">
        <v>13911</v>
      </c>
      <c r="X1258" t="s">
        <v>13912</v>
      </c>
      <c r="Y1258" t="s">
        <v>13913</v>
      </c>
    </row>
    <row r="1259" spans="1:25" x14ac:dyDescent="0.3">
      <c r="A1259">
        <v>62900</v>
      </c>
      <c r="B1259" t="s">
        <v>13914</v>
      </c>
      <c r="C1259">
        <f>-615.499829258763 -15.6802624275947 -97.395660269244</f>
        <v>-728.57575195560173</v>
      </c>
      <c r="D1259">
        <f>-640.163610835038 -20.2832061835875 -210.474108284926</f>
        <v>-870.92092530355148</v>
      </c>
      <c r="E1259">
        <f>-649.592656967269 -23.0238861392102 -308.607791271397</f>
        <v>-981.22433437787618</v>
      </c>
      <c r="F1259">
        <f>-653.987556830836 -25.1793645797306 -397.570145472543</f>
        <v>-1076.7370668831095</v>
      </c>
      <c r="G1259">
        <f>-653.889526541701 -27.0914696015375 -486.646318249585</f>
        <v>-1167.6273143928236</v>
      </c>
      <c r="H1259">
        <f>-649.03630627165 -29.5889500012975 -611.109205828834</f>
        <v>-1289.7344621017814</v>
      </c>
      <c r="I1259">
        <f>-616.659658504966 -29.9930787518563 -687.637817275237</f>
        <v>-1334.2905545320593</v>
      </c>
      <c r="J1259">
        <f>-650.334383948466 -0.798446481370547 -556.862262295834</f>
        <v>-1207.9950927256705</v>
      </c>
      <c r="K1259" t="s">
        <v>13915</v>
      </c>
      <c r="L1259" t="s">
        <v>13916</v>
      </c>
      <c r="M1259" t="s">
        <v>13917</v>
      </c>
      <c r="N1259">
        <f>-652.009509667425 -56.1813586649173 -555.816298707573</f>
        <v>-1264.0071670399152</v>
      </c>
      <c r="O1259">
        <f>-656.730153311231 -189.329300924097 -521.947136527956</f>
        <v>-1368.0065907632838</v>
      </c>
      <c r="P1259">
        <f>-639.850775048615 -225.135754057177 -230.358143606331</f>
        <v>-1095.3446727121229</v>
      </c>
      <c r="Q1259">
        <f>-481.345873885316 -110.972141537834 -371.40321187265</f>
        <v>-963.72122729579996</v>
      </c>
      <c r="R1259" t="s">
        <v>13918</v>
      </c>
      <c r="S1259" t="s">
        <v>13919</v>
      </c>
      <c r="T1259" t="s">
        <v>13920</v>
      </c>
      <c r="U1259" t="s">
        <v>13921</v>
      </c>
      <c r="V1259">
        <f>-608.942581022632 -111.244041169182 -96.0495704827749</f>
        <v>-816.23619267458889</v>
      </c>
      <c r="W1259" t="s">
        <v>13922</v>
      </c>
      <c r="X1259" t="s">
        <v>13923</v>
      </c>
      <c r="Y1259" t="s">
        <v>13924</v>
      </c>
    </row>
    <row r="1260" spans="1:25" x14ac:dyDescent="0.3">
      <c r="A1260">
        <v>62950</v>
      </c>
      <c r="B1260" t="s">
        <v>13925</v>
      </c>
      <c r="C1260">
        <f>-615.433603163547 -15.5901366781832 -97.3807477373996</f>
        <v>-728.40448757912975</v>
      </c>
      <c r="D1260">
        <f>-640.076221722683 -20.1860268647465 -210.464139412815</f>
        <v>-870.72638800024458</v>
      </c>
      <c r="E1260">
        <f>-649.463737908568 -22.9030512432453 -308.602539028927</f>
        <v>-980.96932818074026</v>
      </c>
      <c r="F1260">
        <f>-653.811272850524 -25.0302947532014 -397.56772627948</f>
        <v>-1076.4092938832055</v>
      </c>
      <c r="G1260">
        <f>-653.656142180254 -26.9072112984504 -486.64467623409</f>
        <v>-1167.2080297127945</v>
      </c>
      <c r="H1260">
        <f>-648.712924838546 -29.3481777504689 -611.10524601946</f>
        <v>-1289.1663486084749</v>
      </c>
      <c r="I1260">
        <f>-616.294084024345 -29.6650866036412 -687.616323685256</f>
        <v>-1333.5754943132422</v>
      </c>
      <c r="J1260">
        <f>-650.061220426552 -0.581968436489205 -556.846546723706</f>
        <v>-1207.4897355867472</v>
      </c>
      <c r="K1260" t="s">
        <v>13926</v>
      </c>
      <c r="L1260" t="s">
        <v>13927</v>
      </c>
      <c r="M1260" t="s">
        <v>13928</v>
      </c>
      <c r="N1260">
        <f>-651.71507085094 -55.9660359311812 -555.8259789374</f>
        <v>-1263.5070857195212</v>
      </c>
      <c r="O1260">
        <f>-656.398032818953 -189.125470021222 -522.007214096223</f>
        <v>-1367.530716936398</v>
      </c>
      <c r="P1260">
        <f>-639.507701358506 -225.115474882463 -230.441369402137</f>
        <v>-1095.0645456431059</v>
      </c>
      <c r="Q1260">
        <f>-481.015314485049 -110.844899844525 -371.413836710019</f>
        <v>-963.2740510395929</v>
      </c>
      <c r="R1260" t="s">
        <v>13929</v>
      </c>
      <c r="S1260" t="s">
        <v>13930</v>
      </c>
      <c r="T1260" t="s">
        <v>13931</v>
      </c>
      <c r="U1260" t="s">
        <v>13932</v>
      </c>
      <c r="V1260">
        <f>-608.848228304364 -111.174730600316 -96.0450903848347</f>
        <v>-816.06804928951476</v>
      </c>
      <c r="W1260" t="s">
        <v>13933</v>
      </c>
      <c r="X1260" t="s">
        <v>13934</v>
      </c>
      <c r="Y1260" t="s">
        <v>13935</v>
      </c>
    </row>
    <row r="1261" spans="1:25" x14ac:dyDescent="0.3">
      <c r="A1261">
        <v>63000</v>
      </c>
      <c r="B1261" t="s">
        <v>13936</v>
      </c>
      <c r="C1261">
        <f>-615.309481292531 -15.4877272809576 -97.3784213158165</f>
        <v>-728.17562988930513</v>
      </c>
      <c r="D1261">
        <f>-639.933399074471 -20.0718685856825 -210.466418693659</f>
        <v>-870.47168635381252</v>
      </c>
      <c r="E1261">
        <f>-649.254015525412 -22.7600293830749 -308.611892554349</f>
        <v>-980.62593746283596</v>
      </c>
      <c r="F1261">
        <f>-653.520441745899 -24.8543411250989 -397.581817512303</f>
        <v>-1075.9566003833011</v>
      </c>
      <c r="G1261">
        <f>-653.263403941022 -26.6915269683795 -486.659388471906</f>
        <v>-1166.6143193813077</v>
      </c>
      <c r="H1261">
        <f>-648.155809844356 -29.0699602910554 -611.114521719829</f>
        <v>-1288.3402918552404</v>
      </c>
      <c r="I1261">
        <f>-615.668167871389 -29.2705537407364 -687.59687662223</f>
        <v>-1332.5355982343553</v>
      </c>
      <c r="J1261">
        <f>-649.594073416146 -0.330598876535532 -556.843959346679</f>
        <v>-1206.7686316393606</v>
      </c>
      <c r="K1261" t="s">
        <v>13937</v>
      </c>
      <c r="L1261" t="s">
        <v>13938</v>
      </c>
      <c r="M1261" t="s">
        <v>13939</v>
      </c>
      <c r="N1261">
        <f>-651.212713224261 -55.7162798628531 -555.851828916162</f>
        <v>-1262.7808220032762</v>
      </c>
      <c r="O1261">
        <f>-655.835539678031 -188.894418247273 -522.08895718042</f>
        <v>-1366.818915105724</v>
      </c>
      <c r="P1261">
        <f>-639.073819430729 -225.006914996558 -230.530900839194</f>
        <v>-1094.611635266481</v>
      </c>
      <c r="Q1261">
        <f>-480.540434483717 -110.65628193819 -371.392393549618</f>
        <v>-962.58910997152498</v>
      </c>
      <c r="R1261" t="s">
        <v>13940</v>
      </c>
      <c r="S1261" t="s">
        <v>13941</v>
      </c>
      <c r="T1261" t="s">
        <v>13942</v>
      </c>
      <c r="U1261" t="s">
        <v>13943</v>
      </c>
      <c r="V1261">
        <f>-608.697356302229 -111.059657230936 -96.053599055646</f>
        <v>-815.81061258881095</v>
      </c>
      <c r="W1261" t="s">
        <v>13944</v>
      </c>
      <c r="X1261" t="s">
        <v>13945</v>
      </c>
      <c r="Y1261" t="s">
        <v>13946</v>
      </c>
    </row>
    <row r="1262" spans="1:25" x14ac:dyDescent="0.3">
      <c r="A1262">
        <v>63050</v>
      </c>
      <c r="B1262" t="s">
        <v>13947</v>
      </c>
      <c r="C1262">
        <f>-615.241434032856 -15.3821853816335 -97.3707909071186</f>
        <v>-727.99441032160803</v>
      </c>
      <c r="D1262">
        <f>-639.841084801958 -19.9487301728645 -210.46470868833</f>
        <v>-870.25452366315255</v>
      </c>
      <c r="E1262">
        <f>-649.080456245965 -22.6090640572893 -308.618710194882</f>
        <v>-980.30823049813625</v>
      </c>
      <c r="F1262">
        <f>-653.248819408074 -24.6738292235225 -397.594004827953</f>
        <v>-1075.5166534595496</v>
      </c>
      <c r="G1262">
        <f>-652.869083084819 -26.4772769660012 -486.671677371999</f>
        <v>-1166.0180374228191</v>
      </c>
      <c r="H1262">
        <f>-647.564285497794 -28.8044910828658 -611.119556946661</f>
        <v>-1287.4883335273207</v>
      </c>
      <c r="I1262">
        <f>-614.991371185115 -28.9030560485207 -687.565718441319</f>
        <v>-1331.4601456749547</v>
      </c>
      <c r="J1262">
        <f>-649.103889030069 -0.0869592037681741 -556.840277712846</f>
        <v>-1206.0311259466832</v>
      </c>
      <c r="K1262" t="s">
        <v>13948</v>
      </c>
      <c r="L1262" t="s">
        <v>13949</v>
      </c>
      <c r="M1262" t="s">
        <v>13950</v>
      </c>
      <c r="N1262">
        <f>-650.693450475469 -55.4737858858736 -555.872227622498</f>
        <v>-1262.0394639838405</v>
      </c>
      <c r="O1262">
        <f>-655.263725372064 -188.666440007545 -522.157266647679</f>
        <v>-1366.0874320272878</v>
      </c>
      <c r="P1262">
        <f>-638.657507883554 -224.85555693149 -230.599725781103</f>
        <v>-1094.1127905961471</v>
      </c>
      <c r="Q1262">
        <f>-480.108997088683 -110.41607830738 -371.372157892136</f>
        <v>-961.897233288199</v>
      </c>
      <c r="R1262" t="s">
        <v>13951</v>
      </c>
      <c r="S1262" t="s">
        <v>13952</v>
      </c>
      <c r="T1262" t="s">
        <v>13953</v>
      </c>
      <c r="U1262" t="s">
        <v>13954</v>
      </c>
      <c r="V1262">
        <f>-608.638934246583 -110.939704627561 -96.0604625828807</f>
        <v>-815.63910145702471</v>
      </c>
      <c r="W1262" t="s">
        <v>13955</v>
      </c>
      <c r="X1262" t="s">
        <v>13956</v>
      </c>
      <c r="Y1262" t="s">
        <v>13957</v>
      </c>
    </row>
    <row r="1263" spans="1:25" x14ac:dyDescent="0.3">
      <c r="A1263">
        <v>63100</v>
      </c>
      <c r="B1263" t="s">
        <v>13958</v>
      </c>
      <c r="C1263">
        <f>-615.225977745848 -15.2264668104351 -97.3543005345148</f>
        <v>-727.8067450907979</v>
      </c>
      <c r="D1263">
        <f>-639.797824239466 -19.7842858392144 -210.454595580426</f>
        <v>-870.03670565910636</v>
      </c>
      <c r="E1263">
        <f>-648.975656333098 -22.4290684579412 -308.61479249995</f>
        <v>-980.01951729098914</v>
      </c>
      <c r="F1263">
        <f>-653.072962779433 -24.4769329750254 -397.593837881111</f>
        <v>-1075.1437336355696</v>
      </c>
      <c r="G1263">
        <f>-652.606843402455 -26.2608646765743 -486.671584220418</f>
        <v>-1165.5392922994474</v>
      </c>
      <c r="H1263">
        <f>-647.165423585173 -28.5581240160213 -611.113972672476</f>
        <v>-1286.8375202736704</v>
      </c>
      <c r="I1263">
        <f>-614.524648172783 -28.6011754419919 -687.531360421962</f>
        <v>-1330.6571840367369</v>
      </c>
      <c r="J1263" t="s">
        <v>13959</v>
      </c>
      <c r="K1263" t="s">
        <v>13960</v>
      </c>
      <c r="L1263" t="s">
        <v>13961</v>
      </c>
      <c r="M1263" t="s">
        <v>13962</v>
      </c>
      <c r="N1263">
        <f>-650.348753993369 -55.2409394552619 -555.876272177717</f>
        <v>-1261.465965626348</v>
      </c>
      <c r="O1263">
        <f>-654.899107524728 -188.445766313968 -522.198486670257</f>
        <v>-1365.5433605089529</v>
      </c>
      <c r="P1263">
        <f>-638.388132404199 -224.72031680851 -230.646161938009</f>
        <v>-1093.7546111507181</v>
      </c>
      <c r="Q1263">
        <f>-479.780406902721 -110.231133933376 -371.311302599332</f>
        <v>-961.32284343542892</v>
      </c>
      <c r="R1263" t="s">
        <v>13963</v>
      </c>
      <c r="S1263" t="s">
        <v>13964</v>
      </c>
      <c r="T1263" t="s">
        <v>13965</v>
      </c>
      <c r="U1263" t="s">
        <v>13966</v>
      </c>
      <c r="V1263">
        <f>-608.612392015892 -110.771294275857 -96.0556046287355</f>
        <v>-815.43929092048461</v>
      </c>
      <c r="W1263" t="s">
        <v>13967</v>
      </c>
      <c r="X1263" t="s">
        <v>13968</v>
      </c>
      <c r="Y1263" t="s">
        <v>13969</v>
      </c>
    </row>
    <row r="1264" spans="1:25" x14ac:dyDescent="0.3">
      <c r="A1264">
        <v>63150</v>
      </c>
      <c r="B1264" t="s">
        <v>13970</v>
      </c>
      <c r="C1264">
        <f>-615.18689530122 -15.1054573232573 -97.3309462481905</f>
        <v>-727.62329887266776</v>
      </c>
      <c r="D1264">
        <f>-639.723041924798 -19.6371684605201 -210.439907141652</f>
        <v>-869.8001175269701</v>
      </c>
      <c r="E1264">
        <f>-648.795378443619 -22.2402284105797 -308.611162300823</f>
        <v>-979.64676915502173</v>
      </c>
      <c r="F1264">
        <f>-652.766949608873 -24.2435851858399 -397.596909528257</f>
        <v>-1074.60744432297</v>
      </c>
      <c r="G1264">
        <f>-652.144623796412 -25.9765695712401 -486.674637880414</f>
        <v>-1164.7958312480662</v>
      </c>
      <c r="H1264">
        <f>-646.453056869856 -28.1965428793012 -611.107249561754</f>
        <v>-1285.7568493109111</v>
      </c>
      <c r="I1264">
        <f>-613.677412251118 -28.1413694392672 -687.466869666079</f>
        <v>-1329.2856513564643</v>
      </c>
      <c r="J1264" t="s">
        <v>13971</v>
      </c>
      <c r="K1264" t="s">
        <v>13972</v>
      </c>
      <c r="L1264" t="s">
        <v>13973</v>
      </c>
      <c r="M1264" t="s">
        <v>13974</v>
      </c>
      <c r="N1264">
        <f>-649.740343176653 -54.9138970028836 -555.892319823076</f>
        <v>-1260.5465600026128</v>
      </c>
      <c r="O1264">
        <f>-654.29685153145 -188.138141839615 -522.297050584366</f>
        <v>-1364.732043955431</v>
      </c>
      <c r="P1264">
        <f>-638.001574766782 -224.674393318959 -230.765377386101</f>
        <v>-1093.4413454718419</v>
      </c>
      <c r="Q1264">
        <f>-479.240039523558 -110.132454929907 -371.213955442301</f>
        <v>-960.58644989576601</v>
      </c>
      <c r="R1264" t="s">
        <v>13975</v>
      </c>
      <c r="S1264" t="s">
        <v>13976</v>
      </c>
      <c r="T1264" t="s">
        <v>13977</v>
      </c>
      <c r="U1264" t="s">
        <v>13978</v>
      </c>
      <c r="V1264">
        <f>-608.568716256453 -110.742669452321 -96.0504986936447</f>
        <v>-815.3618844024187</v>
      </c>
      <c r="W1264" t="s">
        <v>13979</v>
      </c>
      <c r="X1264" t="s">
        <v>13980</v>
      </c>
      <c r="Y1264" t="s">
        <v>13981</v>
      </c>
    </row>
    <row r="1265" spans="1:25" x14ac:dyDescent="0.3">
      <c r="A1265">
        <v>63200</v>
      </c>
      <c r="B1265" t="s">
        <v>13982</v>
      </c>
      <c r="C1265">
        <f>-615.142024949068 -14.9686365149125 -97.3205204920057</f>
        <v>-727.43118195598618</v>
      </c>
      <c r="D1265">
        <f>-639.659163873125 -19.4916576675234 -210.434084228669</f>
        <v>-869.5849057693174</v>
      </c>
      <c r="E1265">
        <f>-648.675775598795 -22.0745246358038 -308.610956215665</f>
        <v>-979.36125645026368</v>
      </c>
      <c r="F1265">
        <f>-652.580676873327 -24.0550242916961 -397.599957590593</f>
        <v>-1074.235658755616</v>
      </c>
      <c r="G1265">
        <f>-651.875479671483 -25.7607315926264 -486.677704314795</f>
        <v>-1164.3139155789045</v>
      </c>
      <c r="H1265">
        <f>-646.051268882827 -27.9383449388297 -611.104988697415</f>
        <v>-1285.0946025190717</v>
      </c>
      <c r="I1265">
        <f>-613.203373287962 -27.8323204865703 -687.43343100397</f>
        <v>-1328.4691247785022</v>
      </c>
      <c r="J1265" t="s">
        <v>13983</v>
      </c>
      <c r="K1265" t="s">
        <v>13984</v>
      </c>
      <c r="L1265" t="s">
        <v>13985</v>
      </c>
      <c r="M1265" t="s">
        <v>13986</v>
      </c>
      <c r="N1265">
        <f>-649.39579564426 -54.6744876537567 -555.902628446895</f>
        <v>-1259.9729117449119</v>
      </c>
      <c r="O1265">
        <f>-653.980874823874 -187.90753414499 -522.353307932267</f>
        <v>-1364.241716901131</v>
      </c>
      <c r="P1265">
        <f>-637.81927612856 -224.5995062123 -230.833566461117</f>
        <v>-1093.252348801977</v>
      </c>
      <c r="Q1265">
        <f>-478.962243897507 -110.053191367905 -371.170493606058</f>
        <v>-960.18592887146997</v>
      </c>
      <c r="R1265" t="s">
        <v>13987</v>
      </c>
      <c r="S1265" t="s">
        <v>13988</v>
      </c>
      <c r="T1265" t="s">
        <v>13989</v>
      </c>
      <c r="U1265" t="s">
        <v>13990</v>
      </c>
      <c r="V1265">
        <f>-608.519901996053 -110.540332181425 -96.0495686524365</f>
        <v>-815.10980282991454</v>
      </c>
      <c r="W1265" t="s">
        <v>13991</v>
      </c>
      <c r="X1265" t="s">
        <v>13992</v>
      </c>
      <c r="Y1265" t="s">
        <v>13993</v>
      </c>
    </row>
    <row r="1266" spans="1:25" x14ac:dyDescent="0.3">
      <c r="A1266">
        <v>63250</v>
      </c>
      <c r="B1266" t="s">
        <v>13994</v>
      </c>
      <c r="C1266">
        <f>-615.095420829353 -14.741076479268 -97.3040621439567</f>
        <v>-727.14055945257769</v>
      </c>
      <c r="D1266">
        <f>-639.567787766102 -19.2288174414982 -210.428787545044</f>
        <v>-869.22539275264421</v>
      </c>
      <c r="E1266">
        <f>-648.44974226014 -21.7677539742656 -308.619012460331</f>
        <v>-978.83650869473672</v>
      </c>
      <c r="F1266">
        <f>-652.193899242338 -23.7043068036112 -397.615925290009</f>
        <v>-1073.5141313359582</v>
      </c>
      <c r="G1266">
        <f>-651.288924266506 -25.362787972198 -486.692764233332</f>
        <v>-1163.3444764720361</v>
      </c>
      <c r="H1266">
        <f>-645.144951709741 -27.4718755161516 -611.105892714908</f>
        <v>-1283.7227199408007</v>
      </c>
      <c r="I1266">
        <f>-612.126195310931 -27.264106983861 -687.360439018013</f>
        <v>-1326.7507413128051</v>
      </c>
      <c r="J1266" t="s">
        <v>13995</v>
      </c>
      <c r="K1266" t="s">
        <v>13996</v>
      </c>
      <c r="L1266" t="s">
        <v>13997</v>
      </c>
      <c r="M1266" t="s">
        <v>13998</v>
      </c>
      <c r="N1266">
        <f>-648.632287798602 -54.2384303685529 -555.92700122199</f>
        <v>-1258.797719389145</v>
      </c>
      <c r="O1266">
        <f>-653.295798437538 -187.489735972087 -522.470162219931</f>
        <v>-1363.255696629556</v>
      </c>
      <c r="P1266">
        <f>-637.423759115773 -224.48445897832 -230.972987427845</f>
        <v>-1092.881205521938</v>
      </c>
      <c r="Q1266">
        <f>-478.398643290985 -109.927615724588 -371.110780504985</f>
        <v>-959.43703952055796</v>
      </c>
      <c r="R1266" t="s">
        <v>13999</v>
      </c>
      <c r="S1266" t="s">
        <v>14000</v>
      </c>
      <c r="T1266" t="s">
        <v>14001</v>
      </c>
      <c r="U1266" t="s">
        <v>14002</v>
      </c>
      <c r="V1266">
        <f>-608.472380693569 -110.269682876476 -96.0503832607527</f>
        <v>-814.79244683079776</v>
      </c>
      <c r="W1266" t="s">
        <v>14003</v>
      </c>
      <c r="X1266" t="s">
        <v>14004</v>
      </c>
      <c r="Y1266" t="s">
        <v>14005</v>
      </c>
    </row>
    <row r="1267" spans="1:25" x14ac:dyDescent="0.3">
      <c r="A1267">
        <v>63300</v>
      </c>
      <c r="B1267" t="s">
        <v>14006</v>
      </c>
      <c r="C1267">
        <f>-615.080252036487 -14.5125282863646 -97.2715622987741</f>
        <v>-726.86434262162572</v>
      </c>
      <c r="D1267">
        <f>-639.487320993986 -18.9533993688244 -210.412176048582</f>
        <v>-868.85289641139252</v>
      </c>
      <c r="E1267">
        <f>-648.222800941115 -21.4615860936165 -308.616333774883</f>
        <v>-978.3007208096144</v>
      </c>
      <c r="F1267">
        <f>-651.798306362631 -23.3753367845368 -397.620795989209</f>
        <v>-1072.7944391363767</v>
      </c>
      <c r="G1267">
        <f>-650.688553440984 -25.0173099131894 -486.695541067826</f>
        <v>-1162.4014044219994</v>
      </c>
      <c r="H1267">
        <f>-644.221125602915 -27.1100398465428 -611.092513900058</f>
        <v>-1282.4236793495156</v>
      </c>
      <c r="I1267">
        <f>-611.010802573476 -26.8147135009797 -687.263400358363</f>
        <v>-1325.0889164328187</v>
      </c>
      <c r="J1267" t="s">
        <v>14007</v>
      </c>
      <c r="K1267" t="s">
        <v>14008</v>
      </c>
      <c r="L1267" t="s">
        <v>14009</v>
      </c>
      <c r="M1267" t="s">
        <v>14010</v>
      </c>
      <c r="N1267">
        <f>-647.857727812293 -53.8835461881805 -555.926808513757</f>
        <v>-1257.6680825142305</v>
      </c>
      <c r="O1267">
        <f>-652.574807955637 -187.156402465748 -522.553464915614</f>
        <v>-1362.284675336999</v>
      </c>
      <c r="P1267">
        <f>-637.02324395323 -224.361617946771 -231.065733559924</f>
        <v>-1092.4505954599249</v>
      </c>
      <c r="Q1267">
        <f>-477.887990053484 -109.733840976014 -371.020214711343</f>
        <v>-958.64204574084101</v>
      </c>
      <c r="R1267" t="s">
        <v>14011</v>
      </c>
      <c r="S1267" t="s">
        <v>14012</v>
      </c>
      <c r="T1267" t="s">
        <v>14013</v>
      </c>
      <c r="U1267" t="s">
        <v>14014</v>
      </c>
      <c r="V1267">
        <f>-608.455647733587 -110.033315068603 -96.0531338675453</f>
        <v>-814.54209666973532</v>
      </c>
      <c r="W1267" t="s">
        <v>14015</v>
      </c>
      <c r="X1267" t="s">
        <v>14016</v>
      </c>
      <c r="Y1267" t="s">
        <v>14017</v>
      </c>
    </row>
    <row r="1268" spans="1:25" x14ac:dyDescent="0.3">
      <c r="A1268">
        <v>63350</v>
      </c>
      <c r="B1268" t="s">
        <v>14018</v>
      </c>
      <c r="C1268">
        <f>-615.090129322525 -14.4512468801324 -97.2507816582578</f>
        <v>-726.79215786091515</v>
      </c>
      <c r="D1268">
        <f>-639.458231817434 -18.8729241891758 -210.400617515371</f>
        <v>-868.73177352198081</v>
      </c>
      <c r="E1268">
        <f>-648.124297788785 -21.3620516144824 -308.611331452428</f>
        <v>-978.09768085569544</v>
      </c>
      <c r="F1268">
        <f>-651.622556077305 -23.2582778486953 -397.619287227253</f>
        <v>-1072.5001211532533</v>
      </c>
      <c r="G1268">
        <f>-650.421107696474 -24.8825198015634 -486.693148526822</f>
        <v>-1161.9967760248594</v>
      </c>
      <c r="H1268">
        <f>-643.810457262908 -26.9511174673153 -611.083008193035</f>
        <v>-1281.8445829232583</v>
      </c>
      <c r="I1268">
        <f>-610.511370981844 -26.6081085679186 -687.215030346706</f>
        <v>-1324.3345098964687</v>
      </c>
      <c r="J1268" t="s">
        <v>14019</v>
      </c>
      <c r="K1268" t="s">
        <v>14020</v>
      </c>
      <c r="L1268" t="s">
        <v>14021</v>
      </c>
      <c r="M1268" t="s">
        <v>14022</v>
      </c>
      <c r="N1268">
        <f>-647.514302195223 -53.7353353505102 -555.926909802796</f>
        <v>-1257.1765473485293</v>
      </c>
      <c r="O1268">
        <f>-652.26833387125 -187.020564712841 -522.599623624162</f>
        <v>-1361.8885222082529</v>
      </c>
      <c r="P1268">
        <f>-636.910635412205 -224.349931457768 -231.117482145373</f>
        <v>-1092.3780490153461</v>
      </c>
      <c r="Q1268">
        <f>-477.804645068024 -109.43609338581 -370.87070489287</f>
        <v>-958.11144334670394</v>
      </c>
      <c r="R1268" t="s">
        <v>14023</v>
      </c>
      <c r="S1268" t="s">
        <v>14024</v>
      </c>
      <c r="T1268" t="s">
        <v>14025</v>
      </c>
      <c r="U1268" t="s">
        <v>14026</v>
      </c>
      <c r="V1268">
        <f>-608.481823167005 -109.988415585397 -96.0475728140123</f>
        <v>-814.51781156641425</v>
      </c>
      <c r="W1268" t="s">
        <v>14027</v>
      </c>
      <c r="X1268" t="s">
        <v>14028</v>
      </c>
      <c r="Y1268" t="s">
        <v>14029</v>
      </c>
    </row>
    <row r="1269" spans="1:25" x14ac:dyDescent="0.3">
      <c r="A1269">
        <v>63400</v>
      </c>
      <c r="B1269" t="s">
        <v>14030</v>
      </c>
      <c r="C1269">
        <f>-615.113719420158 -14.4260914617525 -97.2246079647629</f>
        <v>-726.76441884667338</v>
      </c>
      <c r="D1269">
        <f>-639.440674389097 -18.8223988533832 -210.384137276568</f>
        <v>-868.64721051904826</v>
      </c>
      <c r="E1269">
        <f>-648.035440437261 -21.2822603175946 -308.602089034673</f>
        <v>-977.91978978952852</v>
      </c>
      <c r="F1269">
        <f>-651.454460601797 -23.1495216287724 -397.613642864874</f>
        <v>-1072.2176250954435</v>
      </c>
      <c r="G1269">
        <f>-650.159223836354 -24.7423969349411 -486.68678202702</f>
        <v>-1161.5884027983152</v>
      </c>
      <c r="H1269">
        <f>-643.402302410423 -26.7654217289 -611.069425371276</f>
        <v>-1281.237149510599</v>
      </c>
      <c r="I1269">
        <f>-610.018911716175 -26.3655289382907 -687.164240397462</f>
        <v>-1323.5486810519278</v>
      </c>
      <c r="J1269" t="s">
        <v>14031</v>
      </c>
      <c r="K1269" t="s">
        <v>14032</v>
      </c>
      <c r="L1269" t="s">
        <v>14033</v>
      </c>
      <c r="M1269" t="s">
        <v>14034</v>
      </c>
      <c r="N1269">
        <f>-647.171415897057 -53.5697882774778 -555.92765982478</f>
        <v>-1256.6688639993149</v>
      </c>
      <c r="O1269">
        <f>-651.954585031003 -186.871993326158 -522.663452749075</f>
        <v>-1361.4900311062361</v>
      </c>
      <c r="P1269">
        <f>-636.837638588956 -224.335419960166 -231.185876194248</f>
        <v>-1092.3589347433701</v>
      </c>
      <c r="Q1269">
        <f>-477.712095847963 -108.804805648635 -370.407223065854</f>
        <v>-956.92412456245188</v>
      </c>
      <c r="R1269" t="s">
        <v>14035</v>
      </c>
      <c r="S1269" t="s">
        <v>14036</v>
      </c>
      <c r="T1269" t="s">
        <v>14037</v>
      </c>
      <c r="U1269" t="s">
        <v>14038</v>
      </c>
      <c r="V1269">
        <f>-608.527523687333 -109.994512595399 -96.0373354925027</f>
        <v>-814.55937177523469</v>
      </c>
      <c r="W1269" t="s">
        <v>14039</v>
      </c>
      <c r="X1269" t="s">
        <v>14040</v>
      </c>
      <c r="Y1269" t="s">
        <v>14041</v>
      </c>
    </row>
    <row r="1270" spans="1:25" x14ac:dyDescent="0.3">
      <c r="A1270">
        <v>63450</v>
      </c>
      <c r="B1270" t="s">
        <v>14042</v>
      </c>
      <c r="C1270">
        <f>-615.183378702997 -14.4123592014112 -97.1817006243995</f>
        <v>-726.77743852880758</v>
      </c>
      <c r="D1270">
        <f>-639.42804143876 -18.7508566843387 -210.361155886678</f>
        <v>-868.54005400977678</v>
      </c>
      <c r="E1270">
        <f>-647.872337129263 -21.1397589031549 -308.593795136968</f>
        <v>-977.60589116938581</v>
      </c>
      <c r="F1270">
        <f>-651.122987988458 -22.9354911312887 -397.613222753265</f>
        <v>-1071.6717018730117</v>
      </c>
      <c r="G1270">
        <f>-649.627112214114 -24.4509696922903 -486.684632404396</f>
        <v>-1160.7627143108002</v>
      </c>
      <c r="H1270">
        <f>-642.555971018625 -26.3601420049451 -611.051711278693</f>
        <v>-1279.9678243022631</v>
      </c>
      <c r="I1270">
        <f>-609.004165002204 -25.8540389569798 -687.071676430207</f>
        <v>-1321.9298803893907</v>
      </c>
      <c r="J1270" t="s">
        <v>14043</v>
      </c>
      <c r="K1270" t="s">
        <v>14044</v>
      </c>
      <c r="L1270" t="s">
        <v>14045</v>
      </c>
      <c r="M1270" t="s">
        <v>14046</v>
      </c>
      <c r="N1270">
        <f>-646.483215998371 -53.2144688935424 -555.945108721102</f>
        <v>-1255.6427936130153</v>
      </c>
      <c r="O1270">
        <f>-651.38832548257 -186.546516818187 -522.829371752382</f>
        <v>-1360.7642140531391</v>
      </c>
      <c r="P1270">
        <f>-636.831217804468 -224.436419954637 -231.378391686957</f>
        <v>-1092.6460294460621</v>
      </c>
      <c r="Q1270">
        <f>-477.16632548356 -108.51565193869 -369.654814171036</f>
        <v>-955.33679159328608</v>
      </c>
      <c r="R1270" t="s">
        <v>14047</v>
      </c>
      <c r="S1270" t="s">
        <v>14048</v>
      </c>
      <c r="T1270" t="s">
        <v>14049</v>
      </c>
      <c r="U1270" t="s">
        <v>14050</v>
      </c>
      <c r="V1270">
        <f>-608.633353310124 -109.961172102852 -96.0235162443663</f>
        <v>-814.61804165734236</v>
      </c>
      <c r="W1270" t="s">
        <v>14051</v>
      </c>
      <c r="X1270" t="s">
        <v>14052</v>
      </c>
      <c r="Y1270" t="s">
        <v>14053</v>
      </c>
    </row>
    <row r="1271" spans="1:25" x14ac:dyDescent="0.3">
      <c r="A1271">
        <v>63500</v>
      </c>
      <c r="B1271" t="s">
        <v>14054</v>
      </c>
      <c r="C1271">
        <f>-615.246682685891 -14.5806334710014 -97.1207657019157</f>
        <v>-726.94808185880811</v>
      </c>
      <c r="D1271">
        <f>-639.40901455078 -18.8727888646458 -210.319623947664</f>
        <v>-868.60142736308978</v>
      </c>
      <c r="E1271">
        <f>-647.708672494366 -21.1840117713598 -308.566300030123</f>
        <v>-977.45898429584884</v>
      </c>
      <c r="F1271">
        <f>-650.798027999566 -22.8958591554981 -397.593167157876</f>
        <v>-1071.2870543129402</v>
      </c>
      <c r="G1271">
        <f>-649.110487994879 -24.315326374714 -486.662621576888</f>
        <v>-1160.088435946481</v>
      </c>
      <c r="H1271">
        <f>-641.739727957287 -26.0787521349328 -611.014526574446</f>
        <v>-1278.8330066666658</v>
      </c>
      <c r="I1271">
        <f>-608.04652171174 -25.4872358254986 -686.97138574155</f>
        <v>-1320.5051432787886</v>
      </c>
      <c r="J1271" t="s">
        <v>14055</v>
      </c>
      <c r="K1271" t="s">
        <v>14056</v>
      </c>
      <c r="L1271" t="s">
        <v>14057</v>
      </c>
      <c r="M1271" t="s">
        <v>14058</v>
      </c>
      <c r="N1271">
        <f>-645.835236508669 -52.9964881236548 -555.951201695341</f>
        <v>-1254.7829263276649</v>
      </c>
      <c r="O1271">
        <f>-651.002379964605 -186.362065352693 -523.011083266067</f>
        <v>-1360.3755285833649</v>
      </c>
      <c r="P1271">
        <f>-636.91750699366 -224.737768017612 -231.600652884055</f>
        <v>-1093.255927895327</v>
      </c>
      <c r="Q1271">
        <f>-476.830171162242 -108.896666140159 -369.454682477382</f>
        <v>-955.181519779783</v>
      </c>
      <c r="R1271" t="s">
        <v>14059</v>
      </c>
      <c r="S1271" t="s">
        <v>14060</v>
      </c>
      <c r="T1271" t="s">
        <v>14061</v>
      </c>
      <c r="U1271" t="s">
        <v>14062</v>
      </c>
      <c r="V1271">
        <f>-608.772690954258 -110.163272598912 -96.0068104869607</f>
        <v>-814.94277404013076</v>
      </c>
      <c r="W1271" t="s">
        <v>14063</v>
      </c>
      <c r="X1271" t="s">
        <v>14064</v>
      </c>
      <c r="Y1271" t="s">
        <v>14065</v>
      </c>
    </row>
    <row r="1272" spans="1:25" x14ac:dyDescent="0.3">
      <c r="A1272">
        <v>63550</v>
      </c>
      <c r="B1272" t="s">
        <v>14066</v>
      </c>
      <c r="C1272">
        <f>-615.308200773193 -14.6159080358748 -97.0974729050477</f>
        <v>-727.02158171411543</v>
      </c>
      <c r="D1272">
        <f>-639.426624148049 -18.8708027993218 -210.307083355335</f>
        <v>-868.60451030270588</v>
      </c>
      <c r="E1272">
        <f>-647.649728408647 -21.1332052332868 -308.561413844706</f>
        <v>-977.34434748663989</v>
      </c>
      <c r="F1272">
        <f>-650.654169811239 -22.7939721399853 -397.592128525459</f>
        <v>-1071.0402704766832</v>
      </c>
      <c r="G1272">
        <f>-648.865790894483 -24.1563039554624 -486.660514430601</f>
        <v>-1159.6826092805463</v>
      </c>
      <c r="H1272">
        <f>-641.337617074991 -25.834034805265 -611.004128307233</f>
        <v>-1278.1757801874892</v>
      </c>
      <c r="I1272">
        <f>-607.571590124942 -25.202632959551 -686.92834008123</f>
        <v>-1319.7025631657229</v>
      </c>
      <c r="J1272" t="s">
        <v>14067</v>
      </c>
      <c r="K1272" t="s">
        <v>14068</v>
      </c>
      <c r="L1272" t="s">
        <v>14069</v>
      </c>
      <c r="M1272" t="s">
        <v>14070</v>
      </c>
      <c r="N1272">
        <f>-645.519311143139 -52.789256034338 -555.965589367383</f>
        <v>-1254.27415654486</v>
      </c>
      <c r="O1272">
        <f>-650.789791777024 -186.17032939636 -523.106642053871</f>
        <v>-1360.066763227255</v>
      </c>
      <c r="P1272">
        <f>-636.990491589714 -224.781983173621 -231.713584057398</f>
        <v>-1093.486058820733</v>
      </c>
      <c r="Q1272">
        <f>-476.664106520443 -108.875932650351 -369.234834012753</f>
        <v>-954.77487318354702</v>
      </c>
      <c r="R1272" t="s">
        <v>14071</v>
      </c>
      <c r="S1272" t="s">
        <v>14072</v>
      </c>
      <c r="T1272" t="s">
        <v>14073</v>
      </c>
      <c r="U1272" t="s">
        <v>14074</v>
      </c>
      <c r="V1272">
        <f>-608.909048379267 -110.148770874135 -95.9925642562536</f>
        <v>-815.0503835096556</v>
      </c>
      <c r="W1272" t="s">
        <v>14075</v>
      </c>
      <c r="X1272" t="s">
        <v>14076</v>
      </c>
      <c r="Y1272" t="s">
        <v>14077</v>
      </c>
    </row>
    <row r="1273" spans="1:25" x14ac:dyDescent="0.3">
      <c r="A1273">
        <v>63600</v>
      </c>
      <c r="B1273" t="s">
        <v>14078</v>
      </c>
      <c r="C1273">
        <f>-615.383028943179 -14.646171327528 -97.0449415130381</f>
        <v>-727.07414178374518</v>
      </c>
      <c r="D1273">
        <f>-639.421454598657 -18.8464900772733 -210.273646794909</f>
        <v>-868.54159147083931</v>
      </c>
      <c r="E1273">
        <f>-647.506228297751 -21.0434024264966 -308.540885256015</f>
        <v>-977.09051598026258</v>
      </c>
      <c r="F1273">
        <f>-650.357371557215 -22.6378142350147 -397.577843341427</f>
        <v>-1070.5730291336567</v>
      </c>
      <c r="G1273">
        <f>-648.387472965057 -23.9274995743094 -486.643593512928</f>
        <v>-1158.9585660522944</v>
      </c>
      <c r="H1273">
        <f>-640.576566471135 -25.4971258507117 -610.971013269103</f>
        <v>-1277.0447055909497</v>
      </c>
      <c r="I1273">
        <f>-606.690804054178 -24.7944256307067 -686.841280679985</f>
        <v>-1318.3265103648696</v>
      </c>
      <c r="J1273" t="s">
        <v>14079</v>
      </c>
      <c r="K1273" t="s">
        <v>14080</v>
      </c>
      <c r="L1273" t="s">
        <v>14081</v>
      </c>
      <c r="M1273" t="s">
        <v>14082</v>
      </c>
      <c r="N1273">
        <f>-644.907950064086 -52.4993993067883 -555.967148026807</f>
        <v>-1253.3744973976814</v>
      </c>
      <c r="O1273">
        <f>-650.326794107537 -185.904419557684 -523.24330680776</f>
        <v>-1359.4745204729811</v>
      </c>
      <c r="P1273">
        <f>-637.20029214195 -224.929083617154 -231.874326587745</f>
        <v>-1094.003702346849</v>
      </c>
      <c r="Q1273">
        <f>-476.495778160468 -108.842417705174 -368.800582194159</f>
        <v>-954.13877805980098</v>
      </c>
      <c r="R1273" t="s">
        <v>14083</v>
      </c>
      <c r="S1273" t="s">
        <v>14084</v>
      </c>
      <c r="T1273" t="s">
        <v>14085</v>
      </c>
      <c r="U1273" t="s">
        <v>14086</v>
      </c>
      <c r="V1273">
        <f>-609.072281988393 -110.090056192062 -95.9714328242648</f>
        <v>-815.13377100471973</v>
      </c>
      <c r="W1273" t="s">
        <v>14087</v>
      </c>
      <c r="X1273" t="s">
        <v>14088</v>
      </c>
      <c r="Y1273" t="s">
        <v>14089</v>
      </c>
    </row>
    <row r="1274" spans="1:25" x14ac:dyDescent="0.3">
      <c r="A1274">
        <v>63650</v>
      </c>
      <c r="B1274" t="s">
        <v>14090</v>
      </c>
      <c r="C1274">
        <f>-615.392263143101 -14.7641100695273 -97.0210299957644</f>
        <v>-727.17740320839266</v>
      </c>
      <c r="D1274">
        <f>-639.381758587948 -18.9347283530478 -210.261150389628</f>
        <v>-868.57763733062382</v>
      </c>
      <c r="E1274">
        <f>-647.398180550392 -21.1113309471045 -308.534571927128</f>
        <v>-977.04408342462455</v>
      </c>
      <c r="F1274">
        <f>-650.177016393773 -22.6896872270652 -397.573959839191</f>
        <v>-1070.4406634600291</v>
      </c>
      <c r="G1274">
        <f>-648.124569467061 -23.9653595289512 -486.638049296989</f>
        <v>-1158.7279782930011</v>
      </c>
      <c r="H1274">
        <f>-640.187553522221 -25.5185814498486 -610.957813618371</f>
        <v>-1276.6639485904407</v>
      </c>
      <c r="I1274">
        <f>-606.250758112624 -24.7803437681148 -686.804829390728</f>
        <v>-1317.8359312714667</v>
      </c>
      <c r="J1274" t="s">
        <v>14091</v>
      </c>
      <c r="K1274" t="s">
        <v>14092</v>
      </c>
      <c r="L1274" t="s">
        <v>14093</v>
      </c>
      <c r="M1274" t="s">
        <v>14094</v>
      </c>
      <c r="N1274">
        <f>-644.583934420159 -52.5279179923723 -555.962501087858</f>
        <v>-1253.0743535003894</v>
      </c>
      <c r="O1274">
        <f>-650.089918508161 -185.944225295355 -523.281157372347</f>
        <v>-1359.3153011758629</v>
      </c>
      <c r="P1274">
        <f>-637.225661743888 -225.181320709475 -231.928861750929</f>
        <v>-1094.335844204292</v>
      </c>
      <c r="Q1274">
        <f>-476.323956769043 -109.075316657565 -368.606876801738</f>
        <v>-954.00615022834609</v>
      </c>
      <c r="R1274" t="s">
        <v>14095</v>
      </c>
      <c r="S1274" t="s">
        <v>14096</v>
      </c>
      <c r="T1274" t="s">
        <v>14097</v>
      </c>
      <c r="U1274" t="s">
        <v>14098</v>
      </c>
      <c r="V1274">
        <f>-609.108960221895 -110.231264632405 -95.9632218231286</f>
        <v>-815.30344667742861</v>
      </c>
      <c r="W1274" t="s">
        <v>14099</v>
      </c>
      <c r="X1274" t="s">
        <v>14100</v>
      </c>
      <c r="Y1274" t="s">
        <v>14101</v>
      </c>
    </row>
    <row r="1275" spans="1:25" x14ac:dyDescent="0.3">
      <c r="A1275">
        <v>63700</v>
      </c>
      <c r="B1275" t="s">
        <v>14102</v>
      </c>
      <c r="C1275">
        <f>-615.347017022687 -14.8879698030644 -96.9832995137268</f>
        <v>-727.21828633947825</v>
      </c>
      <c r="D1275">
        <f>-639.245691688339 -19.0195183661399 -210.244041645364</f>
        <v>-868.50925169984293</v>
      </c>
      <c r="E1275">
        <f>-647.123100492372 -21.1596902632721 -308.529563421276</f>
        <v>-976.81235417692005</v>
      </c>
      <c r="F1275">
        <f>-649.751803069576 -22.7044564247524 -397.574039921563</f>
        <v>-1070.0302994158915</v>
      </c>
      <c r="G1275">
        <f>-647.52485719849 -23.9467721693566 -486.634411351493</f>
        <v>-1158.1060407193395</v>
      </c>
      <c r="H1275">
        <f>-639.319059704557 -25.453777101827 -610.937327245717</f>
        <v>-1275.7101640521009</v>
      </c>
      <c r="I1275">
        <f>-605.29777704678 -24.614770897457 -686.74540343335</f>
        <v>-1316.6579513775869</v>
      </c>
      <c r="J1275" t="s">
        <v>14103</v>
      </c>
      <c r="K1275" t="s">
        <v>14104</v>
      </c>
      <c r="L1275" t="s">
        <v>14105</v>
      </c>
      <c r="M1275" t="s">
        <v>14106</v>
      </c>
      <c r="N1275">
        <f>-643.841079167873 -52.4833820113731 -555.962176934226</f>
        <v>-1252.2866381134722</v>
      </c>
      <c r="O1275">
        <f>-649.495127841043 -185.91479516736 -523.362650236426</f>
        <v>-1358.7725732448289</v>
      </c>
      <c r="P1275">
        <f>-637.205322148298 -225.524514919684 -232.035922446954</f>
        <v>-1094.765759514936</v>
      </c>
      <c r="Q1275">
        <f>-475.89135831703 -109.57045050264 -368.356501830647</f>
        <v>-953.81831065031702</v>
      </c>
      <c r="R1275" t="s">
        <v>14107</v>
      </c>
      <c r="S1275" t="s">
        <v>14108</v>
      </c>
      <c r="T1275" t="s">
        <v>14109</v>
      </c>
      <c r="U1275" t="s">
        <v>14110</v>
      </c>
      <c r="V1275">
        <f>-609.075837250346 -110.353515476349 -95.9555912039137</f>
        <v>-815.38494393060876</v>
      </c>
      <c r="W1275" t="s">
        <v>14111</v>
      </c>
      <c r="X1275" t="s">
        <v>14112</v>
      </c>
      <c r="Y1275" t="s">
        <v>14113</v>
      </c>
    </row>
    <row r="1276" spans="1:25" x14ac:dyDescent="0.3">
      <c r="A1276">
        <v>63750</v>
      </c>
      <c r="B1276" t="s">
        <v>14114</v>
      </c>
      <c r="C1276">
        <f>-615.268840324937 -14.9630900303507 -96.9694134306045</f>
        <v>-727.20134378589216</v>
      </c>
      <c r="D1276">
        <f>-639.110537021215 -19.0859956354991 -210.242498543636</f>
        <v>-868.43903120035009</v>
      </c>
      <c r="E1276">
        <f>-646.918309814173 -21.2094163108522 -308.533917037702</f>
        <v>-976.66164316272716</v>
      </c>
      <c r="F1276">
        <f>-649.475646362138 -22.7360367012545 -397.580963678843</f>
        <v>-1069.7926467422355</v>
      </c>
      <c r="G1276">
        <f>-647.169002347498 -23.9573205398251 -486.639501786085</f>
        <v>-1157.7658246734081</v>
      </c>
      <c r="H1276">
        <f>-638.843079383509 -25.432056200654 -610.934818266847</f>
        <v>-1275.2099538510099</v>
      </c>
      <c r="I1276">
        <f>-604.788972386167 -24.5314774833057 -686.727461727703</f>
        <v>-1316.0479115971757</v>
      </c>
      <c r="J1276" t="s">
        <v>14115</v>
      </c>
      <c r="K1276" t="s">
        <v>14116</v>
      </c>
      <c r="L1276" t="s">
        <v>14117</v>
      </c>
      <c r="M1276" t="s">
        <v>14118</v>
      </c>
      <c r="N1276">
        <f>-643.417196494844 -52.4758721471819 -555.970940539068</f>
        <v>-1251.8640091810939</v>
      </c>
      <c r="O1276">
        <f>-649.123058164776 -185.911433971905 -523.404934624628</f>
        <v>-1358.4394267613091</v>
      </c>
      <c r="P1276">
        <f>-637.044909721975 -225.654902698839 -232.087705789612</f>
        <v>-1094.787518210426</v>
      </c>
      <c r="Q1276">
        <f>-475.658144578193 -109.728095841931 -368.345285419069</f>
        <v>-953.73152583919295</v>
      </c>
      <c r="R1276" t="s">
        <v>14119</v>
      </c>
      <c r="S1276" t="s">
        <v>14120</v>
      </c>
      <c r="T1276" t="s">
        <v>14121</v>
      </c>
      <c r="U1276" t="s">
        <v>14122</v>
      </c>
      <c r="V1276">
        <f>-608.980919582543 -110.395173083797 -95.9463447889102</f>
        <v>-815.32243745525022</v>
      </c>
      <c r="W1276" t="s">
        <v>14123</v>
      </c>
      <c r="X1276" t="s">
        <v>14124</v>
      </c>
      <c r="Y1276" t="s">
        <v>14125</v>
      </c>
    </row>
    <row r="1277" spans="1:25" x14ac:dyDescent="0.3">
      <c r="A1277">
        <v>63800</v>
      </c>
      <c r="B1277" t="s">
        <v>14126</v>
      </c>
      <c r="C1277">
        <f>-615.229517393023 -15.132184131932 -96.996410623325</f>
        <v>-727.35811214828004</v>
      </c>
      <c r="D1277">
        <f>-638.949156731392 -19.289608038931 -210.293872123903</f>
        <v>-868.53263689422602</v>
      </c>
      <c r="E1277">
        <f>-646.635045787076 -21.4007693958504 -308.595102604808</f>
        <v>-976.63091778773446</v>
      </c>
      <c r="F1277">
        <f>-649.075063402264 -22.8998725466904 -397.645942967624</f>
        <v>-1069.6208789165785</v>
      </c>
      <c r="G1277">
        <f>-646.643880649322 -24.076389647001 -486.701739484404</f>
        <v>-1157.422009780727</v>
      </c>
      <c r="H1277">
        <f>-638.136345263022 -25.4705646924483 -610.985575268175</f>
        <v>-1274.5924852236453</v>
      </c>
      <c r="I1277">
        <f>-604.02984849484 -24.3970190684395 -686.752626941297</f>
        <v>-1315.1794945045765</v>
      </c>
      <c r="J1277" t="s">
        <v>14127</v>
      </c>
      <c r="K1277" t="s">
        <v>14128</v>
      </c>
      <c r="L1277" t="s">
        <v>14129</v>
      </c>
      <c r="M1277" t="s">
        <v>14130</v>
      </c>
      <c r="N1277">
        <f>-642.737864212413 -52.5516390822557 -556.042434005805</f>
        <v>-1251.3319373004738</v>
      </c>
      <c r="O1277">
        <f>-648.294032762232 -185.986464923911 -523.472146576711</f>
        <v>-1357.7526442628541</v>
      </c>
      <c r="P1277">
        <f>-636.498527343671 -225.656275313007 -232.133155366425</f>
        <v>-1094.2879580231029</v>
      </c>
      <c r="Q1277">
        <f>-475.243994191691 -109.743751418362 -368.559507411615</f>
        <v>-953.54725302166798</v>
      </c>
      <c r="R1277" t="s">
        <v>14131</v>
      </c>
      <c r="S1277" t="s">
        <v>14132</v>
      </c>
      <c r="T1277" t="s">
        <v>14133</v>
      </c>
      <c r="U1277" t="s">
        <v>14134</v>
      </c>
      <c r="V1277">
        <f>-608.72169178974 -110.589915750169 -95.9657381255635</f>
        <v>-815.27734566547247</v>
      </c>
      <c r="W1277" t="s">
        <v>14135</v>
      </c>
      <c r="X1277" t="s">
        <v>14136</v>
      </c>
      <c r="Y1277" t="s">
        <v>14137</v>
      </c>
    </row>
    <row r="1278" spans="1:25" x14ac:dyDescent="0.3">
      <c r="A1278">
        <v>63850</v>
      </c>
      <c r="B1278" t="s">
        <v>14138</v>
      </c>
      <c r="C1278">
        <f>-615.295528712327 -15.3975488602773 -97.0299616570335</f>
        <v>-727.72303922963783</v>
      </c>
      <c r="D1278">
        <f>-638.965841865861 -19.6208186242411 -210.335297797709</f>
        <v>-868.92195828781109</v>
      </c>
      <c r="E1278">
        <f>-646.59639035485 -21.7533819560877 -308.640383168963</f>
        <v>-976.99015547990064</v>
      </c>
      <c r="F1278">
        <f>-648.980588080955 -23.2599117525317 -397.692626172819</f>
        <v>-1069.9331260063059</v>
      </c>
      <c r="G1278">
        <f>-646.487556009998 -24.4315537371433 -486.746670892211</f>
        <v>-1157.6657806393523</v>
      </c>
      <c r="H1278">
        <f>-637.887267332525 -25.8065470980755 -611.02456366165</f>
        <v>-1274.7183780922505</v>
      </c>
      <c r="I1278">
        <f>-603.773292724993 -24.6371442945926 -686.78664148248</f>
        <v>-1315.1970785020658</v>
      </c>
      <c r="J1278" t="s">
        <v>14139</v>
      </c>
      <c r="K1278" t="s">
        <v>14140</v>
      </c>
      <c r="L1278" t="s">
        <v>14141</v>
      </c>
      <c r="M1278" t="s">
        <v>14142</v>
      </c>
      <c r="N1278">
        <f>-642.472984946963 -52.8978988480369 -556.085022535349</f>
        <v>-1251.4559063303491</v>
      </c>
      <c r="O1278">
        <f>-647.74897970227 -186.343271572958 -523.532209375943</f>
        <v>-1357.6244606511709</v>
      </c>
      <c r="P1278">
        <f>-636.157479086407 -225.966107581062 -232.178683799222</f>
        <v>-1094.302270466691</v>
      </c>
      <c r="Q1278">
        <f>-475.018810048351 -109.832880395481 -368.554203764563</f>
        <v>-953.40589420839501</v>
      </c>
      <c r="R1278" t="s">
        <v>14143</v>
      </c>
      <c r="S1278" t="s">
        <v>14144</v>
      </c>
      <c r="T1278" t="s">
        <v>14145</v>
      </c>
      <c r="U1278" t="s">
        <v>14146</v>
      </c>
      <c r="V1278">
        <f>-608.527371998647 -110.871898374725 -95.9935627174663</f>
        <v>-815.39283309083828</v>
      </c>
      <c r="W1278" t="s">
        <v>14147</v>
      </c>
      <c r="X1278" t="s">
        <v>14148</v>
      </c>
      <c r="Y1278" t="s">
        <v>14149</v>
      </c>
    </row>
    <row r="1279" spans="1:25" x14ac:dyDescent="0.3">
      <c r="A1279">
        <v>63900</v>
      </c>
      <c r="B1279" t="s">
        <v>14150</v>
      </c>
      <c r="C1279">
        <f>-615.697395407528 -16.1297605335594 -97.106480313872</f>
        <v>-728.93363625495942</v>
      </c>
      <c r="D1279">
        <f>-639.259423443818 -20.5527863809132 -210.42679054056</f>
        <v>-870.23900036529119</v>
      </c>
      <c r="E1279">
        <f>-646.813884697515 -22.7767523561702 -308.735724320662</f>
        <v>-978.32636137434724</v>
      </c>
      <c r="F1279">
        <f>-649.134372671958 -24.3450582755097 -397.788441047383</f>
        <v>-1071.2678719948508</v>
      </c>
      <c r="G1279">
        <f>-646.582242182951 -25.5593974808316 -486.840453949666</f>
        <v>-1158.9820936134486</v>
      </c>
      <c r="H1279">
        <f>-637.903547670919 -26.9775925333236 -611.112334351713</f>
        <v>-1275.9934745559556</v>
      </c>
      <c r="I1279">
        <f>-603.897267897461 -25.6340217811583 -686.919985719697</f>
        <v>-1316.4512753983163</v>
      </c>
      <c r="J1279" t="s">
        <v>14151</v>
      </c>
      <c r="K1279" t="s">
        <v>14152</v>
      </c>
      <c r="L1279" t="s">
        <v>14153</v>
      </c>
      <c r="M1279" t="s">
        <v>14154</v>
      </c>
      <c r="N1279">
        <f>-642.404388696761 -54.0528122509755 -556.157947849695</f>
        <v>-1252.6151487974316</v>
      </c>
      <c r="O1279">
        <f>-646.9660587522 -187.552832044238 -523.67286830926</f>
        <v>-1358.1917591056981</v>
      </c>
      <c r="P1279">
        <f>-635.459439881989 -227.177057402221 -232.316098474473</f>
        <v>-1094.9525957586829</v>
      </c>
      <c r="Q1279">
        <f>-474.773346164751 -110.062420931181 -368.386123667657</f>
        <v>-953.22189076358893</v>
      </c>
      <c r="R1279" t="s">
        <v>14155</v>
      </c>
      <c r="S1279" t="s">
        <v>14156</v>
      </c>
      <c r="T1279" t="s">
        <v>14157</v>
      </c>
      <c r="U1279" t="s">
        <v>14158</v>
      </c>
      <c r="V1279">
        <f>-608.247774171481 -111.529907051298 -96.0476266072448</f>
        <v>-815.82530783002369</v>
      </c>
      <c r="W1279" t="s">
        <v>14159</v>
      </c>
      <c r="X1279" t="s">
        <v>14160</v>
      </c>
      <c r="Y1279" t="s">
        <v>14161</v>
      </c>
    </row>
    <row r="1280" spans="1:25" x14ac:dyDescent="0.3">
      <c r="A1280">
        <v>63950</v>
      </c>
      <c r="B1280" t="s">
        <v>14162</v>
      </c>
      <c r="C1280">
        <f>-615.941298964092 -16.7674309800677 -97.1283308916395</f>
        <v>-729.83706083579921</v>
      </c>
      <c r="D1280">
        <f>-639.385948468533 -21.2699968310646 -210.469861129019</f>
        <v>-871.12580642861667</v>
      </c>
      <c r="E1280">
        <f>-646.855738582178 -23.4977782970932 -308.78520363775</f>
        <v>-979.13872051702117</v>
      </c>
      <c r="F1280">
        <f>-649.105213666747 -25.0479223748475 -397.8401120146</f>
        <v>-1071.9932480561945</v>
      </c>
      <c r="G1280">
        <f>-646.487095056809 -26.2232733940809 -486.890617427916</f>
        <v>-1159.6009858788061</v>
      </c>
      <c r="H1280">
        <f>-637.721057827691 -27.5667528582514 -611.157110556121</f>
        <v>-1276.4449212420634</v>
      </c>
      <c r="I1280">
        <f>-603.828719005385 -26.0792568627635 -687.013166541183</f>
        <v>-1316.9211424093314</v>
      </c>
      <c r="J1280" t="s">
        <v>14163</v>
      </c>
      <c r="K1280" t="s">
        <v>14164</v>
      </c>
      <c r="L1280" t="s">
        <v>14165</v>
      </c>
      <c r="M1280" t="s">
        <v>14166</v>
      </c>
      <c r="N1280">
        <f>-642.194313057523 -54.6765652123605 -556.217505226682</f>
        <v>-1253.0883834965655</v>
      </c>
      <c r="O1280">
        <f>-646.389976754203 -188.213295523319 -523.77730758407</f>
        <v>-1358.3805798615917</v>
      </c>
      <c r="P1280">
        <f>-635.013542360764 -227.805055884468 -232.411038808634</f>
        <v>-1095.2296370538659</v>
      </c>
      <c r="Q1280">
        <f>-474.566549516902 -110.069555293152 -368.227009113586</f>
        <v>-952.86311392363996</v>
      </c>
      <c r="R1280" t="s">
        <v>14167</v>
      </c>
      <c r="S1280" t="s">
        <v>14168</v>
      </c>
      <c r="T1280" t="s">
        <v>14169</v>
      </c>
      <c r="U1280" t="s">
        <v>14170</v>
      </c>
      <c r="V1280">
        <f>-608.177312650287 -112.252336125685 -96.0914661191113</f>
        <v>-816.52111489508331</v>
      </c>
      <c r="W1280" t="s">
        <v>14171</v>
      </c>
      <c r="X1280" t="s">
        <v>14172</v>
      </c>
      <c r="Y1280" t="s">
        <v>14173</v>
      </c>
    </row>
    <row r="1281" spans="1:25" x14ac:dyDescent="0.3">
      <c r="A1281">
        <v>64000</v>
      </c>
      <c r="B1281" t="s">
        <v>14174</v>
      </c>
      <c r="C1281">
        <f>-616.663816700317 -17.6243149315812 -97.198848908825</f>
        <v>-731.48698054072327</v>
      </c>
      <c r="D1281">
        <f>-639.894192486149 -22.2927804478313 -210.577782786418</f>
        <v>-872.76475572039828</v>
      </c>
      <c r="E1281">
        <f>-647.125069262768 -24.424881863672 -308.913095048794</f>
        <v>-980.46304617523401</v>
      </c>
      <c r="F1281">
        <f>-649.133129868693 -25.7992370116881 -397.97669846361</f>
        <v>-1072.9090653439912</v>
      </c>
      <c r="G1281">
        <f>-646.246607517369 -26.7078470568101 -487.022079145698</f>
        <v>-1159.9765337198771</v>
      </c>
      <c r="H1281">
        <f>-637.076062359131 -27.5843767268757 -611.263523059164</f>
        <v>-1275.9239621451707</v>
      </c>
      <c r="I1281">
        <f>-603.552712501135 -25.6554093783463 -687.273366103828</f>
        <v>-1316.4814879833093</v>
      </c>
      <c r="J1281" t="s">
        <v>14175</v>
      </c>
      <c r="K1281" t="s">
        <v>14176</v>
      </c>
      <c r="L1281" t="s">
        <v>14177</v>
      </c>
      <c r="M1281" t="s">
        <v>14178</v>
      </c>
      <c r="N1281">
        <f>-641.531045665927 -54.903987949605 -556.426465237832</f>
        <v>-1252.8614988533641</v>
      </c>
      <c r="O1281">
        <f>-644.848054304023 -188.508435554666 -524.214472142016</f>
        <v>-1357.5709620007051</v>
      </c>
      <c r="P1281">
        <f>-634.417568150955 -228.537125714639 -232.872538074444</f>
        <v>-1095.827231940038</v>
      </c>
      <c r="Q1281">
        <f>-474.346336997571 -109.38905281741 -367.897724178379</f>
        <v>-951.63311399335998</v>
      </c>
      <c r="R1281" t="s">
        <v>14179</v>
      </c>
      <c r="S1281" t="s">
        <v>14180</v>
      </c>
      <c r="T1281" t="s">
        <v>14181</v>
      </c>
      <c r="U1281" t="s">
        <v>14182</v>
      </c>
      <c r="V1281">
        <f>-608.511440393303 -112.876336436906 -96.124731863289</f>
        <v>-817.51250869349803</v>
      </c>
      <c r="W1281" t="s">
        <v>14183</v>
      </c>
      <c r="X1281" t="s">
        <v>14184</v>
      </c>
      <c r="Y1281" t="s">
        <v>14185</v>
      </c>
    </row>
    <row r="1282" spans="1:25" x14ac:dyDescent="0.3">
      <c r="A1282">
        <v>64050</v>
      </c>
      <c r="B1282" t="s">
        <v>14186</v>
      </c>
      <c r="C1282">
        <f>-617.144928935693 -17.8683832683782 -97.2226304292109</f>
        <v>-732.23594263328209</v>
      </c>
      <c r="D1282">
        <f>-640.317079193119 -22.6044809847303 -210.610744843304</f>
        <v>-873.53230502115332</v>
      </c>
      <c r="E1282">
        <f>-647.464859483856 -24.6983648896189 -308.952826024536</f>
        <v>-981.11605039801088</v>
      </c>
      <c r="F1282">
        <f>-649.382926551103 -26.000827431176 -398.01937419538</f>
        <v>-1073.403128177659</v>
      </c>
      <c r="G1282">
        <f>-646.391421236929 -26.7986113093809 -487.062453891539</f>
        <v>-1160.2524864378488</v>
      </c>
      <c r="H1282">
        <f>-637.057918192488 -27.4787155218771 -611.293127614883</f>
        <v>-1275.8297613292482</v>
      </c>
      <c r="I1282">
        <f>-603.788914729077 -25.3107077243124 -687.40804899649</f>
        <v>-1316.5076714498794</v>
      </c>
      <c r="J1282" t="s">
        <v>14187</v>
      </c>
      <c r="K1282" t="s">
        <v>14188</v>
      </c>
      <c r="L1282" t="s">
        <v>14189</v>
      </c>
      <c r="M1282" t="s">
        <v>14190</v>
      </c>
      <c r="N1282">
        <f>-641.461386904692 -54.8865095514169 -556.495914705566</f>
        <v>-1252.8438111616747</v>
      </c>
      <c r="O1282">
        <f>-644.208657551936 -188.532937466194 -524.438670284516</f>
        <v>-1357.1802653026459</v>
      </c>
      <c r="P1282">
        <f>-634.083019962928 -228.825395108454 -233.122408311496</f>
        <v>-1096.030823382878</v>
      </c>
      <c r="Q1282">
        <f>-474.232231029895 -108.956501678138 -367.770296345096</f>
        <v>-950.95902905312892</v>
      </c>
      <c r="R1282" t="s">
        <v>14191</v>
      </c>
      <c r="S1282" t="s">
        <v>14192</v>
      </c>
      <c r="T1282" t="s">
        <v>14193</v>
      </c>
      <c r="U1282" t="s">
        <v>14194</v>
      </c>
      <c r="V1282">
        <f>-608.637893944103 -113.00498453187 -96.1621353452476</f>
        <v>-817.80501382122065</v>
      </c>
      <c r="W1282" t="s">
        <v>14195</v>
      </c>
      <c r="X1282" t="s">
        <v>14196</v>
      </c>
      <c r="Y1282" t="s">
        <v>14197</v>
      </c>
    </row>
    <row r="1283" spans="1:25" x14ac:dyDescent="0.3">
      <c r="A1283">
        <v>64100</v>
      </c>
      <c r="B1283" t="s">
        <v>14198</v>
      </c>
      <c r="C1283">
        <f>-617.78755255079 -18.6953730030493 -97.2250717697514</f>
        <v>-733.70799732359069</v>
      </c>
      <c r="D1283">
        <f>-640.810267800331 -23.6632745292782 -210.633641949108</f>
        <v>-875.10718427871711</v>
      </c>
      <c r="E1283">
        <f>-647.829866910797 -25.7548961963828 -308.985022390012</f>
        <v>-982.56978549719179</v>
      </c>
      <c r="F1283">
        <f>-649.629495310793 -26.9788106142662 -398.055305192592</f>
        <v>-1074.6636111176513</v>
      </c>
      <c r="G1283">
        <f>-646.515620208105 -27.6181976168571 -487.095286943275</f>
        <v>-1161.229104768237</v>
      </c>
      <c r="H1283">
        <f>-637.005743947273 -27.9927854649829 -611.313801688321</f>
        <v>-1276.312331100577</v>
      </c>
      <c r="I1283">
        <f>-604.341454708436 -25.3156246505118 -687.674159215055</f>
        <v>-1317.3312385740028</v>
      </c>
      <c r="J1283">
        <f>-641.142677454641 -0.118956316860249 -556.731222058765</f>
        <v>-1197.9928558302663</v>
      </c>
      <c r="K1283" t="s">
        <v>14199</v>
      </c>
      <c r="L1283" t="s">
        <v>14200</v>
      </c>
      <c r="M1283" t="s">
        <v>14201</v>
      </c>
      <c r="N1283">
        <f>-641.238450943608 -55.5367930725469 -556.571401697547</f>
        <v>-1253.3466457137019</v>
      </c>
      <c r="O1283">
        <f>-642.794532483899 -189.278106253396 -524.809311365448</f>
        <v>-1356.8819501027431</v>
      </c>
      <c r="P1283">
        <f>-632.529977505419 -230.063328404276 -233.566391424976</f>
        <v>-1096.1596973346709</v>
      </c>
      <c r="Q1283">
        <f>-473.532002206339 -108.669406946878 -367.857365119718</f>
        <v>-950.05877427293501</v>
      </c>
      <c r="R1283" t="s">
        <v>14202</v>
      </c>
      <c r="S1283" t="s">
        <v>14203</v>
      </c>
      <c r="T1283" t="s">
        <v>14204</v>
      </c>
      <c r="U1283" t="s">
        <v>14205</v>
      </c>
      <c r="V1283">
        <f>-608.59578549187 -113.862275928555 -96.1990649487293</f>
        <v>-818.65712636915418</v>
      </c>
      <c r="W1283" t="s">
        <v>14206</v>
      </c>
      <c r="X1283" t="s">
        <v>14207</v>
      </c>
      <c r="Y1283" t="s">
        <v>14208</v>
      </c>
    </row>
    <row r="1284" spans="1:25" x14ac:dyDescent="0.3">
      <c r="A1284">
        <v>64150</v>
      </c>
      <c r="B1284" t="s">
        <v>14209</v>
      </c>
      <c r="C1284">
        <f>-617.94049565166 -19.2197838201673 -97.2505442068779</f>
        <v>-734.41082367870513</v>
      </c>
      <c r="D1284">
        <f>-640.90866594218 -24.3023131357345 -210.665186331073</f>
        <v>-875.8761654089875</v>
      </c>
      <c r="E1284">
        <f>-647.87890589933 -26.3873731471074 -309.020162223902</f>
        <v>-983.28644127033931</v>
      </c>
      <c r="F1284">
        <f>-649.631098449908 -27.5660455025215 -398.091985199683</f>
        <v>-1075.2891291521125</v>
      </c>
      <c r="G1284">
        <f>-646.466216699533 -28.1196429112661 -487.130834134918</f>
        <v>-1161.7166937457171</v>
      </c>
      <c r="H1284">
        <f>-636.880866664681 -28.3328257160651 -611.343952620524</f>
        <v>-1276.55764500127</v>
      </c>
      <c r="I1284">
        <f>-604.576125979683 -25.3823861221319 -687.846990256737</f>
        <v>-1317.8055023585518</v>
      </c>
      <c r="J1284">
        <f>-641.15426976408 -0.529941264901709 -556.735690046467</f>
        <v>-1198.4199010754487</v>
      </c>
      <c r="K1284" t="s">
        <v>14210</v>
      </c>
      <c r="L1284" t="s">
        <v>14211</v>
      </c>
      <c r="M1284" t="s">
        <v>14212</v>
      </c>
      <c r="N1284">
        <f>-641.043506788485 -55.9479081389547 -556.632078049676</f>
        <v>-1253.6234929771158</v>
      </c>
      <c r="O1284">
        <f>-642.103583162661 -189.733758260887 -524.991552281881</f>
        <v>-1356.828893705429</v>
      </c>
      <c r="P1284">
        <f>-631.617906622124 -230.72358004277 -233.785208329513</f>
        <v>-1096.126694994407</v>
      </c>
      <c r="Q1284">
        <f>-473.150962079663 -108.685036614964 -368.119547616066</f>
        <v>-949.95554631069285</v>
      </c>
      <c r="R1284" t="s">
        <v>14213</v>
      </c>
      <c r="S1284" t="s">
        <v>14214</v>
      </c>
      <c r="T1284" t="s">
        <v>14215</v>
      </c>
      <c r="U1284" t="s">
        <v>14216</v>
      </c>
      <c r="V1284">
        <f>-608.4438117023 -114.426630156175 -96.2075202479937</f>
        <v>-819.07796210646859</v>
      </c>
      <c r="W1284" t="s">
        <v>14217</v>
      </c>
      <c r="X1284" t="s">
        <v>14218</v>
      </c>
      <c r="Y1284" t="s">
        <v>14219</v>
      </c>
    </row>
    <row r="1285" spans="1:25" x14ac:dyDescent="0.3">
      <c r="A1285">
        <v>64200</v>
      </c>
      <c r="B1285" t="s">
        <v>14220</v>
      </c>
      <c r="C1285">
        <f>-618.24697248395 -20.5719450169888 -97.393274355883</f>
        <v>-736.21219185682185</v>
      </c>
      <c r="D1285">
        <f>-641.138622482599 -25.8611028122173 -210.813732169221</f>
        <v>-877.81345746403724</v>
      </c>
      <c r="E1285">
        <f>-648.014887676943 -27.8800940214744 -309.176903549837</f>
        <v>-985.07188524825438</v>
      </c>
      <c r="F1285">
        <f>-649.667820032916 -28.9018202497384 -398.252483070673</f>
        <v>-1076.8221233533275</v>
      </c>
      <c r="G1285">
        <f>-646.387968280024 -29.196864268647 -487.288465636584</f>
        <v>-1162.873298185255</v>
      </c>
      <c r="H1285">
        <f>-636.624130763898 -28.9400136715799 -611.487528368747</f>
        <v>-1277.0516728042248</v>
      </c>
      <c r="I1285">
        <f>-605.141697235083 -25.3982893393388 -688.307744603749</f>
        <v>-1318.8477311781708</v>
      </c>
      <c r="J1285">
        <f>-641.201720608421 -1.34535735521604 -556.798430889539</f>
        <v>-1199.3455088531759</v>
      </c>
      <c r="K1285" t="s">
        <v>14221</v>
      </c>
      <c r="L1285" t="s">
        <v>14222</v>
      </c>
      <c r="M1285" t="s">
        <v>14223</v>
      </c>
      <c r="N1285">
        <f>-640.639758166031 -56.7605886781702 -556.868876302515</f>
        <v>-1254.2692231467163</v>
      </c>
      <c r="O1285">
        <f>-640.622450418053 -190.595562247223 -525.499996526467</f>
        <v>-1356.718009191743</v>
      </c>
      <c r="P1285">
        <f>-630.371676574463 -231.924448903558 -234.333248321469</f>
        <v>-1096.6293737994899</v>
      </c>
      <c r="Q1285">
        <f>-472.689441189757 -108.957340468372 -368.744086716349</f>
        <v>-950.39086837447803</v>
      </c>
      <c r="R1285" t="s">
        <v>14224</v>
      </c>
      <c r="S1285" t="s">
        <v>14225</v>
      </c>
      <c r="T1285" t="s">
        <v>14226</v>
      </c>
      <c r="U1285" t="s">
        <v>14227</v>
      </c>
      <c r="V1285">
        <f>-608.260714388265 -115.957573968143 -96.2705017159989</f>
        <v>-820.48879007240691</v>
      </c>
      <c r="W1285" t="s">
        <v>14228</v>
      </c>
      <c r="X1285" t="s">
        <v>14229</v>
      </c>
      <c r="Y1285" t="s">
        <v>14230</v>
      </c>
    </row>
    <row r="1286" spans="1:25" x14ac:dyDescent="0.3">
      <c r="A1286">
        <v>64250</v>
      </c>
      <c r="B1286" t="s">
        <v>14231</v>
      </c>
      <c r="C1286">
        <f>-618.533269213153 -21.28717741938 -97.48114905084</f>
        <v>-737.30159568337297</v>
      </c>
      <c r="D1286">
        <f>-641.408751680775 -26.6904121624102 -210.899631290044</f>
        <v>-878.99879513322924</v>
      </c>
      <c r="E1286">
        <f>-648.258166161931 -28.6817477431805 -309.265026941878</f>
        <v>-986.20494084698942</v>
      </c>
      <c r="F1286">
        <f>-649.879895628023 -29.6294702527359 -398.342037189251</f>
        <v>-1077.8514030700098</v>
      </c>
      <c r="G1286">
        <f>-646.561167387278 -29.7997843050389 -487.376924977659</f>
        <v>-1163.7378766699758</v>
      </c>
      <c r="H1286">
        <f>-636.733941585424 -29.3155935464076 -611.570434782468</f>
        <v>-1277.6199699142996</v>
      </c>
      <c r="I1286">
        <f>-605.69055855202 -25.488544544261 -688.555283430552</f>
        <v>-1319.7343865268331</v>
      </c>
      <c r="J1286">
        <f>-641.440708993528 -1.82243319726945 -556.841234684257</f>
        <v>-1200.1043768750544</v>
      </c>
      <c r="K1286" t="s">
        <v>14232</v>
      </c>
      <c r="L1286" t="s">
        <v>14233</v>
      </c>
      <c r="M1286" t="s">
        <v>14234</v>
      </c>
      <c r="N1286">
        <f>-640.676144763042 -57.2350256583153 -556.9967755059</f>
        <v>-1254.9079459272573</v>
      </c>
      <c r="O1286">
        <f>-640.113965563855 -191.128834761204 -525.854794909372</f>
        <v>-1357.0975952344311</v>
      </c>
      <c r="P1286">
        <f>-629.968891667598 -232.609044942172 -234.705950644821</f>
        <v>-1097.283887254591</v>
      </c>
      <c r="Q1286">
        <f>-472.564897776919 -109.124606995393 -368.968557653562</f>
        <v>-950.65806242587405</v>
      </c>
      <c r="R1286" t="s">
        <v>14235</v>
      </c>
      <c r="S1286" t="s">
        <v>14236</v>
      </c>
      <c r="T1286" t="s">
        <v>14237</v>
      </c>
      <c r="U1286" t="s">
        <v>14238</v>
      </c>
      <c r="V1286">
        <f>-608.231176823464 -116.749701813375 -96.3262380250842</f>
        <v>-821.30711666192315</v>
      </c>
      <c r="W1286" t="s">
        <v>14239</v>
      </c>
      <c r="X1286" t="s">
        <v>14240</v>
      </c>
      <c r="Y1286" t="s">
        <v>14241</v>
      </c>
    </row>
    <row r="1287" spans="1:25" x14ac:dyDescent="0.3">
      <c r="A1287">
        <v>64300</v>
      </c>
      <c r="B1287" t="s">
        <v>14242</v>
      </c>
      <c r="C1287">
        <f>-619.515667466649 -22.4232520563751 -97.6817159319265</f>
        <v>-739.62063545495062</v>
      </c>
      <c r="D1287">
        <f>-642.429727756467 -28.1212516541748 -211.077908925318</f>
        <v>-881.6288883359598</v>
      </c>
      <c r="E1287">
        <f>-649.221525311225 -30.0230671005065 -309.449213775702</f>
        <v>-988.69380618743355</v>
      </c>
      <c r="F1287">
        <f>-650.74897741108 -30.7594011181375 -398.529913702445</f>
        <v>-1080.0382922316626</v>
      </c>
      <c r="G1287">
        <f>-647.291076402103 -30.5871591524306 -487.559455544733</f>
        <v>-1165.4376910992667</v>
      </c>
      <c r="H1287">
        <f>-637.220526145759 -29.4885716445779 -611.729426743765</f>
        <v>-1278.4385245341018</v>
      </c>
      <c r="I1287">
        <f>-606.987575674124 -25.0324837412361 -689.002489653432</f>
        <v>-1321.0225490687922</v>
      </c>
      <c r="J1287">
        <f>-642.234457748856 -2.26966304830398 -556.89042952024</f>
        <v>-1201.3945503174</v>
      </c>
      <c r="K1287" t="s">
        <v>14243</v>
      </c>
      <c r="L1287" t="s">
        <v>14244</v>
      </c>
      <c r="M1287" t="s">
        <v>14245</v>
      </c>
      <c r="N1287">
        <f>-641.06967664483 -57.6742432083183 -557.28618565376</f>
        <v>-1256.0301055069083</v>
      </c>
      <c r="O1287">
        <f>-639.503576842144 -191.716704738182 -526.796702429373</f>
        <v>-1358.0169840096989</v>
      </c>
      <c r="P1287">
        <f>-629.588190238814 -234.463022985852 -235.82310740064</f>
        <v>-1099.8743206253062</v>
      </c>
      <c r="Q1287">
        <f>-472.630741463037 -109.641877342887 -369.370389134241</f>
        <v>-951.64300794016503</v>
      </c>
      <c r="R1287" t="s">
        <v>14246</v>
      </c>
      <c r="S1287" t="s">
        <v>14247</v>
      </c>
      <c r="T1287" t="s">
        <v>14248</v>
      </c>
      <c r="U1287" t="s">
        <v>14249</v>
      </c>
      <c r="V1287">
        <f>-608.570450058166 -117.99376322655 -96.4148076228757</f>
        <v>-822.97902090759169</v>
      </c>
      <c r="W1287" t="s">
        <v>14250</v>
      </c>
      <c r="X1287" t="s">
        <v>14251</v>
      </c>
      <c r="Y1287" t="s">
        <v>14252</v>
      </c>
    </row>
    <row r="1288" spans="1:25" x14ac:dyDescent="0.3">
      <c r="A1288">
        <v>64350</v>
      </c>
      <c r="B1288" t="s">
        <v>14253</v>
      </c>
      <c r="C1288">
        <f>-620.01830517795 -23.1244688083593 -97.800127267638</f>
        <v>-740.9429012539473</v>
      </c>
      <c r="D1288">
        <f>-642.9704449056 -28.9728168778317 -211.181056115681</f>
        <v>-883.12431789911273</v>
      </c>
      <c r="E1288">
        <f>-649.752579449938 -30.804880157976 -309.554279238774</f>
        <v>-990.11173884668801</v>
      </c>
      <c r="F1288">
        <f>-651.250898862589 -31.4009794399042 -398.636488225433</f>
        <v>-1081.2883665279262</v>
      </c>
      <c r="G1288">
        <f>-647.74229329682 -31.0108809847566 -487.66334567567</f>
        <v>-1166.4165199572465</v>
      </c>
      <c r="H1288">
        <f>-637.576899333216 -29.5271018925239 -611.821475912766</f>
        <v>-1278.9254771385058</v>
      </c>
      <c r="I1288">
        <f>-607.749702665505 -24.7020451889371 -689.230120816342</f>
        <v>-1321.6818686707841</v>
      </c>
      <c r="J1288">
        <f>-642.746610688024 -2.48109228606472 -556.911723933055</f>
        <v>-1202.1394269071438</v>
      </c>
      <c r="K1288" t="s">
        <v>14254</v>
      </c>
      <c r="L1288" t="s">
        <v>14255</v>
      </c>
      <c r="M1288" t="s">
        <v>14256</v>
      </c>
      <c r="N1288">
        <f>-641.35373130822 -57.8790839188598 -557.459662812775</f>
        <v>-1256.6924780398549</v>
      </c>
      <c r="O1288">
        <f>-639.203909598883 -191.999902529391 -527.372067886603</f>
        <v>-1358.5758800148769</v>
      </c>
      <c r="P1288">
        <f>-629.526640909363 -235.626206077586 -236.521152130548</f>
        <v>-1101.673999117497</v>
      </c>
      <c r="Q1288">
        <f>-472.677778289013 -110.109735583337 -369.543406003743</f>
        <v>-952.33091987609305</v>
      </c>
      <c r="R1288" t="s">
        <v>14257</v>
      </c>
      <c r="S1288" t="s">
        <v>14258</v>
      </c>
      <c r="T1288" t="s">
        <v>14259</v>
      </c>
      <c r="U1288" t="s">
        <v>14260</v>
      </c>
      <c r="V1288">
        <f>-608.704409061542 -118.731591360308 -96.4722655902364</f>
        <v>-823.90826601208641</v>
      </c>
      <c r="W1288" t="s">
        <v>14261</v>
      </c>
      <c r="X1288" t="s">
        <v>14262</v>
      </c>
      <c r="Y1288" t="s">
        <v>14263</v>
      </c>
    </row>
    <row r="1289" spans="1:25" x14ac:dyDescent="0.3">
      <c r="A1289">
        <v>64400</v>
      </c>
      <c r="B1289" t="s">
        <v>14264</v>
      </c>
      <c r="C1289">
        <f>-620.958996037322 -24.6421695211754 -98.0172103149084</f>
        <v>-743.61837587340585</v>
      </c>
      <c r="D1289">
        <f>-643.934679876799 -30.7570683758463 -211.379202170244</f>
        <v>-886.07095042288938</v>
      </c>
      <c r="E1289">
        <f>-650.751564919369 -32.463786427084 -309.752316079907</f>
        <v>-992.96766742635998</v>
      </c>
      <c r="F1289">
        <f>-652.28179495138 -32.8091901280854 -398.835375903435</f>
        <v>-1083.9263609829004</v>
      </c>
      <c r="G1289">
        <f>-648.802886983905 -32.027806856011 -487.860728916897</f>
        <v>-1168.6914227568129</v>
      </c>
      <c r="H1289">
        <f>-638.674100670034 -29.8498371311196 -612.011801021854</f>
        <v>-1280.5357388230077</v>
      </c>
      <c r="I1289">
        <f>-609.564103425092 -24.1984489027641 -689.637194397964</f>
        <v>-1323.39974672582</v>
      </c>
      <c r="J1289">
        <f>-644.069622958111 -3.11799598528341 -556.969928277098</f>
        <v>-1204.1575472204925</v>
      </c>
      <c r="K1289" t="s">
        <v>14265</v>
      </c>
      <c r="L1289" t="s">
        <v>14266</v>
      </c>
      <c r="M1289" t="s">
        <v>14267</v>
      </c>
      <c r="N1289">
        <f>-642.19290433999 -58.4983246673052 -557.788364252403</f>
        <v>-1258.479593259698</v>
      </c>
      <c r="O1289">
        <f>-638.769277433842 -192.75933300115 -528.492171394663</f>
        <v>-1360.0207818296551</v>
      </c>
      <c r="P1289">
        <f>-629.159202211652 -238.20266967127 -237.917230384201</f>
        <v>-1105.2791022671229</v>
      </c>
      <c r="Q1289">
        <f>-472.912574342219 -110.580440333487 -369.63831663274</f>
        <v>-953.13133130844608</v>
      </c>
      <c r="R1289" t="s">
        <v>14268</v>
      </c>
      <c r="S1289" t="s">
        <v>14269</v>
      </c>
      <c r="T1289" t="s">
        <v>14270</v>
      </c>
      <c r="U1289" t="s">
        <v>14271</v>
      </c>
      <c r="V1289">
        <f>-608.98703100022 -120.251077884217 -96.6097285187151</f>
        <v>-825.84783740315208</v>
      </c>
      <c r="W1289" t="s">
        <v>14272</v>
      </c>
      <c r="X1289" t="s">
        <v>14273</v>
      </c>
      <c r="Y1289" t="s">
        <v>14274</v>
      </c>
    </row>
    <row r="1290" spans="1:25" x14ac:dyDescent="0.3">
      <c r="A1290">
        <v>64450</v>
      </c>
      <c r="B1290" t="s">
        <v>14275</v>
      </c>
      <c r="C1290">
        <f>-621.323794280427 -25.2786987526281 -98.0932058955514</f>
        <v>-744.69569892860648</v>
      </c>
      <c r="D1290">
        <f>-644.299448852353 -31.4992199194237 -211.449504680259</f>
        <v>-887.24817345203564</v>
      </c>
      <c r="E1290">
        <f>-651.157653588125 -33.1770194126182 -309.820292388153</f>
        <v>-994.15496538889613</v>
      </c>
      <c r="F1290">
        <f>-652.740123772813 -33.4493730744182 -398.90257703695</f>
        <v>-1085.0920738841812</v>
      </c>
      <c r="G1290">
        <f>-649.327243223743 -32.5463736709887 -487.929324893838</f>
        <v>-1169.8029417885698</v>
      </c>
      <c r="H1290">
        <f>-639.304318611563 -30.1475672717897 -612.085021386897</f>
        <v>-1281.5369072702497</v>
      </c>
      <c r="I1290">
        <f>-610.475701510556 -24.0770410248074 -689.783756879105</f>
        <v>-1324.3364994144683</v>
      </c>
      <c r="J1290">
        <f>-644.747563300624 -3.51704387143445 -556.998687930891</f>
        <v>-1205.2632951029495</v>
      </c>
      <c r="K1290" t="s">
        <v>14276</v>
      </c>
      <c r="L1290" t="s">
        <v>14277</v>
      </c>
      <c r="M1290" t="s">
        <v>14278</v>
      </c>
      <c r="N1290">
        <f>-642.682228891628 -58.8892094138542 -557.901743288094</f>
        <v>-1259.4731815935763</v>
      </c>
      <c r="O1290">
        <f>-638.732008167649 -193.19712309607 -528.876820490378</f>
        <v>-1360.8059517540969</v>
      </c>
      <c r="P1290">
        <f>-628.627708162333 -239.378649439196 -238.435160811446</f>
        <v>-1106.441518412975</v>
      </c>
      <c r="Q1290">
        <f>-472.915210153307 -110.626837772755 -369.688530134986</f>
        <v>-953.23057806104794</v>
      </c>
      <c r="R1290" t="s">
        <v>14279</v>
      </c>
      <c r="S1290" t="s">
        <v>14280</v>
      </c>
      <c r="T1290" t="s">
        <v>14281</v>
      </c>
      <c r="U1290" t="s">
        <v>14282</v>
      </c>
      <c r="V1290">
        <f>-609.114892764764 -120.787472809058 -96.6805031055752</f>
        <v>-826.58286867939728</v>
      </c>
      <c r="W1290" t="s">
        <v>14283</v>
      </c>
      <c r="X1290" t="s">
        <v>14284</v>
      </c>
      <c r="Y1290" t="s">
        <v>14285</v>
      </c>
    </row>
    <row r="1291" spans="1:25" x14ac:dyDescent="0.3">
      <c r="A1291">
        <v>64500</v>
      </c>
      <c r="B1291" t="s">
        <v>14286</v>
      </c>
      <c r="C1291">
        <f>-621.718411965081 -26.5442091062889 -98.1626402768654</f>
        <v>-746.42526134823538</v>
      </c>
      <c r="D1291">
        <f>-644.747424000055 -32.8537163814183 -211.503172880956</f>
        <v>-889.10431326242929</v>
      </c>
      <c r="E1291">
        <f>-651.758961898829 -34.4649059340818 -309.864241966827</f>
        <v>-996.08810979973782</v>
      </c>
      <c r="F1291">
        <f>-653.521640484827 -34.6180448894643 -398.943506524842</f>
        <v>-1087.0831918991332</v>
      </c>
      <c r="G1291">
        <f>-650.329840856727 -33.5328927593921 -487.976506146672</f>
        <v>-1171.8392397627911</v>
      </c>
      <c r="H1291">
        <f>-640.65738814648 -30.8110274816759 -612.153134362644</f>
        <v>-1283.6215499907998</v>
      </c>
      <c r="I1291">
        <f>-612.3270154308 -23.9717471950603 -689.971253943006</f>
        <v>-1326.2700165688661</v>
      </c>
      <c r="J1291">
        <f>-646.10775341926 -4.33026833633335 -556.995452020044</f>
        <v>-1207.4334737756374</v>
      </c>
      <c r="K1291" t="s">
        <v>14287</v>
      </c>
      <c r="L1291" t="s">
        <v>14288</v>
      </c>
      <c r="M1291" t="s">
        <v>14289</v>
      </c>
      <c r="N1291">
        <f>-643.719857134656 -59.6872592953604 -558.022799962574</f>
        <v>-1261.4299163925903</v>
      </c>
      <c r="O1291">
        <f>-638.844518114984 -194.043468790104 -529.315661083398</f>
        <v>-1362.203647988486</v>
      </c>
      <c r="P1291">
        <f>-627.873060767787 -241.041830193344 -239.036599009472</f>
        <v>-1107.951489970603</v>
      </c>
      <c r="Q1291">
        <f>-473.335650388398 -110.316027584732 -369.726389139877</f>
        <v>-953.37806711300698</v>
      </c>
      <c r="R1291" t="s">
        <v>14290</v>
      </c>
      <c r="S1291" t="s">
        <v>14291</v>
      </c>
      <c r="T1291" t="s">
        <v>14292</v>
      </c>
      <c r="U1291" t="s">
        <v>14293</v>
      </c>
      <c r="V1291">
        <f>-609.227000683521 -122.055691078411 -96.7501517514006</f>
        <v>-828.03284351333264</v>
      </c>
      <c r="W1291" t="s">
        <v>14294</v>
      </c>
      <c r="X1291" t="s">
        <v>14295</v>
      </c>
      <c r="Y1291" t="s">
        <v>14296</v>
      </c>
    </row>
    <row r="1292" spans="1:25" x14ac:dyDescent="0.3">
      <c r="A1292">
        <v>64550</v>
      </c>
      <c r="B1292" t="s">
        <v>14297</v>
      </c>
      <c r="C1292">
        <f>-621.701847184531 -27.1665280527907 -98.1627497420345</f>
        <v>-747.03112497935615</v>
      </c>
      <c r="D1292">
        <f>-644.783677593001 -33.5132028796334 -211.490571634772</f>
        <v>-889.78745210740635</v>
      </c>
      <c r="E1292">
        <f>-651.884067965446 -35.0865609709733 -309.845794109607</f>
        <v>-996.81642304602633</v>
      </c>
      <c r="F1292">
        <f>-653.744144497329 -35.1759148118088 -398.923090296166</f>
        <v>-1087.8431496053038</v>
      </c>
      <c r="G1292">
        <f>-650.666387478684 -33.9949127518764 -487.958965597677</f>
        <v>-1172.6202658282373</v>
      </c>
      <c r="H1292">
        <f>-641.170247670119 -31.1036656011852 -612.145419561481</f>
        <v>-1284.4193328327851</v>
      </c>
      <c r="I1292">
        <f>-613.037362999313 -23.9422768440284 -690.00604339262</f>
        <v>-1326.9856832359615</v>
      </c>
      <c r="J1292">
        <f>-646.617414871988 -4.70139881964883 -556.949767172522</f>
        <v>-1208.2685808641588</v>
      </c>
      <c r="K1292" t="s">
        <v>14298</v>
      </c>
      <c r="L1292" t="s">
        <v>14299</v>
      </c>
      <c r="M1292" t="s">
        <v>14300</v>
      </c>
      <c r="N1292">
        <f>-644.080686739274 -60.050636317077 -558.044328614381</f>
        <v>-1262.1756516707319</v>
      </c>
      <c r="O1292">
        <f>-638.784061971092 -194.414369608731 -529.487225736594</f>
        <v>-1362.6856573164171</v>
      </c>
      <c r="P1292">
        <f>-627.4676714137 -241.69169286727 -239.266555213839</f>
        <v>-1108.425919494809</v>
      </c>
      <c r="Q1292">
        <f>-473.436247393431 -110.083696724231 -369.668066066495</f>
        <v>-953.18801018415706</v>
      </c>
      <c r="R1292" t="s">
        <v>14301</v>
      </c>
      <c r="S1292" t="s">
        <v>14302</v>
      </c>
      <c r="T1292" t="s">
        <v>14303</v>
      </c>
      <c r="U1292" t="s">
        <v>14304</v>
      </c>
      <c r="V1292">
        <f>-609.069428942633 -122.626266996878 -96.7663481847721</f>
        <v>-828.46204412428312</v>
      </c>
      <c r="W1292" t="s">
        <v>14305</v>
      </c>
      <c r="X1292" t="s">
        <v>14306</v>
      </c>
      <c r="Y1292" t="s">
        <v>14307</v>
      </c>
    </row>
    <row r="1293" spans="1:25" x14ac:dyDescent="0.3">
      <c r="A1293">
        <v>64600</v>
      </c>
      <c r="B1293" t="s">
        <v>14308</v>
      </c>
      <c r="C1293">
        <f>-621.178787146006 -28.4809756823795 -98.1912739605318</f>
        <v>-747.85103678891733</v>
      </c>
      <c r="D1293">
        <f>-644.421395893936 -34.9344483222769 -211.480142127646</f>
        <v>-890.83598634385896</v>
      </c>
      <c r="E1293">
        <f>-651.749585750818 -36.4234216617831 -309.819934611317</f>
        <v>-997.9929420239182</v>
      </c>
      <c r="F1293">
        <f>-653.849462249072 -36.3646733714277 -398.892100548899</f>
        <v>-1089.1062361693987</v>
      </c>
      <c r="G1293">
        <f>-651.043949046761 -34.960733550753 -487.93355769079</f>
        <v>-1173.9382402883041</v>
      </c>
      <c r="H1293">
        <f>-641.960545650022 -31.6782229104613 -612.141165813192</f>
        <v>-1285.7799343736751</v>
      </c>
      <c r="I1293">
        <f>-614.14455394343 -24.0627727985532 -690.072544149289</f>
        <v>-1328.2798708912721</v>
      </c>
      <c r="J1293">
        <f>-647.344407068215 -5.45558948347457 -556.853781449122</f>
        <v>-1209.6537780008116</v>
      </c>
      <c r="K1293" t="s">
        <v>14309</v>
      </c>
      <c r="L1293" t="s">
        <v>14310</v>
      </c>
      <c r="M1293" t="s">
        <v>14311</v>
      </c>
      <c r="N1293">
        <f>-644.570938875844 -60.7899251124237 -558.11324866544</f>
        <v>-1263.4741126537078</v>
      </c>
      <c r="O1293">
        <f>-638.575501627164 -195.21309944903 -529.963128323854</f>
        <v>-1363.7517294000481</v>
      </c>
      <c r="P1293">
        <f>-626.377845840422 -243.49583678366 -239.943708146316</f>
        <v>-1109.8173907703981</v>
      </c>
      <c r="Q1293">
        <f>-473.31130738578 -110.065903169318 -369.62778131244</f>
        <v>-953.00499186753802</v>
      </c>
      <c r="R1293" t="s">
        <v>14312</v>
      </c>
      <c r="S1293" t="s">
        <v>14313</v>
      </c>
      <c r="T1293" t="s">
        <v>14314</v>
      </c>
      <c r="U1293" t="s">
        <v>14315</v>
      </c>
      <c r="V1293">
        <f>-608.172594984118 -123.839267082266 -96.8060110275192</f>
        <v>-828.81787309390313</v>
      </c>
      <c r="W1293" t="s">
        <v>14316</v>
      </c>
      <c r="X1293" t="s">
        <v>14317</v>
      </c>
      <c r="Y1293" t="s">
        <v>14318</v>
      </c>
    </row>
    <row r="1294" spans="1:25" x14ac:dyDescent="0.3">
      <c r="A1294">
        <v>64650</v>
      </c>
      <c r="B1294" t="s">
        <v>14319</v>
      </c>
      <c r="C1294">
        <f>-620.886435985057 -29.1550908662448 -98.220648603336</f>
        <v>-748.26217545463783</v>
      </c>
      <c r="D1294">
        <f>-644.228902385597 -35.6587514447212 -211.486047490229</f>
        <v>-891.3737013205473</v>
      </c>
      <c r="E1294">
        <f>-651.703935649813 -37.1097962388556 -309.815403581556</f>
        <v>-998.62913547022458</v>
      </c>
      <c r="F1294">
        <f>-653.959843523068 -36.9841661056485 -398.883627948262</f>
        <v>-1089.8276375769785</v>
      </c>
      <c r="G1294">
        <f>-651.33287911024 -35.4795358576675 -487.929001641323</f>
        <v>-1174.7414166092306</v>
      </c>
      <c r="H1294">
        <f>-642.521891218323 -32.0197487699929 -612.151456309958</f>
        <v>-1286.693096298274</v>
      </c>
      <c r="I1294">
        <f>-614.846902810622 -24.2579618913103 -690.118500935795</f>
        <v>-1329.2233656377275</v>
      </c>
      <c r="J1294">
        <f>-647.836999825883 -5.87847868954896 -556.818792327251</f>
        <v>-1210.5342708426829</v>
      </c>
      <c r="K1294" t="s">
        <v>14320</v>
      </c>
      <c r="L1294" t="s">
        <v>14321</v>
      </c>
      <c r="M1294" t="s">
        <v>14322</v>
      </c>
      <c r="N1294">
        <f>-644.9613665889 -61.2057899308406 -558.155676163189</f>
        <v>-1264.3228326829296</v>
      </c>
      <c r="O1294">
        <f>-638.675164875624 -195.66525241536 -530.238177137701</f>
        <v>-1364.5785944286849</v>
      </c>
      <c r="P1294">
        <f>-625.929326756975 -244.564654263263 -240.345771914133</f>
        <v>-1110.8397529343711</v>
      </c>
      <c r="Q1294">
        <f>-473.2351496974 -110.346833505642 -369.655229241524</f>
        <v>-953.23721244456601</v>
      </c>
      <c r="R1294" t="s">
        <v>14323</v>
      </c>
      <c r="S1294" t="s">
        <v>14324</v>
      </c>
      <c r="T1294" t="s">
        <v>14325</v>
      </c>
      <c r="U1294" t="s">
        <v>14326</v>
      </c>
      <c r="V1294">
        <f>-607.757592252811 -124.515206749398 -96.8096314061148</f>
        <v>-829.08243040832383</v>
      </c>
      <c r="W1294" t="s">
        <v>14327</v>
      </c>
      <c r="X1294" t="s">
        <v>14328</v>
      </c>
      <c r="Y1294" t="s">
        <v>14329</v>
      </c>
    </row>
    <row r="1295" spans="1:25" x14ac:dyDescent="0.3">
      <c r="A1295">
        <v>64700</v>
      </c>
      <c r="B1295" t="s">
        <v>14330</v>
      </c>
      <c r="C1295">
        <f>-620.329393668532 -30.5380338721407 -98.2523535583422</f>
        <v>-749.11978109901486</v>
      </c>
      <c r="D1295">
        <f>-643.870405096479 -37.141362357208 -211.470933150906</f>
        <v>-892.48270060459299</v>
      </c>
      <c r="E1295">
        <f>-651.624708369178 -38.5670082287502 -309.779177145883</f>
        <v>-999.9708937438113</v>
      </c>
      <c r="F1295">
        <f>-654.17484422359 -38.3741315455213 -398.839128637587</f>
        <v>-1091.3881044066984</v>
      </c>
      <c r="G1295">
        <f>-651.882722141104 -36.7556013711408 -487.891832752132</f>
        <v>-1176.5301562643767</v>
      </c>
      <c r="H1295">
        <f>-643.580781439816 -33.0871228642993 -612.143258443112</f>
        <v>-1288.8111627472272</v>
      </c>
      <c r="I1295">
        <f>-616.077082366501 -25.1179608320822 -690.150066606023</f>
        <v>-1331.3451098046062</v>
      </c>
      <c r="J1295">
        <f>-648.767646427084 -7.0441207326071 -556.752319180438</f>
        <v>-1212.5640863401291</v>
      </c>
      <c r="K1295" t="s">
        <v>14331</v>
      </c>
      <c r="L1295" t="s">
        <v>14332</v>
      </c>
      <c r="M1295" t="s">
        <v>14333</v>
      </c>
      <c r="N1295">
        <f>-645.70048745127 -62.3588497093444 -558.180507561089</f>
        <v>-1266.2398447217033</v>
      </c>
      <c r="O1295">
        <f>-638.871664838318 -196.860158911025 -530.605582823827</f>
        <v>-1366.33740657317</v>
      </c>
      <c r="P1295">
        <f>-624.889958242381 -246.571384722174 -240.908330203899</f>
        <v>-1112.369673168454</v>
      </c>
      <c r="Q1295">
        <f>-472.871062094668 -111.222473439146 -369.833878778383</f>
        <v>-953.92741431219702</v>
      </c>
      <c r="R1295" t="s">
        <v>14334</v>
      </c>
      <c r="S1295" t="s">
        <v>14335</v>
      </c>
      <c r="T1295" t="s">
        <v>14336</v>
      </c>
      <c r="U1295" t="s">
        <v>14337</v>
      </c>
      <c r="V1295">
        <f>-606.842831085164 -125.848444185582 -96.8530333782605</f>
        <v>-829.54430864900655</v>
      </c>
      <c r="W1295" t="s">
        <v>14338</v>
      </c>
      <c r="X1295" t="s">
        <v>14339</v>
      </c>
      <c r="Y1295" t="s">
        <v>14340</v>
      </c>
    </row>
    <row r="1296" spans="1:25" x14ac:dyDescent="0.3">
      <c r="A1296">
        <v>64750</v>
      </c>
      <c r="B1296" t="s">
        <v>14341</v>
      </c>
      <c r="C1296">
        <f>-620.073732041289 -31.2005008059475 -98.2682069685696</f>
        <v>-749.54243981580612</v>
      </c>
      <c r="D1296">
        <f>-643.733573322831 -37.875020177341 -211.457804185717</f>
        <v>-893.066397685889</v>
      </c>
      <c r="E1296">
        <f>-651.622015680143 -39.3136474240825 -309.755179428839</f>
        <v>-1000.6908425330646</v>
      </c>
      <c r="F1296">
        <f>-654.305474822873 -39.1140352405237 -398.811247608506</f>
        <v>-1092.2307576719027</v>
      </c>
      <c r="G1296">
        <f>-652.157959597646 -37.4691950580827 -487.867116318133</f>
        <v>-1177.4942709738618</v>
      </c>
      <c r="H1296">
        <f>-644.069358848799 -33.7431904197663 -612.130941077045</f>
        <v>-1289.9434903456104</v>
      </c>
      <c r="I1296">
        <f>-616.591380959076 -25.6679821832106 -690.135896046317</f>
        <v>-1332.3952591886036</v>
      </c>
      <c r="J1296">
        <f>-649.213170447297 -7.72851976109564 -556.722487398895</f>
        <v>-1213.6641776072877</v>
      </c>
      <c r="K1296" t="s">
        <v>14342</v>
      </c>
      <c r="L1296" t="s">
        <v>14343</v>
      </c>
      <c r="M1296" t="s">
        <v>14344</v>
      </c>
      <c r="N1296">
        <f>-646.044402437091 -63.0370120571706 -558.174660574666</f>
        <v>-1267.2560750689277</v>
      </c>
      <c r="O1296">
        <f>-638.942100873441 -197.547605957883 -530.705832687906</f>
        <v>-1367.1955395192299</v>
      </c>
      <c r="P1296">
        <f>-624.385904131217 -247.496544072345 -241.077710436499</f>
        <v>-1112.9601586400611</v>
      </c>
      <c r="Q1296">
        <f>-472.679210614536 -111.652071176876 -369.849766282442</f>
        <v>-954.18104807385407</v>
      </c>
      <c r="R1296" t="s">
        <v>14345</v>
      </c>
      <c r="S1296" t="s">
        <v>14346</v>
      </c>
      <c r="T1296" t="s">
        <v>14347</v>
      </c>
      <c r="U1296" t="s">
        <v>14348</v>
      </c>
      <c r="V1296">
        <f>-606.438130602153 -126.511524328889 -96.8580127834432</f>
        <v>-829.80766771448521</v>
      </c>
      <c r="W1296" t="s">
        <v>14349</v>
      </c>
      <c r="X1296" t="s">
        <v>14350</v>
      </c>
      <c r="Y1296" t="s">
        <v>14351</v>
      </c>
    </row>
    <row r="1297" spans="1:25" x14ac:dyDescent="0.3">
      <c r="A1297">
        <v>64800</v>
      </c>
      <c r="B1297" t="s">
        <v>14352</v>
      </c>
      <c r="C1297">
        <f>-619.598664224686 -32.1741347064506 -98.3295820937609</f>
        <v>-750.10238102489745</v>
      </c>
      <c r="D1297">
        <f>-643.440848549425 -39.0262483190011 -211.470351803889</f>
        <v>-893.9374486723151</v>
      </c>
      <c r="E1297">
        <f>-651.548549597264 -40.5118606245308 -309.749144103024</f>
        <v>-1001.8095543248187</v>
      </c>
      <c r="F1297">
        <f>-654.453287878632 -40.3138117063827 -398.798297346291</f>
        <v>-1093.5653969313057</v>
      </c>
      <c r="G1297">
        <f>-652.549041104901 -38.6280372873814 -487.858883064007</f>
        <v>-1179.0359614562894</v>
      </c>
      <c r="H1297">
        <f>-644.822209461745 -34.7997926054902 -612.142619183596</f>
        <v>-1291.7646212508312</v>
      </c>
      <c r="I1297">
        <f>-617.329955493242 -26.4712507411953 -690.116014724686</f>
        <v>-1333.9172209591234</v>
      </c>
      <c r="J1297">
        <f>-649.907924919002 -8.83676255620549 -556.704756121158</f>
        <v>-1215.4494435963654</v>
      </c>
      <c r="K1297" t="s">
        <v>14353</v>
      </c>
      <c r="L1297" t="s">
        <v>14354</v>
      </c>
      <c r="M1297" t="s">
        <v>14355</v>
      </c>
      <c r="N1297">
        <f>-646.536980350154 -64.132107688347 -558.198281160648</f>
        <v>-1268.8673691991489</v>
      </c>
      <c r="O1297">
        <f>-638.822474267834 -198.644657165147 -530.909999527874</f>
        <v>-1368.3771309608551</v>
      </c>
      <c r="P1297">
        <f>-622.957770600893 -249.248605621233 -241.46445813453</f>
        <v>-1113.6708343566561</v>
      </c>
      <c r="Q1297">
        <f>-472.261281538082 -112.043178606801 -369.979324566002</f>
        <v>-954.28378471088502</v>
      </c>
      <c r="R1297" t="s">
        <v>14356</v>
      </c>
      <c r="S1297" t="s">
        <v>14357</v>
      </c>
      <c r="T1297" t="s">
        <v>14358</v>
      </c>
      <c r="U1297" t="s">
        <v>14359</v>
      </c>
      <c r="V1297">
        <f>-605.530080071054 -127.397215899119 -96.8868754423416</f>
        <v>-829.81417141251472</v>
      </c>
      <c r="W1297" t="s">
        <v>14360</v>
      </c>
      <c r="X1297" t="s">
        <v>14361</v>
      </c>
      <c r="Y1297" t="s">
        <v>14362</v>
      </c>
    </row>
    <row r="1298" spans="1:25" x14ac:dyDescent="0.3">
      <c r="A1298">
        <v>64850</v>
      </c>
      <c r="B1298" t="s">
        <v>14363</v>
      </c>
      <c r="C1298">
        <f>-619.423847390821 -32.5606642628195 -98.36962889924</f>
        <v>-750.35414055288049</v>
      </c>
      <c r="D1298">
        <f>-643.355972005423 -39.5114763032664 -211.485419621906</f>
        <v>-894.35286793059538</v>
      </c>
      <c r="E1298">
        <f>-651.560466009603 -41.0396402946872 -309.755392432866</f>
        <v>-1002.3554987371563</v>
      </c>
      <c r="F1298">
        <f>-654.559731576693 -40.864179756918 -398.801546494288</f>
        <v>-1094.2254578278989</v>
      </c>
      <c r="G1298">
        <f>-652.756342093638 -39.1843962039686 -487.864326453564</f>
        <v>-1179.8050647511704</v>
      </c>
      <c r="H1298">
        <f>-645.176548282583 -35.3472820068951 -612.15694770213</f>
        <v>-1292.680777991608</v>
      </c>
      <c r="I1298">
        <f>-617.65812494587 -26.8975108763259 -690.10782600945</f>
        <v>-1334.6634618316459</v>
      </c>
      <c r="J1298">
        <f>-650.246039700293 -9.39114683834191 -556.71410725761</f>
        <v>-1216.3512937962448</v>
      </c>
      <c r="K1298" t="s">
        <v>14364</v>
      </c>
      <c r="L1298" t="s">
        <v>14365</v>
      </c>
      <c r="M1298" t="s">
        <v>14366</v>
      </c>
      <c r="N1298">
        <f>-646.778106086375 -64.6804717288419 -558.209579947133</f>
        <v>-1269.6681577623499</v>
      </c>
      <c r="O1298">
        <f>-638.771075736256 -199.189090062305 -530.992706384931</f>
        <v>-1368.952872183492</v>
      </c>
      <c r="P1298">
        <f>-621.822268922774 -250.460136666502 -241.726008056932</f>
        <v>-1114.0084136462081</v>
      </c>
      <c r="Q1298">
        <f>-471.828450081189 -112.257661144765 -369.994466567991</f>
        <v>-954.08057779394505</v>
      </c>
      <c r="R1298" t="s">
        <v>14367</v>
      </c>
      <c r="S1298" t="s">
        <v>14368</v>
      </c>
      <c r="T1298" t="s">
        <v>14369</v>
      </c>
      <c r="U1298" t="s">
        <v>14370</v>
      </c>
      <c r="V1298">
        <f>-605.151322449632 -127.792940960761 -96.9008961396827</f>
        <v>-829.84515955007566</v>
      </c>
      <c r="W1298" t="s">
        <v>14371</v>
      </c>
      <c r="X1298" t="s">
        <v>14372</v>
      </c>
      <c r="Y1298" t="s">
        <v>14373</v>
      </c>
    </row>
    <row r="1299" spans="1:25" x14ac:dyDescent="0.3">
      <c r="A1299">
        <v>64900</v>
      </c>
      <c r="B1299" t="s">
        <v>14374</v>
      </c>
      <c r="C1299">
        <f>-619.310507556843 -33.4365179022823 -98.4631482459686</f>
        <v>-751.21017370509389</v>
      </c>
      <c r="D1299">
        <f>-643.453927346908 -40.5299394515844 -211.5250666105</f>
        <v>-895.50893340899233</v>
      </c>
      <c r="E1299">
        <f>-651.837867448657 -42.158760980283 -309.778370081909</f>
        <v>-1003.7749985108489</v>
      </c>
      <c r="F1299">
        <f>-654.997292443704 -42.0678697499679 -398.819184694387</f>
        <v>-1095.8843468880591</v>
      </c>
      <c r="G1299">
        <f>-653.351857333967 -40.4646344234172 -487.886306016325</f>
        <v>-1181.7027977737093</v>
      </c>
      <c r="H1299">
        <f>-645.989909833438 -36.7257162794449 -612.194942579137</f>
        <v>-1294.9105686920198</v>
      </c>
      <c r="I1299">
        <f>-618.416475264796 -28.0484570278993 -690.101613972181</f>
        <v>-1336.5665462648763</v>
      </c>
      <c r="J1299">
        <f>-651.079076268797 -10.7331740923642 -556.771119314871</f>
        <v>-1218.5833696760324</v>
      </c>
      <c r="K1299" t="s">
        <v>14375</v>
      </c>
      <c r="L1299" t="s">
        <v>14376</v>
      </c>
      <c r="M1299" t="s">
        <v>14377</v>
      </c>
      <c r="N1299">
        <f>-647.379898141485 -66.0088347490125 -558.214526161478</f>
        <v>-1271.6032590519756</v>
      </c>
      <c r="O1299">
        <f>-638.641084690555 -200.485358677615 -531.043921939397</f>
        <v>-1370.170365307567</v>
      </c>
      <c r="P1299">
        <f>-617.830098511912 -254.833451254912 -242.592261994441</f>
        <v>-1115.255811761265</v>
      </c>
      <c r="Q1299">
        <f>-469.793546444227 -113.378148081668 -369.582237502183</f>
        <v>-952.753932028078</v>
      </c>
      <c r="R1299" t="s">
        <v>14378</v>
      </c>
      <c r="S1299" t="s">
        <v>14379</v>
      </c>
      <c r="T1299" t="s">
        <v>14380</v>
      </c>
      <c r="U1299" t="s">
        <v>14381</v>
      </c>
      <c r="V1299">
        <f>-604.668336464085 -128.618223740541 -96.9724618532938</f>
        <v>-830.25902205791976</v>
      </c>
      <c r="W1299" t="s">
        <v>14382</v>
      </c>
      <c r="X1299" t="s">
        <v>14383</v>
      </c>
      <c r="Y1299" t="s">
        <v>14384</v>
      </c>
    </row>
    <row r="1300" spans="1:25" x14ac:dyDescent="0.3">
      <c r="A1300">
        <v>64950</v>
      </c>
      <c r="B1300" t="s">
        <v>14385</v>
      </c>
      <c r="C1300">
        <f>-619.37682510163 -33.7858007644563 -98.521886350984</f>
        <v>-751.68451221707028</v>
      </c>
      <c r="D1300">
        <f>-643.606787767378 -40.9681143225578 -211.559733653678</f>
        <v>-896.13463574361379</v>
      </c>
      <c r="E1300">
        <f>-652.082534957229 -42.6532580436951 -309.804177868211</f>
        <v>-1004.5399708691351</v>
      </c>
      <c r="F1300">
        <f>-655.331222610953 -42.6069057747975 -398.841641395836</f>
        <v>-1096.7797697815865</v>
      </c>
      <c r="G1300">
        <f>-653.781033997453 -41.0409162649571 -487.91124528019</f>
        <v>-1182.7331955426002</v>
      </c>
      <c r="H1300">
        <f>-646.5579715692 -37.3470317163633 -612.22932431079</f>
        <v>-1296.1343275963534</v>
      </c>
      <c r="I1300">
        <f>-618.954066442345 -28.5502899738422 -690.111753404282</f>
        <v>-1337.6161098204693</v>
      </c>
      <c r="J1300">
        <f>-651.644449368228 -11.3383579713186 -556.812830945978</f>
        <v>-1219.7956382855245</v>
      </c>
      <c r="K1300" t="s">
        <v>14386</v>
      </c>
      <c r="L1300" t="s">
        <v>14387</v>
      </c>
      <c r="M1300" t="s">
        <v>14388</v>
      </c>
      <c r="N1300">
        <f>-647.828466114504 -66.6067078660599 -558.233373507861</f>
        <v>-1272.6685474884248</v>
      </c>
      <c r="O1300">
        <f>-638.710757924304 -201.064506160862 -531.110676665973</f>
        <v>-1370.8859407511391</v>
      </c>
      <c r="P1300">
        <f>-614.876738245715 -258.02313046505 -243.397474953003</f>
        <v>-1116.2973436637681</v>
      </c>
      <c r="Q1300">
        <f>-468.087556223608 -113.895888724769 -368.821225834501</f>
        <v>-950.80467078287791</v>
      </c>
      <c r="R1300" t="s">
        <v>14389</v>
      </c>
      <c r="S1300" t="s">
        <v>14390</v>
      </c>
      <c r="T1300" t="s">
        <v>14391</v>
      </c>
      <c r="U1300" t="s">
        <v>14392</v>
      </c>
      <c r="V1300">
        <f>-604.510790302435 -128.888912572465 -97.0155883745293</f>
        <v>-830.41529124942929</v>
      </c>
      <c r="W1300" t="s">
        <v>14393</v>
      </c>
      <c r="X1300" t="s">
        <v>14394</v>
      </c>
      <c r="Y1300" t="s">
        <v>14395</v>
      </c>
    </row>
    <row r="1301" spans="1:25" x14ac:dyDescent="0.3">
      <c r="A1301">
        <v>65000</v>
      </c>
      <c r="B1301" t="s">
        <v>14396</v>
      </c>
      <c r="C1301">
        <f>-619.529089382275 -34.6711234553807 -98.5768145551235</f>
        <v>-752.77702739277913</v>
      </c>
      <c r="D1301">
        <f>-643.877280403923 -42.047399234734 -211.576716504184</f>
        <v>-897.50139614284103</v>
      </c>
      <c r="E1301">
        <f>-652.515614969187 -43.8059449104034 -309.805745833648</f>
        <v>-1006.1273057132385</v>
      </c>
      <c r="F1301">
        <f>-655.934069983852 -43.7902243293938 -398.837018206281</f>
        <v>-1098.5613125195268</v>
      </c>
      <c r="G1301">
        <f>-654.575406393326 -42.2173196384895 -487.909628676687</f>
        <v>-1184.7023547085025</v>
      </c>
      <c r="H1301">
        <f>-647.64215168392 -38.4733428856168 -612.242751475446</f>
        <v>-1298.3582460449829</v>
      </c>
      <c r="I1301">
        <f>-619.93702422846 -29.3569297982995 -690.052460773785</f>
        <v>-1339.3464148005446</v>
      </c>
      <c r="J1301">
        <f>-652.728552159997 -12.4960561047508 -556.811565935301</f>
        <v>-1222.0361742000487</v>
      </c>
      <c r="K1301" t="s">
        <v>14397</v>
      </c>
      <c r="L1301" t="s">
        <v>14398</v>
      </c>
      <c r="M1301" t="s">
        <v>14399</v>
      </c>
      <c r="N1301">
        <f>-648.657737530912 -67.7457449215037 -558.248188459121</f>
        <v>-1274.6516709115367</v>
      </c>
      <c r="O1301">
        <f>-638.617901309436 -202.175034184628 -531.263362640928</f>
        <v>-1372.0562981349919</v>
      </c>
      <c r="P1301">
        <f>-606.101454218618 -268.353515777198 -246.387442154158</f>
        <v>-1120.8424121499741</v>
      </c>
      <c r="Q1301">
        <f>-463.221826410321 -115.682287049955 -366.086276011303</f>
        <v>-944.99038947157896</v>
      </c>
      <c r="R1301" t="s">
        <v>14400</v>
      </c>
      <c r="S1301" t="s">
        <v>14401</v>
      </c>
      <c r="T1301" t="s">
        <v>14402</v>
      </c>
      <c r="U1301" t="s">
        <v>14403</v>
      </c>
      <c r="V1301">
        <f>-604.225972884379 -129.777982777257 -97.0337708193042</f>
        <v>-831.03772648094014</v>
      </c>
      <c r="W1301" t="s">
        <v>14404</v>
      </c>
      <c r="X1301" t="s">
        <v>14405</v>
      </c>
      <c r="Y1301" t="s">
        <v>14406</v>
      </c>
    </row>
    <row r="1302" spans="1:25" x14ac:dyDescent="0.3">
      <c r="A1302">
        <v>65050</v>
      </c>
      <c r="B1302" t="s">
        <v>14407</v>
      </c>
      <c r="C1302">
        <f>-619.582149147856 -35.1152884830574 -98.5959456586303</f>
        <v>-753.29338328954361</v>
      </c>
      <c r="D1302">
        <f>-643.993007989156 -42.5679723077708 -211.57731408233</f>
        <v>-898.13829437925676</v>
      </c>
      <c r="E1302">
        <f>-652.689918624155 -44.3194400975298 -309.801414876525</f>
        <v>-1006.8107735982097</v>
      </c>
      <c r="F1302">
        <f>-656.162677644166 -44.2672304654 -398.830336518091</f>
        <v>-1099.2602446276569</v>
      </c>
      <c r="G1302">
        <f>-654.859524488759 -42.625618165343 -487.902440258323</f>
        <v>-1185.3875829124249</v>
      </c>
      <c r="H1302">
        <f>-648.004488271135 -38.750981117252 -612.236019615224</f>
        <v>-1298.9914890036109</v>
      </c>
      <c r="I1302">
        <f>-620.213160028028 -29.3890706248067 -689.985823942658</f>
        <v>-1339.5880545954928</v>
      </c>
      <c r="J1302">
        <f>-653.143806019288 -12.8383870856442 -556.779413112986</f>
        <v>-1222.7616062179181</v>
      </c>
      <c r="K1302" t="s">
        <v>14408</v>
      </c>
      <c r="L1302" t="s">
        <v>14409</v>
      </c>
      <c r="M1302" t="s">
        <v>14410</v>
      </c>
      <c r="N1302">
        <f>-648.898289711957 -68.0736703219939 -558.266599216998</f>
        <v>-1275.2385592509488</v>
      </c>
      <c r="O1302">
        <f>-638.274293415475 -202.481907530954 -531.388714863221</f>
        <v>-1372.14491580965</v>
      </c>
      <c r="P1302">
        <f>-600.646489213442 -274.494884300896 -248.564587541916</f>
        <v>-1123.7059610562542</v>
      </c>
      <c r="Q1302">
        <f>-460.248347684523 -116.70018391283 -364.495844265726</f>
        <v>-941.44437586307913</v>
      </c>
      <c r="R1302" t="s">
        <v>14411</v>
      </c>
      <c r="S1302" t="s">
        <v>14412</v>
      </c>
      <c r="T1302" t="s">
        <v>14413</v>
      </c>
      <c r="U1302" t="s">
        <v>14414</v>
      </c>
      <c r="V1302">
        <f>-604.09965039103 -130.164842811589 -97.0451130084633</f>
        <v>-831.30960621108227</v>
      </c>
      <c r="W1302" t="s">
        <v>14415</v>
      </c>
      <c r="X1302" t="s">
        <v>14416</v>
      </c>
      <c r="Y1302" t="s">
        <v>14417</v>
      </c>
    </row>
    <row r="1303" spans="1:25" x14ac:dyDescent="0.3">
      <c r="A1303">
        <v>65100</v>
      </c>
      <c r="B1303" t="s">
        <v>14418</v>
      </c>
      <c r="C1303">
        <f>-619.893192643992 -36.0686054868434 -98.6751274804795</f>
        <v>-754.63692561131495</v>
      </c>
      <c r="D1303">
        <f>-644.42967530429 -43.6772625033846 -211.618914077883</f>
        <v>-899.72585188555752</v>
      </c>
      <c r="E1303">
        <f>-653.236265666483 -45.429366917382 -309.833057791115</f>
        <v>-1008.49869037498</v>
      </c>
      <c r="F1303">
        <f>-656.807892927394 -45.3229491212074 -398.858259717066</f>
        <v>-1100.9891017656676</v>
      </c>
      <c r="G1303">
        <f>-655.603459291014 -43.5673612474974 -487.92957416668</f>
        <v>-1187.1003947051913</v>
      </c>
      <c r="H1303">
        <f>-648.885767837085 -39.4685024341879 -612.263339380526</f>
        <v>-1300.6176096517988</v>
      </c>
      <c r="I1303">
        <f>-620.877915129354 -29.5495480655868 -689.866309186518</f>
        <v>-1340.2937723814589</v>
      </c>
      <c r="J1303">
        <f>-654.173605674582 -13.6725463976873 -556.766317820109</f>
        <v>-1224.6124698923782</v>
      </c>
      <c r="K1303" t="s">
        <v>14419</v>
      </c>
      <c r="L1303" t="s">
        <v>14420</v>
      </c>
      <c r="M1303" t="s">
        <v>14421</v>
      </c>
      <c r="N1303">
        <f>-649.510219717934 -68.8718421329982 -558.334106417797</f>
        <v>-1276.7161682687292</v>
      </c>
      <c r="O1303">
        <f>-637.434066373629 -203.180897231523 -531.66919824193</f>
        <v>-1372.284161847082</v>
      </c>
      <c r="P1303">
        <f>-588.760471296302 -288.118555272697 -254.166620094819</f>
        <v>-1131.0456466638179</v>
      </c>
      <c r="Q1303">
        <f>-454.871047481506 -119.195161557008 -361.820607676222</f>
        <v>-935.88681671473591</v>
      </c>
      <c r="R1303" t="s">
        <v>14422</v>
      </c>
      <c r="S1303" t="s">
        <v>14423</v>
      </c>
      <c r="T1303" t="s">
        <v>14424</v>
      </c>
      <c r="U1303" t="s">
        <v>14425</v>
      </c>
      <c r="V1303">
        <f>-603.998474937451 -131.089320979578 -97.0971892117044</f>
        <v>-832.18498512873339</v>
      </c>
      <c r="W1303" t="s">
        <v>14426</v>
      </c>
      <c r="X1303" t="s">
        <v>14427</v>
      </c>
      <c r="Y1303" t="s">
        <v>14428</v>
      </c>
    </row>
    <row r="1304" spans="1:25" x14ac:dyDescent="0.3">
      <c r="A1304">
        <v>65150</v>
      </c>
      <c r="B1304" t="s">
        <v>14429</v>
      </c>
      <c r="C1304">
        <f>-620.083423962105 -36.6292872526724 -98.7039096730833</f>
        <v>-755.41662088786074</v>
      </c>
      <c r="D1304">
        <f>-644.67268796132 -44.329089642966 -211.629942610097</f>
        <v>-900.63172021438299</v>
      </c>
      <c r="E1304">
        <f>-653.557048863266 -46.1041089725888 -309.836777445932</f>
        <v>-1009.4979352817868</v>
      </c>
      <c r="F1304">
        <f>-657.211649494431 -45.9955689742628 -398.858520978442</f>
        <v>-1102.0657394471359</v>
      </c>
      <c r="G1304">
        <f>-656.102851259881 -44.2123284605099 -487.930712005578</f>
        <v>-1188.2458917259689</v>
      </c>
      <c r="H1304">
        <f>-649.532044111068 -40.0462634510639 -612.270026774951</f>
        <v>-1301.8483343370829</v>
      </c>
      <c r="I1304">
        <f>-621.419552017751 -29.8555653301996 -689.799837073714</f>
        <v>-1341.0749544216646</v>
      </c>
      <c r="J1304">
        <f>-654.86279696345 -14.2894576768601 -556.758942703099</f>
        <v>-1225.9111973434092</v>
      </c>
      <c r="K1304" t="s">
        <v>14430</v>
      </c>
      <c r="L1304" t="s">
        <v>14431</v>
      </c>
      <c r="M1304" t="s">
        <v>14432</v>
      </c>
      <c r="N1304">
        <f>-649.984210517705 -69.4695303685261 -558.349870680084</f>
        <v>-1277.8036115663151</v>
      </c>
      <c r="O1304">
        <f>-637.208237170806 -203.755379942824 -531.829475621783</f>
        <v>-1372.793092735413</v>
      </c>
      <c r="P1304">
        <f>-582.245819732159 -295.904720909781 -257.824286243729</f>
        <v>-1135.974826885669</v>
      </c>
      <c r="Q1304">
        <f>-452.253257072772 -121.208800611458 -360.946197154629</f>
        <v>-934.40825483885897</v>
      </c>
      <c r="R1304" t="s">
        <v>14433</v>
      </c>
      <c r="S1304" t="s">
        <v>14434</v>
      </c>
      <c r="T1304" t="s">
        <v>14435</v>
      </c>
      <c r="U1304" t="s">
        <v>14436</v>
      </c>
      <c r="V1304">
        <f>-603.95124990055 -131.608977225861 -97.1129721800828</f>
        <v>-832.67319930649387</v>
      </c>
      <c r="W1304" t="s">
        <v>14437</v>
      </c>
      <c r="X1304" t="s">
        <v>14438</v>
      </c>
      <c r="Y1304" t="s">
        <v>14439</v>
      </c>
    </row>
    <row r="1305" spans="1:25" x14ac:dyDescent="0.3">
      <c r="A1305">
        <v>65200</v>
      </c>
      <c r="B1305" t="s">
        <v>14440</v>
      </c>
      <c r="C1305">
        <f>-620.481967828921 -37.6985921977305 -98.7590585912851</f>
        <v>-756.93961861793662</v>
      </c>
      <c r="D1305">
        <f>-645.203732207329 -45.6000269109257 -211.642183890111</f>
        <v>-902.44594300836582</v>
      </c>
      <c r="E1305">
        <f>-654.307961945487 -47.3811856379501 -309.828723609203</f>
        <v>-1011.5178711926401</v>
      </c>
      <c r="F1305">
        <f>-658.202402605077 -47.2106402305578 -398.840301334045</f>
        <v>-1104.2533441696798</v>
      </c>
      <c r="G1305">
        <f>-657.374085864566 -45.2919824125162 -487.912595260198</f>
        <v>-1190.5786635372801</v>
      </c>
      <c r="H1305">
        <f>-651.236814889381 -40.8572885792789 -612.264822907183</f>
        <v>-1304.3589263758429</v>
      </c>
      <c r="I1305">
        <f>-622.847095613219 -30.0389774541561 -689.608390405889</f>
        <v>-1342.4944634732642</v>
      </c>
      <c r="J1305">
        <f>-656.606622362446 -15.241834694076 -556.692109219557</f>
        <v>-1228.5405662760791</v>
      </c>
      <c r="K1305" t="s">
        <v>14441</v>
      </c>
      <c r="L1305" t="s">
        <v>14442</v>
      </c>
      <c r="M1305" t="s">
        <v>14443</v>
      </c>
      <c r="N1305">
        <f>-651.268350165533 -70.3758200075902 -558.394915249254</f>
        <v>-1280.0390854223772</v>
      </c>
      <c r="O1305">
        <f>-637.130127940929 -204.647108981239 -532.494894730415</f>
        <v>-1374.2721316525831</v>
      </c>
      <c r="P1305">
        <f>-568.577806164008 -311.167454090656 -266.891393713744</f>
        <v>-1146.6366539684082</v>
      </c>
      <c r="Q1305">
        <f>-446.864337807233 -124.681914350849 -358.868901477471</f>
        <v>-930.415153635553</v>
      </c>
      <c r="R1305" t="s">
        <v>14444</v>
      </c>
      <c r="S1305" t="s">
        <v>14445</v>
      </c>
      <c r="T1305" t="s">
        <v>14446</v>
      </c>
      <c r="U1305" t="s">
        <v>14447</v>
      </c>
      <c r="V1305">
        <f>-603.830244826208 -132.549490670635 -97.137125975226</f>
        <v>-833.51686147206897</v>
      </c>
      <c r="W1305" t="s">
        <v>14448</v>
      </c>
      <c r="X1305" t="s">
        <v>14449</v>
      </c>
      <c r="Y1305" t="s">
        <v>14450</v>
      </c>
    </row>
    <row r="1306" spans="1:25" x14ac:dyDescent="0.3">
      <c r="A1306">
        <v>65250</v>
      </c>
      <c r="B1306" t="s">
        <v>14451</v>
      </c>
      <c r="C1306">
        <f>-620.689894789271 -38.3610969452743 -98.7899294298146</f>
        <v>-757.84092116435988</v>
      </c>
      <c r="D1306">
        <f>-645.469903241735 -46.3971881746903 -211.650932364168</f>
        <v>-903.51802378059324</v>
      </c>
      <c r="E1306">
        <f>-654.694732973055 -48.1517656905659 -309.826576056972</f>
        <v>-1012.6730747205929</v>
      </c>
      <c r="F1306">
        <f>-658.724941914467 -47.9003706538022 -398.831962346861</f>
        <v>-1105.4572749151303</v>
      </c>
      <c r="G1306">
        <f>-658.058444211547 -45.841497220965 -487.90239143072</f>
        <v>-1191.8023328632321</v>
      </c>
      <c r="H1306">
        <f>-652.173555407611 -41.1476484228826 -612.257380553374</f>
        <v>-1305.5785843838676</v>
      </c>
      <c r="I1306">
        <f>-623.628373707831 -29.9648162045803 -689.491631726178</f>
        <v>-1343.0848216385893</v>
      </c>
      <c r="J1306">
        <f>-657.555049293288 -15.6601113215652 -556.627009529086</f>
        <v>-1229.8421701439393</v>
      </c>
      <c r="K1306" t="s">
        <v>14452</v>
      </c>
      <c r="L1306" t="s">
        <v>14453</v>
      </c>
      <c r="M1306" t="s">
        <v>14454</v>
      </c>
      <c r="N1306">
        <f>-651.971397269096 -70.7662079741086 -558.442802366065</f>
        <v>-1281.1804076092697</v>
      </c>
      <c r="O1306">
        <f>-637.177507163268 -205.064165591861 -533.016745212846</f>
        <v>-1375.258417967975</v>
      </c>
      <c r="P1306">
        <f>-561.958161493746 -318.289077471719 -272.031337816686</f>
        <v>-1152.278576782151</v>
      </c>
      <c r="Q1306">
        <f>-443.376431610419 -127.007910715243 -358.059055583943</f>
        <v>-928.44339790960498</v>
      </c>
      <c r="R1306" t="s">
        <v>14455</v>
      </c>
      <c r="S1306" t="s">
        <v>14456</v>
      </c>
      <c r="T1306" t="s">
        <v>14457</v>
      </c>
      <c r="U1306" t="s">
        <v>14458</v>
      </c>
      <c r="V1306">
        <f>-603.702395025579 -133.327678420864 -97.1555849966711</f>
        <v>-834.18565844311411</v>
      </c>
      <c r="W1306" t="s">
        <v>14459</v>
      </c>
      <c r="X1306" t="s">
        <v>14460</v>
      </c>
      <c r="Y1306" t="s">
        <v>14461</v>
      </c>
    </row>
    <row r="1307" spans="1:25" x14ac:dyDescent="0.3">
      <c r="A1307">
        <v>65300</v>
      </c>
      <c r="B1307" t="s">
        <v>14462</v>
      </c>
      <c r="C1307">
        <f>-621.021848414413 -39.5914737225335 -98.8776837817505</f>
        <v>-759.49100591869694</v>
      </c>
      <c r="D1307">
        <f>-645.934706285392 -47.9992248427152 -211.682330365342</f>
        <v>-905.6162614934492</v>
      </c>
      <c r="E1307">
        <f>-655.44161046656 -49.5890528032979 -309.834056766216</f>
        <v>-1014.8647200360739</v>
      </c>
      <c r="F1307">
        <f>-659.788600016016 -48.9948639176606 -398.822691477364</f>
        <v>-1107.6061554110406</v>
      </c>
      <c r="G1307">
        <f>-659.498123347631 -46.3932620343451 -487.881134718536</f>
        <v>-1193.7725201005121</v>
      </c>
      <c r="H1307">
        <f>-654.198099543404 -40.7285782849763 -612.221915526097</f>
        <v>-1307.1485933544773</v>
      </c>
      <c r="I1307">
        <f>-625.40337696342 -28.5870662420186 -689.218513767423</f>
        <v>-1343.2089569728616</v>
      </c>
      <c r="J1307">
        <f>-659.629227109381 -15.7090311253385 -556.384361830185</f>
        <v>-1231.7226200649043</v>
      </c>
      <c r="K1307" t="s">
        <v>14463</v>
      </c>
      <c r="L1307" t="s">
        <v>14464</v>
      </c>
      <c r="M1307" t="s">
        <v>14465</v>
      </c>
      <c r="N1307">
        <f>-653.431497673003 -70.7338292312813 -558.626916737149</f>
        <v>-1282.7922436414333</v>
      </c>
      <c r="O1307">
        <f>-637.18014674317 -205.10657150449 -534.586378736862</f>
        <v>-1376.8730969845219</v>
      </c>
      <c r="P1307">
        <f>-551.179024241274 -328.988652302026 -281.904174715566</f>
        <v>-1162.071851258866</v>
      </c>
      <c r="Q1307">
        <f>-438.305559587831 -129.622579370254 -356.493889831123</f>
        <v>-924.42202878920807</v>
      </c>
      <c r="R1307" t="s">
        <v>14466</v>
      </c>
      <c r="S1307" t="s">
        <v>14467</v>
      </c>
      <c r="T1307" t="s">
        <v>14468</v>
      </c>
      <c r="U1307" t="s">
        <v>14469</v>
      </c>
      <c r="V1307">
        <f>-603.278822403285 -134.422857853627 -97.1588614815115</f>
        <v>-834.86054173842342</v>
      </c>
      <c r="W1307" t="s">
        <v>14470</v>
      </c>
      <c r="X1307" t="s">
        <v>14471</v>
      </c>
      <c r="Y1307" t="s">
        <v>14472</v>
      </c>
    </row>
    <row r="1308" spans="1:25" x14ac:dyDescent="0.3">
      <c r="A1308">
        <v>65350</v>
      </c>
      <c r="B1308" t="s">
        <v>14473</v>
      </c>
      <c r="C1308">
        <f>-621.094152022601 -40.4288146031786 -98.9224654280736</f>
        <v>-760.4454320538531</v>
      </c>
      <c r="D1308">
        <f>-646.074493750105 -49.0288774144187 -211.697638962905</f>
        <v>-906.80101012742875</v>
      </c>
      <c r="E1308">
        <f>-655.737978126301 -50.5190798905787 -309.835574199501</f>
        <v>-1016.0926322163807</v>
      </c>
      <c r="F1308">
        <f>-660.263292525115 -49.7283415791223 -398.813856778947</f>
        <v>-1108.8054908831843</v>
      </c>
      <c r="G1308">
        <f>-660.186892432884 -46.8193929207713 -487.863159079951</f>
        <v>-1194.8694444336063</v>
      </c>
      <c r="H1308">
        <f>-655.222480535017 -40.6074778204129 -612.191765429471</f>
        <v>-1308.021723784901</v>
      </c>
      <c r="I1308">
        <f>-626.317619265042 -27.9401877205705 -689.062217817699</f>
        <v>-1343.3200248033115</v>
      </c>
      <c r="J1308">
        <f>-660.695972442267 -15.8559899007266 -556.238912443207</f>
        <v>-1232.7908747862007</v>
      </c>
      <c r="K1308" t="s">
        <v>14474</v>
      </c>
      <c r="L1308" t="s">
        <v>14475</v>
      </c>
      <c r="M1308" t="s">
        <v>14476</v>
      </c>
      <c r="N1308">
        <f>-654.118166060715 -70.826200225589 -558.722726839074</f>
        <v>-1283.667093125378</v>
      </c>
      <c r="O1308">
        <f>-636.996586839494 -205.202621537452 -535.414437717656</f>
        <v>-1377.613646094602</v>
      </c>
      <c r="P1308">
        <f>-547.687189692805 -332.170850101706 -285.426145927922</f>
        <v>-1165.284185722433</v>
      </c>
      <c r="Q1308">
        <f>-437.233649882842 -129.910820611586 -355.723899636832</f>
        <v>-922.86837013126001</v>
      </c>
      <c r="R1308" t="s">
        <v>14477</v>
      </c>
      <c r="S1308" t="s">
        <v>14478</v>
      </c>
      <c r="T1308" t="s">
        <v>14479</v>
      </c>
      <c r="U1308" t="s">
        <v>14480</v>
      </c>
      <c r="V1308">
        <f>-602.884217445906 -135.288576777987 -97.1772349814319</f>
        <v>-835.35002920532486</v>
      </c>
      <c r="W1308" t="s">
        <v>14481</v>
      </c>
      <c r="X1308" t="s">
        <v>14482</v>
      </c>
      <c r="Y1308" t="s">
        <v>14483</v>
      </c>
    </row>
    <row r="1309" spans="1:25" x14ac:dyDescent="0.3">
      <c r="A1309">
        <v>65400</v>
      </c>
      <c r="B1309" t="s">
        <v>14484</v>
      </c>
      <c r="C1309">
        <f>-621.110232111012 -42.5844311024173 -98.9646425881214</f>
        <v>-762.65930580155066</v>
      </c>
      <c r="D1309">
        <f>-646.245542862578 -51.6184594517948 -211.671452437827</f>
        <v>-909.53545475219983</v>
      </c>
      <c r="E1309">
        <f>-656.274707752333 -53.0389089018138 -309.773754302966</f>
        <v>-1019.0873709571129</v>
      </c>
      <c r="F1309">
        <f>-661.218861729727 -52.0098909339061 -398.72721278954</f>
        <v>-1111.9559654531731</v>
      </c>
      <c r="G1309">
        <f>-661.647479308607 -48.6800443473551 -487.760835249525</f>
        <v>-1198.088358905487</v>
      </c>
      <c r="H1309">
        <f>-657.476408798739 -41.6853156410871 -612.076920694665</f>
        <v>-1311.238645134491</v>
      </c>
      <c r="I1309">
        <f>-628.408554577368 -28.0905375017376 -688.727316194689</f>
        <v>-1345.2264082737947</v>
      </c>
      <c r="J1309">
        <f>-662.973123740727 -17.3339202618854 -555.951110335802</f>
        <v>-1236.2581543384144</v>
      </c>
      <c r="K1309" t="s">
        <v>14485</v>
      </c>
      <c r="L1309" t="s">
        <v>14486</v>
      </c>
      <c r="M1309" t="s">
        <v>14487</v>
      </c>
      <c r="N1309">
        <f>-655.650768356076 -72.192679293312 -558.791962666044</f>
        <v>-1286.6354103154322</v>
      </c>
      <c r="O1309">
        <f>-636.810644959827 -206.518415045874 -536.578247146704</f>
        <v>-1379.9073071524049</v>
      </c>
      <c r="P1309">
        <f>-544.032592470294 -334.914785939109 -288.590751248232</f>
        <v>-1167.538129657635</v>
      </c>
      <c r="Q1309">
        <f>-436.7667071872 -129.631991665741 -354.952356344559</f>
        <v>-921.35105519749993</v>
      </c>
      <c r="R1309" t="s">
        <v>14488</v>
      </c>
      <c r="S1309" t="s">
        <v>14489</v>
      </c>
      <c r="T1309" t="s">
        <v>14490</v>
      </c>
      <c r="U1309" t="s">
        <v>14491</v>
      </c>
      <c r="V1309">
        <f>-601.958198390999 -137.343920075152 -97.1835476959359</f>
        <v>-836.48566616208689</v>
      </c>
      <c r="W1309" t="s">
        <v>14492</v>
      </c>
      <c r="X1309" t="s">
        <v>14493</v>
      </c>
      <c r="Y1309" t="s">
        <v>14494</v>
      </c>
    </row>
    <row r="1310" spans="1:25" x14ac:dyDescent="0.3">
      <c r="A1310">
        <v>65450</v>
      </c>
      <c r="B1310" t="s">
        <v>14495</v>
      </c>
      <c r="C1310">
        <f>-621.098947855877 -43.9203471379768 -98.9781199825272</f>
        <v>-763.99741497638104</v>
      </c>
      <c r="D1310">
        <f>-646.351609215834 -53.1847542748878 -211.639894901409</f>
        <v>-911.17625839213076</v>
      </c>
      <c r="E1310">
        <f>-656.596955108897 -54.6462128518036 -309.719224366232</f>
        <v>-1020.9623923269326</v>
      </c>
      <c r="F1310">
        <f>-661.779570726114 -53.5942066916555 -398.658924727579</f>
        <v>-1114.0327021453486</v>
      </c>
      <c r="G1310">
        <f>-662.488797526649 -50.1790070523177 -487.687513647501</f>
        <v>-1200.3553182264677</v>
      </c>
      <c r="H1310">
        <f>-658.752200412784 -42.9995375075428 -612.006856098656</f>
        <v>-1313.7585940189829</v>
      </c>
      <c r="I1310">
        <f>-629.637617335071 -29.0295294603811 -688.571888038903</f>
        <v>-1347.2390348343552</v>
      </c>
      <c r="J1310">
        <f>-664.215632398151 -18.7535478686887 -555.83222925239</f>
        <v>-1238.8014095192298</v>
      </c>
      <c r="K1310" t="s">
        <v>14496</v>
      </c>
      <c r="L1310" t="s">
        <v>14497</v>
      </c>
      <c r="M1310" t="s">
        <v>14498</v>
      </c>
      <c r="N1310">
        <f>-656.577301800883 -73.5641504421602 -558.767892608874</f>
        <v>-1288.9093448519172</v>
      </c>
      <c r="O1310">
        <f>-636.95004118724 -207.829062390491 -536.804192175408</f>
        <v>-1381.5832957531391</v>
      </c>
      <c r="P1310">
        <f>-543.412276481503 -334.443830713574 -288.186881677858</f>
        <v>-1166.042988872935</v>
      </c>
      <c r="Q1310">
        <f>-436.317762461167 -129.192412555529 -354.921593900296</f>
        <v>-920.43176891699193</v>
      </c>
      <c r="R1310" t="s">
        <v>14499</v>
      </c>
      <c r="S1310" t="s">
        <v>14500</v>
      </c>
      <c r="T1310" t="s">
        <v>14501</v>
      </c>
      <c r="U1310" t="s">
        <v>14502</v>
      </c>
      <c r="V1310">
        <f>-601.441998338534 -138.729407689669 -97.1741767059589</f>
        <v>-837.34558273416178</v>
      </c>
      <c r="W1310" t="s">
        <v>14503</v>
      </c>
      <c r="X1310" t="s">
        <v>14504</v>
      </c>
      <c r="Y1310" t="s">
        <v>14505</v>
      </c>
    </row>
    <row r="1311" spans="1:25" x14ac:dyDescent="0.3">
      <c r="A1311">
        <v>65500</v>
      </c>
      <c r="B1311" t="s">
        <v>14506</v>
      </c>
      <c r="C1311">
        <f>-621.049279004658 -46.5134656545648 -99.0360449625955</f>
        <v>-766.59878962181836</v>
      </c>
      <c r="D1311">
        <f>-646.529940558308 -56.1362657118915 -211.616592175287</f>
        <v>-914.28279844548649</v>
      </c>
      <c r="E1311">
        <f>-657.151228031941 -57.7077688051315 -309.654196473942</f>
        <v>-1024.5131933110144</v>
      </c>
      <c r="F1311">
        <f>-662.742065258646 -56.6802709597998 -398.569504127637</f>
        <v>-1117.9918403460829</v>
      </c>
      <c r="G1311">
        <f>-663.926175618432 -53.2103573858352 -487.590776901786</f>
        <v>-1204.7273099060533</v>
      </c>
      <c r="H1311">
        <f>-660.921333223443 -45.8704629271239 -611.920599999742</f>
        <v>-1318.7123961503089</v>
      </c>
      <c r="I1311">
        <f>-631.760982106796 -31.3175442663969 -688.359608997815</f>
        <v>-1351.4381353710078</v>
      </c>
      <c r="J1311">
        <f>-666.324427631258 -21.7355144138771 -555.692344116104</f>
        <v>-1243.7522861612392</v>
      </c>
      <c r="K1311" t="s">
        <v>14507</v>
      </c>
      <c r="L1311" t="s">
        <v>14508</v>
      </c>
      <c r="M1311" t="s">
        <v>14509</v>
      </c>
      <c r="N1311">
        <f>-658.162835265066 -76.4652715128955 -558.726216732062</f>
        <v>-1293.3543235100233</v>
      </c>
      <c r="O1311">
        <f>-637.134160916903 -210.557272082021 -536.885593940517</f>
        <v>-1384.5770269394411</v>
      </c>
      <c r="P1311">
        <f>-543.179594702728 -331.876674160203 -285.797197934658</f>
        <v>-1160.8534667975889</v>
      </c>
      <c r="Q1311">
        <f>-434.91840551729 -128.750501518778 -357.002277475394</f>
        <v>-920.67118451146212</v>
      </c>
      <c r="R1311" t="s">
        <v>14510</v>
      </c>
      <c r="S1311" t="s">
        <v>14511</v>
      </c>
      <c r="T1311" t="s">
        <v>14512</v>
      </c>
      <c r="U1311" t="s">
        <v>14513</v>
      </c>
      <c r="V1311">
        <f>-600.516274808769 -141.212115480401 -97.1722454444298</f>
        <v>-838.90063573359976</v>
      </c>
      <c r="W1311" t="s">
        <v>14514</v>
      </c>
      <c r="X1311" t="s">
        <v>14515</v>
      </c>
      <c r="Y1311" t="s">
        <v>14516</v>
      </c>
    </row>
    <row r="1312" spans="1:25" x14ac:dyDescent="0.3">
      <c r="A1312">
        <v>65550</v>
      </c>
      <c r="B1312" t="s">
        <v>14517</v>
      </c>
      <c r="C1312">
        <f>-621.04210668894 -47.8599610650762 -99.0848583987423</f>
        <v>-767.98692615275843</v>
      </c>
      <c r="D1312">
        <f>-646.58001293314 -57.6399773756725 -211.638735456681</f>
        <v>-915.85872576549355</v>
      </c>
      <c r="E1312">
        <f>-657.338984930387 -59.2776359164816 -309.660261404658</f>
        <v>-1026.2768822515266</v>
      </c>
      <c r="F1312">
        <f>-663.088055771974 -58.2845584854259 -398.565778632787</f>
        <v>-1119.9383928901871</v>
      </c>
      <c r="G1312">
        <f>-664.463659474379 -54.82182429844 -487.584705592947</f>
        <v>-1206.870189365766</v>
      </c>
      <c r="H1312">
        <f>-661.759980526749 -47.4635146254567 -611.920338400021</f>
        <v>-1321.1438335522266</v>
      </c>
      <c r="I1312">
        <f>-632.604332749356 -32.7281906639246 -688.326126351938</f>
        <v>-1353.6586497652186</v>
      </c>
      <c r="J1312">
        <f>-667.121996057264 -23.3510952907902 -555.678428369322</f>
        <v>-1246.1515197173762</v>
      </c>
      <c r="K1312" t="s">
        <v>14518</v>
      </c>
      <c r="L1312" t="s">
        <v>14519</v>
      </c>
      <c r="M1312" t="s">
        <v>14520</v>
      </c>
      <c r="N1312">
        <f>-658.777472746098 -78.0520226420755 -558.734302945227</f>
        <v>-1295.5637983334004</v>
      </c>
      <c r="O1312">
        <f>-637.229541826101 -212.080973295781 -536.973965308197</f>
        <v>-1386.2844804300789</v>
      </c>
      <c r="P1312">
        <f>-542.858552450074 -331.755256585775 -285.253012121561</f>
        <v>-1159.86682115741</v>
      </c>
      <c r="Q1312">
        <f>-434.206554754677 -129.549765381701 -358.455364063449</f>
        <v>-922.211684199827</v>
      </c>
      <c r="R1312" t="s">
        <v>14521</v>
      </c>
      <c r="S1312" t="s">
        <v>14522</v>
      </c>
      <c r="T1312" t="s">
        <v>14523</v>
      </c>
      <c r="U1312" t="s">
        <v>14524</v>
      </c>
      <c r="V1312">
        <f>-600.195221152044 -142.585652790088 -97.1674657743115</f>
        <v>-839.94833971644357</v>
      </c>
      <c r="W1312" t="s">
        <v>14525</v>
      </c>
      <c r="X1312" t="s">
        <v>14526</v>
      </c>
      <c r="Y1312" t="s">
        <v>14527</v>
      </c>
    </row>
    <row r="1313" spans="1:25" x14ac:dyDescent="0.3">
      <c r="A1313">
        <v>65600</v>
      </c>
      <c r="B1313" t="s">
        <v>14528</v>
      </c>
      <c r="C1313">
        <f>-621.167044527691 -49.9780138259924 -99.1467523272499</f>
        <v>-770.29181068093339</v>
      </c>
      <c r="D1313">
        <f>-646.725865931189 -60.006788655963 -211.673971374849</f>
        <v>-918.40662596200093</v>
      </c>
      <c r="E1313">
        <f>-657.708404002521 -61.6861756389775 -309.670172230049</f>
        <v>-1029.0647518715475</v>
      </c>
      <c r="F1313">
        <f>-663.738584361586 -60.6643589095374 -398.556671710472</f>
        <v>-1122.9596149815955</v>
      </c>
      <c r="G1313">
        <f>-665.47275920917 -57.1044307914829 -487.565442024134</f>
        <v>-1210.142632024787</v>
      </c>
      <c r="H1313">
        <f>-663.349484388495 -49.5380311930644 -611.899924839562</f>
        <v>-1324.7874404211213</v>
      </c>
      <c r="I1313">
        <f>-634.310044002023 -34.5242772258812 -688.295742467534</f>
        <v>-1357.1300636954381</v>
      </c>
      <c r="J1313">
        <f>-668.576427105953 -25.5393185355399 -555.596668916575</f>
        <v>-1249.7124145580678</v>
      </c>
      <c r="K1313" t="s">
        <v>14529</v>
      </c>
      <c r="L1313" t="s">
        <v>14530</v>
      </c>
      <c r="M1313" t="s">
        <v>14531</v>
      </c>
      <c r="N1313">
        <f>-659.991210723736 -80.1958654004259 -558.776154533246</f>
        <v>-1298.9632306574078</v>
      </c>
      <c r="O1313">
        <f>-637.828476043924 -214.189624238296 -537.420219257872</f>
        <v>-1389.4383195400919</v>
      </c>
      <c r="P1313">
        <f>-541.508343851251 -333.5611774618 -286.294645094421</f>
        <v>-1161.3641664074719</v>
      </c>
      <c r="Q1313">
        <f>-433.481559790549 -131.144385822341 -359.837199996994</f>
        <v>-924.46314560988412</v>
      </c>
      <c r="R1313" t="s">
        <v>14532</v>
      </c>
      <c r="S1313" t="s">
        <v>14533</v>
      </c>
      <c r="T1313" t="s">
        <v>14534</v>
      </c>
      <c r="U1313" t="s">
        <v>14535</v>
      </c>
      <c r="V1313">
        <f>-599.823658377566 -144.553419782782 -97.1668055598656</f>
        <v>-841.54388372021356</v>
      </c>
      <c r="W1313" t="s">
        <v>14536</v>
      </c>
      <c r="X1313" t="s">
        <v>14537</v>
      </c>
      <c r="Y1313" t="s">
        <v>14538</v>
      </c>
    </row>
    <row r="1314" spans="1:25" x14ac:dyDescent="0.3">
      <c r="A1314">
        <v>65650</v>
      </c>
      <c r="B1314" t="s">
        <v>14539</v>
      </c>
      <c r="C1314">
        <f>-621.213281735588 -50.6929931628043 -99.172645127432</f>
        <v>-771.07892002582435</v>
      </c>
      <c r="D1314">
        <f>-646.784458485182 -60.836621205221 -211.686731954325</f>
        <v>-919.30781164472796</v>
      </c>
      <c r="E1314">
        <f>-657.860046951533 -62.5137651854891 -309.67240528512</f>
        <v>-1030.046217422142</v>
      </c>
      <c r="F1314">
        <f>-664.006094370111 -61.4498275143036 -398.550630558515</f>
        <v>-1124.0065524429297</v>
      </c>
      <c r="G1314">
        <f>-665.887105909893 -57.8067039949917 -487.553124307309</f>
        <v>-1211.2469342121938</v>
      </c>
      <c r="H1314">
        <f>-664.000616813589 -50.080265996412 -611.88152959677</f>
        <v>-1325.9624124067709</v>
      </c>
      <c r="I1314">
        <f>-635.06152805769 -34.9606500971063 -688.294507824885</f>
        <v>-1358.3166859796813</v>
      </c>
      <c r="J1314">
        <f>-669.162372547204 -26.1605467984491 -555.538547643799</f>
        <v>-1250.8614669894521</v>
      </c>
      <c r="K1314" t="s">
        <v>14540</v>
      </c>
      <c r="L1314" t="s">
        <v>14541</v>
      </c>
      <c r="M1314" t="s">
        <v>14542</v>
      </c>
      <c r="N1314">
        <f>-660.499174999438 -80.7999709732895 -558.802793132575</f>
        <v>-1300.1019391053023</v>
      </c>
      <c r="O1314">
        <f>-638.156281111436 -214.791726134833 -537.681192023383</f>
        <v>-1390.629199269652</v>
      </c>
      <c r="P1314">
        <f>-540.792367807086 -334.84196534772 -287.282828666194</f>
        <v>-1162.917161821</v>
      </c>
      <c r="Q1314">
        <f>-433.427604915718 -131.711533000623 -359.820474934543</f>
        <v>-924.95961285088401</v>
      </c>
      <c r="R1314" t="s">
        <v>14543</v>
      </c>
      <c r="S1314" t="s">
        <v>14544</v>
      </c>
      <c r="T1314" t="s">
        <v>14545</v>
      </c>
      <c r="U1314" t="s">
        <v>14546</v>
      </c>
      <c r="V1314">
        <f>-599.69725062538 -145.138916191946 -97.1607169164938</f>
        <v>-841.9968837338198</v>
      </c>
      <c r="W1314" t="s">
        <v>14547</v>
      </c>
      <c r="X1314" t="s">
        <v>14548</v>
      </c>
      <c r="Y1314" t="s">
        <v>14549</v>
      </c>
    </row>
    <row r="1315" spans="1:25" x14ac:dyDescent="0.3">
      <c r="A1315">
        <v>65700</v>
      </c>
      <c r="B1315" t="s">
        <v>14550</v>
      </c>
      <c r="C1315">
        <f>-621.376200029428 -51.9694546364241 -99.2532683008093</f>
        <v>-772.59892296666135</v>
      </c>
      <c r="D1315">
        <f>-647.020715616888 -62.2884759575253 -211.734791615871</f>
        <v>-921.04398319028428</v>
      </c>
      <c r="E1315">
        <f>-658.249660009868 -63.9640919623372 -309.702925495712</f>
        <v>-1031.9166774679172</v>
      </c>
      <c r="F1315">
        <f>-664.568381328905 -62.8378690469405 -398.56832931636</f>
        <v>-1125.9745796922055</v>
      </c>
      <c r="G1315">
        <f>-666.655100244181 -59.0700622355998 -487.561058600447</f>
        <v>-1213.2862210802277</v>
      </c>
      <c r="H1315">
        <f>-665.089258674603 -51.1038647551252 -611.878736757423</f>
        <v>-1328.0718601871513</v>
      </c>
      <c r="I1315">
        <f>-636.383585219531 -35.8465867732971 -688.352408612647</f>
        <v>-1360.582580605475</v>
      </c>
      <c r="J1315">
        <f>-670.169497583631 -27.3030540410666 -555.478153060025</f>
        <v>-1252.9507046847225</v>
      </c>
      <c r="K1315" t="s">
        <v>14551</v>
      </c>
      <c r="L1315" t="s">
        <v>14552</v>
      </c>
      <c r="M1315" t="s">
        <v>14553</v>
      </c>
      <c r="N1315">
        <f>-661.387121362725 -81.9158300980652 -558.867195384592</f>
        <v>-1302.1701468453821</v>
      </c>
      <c r="O1315">
        <f>-638.858421164099 -215.92437003557 -538.113822010277</f>
        <v>-1392.8966132099458</v>
      </c>
      <c r="P1315">
        <f>-539.95473220569 -337.666701562781 -289.139757815876</f>
        <v>-1166.761191584347</v>
      </c>
      <c r="Q1315">
        <f>-433.538585077948 -133.261443741411 -359.460478351503</f>
        <v>-926.26050717086196</v>
      </c>
      <c r="R1315" t="s">
        <v>14554</v>
      </c>
      <c r="S1315" t="s">
        <v>14555</v>
      </c>
      <c r="T1315" t="s">
        <v>14556</v>
      </c>
      <c r="U1315" t="s">
        <v>14557</v>
      </c>
      <c r="V1315">
        <f>-599.624411898323 -146.292026323196 -97.1682843035677</f>
        <v>-843.0847225250867</v>
      </c>
      <c r="W1315" t="s">
        <v>14558</v>
      </c>
      <c r="X1315" t="s">
        <v>14559</v>
      </c>
      <c r="Y1315" t="s">
        <v>14560</v>
      </c>
    </row>
    <row r="1316" spans="1:25" x14ac:dyDescent="0.3">
      <c r="A1316">
        <v>65750</v>
      </c>
      <c r="B1316" t="s">
        <v>14561</v>
      </c>
      <c r="C1316">
        <f>-621.516558021908 -52.5470099277511 -99.3017695354915</f>
        <v>-773.36533748515069</v>
      </c>
      <c r="D1316">
        <f>-647.16935111781 -62.965501261605 -211.772205921948</f>
        <v>-921.90705830136312</v>
      </c>
      <c r="E1316">
        <f>-658.449611878398 -64.6552751281793 -309.734291258929</f>
        <v>-1032.8391782655062</v>
      </c>
      <c r="F1316">
        <f>-664.83085324192 -63.5142689376663 -398.594816837608</f>
        <v>-1126.9399390171943</v>
      </c>
      <c r="G1316">
        <f>-666.99523488988 -59.7041316534364 -487.583910874981</f>
        <v>-1214.2832774182973</v>
      </c>
      <c r="H1316">
        <f>-665.553425392785 -51.64990485801 -611.897449135137</f>
        <v>-1329.1007793859321</v>
      </c>
      <c r="I1316">
        <f>-636.967550479663 -36.3322277337422 -688.403964125897</f>
        <v>-1361.7037423393022</v>
      </c>
      <c r="J1316">
        <f>-670.60079520299 -27.8926514339551 -555.475568933149</f>
        <v>-1253.9690155700941</v>
      </c>
      <c r="K1316" t="s">
        <v>14562</v>
      </c>
      <c r="L1316" t="s">
        <v>14563</v>
      </c>
      <c r="M1316" t="s">
        <v>14564</v>
      </c>
      <c r="N1316">
        <f>-661.774989083944 -82.495552447648 -558.910966000657</f>
        <v>-1303.181507532249</v>
      </c>
      <c r="O1316">
        <f>-639.232582006753 -216.53056878629 -538.331533382774</f>
        <v>-1394.0946841758168</v>
      </c>
      <c r="P1316">
        <f>-539.968489895764 -338.738992963794 -289.729504035228</f>
        <v>-1168.4369868947861</v>
      </c>
      <c r="Q1316">
        <f>-433.416515139346 -134.204634361626 -359.4663990072</f>
        <v>-927.08754850817195</v>
      </c>
      <c r="R1316" t="s">
        <v>14565</v>
      </c>
      <c r="S1316" t="s">
        <v>14566</v>
      </c>
      <c r="T1316" t="s">
        <v>14567</v>
      </c>
      <c r="U1316" t="s">
        <v>14568</v>
      </c>
      <c r="V1316">
        <f>-599.572190561015 -146.830191464775 -97.1757260555952</f>
        <v>-843.57810808138515</v>
      </c>
      <c r="W1316" t="s">
        <v>14569</v>
      </c>
      <c r="X1316" t="s">
        <v>14570</v>
      </c>
      <c r="Y1316" t="s">
        <v>14571</v>
      </c>
    </row>
    <row r="1317" spans="1:25" x14ac:dyDescent="0.3">
      <c r="A1317">
        <v>65800</v>
      </c>
      <c r="B1317" t="s">
        <v>14572</v>
      </c>
      <c r="C1317">
        <f>-621.736455624328 -53.5981685881286 -99.381992052395</f>
        <v>-774.71661626485161</v>
      </c>
      <c r="D1317">
        <f>-647.434807439129 -64.1465992517285 -211.83000922096</f>
        <v>-923.41141591181758</v>
      </c>
      <c r="E1317">
        <f>-658.818849201909 -65.8715503166401 -309.779301120548</f>
        <v>-1034.469700639097</v>
      </c>
      <c r="F1317">
        <f>-665.317816591018 -64.7335169107826 -398.631608509518</f>
        <v>-1128.6829420113186</v>
      </c>
      <c r="G1317">
        <f>-667.622803604554 -60.8969456923149 -487.615946032835</f>
        <v>-1216.1356953297038</v>
      </c>
      <c r="H1317">
        <f>-666.40024750323 -52.7758031834389 -611.927366393056</f>
        <v>-1331.103417079725</v>
      </c>
      <c r="I1317">
        <f>-638.025356447929 -37.3303358277003 -688.48680950868</f>
        <v>-1363.8425017843092</v>
      </c>
      <c r="J1317">
        <f>-671.388069732329 -29.0555360624342 -555.484793586457</f>
        <v>-1255.9283993812201</v>
      </c>
      <c r="K1317" t="s">
        <v>14573</v>
      </c>
      <c r="L1317" t="s">
        <v>14574</v>
      </c>
      <c r="M1317" t="s">
        <v>14575</v>
      </c>
      <c r="N1317">
        <f>-662.488393456364 -83.6435562758677 -558.963454916033</f>
        <v>-1305.0954046482648</v>
      </c>
      <c r="O1317">
        <f>-639.816722216265 -217.684443923334 -538.541610950217</f>
        <v>-1396.0427770898159</v>
      </c>
      <c r="P1317">
        <f>-538.716366454431 -340.262359361775 -290.863310969311</f>
        <v>-1169.8420367855169</v>
      </c>
      <c r="Q1317">
        <f>-432.082611753936 -135.776426827155 -360.617398355295</f>
        <v>-928.47643693638599</v>
      </c>
      <c r="R1317" t="s">
        <v>14576</v>
      </c>
      <c r="S1317" t="s">
        <v>14577</v>
      </c>
      <c r="T1317" t="s">
        <v>14578</v>
      </c>
      <c r="U1317" t="s">
        <v>14579</v>
      </c>
      <c r="V1317">
        <f>-599.504876293939 -147.822522055872 -97.2095067210132</f>
        <v>-844.53690507082422</v>
      </c>
      <c r="W1317" t="s">
        <v>14580</v>
      </c>
      <c r="X1317" t="s">
        <v>14581</v>
      </c>
      <c r="Y1317" t="s">
        <v>14582</v>
      </c>
    </row>
    <row r="1318" spans="1:25" x14ac:dyDescent="0.3">
      <c r="A1318">
        <v>65850</v>
      </c>
      <c r="B1318" t="s">
        <v>14583</v>
      </c>
      <c r="C1318">
        <f>-621.799869101468 -54.0436487836554 -99.4296251094893</f>
        <v>-775.27314299461261</v>
      </c>
      <c r="D1318">
        <f>-647.514866146193 -64.628529514799 -211.870306130224</f>
        <v>-924.01370179121591</v>
      </c>
      <c r="E1318">
        <f>-658.959283780832 -66.3413815017404 -309.813018647148</f>
        <v>-1035.1136839297205</v>
      </c>
      <c r="F1318">
        <f>-665.530727076602 -65.1746149068375 -398.659463010555</f>
        <v>-1129.3648049939945</v>
      </c>
      <c r="G1318">
        <f>-667.926147349712 -61.2911188821938 -487.639342486465</f>
        <v>-1216.8566087183708</v>
      </c>
      <c r="H1318">
        <f>-666.848434634265 -53.0842446390515 -611.946572748912</f>
        <v>-1331.8792520222285</v>
      </c>
      <c r="I1318">
        <f>-638.595044307455 -37.5229797639422 -688.527445077574</f>
        <v>-1364.6454691489712</v>
      </c>
      <c r="J1318">
        <f>-671.803634564976 -29.4081341483663 -555.482435820369</f>
        <v>-1256.6942045337114</v>
      </c>
      <c r="K1318" t="s">
        <v>14584</v>
      </c>
      <c r="L1318" t="s">
        <v>14585</v>
      </c>
      <c r="M1318" t="s">
        <v>14586</v>
      </c>
      <c r="N1318">
        <f>-662.841848495414 -83.9830949522998 -559.007815808678</f>
        <v>-1305.8327592563917</v>
      </c>
      <c r="O1318">
        <f>-639.992696404453 -218.004964709782 -538.664846797449</f>
        <v>-1396.6625079116839</v>
      </c>
      <c r="P1318">
        <f>-538.234870640218 -340.224339642636 -291.078630706172</f>
        <v>-1169.5378409890259</v>
      </c>
      <c r="Q1318">
        <f>-431.130539642404 -136.098718420913 -361.165977988959</f>
        <v>-928.395236052276</v>
      </c>
      <c r="R1318" t="s">
        <v>14587</v>
      </c>
      <c r="S1318" t="s">
        <v>14588</v>
      </c>
      <c r="T1318" t="s">
        <v>14589</v>
      </c>
      <c r="U1318" t="s">
        <v>14590</v>
      </c>
      <c r="V1318">
        <f>-599.420502533829 -148.211506571025 -97.2369253410459</f>
        <v>-844.86893444589987</v>
      </c>
      <c r="W1318" t="s">
        <v>14591</v>
      </c>
      <c r="X1318" t="s">
        <v>14592</v>
      </c>
      <c r="Y1318" t="s">
        <v>14593</v>
      </c>
    </row>
    <row r="1319" spans="1:25" x14ac:dyDescent="0.3">
      <c r="A1319">
        <v>65900</v>
      </c>
      <c r="B1319" t="s">
        <v>14594</v>
      </c>
      <c r="C1319">
        <f>-621.910184802809 -54.7991564169464 -99.5194891004853</f>
        <v>-776.22883032024072</v>
      </c>
      <c r="D1319">
        <f>-647.652772469303 -65.4637829357512 -211.946385142658</f>
        <v>-925.06294054771217</v>
      </c>
      <c r="E1319">
        <f>-659.212815459271 -67.1270760285498 -309.876248409933</f>
        <v>-1036.2161398977539</v>
      </c>
      <c r="F1319">
        <f>-665.925578293948 -65.8671242049936 -398.710865988434</f>
        <v>-1130.5035684873756</v>
      </c>
      <c r="G1319">
        <f>-668.499193011784 -61.8385336760468 -487.679386123422</f>
        <v>-1218.0171128112529</v>
      </c>
      <c r="H1319">
        <f>-667.709165352441 -53.3728001190212 -611.971398254943</f>
        <v>-1333.0533637264052</v>
      </c>
      <c r="I1319">
        <f>-639.718496608514 -37.5624161069813 -688.597677908153</f>
        <v>-1365.8785906236483</v>
      </c>
      <c r="J1319">
        <f>-672.658823034561 -29.8351676069883 -555.448848549373</f>
        <v>-1257.9428391909223</v>
      </c>
      <c r="K1319" t="s">
        <v>14595</v>
      </c>
      <c r="L1319" t="s">
        <v>14596</v>
      </c>
      <c r="M1319" t="s">
        <v>14597</v>
      </c>
      <c r="N1319">
        <f>-663.454763732199 -84.3611136539038 -559.104239165098</f>
        <v>-1306.9201165512009</v>
      </c>
      <c r="O1319">
        <f>-639.931566288253 -218.279714338644 -538.878368959162</f>
        <v>-1397.0896495860588</v>
      </c>
      <c r="P1319">
        <f>-537.113627561944 -339.335234543092 -291.158208454504</f>
        <v>-1167.6070705595398</v>
      </c>
      <c r="Q1319">
        <f>-430.678063270514 -135.15474237719 -362.099810163209</f>
        <v>-927.93261581091292</v>
      </c>
      <c r="R1319" t="s">
        <v>14598</v>
      </c>
      <c r="S1319" t="s">
        <v>14599</v>
      </c>
      <c r="T1319" t="s">
        <v>14600</v>
      </c>
      <c r="U1319" t="s">
        <v>14601</v>
      </c>
      <c r="V1319">
        <f>-599.141726440785 -148.985261906508 -97.3219790670192</f>
        <v>-845.44896741431216</v>
      </c>
      <c r="W1319" t="s">
        <v>14602</v>
      </c>
      <c r="X1319" t="s">
        <v>14603</v>
      </c>
      <c r="Y1319" t="s">
        <v>14604</v>
      </c>
    </row>
    <row r="1320" spans="1:25" x14ac:dyDescent="0.3">
      <c r="A1320">
        <v>65950</v>
      </c>
      <c r="B1320" t="s">
        <v>14605</v>
      </c>
      <c r="C1320">
        <f>-622.009539302079 -55.2018784517273 -99.568987189929</f>
        <v>-776.78040494373533</v>
      </c>
      <c r="D1320">
        <f>-647.748187146012 -65.9191141605338 -211.991804245016</f>
        <v>-925.65910555156188</v>
      </c>
      <c r="E1320">
        <f>-659.340029006494 -67.5492467803265 -309.91843355343</f>
        <v>-1036.8077093402505</v>
      </c>
      <c r="F1320">
        <f>-666.094891716735 -66.2281994585616 -398.749039555604</f>
        <v>-1131.0721307309004</v>
      </c>
      <c r="G1320">
        <f>-668.723829897746 -62.1059747453435 -487.711558948447</f>
        <v>-1218.5413635915365</v>
      </c>
      <c r="H1320">
        <f>-668.024882903666 -53.4748027539122 -611.992820002913</f>
        <v>-1333.4925056604911</v>
      </c>
      <c r="I1320">
        <f>-640.151923329445 -37.5244391498932 -688.632821193422</f>
        <v>-1366.3091836727604</v>
      </c>
      <c r="J1320">
        <f>-673.017096098831 -30.0266464653082 -555.436786787326</f>
        <v>-1258.4805293514651</v>
      </c>
      <c r="K1320" t="s">
        <v>14606</v>
      </c>
      <c r="L1320" t="s">
        <v>14607</v>
      </c>
      <c r="M1320" t="s">
        <v>14608</v>
      </c>
      <c r="N1320">
        <f>-663.647777899975 -84.5193027252578 -559.168652258735</f>
        <v>-1307.3357328839679</v>
      </c>
      <c r="O1320">
        <f>-639.696677723767 -218.391355701488 -539.10866446839</f>
        <v>-1397.196697893645</v>
      </c>
      <c r="P1320">
        <f>-537.624833645438 -338.57139326737 -290.654873236026</f>
        <v>-1166.8511001488341</v>
      </c>
      <c r="Q1320">
        <f>-431.289619997853 -134.746002173243 -362.758094037514</f>
        <v>-928.79371620861002</v>
      </c>
      <c r="R1320" t="s">
        <v>14609</v>
      </c>
      <c r="S1320" t="s">
        <v>14610</v>
      </c>
      <c r="T1320" t="s">
        <v>14611</v>
      </c>
      <c r="U1320" t="s">
        <v>14612</v>
      </c>
      <c r="V1320">
        <f>-599.000342513107 -149.454370158184 -97.358414081595</f>
        <v>-845.81312675288598</v>
      </c>
      <c r="W1320" t="s">
        <v>14613</v>
      </c>
      <c r="X1320" t="s">
        <v>14614</v>
      </c>
      <c r="Y1320" t="s">
        <v>14615</v>
      </c>
    </row>
    <row r="1321" spans="1:25" x14ac:dyDescent="0.3">
      <c r="A1321">
        <v>66000</v>
      </c>
      <c r="B1321" t="s">
        <v>14616</v>
      </c>
      <c r="C1321">
        <f>-622.160285675617 -55.8699344671824 -99.63018875127</f>
        <v>-777.66040889406941</v>
      </c>
      <c r="D1321">
        <f>-647.909923161483 -66.7092252728146 -212.038706952996</f>
        <v>-926.65785538729358</v>
      </c>
      <c r="E1321">
        <f>-659.568019196248 -68.2717615115851 -309.95868447635</f>
        <v>-1037.798465184183</v>
      </c>
      <c r="F1321">
        <f>-666.402154191962 -66.8234227941737 -398.78119747226</f>
        <v>-1132.0067744583957</v>
      </c>
      <c r="G1321">
        <f>-669.128989111266 -62.5057352182115 -487.731505681576</f>
        <v>-1219.3662300110536</v>
      </c>
      <c r="H1321">
        <f>-668.58517104727 -53.5300916798437 -611.989119964676</f>
        <v>-1334.1043826917899</v>
      </c>
      <c r="I1321">
        <f>-640.940580050038 -37.3145499822556 -688.656327545761</f>
        <v>-1366.9114575780545</v>
      </c>
      <c r="J1321">
        <f>-673.65923469394 -30.2651897130843 -555.364784650604</f>
        <v>-1259.2892090576283</v>
      </c>
      <c r="K1321" t="s">
        <v>14617</v>
      </c>
      <c r="L1321" t="s">
        <v>14618</v>
      </c>
      <c r="M1321" t="s">
        <v>14619</v>
      </c>
      <c r="N1321">
        <f>-663.989729740876 -84.6944771239522 -559.254081944111</f>
        <v>-1307.9382888089392</v>
      </c>
      <c r="O1321">
        <f>-639.339194601402 -218.481281623351 -539.533765559438</f>
        <v>-1397.3542417841911</v>
      </c>
      <c r="P1321">
        <f>-539.229023166454 -336.129531532649 -289.078139001178</f>
        <v>-1164.436693700281</v>
      </c>
      <c r="Q1321">
        <f>-433.537568339734 -132.958096116596 -363.921666869768</f>
        <v>-930.41733132609806</v>
      </c>
      <c r="R1321" t="s">
        <v>14620</v>
      </c>
      <c r="S1321" t="s">
        <v>14621</v>
      </c>
      <c r="T1321" t="s">
        <v>14622</v>
      </c>
      <c r="U1321" t="s">
        <v>14623</v>
      </c>
      <c r="V1321">
        <f>-598.596977526083 -150.156858277311 -97.4383203758553</f>
        <v>-846.19215617924931</v>
      </c>
      <c r="W1321" t="s">
        <v>14624</v>
      </c>
      <c r="X1321" t="s">
        <v>14625</v>
      </c>
      <c r="Y1321" t="s">
        <v>14626</v>
      </c>
    </row>
    <row r="1322" spans="1:25" x14ac:dyDescent="0.3">
      <c r="A1322">
        <v>66050</v>
      </c>
      <c r="B1322" t="s">
        <v>14627</v>
      </c>
      <c r="C1322">
        <f>-622.146569368121 -56.203845914176 -99.6422487748441</f>
        <v>-777.99266405714116</v>
      </c>
      <c r="D1322">
        <f>-647.904515534818 -67.1149424456441 -212.04206484125</f>
        <v>-927.06152282171206</v>
      </c>
      <c r="E1322">
        <f>-659.586127953563 -68.6474823831891 -309.959509296579</f>
        <v>-1038.1931196333312</v>
      </c>
      <c r="F1322">
        <f>-666.446254188639 -67.1370320564101 -398.779087122001</f>
        <v>-1132.3623733670502</v>
      </c>
      <c r="G1322">
        <f>-669.203235896183 -62.7216060215654 -487.723641432067</f>
        <v>-1219.6484833498153</v>
      </c>
      <c r="H1322">
        <f>-668.704955950121 -53.5721726814005 -611.968878810496</f>
        <v>-1334.2460074420173</v>
      </c>
      <c r="I1322">
        <f>-641.151630248516 -37.2464693311688 -688.645483318816</f>
        <v>-1367.0435828985007</v>
      </c>
      <c r="J1322">
        <f>-673.824237648472 -30.3981688395786 -555.311298782429</f>
        <v>-1259.5337052704797</v>
      </c>
      <c r="K1322" t="s">
        <v>14628</v>
      </c>
      <c r="L1322" t="s">
        <v>14629</v>
      </c>
      <c r="M1322" t="s">
        <v>14630</v>
      </c>
      <c r="N1322">
        <f>-664.024223600544 -84.7985478999067 -559.277948987718</f>
        <v>-1308.1007204881687</v>
      </c>
      <c r="O1322">
        <f>-639.065711936054 -218.558558536732 -539.696971837176</f>
        <v>-1397.3212423099619</v>
      </c>
      <c r="P1322">
        <f>-540.614133990618 -334.563845165006 -287.821469470937</f>
        <v>-1162.9994486265609</v>
      </c>
      <c r="Q1322">
        <f>-434.329742647102 -132.176344921807 -363.938484288425</f>
        <v>-930.44457185733404</v>
      </c>
      <c r="R1322" t="s">
        <v>14631</v>
      </c>
      <c r="S1322" t="s">
        <v>14632</v>
      </c>
      <c r="T1322" t="s">
        <v>14633</v>
      </c>
      <c r="U1322" t="s">
        <v>14634</v>
      </c>
      <c r="V1322">
        <f>-598.310238791581 -150.488823328016 -97.4644276081032</f>
        <v>-846.26348972770018</v>
      </c>
      <c r="W1322" t="s">
        <v>14635</v>
      </c>
      <c r="X1322" t="s">
        <v>14636</v>
      </c>
      <c r="Y1322" t="s">
        <v>14637</v>
      </c>
    </row>
    <row r="1323" spans="1:25" x14ac:dyDescent="0.3">
      <c r="A1323">
        <v>66100</v>
      </c>
      <c r="B1323" t="s">
        <v>14638</v>
      </c>
      <c r="C1323">
        <f>-622.117418209389 -56.6708364211181 -99.6752414310777</f>
        <v>-778.46349606158481</v>
      </c>
      <c r="D1323">
        <f>-647.864047123266 -67.654880075325 -212.07049543996</f>
        <v>-927.58942263855101</v>
      </c>
      <c r="E1323">
        <f>-659.547284892648 -69.1186559386122 -309.988950878532</f>
        <v>-1038.6548917097921</v>
      </c>
      <c r="F1323">
        <f>-666.410521812507 -67.4963389633381 -398.806141493186</f>
        <v>-1132.713002269031</v>
      </c>
      <c r="G1323">
        <f>-669.17100779747 -62.9183882205032 -487.742322826042</f>
        <v>-1219.8317188440151</v>
      </c>
      <c r="H1323">
        <f>-668.677310452067 -53.4895859433035 -611.96672932862</f>
        <v>-1334.1336257239905</v>
      </c>
      <c r="I1323">
        <f>-641.263056361841 -37.024396090133 -688.663383387386</f>
        <v>-1366.95083583936</v>
      </c>
      <c r="J1323">
        <f>-673.899664648326 -30.4621306308518 -555.25884016976</f>
        <v>-1259.6206354489377</v>
      </c>
      <c r="K1323" t="s">
        <v>14639</v>
      </c>
      <c r="L1323" t="s">
        <v>14640</v>
      </c>
      <c r="M1323" t="s">
        <v>14641</v>
      </c>
      <c r="N1323">
        <f>-663.889532893789 -84.8153690370548 -559.344557164948</f>
        <v>-1308.0494590957919</v>
      </c>
      <c r="O1323">
        <f>-638.388974971522 -218.506789738362 -539.956714682766</f>
        <v>-1396.8524793926499</v>
      </c>
      <c r="P1323">
        <f>-543.343465004361 -331.701971468096 -285.507511424356</f>
        <v>-1160.5529478968128</v>
      </c>
      <c r="Q1323">
        <f>-436.730188621431 -130.386634567485 -363.971606229452</f>
        <v>-931.08842941836792</v>
      </c>
      <c r="R1323" t="s">
        <v>14642</v>
      </c>
      <c r="S1323" t="s">
        <v>14643</v>
      </c>
      <c r="T1323" t="s">
        <v>14644</v>
      </c>
      <c r="U1323" t="s">
        <v>14645</v>
      </c>
      <c r="V1323">
        <f>-597.885835370684 -150.952029066077 -97.4982503689367</f>
        <v>-846.33611480569778</v>
      </c>
      <c r="W1323" t="s">
        <v>14646</v>
      </c>
      <c r="X1323" t="s">
        <v>14647</v>
      </c>
      <c r="Y1323" t="s">
        <v>14648</v>
      </c>
    </row>
    <row r="1324" spans="1:25" x14ac:dyDescent="0.3">
      <c r="A1324">
        <v>66150</v>
      </c>
      <c r="B1324" t="s">
        <v>14649</v>
      </c>
      <c r="C1324">
        <f>-622.144741778808 -56.7423603116376 -99.6743122485937</f>
        <v>-778.56141433903929</v>
      </c>
      <c r="D1324">
        <f>-647.870963475211 -67.7388994939647 -212.072967731227</f>
        <v>-927.68283070040275</v>
      </c>
      <c r="E1324">
        <f>-659.558456035807 -69.1381837641956 -309.991871429697</f>
        <v>-1038.6885112296995</v>
      </c>
      <c r="F1324">
        <f>-666.433025020802 -67.4280250417601 -398.806534144257</f>
        <v>-1132.6675842068191</v>
      </c>
      <c r="G1324">
        <f>-669.212477924744 -62.7320027654794 -487.736015888057</f>
        <v>-1219.6804965782803</v>
      </c>
      <c r="H1324">
        <f>-668.752600221441 -53.1064790540071 -611.945349335557</f>
        <v>-1333.8044286110051</v>
      </c>
      <c r="I1324">
        <f>-641.395104784307 -36.5590795064877 -688.644592830674</f>
        <v>-1366.5987771214686</v>
      </c>
      <c r="J1324">
        <f>-674.014732622373 -30.1789743800418 -555.200763480158</f>
        <v>-1259.3944704825728</v>
      </c>
      <c r="K1324" t="s">
        <v>14650</v>
      </c>
      <c r="L1324" t="s">
        <v>14651</v>
      </c>
      <c r="M1324" t="s">
        <v>14652</v>
      </c>
      <c r="N1324">
        <f>-663.895227526865 -84.5054072081703 -559.373306735516</f>
        <v>-1307.7739414705513</v>
      </c>
      <c r="O1324">
        <f>-638.122017941088 -218.165084862939 -540.119291448</f>
        <v>-1396.406394252027</v>
      </c>
      <c r="P1324">
        <f>-545.613224071754 -329.750231622099 -284.029343951323</f>
        <v>-1159.392799645176</v>
      </c>
      <c r="Q1324">
        <f>-438.201280221684 -129.331585502058 -363.690600095514</f>
        <v>-931.22346581925603</v>
      </c>
      <c r="R1324" t="s">
        <v>14653</v>
      </c>
      <c r="S1324" t="s">
        <v>14654</v>
      </c>
      <c r="T1324" t="s">
        <v>14655</v>
      </c>
      <c r="U1324" t="s">
        <v>14656</v>
      </c>
      <c r="V1324">
        <f>-597.762923704316 -150.917025523943 -97.5159232898228</f>
        <v>-846.19587251808184</v>
      </c>
      <c r="W1324" t="s">
        <v>14657</v>
      </c>
      <c r="X1324" t="s">
        <v>14658</v>
      </c>
      <c r="Y1324" t="s">
        <v>14659</v>
      </c>
    </row>
    <row r="1325" spans="1:25" x14ac:dyDescent="0.3">
      <c r="A1325">
        <v>66200</v>
      </c>
      <c r="B1325" t="s">
        <v>14660</v>
      </c>
      <c r="C1325">
        <f>-622.232520151308 -56.5295665148632 -99.6672151433474</f>
        <v>-778.42930180951862</v>
      </c>
      <c r="D1325">
        <f>-647.944380691061 -67.5830452948189 -212.063577335826</f>
        <v>-927.59100332170601</v>
      </c>
      <c r="E1325">
        <f>-659.626526346999 -68.8736033227397 -309.984589028991</f>
        <v>-1038.4847186987297</v>
      </c>
      <c r="F1325">
        <f>-666.496553971999 -67.0042659491165 -398.796576368381</f>
        <v>-1132.2973962894966</v>
      </c>
      <c r="G1325">
        <f>-669.270608015471 -62.0869304573306 -487.714177600068</f>
        <v>-1219.0717160728695</v>
      </c>
      <c r="H1325">
        <f>-668.801805679104 -52.0874208710208 -611.89397692729</f>
        <v>-1332.7832034774146</v>
      </c>
      <c r="I1325">
        <f>-641.526493098685 -35.3632498010948 -688.584156552966</f>
        <v>-1365.4738994527456</v>
      </c>
      <c r="J1325">
        <f>-674.171766522346 -29.3504235955486 -555.082814341043</f>
        <v>-1258.6050044589376</v>
      </c>
      <c r="K1325" t="s">
        <v>14661</v>
      </c>
      <c r="L1325" t="s">
        <v>14662</v>
      </c>
      <c r="M1325" t="s">
        <v>14663</v>
      </c>
      <c r="N1325">
        <f>-663.844345434385 -83.6251780376833 -559.414289286816</f>
        <v>-1306.8838127588842</v>
      </c>
      <c r="O1325">
        <f>-637.622545459357 -217.223967414076 -540.411045652918</f>
        <v>-1395.257558526351</v>
      </c>
      <c r="P1325">
        <f>-550.859087037073 -325.57416122646 -280.943186345805</f>
        <v>-1157.376434609338</v>
      </c>
      <c r="Q1325">
        <f>-441.931673776483 -127.091143413869 -363.345779938448</f>
        <v>-932.36859712880005</v>
      </c>
      <c r="R1325" t="s">
        <v>14664</v>
      </c>
      <c r="S1325" t="s">
        <v>14665</v>
      </c>
      <c r="T1325" t="s">
        <v>14666</v>
      </c>
      <c r="U1325" t="s">
        <v>14667</v>
      </c>
      <c r="V1325">
        <f>-597.424581592222 -150.555064613831 -97.5700597043605</f>
        <v>-845.54970591041354</v>
      </c>
      <c r="W1325" t="s">
        <v>14668</v>
      </c>
      <c r="X1325" t="s">
        <v>14669</v>
      </c>
      <c r="Y1325" t="s">
        <v>14670</v>
      </c>
    </row>
    <row r="1326" spans="1:25" x14ac:dyDescent="0.3">
      <c r="A1326">
        <v>66250</v>
      </c>
      <c r="B1326" t="s">
        <v>14671</v>
      </c>
      <c r="C1326">
        <f>-622.185775459781 -56.4461354240669 -99.6732066978551</f>
        <v>-778.30511758170303</v>
      </c>
      <c r="D1326">
        <f>-647.89590858795 -67.5355960316531 -212.06642941253</f>
        <v>-927.49793403213312</v>
      </c>
      <c r="E1326">
        <f>-659.551148146325 -68.7708174701238 -309.991320514803</f>
        <v>-1038.3132861312517</v>
      </c>
      <c r="F1326">
        <f>-666.384289263551 -66.8187168328648 -398.804295752142</f>
        <v>-1132.0073018485577</v>
      </c>
      <c r="G1326">
        <f>-669.108463489687 -61.7859832637774 -487.717049080842</f>
        <v>-1218.6114958343064</v>
      </c>
      <c r="H1326">
        <f>-668.555348021398 -51.5919252279592 -611.880596367824</f>
        <v>-1332.0278696171813</v>
      </c>
      <c r="I1326">
        <f>-641.272050564904 -34.776961710229 -688.548224311321</f>
        <v>-1364.5972365864541</v>
      </c>
      <c r="J1326">
        <f>-674.004560044516 -28.9516008272155 -555.03852432608</f>
        <v>-1257.9946851978116</v>
      </c>
      <c r="K1326" t="s">
        <v>14672</v>
      </c>
      <c r="L1326" t="s">
        <v>14673</v>
      </c>
      <c r="M1326" t="s">
        <v>14674</v>
      </c>
      <c r="N1326">
        <f>-663.592968153341 -83.2041317759893 -559.446425084826</f>
        <v>-1306.2435250141561</v>
      </c>
      <c r="O1326">
        <f>-637.201645424313 -216.79022307743 -540.563287824448</f>
        <v>-1394.5551563261911</v>
      </c>
      <c r="P1326">
        <f>-553.620477414232 -323.377129404191 -279.326637587893</f>
        <v>-1156.324244406316</v>
      </c>
      <c r="Q1326">
        <f>-443.734501090365 -126.011408439932 -363.128193099464</f>
        <v>-932.87410262976096</v>
      </c>
      <c r="R1326" t="s">
        <v>14675</v>
      </c>
      <c r="S1326" t="s">
        <v>14676</v>
      </c>
      <c r="T1326" t="s">
        <v>14677</v>
      </c>
      <c r="U1326" t="s">
        <v>14678</v>
      </c>
      <c r="V1326">
        <f>-597.166705788538 -150.508747583947 -97.5914418918769</f>
        <v>-845.26689526436189</v>
      </c>
      <c r="W1326" t="s">
        <v>14679</v>
      </c>
      <c r="X1326" t="s">
        <v>14680</v>
      </c>
      <c r="Y1326" t="s">
        <v>14681</v>
      </c>
    </row>
    <row r="1327" spans="1:25" x14ac:dyDescent="0.3">
      <c r="A1327">
        <v>66300</v>
      </c>
      <c r="B1327" t="s">
        <v>14682</v>
      </c>
      <c r="C1327">
        <f>-621.959805436696 -56.4090553312603 -99.6775482453437</f>
        <v>-778.04640901330004</v>
      </c>
      <c r="D1327">
        <f>-647.639764007687 -67.5633926605956 -212.071280089748</f>
        <v>-927.27443675803056</v>
      </c>
      <c r="E1327">
        <f>-659.218902567893 -68.7220570283329 -310.006075247642</f>
        <v>-1037.9470348438679</v>
      </c>
      <c r="F1327">
        <f>-665.959541885499 -66.6514327329073 -398.823465615075</f>
        <v>-1131.4344402334814</v>
      </c>
      <c r="G1327">
        <f>-668.566089181355 -61.4517755324623 -487.730231080183</f>
        <v>-1217.7480957940002</v>
      </c>
      <c r="H1327">
        <f>-667.821224387003 -50.9748942542752 -611.869262382017</f>
        <v>-1330.6653810232951</v>
      </c>
      <c r="I1327">
        <f>-640.488270443201 -34.0227443130611 -688.488825665538</f>
        <v>-1362.9998404218002</v>
      </c>
      <c r="J1327">
        <f>-673.424973554149 -28.4768349262195 -554.985572874284</f>
        <v>-1256.8873813546525</v>
      </c>
      <c r="K1327" t="s">
        <v>14683</v>
      </c>
      <c r="L1327" t="s">
        <v>14684</v>
      </c>
      <c r="M1327" t="s">
        <v>14685</v>
      </c>
      <c r="N1327">
        <f>-662.873046477318 -82.6936269154968 -559.497972135677</f>
        <v>-1305.0646455284918</v>
      </c>
      <c r="O1327">
        <f>-636.169861731334 -216.235223306996 -540.761339782369</f>
        <v>-1393.1664248206989</v>
      </c>
      <c r="P1327">
        <f>-557.888619364808 -319.795913530501 -276.681036359632</f>
        <v>-1154.365569254941</v>
      </c>
      <c r="Q1327">
        <f>-447.28863192915 -123.755294244591 -362.626314017626</f>
        <v>-933.67024019136693</v>
      </c>
      <c r="R1327" t="s">
        <v>14686</v>
      </c>
      <c r="S1327" t="s">
        <v>14687</v>
      </c>
      <c r="T1327" t="s">
        <v>14688</v>
      </c>
      <c r="U1327" t="s">
        <v>14689</v>
      </c>
      <c r="V1327">
        <f>-596.601675931069 -150.431141895271 -97.6172952121818</f>
        <v>-844.65011303852191</v>
      </c>
      <c r="W1327" t="s">
        <v>14690</v>
      </c>
      <c r="X1327" t="s">
        <v>14691</v>
      </c>
      <c r="Y1327" t="s">
        <v>14692</v>
      </c>
    </row>
    <row r="1328" spans="1:25" x14ac:dyDescent="0.3">
      <c r="A1328">
        <v>66350</v>
      </c>
      <c r="B1328" t="s">
        <v>14693</v>
      </c>
      <c r="C1328">
        <f>-621.945279534157 -56.3848194709984 -99.6597093875974</f>
        <v>-777.98980839275282</v>
      </c>
      <c r="D1328">
        <f>-647.630891070495 -67.544014056867 -212.051658953117</f>
        <v>-927.22656408047897</v>
      </c>
      <c r="E1328">
        <f>-659.178126689442 -68.6502557660359 -309.990803530219</f>
        <v>-1037.819185985697</v>
      </c>
      <c r="F1328">
        <f>-665.873523245223 -66.5117602960473 -398.809965503187</f>
        <v>-1131.1952490444573</v>
      </c>
      <c r="G1328">
        <f>-668.417694159238 -61.2237797033318 -487.713247128505</f>
        <v>-1217.3547209910748</v>
      </c>
      <c r="H1328">
        <f>-667.56714990573 -50.6033345481769 -611.839438133694</f>
        <v>-1330.0099225876011</v>
      </c>
      <c r="I1328">
        <f>-640.214548837388 -33.5932879745621 -688.439230893587</f>
        <v>-1362.2470677055371</v>
      </c>
      <c r="J1328">
        <f>-673.248920239681 -28.1768294489627 -554.93526984447</f>
        <v>-1256.3610195331137</v>
      </c>
      <c r="K1328" t="s">
        <v>14694</v>
      </c>
      <c r="L1328" t="s">
        <v>14695</v>
      </c>
      <c r="M1328" t="s">
        <v>14696</v>
      </c>
      <c r="N1328">
        <f>-662.633972096587 -82.3769368759546 -559.500128438015</f>
        <v>-1304.5110374105566</v>
      </c>
      <c r="O1328">
        <f>-635.771731753673 -215.897381982297 -540.82699537589</f>
        <v>-1392.4961091118598</v>
      </c>
      <c r="P1328">
        <f>-559.656831507668 -318.283952009171 -275.657696530023</f>
        <v>-1153.5984800468621</v>
      </c>
      <c r="Q1328">
        <f>-448.707827306536 -122.695835239531 -362.181917814695</f>
        <v>-933.58558036076192</v>
      </c>
      <c r="R1328" t="s">
        <v>14697</v>
      </c>
      <c r="S1328" t="s">
        <v>14698</v>
      </c>
      <c r="T1328" t="s">
        <v>14699</v>
      </c>
      <c r="U1328" t="s">
        <v>14700</v>
      </c>
      <c r="V1328">
        <f>-596.498022906905 -150.386688523796 -97.6231019411879</f>
        <v>-844.50781337188891</v>
      </c>
      <c r="W1328" t="s">
        <v>14701</v>
      </c>
      <c r="X1328" t="s">
        <v>14702</v>
      </c>
      <c r="Y1328" t="s">
        <v>14703</v>
      </c>
    </row>
    <row r="1329" spans="1:25" x14ac:dyDescent="0.3">
      <c r="A1329">
        <v>66400</v>
      </c>
      <c r="B1329" t="s">
        <v>14704</v>
      </c>
      <c r="C1329">
        <f>-621.919037746749 -56.2967158257968 -99.6358361995975</f>
        <v>-777.85158977214337</v>
      </c>
      <c r="D1329">
        <f>-647.597757300412 -67.468322120065 -212.028151224941</f>
        <v>-927.09423064541795</v>
      </c>
      <c r="E1329">
        <f>-659.104064397136 -68.5209930011758 -309.972721713734</f>
        <v>-1037.5977791120458</v>
      </c>
      <c r="F1329">
        <f>-665.747158716272 -66.3090274825472 -398.794038648664</f>
        <v>-1130.8502248474833</v>
      </c>
      <c r="G1329">
        <f>-668.223311281771 -60.9229256710892 -487.693417496952</f>
        <v>-1216.8396544498121</v>
      </c>
      <c r="H1329">
        <f>-667.261091366143 -50.1400477334867 -611.804750373826</f>
        <v>-1329.2058894734555</v>
      </c>
      <c r="I1329">
        <f>-639.893366834124 -33.0772129854784 -688.387300000087</f>
        <v>-1361.3578798196893</v>
      </c>
      <c r="J1329">
        <f>-673.029221725503 -27.7948845612584 -554.877251541382</f>
        <v>-1255.7013578281435</v>
      </c>
      <c r="K1329" t="s">
        <v>14705</v>
      </c>
      <c r="L1329" t="s">
        <v>14706</v>
      </c>
      <c r="M1329" t="s">
        <v>14707</v>
      </c>
      <c r="N1329">
        <f>-662.339770362403 -81.9752791433918 -559.501642391644</f>
        <v>-1303.8166918974389</v>
      </c>
      <c r="O1329">
        <f>-635.301635513717 -215.471634606375 -540.908430115242</f>
        <v>-1391.6817002353341</v>
      </c>
      <c r="P1329">
        <f>-561.10679839942 -316.916062342589 -274.834517373106</f>
        <v>-1152.8573781151149</v>
      </c>
      <c r="Q1329">
        <f>-450.154999436922 -121.389593197849 -361.494418619421</f>
        <v>-933.03901125419202</v>
      </c>
      <c r="R1329" t="s">
        <v>14708</v>
      </c>
      <c r="S1329" t="s">
        <v>14709</v>
      </c>
      <c r="T1329" t="s">
        <v>14710</v>
      </c>
      <c r="U1329" t="s">
        <v>14711</v>
      </c>
      <c r="V1329">
        <f>-596.329804039004 -150.266690695057 -97.6220126634904</f>
        <v>-844.21850739755143</v>
      </c>
      <c r="W1329" t="s">
        <v>14712</v>
      </c>
      <c r="X1329" t="s">
        <v>14713</v>
      </c>
      <c r="Y1329" t="s">
        <v>14714</v>
      </c>
    </row>
    <row r="1330" spans="1:25" x14ac:dyDescent="0.3">
      <c r="A1330">
        <v>66450</v>
      </c>
      <c r="B1330" t="s">
        <v>14715</v>
      </c>
      <c r="C1330">
        <f>-621.904941731565 -55.9227304859792 -99.6317131764951</f>
        <v>-777.45938539403926</v>
      </c>
      <c r="D1330">
        <f>-647.550491730866 -67.1084820366505 -212.030156791795</f>
        <v>-926.68913055931148</v>
      </c>
      <c r="E1330">
        <f>-658.968147437645 -68.0521390794959 -309.986228762823</f>
        <v>-1037.0065152799639</v>
      </c>
      <c r="F1330">
        <f>-665.505069250009 -65.6946615670862 -398.81163118718</f>
        <v>-1130.0113620042753</v>
      </c>
      <c r="G1330">
        <f>-667.848892707041 -60.1152902474742 -487.702757990986</f>
        <v>-1215.6669409455012</v>
      </c>
      <c r="H1330">
        <f>-666.673920194771 -49.0129575790902 -611.783994356164</f>
        <v>-1327.4708721300253</v>
      </c>
      <c r="I1330">
        <f>-639.274230319495 -31.8403903441886 -688.33063086631</f>
        <v>-1359.4452515299936</v>
      </c>
      <c r="J1330">
        <f>-672.612272080488 -26.8286016642294 -554.811067184216</f>
        <v>-1254.2519409289334</v>
      </c>
      <c r="K1330" t="s">
        <v>14716</v>
      </c>
      <c r="L1330" t="s">
        <v>14717</v>
      </c>
      <c r="M1330" t="s">
        <v>14718</v>
      </c>
      <c r="N1330">
        <f>-661.769637191716 -80.9683825262036 -559.552742609544</f>
        <v>-1302.2907623274637</v>
      </c>
      <c r="O1330">
        <f>-634.361748368456 -214.409741036379 -541.114179202426</f>
        <v>-1389.8856686072609</v>
      </c>
      <c r="P1330">
        <f>-563.69648562693 -313.846792928726 -273.327122970168</f>
        <v>-1150.870401525824</v>
      </c>
      <c r="Q1330">
        <f>-452.384239589456 -118.543838229761 -360.028984280356</f>
        <v>-930.95706209957302</v>
      </c>
      <c r="R1330" t="s">
        <v>14719</v>
      </c>
      <c r="S1330" t="s">
        <v>14720</v>
      </c>
      <c r="T1330" t="s">
        <v>14721</v>
      </c>
      <c r="U1330" t="s">
        <v>14722</v>
      </c>
      <c r="V1330">
        <f>-596.119671842538 -149.811933514129 -97.6505978661071</f>
        <v>-843.58220322277407</v>
      </c>
      <c r="W1330" t="s">
        <v>14723</v>
      </c>
      <c r="X1330" t="s">
        <v>14724</v>
      </c>
      <c r="Y1330" t="s">
        <v>14725</v>
      </c>
    </row>
    <row r="1331" spans="1:25" x14ac:dyDescent="0.3">
      <c r="A1331">
        <v>66500</v>
      </c>
      <c r="B1331" t="s">
        <v>14715</v>
      </c>
      <c r="C1331">
        <f>-621.904941731565 -55.9227304859792 -99.6317131764951</f>
        <v>-777.45938539403926</v>
      </c>
      <c r="D1331">
        <f>-647.550491730866 -67.1084820366505 -212.030156791795</f>
        <v>-926.68913055931148</v>
      </c>
      <c r="E1331">
        <f>-658.968147437645 -68.0521390794959 -309.986228762823</f>
        <v>-1037.0065152799639</v>
      </c>
      <c r="F1331">
        <f>-665.505069250009 -65.6946615670862 -398.81163118718</f>
        <v>-1130.0113620042753</v>
      </c>
      <c r="G1331">
        <f>-667.848892707041 -60.1152902474742 -487.702757990986</f>
        <v>-1215.6669409455012</v>
      </c>
      <c r="H1331">
        <f>-666.673920194771 -49.0129575790902 -611.783994356164</f>
        <v>-1327.4708721300253</v>
      </c>
      <c r="I1331">
        <f>-639.274230319495 -31.8403903441886 -688.33063086631</f>
        <v>-1359.4452515299936</v>
      </c>
      <c r="J1331">
        <f>-672.612272080488 -26.8286016642294 -554.811067184216</f>
        <v>-1254.2519409289334</v>
      </c>
      <c r="K1331" t="s">
        <v>14716</v>
      </c>
      <c r="L1331" t="s">
        <v>14717</v>
      </c>
      <c r="M1331" t="s">
        <v>14718</v>
      </c>
      <c r="N1331">
        <f>-661.769637191716 -80.9683825262036 -559.552742609544</f>
        <v>-1302.2907623274637</v>
      </c>
      <c r="O1331">
        <f>-634.361748368456 -214.409741036379 -541.114179202426</f>
        <v>-1389.8856686072609</v>
      </c>
      <c r="P1331">
        <f>-563.69648562693 -313.846792928726 -273.327122970168</f>
        <v>-1150.870401525824</v>
      </c>
      <c r="Q1331">
        <f>-452.384239589456 -118.543838229761 -360.028984280356</f>
        <v>-930.95706209957302</v>
      </c>
      <c r="R1331" t="s">
        <v>14719</v>
      </c>
      <c r="S1331" t="s">
        <v>14720</v>
      </c>
      <c r="T1331" t="s">
        <v>14721</v>
      </c>
      <c r="U1331" t="s">
        <v>14722</v>
      </c>
      <c r="V1331">
        <f>-596.119671842538 -149.811933514129 -97.6505978661071</f>
        <v>-843.58220322277407</v>
      </c>
      <c r="W1331" t="s">
        <v>14723</v>
      </c>
      <c r="X1331" t="s">
        <v>14724</v>
      </c>
      <c r="Y1331" t="s">
        <v>14725</v>
      </c>
    </row>
    <row r="1332" spans="1:25" x14ac:dyDescent="0.3">
      <c r="A1332">
        <v>66550</v>
      </c>
      <c r="B1332" t="s">
        <v>14726</v>
      </c>
      <c r="C1332">
        <f>-621.930457127955 -55.7103995606159 -99.6113855682719</f>
        <v>-777.25224225684281</v>
      </c>
      <c r="D1332">
        <f>-647.53938250517 -66.8873565511232 -212.019082136893</f>
        <v>-926.44582119318613</v>
      </c>
      <c r="E1332">
        <f>-658.917649031909 -67.7819226564101 -309.980172504847</f>
        <v>-1036.6797441931662</v>
      </c>
      <c r="F1332">
        <f>-665.415199658092 -65.363904790012 -398.806962405818</f>
        <v>-1129.5860668539221</v>
      </c>
      <c r="G1332">
        <f>-667.716089765692 -59.70737723119 -487.694142091856</f>
        <v>-1215.1176090887379</v>
      </c>
      <c r="H1332">
        <f>-666.477254315782 -48.4800871679753 -611.763677291124</f>
        <v>-1326.7210187748815</v>
      </c>
      <c r="I1332">
        <f>-639.072973274949 -31.2689964929791 -688.299929641234</f>
        <v>-1358.6418994091623</v>
      </c>
      <c r="J1332">
        <f>-672.473188598271 -26.358679670971 -554.772295236257</f>
        <v>-1253.6041635054989</v>
      </c>
      <c r="K1332" t="s">
        <v>14727</v>
      </c>
      <c r="L1332" t="s">
        <v>14728</v>
      </c>
      <c r="M1332" t="s">
        <v>14729</v>
      </c>
      <c r="N1332">
        <f>-661.571585381859 -80.4826088991471 -559.561258619861</f>
        <v>-1301.615452900867</v>
      </c>
      <c r="O1332">
        <f>-634.01977383566 -213.905876517132 -541.173372896947</f>
        <v>-1389.0990232497388</v>
      </c>
      <c r="P1332">
        <f>-564.708865287578 -312.518332378136 -272.72830105656</f>
        <v>-1149.9554987222739</v>
      </c>
      <c r="Q1332">
        <f>-453.378291863942 -117.208054903011 -359.389928666785</f>
        <v>-929.97627543373801</v>
      </c>
      <c r="R1332" t="s">
        <v>14730</v>
      </c>
      <c r="S1332" t="s">
        <v>14731</v>
      </c>
      <c r="T1332" t="s">
        <v>14732</v>
      </c>
      <c r="U1332" t="s">
        <v>14733</v>
      </c>
      <c r="V1332">
        <f>-596.073388470435 -149.478374643125 -97.659136218526</f>
        <v>-843.210899332086</v>
      </c>
      <c r="W1332" t="s">
        <v>14734</v>
      </c>
      <c r="X1332" t="s">
        <v>14735</v>
      </c>
      <c r="Y1332" t="s">
        <v>14736</v>
      </c>
    </row>
    <row r="1333" spans="1:25" x14ac:dyDescent="0.3">
      <c r="A1333">
        <v>66600</v>
      </c>
      <c r="B1333" t="s">
        <v>14737</v>
      </c>
      <c r="C1333">
        <f>-622.007635941365 -55.4044614763334 -99.5834128224386</f>
        <v>-776.99551024013704</v>
      </c>
      <c r="D1333">
        <f>-647.577030002112 -66.5616057252852 -212.002015791784</f>
        <v>-926.14065151918112</v>
      </c>
      <c r="E1333">
        <f>-658.887848447336 -67.3396741492132 -309.971972363229</f>
        <v>-1036.1994949597781</v>
      </c>
      <c r="F1333">
        <f>-665.309574712224 -64.7772212314632 -398.80017266857</f>
        <v>-1128.8869686122571</v>
      </c>
      <c r="G1333">
        <f>-667.519396577753 -58.937552349787 -487.67777784527</f>
        <v>-1214.1347267728099</v>
      </c>
      <c r="H1333">
        <f>-666.137147379152 -47.4138540203081 -611.718629568231</f>
        <v>-1325.2696309676912</v>
      </c>
      <c r="I1333">
        <f>-638.746532142134 -30.1220582386034 -688.241590670817</f>
        <v>-1357.1101810515543</v>
      </c>
      <c r="J1333">
        <f>-672.234825074815 -25.4358662714455 -554.682681537855</f>
        <v>-1252.3533728841157</v>
      </c>
      <c r="K1333" t="s">
        <v>14738</v>
      </c>
      <c r="L1333" t="s">
        <v>14739</v>
      </c>
      <c r="M1333" t="s">
        <v>14740</v>
      </c>
      <c r="N1333">
        <f>-661.255970305772 -79.5337568432446 -559.58616479796</f>
        <v>-1300.3758919469767</v>
      </c>
      <c r="O1333">
        <f>-633.542294663851 -212.939188380316 -541.323741418273</f>
        <v>-1387.80522446244</v>
      </c>
      <c r="P1333">
        <f>-566.717661474368 -310.271984827796 -271.783270600241</f>
        <v>-1148.7729169024051</v>
      </c>
      <c r="Q1333">
        <f>-454.948246631014 -115.101571255977 -358.194983807563</f>
        <v>-928.2448016945541</v>
      </c>
      <c r="R1333" t="s">
        <v>14741</v>
      </c>
      <c r="S1333" t="s">
        <v>14742</v>
      </c>
      <c r="T1333" t="s">
        <v>14743</v>
      </c>
      <c r="U1333" t="s">
        <v>14744</v>
      </c>
      <c r="V1333">
        <f>-596.000157643444 -149.136907425462 -97.6683205173939</f>
        <v>-842.80538558629996</v>
      </c>
      <c r="W1333" t="s">
        <v>14745</v>
      </c>
      <c r="X1333" t="s">
        <v>14746</v>
      </c>
      <c r="Y1333" t="s">
        <v>14747</v>
      </c>
    </row>
    <row r="1334" spans="1:25" x14ac:dyDescent="0.3">
      <c r="A1334">
        <v>66650</v>
      </c>
      <c r="B1334" t="s">
        <v>14748</v>
      </c>
      <c r="C1334">
        <f>-622.124588739457 -54.9807157189019 -99.5479459050925</f>
        <v>-776.65325036345143</v>
      </c>
      <c r="D1334">
        <f>-647.682012285665 -66.0639562293848 -211.976529810857</f>
        <v>-925.72249832590671</v>
      </c>
      <c r="E1334">
        <f>-659.001359332717 -66.6777273646175 -309.946655977631</f>
        <v>-1035.6257426749655</v>
      </c>
      <c r="F1334">
        <f>-665.439217007493 -63.9242172070619 -398.767960436109</f>
        <v>-1128.1313946506639</v>
      </c>
      <c r="G1334">
        <f>-667.674057130526 -57.8489407547296 -487.629305773166</f>
        <v>-1213.1523036584215</v>
      </c>
      <c r="H1334">
        <f>-666.336816255491 -45.9484617852349 -611.635019435081</f>
        <v>-1323.9202974758068</v>
      </c>
      <c r="I1334">
        <f>-639.164984914995 -28.5977864992526 -688.222760317858</f>
        <v>-1355.9855317321058</v>
      </c>
      <c r="J1334">
        <f>-672.465940722773 -24.1543301865909 -554.531904938015</f>
        <v>-1251.1521758473789</v>
      </c>
      <c r="K1334" t="s">
        <v>14749</v>
      </c>
      <c r="L1334" t="s">
        <v>14750</v>
      </c>
      <c r="M1334" t="s">
        <v>14751</v>
      </c>
      <c r="N1334">
        <f>-661.384568507558 -78.2161971804222 -559.600518050933</f>
        <v>-1299.2012837389134</v>
      </c>
      <c r="O1334">
        <f>-633.554643004286 -211.624400914698 -541.559571517108</f>
        <v>-1386.738615436092</v>
      </c>
      <c r="P1334">
        <f>-569.431886964093 -307.797867439933 -270.948907450244</f>
        <v>-1148.1786618542699</v>
      </c>
      <c r="Q1334">
        <f>-457.640004292136 -112.495584211487 -357.03326966551</f>
        <v>-927.16885816913305</v>
      </c>
      <c r="R1334" t="s">
        <v>14752</v>
      </c>
      <c r="S1334" t="s">
        <v>14753</v>
      </c>
      <c r="T1334" t="s">
        <v>14754</v>
      </c>
      <c r="U1334" t="s">
        <v>14755</v>
      </c>
      <c r="V1334">
        <f>-596.151459696423 -148.531233712165 -97.6797132885896</f>
        <v>-842.36240669717756</v>
      </c>
      <c r="W1334" t="s">
        <v>14756</v>
      </c>
      <c r="X1334" t="s">
        <v>14757</v>
      </c>
      <c r="Y1334" t="s">
        <v>14758</v>
      </c>
    </row>
    <row r="1335" spans="1:25" x14ac:dyDescent="0.3">
      <c r="A1335">
        <v>66700</v>
      </c>
      <c r="B1335" t="s">
        <v>14759</v>
      </c>
      <c r="C1335">
        <f>-622.166544086259 -54.7695666313246 -99.5236550111002</f>
        <v>-776.45976572868381</v>
      </c>
      <c r="D1335">
        <f>-647.719461426713 -65.8323899623872 -211.955338426457</f>
        <v>-925.50718981555724</v>
      </c>
      <c r="E1335">
        <f>-659.073585628094 -66.4037120550307 -309.92174241444</f>
        <v>-1035.3990400975647</v>
      </c>
      <c r="F1335">
        <f>-665.558980617138 -63.6004582077784 -398.737957270505</f>
        <v>-1127.8973960954213</v>
      </c>
      <c r="G1335">
        <f>-667.857712319101 -57.4634505088503 -487.593445464678</f>
        <v>-1212.9146082926293</v>
      </c>
      <c r="H1335">
        <f>-666.627018891357 -45.4633093104281 -611.590538200039</f>
        <v>-1323.680866401824</v>
      </c>
      <c r="I1335">
        <f>-639.59277471811 -28.1104207000851 -688.226429920008</f>
        <v>-1355.9296253382031</v>
      </c>
      <c r="J1335">
        <f>-672.714330487892 -23.716537471088 -554.465002896534</f>
        <v>-1250.895870855514</v>
      </c>
      <c r="K1335" t="s">
        <v>14760</v>
      </c>
      <c r="L1335" t="s">
        <v>14761</v>
      </c>
      <c r="M1335" t="s">
        <v>14762</v>
      </c>
      <c r="N1335">
        <f>-661.622906029698 -77.7714214804362 -559.58618690352</f>
        <v>-1298.9805144136542</v>
      </c>
      <c r="O1335">
        <f>-633.808438422925 -211.189552551322 -541.594674340594</f>
        <v>-1386.5926653148408</v>
      </c>
      <c r="P1335">
        <f>-570.14861882868 -307.115691840607 -270.786934756997</f>
        <v>-1148.0512454262839</v>
      </c>
      <c r="Q1335">
        <f>-458.503412683238 -111.675960233752 -356.749300888623</f>
        <v>-926.92867380561302</v>
      </c>
      <c r="R1335" t="s">
        <v>14763</v>
      </c>
      <c r="S1335" t="s">
        <v>14764</v>
      </c>
      <c r="T1335" t="s">
        <v>14765</v>
      </c>
      <c r="U1335" t="s">
        <v>14766</v>
      </c>
      <c r="V1335">
        <f>-596.231369282008 -148.258485477127 -97.669650783811</f>
        <v>-842.15950554294602</v>
      </c>
      <c r="W1335" t="s">
        <v>14767</v>
      </c>
      <c r="X1335" t="s">
        <v>14768</v>
      </c>
      <c r="Y1335" t="s">
        <v>14769</v>
      </c>
    </row>
    <row r="1336" spans="1:25" x14ac:dyDescent="0.3">
      <c r="A1336">
        <v>66750</v>
      </c>
      <c r="B1336" t="s">
        <v>14770</v>
      </c>
      <c r="C1336">
        <f>-622.22119305274 -54.6391814268417 -99.5029358227134</f>
        <v>-776.36331030229508</v>
      </c>
      <c r="D1336">
        <f>-647.78142536101 -65.6669207904955 -211.936319742466</f>
        <v>-925.38466589397149</v>
      </c>
      <c r="E1336">
        <f>-659.179860669999 -66.1980305890827 -309.897880720768</f>
        <v>-1035.2757719798497</v>
      </c>
      <c r="F1336">
        <f>-665.721366752079 -63.3528665261672 -398.708759515259</f>
        <v>-1127.7829927935052</v>
      </c>
      <c r="G1336">
        <f>-668.092760410064 -57.1676542081051 -487.558853523426</f>
        <v>-1212.8192681415951</v>
      </c>
      <c r="H1336">
        <f>-666.981345100393 -45.0927155497229 -611.549938921912</f>
        <v>-1323.623999572028</v>
      </c>
      <c r="I1336">
        <f>-640.106270125856 -27.7425514944398 -688.242392572928</f>
        <v>-1356.0912141932238</v>
      </c>
      <c r="J1336">
        <f>-673.021434893094 -23.3820153742874 -554.405624090957</f>
        <v>-1250.8090743583384</v>
      </c>
      <c r="K1336" t="s">
        <v>14771</v>
      </c>
      <c r="L1336" t="s">
        <v>14772</v>
      </c>
      <c r="M1336" t="s">
        <v>14773</v>
      </c>
      <c r="N1336">
        <f>-661.919394639827 -77.4306010323268 -559.569729658954</f>
        <v>-1298.9197253311077</v>
      </c>
      <c r="O1336">
        <f>-634.095243317334 -210.850107561474 -541.613710064869</f>
        <v>-1386.5590609436772</v>
      </c>
      <c r="P1336">
        <f>-570.763653962971 -306.639357917812 -270.680549151253</f>
        <v>-1148.083561032036</v>
      </c>
      <c r="Q1336">
        <f>-459.320311420559 -111.042267211381 -356.547212013682</f>
        <v>-926.90979064562202</v>
      </c>
      <c r="R1336" t="s">
        <v>14774</v>
      </c>
      <c r="S1336" t="s">
        <v>14775</v>
      </c>
      <c r="T1336" t="s">
        <v>14776</v>
      </c>
      <c r="U1336" t="s">
        <v>14777</v>
      </c>
      <c r="V1336">
        <f>-596.329728972135 -148.12080914487 -97.6682919333239</f>
        <v>-842.11883005032882</v>
      </c>
      <c r="W1336" t="s">
        <v>14778</v>
      </c>
      <c r="X1336" t="s">
        <v>14779</v>
      </c>
      <c r="Y1336" t="s">
        <v>14780</v>
      </c>
    </row>
    <row r="1337" spans="1:25" x14ac:dyDescent="0.3">
      <c r="A1337">
        <v>66800</v>
      </c>
      <c r="B1337" t="s">
        <v>14781</v>
      </c>
      <c r="C1337">
        <f>-622.452425511703 -54.2233413237358 -99.4415344499039</f>
        <v>-776.11730128534271</v>
      </c>
      <c r="D1337">
        <f>-648.052767719731 -65.1969918670254 -211.871232913603</f>
        <v>-925.12099250035942</v>
      </c>
      <c r="E1337">
        <f>-659.585086744391 -65.6231211515718 -309.817482903804</f>
        <v>-1035.0256907997668</v>
      </c>
      <c r="F1337">
        <f>-666.289969229487 -62.655365340563 -398.612083548188</f>
        <v>-1127.557418118238</v>
      </c>
      <c r="G1337">
        <f>-668.868421363339 -56.3169429455058 -487.445731413096</f>
        <v>-1212.6310957219409</v>
      </c>
      <c r="H1337">
        <f>-668.0930960214 -43.9932493614414 -611.414895557409</f>
        <v>-1323.5012409402502</v>
      </c>
      <c r="I1337">
        <f>-641.592239446173 -26.6341872653188 -688.235365186781</f>
        <v>-1356.4617918982728</v>
      </c>
      <c r="J1337">
        <f>-674.037879633383 -22.4095167866328 -554.212408807381</f>
        <v>-1250.6598052273969</v>
      </c>
      <c r="K1337" t="s">
        <v>14782</v>
      </c>
      <c r="L1337" t="s">
        <v>14783</v>
      </c>
      <c r="M1337" t="s">
        <v>14784</v>
      </c>
      <c r="N1337">
        <f>-662.830787288315 -76.4232093337947 -559.511770813857</f>
        <v>-1298.7657674359666</v>
      </c>
      <c r="O1337">
        <f>-634.741617531556 -209.815013242917 -541.768752989227</f>
        <v>-1386.3253837636998</v>
      </c>
      <c r="P1337">
        <f>-571.967335343781 -305.573371430404 -270.694935730794</f>
        <v>-1148.2356425049788</v>
      </c>
      <c r="Q1337">
        <f>-460.815790058574 -109.663124772935 -356.225004012928</f>
        <v>-926.703918844437</v>
      </c>
      <c r="R1337" t="s">
        <v>14785</v>
      </c>
      <c r="S1337" t="s">
        <v>14786</v>
      </c>
      <c r="T1337" t="s">
        <v>14787</v>
      </c>
      <c r="U1337" t="s">
        <v>14788</v>
      </c>
      <c r="V1337">
        <f>-596.595368889357 -147.606610658313 -97.6453546773141</f>
        <v>-841.84733422498414</v>
      </c>
      <c r="W1337" t="s">
        <v>14789</v>
      </c>
      <c r="X1337" t="s">
        <v>14790</v>
      </c>
      <c r="Y1337" t="s">
        <v>14791</v>
      </c>
    </row>
    <row r="1338" spans="1:25" x14ac:dyDescent="0.3">
      <c r="A1338">
        <v>66850</v>
      </c>
      <c r="B1338" t="s">
        <v>14792</v>
      </c>
      <c r="C1338">
        <f>-622.517011872827 -54.1276656272373 -99.4218810400532</f>
        <v>-776.06655854011751</v>
      </c>
      <c r="D1338">
        <f>-648.119855009199 -65.102532128304 -211.850790434527</f>
        <v>-925.07317757202998</v>
      </c>
      <c r="E1338">
        <f>-659.691039940121 -65.5059055436753 -309.792694620979</f>
        <v>-1034.9896401047754</v>
      </c>
      <c r="F1338">
        <f>-666.446277402705 -62.5072879897153 -398.582379343771</f>
        <v>-1127.5359447361914</v>
      </c>
      <c r="G1338">
        <f>-669.090199537737 -56.1269132193038 -487.411098239815</f>
        <v>-1212.6282109968558</v>
      </c>
      <c r="H1338">
        <f>-668.422433531249 -43.732782303547 -611.373825003265</f>
        <v>-1323.5290408380611</v>
      </c>
      <c r="I1338">
        <f>-642.033463200218 -26.3625205414232 -688.230245153913</f>
        <v>-1356.626228895554</v>
      </c>
      <c r="J1338">
        <f>-674.337357900216 -22.1855792768033 -554.154506661237</f>
        <v>-1250.6774438382563</v>
      </c>
      <c r="K1338" t="s">
        <v>14793</v>
      </c>
      <c r="L1338" t="s">
        <v>14794</v>
      </c>
      <c r="M1338" t="s">
        <v>14795</v>
      </c>
      <c r="N1338">
        <f>-663.095243275055 -76.1880879957912 -559.493241614217</f>
        <v>-1298.7765728850632</v>
      </c>
      <c r="O1338">
        <f>-634.904731974467 -209.571789680739 -541.829104120325</f>
        <v>-1386.3056257755311</v>
      </c>
      <c r="P1338">
        <f>-572.009961187053 -305.415994438763 -270.813849023484</f>
        <v>-1148.2398046492999</v>
      </c>
      <c r="Q1338">
        <f>-460.860410532204 -109.420441894416 -356.150562440109</f>
        <v>-926.43141486672903</v>
      </c>
      <c r="R1338" t="s">
        <v>14796</v>
      </c>
      <c r="S1338" t="s">
        <v>14797</v>
      </c>
      <c r="T1338" t="s">
        <v>14798</v>
      </c>
      <c r="U1338" t="s">
        <v>14799</v>
      </c>
      <c r="V1338">
        <f>-596.625332047509 -147.522827783745 -97.6334629028908</f>
        <v>-841.78162273414478</v>
      </c>
      <c r="W1338" t="s">
        <v>14800</v>
      </c>
      <c r="X1338" t="s">
        <v>14801</v>
      </c>
      <c r="Y1338" t="s">
        <v>14802</v>
      </c>
    </row>
    <row r="1339" spans="1:25" x14ac:dyDescent="0.3">
      <c r="A1339">
        <v>66900</v>
      </c>
      <c r="B1339" t="s">
        <v>14803</v>
      </c>
      <c r="C1339">
        <f>-622.59885546512 -53.9738821102757 -99.4112292975522</f>
        <v>-775.9839668729478</v>
      </c>
      <c r="D1339">
        <f>-648.161886154625 -64.9454507563659 -211.849491030303</f>
        <v>-924.9568279412938</v>
      </c>
      <c r="E1339">
        <f>-659.747338412727 -65.3187825572654 -309.789919526856</f>
        <v>-1034.8560404968484</v>
      </c>
      <c r="F1339">
        <f>-666.535276769034 -62.2811099221768 -398.575749585301</f>
        <v>-1127.3921362765118</v>
      </c>
      <c r="G1339">
        <f>-669.232188970134 -55.8491732546013 -487.399110551562</f>
        <v>-1212.4804727762971</v>
      </c>
      <c r="H1339">
        <f>-668.659640994425 -43.3685512193213 -611.353779455148</f>
        <v>-1323.3819716688943</v>
      </c>
      <c r="I1339">
        <f>-642.386757281406 -25.9648118067887 -688.242393050961</f>
        <v>-1356.5939621391558</v>
      </c>
      <c r="J1339">
        <f>-674.553158400512 -21.865850761106 -554.115551183402</f>
        <v>-1250.5345603450201</v>
      </c>
      <c r="K1339" t="s">
        <v>14804</v>
      </c>
      <c r="L1339" t="s">
        <v>14805</v>
      </c>
      <c r="M1339" t="s">
        <v>14806</v>
      </c>
      <c r="N1339">
        <f>-663.270076996487 -75.8554154290291 -559.499407921492</f>
        <v>-1298.624900347008</v>
      </c>
      <c r="O1339">
        <f>-634.991613388891 -209.233755012228 -541.896999375152</f>
        <v>-1386.1223677762709</v>
      </c>
      <c r="P1339">
        <f>-572.031342847356 -305.199594439676 -270.939954949997</f>
        <v>-1148.170892237029</v>
      </c>
      <c r="Q1339">
        <f>-460.85267441739 -109.133305494618 -356.076225378216</f>
        <v>-926.06220529022403</v>
      </c>
      <c r="R1339" t="s">
        <v>14807</v>
      </c>
      <c r="S1339" t="s">
        <v>14808</v>
      </c>
      <c r="T1339" t="s">
        <v>14809</v>
      </c>
      <c r="U1339" t="s">
        <v>14810</v>
      </c>
      <c r="V1339">
        <f>-596.705065496937 -147.316341750585 -97.6162297034207</f>
        <v>-841.63763695094269</v>
      </c>
      <c r="W1339" t="s">
        <v>14811</v>
      </c>
      <c r="X1339" t="s">
        <v>14812</v>
      </c>
      <c r="Y1339" t="s">
        <v>14813</v>
      </c>
    </row>
    <row r="1340" spans="1:25" x14ac:dyDescent="0.3">
      <c r="A1340">
        <v>66950</v>
      </c>
      <c r="B1340" t="s">
        <v>14814</v>
      </c>
      <c r="C1340">
        <f>-622.981140324592 -53.5444998492077 -99.4140349092705</f>
        <v>-775.93967508307026</v>
      </c>
      <c r="D1340">
        <f>-648.427539841573 -64.4770498127132 -211.882554965851</f>
        <v>-924.78714462013716</v>
      </c>
      <c r="E1340">
        <f>-659.971372258112 -64.7966289475833 -309.827949244937</f>
        <v>-1034.5959504506322</v>
      </c>
      <c r="F1340">
        <f>-666.746425891891 -61.7013441571694 -398.612825800744</f>
        <v>-1127.0605958498045</v>
      </c>
      <c r="G1340">
        <f>-669.455577246165 -55.2013299852085 -487.431067602516</f>
        <v>-1212.0879748338896</v>
      </c>
      <c r="H1340">
        <f>-668.927235958532 -42.6138458420066 -611.374826801143</f>
        <v>-1322.9159086016816</v>
      </c>
      <c r="I1340">
        <f>-642.870134698353 -25.1745065664279 -688.328978559198</f>
        <v>-1356.373619823979</v>
      </c>
      <c r="J1340">
        <f>-674.834003142486 -21.1675618998597 -554.116919848428</f>
        <v>-1250.1184848907737</v>
      </c>
      <c r="K1340" t="s">
        <v>14815</v>
      </c>
      <c r="L1340" t="s">
        <v>14816</v>
      </c>
      <c r="M1340" t="s">
        <v>14817</v>
      </c>
      <c r="N1340">
        <f>-663.48535678379 -75.1383859091748 -559.549709567517</f>
        <v>-1298.1734522604818</v>
      </c>
      <c r="O1340">
        <f>-635.054681052513 -208.491104178568 -542.086056082772</f>
        <v>-1385.6318413138529</v>
      </c>
      <c r="P1340">
        <f>-572.225341397737 -304.629733691942 -271.15968293478</f>
        <v>-1148.0147580244591</v>
      </c>
      <c r="Q1340">
        <f>-460.739098912127 -108.57708481842 -355.924307294843</f>
        <v>-925.24049102538993</v>
      </c>
      <c r="R1340" t="s">
        <v>14818</v>
      </c>
      <c r="S1340" t="s">
        <v>14819</v>
      </c>
      <c r="T1340" t="s">
        <v>14820</v>
      </c>
      <c r="U1340" t="s">
        <v>14821</v>
      </c>
      <c r="V1340">
        <f>-597.164191019545 -146.760482070416 -97.6196822671102</f>
        <v>-841.54435535707125</v>
      </c>
      <c r="W1340" t="s">
        <v>14822</v>
      </c>
      <c r="X1340" t="s">
        <v>14823</v>
      </c>
      <c r="Y1340" t="s">
        <v>14824</v>
      </c>
    </row>
    <row r="1341" spans="1:25" x14ac:dyDescent="0.3">
      <c r="A1341">
        <v>67000</v>
      </c>
      <c r="B1341" t="s">
        <v>14825</v>
      </c>
      <c r="C1341">
        <f>-623.247034785147 -53.1785761601379 -99.4013976959453</f>
        <v>-775.82700864123024</v>
      </c>
      <c r="D1341">
        <f>-648.62394337868 -64.0862547779446 -211.88816465642</f>
        <v>-924.59836281304467</v>
      </c>
      <c r="E1341">
        <f>-660.109427090657 -64.3835836977676 -309.840417301336</f>
        <v>-1034.3334280897607</v>
      </c>
      <c r="F1341">
        <f>-666.832515738712 -61.2676723518406 -398.628590631604</f>
        <v>-1126.7287787221567</v>
      </c>
      <c r="G1341">
        <f>-669.491027431589 -54.7461236580197 -487.446561809572</f>
        <v>-1211.6837128991806</v>
      </c>
      <c r="H1341">
        <f>-668.893312509798 -42.1279712201213 -611.386895993163</f>
        <v>-1322.4081797230822</v>
      </c>
      <c r="I1341">
        <f>-642.922171374972 -24.697332224971 -688.372042422762</f>
        <v>-1355.9915460227048</v>
      </c>
      <c r="J1341">
        <f>-674.83843181457 -20.6970473115232 -554.127151768776</f>
        <v>-1249.6626308948692</v>
      </c>
      <c r="K1341" t="s">
        <v>14826</v>
      </c>
      <c r="L1341" t="s">
        <v>14827</v>
      </c>
      <c r="M1341" t="s">
        <v>14828</v>
      </c>
      <c r="N1341">
        <f>-663.474250566159 -74.6641195607757 -559.56680714328</f>
        <v>-1297.7051772702148</v>
      </c>
      <c r="O1341">
        <f>-635.009967336499 -208.019811983825 -542.138343925547</f>
        <v>-1385.1681232458709</v>
      </c>
      <c r="P1341">
        <f>-572.282938300935 -304.293625710187 -271.236374022535</f>
        <v>-1147.812938033657</v>
      </c>
      <c r="Q1341">
        <f>-460.663412449364 -108.22014066135 -355.777074617877</f>
        <v>-924.66062772859107</v>
      </c>
      <c r="R1341" t="s">
        <v>14829</v>
      </c>
      <c r="S1341" t="s">
        <v>14830</v>
      </c>
      <c r="T1341" t="s">
        <v>14831</v>
      </c>
      <c r="U1341" t="s">
        <v>14832</v>
      </c>
      <c r="V1341">
        <f>-597.4357012555 -146.343946433493 -97.621402120345</f>
        <v>-841.40104980933802</v>
      </c>
      <c r="W1341" t="s">
        <v>14833</v>
      </c>
      <c r="X1341" t="s">
        <v>14834</v>
      </c>
      <c r="Y1341" t="s">
        <v>14835</v>
      </c>
    </row>
    <row r="1342" spans="1:25" x14ac:dyDescent="0.3">
      <c r="A1342">
        <v>67050</v>
      </c>
      <c r="B1342" t="s">
        <v>14836</v>
      </c>
      <c r="C1342">
        <f>-623.811028049743 -52.1852800515142 -99.3915826370043</f>
        <v>-775.38789073826138</v>
      </c>
      <c r="D1342">
        <f>-649.082091316015 -63.0128563902098 -211.909844884192</f>
        <v>-924.00479259041674</v>
      </c>
      <c r="E1342">
        <f>-660.437655270232 -63.264325686565 -309.877531274913</f>
        <v>-1033.5795122317099</v>
      </c>
      <c r="F1342">
        <f>-667.0285344227 -60.1160463352001 -398.674413398506</f>
        <v>-1125.818994156406</v>
      </c>
      <c r="G1342">
        <f>-669.540702104087 -53.571644483731 -487.495001566131</f>
        <v>-1210.607348153949</v>
      </c>
      <c r="H1342">
        <f>-668.724124469465 -40.9312291067922 -611.431919632943</f>
        <v>-1321.0872732092002</v>
      </c>
      <c r="I1342">
        <f>-642.88157476779 -23.5383242669188 -688.468710186248</f>
        <v>-1354.8886092209568</v>
      </c>
      <c r="J1342">
        <f>-674.763585121866 -19.5090903936014 -554.178683276979</f>
        <v>-1248.4513587924462</v>
      </c>
      <c r="K1342" t="s">
        <v>14837</v>
      </c>
      <c r="L1342" t="s">
        <v>14838</v>
      </c>
      <c r="M1342" t="s">
        <v>14839</v>
      </c>
      <c r="N1342">
        <f>-663.403363348615 -73.4779704093613 -559.608137311</f>
        <v>-1296.4894710689764</v>
      </c>
      <c r="O1342">
        <f>-634.907628227814 -206.832417151276 -542.20890517671</f>
        <v>-1383.9489505557999</v>
      </c>
      <c r="P1342">
        <f>-572.609209470936 -303.207495957787 -271.244035072613</f>
        <v>-1147.0607405013361</v>
      </c>
      <c r="Q1342">
        <f>-460.674603095182 -107.217584428251 -355.561560946639</f>
        <v>-923.45374847007201</v>
      </c>
      <c r="R1342" t="s">
        <v>14840</v>
      </c>
      <c r="S1342" t="s">
        <v>14841</v>
      </c>
      <c r="T1342" t="s">
        <v>14842</v>
      </c>
      <c r="U1342" t="s">
        <v>14843</v>
      </c>
      <c r="V1342">
        <f>-598.021608579523 -145.221527975419 -97.6363937340318</f>
        <v>-840.8795302889738</v>
      </c>
      <c r="W1342" t="s">
        <v>14844</v>
      </c>
      <c r="X1342" t="s">
        <v>14845</v>
      </c>
      <c r="Y1342" t="s">
        <v>14846</v>
      </c>
    </row>
    <row r="1343" spans="1:25" x14ac:dyDescent="0.3">
      <c r="A1343">
        <v>67100</v>
      </c>
      <c r="B1343" t="s">
        <v>14847</v>
      </c>
      <c r="C1343">
        <f>-624.232641233068 -51.2138061879697 -99.3376429512795</f>
        <v>-774.78409037231711</v>
      </c>
      <c r="D1343">
        <f>-649.39032006797 -61.9375184622332 -211.89123743619</f>
        <v>-923.21907596639335</v>
      </c>
      <c r="E1343">
        <f>-660.640889367121 -62.1271925435236 -309.871065484133</f>
        <v>-1032.6391473947776</v>
      </c>
      <c r="F1343">
        <f>-667.13457560439 -58.9340896838214 -398.673537640365</f>
        <v>-1124.7422029285763</v>
      </c>
      <c r="G1343">
        <f>-669.547508237466 -52.3560657281513 -487.494382138149</f>
        <v>-1209.3979561037663</v>
      </c>
      <c r="H1343">
        <f>-668.5905181707 -39.6806615598841 -611.426797499753</f>
        <v>-1319.6979772303371</v>
      </c>
      <c r="I1343">
        <f>-642.885893494451 -22.3121298931001 -688.515354390131</f>
        <v>-1353.7133777776821</v>
      </c>
      <c r="J1343">
        <f>-674.679788673105 -18.2717707444604 -554.173940876885</f>
        <v>-1247.1255002944504</v>
      </c>
      <c r="K1343" t="s">
        <v>14848</v>
      </c>
      <c r="L1343" t="s">
        <v>14849</v>
      </c>
      <c r="M1343" t="s">
        <v>14850</v>
      </c>
      <c r="N1343">
        <f>-663.343467014304 -72.2452317963184 -559.606602107851</f>
        <v>-1295.1953009184735</v>
      </c>
      <c r="O1343">
        <f>-634.896847931853 -205.617280882365 -542.273767655499</f>
        <v>-1382.787896469717</v>
      </c>
      <c r="P1343">
        <f>-573.083623108402 -302.051770852224 -271.218895155593</f>
        <v>-1146.354289116219</v>
      </c>
      <c r="Q1343">
        <f>-460.696324021699 -106.291659618859 -355.468188998906</f>
        <v>-922.45617263946406</v>
      </c>
      <c r="R1343" t="s">
        <v>14851</v>
      </c>
      <c r="S1343" t="s">
        <v>14852</v>
      </c>
      <c r="T1343" t="s">
        <v>14853</v>
      </c>
      <c r="U1343" t="s">
        <v>14854</v>
      </c>
      <c r="V1343">
        <f>-598.508724960431 -144.306285416791 -97.6381114265805</f>
        <v>-840.45312180380256</v>
      </c>
      <c r="W1343" t="s">
        <v>14855</v>
      </c>
      <c r="X1343" t="s">
        <v>14856</v>
      </c>
      <c r="Y1343" t="s">
        <v>14857</v>
      </c>
    </row>
    <row r="1344" spans="1:25" x14ac:dyDescent="0.3">
      <c r="A1344">
        <v>67150</v>
      </c>
      <c r="B1344" t="s">
        <v>14847</v>
      </c>
      <c r="C1344">
        <f>-624.232641233068 -51.2138061879697 -99.3376429512795</f>
        <v>-774.78409037231711</v>
      </c>
      <c r="D1344">
        <f>-649.39032006797 -61.9375184622332 -211.89123743619</f>
        <v>-923.21907596639335</v>
      </c>
      <c r="E1344">
        <f>-660.640889367121 -62.1271925435236 -309.871065484133</f>
        <v>-1032.6391473947776</v>
      </c>
      <c r="F1344">
        <f>-667.13457560439 -58.9340896838214 -398.673537640365</f>
        <v>-1124.7422029285763</v>
      </c>
      <c r="G1344">
        <f>-669.547508237466 -52.3560657281513 -487.494382138149</f>
        <v>-1209.3979561037663</v>
      </c>
      <c r="H1344">
        <f>-668.5905181707 -39.6806615598841 -611.426797499753</f>
        <v>-1319.6979772303371</v>
      </c>
      <c r="I1344">
        <f>-642.885893494451 -22.3121298931001 -688.515354390131</f>
        <v>-1353.7133777776821</v>
      </c>
      <c r="J1344">
        <f>-674.679788673105 -18.2717707444604 -554.173940876885</f>
        <v>-1247.1255002944504</v>
      </c>
      <c r="K1344" t="s">
        <v>14848</v>
      </c>
      <c r="L1344" t="s">
        <v>14849</v>
      </c>
      <c r="M1344" t="s">
        <v>14850</v>
      </c>
      <c r="N1344">
        <f>-663.343467014304 -72.2452317963184 -559.606602107851</f>
        <v>-1295.1953009184735</v>
      </c>
      <c r="O1344">
        <f>-634.896847931853 -205.617280882365 -542.273767655499</f>
        <v>-1382.787896469717</v>
      </c>
      <c r="P1344">
        <f>-573.083623108402 -302.051770852224 -271.218895155593</f>
        <v>-1146.354289116219</v>
      </c>
      <c r="Q1344">
        <f>-460.696324021699 -106.291659618859 -355.468188998906</f>
        <v>-922.45617263946406</v>
      </c>
      <c r="R1344" t="s">
        <v>14851</v>
      </c>
      <c r="S1344" t="s">
        <v>14852</v>
      </c>
      <c r="T1344" t="s">
        <v>14853</v>
      </c>
      <c r="U1344" t="s">
        <v>14854</v>
      </c>
      <c r="V1344">
        <f>-598.508724960431 -144.306285416791 -97.6381114265805</f>
        <v>-840.45312180380256</v>
      </c>
      <c r="W1344" t="s">
        <v>14855</v>
      </c>
      <c r="X1344" t="s">
        <v>14856</v>
      </c>
      <c r="Y1344" t="s">
        <v>14857</v>
      </c>
    </row>
    <row r="1345" spans="1:25" x14ac:dyDescent="0.3">
      <c r="A1345">
        <v>67200</v>
      </c>
      <c r="B1345" t="s">
        <v>14858</v>
      </c>
      <c r="C1345">
        <f>-624.384651127535 -50.6506977210365 -99.3082630004731</f>
        <v>-774.34361184904458</v>
      </c>
      <c r="D1345">
        <f>-649.521141986538 -61.3498833109543 -211.868878020183</f>
        <v>-922.73990331767527</v>
      </c>
      <c r="E1345">
        <f>-660.748984101567 -61.5157454484875 -309.851425507141</f>
        <v>-1032.1161550571956</v>
      </c>
      <c r="F1345">
        <f>-667.220389029008 -58.3001766142297 -398.654613765811</f>
        <v>-1124.1751794090487</v>
      </c>
      <c r="G1345">
        <f>-669.608898021174 -51.6991974106506 -487.474550632412</f>
        <v>-1208.7826460642366</v>
      </c>
      <c r="H1345">
        <f>-668.615709707651 -38.9910314488573 -611.403165942567</f>
        <v>-1319.0099070990755</v>
      </c>
      <c r="I1345">
        <f>-642.977045774556 -21.6325020286488 -688.515931497927</f>
        <v>-1353.1254793011317</v>
      </c>
      <c r="J1345">
        <f>-674.715065416615 -17.5957755452109 -554.146325167996</f>
        <v>-1246.4571661298219</v>
      </c>
      <c r="K1345" t="s">
        <v>14859</v>
      </c>
      <c r="L1345" t="s">
        <v>14860</v>
      </c>
      <c r="M1345" t="s">
        <v>14861</v>
      </c>
      <c r="N1345">
        <f>-663.390521538019 -71.5706432402494 -559.590269906112</f>
        <v>-1294.5514346843804</v>
      </c>
      <c r="O1345">
        <f>-634.960128722509 -204.9564899217 -542.318110942114</f>
        <v>-1382.2347295863231</v>
      </c>
      <c r="P1345">
        <f>-573.332251646123 -301.393143832153 -271.221887475501</f>
        <v>-1145.9472829537769</v>
      </c>
      <c r="Q1345">
        <f>-460.756301350583 -105.744445122141 -355.478230144343</f>
        <v>-921.97897661706702</v>
      </c>
      <c r="R1345" t="s">
        <v>14862</v>
      </c>
      <c r="S1345" t="s">
        <v>14863</v>
      </c>
      <c r="T1345" t="s">
        <v>14864</v>
      </c>
      <c r="U1345" t="s">
        <v>14865</v>
      </c>
      <c r="V1345">
        <f>-598.664313597851 -143.697393161838 -97.6339159784069</f>
        <v>-839.9956227380959</v>
      </c>
      <c r="W1345" t="s">
        <v>14866</v>
      </c>
      <c r="X1345" t="s">
        <v>14867</v>
      </c>
      <c r="Y1345" t="s">
        <v>14868</v>
      </c>
    </row>
    <row r="1346" spans="1:25" x14ac:dyDescent="0.3">
      <c r="A1346">
        <v>67250</v>
      </c>
      <c r="B1346" t="s">
        <v>14869</v>
      </c>
      <c r="C1346">
        <f>-624.670495107662 -48.8532306091541 -99.2155142711697</f>
        <v>-772.7392399879858</v>
      </c>
      <c r="D1346">
        <f>-649.861788598655 -59.4173106103641 -211.776718399113</f>
        <v>-921.0558176081322</v>
      </c>
      <c r="E1346">
        <f>-661.124499939617 -59.3988599487053 -309.755216081544</f>
        <v>-1030.2785759698663</v>
      </c>
      <c r="F1346">
        <f>-667.62173558251 -55.9890083981372 -398.549415599183</f>
        <v>-1122.1601595798302</v>
      </c>
      <c r="G1346">
        <f>-670.030367409022 -49.1665289875887 -487.351941843208</f>
        <v>-1206.5488382398187</v>
      </c>
      <c r="H1346">
        <f>-669.059020824501 -36.1208601171056 -611.245758459097</f>
        <v>-1316.4256394007036</v>
      </c>
      <c r="I1346">
        <f>-643.615226056575 -18.6680592415839 -688.401666828936</f>
        <v>-1350.6849521270949</v>
      </c>
      <c r="J1346">
        <f>-675.151333105578 -14.8824105728179 -553.929743382724</f>
        <v>-1243.9634870611198</v>
      </c>
      <c r="K1346" t="s">
        <v>14870</v>
      </c>
      <c r="L1346" t="s">
        <v>14871</v>
      </c>
      <c r="M1346" t="s">
        <v>14872</v>
      </c>
      <c r="N1346">
        <f>-663.821586348796 -68.8407760139886 -559.522722886862</f>
        <v>-1292.1850852496466</v>
      </c>
      <c r="O1346">
        <f>-635.345289502518 -202.261060326402 -542.598810440977</f>
        <v>-1380.2051602698971</v>
      </c>
      <c r="P1346">
        <f>-573.880943660066 -298.942068669223 -271.552486860691</f>
        <v>-1144.37549918998</v>
      </c>
      <c r="Q1346">
        <f>-461.19963191592 -103.239363594488 -355.541854274531</f>
        <v>-919.98084978493898</v>
      </c>
      <c r="R1346" t="s">
        <v>14873</v>
      </c>
      <c r="S1346" t="s">
        <v>14874</v>
      </c>
      <c r="T1346" t="s">
        <v>14875</v>
      </c>
      <c r="U1346" t="s">
        <v>14876</v>
      </c>
      <c r="V1346">
        <f>-598.905523465357 -141.925139649674 -97.6514634933051</f>
        <v>-838.4821266083361</v>
      </c>
      <c r="W1346" t="s">
        <v>14877</v>
      </c>
      <c r="X1346" t="s">
        <v>14878</v>
      </c>
      <c r="Y1346" t="s">
        <v>14879</v>
      </c>
    </row>
    <row r="1347" spans="1:25" x14ac:dyDescent="0.3">
      <c r="A1347">
        <v>67300</v>
      </c>
      <c r="B1347" t="s">
        <v>14880</v>
      </c>
      <c r="C1347">
        <f>-624.681893985539 -48.3067595375701 -99.1679157668154</f>
        <v>-772.15656928992451</v>
      </c>
      <c r="D1347">
        <f>-649.887114208134 -58.8176798847961 -211.7308473634</f>
        <v>-920.43564145633013</v>
      </c>
      <c r="E1347">
        <f>-661.163882245342 -58.7051950198567 -309.707850561161</f>
        <v>-1029.5769278263597</v>
      </c>
      <c r="F1347">
        <f>-667.674839165879 -55.1905380475637 -398.496920466618</f>
        <v>-1121.3622976800607</v>
      </c>
      <c r="G1347">
        <f>-670.098208547188 -48.2428345103863 -487.289281900718</f>
        <v>-1205.6303249582922</v>
      </c>
      <c r="H1347">
        <f>-669.148827617089 -35.0007085794552 -611.162446338512</f>
        <v>-1315.3119825350564</v>
      </c>
      <c r="I1347">
        <f>-643.785532794021 -17.4582627696732 -688.324572416282</f>
        <v>-1349.5683679799763</v>
      </c>
      <c r="J1347">
        <f>-675.247114149936 -13.8564308153868 -553.812278645803</f>
        <v>-1242.9158236111257</v>
      </c>
      <c r="K1347" t="s">
        <v>14881</v>
      </c>
      <c r="L1347" t="s">
        <v>14882</v>
      </c>
      <c r="M1347" t="s">
        <v>14883</v>
      </c>
      <c r="N1347">
        <f>-663.886208642603 -67.7994089862087 -559.491760637798</f>
        <v>-1291.1773782666098</v>
      </c>
      <c r="O1347">
        <f>-635.316570657132 -201.222938305721 -542.764321138417</f>
        <v>-1379.30383010127</v>
      </c>
      <c r="P1347">
        <f>-573.770798939699 -298.089435965265 -271.802574474699</f>
        <v>-1143.662809379663</v>
      </c>
      <c r="Q1347">
        <f>-461.281112598511 -102.159342904517 -355.518577442306</f>
        <v>-918.959032945334</v>
      </c>
      <c r="R1347" t="s">
        <v>14884</v>
      </c>
      <c r="S1347" t="s">
        <v>14885</v>
      </c>
      <c r="T1347" t="s">
        <v>14886</v>
      </c>
      <c r="U1347" t="s">
        <v>14887</v>
      </c>
      <c r="V1347">
        <f>-598.886196275841 -141.376868046015 -97.6456078242403</f>
        <v>-837.90867214609636</v>
      </c>
      <c r="W1347" t="s">
        <v>14888</v>
      </c>
      <c r="X1347" t="s">
        <v>14889</v>
      </c>
      <c r="Y1347" t="s">
        <v>14890</v>
      </c>
    </row>
    <row r="1348" spans="1:25" x14ac:dyDescent="0.3">
      <c r="A1348">
        <v>67350</v>
      </c>
      <c r="B1348" t="s">
        <v>14891</v>
      </c>
      <c r="C1348">
        <f>-624.633501912802 -47.1245487169529 -99.0639456251809</f>
        <v>-770.82199625493581</v>
      </c>
      <c r="D1348">
        <f>-649.877674843917 -57.547412163697 -211.626566150407</f>
        <v>-919.05165315802105</v>
      </c>
      <c r="E1348">
        <f>-661.202722521806 -57.2341895728995 -309.597374839509</f>
        <v>-1028.0342869342144</v>
      </c>
      <c r="F1348">
        <f>-667.761923541237 -53.4883361372862 -398.373419811376</f>
        <v>-1119.6236794898991</v>
      </c>
      <c r="G1348">
        <f>-670.237928325545 -46.2592550950612 -487.141976326396</f>
        <v>-1203.6391597470022</v>
      </c>
      <c r="H1348">
        <f>-669.366161985187 -32.5712751118776 -610.967354028634</f>
        <v>-1312.9047911256985</v>
      </c>
      <c r="I1348">
        <f>-644.239127601877 -14.8131067400827 -688.157402677912</f>
        <v>-1347.2096370198719</v>
      </c>
      <c r="J1348">
        <f>-675.46850168118 -11.6418581271096 -553.53873514947</f>
        <v>-1240.6490949577596</v>
      </c>
      <c r="K1348" t="s">
        <v>14892</v>
      </c>
      <c r="L1348" t="s">
        <v>14893</v>
      </c>
      <c r="M1348" t="s">
        <v>14894</v>
      </c>
      <c r="N1348">
        <f>-664.031072478994 -65.5473408994849 -559.417051906525</f>
        <v>-1288.9954652850038</v>
      </c>
      <c r="O1348">
        <f>-635.196758066073 -198.976923355018 -543.175219607247</f>
        <v>-1377.3489010283379</v>
      </c>
      <c r="P1348">
        <f>-573.170535740431 -296.671762669576 -272.620934668553</f>
        <v>-1142.4632330785601</v>
      </c>
      <c r="Q1348">
        <f>-461.344507936666 -100.047078376106 -355.593829696763</f>
        <v>-916.98541600953502</v>
      </c>
      <c r="R1348" t="s">
        <v>14895</v>
      </c>
      <c r="S1348" t="s">
        <v>14896</v>
      </c>
      <c r="T1348" t="s">
        <v>14897</v>
      </c>
      <c r="U1348" t="s">
        <v>14898</v>
      </c>
      <c r="V1348">
        <f>-598.771818298844 -140.164653419799 -97.6379000770993</f>
        <v>-836.57437179574231</v>
      </c>
      <c r="W1348" t="s">
        <v>14899</v>
      </c>
      <c r="X1348" t="s">
        <v>14900</v>
      </c>
      <c r="Y1348" t="s">
        <v>14901</v>
      </c>
    </row>
    <row r="1349" spans="1:25" x14ac:dyDescent="0.3">
      <c r="A1349">
        <v>67400</v>
      </c>
      <c r="B1349" t="s">
        <v>14902</v>
      </c>
      <c r="C1349">
        <f>-624.481272317955 -45.9112539910819 -98.9971682919363</f>
        <v>-769.38969460097326</v>
      </c>
      <c r="D1349">
        <f>-649.737051545904 -56.2650505490737 -211.563451872163</f>
        <v>-917.56555396714077</v>
      </c>
      <c r="E1349">
        <f>-661.113663946108 -55.751261074706 -309.527580549594</f>
        <v>-1026.392505570408</v>
      </c>
      <c r="F1349">
        <f>-667.735368050487 -51.7666278763919 -398.288576932393</f>
        <v>-1117.7905728592718</v>
      </c>
      <c r="G1349">
        <f>-670.289793699735 -44.2403420688885 -487.030125913218</f>
        <v>-1201.5602616818414</v>
      </c>
      <c r="H1349">
        <f>-669.544039083245 -30.075800419228 -610.80262124527</f>
        <v>-1310.4224607477431</v>
      </c>
      <c r="I1349">
        <f>-644.721760452422 -12.0943927318299 -688.0396420922</f>
        <v>-1344.8557952764518</v>
      </c>
      <c r="J1349">
        <f>-675.636732317114 -9.37794877246256 -553.289146481954</f>
        <v>-1238.3038275715307</v>
      </c>
      <c r="K1349" t="s">
        <v>14903</v>
      </c>
      <c r="L1349" t="s">
        <v>14904</v>
      </c>
      <c r="M1349" t="s">
        <v>14905</v>
      </c>
      <c r="N1349">
        <f>-664.107624241086 -63.2398770178055 -559.383714299077</f>
        <v>-1286.7312155579684</v>
      </c>
      <c r="O1349">
        <f>-634.968108039944 -196.657682230094 -543.65096660053</f>
        <v>-1375.2767568705681</v>
      </c>
      <c r="P1349">
        <f>-572.123913913675 -295.143005425038 -273.572331652183</f>
        <v>-1140.8392509908961</v>
      </c>
      <c r="Q1349">
        <f>-460.974682405244 -97.8295896896273 -355.816667088445</f>
        <v>-914.6209391833163</v>
      </c>
      <c r="R1349" t="s">
        <v>14906</v>
      </c>
      <c r="S1349" t="s">
        <v>14907</v>
      </c>
      <c r="T1349" t="s">
        <v>14908</v>
      </c>
      <c r="U1349" t="s">
        <v>14909</v>
      </c>
      <c r="V1349">
        <f>-598.553127594724 -138.955770027197 -97.6465238836264</f>
        <v>-835.15542150554734</v>
      </c>
      <c r="W1349" t="s">
        <v>14910</v>
      </c>
      <c r="X1349" t="s">
        <v>14911</v>
      </c>
      <c r="Y1349" t="s">
        <v>14912</v>
      </c>
    </row>
    <row r="1350" spans="1:25" x14ac:dyDescent="0.3">
      <c r="A1350">
        <v>67450</v>
      </c>
      <c r="B1350" t="s">
        <v>14913</v>
      </c>
      <c r="C1350">
        <f>-624.403897956456 -45.2519454452839 -98.9667892042421</f>
        <v>-768.62263260598206</v>
      </c>
      <c r="D1350">
        <f>-649.674312536422 -55.5738883953114 -211.532667009481</f>
        <v>-916.78086794121441</v>
      </c>
      <c r="E1350">
        <f>-661.073710687351 -54.971844526846 -309.493633277949</f>
        <v>-1025.539188492146</v>
      </c>
      <c r="F1350">
        <f>-667.71966217508 -50.8829053462363 -398.248020417485</f>
        <v>-1116.8505879388013</v>
      </c>
      <c r="G1350">
        <f>-670.301768085083 -43.2275727158873 -486.977823847008</f>
        <v>-1200.5071646479782</v>
      </c>
      <c r="H1350">
        <f>-669.598343537974 -28.8570864968906 -610.726865586826</f>
        <v>-1309.1822956216906</v>
      </c>
      <c r="I1350">
        <f>-644.930195685791 -10.7834946484868 -687.991785155392</f>
        <v>-1343.7054754896699</v>
      </c>
      <c r="J1350">
        <f>-675.692488777803 -8.25943270968787 -553.177538579534</f>
        <v>-1237.1294600670249</v>
      </c>
      <c r="K1350" t="s">
        <v>14914</v>
      </c>
      <c r="L1350" t="s">
        <v>14915</v>
      </c>
      <c r="M1350" t="s">
        <v>14916</v>
      </c>
      <c r="N1350">
        <f>-664.123188275496 -62.1021377611706 -559.364516339053</f>
        <v>-1285.5898423757196</v>
      </c>
      <c r="O1350">
        <f>-634.836734878042 -195.517662749875 -543.855418567954</f>
        <v>-1374.2098161958711</v>
      </c>
      <c r="P1350">
        <f>-571.599797397273 -294.333291521469 -273.989174078998</f>
        <v>-1139.9222629977401</v>
      </c>
      <c r="Q1350">
        <f>-460.736464502797 -96.7116913634502 -355.87891687068</f>
        <v>-913.32707273692711</v>
      </c>
      <c r="R1350" t="s">
        <v>14917</v>
      </c>
      <c r="S1350" t="s">
        <v>14918</v>
      </c>
      <c r="T1350" t="s">
        <v>14919</v>
      </c>
      <c r="U1350" t="s">
        <v>14920</v>
      </c>
      <c r="V1350">
        <f>-598.423148547194 -138.33373812261 -97.6584923418908</f>
        <v>-834.41537901169488</v>
      </c>
      <c r="W1350" t="s">
        <v>14921</v>
      </c>
      <c r="X1350" t="s">
        <v>14922</v>
      </c>
      <c r="Y1350" t="s">
        <v>14923</v>
      </c>
    </row>
    <row r="1351" spans="1:25" x14ac:dyDescent="0.3">
      <c r="A1351">
        <v>67500</v>
      </c>
      <c r="B1351" t="s">
        <v>14924</v>
      </c>
      <c r="C1351">
        <f>-624.274031433758 -44.5275950611796 -98.9336008985307</f>
        <v>-767.73522739346822</v>
      </c>
      <c r="D1351">
        <f>-649.559571795164 -54.8103637669392 -211.499723229487</f>
        <v>-915.86965879159015</v>
      </c>
      <c r="E1351">
        <f>-660.97225871944 -54.1261308469033 -309.458566136643</f>
        <v>-1024.5569557029862</v>
      </c>
      <c r="F1351">
        <f>-667.629890774578 -49.9437802473975 -398.207738999875</f>
        <v>-1115.7814100218507</v>
      </c>
      <c r="G1351">
        <f>-670.223080417175 -42.1759976903254 -486.927559990143</f>
        <v>-1199.3266380976434</v>
      </c>
      <c r="H1351">
        <f>-669.5344116936 -27.628113615549 -610.655736203983</f>
        <v>-1307.8182615131318</v>
      </c>
      <c r="I1351">
        <f>-645.000392674911 -9.46327651719639 -687.941899621314</f>
        <v>-1342.4055688134213</v>
      </c>
      <c r="J1351">
        <f>-675.64176166446 -7.11728966033888 -553.077070409001</f>
        <v>-1235.8361217337997</v>
      </c>
      <c r="K1351" t="s">
        <v>14925</v>
      </c>
      <c r="L1351" t="s">
        <v>14926</v>
      </c>
      <c r="M1351" t="s">
        <v>14927</v>
      </c>
      <c r="N1351">
        <f>-664.033181970552 -60.9426901957053 -559.341106716206</f>
        <v>-1284.3169788824634</v>
      </c>
      <c r="O1351">
        <f>-634.634402213838 -194.351937429449 -544.021802522057</f>
        <v>-1373.008142165344</v>
      </c>
      <c r="P1351">
        <f>-571.099234993739 -293.403356557952 -274.312093937188</f>
        <v>-1138.8146854888791</v>
      </c>
      <c r="Q1351">
        <f>-460.494130920709 -95.5496684941952 -355.990282656756</f>
        <v>-912.03408207166024</v>
      </c>
      <c r="R1351" t="s">
        <v>14928</v>
      </c>
      <c r="S1351" t="s">
        <v>14929</v>
      </c>
      <c r="T1351" t="s">
        <v>14930</v>
      </c>
      <c r="U1351" t="s">
        <v>14931</v>
      </c>
      <c r="V1351">
        <f>-598.244472442486 -137.604573120705 -97.6722119470927</f>
        <v>-833.5212575102837</v>
      </c>
      <c r="W1351" t="s">
        <v>14932</v>
      </c>
      <c r="X1351" t="s">
        <v>14933</v>
      </c>
      <c r="Y1351" t="s">
        <v>14934</v>
      </c>
    </row>
    <row r="1352" spans="1:25" x14ac:dyDescent="0.3">
      <c r="A1352">
        <v>67550</v>
      </c>
      <c r="B1352" t="s">
        <v>14935</v>
      </c>
      <c r="C1352">
        <f>-623.945353607307 -43.1051674257844 -98.826289688492</f>
        <v>-765.87681072158341</v>
      </c>
      <c r="D1352">
        <f>-649.240995862963 -53.3083653021001 -211.397361515653</f>
        <v>-913.94672268071611</v>
      </c>
      <c r="E1352">
        <f>-660.619146643259 -52.483057222238 -309.359144621099</f>
        <v>-1022.4613484865961</v>
      </c>
      <c r="F1352">
        <f>-667.227063843835 -48.1448470968886 -398.104573751553</f>
        <v>-1113.4764846922767</v>
      </c>
      <c r="G1352">
        <f>-669.752087880559 -40.193067229889 -486.809886694719</f>
        <v>-1196.7550418051669</v>
      </c>
      <c r="H1352">
        <f>-668.948843042519 -25.3593281521573 -610.503593442481</f>
        <v>-1304.8117646371575</v>
      </c>
      <c r="I1352">
        <f>-644.636284893788 -7.05327360057709 -687.826396585873</f>
        <v>-1339.5159550802382</v>
      </c>
      <c r="J1352">
        <f>-675.137824161451 -4.9876296022469 -552.884101626601</f>
        <v>-1233.0095553902988</v>
      </c>
      <c r="K1352" t="s">
        <v>14936</v>
      </c>
      <c r="L1352" t="s">
        <v>14937</v>
      </c>
      <c r="M1352" t="s">
        <v>14938</v>
      </c>
      <c r="N1352">
        <f>-663.466793418636 -58.786223526238 -559.260082311785</f>
        <v>-1281.5130992566592</v>
      </c>
      <c r="O1352">
        <f>-633.849027719638 -192.17985010859 -544.185231906558</f>
        <v>-1370.214109734786</v>
      </c>
      <c r="P1352">
        <f>-570.032420035229 -291.72817555635 -274.725042337952</f>
        <v>-1136.4856379295311</v>
      </c>
      <c r="Q1352">
        <f>-459.850209206335 -93.3721925984221 -355.7540113717</f>
        <v>-908.97641317645719</v>
      </c>
      <c r="R1352" t="s">
        <v>14939</v>
      </c>
      <c r="S1352" t="s">
        <v>14940</v>
      </c>
      <c r="T1352" t="s">
        <v>14941</v>
      </c>
      <c r="U1352" t="s">
        <v>14942</v>
      </c>
      <c r="V1352">
        <f>-597.809620465565 -136.204391294793 -97.6547551880885</f>
        <v>-831.66876694844655</v>
      </c>
      <c r="W1352" t="s">
        <v>14943</v>
      </c>
      <c r="X1352" t="s">
        <v>14944</v>
      </c>
      <c r="Y1352" t="s">
        <v>14945</v>
      </c>
    </row>
    <row r="1353" spans="1:25" x14ac:dyDescent="0.3">
      <c r="A1353">
        <v>67600</v>
      </c>
      <c r="B1353" t="s">
        <v>14946</v>
      </c>
      <c r="C1353">
        <f>-623.467252879369 -41.6904362083906 -98.7638428563831</f>
        <v>-763.92153194414266</v>
      </c>
      <c r="D1353">
        <f>-648.794999002195 -51.8326010072898 -211.333266857827</f>
        <v>-911.96086686731178</v>
      </c>
      <c r="E1353">
        <f>-660.110620553809 -50.8847122813448 -309.301204802948</f>
        <v>-1020.2965376381019</v>
      </c>
      <c r="F1353">
        <f>-666.624547043139 -46.4092747727038 -398.046792623771</f>
        <v>-1111.0806144396138</v>
      </c>
      <c r="G1353">
        <f>-669.01749201013 -38.2945602310365 -486.741027165543</f>
        <v>-1194.0530794067095</v>
      </c>
      <c r="H1353">
        <f>-667.989703140761 -23.2077258766092 -610.402451993567</f>
        <v>-1301.5998810109372</v>
      </c>
      <c r="I1353">
        <f>-643.820784914869 -4.81595300089634 -687.749941517309</f>
        <v>-1336.3866794330743</v>
      </c>
      <c r="J1353">
        <f>-674.300925221265 -2.95770393360363 -552.753481409948</f>
        <v>-1230.0121105648166</v>
      </c>
      <c r="K1353" t="s">
        <v>14947</v>
      </c>
      <c r="L1353" t="s">
        <v>14948</v>
      </c>
      <c r="M1353" t="s">
        <v>14949</v>
      </c>
      <c r="N1353">
        <f>-662.583030260232 -56.7357916416354 -559.216882698048</f>
        <v>-1278.5357045999153</v>
      </c>
      <c r="O1353">
        <f>-632.781197828327 -190.105450254631 -544.330365991757</f>
        <v>-1367.2170140747151</v>
      </c>
      <c r="P1353">
        <f>-568.765551903805 -290.10786320507 -275.085483396086</f>
        <v>-1133.9588985049609</v>
      </c>
      <c r="Q1353">
        <f>-458.931759684954 -91.3559252881488 -355.615521905372</f>
        <v>-905.90320687847486</v>
      </c>
      <c r="R1353" t="s">
        <v>14950</v>
      </c>
      <c r="S1353" t="s">
        <v>14951</v>
      </c>
      <c r="T1353" t="s">
        <v>14952</v>
      </c>
      <c r="U1353" t="s">
        <v>14953</v>
      </c>
      <c r="V1353">
        <f>-597.199897028529 -134.782038415085 -97.6678365324145</f>
        <v>-829.64977197602855</v>
      </c>
      <c r="W1353" t="s">
        <v>14954</v>
      </c>
      <c r="X1353" t="s">
        <v>14955</v>
      </c>
      <c r="Y1353" t="s">
        <v>14956</v>
      </c>
    </row>
    <row r="1354" spans="1:25" x14ac:dyDescent="0.3">
      <c r="A1354">
        <v>67650</v>
      </c>
      <c r="B1354" t="s">
        <v>14957</v>
      </c>
      <c r="C1354">
        <f>-623.182161520184 -41.0283857564707 -98.7375510508786</f>
        <v>-762.94809832753322</v>
      </c>
      <c r="D1354">
        <f>-648.527312174576 -51.1377137392977 -211.3059467024</f>
        <v>-910.97097261627368</v>
      </c>
      <c r="E1354">
        <f>-659.812583084765 -50.1408841280228 -309.276995197325</f>
        <v>-1019.2304624101128</v>
      </c>
      <c r="F1354">
        <f>-666.279851786462 -45.6144313618188 -398.023381672262</f>
        <v>-1109.9176648205428</v>
      </c>
      <c r="G1354">
        <f>-668.606560875813 -37.4423609218036 -486.713999974358</f>
        <v>-1192.7629217719746</v>
      </c>
      <c r="H1354">
        <f>-667.465467049865 -22.269660648438 -610.363886048204</f>
        <v>-1300.0990137465069</v>
      </c>
      <c r="I1354">
        <f>-643.339499223122 -3.86366125900759 -687.721462745728</f>
        <v>-1334.9246232278574</v>
      </c>
      <c r="J1354">
        <f>-673.831745577344 -2.06017591250975 -552.70674826329</f>
        <v>-1228.5986697531439</v>
      </c>
      <c r="K1354" t="s">
        <v>14958</v>
      </c>
      <c r="L1354" t="s">
        <v>14959</v>
      </c>
      <c r="M1354" t="s">
        <v>14960</v>
      </c>
      <c r="N1354">
        <f>-662.103483616353 -55.8327739290482 -559.196792583573</f>
        <v>-1277.1330501289742</v>
      </c>
      <c r="O1354">
        <f>-632.243331336416 -189.196328362486 -544.381495088672</f>
        <v>-1365.821154787574</v>
      </c>
      <c r="P1354">
        <f>-568.103954629612 -289.330398971451 -275.215184754066</f>
        <v>-1132.6495383551289</v>
      </c>
      <c r="Q1354">
        <f>-458.322200194386 -90.5165068237957 -355.663178178342</f>
        <v>-904.50188519652374</v>
      </c>
      <c r="R1354" t="s">
        <v>14961</v>
      </c>
      <c r="S1354" t="s">
        <v>14962</v>
      </c>
      <c r="T1354" t="s">
        <v>14963</v>
      </c>
      <c r="U1354" t="s">
        <v>14964</v>
      </c>
      <c r="V1354">
        <f>-596.835000719743 -134.13184437928 -97.6800262197448</f>
        <v>-828.64687131876781</v>
      </c>
      <c r="W1354" t="s">
        <v>14965</v>
      </c>
      <c r="X1354" t="s">
        <v>14966</v>
      </c>
      <c r="Y1354" t="s">
        <v>14967</v>
      </c>
    </row>
    <row r="1355" spans="1:25" x14ac:dyDescent="0.3">
      <c r="A1355">
        <v>67700</v>
      </c>
      <c r="B1355" t="s">
        <v>14968</v>
      </c>
      <c r="C1355">
        <f>-622.616175998675 -39.9019604247367 -98.6470061694894</f>
        <v>-761.16514259290102</v>
      </c>
      <c r="D1355">
        <f>-648.003140846173 -49.9291166019594 -211.213258739065</f>
        <v>-909.14551618719747</v>
      </c>
      <c r="E1355">
        <f>-659.219565718535 -48.8168599899294 -309.190996887003</f>
        <v>-1017.2274225954675</v>
      </c>
      <c r="F1355">
        <f>-665.581294070967 -44.1695470432176 -397.938767877344</f>
        <v>-1107.6896089915285</v>
      </c>
      <c r="G1355">
        <f>-667.758764743709 -35.8619120829119 -486.620682825473</f>
        <v>-1190.2413596520939</v>
      </c>
      <c r="H1355">
        <f>-666.363077304608 -20.4849057282211 -610.242666637418</f>
        <v>-1297.0906496702471</v>
      </c>
      <c r="I1355">
        <f>-642.280777158573 -2.07720115227039 -687.613420844346</f>
        <v>-1331.9713991551894</v>
      </c>
      <c r="J1355">
        <f>-672.851852533889 -0.371440324838659 -552.565586723865</f>
        <v>-1225.7888795825925</v>
      </c>
      <c r="K1355" t="s">
        <v>14969</v>
      </c>
      <c r="L1355" t="s">
        <v>14970</v>
      </c>
      <c r="M1355" t="s">
        <v>14971</v>
      </c>
      <c r="N1355">
        <f>-661.102537405709 -54.1316318518568 -559.119959404135</f>
        <v>-1274.3541286617008</v>
      </c>
      <c r="O1355">
        <f>-631.207838132027 -187.506612855347 -544.423006212805</f>
        <v>-1363.1374572001791</v>
      </c>
      <c r="P1355">
        <f>-566.841377859984 -287.787788495042 -275.365504473436</f>
        <v>-1129.9946708284619</v>
      </c>
      <c r="Q1355">
        <f>-457.110719304337 -88.9465572338271 -355.815678780383</f>
        <v>-901.87295531854716</v>
      </c>
      <c r="R1355" t="s">
        <v>14972</v>
      </c>
      <c r="S1355" t="s">
        <v>14973</v>
      </c>
      <c r="T1355" t="s">
        <v>14974</v>
      </c>
      <c r="U1355" t="s">
        <v>14975</v>
      </c>
      <c r="V1355">
        <f>-596.222575269172 -133.069608410318 -97.6625403030763</f>
        <v>-826.95472398256629</v>
      </c>
      <c r="W1355" t="s">
        <v>14976</v>
      </c>
      <c r="X1355" t="s">
        <v>14977</v>
      </c>
      <c r="Y1355" t="s">
        <v>14978</v>
      </c>
    </row>
    <row r="1356" spans="1:25" x14ac:dyDescent="0.3">
      <c r="A1356">
        <v>67750</v>
      </c>
      <c r="B1356" t="s">
        <v>14979</v>
      </c>
      <c r="C1356">
        <f>-622.370333770239 -39.3410455778774 -98.5821745095667</f>
        <v>-760.29355385768304</v>
      </c>
      <c r="D1356">
        <f>-647.773382558068 -49.3246773901418 -211.148805411039</f>
        <v>-908.24686535924877</v>
      </c>
      <c r="E1356">
        <f>-658.9458351324 -48.1706052031249 -309.130933587957</f>
        <v>-1016.2473739234819</v>
      </c>
      <c r="F1356">
        <f>-665.244157476257 -43.4842356971343 -397.881262692467</f>
        <v>-1106.6096558658583</v>
      </c>
      <c r="G1356">
        <f>-667.334903927265 -35.1365279336574 -486.56144375103</f>
        <v>-1189.0328756119525</v>
      </c>
      <c r="H1356">
        <f>-665.793550845063 -19.7037634720236 -610.174728196457</f>
        <v>-1295.6720425135436</v>
      </c>
      <c r="I1356">
        <f>-641.712538812688 -1.32430538598828 -687.552689609672</f>
        <v>-1330.5895338083483</v>
      </c>
      <c r="J1356" t="s">
        <v>14980</v>
      </c>
      <c r="K1356" t="s">
        <v>14981</v>
      </c>
      <c r="L1356" t="s">
        <v>14982</v>
      </c>
      <c r="M1356" t="s">
        <v>14983</v>
      </c>
      <c r="N1356">
        <f>-660.600088076009 -53.3749996629941 -559.061419074158</f>
        <v>-1273.0365068131612</v>
      </c>
      <c r="O1356">
        <f>-630.726106423375 -186.750422971672 -544.380469978911</f>
        <v>-1361.8569993739579</v>
      </c>
      <c r="P1356">
        <f>-566.213135540889 -287.030748534827 -275.357920638562</f>
        <v>-1128.6018047142779</v>
      </c>
      <c r="Q1356">
        <f>-456.525667089216 -88.1999315437303 -355.892713620245</f>
        <v>-900.61831225319122</v>
      </c>
      <c r="R1356" t="s">
        <v>14984</v>
      </c>
      <c r="S1356" t="s">
        <v>14985</v>
      </c>
      <c r="T1356" t="s">
        <v>14986</v>
      </c>
      <c r="U1356" t="s">
        <v>14987</v>
      </c>
      <c r="V1356">
        <f>-595.973595009625 -132.479089453761 -97.6421596691409</f>
        <v>-826.09484413252699</v>
      </c>
      <c r="W1356" t="s">
        <v>14988</v>
      </c>
      <c r="X1356" t="s">
        <v>14989</v>
      </c>
      <c r="Y1356" t="s">
        <v>14990</v>
      </c>
    </row>
    <row r="1357" spans="1:25" x14ac:dyDescent="0.3">
      <c r="A1357">
        <v>67800</v>
      </c>
      <c r="B1357" t="s">
        <v>14991</v>
      </c>
      <c r="C1357">
        <f>-621.965240202085 -38.3199648718999 -98.4727451181792</f>
        <v>-758.75795019216412</v>
      </c>
      <c r="D1357">
        <f>-647.364426487435 -48.2415417226498 -211.045729858255</f>
        <v>-906.65169806833978</v>
      </c>
      <c r="E1357">
        <f>-658.448967087554 -47.0695677031151 -309.037598159873</f>
        <v>-1014.5561329505422</v>
      </c>
      <c r="F1357">
        <f>-664.634214944179 -42.3814711543687 -397.795708144181</f>
        <v>-1104.8113942427287</v>
      </c>
      <c r="G1357">
        <f>-666.578078301932 -34.048346144675 -486.480665665006</f>
        <v>-1187.1070901116129</v>
      </c>
      <c r="H1357">
        <f>-664.796474255107 -18.6528324855619 -610.095571004891</f>
        <v>-1293.5448777455599</v>
      </c>
      <c r="I1357">
        <f>-640.702309236318 -0.395019919427568 -687.498024416568</f>
        <v>-1328.5953535723136</v>
      </c>
      <c r="J1357" t="s">
        <v>14992</v>
      </c>
      <c r="K1357" t="s">
        <v>14993</v>
      </c>
      <c r="L1357" t="s">
        <v>14994</v>
      </c>
      <c r="M1357" t="s">
        <v>14995</v>
      </c>
      <c r="N1357">
        <f>-659.739284317061 -52.3165360962419 -558.963388863309</f>
        <v>-1271.0192092766119</v>
      </c>
      <c r="O1357">
        <f>-629.942310848559 -185.701921606357 -544.203631212142</f>
        <v>-1359.8478636670579</v>
      </c>
      <c r="P1357">
        <f>-565.123735559891 -285.877363136114 -275.215458238713</f>
        <v>-1126.216556934718</v>
      </c>
      <c r="Q1357">
        <f>-455.252959886373 -87.2295336613831 -355.951588951485</f>
        <v>-898.43408249924119</v>
      </c>
      <c r="R1357" t="s">
        <v>14996</v>
      </c>
      <c r="S1357" t="s">
        <v>14997</v>
      </c>
      <c r="T1357" t="s">
        <v>14998</v>
      </c>
      <c r="U1357" t="s">
        <v>14999</v>
      </c>
      <c r="V1357">
        <f>-595.600427069831 -131.434056316039 -97.5899911370456</f>
        <v>-824.62447452291553</v>
      </c>
      <c r="W1357" t="s">
        <v>15000</v>
      </c>
      <c r="X1357" t="s">
        <v>15001</v>
      </c>
      <c r="Y1357" t="s">
        <v>15002</v>
      </c>
    </row>
    <row r="1358" spans="1:25" x14ac:dyDescent="0.3">
      <c r="A1358">
        <v>67850</v>
      </c>
      <c r="B1358" t="s">
        <v>15003</v>
      </c>
      <c r="C1358">
        <f>-621.751079601374 -37.8519770102102 -98.4309290011586</f>
        <v>-758.03398561274287</v>
      </c>
      <c r="D1358">
        <f>-647.147453003513 -47.7574121227304 -211.005872259712</f>
        <v>-905.91073738595537</v>
      </c>
      <c r="E1358">
        <f>-658.206488343304 -46.6001583401144 -309.00083822923</f>
        <v>-1013.8074849126484</v>
      </c>
      <c r="F1358">
        <f>-664.359432063973 -41.9373046557462 -397.762637476245</f>
        <v>-1104.0593741959642</v>
      </c>
      <c r="G1358">
        <f>-666.261780214381 -33.641456858127 -486.451923238257</f>
        <v>-1186.3551603107649</v>
      </c>
      <c r="H1358">
        <f>-664.412672097243 -18.3114951464181 -610.073818309123</f>
        <v>-1292.7979855527842</v>
      </c>
      <c r="I1358">
        <f>-640.323434467381 -0.146017699571075 -687.499625666099</f>
        <v>-1327.969077833051</v>
      </c>
      <c r="J1358" t="s">
        <v>15004</v>
      </c>
      <c r="K1358" t="s">
        <v>15005</v>
      </c>
      <c r="L1358" t="s">
        <v>15006</v>
      </c>
      <c r="M1358" t="s">
        <v>15007</v>
      </c>
      <c r="N1358">
        <f>-659.4093689712 -51.9535585220897 -558.922320884254</f>
        <v>-1270.2852483775437</v>
      </c>
      <c r="O1358">
        <f>-629.692084639496 -185.352897236679 -544.086618097813</f>
        <v>-1359.1315999739882</v>
      </c>
      <c r="P1358">
        <f>-564.845317231047 -285.416299132674 -275.063433934305</f>
        <v>-1125.3250502980261</v>
      </c>
      <c r="Q1358">
        <f>-454.72147307489 -86.9768206535543 -355.966921751507</f>
        <v>-897.66521547995137</v>
      </c>
      <c r="R1358" t="s">
        <v>15008</v>
      </c>
      <c r="S1358" t="s">
        <v>15009</v>
      </c>
      <c r="T1358" t="s">
        <v>15010</v>
      </c>
      <c r="U1358" t="s">
        <v>15011</v>
      </c>
      <c r="V1358">
        <f>-595.439311301711 -130.968006709833 -97.5602028370781</f>
        <v>-823.96752084862214</v>
      </c>
      <c r="W1358" t="s">
        <v>15012</v>
      </c>
      <c r="X1358" t="s">
        <v>15013</v>
      </c>
      <c r="Y1358" t="s">
        <v>15014</v>
      </c>
    </row>
    <row r="1359" spans="1:25" x14ac:dyDescent="0.3">
      <c r="A1359">
        <v>67900</v>
      </c>
      <c r="B1359" t="s">
        <v>15015</v>
      </c>
      <c r="C1359">
        <f>-621.383223218055 -36.9401951762525 -98.4025072195553</f>
        <v>-756.72592561386284</v>
      </c>
      <c r="D1359">
        <f>-646.750706074475 -46.8023400889604 -210.987825113539</f>
        <v>-904.54087127697437</v>
      </c>
      <c r="E1359">
        <f>-657.7415010222 -45.6863789404068 -308.991009672122</f>
        <v>-1012.4188896347289</v>
      </c>
      <c r="F1359">
        <f>-663.815652859963 -41.0926326862707 -397.761694632161</f>
        <v>-1102.6699801783948</v>
      </c>
      <c r="G1359">
        <f>-665.621755932214 -32.8995052615046 -486.462587746811</f>
        <v>-1184.9838489405297</v>
      </c>
      <c r="H1359">
        <f>-663.619846647523 -17.7487582802839 -610.10438512186</f>
        <v>-1291.4729900496668</v>
      </c>
      <c r="I1359" t="s">
        <v>15016</v>
      </c>
      <c r="J1359" t="s">
        <v>15017</v>
      </c>
      <c r="K1359" t="s">
        <v>15018</v>
      </c>
      <c r="L1359" t="s">
        <v>15019</v>
      </c>
      <c r="M1359" t="s">
        <v>15020</v>
      </c>
      <c r="N1359">
        <f>-658.745505525306 -51.3305609079387 -558.900613535626</f>
        <v>-1268.9766799688707</v>
      </c>
      <c r="O1359">
        <f>-629.248080365103 -184.757198427108 -543.892350422913</f>
        <v>-1357.8976292151237</v>
      </c>
      <c r="P1359">
        <f>-564.646137693988 -284.673719499149 -274.755700291998</f>
        <v>-1124.0755574851351</v>
      </c>
      <c r="Q1359">
        <f>-453.77800872934 -86.8092693518083 -356.050041329003</f>
        <v>-896.63731941015135</v>
      </c>
      <c r="R1359" t="s">
        <v>15021</v>
      </c>
      <c r="S1359" t="s">
        <v>15022</v>
      </c>
      <c r="T1359" t="s">
        <v>15023</v>
      </c>
      <c r="U1359" t="s">
        <v>15024</v>
      </c>
      <c r="V1359">
        <f>-595.160268128201 -130.020692349357 -97.5323552957677</f>
        <v>-822.71331577332569</v>
      </c>
      <c r="W1359" t="s">
        <v>15025</v>
      </c>
      <c r="X1359" t="s">
        <v>15026</v>
      </c>
      <c r="Y1359" t="s">
        <v>15027</v>
      </c>
    </row>
    <row r="1360" spans="1:25" x14ac:dyDescent="0.3">
      <c r="A1360">
        <v>67950</v>
      </c>
      <c r="B1360" t="s">
        <v>15028</v>
      </c>
      <c r="C1360">
        <f>-621.205378772448 -36.6088114799854 -98.4048375992774</f>
        <v>-756.21902785171073</v>
      </c>
      <c r="D1360">
        <f>-646.547640128616 -46.4592616316939 -210.996942623254</f>
        <v>-904.00384438356389</v>
      </c>
      <c r="E1360">
        <f>-657.495631549723 -45.3514224599253 -309.004845640257</f>
        <v>-1011.8518996499054</v>
      </c>
      <c r="F1360">
        <f>-663.52197181819 -40.7729628400168 -397.779760422408</f>
        <v>-1102.0746950806147</v>
      </c>
      <c r="G1360">
        <f>-665.270578603987 -32.6043185825047 -486.48401981026</f>
        <v>-1184.3589169967518</v>
      </c>
      <c r="H1360">
        <f>-663.178046431099 -17.4982237234283 -610.129604253089</f>
        <v>-1290.8058744076163</v>
      </c>
      <c r="I1360" t="s">
        <v>15029</v>
      </c>
      <c r="J1360" t="s">
        <v>15030</v>
      </c>
      <c r="K1360" t="s">
        <v>15031</v>
      </c>
      <c r="L1360" t="s">
        <v>15032</v>
      </c>
      <c r="M1360" t="s">
        <v>15033</v>
      </c>
      <c r="N1360">
        <f>-658.378630194082 -51.0692387999138 -558.911748562269</f>
        <v>-1268.3596175562648</v>
      </c>
      <c r="O1360">
        <f>-629.00235403991 -184.522412225381 -543.853641736372</f>
        <v>-1357.378408001663</v>
      </c>
      <c r="P1360">
        <f>-564.671357000856 -284.460239920633 -274.660086386546</f>
        <v>-1123.7916833080351</v>
      </c>
      <c r="Q1360">
        <f>-453.360691049248 -86.8962839553303 -356.080582036465</f>
        <v>-896.33755704104328</v>
      </c>
      <c r="R1360" t="s">
        <v>15034</v>
      </c>
      <c r="S1360" t="s">
        <v>15035</v>
      </c>
      <c r="T1360" t="s">
        <v>15036</v>
      </c>
      <c r="U1360" t="s">
        <v>15037</v>
      </c>
      <c r="V1360">
        <f>-594.994301945218 -129.710873943848 -97.5268409277182</f>
        <v>-822.23201681678427</v>
      </c>
      <c r="W1360" t="s">
        <v>15038</v>
      </c>
      <c r="X1360" t="s">
        <v>15039</v>
      </c>
      <c r="Y1360" t="s">
        <v>15040</v>
      </c>
    </row>
    <row r="1361" spans="1:25" x14ac:dyDescent="0.3">
      <c r="A1361">
        <v>68000</v>
      </c>
      <c r="B1361" t="s">
        <v>15041</v>
      </c>
      <c r="C1361">
        <f>-620.838281467869 -35.9925496803696 -98.4048518957202</f>
        <v>-755.23568304395883</v>
      </c>
      <c r="D1361">
        <f>-646.131213681072 -45.858813836159 -211.006480685168</f>
        <v>-902.99650820239901</v>
      </c>
      <c r="E1361">
        <f>-656.99665260458 -44.7086486925635 -309.023310989027</f>
        <v>-1010.7286122861706</v>
      </c>
      <c r="F1361">
        <f>-662.928950160378 -40.0725461013396 -397.801452874976</f>
        <v>-1100.8029491366938</v>
      </c>
      <c r="G1361">
        <f>-664.562813288391 -31.8292264629515 -486.501037101924</f>
        <v>-1182.8930768532664</v>
      </c>
      <c r="H1361">
        <f>-662.286576480476 -16.6032423455861 -610.128598821982</f>
        <v>-1289.0184176480441</v>
      </c>
      <c r="I1361" t="s">
        <v>15042</v>
      </c>
      <c r="J1361" t="s">
        <v>15043</v>
      </c>
      <c r="K1361" t="s">
        <v>15044</v>
      </c>
      <c r="L1361" t="s">
        <v>15045</v>
      </c>
      <c r="M1361" t="s">
        <v>15046</v>
      </c>
      <c r="N1361">
        <f>-657.621210065043 -50.2358489415868 -558.938888418762</f>
        <v>-1266.7959474253917</v>
      </c>
      <c r="O1361">
        <f>-628.50354401639 -183.753138884643 -543.980509475392</f>
        <v>-1356.2371923764249</v>
      </c>
      <c r="P1361">
        <f>-564.834573106394 -284.134730138667 -274.794773999632</f>
        <v>-1123.764077244693</v>
      </c>
      <c r="Q1361">
        <f>-452.55536768113 -87.0807981174479 -356.121322996019</f>
        <v>-895.75748879459684</v>
      </c>
      <c r="R1361" t="s">
        <v>15047</v>
      </c>
      <c r="S1361" t="s">
        <v>15048</v>
      </c>
      <c r="T1361" t="s">
        <v>15049</v>
      </c>
      <c r="U1361" t="s">
        <v>15050</v>
      </c>
      <c r="V1361">
        <f>-594.58334920454 -129.021135991858 -97.5082498388515</f>
        <v>-821.11273503524944</v>
      </c>
      <c r="W1361" t="s">
        <v>15051</v>
      </c>
      <c r="X1361" t="s">
        <v>15052</v>
      </c>
      <c r="Y1361" t="s">
        <v>15053</v>
      </c>
    </row>
    <row r="1362" spans="1:25" x14ac:dyDescent="0.3">
      <c r="A1362">
        <v>68050</v>
      </c>
      <c r="B1362" t="s">
        <v>15054</v>
      </c>
      <c r="C1362">
        <f>-620.69736556033 -35.6885262706471 -98.4104166750344</f>
        <v>-754.79630850601154</v>
      </c>
      <c r="D1362">
        <f>-645.985089294914 -45.5733208369634 -211.01171400284</f>
        <v>-902.57012413471739</v>
      </c>
      <c r="E1362">
        <f>-656.816790014729 -44.3731732161217 -309.031432110409</f>
        <v>-1010.2213953412597</v>
      </c>
      <c r="F1362">
        <f>-662.704820952113 -39.6671663157317 -397.808917503147</f>
        <v>-1100.1809047709917</v>
      </c>
      <c r="G1362">
        <f>-664.279480566324 -31.3303500098682 -486.50075697293</f>
        <v>-1182.1105875491221</v>
      </c>
      <c r="H1362">
        <f>-661.904243104424 -15.9508304351953 -610.107546675283</f>
        <v>-1287.9626202149022</v>
      </c>
      <c r="I1362" t="s">
        <v>15055</v>
      </c>
      <c r="J1362" t="s">
        <v>15056</v>
      </c>
      <c r="K1362" t="s">
        <v>15057</v>
      </c>
      <c r="L1362" t="s">
        <v>15058</v>
      </c>
      <c r="M1362" t="s">
        <v>15059</v>
      </c>
      <c r="N1362">
        <f>-657.295641115022 -49.6502809160662 -558.956740018827</f>
        <v>-1265.9026620499153</v>
      </c>
      <c r="O1362">
        <f>-628.249591013235 -183.198651111988 -544.139273666693</f>
        <v>-1355.5875157919161</v>
      </c>
      <c r="P1362">
        <f>-564.818110246277 -284.007577756588 -275.057233017711</f>
        <v>-1123.8829210205761</v>
      </c>
      <c r="Q1362">
        <f>-452.178504170901 -87.0729663395131 -356.174147246802</f>
        <v>-895.42561775721617</v>
      </c>
      <c r="R1362" t="s">
        <v>15060</v>
      </c>
      <c r="S1362" t="s">
        <v>15061</v>
      </c>
      <c r="T1362" t="s">
        <v>15062</v>
      </c>
      <c r="U1362" t="s">
        <v>15063</v>
      </c>
      <c r="V1362">
        <f>-594.423819616987 -128.63769815142 -97.5060793998933</f>
        <v>-820.56759716830027</v>
      </c>
      <c r="W1362" t="s">
        <v>15064</v>
      </c>
      <c r="X1362" t="s">
        <v>15065</v>
      </c>
      <c r="Y1362" t="s">
        <v>15066</v>
      </c>
    </row>
    <row r="1363" spans="1:25" x14ac:dyDescent="0.3">
      <c r="A1363">
        <v>68100</v>
      </c>
      <c r="B1363" t="s">
        <v>15067</v>
      </c>
      <c r="C1363">
        <f>-620.51866345567 -35.3399143311026 -98.4117925196049</f>
        <v>-754.27037030637746</v>
      </c>
      <c r="D1363">
        <f>-645.794137486113 -45.2245162671891 -211.015782936415</f>
        <v>-902.03443668971704</v>
      </c>
      <c r="E1363">
        <f>-656.577354407511 -43.8595054113558 -309.038898421525</f>
        <v>-1009.4757582403919</v>
      </c>
      <c r="F1363">
        <f>-662.402108588567 -38.9416173952782 -397.8088612453</f>
        <v>-1099.1525872291452</v>
      </c>
      <c r="G1363">
        <f>-663.8921213837 -30.33232007417 -486.476343985599</f>
        <v>-1180.7007854434689</v>
      </c>
      <c r="H1363">
        <f>-661.374844906544 -14.5105253051647 -610.024485471152</f>
        <v>-1285.9098556828608</v>
      </c>
      <c r="I1363" t="s">
        <v>15068</v>
      </c>
      <c r="J1363" t="s">
        <v>15069</v>
      </c>
      <c r="K1363" t="s">
        <v>15070</v>
      </c>
      <c r="L1363" t="s">
        <v>15071</v>
      </c>
      <c r="M1363" t="s">
        <v>15072</v>
      </c>
      <c r="N1363">
        <f>-656.826758650746 -48.3931075946845 -558.98927475223</f>
        <v>-1264.2091409976606</v>
      </c>
      <c r="O1363">
        <f>-627.782686085743 -181.985200337284 -544.599649985252</f>
        <v>-1354.367536408279</v>
      </c>
      <c r="P1363">
        <f>-564.894294290248 -283.69489417056 -275.729069020295</f>
        <v>-1124.318257481103</v>
      </c>
      <c r="Q1363">
        <f>-451.580434838803 -86.8575639046941 -356.139946228468</f>
        <v>-894.57794497196505</v>
      </c>
      <c r="R1363" t="s">
        <v>15073</v>
      </c>
      <c r="S1363" t="s">
        <v>15074</v>
      </c>
      <c r="T1363" t="s">
        <v>15075</v>
      </c>
      <c r="U1363" t="s">
        <v>15076</v>
      </c>
      <c r="V1363">
        <f>-594.154319899058 -128.224727564342 -97.5058456545642</f>
        <v>-819.88489311796411</v>
      </c>
      <c r="W1363" t="s">
        <v>15077</v>
      </c>
      <c r="X1363" t="s">
        <v>15078</v>
      </c>
      <c r="Y1363" t="s">
        <v>15079</v>
      </c>
    </row>
    <row r="1364" spans="1:25" x14ac:dyDescent="0.3">
      <c r="A1364">
        <v>68150</v>
      </c>
      <c r="B1364" t="s">
        <v>15080</v>
      </c>
      <c r="C1364">
        <f>-620.456966826497 -35.2193218897692 -98.3931280450358</f>
        <v>-754.06941676130202</v>
      </c>
      <c r="D1364">
        <f>-645.717209901514 -45.0767543148434 -211.003017911542</f>
        <v>-901.79698212789935</v>
      </c>
      <c r="E1364">
        <f>-656.475279547222 -43.6013436736472 -309.027141402898</f>
        <v>-1009.1037646237672</v>
      </c>
      <c r="F1364">
        <f>-662.270850483371 -38.5496445635401 -397.791738274188</f>
        <v>-1098.6122333210992</v>
      </c>
      <c r="G1364">
        <f>-663.724912531815 -29.7728091961692 -486.443185493377</f>
        <v>-1179.9409072213612</v>
      </c>
      <c r="H1364">
        <f>-661.149552715906 -13.6828783200831 -609.955428407114</f>
        <v>-1284.7878594431031</v>
      </c>
      <c r="I1364" t="s">
        <v>15081</v>
      </c>
      <c r="J1364" t="s">
        <v>15082</v>
      </c>
      <c r="K1364" t="s">
        <v>15083</v>
      </c>
      <c r="L1364" t="s">
        <v>15084</v>
      </c>
      <c r="M1364" t="s">
        <v>15085</v>
      </c>
      <c r="N1364">
        <f>-656.613479911224 -47.6738791509383 -558.991192954863</f>
        <v>-1263.2785520170253</v>
      </c>
      <c r="O1364">
        <f>-627.508627431762 -181.283312948343 -544.868157407968</f>
        <v>-1353.660097788073</v>
      </c>
      <c r="P1364">
        <f>-564.806863739464 -283.495345773074 -276.144469642402</f>
        <v>-1124.4466791549398</v>
      </c>
      <c r="Q1364">
        <f>-451.258834907196 -86.6100935369567 -356.106397663207</f>
        <v>-893.97532610735971</v>
      </c>
      <c r="R1364" t="s">
        <v>15086</v>
      </c>
      <c r="S1364" t="s">
        <v>15087</v>
      </c>
      <c r="T1364" t="s">
        <v>15088</v>
      </c>
      <c r="U1364" t="s">
        <v>15089</v>
      </c>
      <c r="V1364">
        <f>-594.044233341608 -128.106920954806 -97.5136068110324</f>
        <v>-819.66476110744645</v>
      </c>
      <c r="W1364" t="s">
        <v>15090</v>
      </c>
      <c r="X1364" t="s">
        <v>15091</v>
      </c>
      <c r="Y1364" t="s">
        <v>15092</v>
      </c>
    </row>
    <row r="1365" spans="1:25" x14ac:dyDescent="0.3">
      <c r="A1365">
        <v>68200</v>
      </c>
      <c r="B1365" t="s">
        <v>15093</v>
      </c>
      <c r="C1365">
        <f>-620.379246969569 -34.9017479188817 -98.3241176071833</f>
        <v>-753.60511249563399</v>
      </c>
      <c r="D1365">
        <f>-645.629451834014 -44.6869109564909 -210.942414818593</f>
        <v>-901.25877760909793</v>
      </c>
      <c r="E1365">
        <f>-656.359771498727 -42.9496529249595 -308.965347554678</f>
        <v>-1008.2747719783645</v>
      </c>
      <c r="F1365">
        <f>-662.119809152788 -37.5828731588433 -397.713830723583</f>
        <v>-1097.4165130352144</v>
      </c>
      <c r="G1365">
        <f>-663.526745436769 -28.4130477993858 -486.326301930566</f>
        <v>-1178.2660951667208</v>
      </c>
      <c r="H1365">
        <f>-660.873013098297 -11.6939607808786 -609.753277204124</f>
        <v>-1282.3202510832994</v>
      </c>
      <c r="I1365" t="s">
        <v>15094</v>
      </c>
      <c r="J1365" t="s">
        <v>15095</v>
      </c>
      <c r="K1365" t="s">
        <v>15096</v>
      </c>
      <c r="L1365" t="s">
        <v>15097</v>
      </c>
      <c r="M1365" t="s">
        <v>15098</v>
      </c>
      <c r="N1365">
        <f>-656.333883603697 -45.9368188140188 -558.958330133109</f>
        <v>-1261.2290325508247</v>
      </c>
      <c r="O1365">
        <f>-627.031541928862 -179.564166780505 -545.427494499943</f>
        <v>-1352.0232032093099</v>
      </c>
      <c r="P1365">
        <f>-564.486489867992 -282.733352628852 -277.033199781632</f>
        <v>-1124.253042278476</v>
      </c>
      <c r="Q1365">
        <f>-450.792405993403 -85.5551031603003 -356.060235692716</f>
        <v>-892.40774484641929</v>
      </c>
      <c r="R1365" t="s">
        <v>15099</v>
      </c>
      <c r="S1365" t="s">
        <v>15100</v>
      </c>
      <c r="T1365" t="s">
        <v>15101</v>
      </c>
      <c r="U1365" t="s">
        <v>15102</v>
      </c>
      <c r="V1365">
        <f>-593.902119884695 -127.762250701253 -97.5216107981873</f>
        <v>-819.1859813841354</v>
      </c>
      <c r="W1365" t="s">
        <v>15103</v>
      </c>
      <c r="X1365" t="s">
        <v>15104</v>
      </c>
      <c r="Y1365" t="s">
        <v>15105</v>
      </c>
    </row>
    <row r="1366" spans="1:25" x14ac:dyDescent="0.3">
      <c r="A1366">
        <v>68250</v>
      </c>
      <c r="B1366" t="s">
        <v>15106</v>
      </c>
      <c r="C1366">
        <f>-620.335629493066 -34.7006539279432 -98.2889481734865</f>
        <v>-753.32523159449568</v>
      </c>
      <c r="D1366">
        <f>-645.590772757144 -44.4391491056595 -210.91035026071</f>
        <v>-900.94027212351352</v>
      </c>
      <c r="E1366">
        <f>-656.311257540555 -42.569771703603 -308.931842549847</f>
        <v>-1007.8128717940049</v>
      </c>
      <c r="F1366">
        <f>-662.055973893558 -37.0467327397264 -397.671602330885</f>
        <v>-1096.7743089641694</v>
      </c>
      <c r="G1366">
        <f>-663.440817544157 -27.6843459045551 -486.264254859974</f>
        <v>-1177.3894183086861</v>
      </c>
      <c r="H1366">
        <f>-660.749019755388 -10.65798838102 -609.648623118027</f>
        <v>-1281.055631254435</v>
      </c>
      <c r="I1366" t="s">
        <v>15107</v>
      </c>
      <c r="J1366" t="s">
        <v>15108</v>
      </c>
      <c r="K1366" t="s">
        <v>15109</v>
      </c>
      <c r="L1366" t="s">
        <v>15110</v>
      </c>
      <c r="M1366" t="s">
        <v>15111</v>
      </c>
      <c r="N1366">
        <f>-656.203207894084 -45.0226111008708 -558.936463811988</f>
        <v>-1260.1622828069428</v>
      </c>
      <c r="O1366">
        <f>-626.781222735271 -178.652550699788 -545.714831905221</f>
        <v>-1351.14860534028</v>
      </c>
      <c r="P1366">
        <f>-564.252390064816 -282.256907683895 -277.484554735242</f>
        <v>-1123.9938524839531</v>
      </c>
      <c r="Q1366">
        <f>-450.489313322703 -84.9215150933693 -356.018361060847</f>
        <v>-891.42918947691919</v>
      </c>
      <c r="R1366" t="s">
        <v>15112</v>
      </c>
      <c r="S1366" t="s">
        <v>15113</v>
      </c>
      <c r="T1366" t="s">
        <v>15114</v>
      </c>
      <c r="U1366" t="s">
        <v>15115</v>
      </c>
      <c r="V1366">
        <f>-593.816672370594 -127.535988968612 -97.5329302611179</f>
        <v>-818.88559160032389</v>
      </c>
      <c r="W1366" t="s">
        <v>15116</v>
      </c>
      <c r="X1366" t="s">
        <v>15117</v>
      </c>
      <c r="Y1366" t="s">
        <v>15118</v>
      </c>
    </row>
    <row r="1367" spans="1:25" x14ac:dyDescent="0.3">
      <c r="A1367">
        <v>68300</v>
      </c>
      <c r="B1367" t="s">
        <v>15119</v>
      </c>
      <c r="C1367">
        <f>-620.226256921905 -34.1232577197748 -98.2284251340601</f>
        <v>-752.57793977573988</v>
      </c>
      <c r="D1367">
        <f>-645.531937261337 -43.7614473883154 -210.846966755818</f>
        <v>-900.14035140547048</v>
      </c>
      <c r="E1367">
        <f>-656.294183060115 -41.6750214030558 -308.859591605962</f>
        <v>-1006.8287960691327</v>
      </c>
      <c r="F1367">
        <f>-662.075195660191 -35.9029269871999 -397.581193041517</f>
        <v>-1095.5593156889079</v>
      </c>
      <c r="G1367">
        <f>-663.494729313066 -26.2383842214419 -486.140911738198</f>
        <v>-1175.8740252727059</v>
      </c>
      <c r="H1367">
        <f>-660.849685995295 -8.73502664079501 -609.459294222414</f>
        <v>-1279.044006858504</v>
      </c>
      <c r="I1367" t="s">
        <v>15120</v>
      </c>
      <c r="J1367" t="s">
        <v>15121</v>
      </c>
      <c r="K1367" t="s">
        <v>15122</v>
      </c>
      <c r="L1367" t="s">
        <v>15123</v>
      </c>
      <c r="M1367" t="s">
        <v>15124</v>
      </c>
      <c r="N1367">
        <f>-656.245303114383 -43.2873969550558 -558.88034146746</f>
        <v>-1258.4130415368986</v>
      </c>
      <c r="O1367">
        <f>-626.589363404203 -176.915635911898 -546.157483382387</f>
        <v>-1349.662482698488</v>
      </c>
      <c r="P1367">
        <f>-563.754507364454 -281.340369078563 -278.317160261886</f>
        <v>-1123.4120367049031</v>
      </c>
      <c r="Q1367">
        <f>-450.288100593931 -83.4905264455321 -355.98102995152</f>
        <v>-889.7596569909831</v>
      </c>
      <c r="R1367" t="s">
        <v>15125</v>
      </c>
      <c r="S1367" t="s">
        <v>15126</v>
      </c>
      <c r="T1367" t="s">
        <v>15127</v>
      </c>
      <c r="U1367" t="s">
        <v>15128</v>
      </c>
      <c r="V1367">
        <f>-593.671582941525 -126.888070565335 -97.5606593086391</f>
        <v>-818.12031281549912</v>
      </c>
      <c r="W1367" t="s">
        <v>15129</v>
      </c>
      <c r="X1367" t="s">
        <v>15130</v>
      </c>
      <c r="Y1367" t="s">
        <v>15131</v>
      </c>
    </row>
    <row r="1368" spans="1:25" x14ac:dyDescent="0.3">
      <c r="A1368">
        <v>68350</v>
      </c>
      <c r="B1368" t="s">
        <v>15132</v>
      </c>
      <c r="C1368">
        <f>-620.145582205298 -33.7800281811192 -98.1909949979978</f>
        <v>-752.11660538441492</v>
      </c>
      <c r="D1368">
        <f>-645.485198498463 -43.3659689572187 -210.806449614039</f>
        <v>-899.65761706972069</v>
      </c>
      <c r="E1368">
        <f>-656.274952981113 -41.1862072996985 -308.814038352056</f>
        <v>-1006.2751986328674</v>
      </c>
      <c r="F1368">
        <f>-662.079785679866 -35.3101324357042 -397.527082629183</f>
        <v>-1094.9170007447531</v>
      </c>
      <c r="G1368">
        <f>-663.522026565471 -25.5221993132104 -486.072892196809</f>
        <v>-1175.1171180754905</v>
      </c>
      <c r="H1368">
        <f>-660.907854066749 -7.82609798706062 -609.364600350874</f>
        <v>-1278.0985524046837</v>
      </c>
      <c r="I1368" t="s">
        <v>15133</v>
      </c>
      <c r="J1368" t="s">
        <v>15134</v>
      </c>
      <c r="K1368" t="s">
        <v>15135</v>
      </c>
      <c r="L1368" t="s">
        <v>15136</v>
      </c>
      <c r="M1368" t="s">
        <v>15137</v>
      </c>
      <c r="N1368">
        <f>-656.281691250571 -42.4555967970011 -558.840240372532</f>
        <v>-1257.577528420104</v>
      </c>
      <c r="O1368">
        <f>-626.568548713903 -176.091917571911 -546.319316539384</f>
        <v>-1348.9797828251981</v>
      </c>
      <c r="P1368">
        <f>-563.65437747386 -280.729828095677 -278.580781287434</f>
        <v>-1122.9649868569709</v>
      </c>
      <c r="Q1368">
        <f>-450.229326711013 -82.7656409647713 -356.013486551707</f>
        <v>-889.00845422749126</v>
      </c>
      <c r="R1368" t="s">
        <v>15138</v>
      </c>
      <c r="S1368" t="s">
        <v>15139</v>
      </c>
      <c r="T1368" t="s">
        <v>15140</v>
      </c>
      <c r="U1368" t="s">
        <v>15141</v>
      </c>
      <c r="V1368">
        <f>-593.569819428644 -126.528145562728 -97.5747733685952</f>
        <v>-817.67273835996718</v>
      </c>
      <c r="W1368" t="s">
        <v>15142</v>
      </c>
      <c r="X1368" t="s">
        <v>15143</v>
      </c>
      <c r="Y1368" t="s">
        <v>15144</v>
      </c>
    </row>
    <row r="1369" spans="1:25" x14ac:dyDescent="0.3">
      <c r="A1369">
        <v>68400</v>
      </c>
      <c r="B1369" t="s">
        <v>15145</v>
      </c>
      <c r="C1369">
        <f>-619.88522767065 -33.1351248980791 -98.1070947119991</f>
        <v>-751.12744728072823</v>
      </c>
      <c r="D1369">
        <f>-645.314334603018 -42.6416308279099 -210.709143367241</f>
        <v>-898.66510879816894</v>
      </c>
      <c r="E1369">
        <f>-656.180715403106 -40.3272722368299 -308.705122284055</f>
        <v>-1005.2131099239909</v>
      </c>
      <c r="F1369">
        <f>-662.053758795047 -34.3032559136018 -397.403877680789</f>
        <v>-1093.7608923894377</v>
      </c>
      <c r="G1369">
        <f>-663.562572663251 -24.3414851938944 -485.929123449514</f>
        <v>-1173.8331813066593</v>
      </c>
      <c r="H1369">
        <f>-661.038982405934 -6.37578807124055 -609.183683719111</f>
        <v>-1276.5984541962855</v>
      </c>
      <c r="I1369" t="s">
        <v>15146</v>
      </c>
      <c r="J1369" t="s">
        <v>15147</v>
      </c>
      <c r="K1369" t="s">
        <v>15148</v>
      </c>
      <c r="L1369" t="s">
        <v>15149</v>
      </c>
      <c r="M1369" t="s">
        <v>15150</v>
      </c>
      <c r="N1369">
        <f>-656.382621790321 -41.11715056667 -558.738898557999</f>
        <v>-1256.2386709149901</v>
      </c>
      <c r="O1369">
        <f>-626.667014286358 -174.779316599033 -546.516407213083</f>
        <v>-1347.9627380984739</v>
      </c>
      <c r="P1369">
        <f>-563.603178219493 -279.783497271487 -278.956576628858</f>
        <v>-1122.3432521198379</v>
      </c>
      <c r="Q1369">
        <f>-450.316925057962 -81.6932447249146 -356.26972685861</f>
        <v>-888.27989664148663</v>
      </c>
      <c r="R1369" t="s">
        <v>15151</v>
      </c>
      <c r="S1369" t="s">
        <v>15152</v>
      </c>
      <c r="T1369" t="s">
        <v>15153</v>
      </c>
      <c r="U1369" t="s">
        <v>15154</v>
      </c>
      <c r="V1369">
        <f>-593.32193871347 -125.964794486313 -97.5744618829581</f>
        <v>-816.86119508274101</v>
      </c>
      <c r="W1369" t="s">
        <v>15155</v>
      </c>
      <c r="X1369" t="s">
        <v>15156</v>
      </c>
      <c r="Y1369" t="s">
        <v>15157</v>
      </c>
    </row>
    <row r="1370" spans="1:25" x14ac:dyDescent="0.3">
      <c r="A1370">
        <v>68450</v>
      </c>
      <c r="B1370" t="s">
        <v>15158</v>
      </c>
      <c r="C1370">
        <f>-619.719576510453 -32.7789777706621 -98.0465580800897</f>
        <v>-750.5451123612047</v>
      </c>
      <c r="D1370">
        <f>-645.204351291737 -42.2580483682357 -210.638167732756</f>
        <v>-898.10056739272864</v>
      </c>
      <c r="E1370">
        <f>-656.122435929026 -39.9034796201342 -308.627579093512</f>
        <v>-1004.6534946426723</v>
      </c>
      <c r="F1370">
        <f>-662.04287707034 -33.8369021622082 -397.320219154443</f>
        <v>-1093.1999983869912</v>
      </c>
      <c r="G1370">
        <f>-663.599275909254 -23.8267018860893 -485.839241944197</f>
        <v>-1173.2652197395403</v>
      </c>
      <c r="H1370">
        <f>-661.141796168159 -5.78784525150991 -609.084358908991</f>
        <v>-1276.0140003286599</v>
      </c>
      <c r="I1370" t="s">
        <v>15159</v>
      </c>
      <c r="J1370" t="s">
        <v>15160</v>
      </c>
      <c r="K1370" t="s">
        <v>15161</v>
      </c>
      <c r="L1370" t="s">
        <v>15162</v>
      </c>
      <c r="M1370" t="s">
        <v>15163</v>
      </c>
      <c r="N1370">
        <f>-656.475989311474 -40.5627210239261 -558.663766284013</f>
        <v>-1255.7024766194131</v>
      </c>
      <c r="O1370">
        <f>-626.832930263757 -174.249196096089 -546.53686885527</f>
        <v>-1347.618995215116</v>
      </c>
      <c r="P1370">
        <f>-563.748889763831 -279.333866321783 -279.013411133347</f>
        <v>-1122.096167218961</v>
      </c>
      <c r="Q1370">
        <f>-450.34674083987 -81.3197503347687 -356.351966807136</f>
        <v>-888.01845798177476</v>
      </c>
      <c r="R1370" t="s">
        <v>15164</v>
      </c>
      <c r="S1370" t="s">
        <v>15165</v>
      </c>
      <c r="T1370" t="s">
        <v>15166</v>
      </c>
      <c r="U1370" t="s">
        <v>15167</v>
      </c>
      <c r="V1370">
        <f>-593.137991516556 -125.670983488847 -97.5485975146761</f>
        <v>-816.35757252007909</v>
      </c>
      <c r="W1370" t="s">
        <v>15168</v>
      </c>
      <c r="X1370" t="s">
        <v>15169</v>
      </c>
      <c r="Y1370" t="s">
        <v>15170</v>
      </c>
    </row>
    <row r="1371" spans="1:25" x14ac:dyDescent="0.3">
      <c r="A1371">
        <v>68500</v>
      </c>
      <c r="B1371" t="s">
        <v>15171</v>
      </c>
      <c r="C1371">
        <f>-619.312678625547 -32.1542148158794 -97.9262949334046</f>
        <v>-749.39318837483108</v>
      </c>
      <c r="D1371">
        <f>-644.879568042437 -41.5774244644704 -210.503997598526</f>
        <v>-896.96099010543332</v>
      </c>
      <c r="E1371">
        <f>-655.861555703365 -39.1545147231875 -308.48453606486</f>
        <v>-1003.5006064914124</v>
      </c>
      <c r="F1371">
        <f>-661.83515641991 -33.0188355392406 -397.168941567581</f>
        <v>-1092.0229335267318</v>
      </c>
      <c r="G1371">
        <f>-663.438663465556 -22.9348577730455 -485.678711401916</f>
        <v>-1172.0522326405176</v>
      </c>
      <c r="H1371">
        <f>-661.039914299848 -4.7886540658867 -608.909246290042</f>
        <v>-1274.7378146557767</v>
      </c>
      <c r="I1371" t="s">
        <v>15172</v>
      </c>
      <c r="J1371" t="s">
        <v>15173</v>
      </c>
      <c r="K1371" t="s">
        <v>15174</v>
      </c>
      <c r="L1371" t="s">
        <v>15175</v>
      </c>
      <c r="M1371" t="s">
        <v>15176</v>
      </c>
      <c r="N1371">
        <f>-656.395522932424 -39.6167610840105 -558.52338239142</f>
        <v>-1254.5356664078545</v>
      </c>
      <c r="O1371">
        <f>-626.947579926433 -173.358477171973 -546.555340213562</f>
        <v>-1346.8613973119679</v>
      </c>
      <c r="P1371">
        <f>-564.005840709353 -278.756431631176 -279.121527802444</f>
        <v>-1121.8838001429731</v>
      </c>
      <c r="Q1371">
        <f>-450.063020940666 -81.0367718722858 -356.418516544396</f>
        <v>-887.51830935734779</v>
      </c>
      <c r="R1371" t="s">
        <v>15177</v>
      </c>
      <c r="S1371" t="s">
        <v>15178</v>
      </c>
      <c r="T1371" t="s">
        <v>15179</v>
      </c>
      <c r="U1371" t="s">
        <v>15180</v>
      </c>
      <c r="V1371">
        <f>-592.707327057668 -125.094543522261 -97.4894422831692</f>
        <v>-815.29131286309814</v>
      </c>
      <c r="W1371" t="s">
        <v>15181</v>
      </c>
      <c r="X1371" t="s">
        <v>15182</v>
      </c>
      <c r="Y1371" t="s">
        <v>15183</v>
      </c>
    </row>
    <row r="1372" spans="1:25" x14ac:dyDescent="0.3">
      <c r="A1372">
        <v>68550</v>
      </c>
      <c r="B1372" t="s">
        <v>15184</v>
      </c>
      <c r="C1372">
        <f>-619.108154035738 -31.8441199541512 -97.8761945248358</f>
        <v>-748.82846851472505</v>
      </c>
      <c r="D1372">
        <f>-644.702775843652 -41.2470382400638 -210.449452620735</f>
        <v>-896.39926670445084</v>
      </c>
      <c r="E1372">
        <f>-655.708251775744 -38.806390109856 -308.426793215205</f>
        <v>-1002.9414351008049</v>
      </c>
      <c r="F1372">
        <f>-661.701942375455 -32.6558644658392 -397.108782082753</f>
        <v>-1091.4665889240473</v>
      </c>
      <c r="G1372">
        <f>-663.323936702167 -22.5583073577591 -485.616771253447</f>
        <v>-1171.4990153133731</v>
      </c>
      <c r="H1372">
        <f>-660.948741171705 -4.39561514267166 -608.845297284961</f>
        <v>-1274.1896535993378</v>
      </c>
      <c r="I1372" t="s">
        <v>15185</v>
      </c>
      <c r="J1372" t="s">
        <v>15186</v>
      </c>
      <c r="K1372" t="s">
        <v>15187</v>
      </c>
      <c r="L1372" t="s">
        <v>15188</v>
      </c>
      <c r="M1372" t="s">
        <v>15189</v>
      </c>
      <c r="N1372">
        <f>-656.317386988063 -39.2351276992506 -558.466152451143</f>
        <v>-1254.0186671384567</v>
      </c>
      <c r="O1372">
        <f>-626.963061581346 -173.006427434555 -546.564004463038</f>
        <v>-1346.5334934789389</v>
      </c>
      <c r="P1372">
        <f>-564.17227843855 -278.521156193875 -279.14088245248</f>
        <v>-1121.8343170849053</v>
      </c>
      <c r="Q1372">
        <f>-449.810702024 -81.0378797193525 -356.423640713194</f>
        <v>-887.2722224565465</v>
      </c>
      <c r="R1372" t="s">
        <v>15190</v>
      </c>
      <c r="S1372" t="s">
        <v>15191</v>
      </c>
      <c r="T1372" t="s">
        <v>15192</v>
      </c>
      <c r="U1372" t="s">
        <v>15193</v>
      </c>
      <c r="V1372">
        <f>-592.466545425432 -124.835891970774 -97.469470596498</f>
        <v>-814.77190799270397</v>
      </c>
      <c r="W1372" t="s">
        <v>15194</v>
      </c>
      <c r="X1372" t="s">
        <v>15195</v>
      </c>
      <c r="Y1372" t="s">
        <v>15196</v>
      </c>
    </row>
    <row r="1373" spans="1:25" x14ac:dyDescent="0.3">
      <c r="A1373">
        <v>68600</v>
      </c>
      <c r="B1373" t="s">
        <v>15197</v>
      </c>
      <c r="C1373">
        <f>-618.822803104143 -31.2160658257415 -97.7930007121897</f>
        <v>-747.83186964207414</v>
      </c>
      <c r="D1373">
        <f>-644.43021672271 -40.5900301742429 -210.365663391911</f>
        <v>-895.3859102888639</v>
      </c>
      <c r="E1373">
        <f>-655.458026579961 -38.1523271641317 -308.340685512872</f>
        <v>-1001.9510392569648</v>
      </c>
      <c r="F1373">
        <f>-661.47490219632 -32.0171096369879 -397.022101439327</f>
        <v>-1090.5141132726349</v>
      </c>
      <c r="G1373">
        <f>-663.121877963724 -21.9489568192182 -485.532898394642</f>
        <v>-1170.6037331775842</v>
      </c>
      <c r="H1373">
        <f>-660.782442142745 -3.84335183915323 -608.770632840258</f>
        <v>-1273.3964268221562</v>
      </c>
      <c r="I1373" t="s">
        <v>15198</v>
      </c>
      <c r="J1373" t="s">
        <v>15199</v>
      </c>
      <c r="K1373" t="s">
        <v>15200</v>
      </c>
      <c r="L1373" t="s">
        <v>15201</v>
      </c>
      <c r="M1373" t="s">
        <v>15202</v>
      </c>
      <c r="N1373">
        <f>-656.195410815787 -38.6715998286772 -558.379462306887</f>
        <v>-1253.2464729513513</v>
      </c>
      <c r="O1373">
        <f>-627.099497898433 -172.502126535638 -546.508502659789</f>
        <v>-1346.11012709386</v>
      </c>
      <c r="P1373">
        <f>-564.69049416772 -278.080613772425 -279.021244837763</f>
        <v>-1121.792352777908</v>
      </c>
      <c r="Q1373">
        <f>-449.084326539841 -81.4018039739179 -356.503672082007</f>
        <v>-886.98980259576592</v>
      </c>
      <c r="R1373" t="s">
        <v>15203</v>
      </c>
      <c r="S1373" t="s">
        <v>15204</v>
      </c>
      <c r="T1373" t="s">
        <v>15205</v>
      </c>
      <c r="U1373" t="s">
        <v>15206</v>
      </c>
      <c r="V1373">
        <f>-592.207241158306 -124.187770481495 -97.4284977618549</f>
        <v>-813.823509401656</v>
      </c>
      <c r="W1373" t="s">
        <v>15207</v>
      </c>
      <c r="X1373" t="s">
        <v>15208</v>
      </c>
      <c r="Y1373" t="s">
        <v>15209</v>
      </c>
    </row>
    <row r="1374" spans="1:25" x14ac:dyDescent="0.3">
      <c r="A1374">
        <v>68650</v>
      </c>
      <c r="B1374" t="s">
        <v>15210</v>
      </c>
      <c r="C1374">
        <f>-618.737831653745 -30.8606063087746 -97.7565690906379</f>
        <v>-747.35500705315746</v>
      </c>
      <c r="D1374">
        <f>-644.351154551083 -40.1996926047434 -210.330793094441</f>
        <v>-894.88164025026742</v>
      </c>
      <c r="E1374">
        <f>-655.388245024767 -37.7635020147502 -308.304843100344</f>
        <v>-1001.4565901398612</v>
      </c>
      <c r="F1374">
        <f>-661.414699777583 -31.642649723683 -396.986673251333</f>
        <v>-1090.0440227525989</v>
      </c>
      <c r="G1374">
        <f>-663.071930038687 -21.6030838782126 -485.50056817753</f>
        <v>-1170.1755820944295</v>
      </c>
      <c r="H1374">
        <f>-660.74705169652 -3.55273991585705 -608.746585941526</f>
        <v>-1273.0463775539029</v>
      </c>
      <c r="I1374" t="s">
        <v>15211</v>
      </c>
      <c r="J1374" t="s">
        <v>15212</v>
      </c>
      <c r="K1374" t="s">
        <v>15213</v>
      </c>
      <c r="L1374" t="s">
        <v>15214</v>
      </c>
      <c r="M1374" t="s">
        <v>15215</v>
      </c>
      <c r="N1374">
        <f>-656.196925546212 -38.3670271116628 -558.342370728831</f>
        <v>-1252.9063233867059</v>
      </c>
      <c r="O1374">
        <f>-627.306624109135 -172.241032738277 -546.441661206446</f>
        <v>-1345.9893180538579</v>
      </c>
      <c r="P1374">
        <f>-565.118579737288 -277.724439921555 -278.865309536642</f>
        <v>-1121.708329195485</v>
      </c>
      <c r="Q1374">
        <f>-448.699739449186 -81.5903602112256 -356.511896528812</f>
        <v>-886.80199618922347</v>
      </c>
      <c r="R1374" t="s">
        <v>15216</v>
      </c>
      <c r="S1374" t="s">
        <v>15217</v>
      </c>
      <c r="T1374" t="s">
        <v>15218</v>
      </c>
      <c r="U1374" t="s">
        <v>15219</v>
      </c>
      <c r="V1374">
        <f>-592.143211901336 -123.846495941705 -97.4156686756465</f>
        <v>-813.4053765186876</v>
      </c>
      <c r="W1374" t="s">
        <v>15220</v>
      </c>
      <c r="X1374" t="s">
        <v>15221</v>
      </c>
      <c r="Y1374" t="s">
        <v>15222</v>
      </c>
    </row>
    <row r="1375" spans="1:25" x14ac:dyDescent="0.3">
      <c r="A1375">
        <v>68700</v>
      </c>
      <c r="B1375" t="s">
        <v>15223</v>
      </c>
      <c r="C1375">
        <f>-618.684258136631 -30.5110952868974 -97.7469357075316</f>
        <v>-746.94228913106008</v>
      </c>
      <c r="D1375">
        <f>-644.304760648892 -39.8078379730114 -210.32304216919</f>
        <v>-894.43564079109342</v>
      </c>
      <c r="E1375">
        <f>-655.350350130252 -37.3648630573691 -308.295861188624</f>
        <v>-1001.011074376245</v>
      </c>
      <c r="F1375">
        <f>-661.385286676062 -31.2499572400445 -396.977616341665</f>
        <v>-1089.6128602577714</v>
      </c>
      <c r="G1375">
        <f>-663.051379545377 -21.2292043810201 -485.493430305332</f>
        <v>-1169.7740142317291</v>
      </c>
      <c r="H1375">
        <f>-660.73880105104 -3.21921047851015 -608.745608479987</f>
        <v>-1272.7036200095372</v>
      </c>
      <c r="I1375" t="s">
        <v>15224</v>
      </c>
      <c r="J1375" t="s">
        <v>15225</v>
      </c>
      <c r="K1375" t="s">
        <v>15226</v>
      </c>
      <c r="L1375" t="s">
        <v>15227</v>
      </c>
      <c r="M1375" t="s">
        <v>15228</v>
      </c>
      <c r="N1375">
        <f>-656.231793991764 -38.0266142142657 -558.332723750255</f>
        <v>-1252.5911319562847</v>
      </c>
      <c r="O1375">
        <f>-627.611275507061 -171.959884728264 -546.385463657488</f>
        <v>-1345.956623892813</v>
      </c>
      <c r="P1375">
        <f>-565.614301654231 -277.29006371105 -278.704521424319</f>
        <v>-1121.6088867895999</v>
      </c>
      <c r="Q1375">
        <f>-448.38356612199 -81.672284329638 -356.431630033065</f>
        <v>-886.48748048469292</v>
      </c>
      <c r="R1375" t="s">
        <v>15229</v>
      </c>
      <c r="S1375" t="s">
        <v>15230</v>
      </c>
      <c r="T1375" t="s">
        <v>15231</v>
      </c>
      <c r="U1375" t="s">
        <v>15232</v>
      </c>
      <c r="V1375">
        <f>-592.157323257005 -123.484243879462 -97.4133892014191</f>
        <v>-813.05495633788621</v>
      </c>
      <c r="W1375" t="s">
        <v>15233</v>
      </c>
      <c r="X1375" t="s">
        <v>15234</v>
      </c>
      <c r="Y1375" t="s">
        <v>15235</v>
      </c>
    </row>
    <row r="1376" spans="1:25" x14ac:dyDescent="0.3">
      <c r="A1376">
        <v>68750</v>
      </c>
      <c r="B1376" t="s">
        <v>15236</v>
      </c>
      <c r="C1376">
        <f>-618.794222737396 -29.6877311363185 -97.7473098572079</f>
        <v>-746.22926373092241</v>
      </c>
      <c r="D1376">
        <f>-644.402232297874 -38.9437043029909 -210.329613192727</f>
        <v>-893.67554979359193</v>
      </c>
      <c r="E1376">
        <f>-655.449965143043 -36.4891990849799 -308.30202789205</f>
        <v>-1000.2411921200728</v>
      </c>
      <c r="F1376">
        <f>-661.490858839503 -30.3738017062217 -396.983220344099</f>
        <v>-1088.8478808898235</v>
      </c>
      <c r="G1376">
        <f>-663.165950945725 -20.3646334293448 -485.500147583122</f>
        <v>-1169.0307319581918</v>
      </c>
      <c r="H1376">
        <f>-660.868215594512 -2.38403421421253 -608.756954207989</f>
        <v>-1272.0092040167135</v>
      </c>
      <c r="I1376" t="s">
        <v>15237</v>
      </c>
      <c r="J1376" t="s">
        <v>15238</v>
      </c>
      <c r="K1376" t="s">
        <v>15239</v>
      </c>
      <c r="L1376" t="s">
        <v>15240</v>
      </c>
      <c r="M1376" t="s">
        <v>15241</v>
      </c>
      <c r="N1376">
        <f>-656.441013993053 -37.1963316333674 -558.340428325121</f>
        <v>-1251.9777739515416</v>
      </c>
      <c r="O1376">
        <f>-628.304008909223 -171.225383805449 -546.327750355531</f>
        <v>-1345.8571430702029</v>
      </c>
      <c r="P1376">
        <f>-567.010131834521 -276.701287589797 -278.542197308114</f>
        <v>-1122.253616732432</v>
      </c>
      <c r="Q1376">
        <f>-448.538488396617 -81.7355572541244 -356.025872730136</f>
        <v>-886.29991838087744</v>
      </c>
      <c r="R1376" t="s">
        <v>15242</v>
      </c>
      <c r="S1376" t="s">
        <v>15243</v>
      </c>
      <c r="T1376" t="s">
        <v>15244</v>
      </c>
      <c r="U1376" t="s">
        <v>15245</v>
      </c>
      <c r="V1376">
        <f>-592.414520783518 -122.494776911696 -97.3914751729058</f>
        <v>-812.30077286811979</v>
      </c>
      <c r="W1376" t="s">
        <v>15246</v>
      </c>
      <c r="X1376" t="s">
        <v>15247</v>
      </c>
      <c r="Y1376" t="s">
        <v>15248</v>
      </c>
    </row>
    <row r="1377" spans="1:25" x14ac:dyDescent="0.3">
      <c r="A1377">
        <v>68800</v>
      </c>
      <c r="B1377" t="s">
        <v>15249</v>
      </c>
      <c r="C1377">
        <f>-618.835702848809 -29.4349618670842 -97.7310159356714</f>
        <v>-746.00168065156458</v>
      </c>
      <c r="D1377">
        <f>-644.448711926557 -38.6778965919934 -210.313340691642</f>
        <v>-893.43994921019248</v>
      </c>
      <c r="E1377">
        <f>-655.48479930238 -36.2343930789818 -308.287237729386</f>
        <v>-1000.0064301107478</v>
      </c>
      <c r="F1377">
        <f>-661.508919325914 -30.1380524578719 -396.970750338504</f>
        <v>-1088.6177221222899</v>
      </c>
      <c r="G1377">
        <f>-663.160570215716 -20.1573839305081 -485.491466364732</f>
        <v>-1168.809420510956</v>
      </c>
      <c r="H1377">
        <f>-660.823479903377 -2.22702190232189 -608.754775169173</f>
        <v>-1271.805276974872</v>
      </c>
      <c r="I1377" t="s">
        <v>15250</v>
      </c>
      <c r="J1377" t="s">
        <v>15251</v>
      </c>
      <c r="K1377" t="s">
        <v>15252</v>
      </c>
      <c r="L1377" t="s">
        <v>15253</v>
      </c>
      <c r="M1377" t="s">
        <v>15254</v>
      </c>
      <c r="N1377">
        <f>-656.442789071981 -37.0246676149225 -558.324274924642</f>
        <v>-1251.7917316115454</v>
      </c>
      <c r="O1377">
        <f>-628.493544604063 -171.077876615726 -546.267547702084</f>
        <v>-1345.8389689218729</v>
      </c>
      <c r="P1377">
        <f>-567.594520280057 -276.972643232202 -278.557183255414</f>
        <v>-1123.1243467676732</v>
      </c>
      <c r="Q1377">
        <f>-448.717602493338 -82.0858015965176 -355.6172739268</f>
        <v>-886.42067801665553</v>
      </c>
      <c r="R1377" t="s">
        <v>15255</v>
      </c>
      <c r="S1377" t="s">
        <v>15256</v>
      </c>
      <c r="T1377" t="s">
        <v>15257</v>
      </c>
      <c r="U1377" t="s">
        <v>15258</v>
      </c>
      <c r="V1377">
        <f>-592.503103695822 -122.270968138258 -97.3767381701832</f>
        <v>-812.15081000426323</v>
      </c>
      <c r="W1377" t="s">
        <v>15259</v>
      </c>
      <c r="X1377" t="s">
        <v>15260</v>
      </c>
      <c r="Y1377" t="s">
        <v>15261</v>
      </c>
    </row>
    <row r="1378" spans="1:25" x14ac:dyDescent="0.3">
      <c r="A1378">
        <v>68850</v>
      </c>
      <c r="B1378" t="s">
        <v>15262</v>
      </c>
      <c r="C1378">
        <f>-618.578129567614 -29.4509715601844 -97.6762744218983</f>
        <v>-745.70537554969667</v>
      </c>
      <c r="D1378">
        <f>-644.165950925361 -38.6261404649192 -210.269747384198</f>
        <v>-893.06183877447825</v>
      </c>
      <c r="E1378">
        <f>-655.146536027063 -36.2180481847065 -308.250828400614</f>
        <v>-999.61541261238358</v>
      </c>
      <c r="F1378">
        <f>-661.109307382854 -30.1893915098924 -396.943262869747</f>
        <v>-1088.2419617624935</v>
      </c>
      <c r="G1378">
        <f>-662.689510539403 -20.3123542327853 -485.476774611074</f>
        <v>-1168.4786393832624</v>
      </c>
      <c r="H1378">
        <f>-660.242767950747 -2.56405473004406 -608.76439534628</f>
        <v>-1271.5712180270712</v>
      </c>
      <c r="I1378" t="s">
        <v>15263</v>
      </c>
      <c r="J1378" t="s">
        <v>15264</v>
      </c>
      <c r="K1378" t="s">
        <v>15265</v>
      </c>
      <c r="L1378" t="s">
        <v>15266</v>
      </c>
      <c r="M1378" t="s">
        <v>15267</v>
      </c>
      <c r="N1378">
        <f>-655.965437826674 -37.2983689309528 -558.281368665692</f>
        <v>-1251.5451754233188</v>
      </c>
      <c r="O1378">
        <f>-628.345432351119 -171.402906448984 -546.020181735635</f>
        <v>-1345.7685205357379</v>
      </c>
      <c r="P1378">
        <f>-568.147154694049 -277.942826987522 -278.407279997952</f>
        <v>-1124.497261679523</v>
      </c>
      <c r="Q1378">
        <f>-449.054706134048 -82.9878951221066 -354.960959590991</f>
        <v>-887.00356084714565</v>
      </c>
      <c r="R1378" t="s">
        <v>15268</v>
      </c>
      <c r="S1378" t="s">
        <v>15269</v>
      </c>
      <c r="T1378" t="s">
        <v>15270</v>
      </c>
      <c r="U1378" t="s">
        <v>15271</v>
      </c>
      <c r="V1378">
        <f>-592.350764618875 -122.340773778892 -97.3514613214031</f>
        <v>-812.0429997191701</v>
      </c>
      <c r="W1378" t="s">
        <v>15272</v>
      </c>
      <c r="X1378" t="s">
        <v>15273</v>
      </c>
      <c r="Y1378" t="s">
        <v>15274</v>
      </c>
    </row>
    <row r="1379" spans="1:25" x14ac:dyDescent="0.3">
      <c r="A1379">
        <v>68900</v>
      </c>
      <c r="B1379" t="s">
        <v>15275</v>
      </c>
      <c r="C1379">
        <f>-618.4469479423 -29.5521357045809 -97.6534025460983</f>
        <v>-745.65248619297915</v>
      </c>
      <c r="D1379">
        <f>-644.016751270617 -38.7042203509548 -210.252894796494</f>
        <v>-892.97386641806565</v>
      </c>
      <c r="E1379">
        <f>-654.976672439167 -36.3183243423684 -308.236843987487</f>
        <v>-999.53184076902244</v>
      </c>
      <c r="F1379">
        <f>-660.91950644568 -30.3256726039442 -396.933005954162</f>
        <v>-1088.1781850037862</v>
      </c>
      <c r="G1379">
        <f>-662.479018324582 -20.5009617601031 -485.472805441209</f>
        <v>-1168.4527855258941</v>
      </c>
      <c r="H1379">
        <f>-660.002732811 -2.84205912303332 -608.772471669831</f>
        <v>-1271.6172636038643</v>
      </c>
      <c r="I1379" t="s">
        <v>15276</v>
      </c>
      <c r="J1379" t="s">
        <v>15277</v>
      </c>
      <c r="K1379" t="s">
        <v>15278</v>
      </c>
      <c r="L1379" t="s">
        <v>15279</v>
      </c>
      <c r="M1379" t="s">
        <v>15280</v>
      </c>
      <c r="N1379">
        <f>-655.763813224595 -37.5448642788992 -558.264435803363</f>
        <v>-1251.5731133068571</v>
      </c>
      <c r="O1379">
        <f>-628.312035214553 -171.675454182154 -545.891170070999</f>
        <v>-1345.878659467706</v>
      </c>
      <c r="P1379">
        <f>-568.439855436001 -278.108327937043 -278.162700580231</f>
        <v>-1124.710883953275</v>
      </c>
      <c r="Q1379">
        <f>-449.047012412681 -83.37402807865 -354.809827564304</f>
        <v>-887.23086805563503</v>
      </c>
      <c r="R1379" t="s">
        <v>15281</v>
      </c>
      <c r="S1379" t="s">
        <v>15282</v>
      </c>
      <c r="T1379" t="s">
        <v>15283</v>
      </c>
      <c r="U1379" t="s">
        <v>15284</v>
      </c>
      <c r="V1379">
        <f>-592.331853808112 -122.386795462538 -97.3243631284984</f>
        <v>-812.04301239914832</v>
      </c>
      <c r="W1379" t="s">
        <v>15285</v>
      </c>
      <c r="X1379" t="s">
        <v>15286</v>
      </c>
      <c r="Y1379" t="s">
        <v>15287</v>
      </c>
    </row>
    <row r="1380" spans="1:25" x14ac:dyDescent="0.3">
      <c r="A1380">
        <v>68950</v>
      </c>
      <c r="B1380" t="s">
        <v>15288</v>
      </c>
      <c r="C1380">
        <f>-618.364081981901 -29.606716302055 -97.6302850612612</f>
        <v>-745.60108334521726</v>
      </c>
      <c r="D1380">
        <f>-643.899795928025 -38.7244032028004 -210.24023870405</f>
        <v>-892.86443783487539</v>
      </c>
      <c r="E1380">
        <f>-654.83376760405 -36.3881897842939 -308.228280294697</f>
        <v>-999.45023768304088</v>
      </c>
      <c r="F1380">
        <f>-660.754813722197 -30.4723213909706 -396.931148727465</f>
        <v>-1088.1582838406325</v>
      </c>
      <c r="G1380">
        <f>-662.293804693756 -20.7574862761824 -485.483278152442</f>
        <v>-1168.5345691223804</v>
      </c>
      <c r="H1380">
        <f>-659.789875707472 -3.28772482408976 -608.809593886186</f>
        <v>-1271.8871944177477</v>
      </c>
      <c r="I1380" t="s">
        <v>15289</v>
      </c>
      <c r="J1380" t="s">
        <v>15290</v>
      </c>
      <c r="K1380" t="s">
        <v>15291</v>
      </c>
      <c r="L1380" t="s">
        <v>15292</v>
      </c>
      <c r="M1380" t="s">
        <v>15293</v>
      </c>
      <c r="N1380">
        <f>-655.637526648574 -37.9273155725964 -558.250959408147</f>
        <v>-1251.8158016293173</v>
      </c>
      <c r="O1380">
        <f>-628.556015218853 -172.123813849895 -545.729969211285</f>
        <v>-1346.4097982800331</v>
      </c>
      <c r="P1380">
        <f>-569.00205506789 -278.053499640901 -277.730933368999</f>
        <v>-1124.78648807779</v>
      </c>
      <c r="Q1380">
        <f>-449.063745481829 -83.8143958894855 -354.781998062735</f>
        <v>-887.6601394340496</v>
      </c>
      <c r="R1380" t="s">
        <v>15294</v>
      </c>
      <c r="S1380" t="s">
        <v>15295</v>
      </c>
      <c r="T1380" t="s">
        <v>15296</v>
      </c>
      <c r="U1380" t="s">
        <v>15297</v>
      </c>
      <c r="V1380">
        <f>-592.319201814568 -122.268746133047 -97.2828465798661</f>
        <v>-811.87079452748117</v>
      </c>
      <c r="W1380" t="s">
        <v>15298</v>
      </c>
      <c r="X1380" t="s">
        <v>15299</v>
      </c>
      <c r="Y1380" t="s">
        <v>15300</v>
      </c>
    </row>
    <row r="1381" spans="1:25" x14ac:dyDescent="0.3">
      <c r="A1381">
        <v>69000</v>
      </c>
      <c r="B1381" t="s">
        <v>15301</v>
      </c>
      <c r="C1381">
        <f>-618.312839182317 -30.0929953873924 -97.6440908825795</f>
        <v>-746.0499254522889</v>
      </c>
      <c r="D1381">
        <f>-643.798646806688 -39.1906891297754 -210.267089485679</f>
        <v>-893.25642542214234</v>
      </c>
      <c r="E1381">
        <f>-654.690615494038 -36.8988783646532 -308.26076858796</f>
        <v>-999.85026244665119</v>
      </c>
      <c r="F1381">
        <f>-660.573344161874 -31.0484991172641 -396.970341518916</f>
        <v>-1088.5921847980542</v>
      </c>
      <c r="G1381">
        <f>-662.072693938585 -21.426888920317 -485.533554033107</f>
        <v>-1169.033136892009</v>
      </c>
      <c r="H1381">
        <f>-659.511348272028 -4.11700950777185 -608.881065213604</f>
        <v>-1272.5094229934039</v>
      </c>
      <c r="I1381" t="s">
        <v>15302</v>
      </c>
      <c r="J1381" t="s">
        <v>15303</v>
      </c>
      <c r="K1381" t="s">
        <v>15304</v>
      </c>
      <c r="L1381" t="s">
        <v>15305</v>
      </c>
      <c r="M1381" t="s">
        <v>15306</v>
      </c>
      <c r="N1381">
        <f>-655.491795617235 -38.7113118813813 -558.28077556754</f>
        <v>-1252.4838830661563</v>
      </c>
      <c r="O1381">
        <f>-628.904702830758 -172.995050488801 -545.63457054475</f>
        <v>-1347.534323864309</v>
      </c>
      <c r="P1381">
        <f>-569.601212888564 -278.689987992799 -277.487484340467</f>
        <v>-1125.7786852218301</v>
      </c>
      <c r="Q1381">
        <f>-448.280444672651 -85.4700619488694 -354.935605173273</f>
        <v>-888.68611179479353</v>
      </c>
      <c r="R1381" t="s">
        <v>15307</v>
      </c>
      <c r="S1381" t="s">
        <v>15308</v>
      </c>
      <c r="T1381" t="s">
        <v>15309</v>
      </c>
      <c r="U1381" t="s">
        <v>15310</v>
      </c>
      <c r="V1381">
        <f>-592.506833834061 -122.754751383162 -97.2660752367234</f>
        <v>-812.5276604539464</v>
      </c>
      <c r="W1381" t="s">
        <v>15311</v>
      </c>
      <c r="X1381" t="s">
        <v>15312</v>
      </c>
      <c r="Y1381" t="s">
        <v>15313</v>
      </c>
    </row>
    <row r="1382" spans="1:25" x14ac:dyDescent="0.3">
      <c r="A1382">
        <v>69050</v>
      </c>
      <c r="B1382" t="s">
        <v>15314</v>
      </c>
      <c r="C1382">
        <f>-618.34621104807 -30.4731266242886 -97.6421976255024</f>
        <v>-746.46153529786102</v>
      </c>
      <c r="D1382">
        <f>-643.810400261099 -39.5536726456096 -210.271501851889</f>
        <v>-893.63557475859761</v>
      </c>
      <c r="E1382">
        <f>-654.688249719777 -37.2738944069042 -308.266968929567</f>
        <v>-1000.2291130562483</v>
      </c>
      <c r="F1382">
        <f>-660.559218895037 -31.4457787694989 -396.978975066831</f>
        <v>-1088.983972731367</v>
      </c>
      <c r="G1382">
        <f>-662.047288386393 -21.8591594183979 -485.546003878951</f>
        <v>-1169.4524516837419</v>
      </c>
      <c r="H1382">
        <f>-659.469873209219 -4.61220240570833 -608.902070623735</f>
        <v>-1272.9841462386623</v>
      </c>
      <c r="I1382" t="s">
        <v>15315</v>
      </c>
      <c r="J1382" t="s">
        <v>15316</v>
      </c>
      <c r="K1382" t="s">
        <v>15317</v>
      </c>
      <c r="L1382" t="s">
        <v>15318</v>
      </c>
      <c r="M1382" t="s">
        <v>15319</v>
      </c>
      <c r="N1382">
        <f>-655.516881677883 -39.1918127854074 -558.286496084655</f>
        <v>-1252.9951905479454</v>
      </c>
      <c r="O1382">
        <f>-629.215663558076 -173.532240932462 -545.629651062375</f>
        <v>-1348.3775555529132</v>
      </c>
      <c r="P1382">
        <f>-570.089718437831 -279.571555920126 -277.579383204317</f>
        <v>-1127.240657562274</v>
      </c>
      <c r="Q1382">
        <f>-448.064429844325 -86.7797381096132 -354.987544405677</f>
        <v>-889.83171235961515</v>
      </c>
      <c r="R1382" t="s">
        <v>15320</v>
      </c>
      <c r="S1382" t="s">
        <v>15321</v>
      </c>
      <c r="T1382" t="s">
        <v>15322</v>
      </c>
      <c r="U1382" t="s">
        <v>15323</v>
      </c>
      <c r="V1382">
        <f>-592.665998193354 -123.099973810003 -97.2562401574044</f>
        <v>-813.02221216076134</v>
      </c>
      <c r="W1382" t="s">
        <v>15324</v>
      </c>
      <c r="X1382" t="s">
        <v>15325</v>
      </c>
      <c r="Y1382" t="s">
        <v>15326</v>
      </c>
    </row>
    <row r="1383" spans="1:25" x14ac:dyDescent="0.3">
      <c r="A1383">
        <v>69100</v>
      </c>
      <c r="B1383" t="s">
        <v>15327</v>
      </c>
      <c r="C1383">
        <f>-618.441580309793 -31.1485297945519 -97.6751593656491</f>
        <v>-747.265269469994</v>
      </c>
      <c r="D1383">
        <f>-643.826606972198 -40.1889426382231 -210.325437010688</f>
        <v>-894.3409866211091</v>
      </c>
      <c r="E1383">
        <f>-654.695860619189 -37.9262154901919 -308.322376547649</f>
        <v>-1000.94445265703</v>
      </c>
      <c r="F1383">
        <f>-660.585570688593 -32.1306221777941 -397.035133150734</f>
        <v>-1089.7513260171211</v>
      </c>
      <c r="G1383">
        <f>-662.119421105599 -22.5934641377251 -485.606930035887</f>
        <v>-1170.3198152792111</v>
      </c>
      <c r="H1383">
        <f>-659.63521800106 -5.43182530822469 -608.97671717538</f>
        <v>-1274.0437604846647</v>
      </c>
      <c r="I1383" t="s">
        <v>15328</v>
      </c>
      <c r="J1383" t="s">
        <v>15329</v>
      </c>
      <c r="K1383" t="s">
        <v>15330</v>
      </c>
      <c r="L1383" t="s">
        <v>15331</v>
      </c>
      <c r="M1383" t="s">
        <v>15332</v>
      </c>
      <c r="N1383">
        <f>-655.707839167049 -39.9879120535443 -558.343105660937</f>
        <v>-1254.0388568815301</v>
      </c>
      <c r="O1383">
        <f>-629.80553797547 -174.402777988554 -545.719865489613</f>
        <v>-1349.9281814536371</v>
      </c>
      <c r="P1383">
        <f>-571.402044667093 -281.765041369694 -278.037980803925</f>
        <v>-1131.2050668407121</v>
      </c>
      <c r="Q1383">
        <f>-447.808435005576 -89.8167511172863 -355.053327512029</f>
        <v>-892.67851363489126</v>
      </c>
      <c r="R1383" t="s">
        <v>15333</v>
      </c>
      <c r="S1383" t="s">
        <v>15334</v>
      </c>
      <c r="T1383" t="s">
        <v>15335</v>
      </c>
      <c r="U1383" t="s">
        <v>15336</v>
      </c>
      <c r="V1383">
        <f>-593.018206853396 -123.620976653186 -97.2379342479898</f>
        <v>-813.87711775457171</v>
      </c>
      <c r="W1383" t="s">
        <v>15337</v>
      </c>
      <c r="X1383" t="s">
        <v>15338</v>
      </c>
      <c r="Y1383" t="s">
        <v>15339</v>
      </c>
    </row>
    <row r="1384" spans="1:25" x14ac:dyDescent="0.3">
      <c r="A1384">
        <v>69150</v>
      </c>
      <c r="B1384" t="s">
        <v>15340</v>
      </c>
      <c r="C1384">
        <f>-618.570415204073 -31.4284707508302 -97.6889318065745</f>
        <v>-747.68781776147773</v>
      </c>
      <c r="D1384">
        <f>-643.920158981007 -40.4609660312426 -210.347905387265</f>
        <v>-894.72903039951461</v>
      </c>
      <c r="E1384">
        <f>-654.802946188014 -38.2297183919104 -308.343970087275</f>
        <v>-1001.3766346671994</v>
      </c>
      <c r="F1384">
        <f>-660.725051639933 -32.474937131112 -397.057286388614</f>
        <v>-1090.257275159659</v>
      </c>
      <c r="G1384">
        <f>-662.312410610076 -22.989408696624 -485.633528391481</f>
        <v>-1170.935347698181</v>
      </c>
      <c r="H1384">
        <f>-659.926296433907 -5.91005746546989 -609.016695137198</f>
        <v>-1274.8530490365749</v>
      </c>
      <c r="I1384" t="s">
        <v>15341</v>
      </c>
      <c r="J1384" t="s">
        <v>15342</v>
      </c>
      <c r="K1384" t="s">
        <v>15343</v>
      </c>
      <c r="L1384" t="s">
        <v>15344</v>
      </c>
      <c r="M1384" t="s">
        <v>15345</v>
      </c>
      <c r="N1384">
        <f>-655.958296712565 -40.4323293265879 -558.363213723462</f>
        <v>-1254.7538397626149</v>
      </c>
      <c r="O1384">
        <f>-630.134949182047 -174.860235560273 -545.751313749744</f>
        <v>-1350.7464984920639</v>
      </c>
      <c r="P1384">
        <f>-571.973547313206 -282.98744953317 -278.324656314982</f>
        <v>-1133.2856531613579</v>
      </c>
      <c r="Q1384">
        <f>-448.048810035899 -91.2080260134978 -355.228568765692</f>
        <v>-894.48540481508883</v>
      </c>
      <c r="R1384" t="s">
        <v>15346</v>
      </c>
      <c r="S1384" t="s">
        <v>15347</v>
      </c>
      <c r="T1384" t="s">
        <v>15348</v>
      </c>
      <c r="U1384" t="s">
        <v>15349</v>
      </c>
      <c r="V1384">
        <f>-593.254994265495 -123.929643062133 -97.2306777615445</f>
        <v>-814.41531508917251</v>
      </c>
      <c r="W1384" t="s">
        <v>15350</v>
      </c>
      <c r="X1384" t="s">
        <v>15351</v>
      </c>
      <c r="Y1384" t="s">
        <v>15352</v>
      </c>
    </row>
    <row r="1385" spans="1:25" x14ac:dyDescent="0.3">
      <c r="A1385">
        <v>69200</v>
      </c>
      <c r="B1385" t="s">
        <v>15353</v>
      </c>
      <c r="C1385">
        <f>-618.92669252923 -32.0118972021144 -97.7108068768041</f>
        <v>-748.64939660814844</v>
      </c>
      <c r="D1385">
        <f>-644.238918471098 -41.0702849571883 -210.376018573954</f>
        <v>-895.68522200224038</v>
      </c>
      <c r="E1385">
        <f>-655.208605578659 -39.0170501033012 -308.366411627221</f>
        <v>-1002.5920673091812</v>
      </c>
      <c r="F1385">
        <f>-661.261917039461 -33.4816188594275 -397.084938910966</f>
        <v>-1091.8284748098545</v>
      </c>
      <c r="G1385">
        <f>-663.035518531666 -24.2706115309634 -485.686580718475</f>
        <v>-1172.9927107811043</v>
      </c>
      <c r="H1385">
        <f>-660.9685435898 -7.62869618293917 -609.135276701344</f>
        <v>-1277.7325164740832</v>
      </c>
      <c r="I1385" t="s">
        <v>15354</v>
      </c>
      <c r="J1385" t="s">
        <v>15355</v>
      </c>
      <c r="K1385" t="s">
        <v>15356</v>
      </c>
      <c r="L1385" t="s">
        <v>15357</v>
      </c>
      <c r="M1385" t="s">
        <v>15358</v>
      </c>
      <c r="N1385">
        <f>-656.834196919163 -41.9648629080459 -558.368625947887</f>
        <v>-1257.1676857750958</v>
      </c>
      <c r="O1385">
        <f>-630.892510838394 -176.342266287087 -545.580899243958</f>
        <v>-1352.815676369439</v>
      </c>
      <c r="P1385">
        <f>-572.267520945997 -285.514028075187 -278.680461026274</f>
        <v>-1136.4620100474581</v>
      </c>
      <c r="Q1385">
        <f>-448.268251559731 -93.9352778107337 -355.96316197136</f>
        <v>-898.16669134182473</v>
      </c>
      <c r="R1385" t="s">
        <v>15359</v>
      </c>
      <c r="S1385" t="s">
        <v>15360</v>
      </c>
      <c r="T1385" t="s">
        <v>15361</v>
      </c>
      <c r="U1385" t="s">
        <v>15362</v>
      </c>
      <c r="V1385">
        <f>-593.679752483025 -124.431970220389 -97.2277646111255</f>
        <v>-815.3394873145395</v>
      </c>
      <c r="W1385" t="s">
        <v>15363</v>
      </c>
      <c r="X1385" t="s">
        <v>15364</v>
      </c>
      <c r="Y1385" t="s">
        <v>15365</v>
      </c>
    </row>
    <row r="1386" spans="1:25" x14ac:dyDescent="0.3">
      <c r="A1386">
        <v>69250</v>
      </c>
      <c r="B1386" t="s">
        <v>15366</v>
      </c>
      <c r="C1386">
        <f>-619.038146862707 -32.4943113085121 -97.7206714552069</f>
        <v>-749.25312962642602</v>
      </c>
      <c r="D1386">
        <f>-644.35725087329 -41.6237135072158 -210.378655406444</f>
        <v>-896.35961978694991</v>
      </c>
      <c r="E1386">
        <f>-655.3963843799 -39.734920699374 -308.364440154445</f>
        <v>-1003.495745233719</v>
      </c>
      <c r="F1386">
        <f>-661.539164033527 -34.3893350605726 -397.088402212644</f>
        <v>-1093.0169013067436</v>
      </c>
      <c r="G1386">
        <f>-663.429210203547 -25.4080028747489 -485.711280110464</f>
        <v>-1174.5484931887599</v>
      </c>
      <c r="H1386">
        <f>-661.553392874113 -9.12799787808331 -609.211172454735</f>
        <v>-1279.8925632069313</v>
      </c>
      <c r="I1386" t="s">
        <v>15367</v>
      </c>
      <c r="J1386" t="s">
        <v>15368</v>
      </c>
      <c r="K1386" t="s">
        <v>15369</v>
      </c>
      <c r="L1386" t="s">
        <v>15370</v>
      </c>
      <c r="M1386" t="s">
        <v>15371</v>
      </c>
      <c r="N1386">
        <f>-657.325300259026 -43.3124710216147 -558.350090230216</f>
        <v>-1258.9878615108566</v>
      </c>
      <c r="O1386">
        <f>-631.290599595387 -177.668418472021 -545.392395864989</f>
        <v>-1354.351413932397</v>
      </c>
      <c r="P1386">
        <f>-571.783601233424 -287.036902770034 -278.767835249516</f>
        <v>-1137.588339252974</v>
      </c>
      <c r="Q1386">
        <f>-448.252112410764 -95.3886654418624 -356.625289025215</f>
        <v>-900.26606687784147</v>
      </c>
      <c r="R1386" t="s">
        <v>15372</v>
      </c>
      <c r="S1386" t="s">
        <v>15373</v>
      </c>
      <c r="T1386" t="s">
        <v>15374</v>
      </c>
      <c r="U1386" t="s">
        <v>15375</v>
      </c>
      <c r="V1386">
        <f>-593.677155946655 -125.031668953876 -97.2152924505828</f>
        <v>-815.92411735111375</v>
      </c>
      <c r="W1386" t="s">
        <v>15376</v>
      </c>
      <c r="X1386" t="s">
        <v>15377</v>
      </c>
      <c r="Y1386" t="s">
        <v>15378</v>
      </c>
    </row>
    <row r="1387" spans="1:25" x14ac:dyDescent="0.3">
      <c r="A1387">
        <v>69300</v>
      </c>
      <c r="B1387" t="s">
        <v>15379</v>
      </c>
      <c r="C1387">
        <f>-619.107759478488 -33.310910325323 -97.8178582975447</f>
        <v>-750.2365281013557</v>
      </c>
      <c r="D1387">
        <f>-644.387570245093 -42.640539821459 -210.46835637424</f>
        <v>-897.49646644079201</v>
      </c>
      <c r="E1387">
        <f>-655.537846993929 -41.0908607211427 -308.447477139886</f>
        <v>-1005.0761848549577</v>
      </c>
      <c r="F1387">
        <f>-661.839791210554 -36.1201981481452 -397.182016393998</f>
        <v>-1095.1420057526973</v>
      </c>
      <c r="G1387">
        <f>-663.947171070584 -27.5807054168633 -485.843694619952</f>
        <v>-1177.3715711073992</v>
      </c>
      <c r="H1387">
        <f>-662.435475462699 -11.9873890834533 -609.437136489668</f>
        <v>-1283.8600010358202</v>
      </c>
      <c r="I1387" t="s">
        <v>15380</v>
      </c>
      <c r="J1387" t="s">
        <v>15381</v>
      </c>
      <c r="K1387" t="s">
        <v>15382</v>
      </c>
      <c r="L1387" t="s">
        <v>15383</v>
      </c>
      <c r="M1387" t="s">
        <v>15384</v>
      </c>
      <c r="N1387">
        <f>-658.042754217389 -45.8860545052567 -558.39903665512</f>
        <v>-1262.3278453777657</v>
      </c>
      <c r="O1387">
        <f>-631.962645025677 -180.202569633032 -545.069528535468</f>
        <v>-1357.2347431941771</v>
      </c>
      <c r="P1387">
        <f>-570.538892879353 -289.09349263542 -278.684270598955</f>
        <v>-1138.316656113728</v>
      </c>
      <c r="Q1387">
        <f>-447.264183915701 -98.1668706003989 -358.692037336676</f>
        <v>-904.12309185277581</v>
      </c>
      <c r="R1387" t="s">
        <v>15385</v>
      </c>
      <c r="S1387" t="s">
        <v>15386</v>
      </c>
      <c r="T1387" t="s">
        <v>15387</v>
      </c>
      <c r="U1387" t="s">
        <v>15388</v>
      </c>
      <c r="V1387">
        <f>-593.471557198056 -125.829481985822 -97.1963413305249</f>
        <v>-816.49738051440283</v>
      </c>
      <c r="W1387" t="s">
        <v>15389</v>
      </c>
      <c r="X1387" t="s">
        <v>15390</v>
      </c>
      <c r="Y1387" t="s">
        <v>15391</v>
      </c>
    </row>
    <row r="1388" spans="1:25" x14ac:dyDescent="0.3">
      <c r="A1388">
        <v>69350</v>
      </c>
      <c r="B1388" t="s">
        <v>15392</v>
      </c>
      <c r="C1388">
        <f>-619.200775607429 -33.4851712511477 -97.8960640725654</f>
        <v>-750.58201093114212</v>
      </c>
      <c r="D1388">
        <f>-644.428389490324 -42.9359840580491 -210.547932399479</f>
        <v>-897.91230594785213</v>
      </c>
      <c r="E1388">
        <f>-655.615529890904 -41.593092209368 -308.526092895519</f>
        <v>-1005.734714995791</v>
      </c>
      <c r="F1388">
        <f>-661.983645004999 -36.8507501033221 -397.268385356233</f>
        <v>-1096.1027804645541</v>
      </c>
      <c r="G1388">
        <f>-664.190361830409 -28.5811143947844 -485.953237972029</f>
        <v>-1178.7247141972225</v>
      </c>
      <c r="H1388">
        <f>-662.851504617445 -13.4072824876305 -609.600898427718</f>
        <v>-1285.8596855327935</v>
      </c>
      <c r="I1388" t="s">
        <v>15393</v>
      </c>
      <c r="J1388" t="s">
        <v>15394</v>
      </c>
      <c r="K1388" t="s">
        <v>15395</v>
      </c>
      <c r="L1388" t="s">
        <v>15396</v>
      </c>
      <c r="M1388" t="s">
        <v>15397</v>
      </c>
      <c r="N1388">
        <f>-658.389672944335 -47.1330477443717 -558.454339705778</f>
        <v>-1263.9770603944846</v>
      </c>
      <c r="O1388">
        <f>-632.26132566186 -181.411564778791 -544.873918857133</f>
        <v>-1358.546809297784</v>
      </c>
      <c r="P1388">
        <f>-570.092371946886 -289.844924501851 -278.475042878516</f>
        <v>-1138.412339327253</v>
      </c>
      <c r="Q1388">
        <f>-446.128367884863 -100.080548044713 -360.165111034407</f>
        <v>-906.37402696398306</v>
      </c>
      <c r="R1388" t="s">
        <v>15398</v>
      </c>
      <c r="S1388" t="s">
        <v>15399</v>
      </c>
      <c r="T1388" t="s">
        <v>15400</v>
      </c>
      <c r="U1388" t="s">
        <v>15401</v>
      </c>
      <c r="V1388">
        <f>-593.508384101257 -125.895497752305 -97.1800640797508</f>
        <v>-816.58394593331275</v>
      </c>
      <c r="W1388" t="s">
        <v>15402</v>
      </c>
      <c r="X1388" t="s">
        <v>15403</v>
      </c>
      <c r="Y1388" t="s">
        <v>15404</v>
      </c>
    </row>
    <row r="1389" spans="1:25" x14ac:dyDescent="0.3">
      <c r="A1389">
        <v>69400</v>
      </c>
      <c r="B1389" t="s">
        <v>15405</v>
      </c>
      <c r="C1389">
        <f>-619.499042417771 -33.8476857005626 -98.0364217970326</f>
        <v>-751.38314991536618</v>
      </c>
      <c r="D1389">
        <f>-644.616622187756 -43.4888441934959 -210.69683508903</f>
        <v>-898.80230147028192</v>
      </c>
      <c r="E1389">
        <f>-655.868449610802 -42.5914406158515 -308.672734031342</f>
        <v>-1007.1326242579955</v>
      </c>
      <c r="F1389">
        <f>-662.362272743815 -38.3642724410531 -397.43177940937</f>
        <v>-1098.1583245942381</v>
      </c>
      <c r="G1389">
        <f>-664.76302817761 -30.7204112581753 -486.16763963083</f>
        <v>-1181.6510790666152</v>
      </c>
      <c r="H1389">
        <f>-663.767496427189 -16.5346520750716 -609.935940834585</f>
        <v>-1290.2380893368456</v>
      </c>
      <c r="I1389" t="s">
        <v>15406</v>
      </c>
      <c r="J1389" t="s">
        <v>15407</v>
      </c>
      <c r="K1389" t="s">
        <v>15408</v>
      </c>
      <c r="L1389" t="s">
        <v>15409</v>
      </c>
      <c r="M1389" t="s">
        <v>15410</v>
      </c>
      <c r="N1389">
        <f>-659.177467643055 -49.8533940277897 -558.534632881587</f>
        <v>-1267.5654945524316</v>
      </c>
      <c r="O1389">
        <f>-633.12939176785 -184.086106622852 -544.299833587315</f>
        <v>-1361.515331978017</v>
      </c>
      <c r="P1389">
        <f>-569.625184246321 -291.542698477474 -277.819955109759</f>
        <v>-1138.9878378335541</v>
      </c>
      <c r="Q1389">
        <f>-441.772037425367 -106.632289202638 -364.495309427292</f>
        <v>-912.89963605529704</v>
      </c>
      <c r="R1389" t="s">
        <v>15411</v>
      </c>
      <c r="S1389" t="s">
        <v>15412</v>
      </c>
      <c r="T1389" t="s">
        <v>15413</v>
      </c>
      <c r="U1389" t="s">
        <v>15414</v>
      </c>
      <c r="V1389">
        <f>-593.73267931398 -126.240388489848 -97.1762084924214</f>
        <v>-817.14927629624947</v>
      </c>
      <c r="W1389" t="s">
        <v>15415</v>
      </c>
      <c r="X1389" t="s">
        <v>15416</v>
      </c>
      <c r="Y1389" t="s">
        <v>15417</v>
      </c>
    </row>
    <row r="1390" spans="1:25" x14ac:dyDescent="0.3">
      <c r="A1390">
        <v>69450</v>
      </c>
      <c r="B1390" t="s">
        <v>15418</v>
      </c>
      <c r="C1390">
        <f>-619.661812647938 -34.0616277024074 -98.1222177924657</f>
        <v>-751.84565814281098</v>
      </c>
      <c r="D1390">
        <f>-644.731157558965 -43.7739046790372 -210.787284345499</f>
        <v>-899.29234658350117</v>
      </c>
      <c r="E1390">
        <f>-656.010408986122 -43.0857701308989 -308.76163700911</f>
        <v>-1007.857816126131</v>
      </c>
      <c r="F1390">
        <f>-662.558754758515 -39.106800545472 -397.528357343918</f>
        <v>-1099.1939126479049</v>
      </c>
      <c r="G1390">
        <f>-665.044360230249 -31.7692256970904 -486.287741931437</f>
        <v>-1183.1013278587764</v>
      </c>
      <c r="H1390">
        <f>-664.199613123298 -18.0716773470524 -610.112042556143</f>
        <v>-1292.3833330264933</v>
      </c>
      <c r="I1390">
        <f>-639.818836528576 -1.5389267495384 -687.812043083763</f>
        <v>-1329.1698063618774</v>
      </c>
      <c r="J1390" t="s">
        <v>15419</v>
      </c>
      <c r="K1390" t="s">
        <v>15420</v>
      </c>
      <c r="L1390" t="s">
        <v>15421</v>
      </c>
      <c r="M1390" t="s">
        <v>15422</v>
      </c>
      <c r="N1390">
        <f>-659.561848302701 -51.1902030217346 -558.585701231673</f>
        <v>-1269.3377525561086</v>
      </c>
      <c r="O1390">
        <f>-633.61618769342 -185.405717119835 -543.996716677696</f>
        <v>-1363.0186214909509</v>
      </c>
      <c r="P1390">
        <f>-569.538442719789 -292.745256350205 -277.60705835225</f>
        <v>-1139.8907574222442</v>
      </c>
      <c r="Q1390">
        <f>-439.728733515326 -110.797746156729 -367.581494355666</f>
        <v>-918.10797402772096</v>
      </c>
      <c r="R1390" t="s">
        <v>15423</v>
      </c>
      <c r="S1390" t="s">
        <v>15424</v>
      </c>
      <c r="T1390" t="s">
        <v>15425</v>
      </c>
      <c r="U1390" t="s">
        <v>15426</v>
      </c>
      <c r="V1390">
        <f>-593.846220483616 -126.485496610175 -97.1824464558071</f>
        <v>-817.51416354959804</v>
      </c>
      <c r="W1390" t="s">
        <v>15427</v>
      </c>
      <c r="X1390" t="s">
        <v>15428</v>
      </c>
      <c r="Y1390" t="s">
        <v>15429</v>
      </c>
    </row>
    <row r="1391" spans="1:25" x14ac:dyDescent="0.3">
      <c r="A1391">
        <v>69500</v>
      </c>
      <c r="B1391" t="s">
        <v>15430</v>
      </c>
      <c r="C1391">
        <f>-619.850390905003 -34.6259285509768 -98.2941657156078</f>
        <v>-752.77048517158767</v>
      </c>
      <c r="D1391">
        <f>-644.854610565639 -44.4627398665613 -210.962866270016</f>
        <v>-900.28021670221619</v>
      </c>
      <c r="E1391">
        <f>-656.189151810916 -44.1491367467569 -308.932863795252</f>
        <v>-1009.2711523529249</v>
      </c>
      <c r="F1391">
        <f>-662.835578971428 -40.6154993897919 -397.711065605132</f>
        <v>-1101.162143966352</v>
      </c>
      <c r="G1391">
        <f>-665.468889690928 -33.8285523146437 -486.509883016345</f>
        <v>-1185.8073250219168</v>
      </c>
      <c r="H1391">
        <f>-664.883346193754 -21.0093676134954 -610.429774584995</f>
        <v>-1296.3224883922444</v>
      </c>
      <c r="I1391">
        <f>-640.388967449334 -4.980238614477 -688.199523899212</f>
        <v>-1333.5687299630231</v>
      </c>
      <c r="J1391" t="s">
        <v>15431</v>
      </c>
      <c r="K1391" t="s">
        <v>15432</v>
      </c>
      <c r="L1391" t="s">
        <v>15433</v>
      </c>
      <c r="M1391" t="s">
        <v>15434</v>
      </c>
      <c r="N1391">
        <f>-660.149665372919 -53.7639232181119 -558.680104841663</f>
        <v>-1272.593693432694</v>
      </c>
      <c r="O1391">
        <f>-634.344032312584 -187.939131779667 -543.522734370713</f>
        <v>-1365.805898462964</v>
      </c>
      <c r="P1391">
        <f>-569.4873125677 -296.349166104182 -277.755819944003</f>
        <v>-1143.5922986158851</v>
      </c>
      <c r="Q1391">
        <f>-437.568291504841 -120.270282989603 -375.96204887641</f>
        <v>-933.80062337085394</v>
      </c>
      <c r="R1391" t="s">
        <v>15435</v>
      </c>
      <c r="S1391" t="s">
        <v>15436</v>
      </c>
      <c r="T1391" t="s">
        <v>15437</v>
      </c>
      <c r="U1391" t="s">
        <v>15438</v>
      </c>
      <c r="V1391">
        <f>-593.950743599424 -127.021911890485 -97.2317990850707</f>
        <v>-818.20445457497965</v>
      </c>
      <c r="W1391" t="s">
        <v>15439</v>
      </c>
      <c r="X1391" t="s">
        <v>15440</v>
      </c>
      <c r="Y1391" t="s">
        <v>15441</v>
      </c>
    </row>
    <row r="1392" spans="1:25" x14ac:dyDescent="0.3">
      <c r="A1392">
        <v>69550</v>
      </c>
      <c r="B1392" t="s">
        <v>15442</v>
      </c>
      <c r="C1392">
        <f>-619.88533630785 -34.8455312451433 -98.3596705339212</f>
        <v>-753.09053808691453</v>
      </c>
      <c r="D1392">
        <f>-644.869513621909 -44.7542364652368 -211.026461060616</f>
        <v>-900.65021114776187</v>
      </c>
      <c r="E1392">
        <f>-656.248232785273 -44.6156805565558 -308.991741241523</f>
        <v>-1009.8556545833519</v>
      </c>
      <c r="F1392">
        <f>-662.960308354439 -41.2859471597237 -397.772812423727</f>
        <v>-1102.0190679378898</v>
      </c>
      <c r="G1392">
        <f>-665.68546400686 -34.7481770117815 -486.587629086416</f>
        <v>-1187.0212701050575</v>
      </c>
      <c r="H1392">
        <f>-665.255632888667 -22.3239135558172 -610.548397750046</f>
        <v>-1298.1279441945303</v>
      </c>
      <c r="I1392">
        <f>-640.714228465371 -6.54903361165407 -688.355247252705</f>
        <v>-1335.6185093297299</v>
      </c>
      <c r="J1392">
        <f>-670.433240209821 -0.669022652685726 -553.298336311612</f>
        <v>-1224.4005991741187</v>
      </c>
      <c r="K1392" t="s">
        <v>15443</v>
      </c>
      <c r="L1392" t="s">
        <v>15444</v>
      </c>
      <c r="M1392" t="s">
        <v>15445</v>
      </c>
      <c r="N1392">
        <f>-660.456398542296 -54.9133302244666 -558.700462943276</f>
        <v>-1274.0701917100387</v>
      </c>
      <c r="O1392">
        <f>-634.749177274492 -189.090280665437 -543.334957755934</f>
        <v>-1367.174415695863</v>
      </c>
      <c r="P1392">
        <f>-569.67230257738 -298.700643206112 -278.114697998403</f>
        <v>-1146.487643781895</v>
      </c>
      <c r="Q1392">
        <f>-437.658884067365 -125.381734567464 -380.992834426284</f>
        <v>-944.03345306111305</v>
      </c>
      <c r="R1392" t="s">
        <v>15446</v>
      </c>
      <c r="S1392" t="s">
        <v>15447</v>
      </c>
      <c r="T1392" t="s">
        <v>15448</v>
      </c>
      <c r="U1392" t="s">
        <v>15449</v>
      </c>
      <c r="V1392">
        <f>-593.92782420966 -127.186617472461 -97.2445237598455</f>
        <v>-818.35896544196646</v>
      </c>
      <c r="W1392" t="s">
        <v>15450</v>
      </c>
      <c r="X1392" t="s">
        <v>15451</v>
      </c>
      <c r="Y1392" t="s">
        <v>15452</v>
      </c>
    </row>
    <row r="1393" spans="1:25" x14ac:dyDescent="0.3">
      <c r="A1393">
        <v>69600</v>
      </c>
      <c r="B1393" t="s">
        <v>15453</v>
      </c>
      <c r="C1393">
        <f>-619.897468869454 -35.0440536999242 -98.4150020756988</f>
        <v>-753.356524645077</v>
      </c>
      <c r="D1393">
        <f>-644.876362143249 -45.026247406032 -211.076517788956</f>
        <v>-900.97912733823705</v>
      </c>
      <c r="E1393">
        <f>-656.302902534765 -45.0442097577431 -309.036306021397</f>
        <v>-1010.3834183139052</v>
      </c>
      <c r="F1393">
        <f>-663.079867933515 -41.893941238397 -397.819159158281</f>
        <v>-1102.7929683301929</v>
      </c>
      <c r="G1393">
        <f>-665.891496841087 -35.5733733600325 -486.646911365904</f>
        <v>-1188.1117815670236</v>
      </c>
      <c r="H1393">
        <f>-665.605444173581 -23.4919382913745 -610.641937508384</f>
        <v>-1299.7393199733394</v>
      </c>
      <c r="I1393">
        <f>-641.007327935045 -7.95187535959235 -688.478147355025</f>
        <v>-1337.4373506496624</v>
      </c>
      <c r="J1393">
        <f>-670.718739500505 -1.67924631997653 -553.445992758306</f>
        <v>-1225.8439785787875</v>
      </c>
      <c r="K1393" t="s">
        <v>15454</v>
      </c>
      <c r="L1393" t="s">
        <v>15455</v>
      </c>
      <c r="M1393" t="s">
        <v>15456</v>
      </c>
      <c r="N1393">
        <f>-660.7438764814 -55.9375139463418 -558.709766926897</f>
        <v>-1275.3911573546388</v>
      </c>
      <c r="O1393">
        <f>-635.172142450283 -190.119771142432 -543.188992923305</f>
        <v>-1368.48090651602</v>
      </c>
      <c r="P1393">
        <f>-569.968890041613 -301.164956340668 -278.59753364336</f>
        <v>-1149.7313800256411</v>
      </c>
      <c r="Q1393">
        <f>-438.296686311495 -130.476529619919 -386.202228307353</f>
        <v>-954.97544423876707</v>
      </c>
      <c r="R1393" t="s">
        <v>15457</v>
      </c>
      <c r="S1393" t="s">
        <v>15458</v>
      </c>
      <c r="T1393" t="s">
        <v>15459</v>
      </c>
      <c r="U1393" t="s">
        <v>15460</v>
      </c>
      <c r="V1393">
        <f>-593.850562248388 -127.363514696597 -97.2598271231866</f>
        <v>-818.47390406817158</v>
      </c>
      <c r="W1393" t="s">
        <v>15461</v>
      </c>
      <c r="X1393" t="s">
        <v>15462</v>
      </c>
      <c r="Y1393" t="s">
        <v>15463</v>
      </c>
    </row>
    <row r="1394" spans="1:25" x14ac:dyDescent="0.3">
      <c r="A1394">
        <v>69650</v>
      </c>
      <c r="B1394" t="s">
        <v>15453</v>
      </c>
      <c r="C1394">
        <f>-619.897468869454 -35.0440536999242 -98.4150020756988</f>
        <v>-753.356524645077</v>
      </c>
      <c r="D1394">
        <f>-644.876362143249 -45.026247406032 -211.076517788956</f>
        <v>-900.97912733823705</v>
      </c>
      <c r="E1394">
        <f>-656.302902534765 -45.0442097577431 -309.036306021397</f>
        <v>-1010.3834183139052</v>
      </c>
      <c r="F1394">
        <f>-663.079867933515 -41.893941238397 -397.819159158281</f>
        <v>-1102.7929683301929</v>
      </c>
      <c r="G1394">
        <f>-665.891496841087 -35.5733733600325 -486.646911365904</f>
        <v>-1188.1117815670236</v>
      </c>
      <c r="H1394">
        <f>-665.605444173581 -23.4919382913745 -610.641937508384</f>
        <v>-1299.7393199733394</v>
      </c>
      <c r="I1394">
        <f>-641.007327935045 -7.95187535959235 -688.478147355025</f>
        <v>-1337.4373506496624</v>
      </c>
      <c r="J1394">
        <f>-670.718739500505 -1.67924631997653 -553.445992758306</f>
        <v>-1225.8439785787875</v>
      </c>
      <c r="K1394" t="s">
        <v>15454</v>
      </c>
      <c r="L1394" t="s">
        <v>15455</v>
      </c>
      <c r="M1394" t="s">
        <v>15456</v>
      </c>
      <c r="N1394">
        <f>-660.7438764814 -55.9375139463418 -558.709766926897</f>
        <v>-1275.3911573546388</v>
      </c>
      <c r="O1394">
        <f>-635.172142450283 -190.119771142432 -543.188992923305</f>
        <v>-1368.48090651602</v>
      </c>
      <c r="P1394">
        <f>-569.968890041613 -301.164956340668 -278.59753364336</f>
        <v>-1149.7313800256411</v>
      </c>
      <c r="Q1394">
        <f>-438.296686311495 -130.476529619919 -386.202228307353</f>
        <v>-954.97544423876707</v>
      </c>
      <c r="R1394" t="s">
        <v>15457</v>
      </c>
      <c r="S1394" t="s">
        <v>15458</v>
      </c>
      <c r="T1394" t="s">
        <v>15459</v>
      </c>
      <c r="U1394" t="s">
        <v>15460</v>
      </c>
      <c r="V1394">
        <f>-593.850562248388 -127.363514696597 -97.2598271231866</f>
        <v>-818.47390406817158</v>
      </c>
      <c r="W1394" t="s">
        <v>15461</v>
      </c>
      <c r="X1394" t="s">
        <v>15462</v>
      </c>
      <c r="Y1394" t="s">
        <v>15463</v>
      </c>
    </row>
    <row r="1395" spans="1:25" x14ac:dyDescent="0.3">
      <c r="A1395">
        <v>69700</v>
      </c>
      <c r="B1395" t="s">
        <v>15464</v>
      </c>
      <c r="C1395">
        <f>-619.885325512116 -35.2052464199567 -98.5367881031514</f>
        <v>-753.627360035224</v>
      </c>
      <c r="D1395">
        <f>-644.864173760625 -45.2735978242913 -211.19076502856</f>
        <v>-901.32853661347633</v>
      </c>
      <c r="E1395">
        <f>-656.352872124606 -45.4353001542204 -309.14291739867</f>
        <v>-1010.9310896774964</v>
      </c>
      <c r="F1395">
        <f>-663.210855331209 -42.4439815682051 -397.92504613057</f>
        <v>-1103.5798830299841</v>
      </c>
      <c r="G1395">
        <f>-666.128309130923 -36.3111097363051 -486.762601290846</f>
        <v>-1189.202020158074</v>
      </c>
      <c r="H1395">
        <f>-666.015759834809 -24.5220967506568 -610.786089902095</f>
        <v>-1301.323946487561</v>
      </c>
      <c r="I1395">
        <f>-641.367711649132 -9.19650601219428 -688.648987501437</f>
        <v>-1339.2132051627632</v>
      </c>
      <c r="J1395">
        <f>-671.050454232386 -2.57483729516912 -553.634785998889</f>
        <v>-1227.2600775264441</v>
      </c>
      <c r="K1395" t="s">
        <v>15465</v>
      </c>
      <c r="L1395" t="s">
        <v>15466</v>
      </c>
      <c r="M1395" t="s">
        <v>15467</v>
      </c>
      <c r="N1395">
        <f>-661.080186690006 -56.8448095633104 -558.784241013852</f>
        <v>-1276.7092372671684</v>
      </c>
      <c r="O1395">
        <f>-635.643138500355 -191.036362625844 -543.157123458473</f>
        <v>-1369.8366245846721</v>
      </c>
      <c r="P1395">
        <f>-570.401183599615 -304.034564646778 -279.403319773438</f>
        <v>-1153.8390680198311</v>
      </c>
      <c r="Q1395">
        <f>-439.799050433468 -135.549296438494 -391.68263784275</f>
        <v>-967.03098471471208</v>
      </c>
      <c r="R1395" t="s">
        <v>15468</v>
      </c>
      <c r="S1395" t="s">
        <v>15469</v>
      </c>
      <c r="T1395" t="s">
        <v>15470</v>
      </c>
      <c r="U1395" t="s">
        <v>15471</v>
      </c>
      <c r="V1395">
        <f>-593.70510156383 -127.490421248668 -97.3202754956938</f>
        <v>-818.51579830819173</v>
      </c>
      <c r="W1395" t="s">
        <v>15472</v>
      </c>
      <c r="X1395" t="s">
        <v>15473</v>
      </c>
      <c r="Y1395" t="s">
        <v>15474</v>
      </c>
    </row>
    <row r="1396" spans="1:25" x14ac:dyDescent="0.3">
      <c r="A1396">
        <v>69750</v>
      </c>
      <c r="B1396" t="s">
        <v>15464</v>
      </c>
      <c r="C1396">
        <f>-619.885325512116 -35.2052464199567 -98.5367881031514</f>
        <v>-753.627360035224</v>
      </c>
      <c r="D1396">
        <f>-644.864173760625 -45.2735978242913 -211.19076502856</f>
        <v>-901.32853661347633</v>
      </c>
      <c r="E1396">
        <f>-656.352872124606 -45.4353001542204 -309.14291739867</f>
        <v>-1010.9310896774964</v>
      </c>
      <c r="F1396">
        <f>-663.210855331209 -42.4439815682051 -397.92504613057</f>
        <v>-1103.5798830299841</v>
      </c>
      <c r="G1396">
        <f>-666.128309130923 -36.3111097363051 -486.762601290846</f>
        <v>-1189.202020158074</v>
      </c>
      <c r="H1396">
        <f>-666.015759834809 -24.5220967506568 -610.786089902095</f>
        <v>-1301.323946487561</v>
      </c>
      <c r="I1396">
        <f>-641.367711649132 -9.19650601219428 -688.648987501437</f>
        <v>-1339.2132051627632</v>
      </c>
      <c r="J1396">
        <f>-671.050454232386 -2.57483729516912 -553.634785998889</f>
        <v>-1227.2600775264441</v>
      </c>
      <c r="K1396" t="s">
        <v>15465</v>
      </c>
      <c r="L1396" t="s">
        <v>15466</v>
      </c>
      <c r="M1396" t="s">
        <v>15467</v>
      </c>
      <c r="N1396">
        <f>-661.080186690006 -56.8448095633104 -558.784241013852</f>
        <v>-1276.7092372671684</v>
      </c>
      <c r="O1396">
        <f>-635.643138500355 -191.036362625844 -543.157123458473</f>
        <v>-1369.8366245846721</v>
      </c>
      <c r="P1396">
        <f>-570.401183599615 -304.034564646778 -279.403319773438</f>
        <v>-1153.8390680198311</v>
      </c>
      <c r="Q1396">
        <f>-439.799050433468 -135.549296438494 -391.68263784275</f>
        <v>-967.03098471471208</v>
      </c>
      <c r="R1396" t="s">
        <v>15468</v>
      </c>
      <c r="S1396" t="s">
        <v>15469</v>
      </c>
      <c r="T1396" t="s">
        <v>15470</v>
      </c>
      <c r="U1396" t="s">
        <v>15471</v>
      </c>
      <c r="V1396">
        <f>-593.70510156383 -127.490421248668 -97.3202754956938</f>
        <v>-818.51579830819173</v>
      </c>
      <c r="W1396" t="s">
        <v>15472</v>
      </c>
      <c r="X1396" t="s">
        <v>15473</v>
      </c>
      <c r="Y1396" t="s">
        <v>15474</v>
      </c>
    </row>
    <row r="1397" spans="1:25" x14ac:dyDescent="0.3">
      <c r="A1397">
        <v>69800</v>
      </c>
      <c r="B1397" t="s">
        <v>15475</v>
      </c>
      <c r="C1397">
        <f>-619.631322064101 -35.6934305848597 -99.114106465479</f>
        <v>-754.43885911443977</v>
      </c>
      <c r="D1397">
        <f>-644.722680217878 -46.2513372956689 -211.698196818067</f>
        <v>-902.67221433161387</v>
      </c>
      <c r="E1397">
        <f>-656.64850203209 -47.0435880670979 -309.595123518931</f>
        <v>-1013.2872136181189</v>
      </c>
      <c r="F1397">
        <f>-664.035143807928 -44.7116036356236 -398.35453538015</f>
        <v>-1107.1012828237017</v>
      </c>
      <c r="G1397">
        <f>-667.612298097839 -39.3277933575505 -487.216608368518</f>
        <v>-1194.1566998239075</v>
      </c>
      <c r="H1397">
        <f>-668.555859527135 -28.6801120708401 -611.339787266621</f>
        <v>-1308.5757588645961</v>
      </c>
      <c r="I1397">
        <f>-643.486269115689 -14.0693380326222 -689.205462495368</f>
        <v>-1346.7610696436791</v>
      </c>
      <c r="J1397">
        <f>-673.076644573472 -6.20267787046828 -554.351583379993</f>
        <v>-1233.6309058239333</v>
      </c>
      <c r="K1397" t="s">
        <v>15476</v>
      </c>
      <c r="L1397" t="s">
        <v>15477</v>
      </c>
      <c r="M1397" t="s">
        <v>15478</v>
      </c>
      <c r="N1397">
        <f>-663.204608776345 -60.5284660559946 -559.086936462016</f>
        <v>-1282.8200112943555</v>
      </c>
      <c r="O1397">
        <f>-638.682013164393 -194.871919586652 -543.312972585916</f>
        <v>-1376.8669053369608</v>
      </c>
      <c r="P1397">
        <f>-575.251933333204 -316.85899141169 -283.14565228398</f>
        <v>-1175.2565770288738</v>
      </c>
      <c r="Q1397">
        <f>-448.840947811856 -160.771245221303 -416.21620960272</f>
        <v>-1025.828402635879</v>
      </c>
      <c r="R1397" t="s">
        <v>15479</v>
      </c>
      <c r="S1397" t="s">
        <v>15480</v>
      </c>
      <c r="T1397" t="s">
        <v>15481</v>
      </c>
      <c r="U1397" t="s">
        <v>15482</v>
      </c>
      <c r="V1397">
        <f>-592.905381254166 -127.839284840579 -97.5634779685364</f>
        <v>-818.30814406328136</v>
      </c>
      <c r="W1397" t="s">
        <v>15483</v>
      </c>
      <c r="X1397" t="s">
        <v>15484</v>
      </c>
      <c r="Y1397" t="s">
        <v>15485</v>
      </c>
    </row>
    <row r="1398" spans="1:25" x14ac:dyDescent="0.3">
      <c r="A1398">
        <v>69850</v>
      </c>
      <c r="B1398" t="s">
        <v>15486</v>
      </c>
      <c r="C1398">
        <f>-619.615956796905 -35.7740764276771 -99.1773695466593</f>
        <v>-754.5674027712414</v>
      </c>
      <c r="D1398">
        <f>-644.746363833087 -46.3701516422533 -211.749205892604</f>
        <v>-902.86572136794427</v>
      </c>
      <c r="E1398">
        <f>-656.755542889285 -47.2433766330377 -309.635134067397</f>
        <v>-1013.6340535897198</v>
      </c>
      <c r="F1398">
        <f>-664.237798090637 -45.0036314754523 -398.388953194205</f>
        <v>-1107.6303827602942</v>
      </c>
      <c r="G1398">
        <f>-667.930989976834 -39.7312860921088 -487.252925299444</f>
        <v>-1194.9152013683868</v>
      </c>
      <c r="H1398">
        <f>-669.057893021224 -29.2588315636556 -611.389489803336</f>
        <v>-1309.7062143882156</v>
      </c>
      <c r="I1398">
        <f>-643.866915541843 -14.7937662516299 -689.243142685082</f>
        <v>-1347.903824478555</v>
      </c>
      <c r="J1398">
        <f>-673.480070065521 -6.69837515696599 -554.426429446674</f>
        <v>-1234.6048746691608</v>
      </c>
      <c r="K1398" t="s">
        <v>15487</v>
      </c>
      <c r="L1398" t="s">
        <v>15488</v>
      </c>
      <c r="M1398" t="s">
        <v>15489</v>
      </c>
      <c r="N1398">
        <f>-663.644000827005 -61.0361051750649 -559.099754567795</f>
        <v>-1283.7798605698649</v>
      </c>
      <c r="O1398">
        <f>-639.317948806341 -195.394321456338 -543.261870522222</f>
        <v>-1377.974140784901</v>
      </c>
      <c r="P1398">
        <f>-576.444419017464 -317.926383495479 -283.215624647025</f>
        <v>-1177.586427159968</v>
      </c>
      <c r="Q1398">
        <f>-450.321848362009 -164.425980246883 -419.530037567787</f>
        <v>-1034.277866176679</v>
      </c>
      <c r="R1398" t="s">
        <v>15490</v>
      </c>
      <c r="S1398" t="s">
        <v>15491</v>
      </c>
      <c r="T1398" t="s">
        <v>15492</v>
      </c>
      <c r="U1398" t="s">
        <v>15493</v>
      </c>
      <c r="V1398">
        <f>-592.877034981389 -127.903730937333 -97.5871481461819</f>
        <v>-818.36791406490386</v>
      </c>
      <c r="W1398" t="s">
        <v>15494</v>
      </c>
      <c r="X1398" t="s">
        <v>15495</v>
      </c>
      <c r="Y1398" t="s">
        <v>15496</v>
      </c>
    </row>
    <row r="1399" spans="1:25" x14ac:dyDescent="0.3">
      <c r="A1399">
        <v>69900</v>
      </c>
      <c r="B1399" t="s">
        <v>15497</v>
      </c>
      <c r="C1399">
        <f>-619.782953417381 -35.8951256024509 -99.2292421385771</f>
        <v>-754.90732115840899</v>
      </c>
      <c r="D1399">
        <f>-644.9520608892 -46.5268160201842 -211.789021166336</f>
        <v>-903.26789807572027</v>
      </c>
      <c r="E1399">
        <f>-657.123056629965 -47.5412166233572 -309.653752721935</f>
        <v>-1014.3180259752572</v>
      </c>
      <c r="F1399">
        <f>-664.805008691067 -45.4721938064034 -398.39471569997</f>
        <v>-1108.6719181974404</v>
      </c>
      <c r="G1399">
        <f>-668.751676105352 -40.4125473447202 -487.260033117687</f>
        <v>-1196.4242565677591</v>
      </c>
      <c r="H1399">
        <f>-670.28949870457 -30.2808525332273 -611.420349217108</f>
        <v>-1311.9907004549052</v>
      </c>
      <c r="I1399">
        <f>-644.910073765455 -16.1189988142571 -689.268786334424</f>
        <v>-1350.2978589141362</v>
      </c>
      <c r="J1399">
        <f>-674.494611937552 -7.55893433342681 -554.505103051146</f>
        <v>-1236.5586493221249</v>
      </c>
      <c r="K1399" t="s">
        <v>15498</v>
      </c>
      <c r="L1399" t="s">
        <v>15499</v>
      </c>
      <c r="M1399" t="s">
        <v>15500</v>
      </c>
      <c r="N1399">
        <f>-664.730961234576 -61.9195077423661 -559.061955915989</f>
        <v>-1285.712424892931</v>
      </c>
      <c r="O1399">
        <f>-640.656800877195 -196.311463615104 -543.032640928745</f>
        <v>-1380.0009054210441</v>
      </c>
      <c r="P1399">
        <f>-579.631020966727 -318.209757349803 -282.249544030788</f>
        <v>-1180.0903223473179</v>
      </c>
      <c r="Q1399">
        <f>-453.23204704508 -169.140411412855 -423.14840273841</f>
        <v>-1045.5208611963449</v>
      </c>
      <c r="R1399" t="s">
        <v>15501</v>
      </c>
      <c r="S1399" t="s">
        <v>15502</v>
      </c>
      <c r="T1399" t="s">
        <v>15503</v>
      </c>
      <c r="U1399" t="s">
        <v>15504</v>
      </c>
      <c r="V1399">
        <f>-593.132930307862 -127.933447876842 -97.6134023336462</f>
        <v>-818.6797805183503</v>
      </c>
      <c r="W1399" t="s">
        <v>15505</v>
      </c>
      <c r="X1399" t="s">
        <v>15506</v>
      </c>
      <c r="Y1399" t="s">
        <v>15507</v>
      </c>
    </row>
    <row r="1400" spans="1:25" x14ac:dyDescent="0.3">
      <c r="A1400">
        <v>69950</v>
      </c>
      <c r="B1400" t="s">
        <v>15508</v>
      </c>
      <c r="C1400">
        <f>-620.064112234153 -35.9127010532902 -99.2137959976014</f>
        <v>-755.19060928504462</v>
      </c>
      <c r="D1400">
        <f>-645.315146339024 -46.5502084164066 -211.75474784111</f>
        <v>-903.62010259654051</v>
      </c>
      <c r="E1400">
        <f>-657.63583492209 -47.7029758904396 -309.599019344524</f>
        <v>-1014.9378301570536</v>
      </c>
      <c r="F1400">
        <f>-665.487142266161 -45.811397633048 -398.329121909938</f>
        <v>-1109.627661809147</v>
      </c>
      <c r="G1400">
        <f>-669.638028056503 -40.9812996181154 -487.197949741172</f>
        <v>-1197.8172774157904</v>
      </c>
      <c r="H1400">
        <f>-671.498433883556 -31.2240571004179 -611.383915072773</f>
        <v>-1314.1064060567469</v>
      </c>
      <c r="I1400">
        <f>-645.905765696269 -17.3554406545886 -689.215172963141</f>
        <v>-1352.4763793139987</v>
      </c>
      <c r="J1400">
        <f>-675.529797065502 -8.32608040009882 -554.526688792958</f>
        <v>-1238.3825662585587</v>
      </c>
      <c r="K1400" t="s">
        <v>15509</v>
      </c>
      <c r="L1400" t="s">
        <v>15510</v>
      </c>
      <c r="M1400" t="s">
        <v>15511</v>
      </c>
      <c r="N1400">
        <f>-665.829741525705 -62.7094754351708 -558.945019091267</f>
        <v>-1287.4842360521429</v>
      </c>
      <c r="O1400">
        <f>-641.826776520773 -197.06889548019 -542.564694699823</f>
        <v>-1381.4603667007859</v>
      </c>
      <c r="P1400">
        <f>-583.295207484154 -315.889445279534 -279.796841419616</f>
        <v>-1178.981494183304</v>
      </c>
      <c r="Q1400">
        <f>-454.730067095293 -170.139593304232 -422.200636486242</f>
        <v>-1047.070296885767</v>
      </c>
      <c r="R1400" t="s">
        <v>15512</v>
      </c>
      <c r="S1400" t="s">
        <v>15513</v>
      </c>
      <c r="T1400" t="s">
        <v>15514</v>
      </c>
      <c r="U1400" t="s">
        <v>15515</v>
      </c>
      <c r="V1400">
        <f>-593.39867392584 -127.875167845389 -97.6225225180274</f>
        <v>-818.89636428925633</v>
      </c>
      <c r="W1400" t="s">
        <v>15516</v>
      </c>
      <c r="X1400" t="s">
        <v>15517</v>
      </c>
      <c r="Y1400" t="s">
        <v>15518</v>
      </c>
    </row>
    <row r="1401" spans="1:25" x14ac:dyDescent="0.3">
      <c r="A1401">
        <v>70000</v>
      </c>
      <c r="B1401" t="s">
        <v>15519</v>
      </c>
      <c r="C1401">
        <f>-620.324824838876 -36.0213528294187 -99.1915871340228</f>
        <v>-755.5377648023175</v>
      </c>
      <c r="D1401">
        <f>-645.653468246205 -46.6982806290091 -211.71120959875</f>
        <v>-904.06295847396404</v>
      </c>
      <c r="E1401">
        <f>-658.064660310337 -47.9501728243285 -309.543056688014</f>
        <v>-1015.5578898226795</v>
      </c>
      <c r="F1401">
        <f>-666.00817535804 -46.1740938249388 -398.267239876996</f>
        <v>-1110.4495090599748</v>
      </c>
      <c r="G1401">
        <f>-670.261965456951 -41.4852818109334 -487.138797366147</f>
        <v>-1198.8860446340314</v>
      </c>
      <c r="H1401">
        <f>-672.277584419987 -31.9520724947122 -611.339772426725</f>
        <v>-1315.569429341424</v>
      </c>
      <c r="I1401">
        <f>-646.413845830186 -18.3216857625994 -689.123492570361</f>
        <v>-1353.8590241631464</v>
      </c>
      <c r="J1401">
        <f>-676.216626781269 -8.94766972563662 -554.519037631412</f>
        <v>-1239.6833341383176</v>
      </c>
      <c r="K1401" t="s">
        <v>15520</v>
      </c>
      <c r="L1401" t="s">
        <v>15521</v>
      </c>
      <c r="M1401" t="s">
        <v>15522</v>
      </c>
      <c r="N1401">
        <f>-666.564599154932 -63.3465105289609 -558.851129831536</f>
        <v>-1288.762239515429</v>
      </c>
      <c r="O1401">
        <f>-642.570823355667 -197.668229431486 -542.113658281167</f>
        <v>-1382.3527110683199</v>
      </c>
      <c r="P1401">
        <f>-586.9600871348 -311.52888510065 -276.530589478852</f>
        <v>-1175.019561714302</v>
      </c>
      <c r="Q1401">
        <f>-454.691609652328 -168.152642896837 -417.94897624761</f>
        <v>-1040.7932287967751</v>
      </c>
      <c r="R1401" t="s">
        <v>15523</v>
      </c>
      <c r="S1401" t="s">
        <v>15524</v>
      </c>
      <c r="T1401" t="s">
        <v>15525</v>
      </c>
      <c r="U1401" t="s">
        <v>15526</v>
      </c>
      <c r="V1401">
        <f>-593.675986516998 -128.041766235811 -97.5954477477815</f>
        <v>-819.31320050059048</v>
      </c>
      <c r="W1401" t="s">
        <v>15527</v>
      </c>
      <c r="X1401" t="s">
        <v>15528</v>
      </c>
      <c r="Y1401" t="s">
        <v>15529</v>
      </c>
    </row>
    <row r="1402" spans="1:25" x14ac:dyDescent="0.3">
      <c r="A1402">
        <v>70050</v>
      </c>
      <c r="B1402" t="s">
        <v>15530</v>
      </c>
      <c r="C1402">
        <f>-620.474952329445 -35.9461980197038 -99.1893978136367</f>
        <v>-755.61054816278556</v>
      </c>
      <c r="D1402">
        <f>-645.824979842012 -46.6335742579384 -211.70325293006</f>
        <v>-904.16180703001044</v>
      </c>
      <c r="E1402">
        <f>-658.266840870707 -47.9249630943577 -309.530620546299</f>
        <v>-1015.7224245113638</v>
      </c>
      <c r="F1402">
        <f>-666.243527295369 -46.1963358944837 -398.252852785445</f>
        <v>-1110.6927159752977</v>
      </c>
      <c r="G1402">
        <f>-670.536262876596 -41.5666721463774 -487.125637461411</f>
        <v>-1199.2285724843844</v>
      </c>
      <c r="H1402">
        <f>-672.612409770673 -32.128486712807 -611.33292972529</f>
        <v>-1316.07382620877</v>
      </c>
      <c r="I1402">
        <f>-646.61314230278 -18.6244938295774 -689.093375074725</f>
        <v>-1354.3310112070826</v>
      </c>
      <c r="J1402">
        <f>-676.519605482416 -9.07987839423276 -554.527704632227</f>
        <v>-1240.1271885088759</v>
      </c>
      <c r="K1402" t="s">
        <v>15531</v>
      </c>
      <c r="L1402" t="s">
        <v>15532</v>
      </c>
      <c r="M1402" t="s">
        <v>15533</v>
      </c>
      <c r="N1402">
        <f>-666.877950245313 -63.4835886019761 -558.823027718238</f>
        <v>-1289.1845665655269</v>
      </c>
      <c r="O1402">
        <f>-642.809453247373 -197.761663375151 -541.891787808485</f>
        <v>-1382.4629044310091</v>
      </c>
      <c r="P1402">
        <f>-588.799292126741 -309.270434180724 -274.983806982425</f>
        <v>-1173.0535332898899</v>
      </c>
      <c r="Q1402">
        <f>-454.742652120202 -166.895563111181 -415.728525653076</f>
        <v>-1037.366740884459</v>
      </c>
      <c r="R1402" t="s">
        <v>15534</v>
      </c>
      <c r="S1402" t="s">
        <v>15535</v>
      </c>
      <c r="T1402" t="s">
        <v>15536</v>
      </c>
      <c r="U1402" t="s">
        <v>15537</v>
      </c>
      <c r="V1402">
        <f>-593.843411654277 -127.898476554423 -97.5896133527075</f>
        <v>-819.33150156140755</v>
      </c>
      <c r="W1402" t="s">
        <v>15538</v>
      </c>
      <c r="X1402" t="s">
        <v>15539</v>
      </c>
      <c r="Y1402" t="s">
        <v>15540</v>
      </c>
    </row>
    <row r="1403" spans="1:25" x14ac:dyDescent="0.3">
      <c r="A1403">
        <v>70100</v>
      </c>
      <c r="B1403" t="s">
        <v>15541</v>
      </c>
      <c r="C1403">
        <f>-620.883790659882 -35.9125136893238 -99.1874804170485</f>
        <v>-755.9837847662543</v>
      </c>
      <c r="D1403">
        <f>-646.277079775165 -46.6065166168129 -211.690926140834</f>
        <v>-904.5745225328119</v>
      </c>
      <c r="E1403">
        <f>-658.79096783201 -47.9438267613029 -309.508546855693</f>
        <v>-1016.2433414490059</v>
      </c>
      <c r="F1403">
        <f>-666.847955007029 -46.2720454225705 -398.224508374885</f>
        <v>-1111.3445088044846</v>
      </c>
      <c r="G1403">
        <f>-671.236669495093 -41.71360538831 -487.096476922384</f>
        <v>-1200.0467518057872</v>
      </c>
      <c r="H1403">
        <f>-673.463913616724 -32.3893808093235 -611.309513909476</f>
        <v>-1317.1628083355236</v>
      </c>
      <c r="I1403">
        <f>-647.307841430051 -19.1459370904563 -689.062357860679</f>
        <v>-1355.5161363811862</v>
      </c>
      <c r="J1403">
        <f>-677.315431395941 -9.2910542087177 -554.520888001906</f>
        <v>-1241.1273736065646</v>
      </c>
      <c r="K1403" t="s">
        <v>15542</v>
      </c>
      <c r="L1403" t="s">
        <v>15543</v>
      </c>
      <c r="M1403" t="s">
        <v>15544</v>
      </c>
      <c r="N1403">
        <f>-667.652106506486 -63.693908799674 -558.778135558248</f>
        <v>-1290.124150864408</v>
      </c>
      <c r="O1403">
        <f>-643.383638679574 -197.919454406032 -541.6342619426</f>
        <v>-1382.937355028206</v>
      </c>
      <c r="P1403">
        <f>-592.498842190408 -305.297270611799 -272.4279995653</f>
        <v>-1170.2241123675071</v>
      </c>
      <c r="Q1403">
        <f>-455.26282572441 -164.286685061643 -411.471672818834</f>
        <v>-1031.021183604887</v>
      </c>
      <c r="R1403" t="s">
        <v>15545</v>
      </c>
      <c r="S1403" t="s">
        <v>15546</v>
      </c>
      <c r="T1403" t="s">
        <v>15547</v>
      </c>
      <c r="U1403" t="s">
        <v>15548</v>
      </c>
      <c r="V1403">
        <f>-594.274743309904 -127.883169623593 -97.5848119050374</f>
        <v>-819.74272483853451</v>
      </c>
      <c r="W1403" t="s">
        <v>15549</v>
      </c>
      <c r="X1403" t="s">
        <v>15550</v>
      </c>
      <c r="Y1403" t="s">
        <v>15551</v>
      </c>
    </row>
    <row r="1404" spans="1:25" x14ac:dyDescent="0.3">
      <c r="A1404">
        <v>70150</v>
      </c>
      <c r="B1404" t="s">
        <v>15552</v>
      </c>
      <c r="C1404">
        <f>-621.149438170796 -35.8292117855567 -99.1849355923033</f>
        <v>-756.16358554865599</v>
      </c>
      <c r="D1404">
        <f>-646.570585657546 -46.5103570771033 -211.683384327644</f>
        <v>-904.76432706229332</v>
      </c>
      <c r="E1404">
        <f>-659.12412727373 -47.8608381754221 -309.495632482002</f>
        <v>-1016.4805979311541</v>
      </c>
      <c r="F1404">
        <f>-667.224222635329 -46.2100270153588 -398.208109592018</f>
        <v>-1111.6423592427059</v>
      </c>
      <c r="G1404">
        <f>-671.663688858117 -41.6813884641608 -487.078921220843</f>
        <v>-1200.4239985431209</v>
      </c>
      <c r="H1404">
        <f>-673.970232528529 -32.4069171378894 -611.29432611864</f>
        <v>-1317.6714757850584</v>
      </c>
      <c r="I1404">
        <f>-647.746054375262 -19.2933261589849 -689.046379869203</f>
        <v>-1356.08576040345</v>
      </c>
      <c r="J1404">
        <f>-677.800521257977 -9.28851813792562 -554.512552351585</f>
        <v>-1241.6015917474876</v>
      </c>
      <c r="K1404" t="s">
        <v>15553</v>
      </c>
      <c r="L1404" t="s">
        <v>15554</v>
      </c>
      <c r="M1404" t="s">
        <v>15555</v>
      </c>
      <c r="N1404">
        <f>-668.110013655537 -63.6877610576657 -558.754099089407</f>
        <v>-1290.5518738026099</v>
      </c>
      <c r="O1404">
        <f>-643.708017077784 -197.869797193349 -541.507212230136</f>
        <v>-1383.0850265012691</v>
      </c>
      <c r="P1404">
        <f>-593.963682672805 -303.472691269316 -271.387459448592</f>
        <v>-1168.8238333907129</v>
      </c>
      <c r="Q1404">
        <f>-455.308764995132 -163.255348402349 -409.824295261163</f>
        <v>-1028.388408658644</v>
      </c>
      <c r="R1404" t="s">
        <v>15556</v>
      </c>
      <c r="S1404" t="s">
        <v>15557</v>
      </c>
      <c r="T1404" t="s">
        <v>15558</v>
      </c>
      <c r="U1404" t="s">
        <v>15559</v>
      </c>
      <c r="V1404">
        <f>-594.522273212501 -127.814104951836 -97.6032622986336</f>
        <v>-819.9396404629706</v>
      </c>
      <c r="W1404" t="s">
        <v>15560</v>
      </c>
      <c r="X1404" t="s">
        <v>15561</v>
      </c>
      <c r="Y1404" t="s">
        <v>15562</v>
      </c>
    </row>
    <row r="1405" spans="1:25" x14ac:dyDescent="0.3">
      <c r="A1405">
        <v>70200</v>
      </c>
      <c r="B1405" t="s">
        <v>15563</v>
      </c>
      <c r="C1405">
        <f>-621.587057127476 -35.88347210088 -99.170763110031</f>
        <v>-756.64129233838696</v>
      </c>
      <c r="D1405">
        <f>-647.081719737895 -46.5568628162939 -211.65327024235</f>
        <v>-905.29185279653893</v>
      </c>
      <c r="E1405">
        <f>-659.674108719269 -47.9259071446321 -309.460286731582</f>
        <v>-1017.0603025954831</v>
      </c>
      <c r="F1405">
        <f>-667.801087907124 -46.3008042051349 -398.170830316172</f>
        <v>-1112.2727224284308</v>
      </c>
      <c r="G1405">
        <f>-672.260173582012 -41.8057723966901 -487.042457419952</f>
        <v>-1201.1084033986542</v>
      </c>
      <c r="H1405">
        <f>-674.587452624485 -32.5857211155276 -611.261551773496</f>
        <v>-1318.4347255135085</v>
      </c>
      <c r="I1405">
        <f>-648.17795073325 -19.6957571525843 -688.988108654452</f>
        <v>-1356.8618165402863</v>
      </c>
      <c r="J1405">
        <f>-678.450705780016 -9.45008331299073 -554.488943658754</f>
        <v>-1242.3897327517607</v>
      </c>
      <c r="K1405" t="s">
        <v>15564</v>
      </c>
      <c r="L1405" t="s">
        <v>15565</v>
      </c>
      <c r="M1405" t="s">
        <v>15566</v>
      </c>
      <c r="N1405">
        <f>-668.675990222626 -63.8358780685045 -558.708713993097</f>
        <v>-1291.2205822842275</v>
      </c>
      <c r="O1405">
        <f>-643.986538152465 -197.954859407742 -541.302601588002</f>
        <v>-1383.2439991482088</v>
      </c>
      <c r="P1405">
        <f>-595.921188576248 -301.198714585297 -269.96948880062</f>
        <v>-1167.0893919621651</v>
      </c>
      <c r="Q1405">
        <f>-455.173521931038 -162.666162493177 -407.990160498686</f>
        <v>-1025.829844922901</v>
      </c>
      <c r="R1405" t="s">
        <v>15567</v>
      </c>
      <c r="S1405" t="s">
        <v>15568</v>
      </c>
      <c r="T1405" t="s">
        <v>15569</v>
      </c>
      <c r="U1405" t="s">
        <v>15570</v>
      </c>
      <c r="V1405">
        <f>-594.938882217856 -127.909144091906 -97.6192515636171</f>
        <v>-820.46727787337909</v>
      </c>
      <c r="W1405" t="s">
        <v>15571</v>
      </c>
      <c r="X1405" t="s">
        <v>15572</v>
      </c>
      <c r="Y1405" t="s">
        <v>15573</v>
      </c>
    </row>
    <row r="1406" spans="1:25" x14ac:dyDescent="0.3">
      <c r="A1406">
        <v>70250</v>
      </c>
      <c r="B1406" t="s">
        <v>15574</v>
      </c>
      <c r="C1406">
        <f>-621.860238814537 -35.7865485432505 -99.1712199049401</f>
        <v>-756.81800726272763</v>
      </c>
      <c r="D1406">
        <f>-647.368190267152 -46.442071934427 -211.652415970814</f>
        <v>-905.462678172393</v>
      </c>
      <c r="E1406">
        <f>-659.955864123052 -47.7900988228507 -309.460354662634</f>
        <v>-1017.2063176085368</v>
      </c>
      <c r="F1406">
        <f>-668.072780504965 -46.1429689694521 -398.17142104872</f>
        <v>-1112.387170523137</v>
      </c>
      <c r="G1406">
        <f>-672.516739465241 -41.6220665450635 -487.042375558864</f>
        <v>-1201.1811815691685</v>
      </c>
      <c r="H1406">
        <f>-674.817786447322 -32.3611621846667 -611.258985317747</f>
        <v>-1318.4379339497357</v>
      </c>
      <c r="I1406">
        <f>-648.297528991037 -19.5539957613933 -688.961366415219</f>
        <v>-1356.8128911676492</v>
      </c>
      <c r="J1406">
        <f>-678.72029303493 -9.24916622211276 -554.479419013751</f>
        <v>-1242.4488782707938</v>
      </c>
      <c r="K1406" t="s">
        <v>15575</v>
      </c>
      <c r="L1406" t="s">
        <v>15576</v>
      </c>
      <c r="M1406" t="s">
        <v>15577</v>
      </c>
      <c r="N1406">
        <f>-668.890208528858 -63.6238183451544 -558.715324744816</f>
        <v>-1291.2293516188283</v>
      </c>
      <c r="O1406">
        <f>-644.093511379358 -197.717912618952 -541.28656526077</f>
        <v>-1383.0979892590799</v>
      </c>
      <c r="P1406">
        <f>-596.607990740865 -300.040540999453 -269.502755435772</f>
        <v>-1166.1512871760901</v>
      </c>
      <c r="Q1406">
        <f>-455.191049786424 -162.287531236725 -407.61954093923</f>
        <v>-1025.0981219623791</v>
      </c>
      <c r="R1406" t="s">
        <v>15578</v>
      </c>
      <c r="S1406" t="s">
        <v>15579</v>
      </c>
      <c r="T1406" t="s">
        <v>15580</v>
      </c>
      <c r="U1406" t="s">
        <v>15581</v>
      </c>
      <c r="V1406">
        <f>-595.185635656878 -127.862176286138 -97.6221613729572</f>
        <v>-820.66997331597327</v>
      </c>
      <c r="W1406" t="s">
        <v>15582</v>
      </c>
      <c r="X1406" t="s">
        <v>15583</v>
      </c>
      <c r="Y1406" t="s">
        <v>15584</v>
      </c>
    </row>
    <row r="1407" spans="1:25" x14ac:dyDescent="0.3">
      <c r="A1407">
        <v>70300</v>
      </c>
      <c r="B1407" t="s">
        <v>15585</v>
      </c>
      <c r="C1407">
        <f>-622.392175544543 -35.6840524195507 -99.1856801630192</f>
        <v>-757.26190812711286</v>
      </c>
      <c r="D1407">
        <f>-647.801480677667 -46.3446537054273 -211.688892930586</f>
        <v>-905.83502731368026</v>
      </c>
      <c r="E1407">
        <f>-660.272989231434 -47.670063566261 -309.511828256159</f>
        <v>-1017.454881053854</v>
      </c>
      <c r="F1407">
        <f>-668.272794487972 -45.9917847912251 -398.233000999096</f>
        <v>-1112.4975802782931</v>
      </c>
      <c r="G1407">
        <f>-672.588265704543 -41.4274625485773 -487.108161170428</f>
        <v>-1201.1238894235482</v>
      </c>
      <c r="H1407">
        <f>-674.698439198949 -32.0928736383266 -611.322487382733</f>
        <v>-1318.1138002200087</v>
      </c>
      <c r="I1407">
        <f>-647.914993423085 -19.4341779109909 -688.959086638453</f>
        <v>-1356.3082579725287</v>
      </c>
      <c r="J1407">
        <f>-678.753538536226 -9.02632307252406 -554.535135694534</f>
        <v>-1242.3149973032841</v>
      </c>
      <c r="K1407" t="s">
        <v>15586</v>
      </c>
      <c r="L1407" t="s">
        <v>15587</v>
      </c>
      <c r="M1407" t="s">
        <v>15588</v>
      </c>
      <c r="N1407">
        <f>-668.78622927381 -63.3746009472004 -558.788576187175</f>
        <v>-1290.9494064081855</v>
      </c>
      <c r="O1407">
        <f>-643.75038366718 -197.408090426503 -541.312349676423</f>
        <v>-1382.4708237701061</v>
      </c>
      <c r="P1407">
        <f>-597.071287702069 -298.822005101023 -269.048848727783</f>
        <v>-1164.942141530875</v>
      </c>
      <c r="Q1407">
        <f>-454.99635128557 -162.164943677929 -407.578265096024</f>
        <v>-1024.7395600595228</v>
      </c>
      <c r="R1407" t="s">
        <v>15589</v>
      </c>
      <c r="S1407" t="s">
        <v>15590</v>
      </c>
      <c r="T1407" t="s">
        <v>15591</v>
      </c>
      <c r="U1407" t="s">
        <v>15592</v>
      </c>
      <c r="V1407">
        <f>-595.598407352933 -127.780739004294 -97.6426539925768</f>
        <v>-821.02180034980381</v>
      </c>
      <c r="W1407" t="s">
        <v>15593</v>
      </c>
      <c r="X1407" t="s">
        <v>15594</v>
      </c>
      <c r="Y1407" t="s">
        <v>15595</v>
      </c>
    </row>
    <row r="1408" spans="1:25" x14ac:dyDescent="0.3">
      <c r="A1408">
        <v>70350</v>
      </c>
      <c r="B1408" t="s">
        <v>15596</v>
      </c>
      <c r="C1408">
        <f>-622.671741615807 -35.6748874621535 -99.1887809181098</f>
        <v>-757.53540999607037</v>
      </c>
      <c r="D1408">
        <f>-648.017061857493 -46.3294832661456 -211.706899652289</f>
        <v>-906.05344477592757</v>
      </c>
      <c r="E1408">
        <f>-660.394635871344 -47.6560916066754 -309.541885069502</f>
        <v>-1017.5926125475214</v>
      </c>
      <c r="F1408">
        <f>-668.294521249828 -45.981486547493 -398.271957729364</f>
        <v>-1112.5479655266849</v>
      </c>
      <c r="G1408">
        <f>-672.495649112439 -41.4229804695608 -487.152804072959</f>
        <v>-1201.0714336549588</v>
      </c>
      <c r="H1408">
        <f>-674.431510180172 -32.0983310711706 -611.370901468525</f>
        <v>-1317.9007427198676</v>
      </c>
      <c r="I1408">
        <f>-647.484706848657 -19.4872554707085 -688.958653163418</f>
        <v>-1355.9306154827837</v>
      </c>
      <c r="J1408">
        <f>-678.603033204873 -9.03419399132554 -554.591029939603</f>
        <v>-1242.2282571358014</v>
      </c>
      <c r="K1408" t="s">
        <v>15597</v>
      </c>
      <c r="L1408" t="s">
        <v>15598</v>
      </c>
      <c r="M1408" t="s">
        <v>15599</v>
      </c>
      <c r="N1408">
        <f>-668.556345259202 -63.3690853915078 -558.826311391983</f>
        <v>-1290.751742042693</v>
      </c>
      <c r="O1408">
        <f>-643.349756834189 -197.363368457576 -541.300927021774</f>
        <v>-1382.014052313539</v>
      </c>
      <c r="P1408">
        <f>-596.912455522932 -298.565255868834 -268.917225852758</f>
        <v>-1164.394937244524</v>
      </c>
      <c r="Q1408">
        <f>-454.475076899493 -162.426350892459 -407.584722217498</f>
        <v>-1024.4861500094498</v>
      </c>
      <c r="R1408" t="s">
        <v>15600</v>
      </c>
      <c r="S1408" t="s">
        <v>15601</v>
      </c>
      <c r="T1408" t="s">
        <v>15602</v>
      </c>
      <c r="U1408" t="s">
        <v>15603</v>
      </c>
      <c r="V1408">
        <f>-595.822829726427 -127.729180532729 -97.6577579302017</f>
        <v>-821.20976818935776</v>
      </c>
      <c r="W1408" t="s">
        <v>15604</v>
      </c>
      <c r="X1408" t="s">
        <v>15605</v>
      </c>
      <c r="Y1408" t="s">
        <v>15606</v>
      </c>
    </row>
    <row r="1409" spans="1:25" x14ac:dyDescent="0.3">
      <c r="A1409">
        <v>70400</v>
      </c>
      <c r="B1409" t="s">
        <v>15607</v>
      </c>
      <c r="C1409">
        <f>-623.291374395923 -35.5614601464515 -99.2124174668603</f>
        <v>-758.06525200923477</v>
      </c>
      <c r="D1409">
        <f>-648.53349887315 -46.1916274590849 -211.755997991964</f>
        <v>-906.48112432419896</v>
      </c>
      <c r="E1409">
        <f>-660.709233417807 -47.5995486182094 -309.615233597269</f>
        <v>-1017.9240156332854</v>
      </c>
      <c r="F1409">
        <f>-668.384149473563 -46.0396043536542 -398.367229119938</f>
        <v>-1112.790982947155</v>
      </c>
      <c r="G1409">
        <f>-672.319669121889 -41.6359144839137 -487.267994444523</f>
        <v>-1201.2235780503256</v>
      </c>
      <c r="H1409">
        <f>-673.843547088108 -32.5690802289039 -611.510932533254</f>
        <v>-1317.923559850266</v>
      </c>
      <c r="I1409">
        <f>-646.535084572772 -20.0520885501599 -688.987332266254</f>
        <v>-1355.574505389186</v>
      </c>
      <c r="J1409">
        <f>-678.269200909312 -9.39942012773372 -554.793300724215</f>
        <v>-1242.4619217612608</v>
      </c>
      <c r="K1409" t="s">
        <v>15608</v>
      </c>
      <c r="L1409" t="s">
        <v>15609</v>
      </c>
      <c r="M1409" t="s">
        <v>15610</v>
      </c>
      <c r="N1409">
        <f>-668.076729531987 -63.7185217029981 -558.882190495065</f>
        <v>-1290.6774417300501</v>
      </c>
      <c r="O1409">
        <f>-642.595597659421 -197.623216733735 -541.076817787737</f>
        <v>-1381.2956321808929</v>
      </c>
      <c r="P1409">
        <f>-595.724908768501 -298.785579126403 -268.752599459677</f>
        <v>-1163.2630873545809</v>
      </c>
      <c r="Q1409">
        <f>-453.001824898817 -163.575287673213 -408.033465826929</f>
        <v>-1024.610578398959</v>
      </c>
      <c r="R1409" t="s">
        <v>15611</v>
      </c>
      <c r="S1409" t="s">
        <v>15612</v>
      </c>
      <c r="T1409" t="s">
        <v>15613</v>
      </c>
      <c r="U1409" t="s">
        <v>15614</v>
      </c>
      <c r="V1409">
        <f>-596.423286634572 -127.653899337814 -97.6882808982629</f>
        <v>-821.76546687064888</v>
      </c>
      <c r="W1409" t="s">
        <v>15615</v>
      </c>
      <c r="X1409" t="s">
        <v>15616</v>
      </c>
      <c r="Y1409" t="s">
        <v>15617</v>
      </c>
    </row>
    <row r="1410" spans="1:25" x14ac:dyDescent="0.3">
      <c r="A1410">
        <v>70450</v>
      </c>
      <c r="B1410" t="s">
        <v>15618</v>
      </c>
      <c r="C1410">
        <f>-623.649941713493 -35.3647843145898 -99.2336464615412</f>
        <v>-758.24837248962399</v>
      </c>
      <c r="D1410">
        <f>-648.816745683924 -45.9851991430189 -211.79500305296</f>
        <v>-906.59694787990293</v>
      </c>
      <c r="E1410">
        <f>-660.874441150404 -47.4778477516666 -309.667535518909</f>
        <v>-1018.0198244209796</v>
      </c>
      <c r="F1410">
        <f>-668.423375762104 -46.0317098958885 -398.432273365444</f>
        <v>-1112.8873590234366</v>
      </c>
      <c r="G1410">
        <f>-672.215150768546 -41.7783319032865 -487.346732336606</f>
        <v>-1201.3402150084385</v>
      </c>
      <c r="H1410">
        <f>-673.520395499234 -32.9597311600753 -611.6099438021</f>
        <v>-1318.0900704614094</v>
      </c>
      <c r="I1410">
        <f>-646.042549497587 -20.5178542492542 -689.038501504268</f>
        <v>-1355.598905251109</v>
      </c>
      <c r="J1410">
        <f>-678.067956042146 -9.68095058613653 -554.946552931159</f>
        <v>-1242.6954595594416</v>
      </c>
      <c r="K1410" t="s">
        <v>15619</v>
      </c>
      <c r="L1410" t="s">
        <v>15620</v>
      </c>
      <c r="M1410" t="s">
        <v>15621</v>
      </c>
      <c r="N1410">
        <f>-667.824086157941 -63.9997942871985 -558.908954771665</f>
        <v>-1290.7328352168045</v>
      </c>
      <c r="O1410">
        <f>-642.263291438684 -197.86264261324 -540.887705528357</f>
        <v>-1381.0136395802811</v>
      </c>
      <c r="P1410">
        <f>-594.528332570161 -299.237013327637 -268.792431699451</f>
        <v>-1162.557777597249</v>
      </c>
      <c r="Q1410">
        <f>-451.927963980267 -164.628493798735 -408.78007559387</f>
        <v>-1025.3365333728721</v>
      </c>
      <c r="R1410" t="s">
        <v>15622</v>
      </c>
      <c r="S1410" t="s">
        <v>15623</v>
      </c>
      <c r="T1410" t="s">
        <v>15624</v>
      </c>
      <c r="U1410" t="s">
        <v>15625</v>
      </c>
      <c r="V1410">
        <f>-596.817318313107 -127.369362733217 -97.6876287694739</f>
        <v>-821.87430981579791</v>
      </c>
      <c r="W1410" t="s">
        <v>15626</v>
      </c>
      <c r="X1410" t="s">
        <v>15627</v>
      </c>
      <c r="Y1410" t="s">
        <v>15628</v>
      </c>
    </row>
    <row r="1411" spans="1:25" x14ac:dyDescent="0.3">
      <c r="A1411">
        <v>70500</v>
      </c>
      <c r="B1411" t="s">
        <v>15629</v>
      </c>
      <c r="C1411">
        <f>-624.515244229924 -35.0615180125583 -99.2529054551692</f>
        <v>-758.82966769765142</v>
      </c>
      <c r="D1411">
        <f>-649.495905006416 -45.6679100523811 -211.856968848686</f>
        <v>-907.02078390748306</v>
      </c>
      <c r="E1411">
        <f>-661.295349508454 -47.3518455579892 -309.757925196624</f>
        <v>-1018.4051202630673</v>
      </c>
      <c r="F1411">
        <f>-668.574857985701 -46.1604127066859 -398.548951788052</f>
        <v>-1113.284222480439</v>
      </c>
      <c r="G1411">
        <f>-672.063486647173 -42.2435003316932 -487.491203256871</f>
        <v>-1201.7981902357374</v>
      </c>
      <c r="H1411">
        <f>-672.911904376441 -33.9805148950495 -611.796522471212</f>
        <v>-1318.6889417427026</v>
      </c>
      <c r="I1411">
        <f>-645.160118893246 -21.6836713405091 -689.150594330011</f>
        <v>-1355.9943845637663</v>
      </c>
      <c r="J1411">
        <f>-677.685905818983 -10.4521568137716 -555.255081445593</f>
        <v>-1243.3931440783476</v>
      </c>
      <c r="K1411" t="s">
        <v>15630</v>
      </c>
      <c r="L1411" t="s">
        <v>15631</v>
      </c>
      <c r="M1411" t="s">
        <v>15632</v>
      </c>
      <c r="N1411">
        <f>-667.391264541904 -64.7810326542979 -558.93677398062</f>
        <v>-1291.109071176822</v>
      </c>
      <c r="O1411">
        <f>-641.72164141283 -198.561287434593 -540.411726148565</f>
        <v>-1380.694654995988</v>
      </c>
      <c r="P1411">
        <f>-590.889344380381 -300.841356565624 -269.218007952288</f>
        <v>-1160.948708898293</v>
      </c>
      <c r="Q1411">
        <f>-449.226279596235 -167.408158561156 -411.267472115464</f>
        <v>-1027.9019102728548</v>
      </c>
      <c r="R1411" t="s">
        <v>15633</v>
      </c>
      <c r="S1411" t="s">
        <v>15634</v>
      </c>
      <c r="T1411" t="s">
        <v>15635</v>
      </c>
      <c r="U1411" t="s">
        <v>15636</v>
      </c>
      <c r="V1411">
        <f>-597.667406718775 -127.163810439882 -97.6691737970899</f>
        <v>-822.50039095574698</v>
      </c>
      <c r="W1411" t="s">
        <v>15637</v>
      </c>
      <c r="X1411" t="s">
        <v>15638</v>
      </c>
      <c r="Y1411" t="s">
        <v>15639</v>
      </c>
    </row>
    <row r="1412" spans="1:25" x14ac:dyDescent="0.3">
      <c r="A1412">
        <v>70550</v>
      </c>
      <c r="B1412" t="s">
        <v>15640</v>
      </c>
      <c r="C1412">
        <f>-624.927348208796 -34.8609988718811 -99.2824375154268</f>
        <v>-759.07078459610398</v>
      </c>
      <c r="D1412">
        <f>-649.805442831535 -45.471088265158 -211.90899373432</f>
        <v>-907.18552483101291</v>
      </c>
      <c r="E1412">
        <f>-661.464882563708 -47.2504629753654 -309.824974792638</f>
        <v>-1018.5403203317114</v>
      </c>
      <c r="F1412">
        <f>-668.599176846406 -46.1816366009674 -398.629323099994</f>
        <v>-1113.4101365473673</v>
      </c>
      <c r="G1412">
        <f>-671.925210136385 -42.4236760590554 -487.584616355799</f>
        <v>-1201.9335025512394</v>
      </c>
      <c r="H1412">
        <f>-672.529311937304 -34.4201048096445 -611.908389795727</f>
        <v>-1318.8578065426755</v>
      </c>
      <c r="I1412">
        <f>-644.637657738651 -22.1417799712081 -689.215092120115</f>
        <v>-1355.994529829974</v>
      </c>
      <c r="J1412">
        <f>-677.42622647431 -10.7761258191497 -555.425711754768</f>
        <v>-1243.6280640482278</v>
      </c>
      <c r="K1412" t="s">
        <v>15641</v>
      </c>
      <c r="L1412" t="s">
        <v>15642</v>
      </c>
      <c r="M1412" t="s">
        <v>15643</v>
      </c>
      <c r="N1412">
        <f>-667.100704070605 -65.108084025768 -558.973520106093</f>
        <v>-1291.1823082024662</v>
      </c>
      <c r="O1412">
        <f>-641.401744302814 -198.850970383299 -540.205069847446</f>
        <v>-1380.4577845335589</v>
      </c>
      <c r="P1412">
        <f>-588.551616323966 -301.637465505595 -269.589133160361</f>
        <v>-1159.7782149899219</v>
      </c>
      <c r="Q1412">
        <f>-447.651979520484 -168.713255990616 -412.86969105301</f>
        <v>-1029.2349265641101</v>
      </c>
      <c r="R1412" t="s">
        <v>15644</v>
      </c>
      <c r="S1412" t="s">
        <v>15645</v>
      </c>
      <c r="T1412" t="s">
        <v>15646</v>
      </c>
      <c r="U1412" t="s">
        <v>15647</v>
      </c>
      <c r="V1412">
        <f>-598.090354293713 -126.932396190198 -97.6728122238401</f>
        <v>-822.69556270775104</v>
      </c>
      <c r="W1412" t="s">
        <v>15648</v>
      </c>
      <c r="X1412" t="s">
        <v>15649</v>
      </c>
      <c r="Y1412" t="s">
        <v>15650</v>
      </c>
    </row>
    <row r="1413" spans="1:25" x14ac:dyDescent="0.3">
      <c r="A1413">
        <v>70600</v>
      </c>
      <c r="B1413" t="s">
        <v>15651</v>
      </c>
      <c r="C1413">
        <f>-625.733224570165 -34.3874485728929 -99.3486774309598</f>
        <v>-759.46935057401777</v>
      </c>
      <c r="D1413">
        <f>-650.382432269152 -45.0370451039075 -212.021731584393</f>
        <v>-907.44120895745255</v>
      </c>
      <c r="E1413">
        <f>-661.803921244726 -47.0096691577936 -309.962080386157</f>
        <v>-1018.7756707886766</v>
      </c>
      <c r="F1413">
        <f>-668.710467443762 -46.1786261298474 -398.786909133795</f>
        <v>-1113.6760027074045</v>
      </c>
      <c r="G1413">
        <f>-671.798170650479 -42.7197196856916 -487.763023010823</f>
        <v>-1202.2809133469937</v>
      </c>
      <c r="H1413">
        <f>-672.060350104305 -35.1976553948809 -612.117901250968</f>
        <v>-1319.3759067501539</v>
      </c>
      <c r="I1413">
        <f>-643.901722321428 -22.9142904237383 -689.327024639862</f>
        <v>-1356.1430373850283</v>
      </c>
      <c r="J1413">
        <f>-677.147063744909 -11.3417586264752 -555.741406140442</f>
        <v>-1244.2302285118262</v>
      </c>
      <c r="K1413" t="s">
        <v>15652</v>
      </c>
      <c r="L1413" t="s">
        <v>15653</v>
      </c>
      <c r="M1413" t="s">
        <v>15654</v>
      </c>
      <c r="N1413">
        <f>-666.742979520168 -65.6737576691925 -559.049673401495</f>
        <v>-1291.4664105908555</v>
      </c>
      <c r="O1413">
        <f>-640.908338499721 -199.309327278697 -539.779699493897</f>
        <v>-1379.9973652723152</v>
      </c>
      <c r="P1413">
        <f>-583.784007311095 -302.877566133385 -270.332814188084</f>
        <v>-1156.994387632564</v>
      </c>
      <c r="Q1413">
        <f>-444.452208036218 -171.089652271109 -416.173260389862</f>
        <v>-1031.7151206971889</v>
      </c>
      <c r="R1413" t="s">
        <v>15655</v>
      </c>
      <c r="S1413" t="s">
        <v>15656</v>
      </c>
      <c r="T1413" t="s">
        <v>15657</v>
      </c>
      <c r="U1413" t="s">
        <v>15658</v>
      </c>
      <c r="V1413">
        <f>-598.95429454347 -126.291336529417 -97.6771506796657</f>
        <v>-822.92278175255274</v>
      </c>
      <c r="W1413" t="s">
        <v>15659</v>
      </c>
      <c r="X1413" t="s">
        <v>15660</v>
      </c>
      <c r="Y1413" t="s">
        <v>15661</v>
      </c>
    </row>
    <row r="1414" spans="1:25" x14ac:dyDescent="0.3">
      <c r="A1414">
        <v>70650</v>
      </c>
      <c r="B1414" t="s">
        <v>15662</v>
      </c>
      <c r="C1414">
        <f>-626.116971944383 -34.2475200800475 -99.3576834797838</f>
        <v>-759.72217550421419</v>
      </c>
      <c r="D1414">
        <f>-650.678662491381 -44.9288306998525 -212.046889050139</f>
        <v>-907.65438224137256</v>
      </c>
      <c r="E1414">
        <f>-662.008398347492 -47.004871491722 -309.995861077903</f>
        <v>-1019.009130917117</v>
      </c>
      <c r="F1414">
        <f>-668.826923642384 -46.2976746012558 -398.828561730793</f>
        <v>-1113.9531599744328</v>
      </c>
      <c r="G1414">
        <f>-671.822640080207 -42.9923908557821 -487.81354753371</f>
        <v>-1202.6285784696991</v>
      </c>
      <c r="H1414">
        <f>-671.952750148168 -35.7158367631969 -612.183419435156</f>
        <v>-1319.8520063465207</v>
      </c>
      <c r="I1414">
        <f>-643.714568747762 -23.4692775286928 -689.369254796689</f>
        <v>-1356.5531010731438</v>
      </c>
      <c r="J1414">
        <f>-677.123189525912 -11.7533248102081 -555.859628074727</f>
        <v>-1244.7361424108472</v>
      </c>
      <c r="K1414" t="s">
        <v>15663</v>
      </c>
      <c r="L1414" t="s">
        <v>15664</v>
      </c>
      <c r="M1414" t="s">
        <v>15665</v>
      </c>
      <c r="N1414">
        <f>-666.667742264693 -66.0825728805183 -559.049164441055</f>
        <v>-1291.7994795862664</v>
      </c>
      <c r="O1414">
        <f>-640.70206287532 -199.658034907273 -539.527434452351</f>
        <v>-1379.887532234944</v>
      </c>
      <c r="P1414">
        <f>-581.26146446144 -303.583969879305 -270.71991805458</f>
        <v>-1155.5653523953249</v>
      </c>
      <c r="Q1414">
        <f>-442.630499845942 -172.297087465943 -417.675934582212</f>
        <v>-1032.603521894097</v>
      </c>
      <c r="R1414" t="s">
        <v>15666</v>
      </c>
      <c r="S1414" t="s">
        <v>15667</v>
      </c>
      <c r="T1414" t="s">
        <v>15668</v>
      </c>
      <c r="U1414" t="s">
        <v>15669</v>
      </c>
      <c r="V1414">
        <f>-599.296700043632 -126.130149826633 -97.6648447651179</f>
        <v>-823.09169463538285</v>
      </c>
      <c r="W1414" t="s">
        <v>15670</v>
      </c>
      <c r="X1414" t="s">
        <v>15671</v>
      </c>
      <c r="Y1414" t="s">
        <v>15672</v>
      </c>
    </row>
    <row r="1415" spans="1:25" x14ac:dyDescent="0.3">
      <c r="A1415">
        <v>70700</v>
      </c>
      <c r="B1415" t="s">
        <v>15673</v>
      </c>
      <c r="C1415">
        <f>-626.839214402627 -34.2374810852402 -99.416446796011</f>
        <v>-760.49314228387823</v>
      </c>
      <c r="D1415">
        <f>-651.28583564562 -44.9979522660125 -212.123196605756</f>
        <v>-908.40698451738842</v>
      </c>
      <c r="E1415">
        <f>-662.462319515367 -47.296387027773 -310.08467916963</f>
        <v>-1019.84338571277</v>
      </c>
      <c r="F1415">
        <f>-669.123182717876 -46.8528517026971 -398.930991924124</f>
        <v>-1114.907026344697</v>
      </c>
      <c r="G1415">
        <f>-671.943569357737 -43.872718076243 -487.933348994821</f>
        <v>-1203.7496364288011</v>
      </c>
      <c r="H1415">
        <f>-671.811830225021 -37.115090349484 -612.332446969278</f>
        <v>-1321.2593675437829</v>
      </c>
      <c r="I1415">
        <f>-643.284913080242 -24.9785536064878 -689.429529009687</f>
        <v>-1357.6929956964168</v>
      </c>
      <c r="J1415">
        <f>-677.14388358904 -12.9260637444588 -556.1205782608</f>
        <v>-1246.1905255942988</v>
      </c>
      <c r="K1415" t="s">
        <v>15674</v>
      </c>
      <c r="L1415" t="s">
        <v>15675</v>
      </c>
      <c r="M1415" t="s">
        <v>15676</v>
      </c>
      <c r="N1415">
        <f>-666.595704541048 -67.2514540002601 -559.060411903271</f>
        <v>-1292.9075704445791</v>
      </c>
      <c r="O1415">
        <f>-640.342853554871 -200.696851752819 -539.069398161504</f>
        <v>-1380.109103469194</v>
      </c>
      <c r="P1415">
        <f>-576.327430802542 -305.330841298748 -271.590464804139</f>
        <v>-1153.248736905429</v>
      </c>
      <c r="Q1415">
        <f>-439.682467698244 -174.544383482708 -420.835061348281</f>
        <v>-1035.061912529233</v>
      </c>
      <c r="R1415" t="s">
        <v>15677</v>
      </c>
      <c r="S1415" t="s">
        <v>15678</v>
      </c>
      <c r="T1415" t="s">
        <v>15679</v>
      </c>
      <c r="U1415" t="s">
        <v>15680</v>
      </c>
      <c r="V1415">
        <f>-599.873696979315 -126.197323442259 -97.6677848900263</f>
        <v>-823.73880531160034</v>
      </c>
      <c r="W1415" t="s">
        <v>15681</v>
      </c>
      <c r="X1415" t="s">
        <v>15682</v>
      </c>
      <c r="Y1415" t="s">
        <v>15683</v>
      </c>
    </row>
    <row r="1416" spans="1:25" x14ac:dyDescent="0.3">
      <c r="A1416">
        <v>70750</v>
      </c>
      <c r="B1416" t="s">
        <v>15684</v>
      </c>
      <c r="C1416">
        <f>-627.122926229168 -34.4199022258858 -99.4650642861208</f>
        <v>-761.0078927411746</v>
      </c>
      <c r="D1416">
        <f>-651.540057695646 -45.2394391485626 -212.172441156504</f>
        <v>-908.95193800071263</v>
      </c>
      <c r="E1416">
        <f>-662.670119168611 -47.6852155069699 -310.135614335224</f>
        <v>-1020.4909490108049</v>
      </c>
      <c r="F1416">
        <f>-669.280822651273 -47.4148089065919 -398.98641766648</f>
        <v>-1115.6820492243448</v>
      </c>
      <c r="G1416">
        <f>-672.043502589104 -44.6488400808299 -487.997414489382</f>
        <v>-1204.6897571593158</v>
      </c>
      <c r="H1416">
        <f>-671.823282408723 -38.2333246329542 -612.414589096592</f>
        <v>-1322.4711961382691</v>
      </c>
      <c r="I1416">
        <f>-643.097015321912 -26.1906115437448 -689.452201367341</f>
        <v>-1358.7398282329978</v>
      </c>
      <c r="J1416">
        <f>-677.192370428294 -13.8892936898769 -556.273265208953</f>
        <v>-1247.354929327124</v>
      </c>
      <c r="K1416" t="s">
        <v>15685</v>
      </c>
      <c r="L1416" t="s">
        <v>15686</v>
      </c>
      <c r="M1416" t="s">
        <v>15687</v>
      </c>
      <c r="N1416">
        <f>-666.648062831811 -68.2237479016553 -559.056228237531</f>
        <v>-1293.9280389709972</v>
      </c>
      <c r="O1416">
        <f>-640.297724878005 -201.604076128839 -538.786626952942</f>
        <v>-1380.6884279597862</v>
      </c>
      <c r="P1416">
        <f>-573.770530464706 -306.593099520168 -272.060867419355</f>
        <v>-1152.424497404229</v>
      </c>
      <c r="Q1416">
        <f>-438.52418187653 -175.563779225877 -422.362640868773</f>
        <v>-1036.45060197118</v>
      </c>
      <c r="R1416" t="s">
        <v>15688</v>
      </c>
      <c r="S1416" t="s">
        <v>15689</v>
      </c>
      <c r="T1416" t="s">
        <v>15690</v>
      </c>
      <c r="U1416" t="s">
        <v>15691</v>
      </c>
      <c r="V1416">
        <f>-600.09616690621 -126.371987408491 -97.6683319656386</f>
        <v>-824.13648628033957</v>
      </c>
      <c r="W1416" t="s">
        <v>15692</v>
      </c>
      <c r="X1416" t="s">
        <v>15693</v>
      </c>
      <c r="Y1416" t="s">
        <v>15694</v>
      </c>
    </row>
    <row r="1417" spans="1:25" x14ac:dyDescent="0.3">
      <c r="A1417">
        <v>70800</v>
      </c>
      <c r="B1417" t="s">
        <v>15695</v>
      </c>
      <c r="C1417">
        <f>-627.528615662971 -34.8509488158002 -99.5252205076962</f>
        <v>-761.90478498646735</v>
      </c>
      <c r="D1417">
        <f>-651.907761968532 -45.7893348632729 -212.229373858694</f>
        <v>-909.92647069049883</v>
      </c>
      <c r="E1417">
        <f>-662.983095174485 -48.5521494920757 -310.190385209619</f>
        <v>-1021.7256298761797</v>
      </c>
      <c r="F1417">
        <f>-669.536133660137 -48.6584843731173 -399.045857980208</f>
        <v>-1117.2404760134623</v>
      </c>
      <c r="G1417">
        <f>-672.233119870908 -46.3616394896933 -488.072256366942</f>
        <v>-1206.6670157275432</v>
      </c>
      <c r="H1417">
        <f>-671.912754525089 -40.7008537575957 -612.525699582029</f>
        <v>-1325.1393078647138</v>
      </c>
      <c r="I1417">
        <f>-642.871533273758 -28.9396233633067 -689.488760852</f>
        <v>-1361.2999174890647</v>
      </c>
      <c r="J1417">
        <f>-677.252995226774 -16.0024810603368 -556.536619367969</f>
        <v>-1249.7920956550797</v>
      </c>
      <c r="K1417" t="s">
        <v>15696</v>
      </c>
      <c r="L1417" t="s">
        <v>15697</v>
      </c>
      <c r="M1417" t="s">
        <v>15698</v>
      </c>
      <c r="N1417">
        <f>-666.854455225411 -70.3812353213789 -558.983273961905</f>
        <v>-1296.2189645086949</v>
      </c>
      <c r="O1417">
        <f>-640.534827999032 -203.662091631876 -537.947241494569</f>
        <v>-1382.144161125477</v>
      </c>
      <c r="P1417">
        <f>-567.246407682301 -310.902445222032 -273.902602531139</f>
        <v>-1152.0514554354718</v>
      </c>
      <c r="Q1417">
        <f>-436.16006558716 -177.134818619014 -425.472788236046</f>
        <v>-1038.7676724422199</v>
      </c>
      <c r="R1417" t="s">
        <v>15699</v>
      </c>
      <c r="S1417" t="s">
        <v>15700</v>
      </c>
      <c r="T1417" t="s">
        <v>15701</v>
      </c>
      <c r="U1417" t="s">
        <v>15702</v>
      </c>
      <c r="V1417">
        <f>-600.475180952624 -126.802442085042 -97.6460461003209</f>
        <v>-824.92366913798685</v>
      </c>
      <c r="W1417" t="s">
        <v>15703</v>
      </c>
      <c r="X1417" t="s">
        <v>15704</v>
      </c>
      <c r="Y1417" t="s">
        <v>15705</v>
      </c>
    </row>
    <row r="1418" spans="1:25" x14ac:dyDescent="0.3">
      <c r="A1418">
        <v>70850</v>
      </c>
      <c r="B1418" t="s">
        <v>15706</v>
      </c>
      <c r="C1418">
        <f>-627.679757528626 -35.0217144297665 -99.5656814740627</f>
        <v>-762.26715343245519</v>
      </c>
      <c r="D1418">
        <f>-652.059764243117 -46.0061333260172 -212.265198833772</f>
        <v>-910.33109640290627</v>
      </c>
      <c r="E1418">
        <f>-663.113437090277 -48.9009735377613 -310.2248436459</f>
        <v>-1022.2392542739383</v>
      </c>
      <c r="F1418">
        <f>-669.638208925877 -49.1648139937388 -399.081979767498</f>
        <v>-1117.8850026871139</v>
      </c>
      <c r="G1418">
        <f>-672.298384945228 -47.0651906560425 -488.114379910773</f>
        <v>-1207.4779555120435</v>
      </c>
      <c r="H1418">
        <f>-671.917875401092 -41.7223128731525 -612.581712864018</f>
        <v>-1326.2219011382626</v>
      </c>
      <c r="I1418">
        <f>-642.77099611982 -30.1112533272012 -689.527572542272</f>
        <v>-1362.4098219892931</v>
      </c>
      <c r="J1418">
        <f>-677.236076398156 -16.8717354865175 -556.657842460275</f>
        <v>-1250.7656543449484</v>
      </c>
      <c r="K1418" t="s">
        <v>15707</v>
      </c>
      <c r="L1418" t="s">
        <v>15708</v>
      </c>
      <c r="M1418" t="s">
        <v>15709</v>
      </c>
      <c r="N1418">
        <f>-666.934549446125 -71.275082003275 -558.961586848768</f>
        <v>-1297.1712182981678</v>
      </c>
      <c r="O1418">
        <f>-640.689591078423 -204.52795826239 -537.62489538756</f>
        <v>-1382.8424447283728</v>
      </c>
      <c r="P1418">
        <f>-563.762431029656 -313.790775784617 -275.451160892789</f>
        <v>-1153.0043677070619</v>
      </c>
      <c r="Q1418">
        <f>-434.868903207819 -177.789355098433 -426.913851443643</f>
        <v>-1039.5721097498949</v>
      </c>
      <c r="R1418" t="s">
        <v>15710</v>
      </c>
      <c r="S1418" t="s">
        <v>15711</v>
      </c>
      <c r="T1418" t="s">
        <v>15712</v>
      </c>
      <c r="U1418" t="s">
        <v>15713</v>
      </c>
      <c r="V1418">
        <f>-600.647777508758 -126.919372616769 -97.6376493409882</f>
        <v>-825.20479946651528</v>
      </c>
      <c r="W1418" t="s">
        <v>15714</v>
      </c>
      <c r="X1418" t="s">
        <v>15715</v>
      </c>
      <c r="Y1418" t="s">
        <v>15716</v>
      </c>
    </row>
    <row r="1419" spans="1:25" x14ac:dyDescent="0.3">
      <c r="A1419">
        <v>70900</v>
      </c>
      <c r="B1419" t="s">
        <v>15717</v>
      </c>
      <c r="C1419">
        <f>-627.996743238304 -35.4146226550652 -99.6364660479323</f>
        <v>-763.04783194130152</v>
      </c>
      <c r="D1419">
        <f>-652.349058333886 -46.4796270131283 -212.334067393793</f>
        <v>-911.16275274080726</v>
      </c>
      <c r="E1419">
        <f>-663.351596793264 -49.5586179298942 -310.293813609727</f>
        <v>-1023.2040283328852</v>
      </c>
      <c r="F1419">
        <f>-669.819940100796 -50.0363445973715 -399.154297832105</f>
        <v>-1119.0105825302724</v>
      </c>
      <c r="G1419">
        <f>-672.413263266019 -48.2002527232282 -488.19445216762</f>
        <v>-1208.8079681568672</v>
      </c>
      <c r="H1419">
        <f>-671.928498148758 -43.2790148853209 -612.678715871115</f>
        <v>-1327.8862289051938</v>
      </c>
      <c r="I1419">
        <f>-642.687514437745 -31.9442756207502 -689.630159609304</f>
        <v>-1364.2619496677992</v>
      </c>
      <c r="J1419">
        <f>-677.216936677878 -18.2248045453 -556.843084491591</f>
        <v>-1252.2848257147689</v>
      </c>
      <c r="K1419" t="s">
        <v>15718</v>
      </c>
      <c r="L1419" t="s">
        <v>15719</v>
      </c>
      <c r="M1419" t="s">
        <v>15720</v>
      </c>
      <c r="N1419">
        <f>-667.066693679429 -72.6643230277415 -558.955677331487</f>
        <v>-1298.6866940386576</v>
      </c>
      <c r="O1419">
        <f>-641.024796530344 -205.902570864431 -537.29115543419</f>
        <v>-1384.218522828965</v>
      </c>
      <c r="P1419">
        <f>-556.555658392861 -321.449922775546 -280.182349537593</f>
        <v>-1158.1879307059999</v>
      </c>
      <c r="Q1419">
        <f>-432.188873613375 -179.671565290482 -430.124575260468</f>
        <v>-1041.9850141643251</v>
      </c>
      <c r="R1419" t="s">
        <v>15721</v>
      </c>
      <c r="S1419" t="s">
        <v>15722</v>
      </c>
      <c r="T1419" t="s">
        <v>15723</v>
      </c>
      <c r="U1419" t="s">
        <v>15724</v>
      </c>
      <c r="V1419">
        <f>-601.048218742596 -127.311250389072 -97.617328130794</f>
        <v>-825.97679726246201</v>
      </c>
      <c r="W1419" t="s">
        <v>15725</v>
      </c>
      <c r="X1419" t="s">
        <v>15726</v>
      </c>
      <c r="Y1419" t="s">
        <v>15727</v>
      </c>
    </row>
    <row r="1420" spans="1:25" x14ac:dyDescent="0.3">
      <c r="A1420">
        <v>70950</v>
      </c>
      <c r="B1420" t="s">
        <v>15728</v>
      </c>
      <c r="C1420">
        <f>-628.077312854843 -35.6930903824423 -99.6773746431627</f>
        <v>-763.44777788044792</v>
      </c>
      <c r="D1420">
        <f>-652.396507832987 -46.7953134004131 -212.378340317967</f>
        <v>-911.57016155136716</v>
      </c>
      <c r="E1420">
        <f>-663.365992754884 -49.9261514669149 -310.340419426278</f>
        <v>-1023.6325636480769</v>
      </c>
      <c r="F1420">
        <f>-669.802313782914 -50.459357639877 -399.202745289025</f>
        <v>-1119.4644167118161</v>
      </c>
      <c r="G1420">
        <f>-672.361367095547 -48.6879585582028 -488.24520578981</f>
        <v>-1209.2945314435599</v>
      </c>
      <c r="H1420">
        <f>-671.826299868125 -43.8677815206752 -612.733402940609</f>
        <v>-1328.4274843294093</v>
      </c>
      <c r="I1420">
        <f>-642.58247564946 -32.6504947755677 -689.700772375271</f>
        <v>-1364.9337428002987</v>
      </c>
      <c r="J1420">
        <f>-677.105635846299 -18.7623833400846 -556.919621307334</f>
        <v>-1252.7876404937176</v>
      </c>
      <c r="K1420" t="s">
        <v>15729</v>
      </c>
      <c r="L1420" t="s">
        <v>15730</v>
      </c>
      <c r="M1420" t="s">
        <v>15731</v>
      </c>
      <c r="N1420">
        <f>-667.017917344372 -73.2154260603382 -558.984858744468</f>
        <v>-1299.2182021491783</v>
      </c>
      <c r="O1420">
        <f>-641.083526192585 -206.473942802752 -537.351395867282</f>
        <v>-1384.9088648626191</v>
      </c>
      <c r="P1420">
        <f>-553.041450033084 -325.889600575943 -283.225999830893</f>
        <v>-1162.1570504399199</v>
      </c>
      <c r="Q1420">
        <f>-430.78262852829 -180.611009887273 -431.542544615961</f>
        <v>-1042.936183031524</v>
      </c>
      <c r="R1420" t="s">
        <v>15732</v>
      </c>
      <c r="S1420" t="s">
        <v>15733</v>
      </c>
      <c r="T1420" t="s">
        <v>15734</v>
      </c>
      <c r="U1420" t="s">
        <v>15735</v>
      </c>
      <c r="V1420">
        <f>-601.150627727664 -127.558999045895 -97.6110005067176</f>
        <v>-826.32062728027654</v>
      </c>
      <c r="W1420" t="s">
        <v>15736</v>
      </c>
      <c r="X1420" t="s">
        <v>15737</v>
      </c>
      <c r="Y1420" t="s">
        <v>15738</v>
      </c>
    </row>
    <row r="1421" spans="1:25" x14ac:dyDescent="0.3">
      <c r="A1421">
        <v>71000</v>
      </c>
      <c r="B1421" t="s">
        <v>15739</v>
      </c>
      <c r="C1421">
        <f>-627.988335235297 -36.3501531589204 -99.7331702911517</f>
        <v>-764.07165868536913</v>
      </c>
      <c r="D1421">
        <f>-652.241668831403 -47.5269358121594 -212.441153852692</f>
        <v>-912.20975849625438</v>
      </c>
      <c r="E1421">
        <f>-663.159745304147 -50.721836818397 -310.406642092063</f>
        <v>-1024.288224214607</v>
      </c>
      <c r="F1421">
        <f>-669.550781350439 -51.3142201991898 -399.272038025916</f>
        <v>-1120.1370395755448</v>
      </c>
      <c r="G1421">
        <f>-672.065001069785 -49.60465637071 -488.316754849469</f>
        <v>-1209.9864122899639</v>
      </c>
      <c r="H1421">
        <f>-671.467354526286 -44.8743917858116 -612.808120425454</f>
        <v>-1329.1498667375517</v>
      </c>
      <c r="I1421">
        <f>-642.271656692598 -33.8503354584961 -689.821873284591</f>
        <v>-1365.943865435685</v>
      </c>
      <c r="J1421">
        <f>-676.717385421187 -19.7181447962162 -557.014686927627</f>
        <v>-1253.4502171450304</v>
      </c>
      <c r="K1421" t="s">
        <v>15740</v>
      </c>
      <c r="L1421" t="s">
        <v>15741</v>
      </c>
      <c r="M1421" t="s">
        <v>15742</v>
      </c>
      <c r="N1421">
        <f>-666.743334489355 -74.1937565854068 -559.036792331019</f>
        <v>-1299.9738834057807</v>
      </c>
      <c r="O1421">
        <f>-640.983533517405 -207.506165830475 -537.515039835101</f>
        <v>-1386.004739182981</v>
      </c>
      <c r="P1421">
        <f>-545.341573764911 -335.476623023787 -290.396880628938</f>
        <v>-1171.2150774176362</v>
      </c>
      <c r="Q1421">
        <f>-427.284768409082 -181.024874532163 -432.727782290876</f>
        <v>-1041.037425232121</v>
      </c>
      <c r="R1421" t="s">
        <v>15743</v>
      </c>
      <c r="S1421" t="s">
        <v>15744</v>
      </c>
      <c r="T1421" t="s">
        <v>15745</v>
      </c>
      <c r="U1421" t="s">
        <v>15746</v>
      </c>
      <c r="V1421">
        <f>-601.125161117965 -128.072719511297 -97.5986162358704</f>
        <v>-826.79649686513244</v>
      </c>
      <c r="W1421" t="s">
        <v>15747</v>
      </c>
      <c r="X1421" t="s">
        <v>15748</v>
      </c>
      <c r="Y1421" t="s">
        <v>15749</v>
      </c>
    </row>
    <row r="1422" spans="1:25" x14ac:dyDescent="0.3">
      <c r="A1422">
        <v>71050</v>
      </c>
      <c r="B1422" t="s">
        <v>15750</v>
      </c>
      <c r="C1422">
        <f>-627.925193631942 -36.7838603865112 -99.7505079986378</f>
        <v>-764.45956201709089</v>
      </c>
      <c r="D1422">
        <f>-652.17208693921 -47.9827248392937 -212.45762771916</f>
        <v>-912.61243949766367</v>
      </c>
      <c r="E1422">
        <f>-663.088393082574 -51.1838882562689 -310.42314712012</f>
        <v>-1024.6954284589629</v>
      </c>
      <c r="F1422">
        <f>-669.479243891991 -51.7761531955641 -399.288552418028</f>
        <v>-1120.5439495055832</v>
      </c>
      <c r="G1422">
        <f>-671.994637428184 -50.0608298745055 -488.333368827435</f>
        <v>-1210.3888361301244</v>
      </c>
      <c r="H1422">
        <f>-671.399818901246 -45.3169405718776 -612.824112926827</f>
        <v>-1329.5408723999506</v>
      </c>
      <c r="I1422">
        <f>-642.255168609997 -34.3550451153631 -689.865965132061</f>
        <v>-1366.476178857421</v>
      </c>
      <c r="J1422">
        <f>-676.636377239737 -20.1645293131107 -557.027513301261</f>
        <v>-1253.8284198541087</v>
      </c>
      <c r="K1422" t="s">
        <v>15751</v>
      </c>
      <c r="L1422" t="s">
        <v>15752</v>
      </c>
      <c r="M1422" t="s">
        <v>15753</v>
      </c>
      <c r="N1422">
        <f>-666.686821421565 -74.6443659696345 -559.056112697007</f>
        <v>-1300.3873000882065</v>
      </c>
      <c r="O1422">
        <f>-640.951423390046 -207.965577720422 -537.60647912746</f>
        <v>-1386.523480237928</v>
      </c>
      <c r="P1422">
        <f>-541.57746627412 -340.170357192305 -294.218056032011</f>
        <v>-1175.9658794984359</v>
      </c>
      <c r="Q1422">
        <f>-425.436041092661 -180.633346269121 -432.457022064455</f>
        <v>-1038.526409426237</v>
      </c>
      <c r="R1422" t="s">
        <v>15754</v>
      </c>
      <c r="S1422" t="s">
        <v>15755</v>
      </c>
      <c r="T1422" t="s">
        <v>15756</v>
      </c>
      <c r="U1422" t="s">
        <v>15757</v>
      </c>
      <c r="V1422">
        <f>-601.114810978696 -128.516748697284 -97.5822123767551</f>
        <v>-827.21377205273518</v>
      </c>
      <c r="W1422" t="s">
        <v>15758</v>
      </c>
      <c r="X1422" t="s">
        <v>15759</v>
      </c>
      <c r="Y1422" t="s">
        <v>15760</v>
      </c>
    </row>
    <row r="1423" spans="1:25" x14ac:dyDescent="0.3">
      <c r="A1423">
        <v>71100</v>
      </c>
      <c r="B1423" t="s">
        <v>15761</v>
      </c>
      <c r="C1423">
        <f>-627.737728093833 -37.9792846558182 -99.7969079193505</f>
        <v>-765.51392066900166</v>
      </c>
      <c r="D1423">
        <f>-651.926162631608 -49.2347366238223 -212.510920147191</f>
        <v>-913.67181940262128</v>
      </c>
      <c r="E1423">
        <f>-662.783841478759 -52.3746739341196 -310.484870041996</f>
        <v>-1025.6433854548745</v>
      </c>
      <c r="F1423">
        <f>-669.117790735325 -52.8661389817207 -399.354968731391</f>
        <v>-1121.3388984484368</v>
      </c>
      <c r="G1423">
        <f>-671.572108668877 -51.0032884945568 -488.398434230297</f>
        <v>-1210.973831393731</v>
      </c>
      <c r="H1423">
        <f>-670.887574059091 -46.0029951434092 -612.878779273048</f>
        <v>-1329.7693484755482</v>
      </c>
      <c r="I1423">
        <f>-641.855090027099 -34.9945930684539 -689.956334505341</f>
        <v>-1366.8060176008939</v>
      </c>
      <c r="J1423">
        <f>-676.195957536495 -20.971408686966 -557.03481216143</f>
        <v>-1254.2021783848909</v>
      </c>
      <c r="K1423" t="s">
        <v>15762</v>
      </c>
      <c r="L1423" t="s">
        <v>15763</v>
      </c>
      <c r="M1423" t="s">
        <v>15764</v>
      </c>
      <c r="N1423">
        <f>-666.181632669048 -75.4353981660088 -559.167471974851</f>
        <v>-1300.7845028099077</v>
      </c>
      <c r="O1423">
        <f>-640.32716949449 -208.776448107606 -538.016337679131</f>
        <v>-1387.119955281227</v>
      </c>
      <c r="P1423">
        <f>-535.023731378769 -348.575001760872 -301.460346725773</f>
        <v>-1185.0590798654139</v>
      </c>
      <c r="Q1423">
        <f>-422.958900770057 -179.197327232518 -431.088758831157</f>
        <v>-1033.2449868337321</v>
      </c>
      <c r="R1423" t="s">
        <v>15765</v>
      </c>
      <c r="S1423" t="s">
        <v>15766</v>
      </c>
      <c r="T1423" t="s">
        <v>15767</v>
      </c>
      <c r="U1423" t="s">
        <v>15768</v>
      </c>
      <c r="V1423">
        <f>-600.968156515638 -129.67240570953 -97.5609574264112</f>
        <v>-828.20151965157925</v>
      </c>
      <c r="W1423" t="s">
        <v>15769</v>
      </c>
      <c r="X1423" t="s">
        <v>15770</v>
      </c>
      <c r="Y1423" t="s">
        <v>15771</v>
      </c>
    </row>
    <row r="1424" spans="1:25" x14ac:dyDescent="0.3">
      <c r="A1424">
        <v>71150</v>
      </c>
      <c r="B1424" t="s">
        <v>15772</v>
      </c>
      <c r="C1424">
        <f>-627.583560161366 -38.5519374651044 -99.8911917460321</f>
        <v>-766.02668937250246</v>
      </c>
      <c r="D1424">
        <f>-651.727400653015 -49.8778981723613 -212.607728911966</f>
        <v>-914.21302773734226</v>
      </c>
      <c r="E1424">
        <f>-662.564699050858 -52.96823941789 -310.585556598148</f>
        <v>-1026.118495066896</v>
      </c>
      <c r="F1424">
        <f>-668.886127839119 -53.3698383353752 -399.456942621579</f>
        <v>-1121.7129087960732</v>
      </c>
      <c r="G1424">
        <f>-671.333730084997 -51.3709933123104 -488.497731470928</f>
        <v>-1211.2024548682352</v>
      </c>
      <c r="H1424">
        <f>-670.645113521639 -46.1320079780207 -612.968162594714</f>
        <v>-1329.7452840943738</v>
      </c>
      <c r="I1424">
        <f>-641.685204821935 -35.0428981419966 -690.061524394825</f>
        <v>-1366.7896273587567</v>
      </c>
      <c r="J1424">
        <f>-675.996498876813 -21.2150711019654 -557.077008454779</f>
        <v>-1254.2885784335574</v>
      </c>
      <c r="K1424" t="s">
        <v>15773</v>
      </c>
      <c r="L1424" t="s">
        <v>15774</v>
      </c>
      <c r="M1424" t="s">
        <v>15775</v>
      </c>
      <c r="N1424">
        <f>-665.899772547333 -75.6597918550116 -559.312717797422</f>
        <v>-1300.8722821997667</v>
      </c>
      <c r="O1424">
        <f>-639.927829984993 -209.019488420838 -538.403975302121</f>
        <v>-1387.351293707952</v>
      </c>
      <c r="P1424">
        <f>-532.937814676197 -350.4311146715 -303.569888962975</f>
        <v>-1186.9388183106721</v>
      </c>
      <c r="Q1424">
        <f>-422.403063875627 -177.643476643637 -429.97146441065</f>
        <v>-1030.018004929914</v>
      </c>
      <c r="R1424" t="s">
        <v>15776</v>
      </c>
      <c r="S1424" t="s">
        <v>15777</v>
      </c>
      <c r="T1424" t="s">
        <v>15778</v>
      </c>
      <c r="U1424" t="s">
        <v>15779</v>
      </c>
      <c r="V1424">
        <f>-600.792716101368 -130.108978254445 -97.5847149884071</f>
        <v>-828.48640934422008</v>
      </c>
      <c r="W1424" t="s">
        <v>15780</v>
      </c>
      <c r="X1424" t="s">
        <v>15781</v>
      </c>
      <c r="Y1424" t="s">
        <v>15782</v>
      </c>
    </row>
    <row r="1425" spans="1:25" x14ac:dyDescent="0.3">
      <c r="A1425">
        <v>71200</v>
      </c>
      <c r="B1425" t="s">
        <v>15783</v>
      </c>
      <c r="C1425">
        <f>-627.042435995766 -39.6586073278411 -99.9438688387888</f>
        <v>-766.64491216239594</v>
      </c>
      <c r="D1425">
        <f>-651.050545617429 -51.0973337388357 -212.677974015912</f>
        <v>-914.82585337217665</v>
      </c>
      <c r="E1425">
        <f>-661.855217071535 -54.0313152257582 -310.66430210882</f>
        <v>-1026.5508344061132</v>
      </c>
      <c r="F1425">
        <f>-668.178615006803 -54.1885086619793 -399.536209831596</f>
        <v>-1121.9033335003783</v>
      </c>
      <c r="G1425">
        <f>-670.658398968407 -51.8395356808553 -488.567560568286</f>
        <v>-1211.0654952175482</v>
      </c>
      <c r="H1425">
        <f>-670.045699641569 -45.9984512642784 -613.011672639162</f>
        <v>-1329.0558235450094</v>
      </c>
      <c r="I1425">
        <f>-641.355667312813 -34.7031091552758 -690.176024649751</f>
        <v>-1366.2348011178397</v>
      </c>
      <c r="J1425">
        <f>-675.47155984992 -21.3725065498816 -556.99877227954</f>
        <v>-1253.8428386793416</v>
      </c>
      <c r="K1425" t="s">
        <v>15784</v>
      </c>
      <c r="L1425" t="s">
        <v>15785</v>
      </c>
      <c r="M1425" t="s">
        <v>15786</v>
      </c>
      <c r="N1425">
        <f>-665.159074281317 -75.7650355345364 -559.501097146593</f>
        <v>-1300.4252069624463</v>
      </c>
      <c r="O1425">
        <f>-638.992628028293 -209.144210646191 -538.969006670975</f>
        <v>-1387.1058453454589</v>
      </c>
      <c r="P1425">
        <f>-532.100774454227 -349.092945490863 -303.215533678334</f>
        <v>-1184.4092536234239</v>
      </c>
      <c r="Q1425">
        <f>-422.724477666804 -173.938587608387 -427.347053249028</f>
        <v>-1024.010118524219</v>
      </c>
      <c r="R1425" t="s">
        <v>15787</v>
      </c>
      <c r="S1425" t="s">
        <v>15788</v>
      </c>
      <c r="T1425" t="s">
        <v>15789</v>
      </c>
      <c r="U1425" t="s">
        <v>15790</v>
      </c>
      <c r="V1425">
        <f>-600.133250610589 -130.961176680144 -97.5804787019018</f>
        <v>-828.67490599263488</v>
      </c>
      <c r="W1425" t="s">
        <v>15791</v>
      </c>
      <c r="X1425" t="s">
        <v>15792</v>
      </c>
      <c r="Y1425" t="s">
        <v>15793</v>
      </c>
    </row>
    <row r="1426" spans="1:25" x14ac:dyDescent="0.3">
      <c r="A1426">
        <v>71250</v>
      </c>
      <c r="B1426" t="s">
        <v>15794</v>
      </c>
      <c r="C1426">
        <f>-626.749619026869 -40.3168626141567 -99.9492107013917</f>
        <v>-767.01569234241742</v>
      </c>
      <c r="D1426">
        <f>-650.709305920637 -51.7991420063089 -212.689259544709</f>
        <v>-915.19770747165489</v>
      </c>
      <c r="E1426">
        <f>-661.505291865015 -54.674727872421 -310.678171964962</f>
        <v>-1026.858191702398</v>
      </c>
      <c r="F1426">
        <f>-667.833003422839 -54.7401186316743 -399.54997080417</f>
        <v>-1122.1230928586833</v>
      </c>
      <c r="G1426">
        <f>-670.329128773996 -52.2590830521093 -488.577254507948</f>
        <v>-1211.1654663340532</v>
      </c>
      <c r="H1426">
        <f>-669.751395323222 -46.1911349367292 -613.010532564302</f>
        <v>-1328.9530628242533</v>
      </c>
      <c r="I1426">
        <f>-641.183813237979 -34.8114099589859 -690.207854005616</f>
        <v>-1366.203077202581</v>
      </c>
      <c r="J1426">
        <f>-675.20287356578 -21.6751960948779 -556.952021242229</f>
        <v>-1253.8300909028869</v>
      </c>
      <c r="K1426" t="s">
        <v>15795</v>
      </c>
      <c r="L1426" t="s">
        <v>15796</v>
      </c>
      <c r="M1426" t="s">
        <v>15797</v>
      </c>
      <c r="N1426">
        <f>-664.808380664366 -76.0474781629833 -559.555206485581</f>
        <v>-1300.4110653129305</v>
      </c>
      <c r="O1426">
        <f>-638.609646384691 -209.42423792418 -539.065966972907</f>
        <v>-1387.099851281778</v>
      </c>
      <c r="P1426">
        <f>-533.846740447128 -346.28437893494 -300.55978370317</f>
        <v>-1180.690903085238</v>
      </c>
      <c r="Q1426">
        <f>-424.331962178176 -171.801695541383 -425.512531882848</f>
        <v>-1021.646189602407</v>
      </c>
      <c r="R1426" t="s">
        <v>15798</v>
      </c>
      <c r="S1426" t="s">
        <v>15799</v>
      </c>
      <c r="T1426" t="s">
        <v>15800</v>
      </c>
      <c r="U1426" t="s">
        <v>15801</v>
      </c>
      <c r="V1426">
        <f>-599.843246308607 -131.542120659625 -97.5658613762882</f>
        <v>-828.95122834452025</v>
      </c>
      <c r="W1426" t="s">
        <v>15802</v>
      </c>
      <c r="X1426" t="s">
        <v>15803</v>
      </c>
      <c r="Y1426" t="s">
        <v>15804</v>
      </c>
    </row>
    <row r="1427" spans="1:25" x14ac:dyDescent="0.3">
      <c r="A1427">
        <v>71300</v>
      </c>
      <c r="B1427" t="s">
        <v>15805</v>
      </c>
      <c r="C1427">
        <f>-626.117885102201 -41.7000272042076 -99.9049576718198</f>
        <v>-767.72286997822835</v>
      </c>
      <c r="D1427">
        <f>-650.035877545365 -53.2297163545687 -212.649032571133</f>
        <v>-915.91462647106675</v>
      </c>
      <c r="E1427">
        <f>-660.818042154443 -56.0750886634846 -310.640387334314</f>
        <v>-1027.5335181522416</v>
      </c>
      <c r="F1427">
        <f>-667.141138778979 -56.085003743358 -399.512479902917</f>
        <v>-1122.7386224252541</v>
      </c>
      <c r="G1427">
        <f>-669.640115125949 -53.519584298195 -488.537325460512</f>
        <v>-1211.697024884656</v>
      </c>
      <c r="H1427">
        <f>-669.0738360382 -47.3030996606243 -612.963443978849</f>
        <v>-1329.3403796776734</v>
      </c>
      <c r="I1427">
        <f>-640.759166164794 -35.871212297511 -690.246059120151</f>
        <v>-1366.876437582456</v>
      </c>
      <c r="J1427">
        <f>-674.550337449475 -22.8599678568555 -556.875523230918</f>
        <v>-1254.2858285372486</v>
      </c>
      <c r="K1427" t="s">
        <v>15806</v>
      </c>
      <c r="L1427" t="s">
        <v>15807</v>
      </c>
      <c r="M1427" t="s">
        <v>15808</v>
      </c>
      <c r="N1427">
        <f>-664.095675901842 -77.2174757469685 -559.543728339626</f>
        <v>-1300.8568799884365</v>
      </c>
      <c r="O1427">
        <f>-637.949783708843 -210.553488853977 -538.737432269833</f>
        <v>-1387.2407048326531</v>
      </c>
      <c r="P1427">
        <f>-538.617419228853 -339.937503996652 -293.820975333958</f>
        <v>-1172.3758985594632</v>
      </c>
      <c r="Q1427">
        <f>-427.583719496072 -168.629374454939 -421.789412126544</f>
        <v>-1018.0025060775549</v>
      </c>
      <c r="R1427" t="s">
        <v>15809</v>
      </c>
      <c r="S1427" t="s">
        <v>15810</v>
      </c>
      <c r="T1427" t="s">
        <v>15811</v>
      </c>
      <c r="U1427" t="s">
        <v>15812</v>
      </c>
      <c r="V1427">
        <f>-599.107266263665 -132.878802799694 -97.516672301689</f>
        <v>-829.502741365048</v>
      </c>
      <c r="W1427" t="s">
        <v>15813</v>
      </c>
      <c r="X1427" t="s">
        <v>15814</v>
      </c>
      <c r="Y1427" t="s">
        <v>15815</v>
      </c>
    </row>
    <row r="1428" spans="1:25" x14ac:dyDescent="0.3">
      <c r="A1428">
        <v>71350</v>
      </c>
      <c r="B1428" t="s">
        <v>15816</v>
      </c>
      <c r="C1428">
        <f>-625.814716755215 -42.4152148780934 -99.898519450017</f>
        <v>-768.12845108332544</v>
      </c>
      <c r="D1428">
        <f>-649.733186124072 -53.9713851070352 -212.639670871349</f>
        <v>-916.34424210245618</v>
      </c>
      <c r="E1428">
        <f>-660.511045836846 -56.840648277853 -310.630837191932</f>
        <v>-1027.982531306631</v>
      </c>
      <c r="F1428">
        <f>-666.828890892142 -56.8718607431931 -399.503326434154</f>
        <v>-1123.2040780694892</v>
      </c>
      <c r="G1428">
        <f>-669.321997258266 -54.3268414547866 -488.528856539854</f>
        <v>-1212.1776952529067</v>
      </c>
      <c r="H1428">
        <f>-668.746990309832 -48.1366866773274 -612.956225616353</f>
        <v>-1329.8399026035122</v>
      </c>
      <c r="I1428">
        <f>-640.532194047357 -36.698334735009 -690.274484530408</f>
        <v>-1367.5050133127741</v>
      </c>
      <c r="J1428">
        <f>-674.25968885695 -23.6877809179916 -556.874389694124</f>
        <v>-1254.8218594690657</v>
      </c>
      <c r="K1428" t="s">
        <v>15817</v>
      </c>
      <c r="L1428" t="s">
        <v>15818</v>
      </c>
      <c r="M1428" t="s">
        <v>15819</v>
      </c>
      <c r="N1428">
        <f>-663.740389507543 -78.0335833097007 -559.529377795439</f>
        <v>-1301.3033506126826</v>
      </c>
      <c r="O1428">
        <f>-637.453759817791 -211.306414250358 -538.487623164149</f>
        <v>-1387.2477972322981</v>
      </c>
      <c r="P1428">
        <f>-540.927900621471 -337.012241673846 -290.552104536617</f>
        <v>-1168.4922468319342</v>
      </c>
      <c r="Q1428">
        <f>-428.543246551993 -167.745678008115 -420.048715634849</f>
        <v>-1016.337640194957</v>
      </c>
      <c r="R1428" t="s">
        <v>15820</v>
      </c>
      <c r="S1428" t="s">
        <v>15821</v>
      </c>
      <c r="T1428" t="s">
        <v>15822</v>
      </c>
      <c r="U1428" t="s">
        <v>15823</v>
      </c>
      <c r="V1428">
        <f>-598.765062566757 -133.549191645638 -97.4894161992838</f>
        <v>-829.80367041167881</v>
      </c>
      <c r="W1428" t="s">
        <v>15824</v>
      </c>
      <c r="X1428" t="s">
        <v>15825</v>
      </c>
      <c r="Y1428" t="s">
        <v>15826</v>
      </c>
    </row>
    <row r="1429" spans="1:25" x14ac:dyDescent="0.3">
      <c r="A1429">
        <v>71400</v>
      </c>
      <c r="B1429" t="s">
        <v>15827</v>
      </c>
      <c r="C1429">
        <f>-625.081323646891 -43.8092132282628 -99.8990346718467</f>
        <v>-768.78957154700049</v>
      </c>
      <c r="D1429">
        <f>-649.001905177147 -55.3797110982086 -212.638418526935</f>
        <v>-917.02003480229064</v>
      </c>
      <c r="E1429">
        <f>-659.743712391096 -58.3367580245996 -310.630900876859</f>
        <v>-1028.7113712925545</v>
      </c>
      <c r="F1429">
        <f>-666.016730580601 -58.4758663197933 -399.506354483823</f>
        <v>-1123.9989513842174</v>
      </c>
      <c r="G1429">
        <f>-668.454486404329 -56.0648911884773 -488.537266324734</f>
        <v>-1213.0566439175404</v>
      </c>
      <c r="H1429">
        <f>-667.792915775685 -50.0882527952813 -612.974665860557</f>
        <v>-1330.8558344315234</v>
      </c>
      <c r="I1429">
        <f>-639.663924255892 -38.6427063874053 -690.323091089854</f>
        <v>-1368.6297217331512</v>
      </c>
      <c r="J1429">
        <f>-673.432134703779 -25.5601281040597 -556.939948462019</f>
        <v>-1255.9322112698576</v>
      </c>
      <c r="K1429" t="s">
        <v>15828</v>
      </c>
      <c r="L1429" t="s">
        <v>15829</v>
      </c>
      <c r="M1429" t="s">
        <v>15830</v>
      </c>
      <c r="N1429">
        <f>-662.735960444021 -79.8764149343008 -559.491752327041</f>
        <v>-1302.1041277053628</v>
      </c>
      <c r="O1429">
        <f>-636.026852459921 -212.985498249199 -537.912711121454</f>
        <v>-1386.9250618305741</v>
      </c>
      <c r="P1429">
        <f>-544.261695320318 -331.879350198636 -284.862145077933</f>
        <v>-1161.0031905968872</v>
      </c>
      <c r="Q1429">
        <f>-429.345519504764 -165.847443949189 -416.309951674038</f>
        <v>-1011.5029151279909</v>
      </c>
      <c r="R1429" t="s">
        <v>15831</v>
      </c>
      <c r="S1429" t="s">
        <v>15832</v>
      </c>
      <c r="T1429" t="s">
        <v>15833</v>
      </c>
      <c r="U1429" t="s">
        <v>15834</v>
      </c>
      <c r="V1429">
        <f>-597.974734827949 -134.877842100239 -97.4789154961331</f>
        <v>-830.33149242432114</v>
      </c>
      <c r="W1429" t="s">
        <v>15835</v>
      </c>
      <c r="X1429" t="s">
        <v>15836</v>
      </c>
      <c r="Y1429" t="s">
        <v>15837</v>
      </c>
    </row>
    <row r="1430" spans="1:25" x14ac:dyDescent="0.3">
      <c r="A1430">
        <v>71450</v>
      </c>
      <c r="B1430" t="s">
        <v>15838</v>
      </c>
      <c r="C1430">
        <f>-624.685892604743 -44.2731368508757 -99.8904692184819</f>
        <v>-768.84949867410069</v>
      </c>
      <c r="D1430">
        <f>-648.597187019099 -55.8928864879605 -212.626714892648</f>
        <v>-917.1167883997075</v>
      </c>
      <c r="E1430">
        <f>-659.330242189226 -58.9199868619794 -310.618037263732</f>
        <v>-1028.8682663149375</v>
      </c>
      <c r="F1430">
        <f>-665.595875036974 -59.1336228631062 -399.49400662676</f>
        <v>-1124.2235045268403</v>
      </c>
      <c r="G1430">
        <f>-668.027234363808 -56.8073356935437 -488.527106535319</f>
        <v>-1213.3616765926706</v>
      </c>
      <c r="H1430">
        <f>-667.35842445962 -50.9591008791701 -612.970665820386</f>
        <v>-1331.2881911591762</v>
      </c>
      <c r="I1430">
        <f>-639.26426217803 -39.5112587733695 -690.331370000279</f>
        <v>-1369.1068909516785</v>
      </c>
      <c r="J1430">
        <f>-673.045239140506 -26.3820178909496 -556.962238162127</f>
        <v>-1256.3894951935827</v>
      </c>
      <c r="K1430" t="s">
        <v>15839</v>
      </c>
      <c r="L1430" t="s">
        <v>15840</v>
      </c>
      <c r="M1430" t="s">
        <v>15841</v>
      </c>
      <c r="N1430">
        <f>-662.26022214915 -80.6832446651968 -559.456179119887</f>
        <v>-1302.3996459342338</v>
      </c>
      <c r="O1430">
        <f>-635.294726803922 -213.710917388504 -537.6372462173</f>
        <v>-1386.6428904097261</v>
      </c>
      <c r="P1430">
        <f>-545.273078570716 -330.086431371013 -282.79593786629</f>
        <v>-1158.1554478080191</v>
      </c>
      <c r="Q1430">
        <f>-429.14544901051 -165.228948883902 -414.656693411319</f>
        <v>-1009.031091305731</v>
      </c>
      <c r="R1430" t="s">
        <v>15842</v>
      </c>
      <c r="S1430" t="s">
        <v>15843</v>
      </c>
      <c r="T1430" t="s">
        <v>15844</v>
      </c>
      <c r="U1430" t="s">
        <v>15845</v>
      </c>
      <c r="V1430">
        <f>-597.531311330059 -135.207537208271 -97.463574441201</f>
        <v>-830.20242297953098</v>
      </c>
      <c r="W1430" t="s">
        <v>15846</v>
      </c>
      <c r="X1430" t="s">
        <v>15847</v>
      </c>
      <c r="Y1430" t="s">
        <v>15848</v>
      </c>
    </row>
    <row r="1431" spans="1:25" x14ac:dyDescent="0.3">
      <c r="A1431">
        <v>71500</v>
      </c>
      <c r="B1431" t="s">
        <v>15849</v>
      </c>
      <c r="C1431">
        <f>-623.933498937432 -44.8817185152442 -99.9012309007491</f>
        <v>-768.71644835342522</v>
      </c>
      <c r="D1431">
        <f>-647.868035965047 -56.6523238012401 -212.61679269748</f>
        <v>-917.13715246376717</v>
      </c>
      <c r="E1431">
        <f>-658.611273772244 -59.8066082856308 -310.602943880912</f>
        <v>-1029.0208259387869</v>
      </c>
      <c r="F1431">
        <f>-664.881637793425 -60.1355522786249 -399.478254444455</f>
        <v>-1124.4954445165049</v>
      </c>
      <c r="G1431">
        <f>-667.313745253504 -57.9236410598845 -488.514400737618</f>
        <v>-1213.7517870510064</v>
      </c>
      <c r="H1431">
        <f>-666.641737173798 -52.2339245238943 -612.965076116976</f>
        <v>-1331.8407378146683</v>
      </c>
      <c r="I1431">
        <f>-638.609934347014 -40.7614602833908 -690.344850999415</f>
        <v>-1369.7162456298197</v>
      </c>
      <c r="J1431">
        <f>-672.421127612476 -27.6036681387511 -556.989533342479</f>
        <v>-1257.0143290937062</v>
      </c>
      <c r="K1431" t="s">
        <v>15850</v>
      </c>
      <c r="L1431" t="s">
        <v>15851</v>
      </c>
      <c r="M1431" t="s">
        <v>15852</v>
      </c>
      <c r="N1431">
        <f>-661.453698673887 -81.8716815318149 -559.411363465739</f>
        <v>-1302.7367436714408</v>
      </c>
      <c r="O1431">
        <f>-634.001819262175 -214.742536907211 -537.247566077243</f>
        <v>-1385.9919222466292</v>
      </c>
      <c r="P1431">
        <f>-546.900450473692 -327.354539320497 -279.714826012463</f>
        <v>-1153.9698158066519</v>
      </c>
      <c r="Q1431">
        <f>-428.819295297639 -163.962804863821 -411.664874680638</f>
        <v>-1004.4469748420979</v>
      </c>
      <c r="R1431" t="s">
        <v>15853</v>
      </c>
      <c r="S1431" t="s">
        <v>15854</v>
      </c>
      <c r="T1431" t="s">
        <v>15855</v>
      </c>
      <c r="U1431" t="s">
        <v>15856</v>
      </c>
      <c r="V1431">
        <f>-596.480918813964 -135.827324190072 -97.4439112508162</f>
        <v>-829.75215425485214</v>
      </c>
      <c r="W1431" t="s">
        <v>15857</v>
      </c>
      <c r="X1431" t="s">
        <v>15858</v>
      </c>
      <c r="Y1431" t="s">
        <v>15859</v>
      </c>
    </row>
    <row r="1432" spans="1:25" x14ac:dyDescent="0.3">
      <c r="A1432">
        <v>71550</v>
      </c>
      <c r="B1432" t="s">
        <v>15860</v>
      </c>
      <c r="C1432">
        <f>-623.549406901975 -44.9591812131969 -99.9335317903999</f>
        <v>-768.44211990557176</v>
      </c>
      <c r="D1432">
        <f>-647.486832924502 -56.8243650222081 -212.638619811506</f>
        <v>-916.94981775821611</v>
      </c>
      <c r="E1432">
        <f>-658.227235866387 -60.0362507653463 -310.623341697147</f>
        <v>-1028.8868283288803</v>
      </c>
      <c r="F1432">
        <f>-664.492044701032 -60.4090233677349 -399.498753868864</f>
        <v>-1124.3998219376308</v>
      </c>
      <c r="G1432">
        <f>-666.915469526369 -58.2324121822492 -488.535930158157</f>
        <v>-1213.6838118667752</v>
      </c>
      <c r="H1432">
        <f>-666.22770228035 -52.5832173838878 -612.988488418831</f>
        <v>-1331.7994080830688</v>
      </c>
      <c r="I1432">
        <f>-638.242764990596 -41.0974331761731 -690.383323148302</f>
        <v>-1369.7235213150711</v>
      </c>
      <c r="J1432">
        <f>-672.051490489598 -27.9422305470075 -557.022285990987</f>
        <v>-1257.0160070275924</v>
      </c>
      <c r="K1432" t="s">
        <v>15861</v>
      </c>
      <c r="L1432" t="s">
        <v>15862</v>
      </c>
      <c r="M1432" t="s">
        <v>15863</v>
      </c>
      <c r="N1432">
        <f>-661.009240333449 -82.1959903189922 -559.423986276411</f>
        <v>-1302.6292169288522</v>
      </c>
      <c r="O1432">
        <f>-633.386950378907 -215.002193799057 -537.134055562375</f>
        <v>-1385.5231997403389</v>
      </c>
      <c r="P1432">
        <f>-547.493121022825 -326.190947951757 -278.579395544333</f>
        <v>-1152.263464518915</v>
      </c>
      <c r="Q1432">
        <f>-428.60489325129 -163.296926491872 -410.420137188266</f>
        <v>-1002.3219569314278</v>
      </c>
      <c r="R1432" t="s">
        <v>15864</v>
      </c>
      <c r="S1432" t="s">
        <v>15865</v>
      </c>
      <c r="T1432" t="s">
        <v>15866</v>
      </c>
      <c r="U1432" t="s">
        <v>15867</v>
      </c>
      <c r="V1432">
        <f>-595.935526009361 -135.876779279386 -97.4447781387047</f>
        <v>-829.25708342745168</v>
      </c>
      <c r="W1432" t="s">
        <v>15868</v>
      </c>
      <c r="X1432" t="s">
        <v>15869</v>
      </c>
      <c r="Y1432" t="s">
        <v>15870</v>
      </c>
    </row>
    <row r="1433" spans="1:25" x14ac:dyDescent="0.3">
      <c r="A1433">
        <v>71600</v>
      </c>
      <c r="B1433" t="s">
        <v>15871</v>
      </c>
      <c r="C1433">
        <f>-622.8363876305 -44.9586402974095 -100.068605971373</f>
        <v>-767.86363389928249</v>
      </c>
      <c r="D1433">
        <f>-646.79065246935 -56.9843890750328 -212.753119034823</f>
        <v>-916.52816057920586</v>
      </c>
      <c r="E1433">
        <f>-657.519640139512 -60.3377610760074 -310.734174900742</f>
        <v>-1028.5915761162614</v>
      </c>
      <c r="F1433">
        <f>-663.762677523796 -60.8421313561892 -399.610556303605</f>
        <v>-1124.2153651835902</v>
      </c>
      <c r="G1433">
        <f>-666.152719489692 -58.800469198654 -488.651958089429</f>
        <v>-1213.605146777775</v>
      </c>
      <c r="H1433">
        <f>-665.405959529499 -53.3440801497521 -613.11274501107</f>
        <v>-1331.8627846903212</v>
      </c>
      <c r="I1433">
        <f>-637.553653502675 -41.9238230752458 -690.565001997228</f>
        <v>-1370.0424785751488</v>
      </c>
      <c r="J1433">
        <f>-671.316599801048 -28.6286359198905 -557.188455375228</f>
        <v>-1257.1336910961666</v>
      </c>
      <c r="K1433" t="s">
        <v>15872</v>
      </c>
      <c r="L1433" t="s">
        <v>15873</v>
      </c>
      <c r="M1433" t="s">
        <v>15874</v>
      </c>
      <c r="N1433">
        <f>-660.152543814114 -82.8614980515856 -559.49900980614</f>
        <v>-1302.5130516718395</v>
      </c>
      <c r="O1433">
        <f>-632.218729115595 -215.540759265935 -536.841369539398</f>
        <v>-1384.6008579209279</v>
      </c>
      <c r="P1433">
        <f>-548.351815737524 -324.293329820866 -276.59072285038</f>
        <v>-1149.2358684087701</v>
      </c>
      <c r="Q1433">
        <f>-428.003767457607 -162.056257270684 -407.916132729707</f>
        <v>-997.97615745799794</v>
      </c>
      <c r="R1433" t="s">
        <v>15875</v>
      </c>
      <c r="S1433" t="s">
        <v>15876</v>
      </c>
      <c r="T1433" t="s">
        <v>15877</v>
      </c>
      <c r="U1433" t="s">
        <v>15878</v>
      </c>
      <c r="V1433">
        <f>-594.961025107662 -135.814604471717 -97.4698398610395</f>
        <v>-828.24546944041845</v>
      </c>
      <c r="W1433" t="s">
        <v>15879</v>
      </c>
      <c r="X1433" t="s">
        <v>15880</v>
      </c>
      <c r="Y1433" t="s">
        <v>15881</v>
      </c>
    </row>
    <row r="1434" spans="1:25" x14ac:dyDescent="0.3">
      <c r="A1434">
        <v>71650</v>
      </c>
      <c r="B1434" t="s">
        <v>15882</v>
      </c>
      <c r="C1434">
        <f>-622.57972350126 -44.9942574450588 -100.119529455459</f>
        <v>-767.69351040177776</v>
      </c>
      <c r="D1434">
        <f>-646.530025991558 -57.0533540876256 -212.801350889085</f>
        <v>-916.38473096826863</v>
      </c>
      <c r="E1434">
        <f>-657.225387529801 -60.4680314431272 -310.78404003496</f>
        <v>-1028.4774590078882</v>
      </c>
      <c r="F1434">
        <f>-663.426308600746 -61.0416415741537 -399.662890774158</f>
        <v>-1124.1308409490575</v>
      </c>
      <c r="G1434">
        <f>-665.762919047028 -59.0827013584653 -488.707561237033</f>
        <v>-1213.5531816425264</v>
      </c>
      <c r="H1434">
        <f>-664.929917703756 -53.7556709398427 -613.173335325436</f>
        <v>-1331.8589239690348</v>
      </c>
      <c r="I1434">
        <f>-637.169115279175 -42.411262550781 -690.669537959776</f>
        <v>-1370.2499157897319</v>
      </c>
      <c r="J1434">
        <f>-670.90550712952 -28.9876255668651 -557.279338691796</f>
        <v>-1257.1724713881811</v>
      </c>
      <c r="K1434" t="s">
        <v>15883</v>
      </c>
      <c r="L1434" t="s">
        <v>15884</v>
      </c>
      <c r="M1434" t="s">
        <v>15885</v>
      </c>
      <c r="N1434">
        <f>-659.687435905659 -83.2120527987671 -559.525031188433</f>
        <v>-1302.4245198928591</v>
      </c>
      <c r="O1434">
        <f>-631.638789566829 -215.831650882182 -536.667351223283</f>
        <v>-1384.137791672294</v>
      </c>
      <c r="P1434">
        <f>-548.703416759312 -323.76771253367 -275.779008172292</f>
        <v>-1148.2501374652738</v>
      </c>
      <c r="Q1434">
        <f>-427.636456536359 -161.925054004648 -406.930040579651</f>
        <v>-996.49155112065796</v>
      </c>
      <c r="R1434" t="s">
        <v>15886</v>
      </c>
      <c r="S1434" t="s">
        <v>15887</v>
      </c>
      <c r="T1434" t="s">
        <v>15888</v>
      </c>
      <c r="U1434" t="s">
        <v>15889</v>
      </c>
      <c r="V1434">
        <f>-594.608198593949 -135.939528786645 -97.5016001492431</f>
        <v>-828.04932752983723</v>
      </c>
      <c r="W1434" t="s">
        <v>15890</v>
      </c>
      <c r="X1434" t="s">
        <v>15891</v>
      </c>
      <c r="Y1434" t="s">
        <v>15892</v>
      </c>
    </row>
    <row r="1435" spans="1:25" x14ac:dyDescent="0.3">
      <c r="A1435">
        <v>71700</v>
      </c>
      <c r="B1435" t="s">
        <v>15893</v>
      </c>
      <c r="C1435">
        <f>-622.225224062674 -44.9315512604861 -100.21427017781</f>
        <v>-767.37104550097013</v>
      </c>
      <c r="D1435">
        <f>-646.120581817145 -57.0252717329303 -212.903947326954</f>
        <v>-916.04980087702927</v>
      </c>
      <c r="E1435">
        <f>-656.714694037723 -60.5507125519028 -310.89382381469</f>
        <v>-1028.1592304043158</v>
      </c>
      <c r="F1435">
        <f>-662.803795841101 -61.2576223257261 -399.77943671581</f>
        <v>-1123.8408548826369</v>
      </c>
      <c r="G1435">
        <f>-665.009310813386 -59.4644034056985 -488.830995777269</f>
        <v>-1213.3047099963535</v>
      </c>
      <c r="H1435">
        <f>-663.973655219361 -54.4033582154414 -613.306277045793</f>
        <v>-1331.6832904805954</v>
      </c>
      <c r="I1435">
        <f>-636.509725397912 -43.2970361486842 -690.942685886149</f>
        <v>-1370.7494474327452</v>
      </c>
      <c r="J1435">
        <f>-670.081209896833 -29.524526085434 -557.475740688347</f>
        <v>-1257.0814766706139</v>
      </c>
      <c r="K1435" t="s">
        <v>15894</v>
      </c>
      <c r="L1435" t="s">
        <v>15895</v>
      </c>
      <c r="M1435" t="s">
        <v>15896</v>
      </c>
      <c r="N1435">
        <f>-658.777534197846 -83.7364668390524 -559.585931443528</f>
        <v>-1302.0999324804263</v>
      </c>
      <c r="O1435">
        <f>-630.540255502414 -216.264260810903 -536.404262424635</f>
        <v>-1383.2087787379519</v>
      </c>
      <c r="P1435">
        <f>-549.227717507242 -323.416171020451 -274.683201386535</f>
        <v>-1147.3270899142281</v>
      </c>
      <c r="Q1435">
        <f>-427.626053818333 -161.542052958278 -405.299594099581</f>
        <v>-994.467700876192</v>
      </c>
      <c r="R1435" t="s">
        <v>15897</v>
      </c>
      <c r="S1435" t="s">
        <v>15898</v>
      </c>
      <c r="T1435" t="s">
        <v>15899</v>
      </c>
      <c r="U1435" t="s">
        <v>15900</v>
      </c>
      <c r="V1435">
        <f>-594.149752458168 -135.834534040031 -97.5640455834757</f>
        <v>-827.54833208167474</v>
      </c>
      <c r="W1435" t="s">
        <v>15901</v>
      </c>
      <c r="X1435" t="s">
        <v>15902</v>
      </c>
      <c r="Y1435" t="s">
        <v>15903</v>
      </c>
    </row>
    <row r="1436" spans="1:25" x14ac:dyDescent="0.3">
      <c r="A1436">
        <v>71750</v>
      </c>
      <c r="B1436" t="s">
        <v>15904</v>
      </c>
      <c r="C1436">
        <f>-622.070342458579 -44.8072511262001 -100.24635861995</f>
        <v>-767.12395220472911</v>
      </c>
      <c r="D1436">
        <f>-645.94522680048 -56.8906228583437 -212.941585589944</f>
        <v>-915.77743524876769</v>
      </c>
      <c r="E1436">
        <f>-656.52276830437 -60.4587553940352 -310.931609806373</f>
        <v>-1027.9131335047782</v>
      </c>
      <c r="F1436">
        <f>-662.598314081365 -61.2244918066161 -399.817726474486</f>
        <v>-1123.6405323624672</v>
      </c>
      <c r="G1436">
        <f>-664.792467571275 -59.5097504427278 -488.870943434092</f>
        <v>-1213.1731614480948</v>
      </c>
      <c r="H1436">
        <f>-663.743889822495 -54.5786568134433 -613.351445605658</f>
        <v>-1331.6739922415964</v>
      </c>
      <c r="I1436">
        <f>-636.31793542059 -43.575044144182 -691.016031591261</f>
        <v>-1370.9090111560331</v>
      </c>
      <c r="J1436">
        <f>-669.873294491263 -29.6450125950698 -557.547874969724</f>
        <v>-1257.0661820560567</v>
      </c>
      <c r="K1436" t="s">
        <v>15905</v>
      </c>
      <c r="L1436" t="s">
        <v>15906</v>
      </c>
      <c r="M1436" t="s">
        <v>15907</v>
      </c>
      <c r="N1436">
        <f>-658.53734315237 -83.8524278460346 -559.599679587731</f>
        <v>-1301.9894505861357</v>
      </c>
      <c r="O1436">
        <f>-630.228961146099 -216.344830659429 -536.29795610057</f>
        <v>-1382.8717479060979</v>
      </c>
      <c r="P1436">
        <f>-549.274326504207 -323.429316704549 -274.438355693471</f>
        <v>-1147.141998902227</v>
      </c>
      <c r="Q1436">
        <f>-427.37822703895 -161.225052560356 -404.369210660414</f>
        <v>-992.97249025971996</v>
      </c>
      <c r="R1436" t="s">
        <v>15908</v>
      </c>
      <c r="S1436" t="s">
        <v>15909</v>
      </c>
      <c r="T1436" t="s">
        <v>15910</v>
      </c>
      <c r="U1436" t="s">
        <v>15911</v>
      </c>
      <c r="V1436">
        <f>-593.949769674877 -135.708518465136 -97.5964689481656</f>
        <v>-827.25475708817851</v>
      </c>
      <c r="W1436" t="s">
        <v>15912</v>
      </c>
      <c r="X1436" t="s">
        <v>15913</v>
      </c>
      <c r="Y1436" t="s">
        <v>15914</v>
      </c>
    </row>
    <row r="1437" spans="1:25" x14ac:dyDescent="0.3">
      <c r="A1437">
        <v>71800</v>
      </c>
      <c r="B1437" t="s">
        <v>15915</v>
      </c>
      <c r="C1437">
        <f>-621.765041440543 -44.8725764992186 -100.320798777999</f>
        <v>-766.95841671776054</v>
      </c>
      <c r="D1437">
        <f>-645.639514298269 -56.972580065017 -213.014167932596</f>
        <v>-915.62626229588204</v>
      </c>
      <c r="E1437">
        <f>-656.2366240406 -60.6327264423045 -310.998818502121</f>
        <v>-1027.8681689850255</v>
      </c>
      <c r="F1437">
        <f>-662.339859285718 -61.5113882653576 -399.881821778855</f>
        <v>-1123.7330693299307</v>
      </c>
      <c r="G1437">
        <f>-664.572699195625 -59.9383768498376 -488.936946961919</f>
        <v>-1213.4480230073816</v>
      </c>
      <c r="H1437">
        <f>-663.590678696904 -55.2339851307656 -613.42669452642</f>
        <v>-1332.2513583540895</v>
      </c>
      <c r="I1437">
        <f>-636.194647184702 -44.4637965927036 -691.134386446687</f>
        <v>-1371.7928302240925</v>
      </c>
      <c r="J1437">
        <f>-669.715945611262 -30.2040254269407 -557.665695167593</f>
        <v>-1257.5856662057956</v>
      </c>
      <c r="K1437" t="s">
        <v>15916</v>
      </c>
      <c r="L1437" t="s">
        <v>15917</v>
      </c>
      <c r="M1437" t="s">
        <v>15918</v>
      </c>
      <c r="N1437">
        <f>-658.32966093766 -84.404356833388 -559.624008004257</f>
        <v>-1302.3580257753051</v>
      </c>
      <c r="O1437">
        <f>-629.92695935749 -216.839814523358 -536.116818839626</f>
        <v>-1382.8835927204741</v>
      </c>
      <c r="P1437">
        <f>-549.264350454528 -324.283194156176 -274.314249625431</f>
        <v>-1147.861794236135</v>
      </c>
      <c r="Q1437">
        <f>-427.265565382133 -161.148863679789 -402.977865724229</f>
        <v>-991.39229478615096</v>
      </c>
      <c r="R1437" t="s">
        <v>15919</v>
      </c>
      <c r="S1437" t="s">
        <v>15920</v>
      </c>
      <c r="T1437" t="s">
        <v>15921</v>
      </c>
      <c r="U1437" t="s">
        <v>15922</v>
      </c>
      <c r="V1437">
        <f>-593.606093579694 -135.930670883952 -97.6525990721589</f>
        <v>-827.18936353580477</v>
      </c>
      <c r="W1437" t="s">
        <v>15923</v>
      </c>
      <c r="X1437" t="s">
        <v>15924</v>
      </c>
      <c r="Y1437" t="s">
        <v>15925</v>
      </c>
    </row>
    <row r="1438" spans="1:25" x14ac:dyDescent="0.3">
      <c r="A1438">
        <v>71850</v>
      </c>
      <c r="B1438" t="s">
        <v>15926</v>
      </c>
      <c r="C1438">
        <f>-621.660489226671 -44.8852976061553 -100.346134149897</f>
        <v>-766.89192098272326</v>
      </c>
      <c r="D1438">
        <f>-645.545977096109 -56.9837008334157 -213.037446944243</f>
        <v>-915.56712487376774</v>
      </c>
      <c r="E1438">
        <f>-656.154528638201 -60.6576907677139 -311.020137945546</f>
        <v>-1027.8323573514608</v>
      </c>
      <c r="F1438">
        <f>-662.269280291703 -61.5549885089675 -399.902406047681</f>
        <v>-1123.7266748483516</v>
      </c>
      <c r="G1438">
        <f>-664.514993105308 -60.006344564909 -488.957464005085</f>
        <v>-1213.4788016753021</v>
      </c>
      <c r="H1438">
        <f>-663.552449454787 -55.3422419216025 -613.448968527408</f>
        <v>-1332.3436599037977</v>
      </c>
      <c r="I1438">
        <f>-636.13355926458 -44.6483843371722 -691.159139033125</f>
        <v>-1371.9410826348771</v>
      </c>
      <c r="J1438">
        <f>-669.673535039832 -30.295075162433 -557.695133119376</f>
        <v>-1257.663743321641</v>
      </c>
      <c r="K1438" t="s">
        <v>15927</v>
      </c>
      <c r="L1438" t="s">
        <v>15928</v>
      </c>
      <c r="M1438" t="s">
        <v>15929</v>
      </c>
      <c r="N1438">
        <f>-658.278433224512 -84.4942561252093 -559.637532039562</f>
        <v>-1302.4102213892834</v>
      </c>
      <c r="O1438">
        <f>-629.895440404741 -216.940809360584 -536.139402190258</f>
        <v>-1382.9756519555831</v>
      </c>
      <c r="P1438">
        <f>-549.492112143169 -324.467361951905 -274.291043182956</f>
        <v>-1148.25051727803</v>
      </c>
      <c r="Q1438">
        <f>-427.227382328602 -160.996660496039 -402.273409560436</f>
        <v>-990.49745238507694</v>
      </c>
      <c r="R1438" t="s">
        <v>15930</v>
      </c>
      <c r="S1438" t="s">
        <v>15931</v>
      </c>
      <c r="T1438" t="s">
        <v>15932</v>
      </c>
      <c r="U1438" t="s">
        <v>15933</v>
      </c>
      <c r="V1438">
        <f>-593.478229434274 -135.921388436256 -97.6768425528983</f>
        <v>-827.07646042342822</v>
      </c>
      <c r="W1438" t="s">
        <v>15934</v>
      </c>
      <c r="X1438" t="s">
        <v>15935</v>
      </c>
      <c r="Y1438" t="s">
        <v>15936</v>
      </c>
    </row>
    <row r="1439" spans="1:25" x14ac:dyDescent="0.3">
      <c r="A1439">
        <v>71900</v>
      </c>
      <c r="B1439" t="s">
        <v>15937</v>
      </c>
      <c r="C1439">
        <f>-621.505693727052 -44.942894648759 -100.394733140544</f>
        <v>-766.84332151635488</v>
      </c>
      <c r="D1439">
        <f>-645.360367781811 -57.044471707202 -213.092298955588</f>
        <v>-915.49713844460098</v>
      </c>
      <c r="E1439">
        <f>-655.987383206564 -60.7330775017189 -311.072521803737</f>
        <v>-1027.79298251202</v>
      </c>
      <c r="F1439">
        <f>-662.137438781042 -61.6476621137979 -399.952034658238</f>
        <v>-1123.7371355530779</v>
      </c>
      <c r="G1439">
        <f>-664.43745976908 -60.1199622996205 -489.006027653686</f>
        <v>-1213.5634497223864</v>
      </c>
      <c r="H1439">
        <f>-663.570656774603 -55.4880152407536 -613.499510829264</f>
        <v>-1332.5581828446207</v>
      </c>
      <c r="I1439">
        <f>-636.215236465529 -44.8935356089341 -691.245723830736</f>
        <v>-1372.3544959051992</v>
      </c>
      <c r="J1439">
        <f>-669.654411245025 -30.4276685834241 -557.747545975659</f>
        <v>-1257.8296258041082</v>
      </c>
      <c r="K1439" t="s">
        <v>15938</v>
      </c>
      <c r="L1439" t="s">
        <v>15939</v>
      </c>
      <c r="M1439" t="s">
        <v>15940</v>
      </c>
      <c r="N1439">
        <f>-658.249683811431 -84.6248826362107 -559.684708922116</f>
        <v>-1302.5592753697579</v>
      </c>
      <c r="O1439">
        <f>-629.924854499718 -217.073271209366 -536.198308361942</f>
        <v>-1383.196434071026</v>
      </c>
      <c r="P1439">
        <f>-550.008354182143 -325.386050435461 -274.525118256775</f>
        <v>-1149.919522874379</v>
      </c>
      <c r="Q1439">
        <f>-427.358445632613 -161.079034763853 -401.060035639042</f>
        <v>-989.49751603550897</v>
      </c>
      <c r="R1439" t="s">
        <v>15941</v>
      </c>
      <c r="S1439" t="s">
        <v>15942</v>
      </c>
      <c r="T1439" t="s">
        <v>15943</v>
      </c>
      <c r="U1439" t="s">
        <v>15944</v>
      </c>
      <c r="V1439">
        <f>-593.305253512478 -135.956882440886 -97.7120157480199</f>
        <v>-826.9741517013839</v>
      </c>
      <c r="W1439" t="s">
        <v>15945</v>
      </c>
      <c r="X1439" t="s">
        <v>15946</v>
      </c>
      <c r="Y1439" t="s">
        <v>15947</v>
      </c>
    </row>
    <row r="1440" spans="1:25" x14ac:dyDescent="0.3">
      <c r="A1440">
        <v>71950</v>
      </c>
      <c r="B1440" t="s">
        <v>15948</v>
      </c>
      <c r="C1440">
        <f>-621.427331139891 -45.0189033316036 -100.421029464991</f>
        <v>-766.86726393648553</v>
      </c>
      <c r="D1440">
        <f>-645.268724408873 -57.124450099474 -213.120917332793</f>
        <v>-915.51409184114004</v>
      </c>
      <c r="E1440">
        <f>-655.914428871201 -60.8135699889745 -311.09900841553</f>
        <v>-1027.8270072757055</v>
      </c>
      <c r="F1440">
        <f>-662.093526530555 -61.7267701937465 -399.976562814744</f>
        <v>-1123.7968595390455</v>
      </c>
      <c r="G1440">
        <f>-664.43497937707 -60.1954640217929 -489.029562660958</f>
        <v>-1213.6600060598209</v>
      </c>
      <c r="H1440">
        <f>-663.639017442566 -55.5562154710148 -613.523192342966</f>
        <v>-1332.7184252565467</v>
      </c>
      <c r="I1440">
        <f>-636.374422539694 -44.9718640161334 -691.302516594921</f>
        <v>-1372.6488031507483</v>
      </c>
      <c r="J1440">
        <f>-669.692679729993 -30.4996013928471 -557.766200987563</f>
        <v>-1257.9584821104031</v>
      </c>
      <c r="K1440" t="s">
        <v>15949</v>
      </c>
      <c r="L1440" t="s">
        <v>15950</v>
      </c>
      <c r="M1440" t="s">
        <v>15951</v>
      </c>
      <c r="N1440">
        <f>-658.285824731457 -84.6959971686957 -559.712988382758</f>
        <v>-1302.6948102829117</v>
      </c>
      <c r="O1440">
        <f>-629.96069595314 -217.154866925746 -536.266906562628</f>
        <v>-1383.3824694415139</v>
      </c>
      <c r="P1440">
        <f>-550.431330709342 -325.562508642662 -274.514949898478</f>
        <v>-1150.5087892504821</v>
      </c>
      <c r="Q1440">
        <f>-427.233429515024 -161.177611215938 -400.414681763307</f>
        <v>-988.82572249426903</v>
      </c>
      <c r="R1440" t="s">
        <v>15952</v>
      </c>
      <c r="S1440" t="s">
        <v>15953</v>
      </c>
      <c r="T1440" t="s">
        <v>15954</v>
      </c>
      <c r="U1440" t="s">
        <v>15955</v>
      </c>
      <c r="V1440">
        <f>-593.246089295641 -136.049547156838 -97.7276434022996</f>
        <v>-827.02327985477859</v>
      </c>
      <c r="W1440" t="s">
        <v>15956</v>
      </c>
      <c r="X1440" t="s">
        <v>15957</v>
      </c>
      <c r="Y1440" t="s">
        <v>15958</v>
      </c>
    </row>
    <row r="1441" spans="1:25" x14ac:dyDescent="0.3">
      <c r="A1441">
        <v>72000</v>
      </c>
      <c r="B1441" t="s">
        <v>15959</v>
      </c>
      <c r="C1441">
        <f>-621.337008075057 -45.2873993605807 -100.468091814814</f>
        <v>-767.09249925045174</v>
      </c>
      <c r="D1441">
        <f>-645.129453165149 -57.3962451054323 -213.177917836849</f>
        <v>-915.70361610743032</v>
      </c>
      <c r="E1441">
        <f>-655.755166805881 -61.0832956992875 -311.158468500758</f>
        <v>-1027.9969310059264</v>
      </c>
      <c r="F1441">
        <f>-661.925532028521 -61.9923394222242 -400.036673864175</f>
        <v>-1123.9545453149203</v>
      </c>
      <c r="G1441">
        <f>-664.267630998454 -60.4540512586422 -489.089332854425</f>
        <v>-1213.8110151115211</v>
      </c>
      <c r="H1441">
        <f>-663.482628856022 -55.801214676571 -613.582544744481</f>
        <v>-1332.8663882770738</v>
      </c>
      <c r="I1441">
        <f>-636.304376742983 -45.1726262119881 -691.386078656332</f>
        <v>-1372.8630816113032</v>
      </c>
      <c r="J1441">
        <f>-669.549147327201 -30.7543032311164 -557.822668038601</f>
        <v>-1258.1261185969183</v>
      </c>
      <c r="K1441" t="s">
        <v>15960</v>
      </c>
      <c r="L1441" t="s">
        <v>15961</v>
      </c>
      <c r="M1441" t="s">
        <v>15962</v>
      </c>
      <c r="N1441">
        <f>-658.106995291868 -84.9431492343369 -559.77576035275</f>
        <v>-1302.825904878955</v>
      </c>
      <c r="O1441">
        <f>-629.738348572583 -217.381851775976 -536.313730853251</f>
        <v>-1383.4339312018101</v>
      </c>
      <c r="P1441">
        <f>-551.339245103598 -325.727855354349 -274.195606170344</f>
        <v>-1151.262706628291</v>
      </c>
      <c r="Q1441">
        <f>-427.039072282091 -161.442286507767 -399.137974305595</f>
        <v>-987.61933309545293</v>
      </c>
      <c r="R1441" t="s">
        <v>15963</v>
      </c>
      <c r="S1441" t="s">
        <v>15964</v>
      </c>
      <c r="T1441" t="s">
        <v>15965</v>
      </c>
      <c r="U1441" t="s">
        <v>15966</v>
      </c>
      <c r="V1441">
        <f>-593.12235353385 -136.377921111109 -97.7585279716247</f>
        <v>-827.25880261658369</v>
      </c>
      <c r="W1441" t="s">
        <v>15967</v>
      </c>
      <c r="X1441" t="s">
        <v>15968</v>
      </c>
      <c r="Y1441" t="s">
        <v>15969</v>
      </c>
    </row>
    <row r="1442" spans="1:25" x14ac:dyDescent="0.3">
      <c r="A1442">
        <v>72050</v>
      </c>
      <c r="B1442" t="s">
        <v>15970</v>
      </c>
      <c r="C1442">
        <f>-621.276487844636 -45.3891392644599 -100.481773679399</f>
        <v>-767.14740078849491</v>
      </c>
      <c r="D1442">
        <f>-645.057391336984 -57.4966175106549 -213.194235637997</f>
        <v>-915.74824448563595</v>
      </c>
      <c r="E1442">
        <f>-655.646757276677 -61.17291030621 -311.179006987799</f>
        <v>-1027.998674570686</v>
      </c>
      <c r="F1442">
        <f>-661.773655230457 -62.0681280229578 -400.06041272144</f>
        <v>-1123.9021959748547</v>
      </c>
      <c r="G1442">
        <f>-664.061929520233 -60.5116966267708 -489.114173584231</f>
        <v>-1213.6877997312349</v>
      </c>
      <c r="H1442">
        <f>-663.191250901388 -55.8287204193892 -613.605616845424</f>
        <v>-1332.6255881662014</v>
      </c>
      <c r="I1442">
        <f>-635.986677429645 -45.1250275703025 -691.389789164829</f>
        <v>-1372.5014941647764</v>
      </c>
      <c r="J1442">
        <f>-669.315719308167 -30.7993743273091 -557.84414168418</f>
        <v>-1257.9592353196563</v>
      </c>
      <c r="K1442" t="s">
        <v>15971</v>
      </c>
      <c r="L1442" t="s">
        <v>15972</v>
      </c>
      <c r="M1442" t="s">
        <v>15973</v>
      </c>
      <c r="N1442">
        <f>-657.833002763874 -84.9794488924662 -559.802042263144</f>
        <v>-1302.6144939194842</v>
      </c>
      <c r="O1442">
        <f>-629.405968907178 -217.419794541287 -536.349954618452</f>
        <v>-1383.1757180669169</v>
      </c>
      <c r="P1442">
        <f>-551.752705384441 -325.538496108307 -273.916127702313</f>
        <v>-1151.207329195061</v>
      </c>
      <c r="Q1442">
        <f>-426.90939887363 -161.403804852499 -398.514822775367</f>
        <v>-986.82802650149597</v>
      </c>
      <c r="R1442" t="s">
        <v>15974</v>
      </c>
      <c r="S1442" t="s">
        <v>15975</v>
      </c>
      <c r="T1442" t="s">
        <v>15976</v>
      </c>
      <c r="U1442" t="s">
        <v>15977</v>
      </c>
      <c r="V1442">
        <f>-593.049041619817 -136.464726751676 -97.7710664891366</f>
        <v>-827.28483486062964</v>
      </c>
      <c r="W1442" t="s">
        <v>15978</v>
      </c>
      <c r="X1442" t="s">
        <v>15979</v>
      </c>
      <c r="Y1442" t="s">
        <v>15980</v>
      </c>
    </row>
    <row r="1443" spans="1:25" x14ac:dyDescent="0.3">
      <c r="A1443">
        <v>72100</v>
      </c>
      <c r="B1443" t="s">
        <v>15981</v>
      </c>
      <c r="C1443">
        <f>-621.048960050552 -45.7593433069893 -100.474455327814</f>
        <v>-767.28275868535525</v>
      </c>
      <c r="D1443">
        <f>-644.827335460546 -57.8642619879846 -213.187679014309</f>
        <v>-915.87927646283958</v>
      </c>
      <c r="E1443">
        <f>-655.403935464542 -61.5078215664986 -311.175039520377</f>
        <v>-1028.0867965514176</v>
      </c>
      <c r="F1443">
        <f>-661.515336438477 -62.3609213103092 -400.057770587277</f>
        <v>-1123.9340283360632</v>
      </c>
      <c r="G1443">
        <f>-663.784248116338 -60.7486641188053 -489.111249416592</f>
        <v>-1213.6441616517352</v>
      </c>
      <c r="H1443">
        <f>-662.882440360501 -55.9732947249333 -613.598949421396</f>
        <v>-1332.4546845068303</v>
      </c>
      <c r="I1443">
        <f>-635.668971582034 -45.111470732257 -691.358091598108</f>
        <v>-1372.138533912399</v>
      </c>
      <c r="J1443">
        <f>-669.062360372916 -30.9941656717451 -557.821115169644</f>
        <v>-1257.8776412143052</v>
      </c>
      <c r="K1443" t="s">
        <v>15982</v>
      </c>
      <c r="L1443" t="s">
        <v>15983</v>
      </c>
      <c r="M1443" t="s">
        <v>15984</v>
      </c>
      <c r="N1443">
        <f>-657.496218759108 -85.1552031542609 -559.815017934027</f>
        <v>-1302.466439847396</v>
      </c>
      <c r="O1443">
        <f>-628.828320909568 -217.533444779188 -536.34451674187</f>
        <v>-1382.7062824306261</v>
      </c>
      <c r="P1443">
        <f>-551.899348301934 -324.767165404792 -273.334933457134</f>
        <v>-1150.0014471638599</v>
      </c>
      <c r="Q1443">
        <f>-426.235881129938 -160.95981532016 -397.53924645984</f>
        <v>-984.73494290993801</v>
      </c>
      <c r="R1443" t="s">
        <v>15985</v>
      </c>
      <c r="S1443" t="s">
        <v>15986</v>
      </c>
      <c r="T1443" t="s">
        <v>15987</v>
      </c>
      <c r="U1443" t="s">
        <v>15988</v>
      </c>
      <c r="V1443">
        <f>-592.789546635835 -136.851738714178 -97.7819878283138</f>
        <v>-827.42327317832689</v>
      </c>
      <c r="W1443" t="s">
        <v>15989</v>
      </c>
      <c r="X1443" t="s">
        <v>15990</v>
      </c>
      <c r="Y1443" t="s">
        <v>15991</v>
      </c>
    </row>
    <row r="1444" spans="1:25" x14ac:dyDescent="0.3">
      <c r="A1444">
        <v>72150</v>
      </c>
      <c r="B1444" t="s">
        <v>15992</v>
      </c>
      <c r="C1444">
        <f>-620.957036306703 -45.8929871506327 -100.480513888106</f>
        <v>-767.33053734544171</v>
      </c>
      <c r="D1444">
        <f>-644.735734099691 -58.0220785278472 -213.191181302331</f>
        <v>-915.94899392986906</v>
      </c>
      <c r="E1444">
        <f>-655.303756213075 -61.6725917514617 -311.179160511978</f>
        <v>-1028.1555084765146</v>
      </c>
      <c r="F1444">
        <f>-661.403473762274 -62.526419882873 -400.062770769792</f>
        <v>-1123.9926644149391</v>
      </c>
      <c r="G1444">
        <f>-663.656848739279 -60.9096323666325 -489.116414360548</f>
        <v>-1213.6828954664595</v>
      </c>
      <c r="H1444">
        <f>-662.729431865653 -56.1220839488672 -613.603473810893</f>
        <v>-1332.4549896254132</v>
      </c>
      <c r="I1444">
        <f>-635.49362859883 -45.1944213171714 -691.345576872221</f>
        <v>-1372.0336267882226</v>
      </c>
      <c r="J1444">
        <f>-668.938086452796 -31.1520458697755 -557.824780114589</f>
        <v>-1257.9149124371606</v>
      </c>
      <c r="K1444" t="s">
        <v>15993</v>
      </c>
      <c r="L1444" t="s">
        <v>15994</v>
      </c>
      <c r="M1444" t="s">
        <v>15995</v>
      </c>
      <c r="N1444">
        <f>-657.337002742985 -85.3056118040558 -559.821063688697</f>
        <v>-1302.4636782357379</v>
      </c>
      <c r="O1444">
        <f>-628.542080919945 -217.662196051336 -536.368969660994</f>
        <v>-1382.573246632275</v>
      </c>
      <c r="P1444">
        <f>-551.739821061979 -324.501205365324 -273.161773769032</f>
        <v>-1149.402800196335</v>
      </c>
      <c r="Q1444">
        <f>-426.129767318136 -160.569810042564 -397.25630809984</f>
        <v>-983.95588546054</v>
      </c>
      <c r="R1444" t="s">
        <v>15996</v>
      </c>
      <c r="S1444" t="s">
        <v>15997</v>
      </c>
      <c r="T1444" t="s">
        <v>15998</v>
      </c>
      <c r="U1444" t="s">
        <v>15999</v>
      </c>
      <c r="V1444">
        <f>-592.691997609688 -136.985043943917 -97.7703516764442</f>
        <v>-827.44739323004922</v>
      </c>
      <c r="W1444" t="s">
        <v>16000</v>
      </c>
      <c r="X1444" t="s">
        <v>16001</v>
      </c>
      <c r="Y1444" t="s">
        <v>16002</v>
      </c>
    </row>
    <row r="1445" spans="1:25" x14ac:dyDescent="0.3">
      <c r="A1445">
        <v>72200</v>
      </c>
      <c r="B1445" t="s">
        <v>16003</v>
      </c>
      <c r="C1445">
        <f>-620.669764685529 -46.2156357056028 -100.460988151775</f>
        <v>-767.34638854290688</v>
      </c>
      <c r="D1445">
        <f>-644.437382010505 -58.3652700226762 -213.171724518262</f>
        <v>-915.97437655144313</v>
      </c>
      <c r="E1445">
        <f>-654.991443390698 -62.0143133420177 -311.161327064579</f>
        <v>-1028.1670837972947</v>
      </c>
      <c r="F1445">
        <f>-661.076618060071 -62.8597074182568 -400.046017924051</f>
        <v>-1123.9823434023788</v>
      </c>
      <c r="G1445">
        <f>-663.31337134417 -61.2266842655545 -489.099783397577</f>
        <v>-1213.6398390073016</v>
      </c>
      <c r="H1445">
        <f>-662.360626684982 -56.4083073168335 -613.585425927056</f>
        <v>-1332.3543599288714</v>
      </c>
      <c r="I1445">
        <f>-635.117884822402 -45.3799640818125 -691.310802471588</f>
        <v>-1371.8086513758026</v>
      </c>
      <c r="J1445">
        <f>-668.604682765814 -31.4574032141634 -557.802217945536</f>
        <v>-1257.8643039255135</v>
      </c>
      <c r="K1445" t="s">
        <v>16004</v>
      </c>
      <c r="L1445" t="s">
        <v>16005</v>
      </c>
      <c r="M1445" t="s">
        <v>16006</v>
      </c>
      <c r="N1445">
        <f>-656.95511230758 -85.5999756076245 -559.808650281098</f>
        <v>-1302.3637381963026</v>
      </c>
      <c r="O1445">
        <f>-628.030139119912 -217.923356369384 -536.323790619303</f>
        <v>-1382.2772861085991</v>
      </c>
      <c r="P1445">
        <f>-551.296356017269 -324.04163068703 -272.805084292682</f>
        <v>-1148.1430709969811</v>
      </c>
      <c r="Q1445">
        <f>-425.880457268493 -160.397199258153 -397.473642500252</f>
        <v>-983.75129902689798</v>
      </c>
      <c r="R1445" t="s">
        <v>16007</v>
      </c>
      <c r="S1445" t="s">
        <v>16008</v>
      </c>
      <c r="T1445" t="s">
        <v>16009</v>
      </c>
      <c r="U1445" t="s">
        <v>16010</v>
      </c>
      <c r="V1445">
        <f>-592.299373745774 -137.380623918656 -97.7560867736385</f>
        <v>-827.43608443806841</v>
      </c>
      <c r="W1445" t="s">
        <v>16011</v>
      </c>
      <c r="X1445" t="s">
        <v>16012</v>
      </c>
      <c r="Y1445" t="s">
        <v>16013</v>
      </c>
    </row>
    <row r="1446" spans="1:25" x14ac:dyDescent="0.3">
      <c r="A1446">
        <v>72250</v>
      </c>
      <c r="B1446" t="s">
        <v>16014</v>
      </c>
      <c r="C1446">
        <f>-620.535165694323 -46.3376433605247 -100.458314376399</f>
        <v>-767.33112343124674</v>
      </c>
      <c r="D1446">
        <f>-644.302231314424 -58.4943584593756 -213.168530619835</f>
        <v>-915.96512039363461</v>
      </c>
      <c r="E1446">
        <f>-654.865677392419 -62.1509477787023 -311.156765758915</f>
        <v>-1028.1733909300362</v>
      </c>
      <c r="F1446">
        <f>-660.963419172645 -63.0032918249819 -400.040603465949</f>
        <v>-1124.007314463576</v>
      </c>
      <c r="G1446">
        <f>-663.217270526766 -61.3769624699005 -489.093974623617</f>
        <v>-1213.6882076202835</v>
      </c>
      <c r="H1446">
        <f>-662.293180507096 -56.5672265592464 -613.580237659518</f>
        <v>-1332.4406447258605</v>
      </c>
      <c r="I1446">
        <f>-635.073363190901 -45.5058079472715 -691.308919497802</f>
        <v>-1371.8880906359745</v>
      </c>
      <c r="J1446">
        <f>-668.534893469354 -31.6145434603527 -557.797399343912</f>
        <v>-1257.9468362736188</v>
      </c>
      <c r="K1446" t="s">
        <v>16015</v>
      </c>
      <c r="L1446" t="s">
        <v>16016</v>
      </c>
      <c r="M1446" t="s">
        <v>16017</v>
      </c>
      <c r="N1446">
        <f>-656.864795484536 -85.7528872168448 -559.802575112809</f>
        <v>-1302.4202578141899</v>
      </c>
      <c r="O1446">
        <f>-627.879516004886 -218.05800905497 -536.304507073504</f>
        <v>-1382.24203213336</v>
      </c>
      <c r="P1446">
        <f>-551.247611123607 -323.759824138729 -272.588853747479</f>
        <v>-1147.5962890098149</v>
      </c>
      <c r="Q1446">
        <f>-426.069686056682 -160.131519529935 -397.517501422972</f>
        <v>-983.71870700958902</v>
      </c>
      <c r="R1446" t="s">
        <v>16018</v>
      </c>
      <c r="S1446" t="s">
        <v>16019</v>
      </c>
      <c r="T1446" t="s">
        <v>16020</v>
      </c>
      <c r="U1446" t="s">
        <v>16021</v>
      </c>
      <c r="V1446">
        <f>-592.193557592242 -137.478087391707 -97.7481802764213</f>
        <v>-827.4198252603702</v>
      </c>
      <c r="W1446" t="s">
        <v>16022</v>
      </c>
      <c r="X1446" t="s">
        <v>16023</v>
      </c>
      <c r="Y1446" t="s">
        <v>16024</v>
      </c>
    </row>
    <row r="1447" spans="1:25" x14ac:dyDescent="0.3">
      <c r="A1447">
        <v>72300</v>
      </c>
      <c r="B1447" t="s">
        <v>16025</v>
      </c>
      <c r="C1447">
        <f>-620.435782196924 -46.40123489834 -100.475446226714</f>
        <v>-767.31246332197804</v>
      </c>
      <c r="D1447">
        <f>-644.198453845929 -58.5526913026072 -213.186982922586</f>
        <v>-915.93812807112215</v>
      </c>
      <c r="E1447">
        <f>-654.790118308574 -62.2484558440067 -311.17070988337</f>
        <v>-1028.2092840359508</v>
      </c>
      <c r="F1447">
        <f>-660.927429913275 -63.1529235621479 -400.05128156296</f>
        <v>-1124.1316350383829</v>
      </c>
      <c r="G1447">
        <f>-663.235508590309 -61.5947693276225 -489.104636831961</f>
        <v>-1213.9349147498924</v>
      </c>
      <c r="H1447">
        <f>-662.402756377075 -56.8964219171203 -613.595741001294</f>
        <v>-1332.8949192954892</v>
      </c>
      <c r="I1447">
        <f>-635.243687489203 -45.8462910622368 -691.347316079708</f>
        <v>-1372.4372946311478</v>
      </c>
      <c r="J1447">
        <f>-668.618586720084 -31.8970431460602 -557.830952764819</f>
        <v>-1258.3465826309632</v>
      </c>
      <c r="K1447" t="s">
        <v>16026</v>
      </c>
      <c r="L1447" t="s">
        <v>16027</v>
      </c>
      <c r="M1447" t="s">
        <v>16028</v>
      </c>
      <c r="N1447">
        <f>-656.919821950832 -86.0306946934676 -559.79570317538</f>
        <v>-1302.7462198196795</v>
      </c>
      <c r="O1447">
        <f>-627.785644181148 -218.282737159037 -536.17413304303</f>
        <v>-1382.2425143832149</v>
      </c>
      <c r="P1447">
        <f>-551.115921888314 -323.45340944597 -272.257362135852</f>
        <v>-1146.826693470136</v>
      </c>
      <c r="Q1447">
        <f>-426.593546782132 -159.523587505399 -397.445493762643</f>
        <v>-983.562628050174</v>
      </c>
      <c r="R1447" t="s">
        <v>16029</v>
      </c>
      <c r="S1447" t="s">
        <v>16030</v>
      </c>
      <c r="T1447" t="s">
        <v>16031</v>
      </c>
      <c r="U1447" t="s">
        <v>16032</v>
      </c>
      <c r="V1447">
        <f>-592.134993970179 -137.447700941395 -97.7640418189059</f>
        <v>-827.34673673047985</v>
      </c>
      <c r="W1447" t="s">
        <v>16033</v>
      </c>
      <c r="X1447" t="s">
        <v>16034</v>
      </c>
      <c r="Y1447" t="s">
        <v>16035</v>
      </c>
    </row>
    <row r="1448" spans="1:25" x14ac:dyDescent="0.3">
      <c r="A1448">
        <v>72350</v>
      </c>
      <c r="B1448" t="s">
        <v>16036</v>
      </c>
      <c r="C1448">
        <f>-620.415022766834 -46.4554294893127 -100.473382429188</f>
        <v>-767.34383468533474</v>
      </c>
      <c r="D1448">
        <f>-644.136607705407 -58.5854557504263 -213.19591935945</f>
        <v>-915.91798281528327</v>
      </c>
      <c r="E1448">
        <f>-654.684379227617 -62.2736763708074 -311.184663103456</f>
        <v>-1028.1427187018803</v>
      </c>
      <c r="F1448">
        <f>-660.77904812105 -63.1755951611561 -400.068253223968</f>
        <v>-1124.0228965061742</v>
      </c>
      <c r="G1448">
        <f>-663.041738578885 -61.618497220028 -489.122679958796</f>
        <v>-1213.7829157577089</v>
      </c>
      <c r="H1448">
        <f>-662.143116695123 -56.925767600203 -613.613505011889</f>
        <v>-1332.6823893072151</v>
      </c>
      <c r="I1448">
        <f>-634.932784580726 -45.8678106623948 -691.346047247161</f>
        <v>-1372.1466424902819</v>
      </c>
      <c r="J1448">
        <f>-668.395184028681 -31.9254595778461 -557.853215764663</f>
        <v>-1258.1738593711902</v>
      </c>
      <c r="K1448" t="s">
        <v>16037</v>
      </c>
      <c r="L1448" t="s">
        <v>16038</v>
      </c>
      <c r="M1448" t="s">
        <v>16039</v>
      </c>
      <c r="N1448">
        <f>-656.68195270716 -86.0562314272514 -559.809256204134</f>
        <v>-1302.5474403385456</v>
      </c>
      <c r="O1448">
        <f>-627.53365608182 -218.296599781795 -536.142646475818</f>
        <v>-1381.9729023394329</v>
      </c>
      <c r="P1448">
        <f>-551.038353836297 -323.206300150443 -272.071348271848</f>
        <v>-1146.316002258588</v>
      </c>
      <c r="Q1448">
        <f>-426.65090872436 -159.120835521507 -397.189776699141</f>
        <v>-982.96152094500803</v>
      </c>
      <c r="R1448" t="s">
        <v>16040</v>
      </c>
      <c r="S1448" t="s">
        <v>16041</v>
      </c>
      <c r="T1448" t="s">
        <v>16042</v>
      </c>
      <c r="U1448" t="s">
        <v>16043</v>
      </c>
      <c r="V1448">
        <f>-592.097718113758 -137.546261841161 -97.7680698493338</f>
        <v>-827.41204980425277</v>
      </c>
      <c r="W1448" t="s">
        <v>16044</v>
      </c>
      <c r="X1448" t="s">
        <v>16045</v>
      </c>
      <c r="Y1448" t="s">
        <v>16046</v>
      </c>
    </row>
    <row r="1449" spans="1:25" x14ac:dyDescent="0.3">
      <c r="A1449">
        <v>72400</v>
      </c>
      <c r="B1449" t="s">
        <v>16047</v>
      </c>
      <c r="C1449">
        <f>-620.395910520234 -46.4184659785835 -100.499816485196</f>
        <v>-767.31419298401352</v>
      </c>
      <c r="D1449">
        <f>-644.106942105743 -58.5639077603042 -213.222895664114</f>
        <v>-915.89374553016114</v>
      </c>
      <c r="E1449">
        <f>-654.609942489051 -62.2766929218811 -311.215536495869</f>
        <v>-1028.1021719068012</v>
      </c>
      <c r="F1449">
        <f>-660.649435884505 -63.2060460772582 -400.102584112546</f>
        <v>-1123.9580660743093</v>
      </c>
      <c r="G1449">
        <f>-662.842307535211 -61.6823070093816 -489.159369212839</f>
        <v>-1213.6839837574316</v>
      </c>
      <c r="H1449">
        <f>-661.830722870076 -57.042583430748 -613.651503478396</f>
        <v>-1332.52480977922</v>
      </c>
      <c r="I1449">
        <f>-634.591935599078 -46.0243701384668 -691.379549074407</f>
        <v>-1371.9958548119519</v>
      </c>
      <c r="J1449">
        <f>-668.134564958043 -32.018634579282 -557.907454123423</f>
        <v>-1258.0606536607479</v>
      </c>
      <c r="K1449" t="s">
        <v>16048</v>
      </c>
      <c r="L1449" t="s">
        <v>16049</v>
      </c>
      <c r="M1449" t="s">
        <v>16050</v>
      </c>
      <c r="N1449">
        <f>-656.417244275953 -86.149855955452 -559.829660119164</f>
        <v>-1302.3967603505689</v>
      </c>
      <c r="O1449">
        <f>-627.195436732151 -218.36508435119 -536.089625179826</f>
        <v>-1381.6501462631672</v>
      </c>
      <c r="P1449">
        <f>-551.145398227698 -322.91756550761 -271.74818846859</f>
        <v>-1145.811152203898</v>
      </c>
      <c r="Q1449">
        <f>-426.964664971659 -158.399755587947 -396.503649259353</f>
        <v>-981.86806981895893</v>
      </c>
      <c r="R1449" t="s">
        <v>16051</v>
      </c>
      <c r="S1449" t="s">
        <v>16052</v>
      </c>
      <c r="T1449" t="s">
        <v>16053</v>
      </c>
      <c r="U1449" t="s">
        <v>16054</v>
      </c>
      <c r="V1449">
        <f>-592.057357292416 -137.528108436151 -97.7787814552095</f>
        <v>-827.36424718377646</v>
      </c>
      <c r="W1449" t="s">
        <v>16055</v>
      </c>
      <c r="X1449" t="s">
        <v>16056</v>
      </c>
      <c r="Y1449" t="s">
        <v>16057</v>
      </c>
    </row>
    <row r="1450" spans="1:25" x14ac:dyDescent="0.3">
      <c r="A1450">
        <v>72450</v>
      </c>
      <c r="B1450" t="s">
        <v>16058</v>
      </c>
      <c r="C1450">
        <f>-620.418516929041 -46.3775928470943 -100.523116603611</f>
        <v>-767.31922637974628</v>
      </c>
      <c r="D1450">
        <f>-644.104843556043 -58.5253904384577 -213.251155683925</f>
        <v>-915.88138967842565</v>
      </c>
      <c r="E1450">
        <f>-654.570254321497 -62.2325714073957 -311.248056967496</f>
        <v>-1028.0508826963887</v>
      </c>
      <c r="F1450">
        <f>-660.568825160706 -63.154145551183 -400.137824053026</f>
        <v>-1123.860794764915</v>
      </c>
      <c r="G1450">
        <f>-662.713592865699 -61.6206436642606 -489.195673088301</f>
        <v>-1213.5299096182605</v>
      </c>
      <c r="H1450">
        <f>-661.627253431525 -56.9649394826326 -613.686533252065</f>
        <v>-1332.2787261662227</v>
      </c>
      <c r="I1450">
        <f>-634.368386062055 -45.9346706290737 -691.405922487805</f>
        <v>-1371.7089791789338</v>
      </c>
      <c r="J1450">
        <f>-667.966884814132 -31.9487693336539 -557.943242695965</f>
        <v>-1257.8588968437507</v>
      </c>
      <c r="K1450" t="s">
        <v>16059</v>
      </c>
      <c r="L1450" t="s">
        <v>16060</v>
      </c>
      <c r="M1450" t="s">
        <v>16061</v>
      </c>
      <c r="N1450">
        <f>-656.243791238777 -86.0786294864162 -559.865317097901</f>
        <v>-1302.1877378230943</v>
      </c>
      <c r="O1450">
        <f>-627.01397314765 -218.294453227765 -536.121149011526</f>
        <v>-1381.429575386941</v>
      </c>
      <c r="P1450">
        <f>-551.264954140728 -322.85030212318 -271.694581211787</f>
        <v>-1145.8098374756951</v>
      </c>
      <c r="Q1450">
        <f>-427.077152344035 -158.15428306692 -396.207589169844</f>
        <v>-981.43902458079901</v>
      </c>
      <c r="R1450" t="s">
        <v>16062</v>
      </c>
      <c r="S1450" t="s">
        <v>16063</v>
      </c>
      <c r="T1450" t="s">
        <v>16064</v>
      </c>
      <c r="U1450" t="s">
        <v>16065</v>
      </c>
      <c r="V1450">
        <f>-592.023212404362 -137.493108161909 -97.7968347280226</f>
        <v>-827.31315529429355</v>
      </c>
      <c r="W1450" t="s">
        <v>16066</v>
      </c>
      <c r="X1450" t="s">
        <v>16067</v>
      </c>
      <c r="Y1450" t="s">
        <v>16068</v>
      </c>
    </row>
    <row r="1451" spans="1:25" x14ac:dyDescent="0.3">
      <c r="A1451">
        <v>72500</v>
      </c>
      <c r="B1451" t="s">
        <v>16069</v>
      </c>
      <c r="C1451">
        <f>-620.368935798263 -46.1909003640303 -100.55133818484</f>
        <v>-767.11117434713333</v>
      </c>
      <c r="D1451">
        <f>-643.950100132972 -58.3075261145234 -213.304766938585</f>
        <v>-915.56239318608039</v>
      </c>
      <c r="E1451">
        <f>-654.305370404544 -61.965437581195 -311.315150081358</f>
        <v>-1027.585958067097</v>
      </c>
      <c r="F1451">
        <f>-660.196404015177 -62.8339500292576 -400.212780304046</f>
        <v>-1123.2431343484807</v>
      </c>
      <c r="G1451">
        <f>-662.225846611288 -61.2380328307554 -489.272272982992</f>
        <v>-1212.7361524250355</v>
      </c>
      <c r="H1451">
        <f>-660.970258072467 -56.4860568043833 -613.757713048522</f>
        <v>-1331.2140279253722</v>
      </c>
      <c r="I1451">
        <f>-633.654053662217 -45.397280196977 -691.448766984708</f>
        <v>-1370.5001008439021</v>
      </c>
      <c r="J1451">
        <f>-667.399311237664 -31.515959900463 -558.004186247235</f>
        <v>-1256.919457385362</v>
      </c>
      <c r="K1451" t="s">
        <v>16070</v>
      </c>
      <c r="L1451" t="s">
        <v>16071</v>
      </c>
      <c r="M1451" t="s">
        <v>16072</v>
      </c>
      <c r="N1451">
        <f>-655.646221317959 -85.6384642785786 -559.951558054823</f>
        <v>-1301.2362436513604</v>
      </c>
      <c r="O1451">
        <f>-626.424082063601 -217.861551388072 -536.266568741571</f>
        <v>-1380.5522021932438</v>
      </c>
      <c r="P1451">
        <f>-551.611939371639 -322.58537960876 -271.639929386032</f>
        <v>-1145.8372483664309</v>
      </c>
      <c r="Q1451">
        <f>-427.406927750642 -157.580306013228 -395.725751932108</f>
        <v>-980.71298569597798</v>
      </c>
      <c r="R1451" t="s">
        <v>16073</v>
      </c>
      <c r="S1451" t="s">
        <v>16074</v>
      </c>
      <c r="T1451" t="s">
        <v>16075</v>
      </c>
      <c r="U1451" t="s">
        <v>16076</v>
      </c>
      <c r="V1451">
        <f>-591.990157150822 -137.275192889195 -97.8171160242628</f>
        <v>-827.08246606427974</v>
      </c>
      <c r="W1451" t="s">
        <v>16077</v>
      </c>
      <c r="X1451" t="s">
        <v>16078</v>
      </c>
      <c r="Y1451" t="s">
        <v>16079</v>
      </c>
    </row>
    <row r="1452" spans="1:25" x14ac:dyDescent="0.3">
      <c r="A1452">
        <v>72550</v>
      </c>
      <c r="B1452" t="s">
        <v>16080</v>
      </c>
      <c r="C1452">
        <f>-620.379265301674 -45.9992991411241 -100.550095412377</f>
        <v>-766.92865985517506</v>
      </c>
      <c r="D1452">
        <f>-643.914242129932 -58.0905924498517 -213.315836438543</f>
        <v>-915.32067101832661</v>
      </c>
      <c r="E1452">
        <f>-654.203652257458 -61.7175146934505 -311.334531203211</f>
        <v>-1027.2556981541195</v>
      </c>
      <c r="F1452">
        <f>-660.024596938345 -62.5542352435591 -400.236974972348</f>
        <v>-1122.8158071542521</v>
      </c>
      <c r="G1452">
        <f>-661.973375304517 -60.9232718822346 -489.297576009337</f>
        <v>-1212.1942231960886</v>
      </c>
      <c r="H1452">
        <f>-660.594050391001 -56.1185615156905 -613.779707867625</f>
        <v>-1330.4923197743165</v>
      </c>
      <c r="I1452">
        <f>-633.238163315621 -45.0029639537746 -691.452887644309</f>
        <v>-1369.6940149137047</v>
      </c>
      <c r="J1452">
        <f>-667.07900417101 -31.1721084337369 -558.021940026151</f>
        <v>-1256.2730526308978</v>
      </c>
      <c r="K1452" t="s">
        <v>16081</v>
      </c>
      <c r="L1452" t="s">
        <v>16082</v>
      </c>
      <c r="M1452" t="s">
        <v>16083</v>
      </c>
      <c r="N1452">
        <f>-655.322983714253 -85.2936058749812 -559.980557300985</f>
        <v>-1300.5971468902192</v>
      </c>
      <c r="O1452">
        <f>-626.131376532889 -217.530707086386 -536.331668622038</f>
        <v>-1379.9937522413129</v>
      </c>
      <c r="P1452">
        <f>-551.948365014528 -322.408433370819 -271.588874814379</f>
        <v>-1145.9456731997261</v>
      </c>
      <c r="Q1452">
        <f>-427.605909396857 -157.328273824706 -395.436970690367</f>
        <v>-980.37115391192992</v>
      </c>
      <c r="R1452" t="s">
        <v>16084</v>
      </c>
      <c r="S1452" t="s">
        <v>16085</v>
      </c>
      <c r="T1452" t="s">
        <v>16086</v>
      </c>
      <c r="U1452" t="s">
        <v>16087</v>
      </c>
      <c r="V1452">
        <f>-592.022049223925 -137.097076848131 -97.8241985483384</f>
        <v>-826.94332462039438</v>
      </c>
      <c r="W1452" t="s">
        <v>16088</v>
      </c>
      <c r="X1452" t="s">
        <v>16089</v>
      </c>
      <c r="Y1452" t="s">
        <v>16090</v>
      </c>
    </row>
    <row r="1453" spans="1:25" x14ac:dyDescent="0.3">
      <c r="A1453">
        <v>72600</v>
      </c>
      <c r="B1453" t="s">
        <v>16091</v>
      </c>
      <c r="C1453">
        <f>-620.325240143846 -45.5946478833785 -100.542618083106</f>
        <v>-766.46250611033054</v>
      </c>
      <c r="D1453">
        <f>-643.742949312636 -57.6295969705169 -213.338818265862</f>
        <v>-914.71136454901489</v>
      </c>
      <c r="E1453">
        <f>-653.846018414 -61.1877523171739 -311.379387289535</f>
        <v>-1026.413158020709</v>
      </c>
      <c r="F1453">
        <f>-659.464428952935 -61.9542148035524 -400.295510504522</f>
        <v>-1121.7141542610093</v>
      </c>
      <c r="G1453">
        <f>-661.177045136739 -60.2445676336135 -489.359442334242</f>
        <v>-1210.7810551045945</v>
      </c>
      <c r="H1453">
        <f>-659.432885228422 -55.3219211604696 -613.832520918386</f>
        <v>-1328.5873273072775</v>
      </c>
      <c r="I1453">
        <f>-631.960185224149 -44.1736420630442 -691.459752894726</f>
        <v>-1367.5935801819192</v>
      </c>
      <c r="J1453">
        <f>-666.085741052039 -30.4293847875556 -558.070380103994</f>
        <v>-1254.5855059435885</v>
      </c>
      <c r="K1453" t="s">
        <v>16092</v>
      </c>
      <c r="L1453" t="s">
        <v>16093</v>
      </c>
      <c r="M1453" t="s">
        <v>16094</v>
      </c>
      <c r="N1453">
        <f>-654.315011966958 -84.5469960796895 -560.045734117229</f>
        <v>-1298.9077421638765</v>
      </c>
      <c r="O1453">
        <f>-625.203834779441 -216.799712457991 -536.419434038725</f>
        <v>-1378.4229812761569</v>
      </c>
      <c r="P1453">
        <f>-552.81659508714 -321.609462657414 -271.153095270605</f>
        <v>-1145.5791530151589</v>
      </c>
      <c r="Q1453">
        <f>-427.700370528705 -156.447241041283 -394.109230292014</f>
        <v>-978.25684186200192</v>
      </c>
      <c r="R1453" t="s">
        <v>16095</v>
      </c>
      <c r="S1453" t="s">
        <v>16096</v>
      </c>
      <c r="T1453" t="s">
        <v>16097</v>
      </c>
      <c r="U1453" t="s">
        <v>16098</v>
      </c>
      <c r="V1453">
        <f>-591.937441956834 -136.762759637686 -97.8324450997637</f>
        <v>-826.53264669428381</v>
      </c>
      <c r="W1453" t="s">
        <v>16099</v>
      </c>
      <c r="X1453" t="s">
        <v>16100</v>
      </c>
      <c r="Y1453" t="s">
        <v>16101</v>
      </c>
    </row>
    <row r="1454" spans="1:25" x14ac:dyDescent="0.3">
      <c r="A1454">
        <v>72650</v>
      </c>
      <c r="B1454" t="s">
        <v>16102</v>
      </c>
      <c r="C1454">
        <f>-620.22942540968 -45.3463874040215 -100.545612162871</f>
        <v>-766.12142497657237</v>
      </c>
      <c r="D1454">
        <f>-643.592726086735 -57.3501686031904 -213.356387053162</f>
        <v>-914.29928174308725</v>
      </c>
      <c r="E1454">
        <f>-653.592980064793 -60.8746260544912 -311.408580020546</f>
        <v>-1025.8761861398302</v>
      </c>
      <c r="F1454">
        <f>-659.095928757405 -61.6080154079937 -400.332355313549</f>
        <v>-1121.0362994789475</v>
      </c>
      <c r="G1454">
        <f>-660.670245855823 -59.8635583890722 -489.398059644371</f>
        <v>-1209.9318638892662</v>
      </c>
      <c r="H1454">
        <f>-658.709356946129 -54.89035139714 -613.865894737766</f>
        <v>-1327.4656030810349</v>
      </c>
      <c r="I1454">
        <f>-631.171629207595 -43.7330282930185 -691.46886205473</f>
        <v>-1366.3735195553436</v>
      </c>
      <c r="J1454">
        <f>-665.460877258669 -30.0208082169486 -558.105365360228</f>
        <v>-1253.5870508358457</v>
      </c>
      <c r="K1454" t="s">
        <v>16103</v>
      </c>
      <c r="L1454" t="s">
        <v>16104</v>
      </c>
      <c r="M1454" t="s">
        <v>16105</v>
      </c>
      <c r="N1454">
        <f>-653.683630171408 -84.1369264640718 -560.082083207574</f>
        <v>-1297.9026398430537</v>
      </c>
      <c r="O1454">
        <f>-624.618036240537 -216.402877777138 -536.445192380809</f>
        <v>-1377.466106398484</v>
      </c>
      <c r="P1454">
        <f>-553.429045849686 -321.045685989329 -270.789055314545</f>
        <v>-1145.2637871535601</v>
      </c>
      <c r="Q1454">
        <f>-427.790119244147 -155.937211890803 -393.283681327531</f>
        <v>-977.01101246248095</v>
      </c>
      <c r="R1454" t="s">
        <v>16106</v>
      </c>
      <c r="S1454" t="s">
        <v>16107</v>
      </c>
      <c r="T1454" t="s">
        <v>16108</v>
      </c>
      <c r="U1454" t="s">
        <v>16109</v>
      </c>
      <c r="V1454">
        <f>-591.868568565636 -136.464868957938 -97.8317384772687</f>
        <v>-826.16517600084273</v>
      </c>
      <c r="W1454" t="s">
        <v>16110</v>
      </c>
      <c r="X1454" t="s">
        <v>16111</v>
      </c>
      <c r="Y1454" t="s">
        <v>16112</v>
      </c>
    </row>
    <row r="1455" spans="1:25" x14ac:dyDescent="0.3">
      <c r="A1455">
        <v>72700</v>
      </c>
      <c r="B1455" t="s">
        <v>16113</v>
      </c>
      <c r="C1455">
        <f>-619.965269121887 -44.9120740685329 -100.533494612543</f>
        <v>-765.41083780296287</v>
      </c>
      <c r="D1455">
        <f>-643.163095209955 -56.8300147476259 -213.387518597325</f>
        <v>-913.38062855490591</v>
      </c>
      <c r="E1455">
        <f>-652.920976792141 -60.2350777763916 -311.468445063105</f>
        <v>-1024.6244996316375</v>
      </c>
      <c r="F1455">
        <f>-658.163151025342 -60.8445332873627 -400.408878663803</f>
        <v>-1119.4165629765077</v>
      </c>
      <c r="G1455">
        <f>-659.434728526644 -58.9612910431784 -489.476575766856</f>
        <v>-1207.8725953366784</v>
      </c>
      <c r="H1455">
        <f>-657.006566524288 -53.7802683197632 -613.927691259764</f>
        <v>-1324.7145261038152</v>
      </c>
      <c r="I1455">
        <f>-629.322756370748 -42.5900495982694 -691.473887178595</f>
        <v>-1363.3866931476123</v>
      </c>
      <c r="J1455">
        <f>-663.954515659485 -29.0009452746444 -558.151131373449</f>
        <v>-1251.1065923075785</v>
      </c>
      <c r="K1455" t="s">
        <v>16114</v>
      </c>
      <c r="L1455" t="s">
        <v>16115</v>
      </c>
      <c r="M1455" t="s">
        <v>16116</v>
      </c>
      <c r="N1455">
        <f>-652.195667277744 -83.119301797724 -560.174802335139</f>
        <v>-1295.4897714106069</v>
      </c>
      <c r="O1455">
        <f>-623.312350502665 -215.433326349646 -536.569344508446</f>
        <v>-1375.3150213607569</v>
      </c>
      <c r="P1455">
        <f>-555.092170477899 -319.492873129987 -269.906861129122</f>
        <v>-1144.4919047370081</v>
      </c>
      <c r="Q1455">
        <f>-427.850631491082 -154.719972883825 -391.193149798805</f>
        <v>-973.76375417371196</v>
      </c>
      <c r="R1455" t="s">
        <v>16117</v>
      </c>
      <c r="S1455" t="s">
        <v>16118</v>
      </c>
      <c r="T1455" t="s">
        <v>16119</v>
      </c>
      <c r="U1455" t="s">
        <v>16120</v>
      </c>
      <c r="V1455">
        <f>-591.620741902626 -136.011834632047 -97.8254942268454</f>
        <v>-825.45807076151846</v>
      </c>
      <c r="W1455" t="s">
        <v>16121</v>
      </c>
      <c r="X1455" t="s">
        <v>16122</v>
      </c>
      <c r="Y1455" t="s">
        <v>16123</v>
      </c>
    </row>
    <row r="1456" spans="1:25" x14ac:dyDescent="0.3">
      <c r="A1456">
        <v>72750</v>
      </c>
      <c r="B1456" t="s">
        <v>16124</v>
      </c>
      <c r="C1456">
        <f>-619.833531934619 -44.8041372055831 -100.504750462241</f>
        <v>-765.14241960244306</v>
      </c>
      <c r="D1456">
        <f>-642.956384948498 -56.6678861291035 -213.379883585317</f>
        <v>-913.00415466291849</v>
      </c>
      <c r="E1456">
        <f>-652.587813078878 -60.0023392227693 -311.475627254879</f>
        <v>-1024.0657795565262</v>
      </c>
      <c r="F1456">
        <f>-657.689903723673 -60.5393874612604 -400.424556062199</f>
        <v>-1118.6538472471323</v>
      </c>
      <c r="G1456">
        <f>-658.79521310369 -58.576460990937 -489.493043927431</f>
        <v>-1206.864718022058</v>
      </c>
      <c r="H1456">
        <f>-656.107171858399 -53.2775266988981 -613.933759574986</f>
        <v>-1323.318458132283</v>
      </c>
      <c r="I1456">
        <f>-628.347893396116 -42.1016458914776 -691.454996125071</f>
        <v>-1361.9045354126647</v>
      </c>
      <c r="J1456">
        <f>-663.154774973475 -28.5474064394241 -558.147873498896</f>
        <v>-1249.8500549117953</v>
      </c>
      <c r="K1456" t="s">
        <v>16125</v>
      </c>
      <c r="L1456" t="s">
        <v>16126</v>
      </c>
      <c r="M1456" t="s">
        <v>16127</v>
      </c>
      <c r="N1456">
        <f>-651.425389255966 -82.6711588286042 -560.199217990556</f>
        <v>-1294.2957660751263</v>
      </c>
      <c r="O1456">
        <f>-622.688710076603 -215.014656904621 -536.61186427607</f>
        <v>-1374.315231257294</v>
      </c>
      <c r="P1456">
        <f>-556.199700249343 -318.782287418526 -269.399105064621</f>
        <v>-1144.3810927324898</v>
      </c>
      <c r="Q1456">
        <f>-428.140683381074 -154.046259914739 -389.872207557487</f>
        <v>-972.05915085330003</v>
      </c>
      <c r="R1456" t="s">
        <v>16128</v>
      </c>
      <c r="S1456" t="s">
        <v>16129</v>
      </c>
      <c r="T1456" t="s">
        <v>16130</v>
      </c>
      <c r="U1456" t="s">
        <v>16131</v>
      </c>
      <c r="V1456">
        <f>-591.522222658137 -135.955668128595 -97.8185173999954</f>
        <v>-825.29640818672738</v>
      </c>
      <c r="W1456" t="s">
        <v>16132</v>
      </c>
      <c r="X1456" t="s">
        <v>16133</v>
      </c>
      <c r="Y1456" t="s">
        <v>16134</v>
      </c>
    </row>
    <row r="1457" spans="1:25" x14ac:dyDescent="0.3">
      <c r="A1457">
        <v>72800</v>
      </c>
      <c r="B1457" t="s">
        <v>16135</v>
      </c>
      <c r="C1457">
        <f>-619.775728038958 -44.2768951801821 -100.451708690805</f>
        <v>-764.50433190994522</v>
      </c>
      <c r="D1457">
        <f>-642.728654644569 -56.0503912224849 -213.371026177823</f>
        <v>-912.15007204487688</v>
      </c>
      <c r="E1457">
        <f>-652.057904916882 -59.2733877866285 -311.499720757448</f>
        <v>-1022.8310134609585</v>
      </c>
      <c r="F1457">
        <f>-656.821996067636 -59.6996131439325 -400.468052782621</f>
        <v>-1116.9896619941894</v>
      </c>
      <c r="G1457">
        <f>-657.523614022484 -57.6189996754931 -489.537758257042</f>
        <v>-1204.6803719550192</v>
      </c>
      <c r="H1457">
        <f>-654.202162126754 -52.1510476689912 -613.955982656254</f>
        <v>-1320.3091924519993</v>
      </c>
      <c r="I1457">
        <f>-626.27938053503 -41.0560531054216 -691.430130437224</f>
        <v>-1358.7655640776757</v>
      </c>
      <c r="J1457">
        <f>-661.476803501816 -27.4845020724244 -558.171118882266</f>
        <v>-1247.1324244565064</v>
      </c>
      <c r="K1457" t="s">
        <v>16136</v>
      </c>
      <c r="L1457" t="s">
        <v>16137</v>
      </c>
      <c r="M1457" t="s">
        <v>16138</v>
      </c>
      <c r="N1457">
        <f>-649.850704503832 -81.6299167753863 -560.240195882414</f>
        <v>-1291.7208171616323</v>
      </c>
      <c r="O1457">
        <f>-621.515922150621 -214.055544446659 -536.63740483745</f>
        <v>-1372.2088714347301</v>
      </c>
      <c r="P1457">
        <f>-558.804527280551 -317.319485472435 -268.318451887777</f>
        <v>-1144.4424646407631</v>
      </c>
      <c r="Q1457">
        <f>-428.874725864769 -152.780923771759 -387.045899582471</f>
        <v>-968.70154921899893</v>
      </c>
      <c r="R1457" t="s">
        <v>16139</v>
      </c>
      <c r="S1457" t="s">
        <v>16140</v>
      </c>
      <c r="T1457" t="s">
        <v>16141</v>
      </c>
      <c r="U1457" t="s">
        <v>16142</v>
      </c>
      <c r="V1457">
        <f>-591.508690105944 -135.374939845768 -97.8059818121505</f>
        <v>-824.68961176386256</v>
      </c>
      <c r="W1457" t="s">
        <v>16143</v>
      </c>
      <c r="X1457" t="s">
        <v>16144</v>
      </c>
      <c r="Y1457" t="s">
        <v>16145</v>
      </c>
    </row>
    <row r="1458" spans="1:25" x14ac:dyDescent="0.3">
      <c r="A1458">
        <v>72850</v>
      </c>
      <c r="B1458" t="s">
        <v>16146</v>
      </c>
      <c r="C1458">
        <f>-619.812023427682 -43.9043520415221 -100.437847884463</f>
        <v>-764.15422335366702</v>
      </c>
      <c r="D1458">
        <f>-642.701925090339 -55.6125266636224 -213.376784719374</f>
        <v>-911.69123647333538</v>
      </c>
      <c r="E1458">
        <f>-651.874079710743 -58.7919574421952 -311.521562277962</f>
        <v>-1022.1875994309003</v>
      </c>
      <c r="F1458">
        <f>-656.454443989931 -59.1855839626538 -400.499797970621</f>
        <v>-1116.1398259232058</v>
      </c>
      <c r="G1458">
        <f>-656.930347496666 -57.0808062505936 -489.57040513817</f>
        <v>-1203.5815588854296</v>
      </c>
      <c r="H1458">
        <f>-653.249374794193 -51.589477436328 -613.977448714622</f>
        <v>-1318.8163009451432</v>
      </c>
      <c r="I1458">
        <f>-625.238478647256 -40.5555127311659 -691.428504968977</f>
        <v>-1357.2224963473989</v>
      </c>
      <c r="J1458">
        <f>-660.646931031555 -26.9252925060603 -558.207659165782</f>
        <v>-1245.7798827033973</v>
      </c>
      <c r="K1458" t="s">
        <v>16147</v>
      </c>
      <c r="L1458" t="s">
        <v>16148</v>
      </c>
      <c r="M1458" t="s">
        <v>16149</v>
      </c>
      <c r="N1458">
        <f>-649.091419776371 -81.0865905115521 -560.256410002979</f>
        <v>-1290.4344202909022</v>
      </c>
      <c r="O1458">
        <f>-620.946964739443 -213.543126888147 -536.573882653868</f>
        <v>-1371.0639742814581</v>
      </c>
      <c r="P1458">
        <f>-560.186523690272 -316.442010300133 -267.666503803083</f>
        <v>-1144.2950377934881</v>
      </c>
      <c r="Q1458">
        <f>-429.374335442225 -151.926296629489 -385.452886297068</f>
        <v>-966.75351836878212</v>
      </c>
      <c r="R1458" t="s">
        <v>16150</v>
      </c>
      <c r="S1458" t="s">
        <v>16151</v>
      </c>
      <c r="T1458" t="s">
        <v>16152</v>
      </c>
      <c r="U1458" t="s">
        <v>16153</v>
      </c>
      <c r="V1458">
        <f>-591.635135017859 -135.032228819216 -97.8068753169883</f>
        <v>-824.47423915406341</v>
      </c>
      <c r="W1458" t="s">
        <v>16154</v>
      </c>
      <c r="X1458" t="s">
        <v>16155</v>
      </c>
      <c r="Y1458" t="s">
        <v>16156</v>
      </c>
    </row>
    <row r="1459" spans="1:25" x14ac:dyDescent="0.3">
      <c r="A1459">
        <v>72900</v>
      </c>
      <c r="B1459" t="s">
        <v>16157</v>
      </c>
      <c r="C1459">
        <f>-619.867190059192 -43.1227916499327 -100.423232738369</f>
        <v>-763.4132144474936</v>
      </c>
      <c r="D1459">
        <f>-642.603267001817 -54.625139944123 -213.414355221695</f>
        <v>-910.64276216763506</v>
      </c>
      <c r="E1459">
        <f>-651.483552217084 -57.7433216980264 -311.588054188257</f>
        <v>-1020.8149281033675</v>
      </c>
      <c r="F1459">
        <f>-655.737692757069 -58.1282907222227 -400.582420998689</f>
        <v>-1114.4484044779806</v>
      </c>
      <c r="G1459">
        <f>-655.826392217495 -56.0635784262987 -489.655194551921</f>
        <v>-1201.5451651957146</v>
      </c>
      <c r="H1459">
        <f>-651.541516654758 -50.6806045138754 -614.047705896437</f>
        <v>-1316.2698270650703</v>
      </c>
      <c r="I1459">
        <f>-623.391880940375 -39.8046075891564 -691.470796778439</f>
        <v>-1354.6672853079704</v>
      </c>
      <c r="J1459">
        <f>-659.126826037946 -25.9505344484182 -558.332466413128</f>
        <v>-1243.4098268994921</v>
      </c>
      <c r="K1459" t="s">
        <v>16158</v>
      </c>
      <c r="L1459" t="s">
        <v>16159</v>
      </c>
      <c r="M1459" t="s">
        <v>16160</v>
      </c>
      <c r="N1459">
        <f>-647.727284810635 -80.1483442006117 -560.285072786687</f>
        <v>-1288.1607017979336</v>
      </c>
      <c r="O1459">
        <f>-619.952110327321 -212.635078720272 -536.320594831057</f>
        <v>-1368.9077838786498</v>
      </c>
      <c r="P1459">
        <f>-563.008108497704 -314.365835636298 -266.13653718176</f>
        <v>-1143.510481315762</v>
      </c>
      <c r="Q1459">
        <f>-430.967613093906 -149.399438093782 -381.904527324415</f>
        <v>-962.27157851210313</v>
      </c>
      <c r="R1459" t="s">
        <v>16161</v>
      </c>
      <c r="S1459" t="s">
        <v>16162</v>
      </c>
      <c r="T1459" t="s">
        <v>16163</v>
      </c>
      <c r="U1459" t="s">
        <v>16164</v>
      </c>
      <c r="V1459">
        <f>-591.943752669972 -134.252989905656 -97.8322197549936</f>
        <v>-824.02896233062165</v>
      </c>
      <c r="W1459" t="s">
        <v>16165</v>
      </c>
      <c r="X1459" t="s">
        <v>16166</v>
      </c>
      <c r="Y1459" t="s">
        <v>16167</v>
      </c>
    </row>
    <row r="1460" spans="1:25" x14ac:dyDescent="0.3">
      <c r="A1460">
        <v>72950</v>
      </c>
      <c r="B1460" t="s">
        <v>16168</v>
      </c>
      <c r="C1460">
        <f>-619.856568759202 -42.716809015126 -100.380304910354</f>
        <v>-762.95368268468201</v>
      </c>
      <c r="D1460">
        <f>-642.540694368945 -54.1223188287448 -213.391673565503</f>
        <v>-910.05468676319276</v>
      </c>
      <c r="E1460">
        <f>-651.311085138323 -57.215032979371 -311.576065475993</f>
        <v>-1020.1021835936871</v>
      </c>
      <c r="F1460">
        <f>-655.44098986047 -57.5994720213833 -400.576252505878</f>
        <v>-1113.6167143877315</v>
      </c>
      <c r="G1460">
        <f>-655.380640376183 -55.5581968253845 -489.649752250373</f>
        <v>-1200.5885894519406</v>
      </c>
      <c r="H1460">
        <f>-650.862377356016 -50.2332839801776 -614.036294491996</f>
        <v>-1315.1319558281898</v>
      </c>
      <c r="I1460">
        <f>-622.65287623904 -39.4456138474225 -691.450035199582</f>
        <v>-1353.5485252860444</v>
      </c>
      <c r="J1460">
        <f>-658.509154413131 -25.4682256683543 -558.344930634813</f>
        <v>-1242.3223107162983</v>
      </c>
      <c r="K1460" t="s">
        <v>16169</v>
      </c>
      <c r="L1460" t="s">
        <v>16170</v>
      </c>
      <c r="M1460" t="s">
        <v>16171</v>
      </c>
      <c r="N1460">
        <f>-647.192130733362 -79.6847998282047 -560.254853226878</f>
        <v>-1287.1317837884449</v>
      </c>
      <c r="O1460">
        <f>-619.612954916719 -212.178668791553 -536.126349635105</f>
        <v>-1367.9179733433771</v>
      </c>
      <c r="P1460">
        <f>-564.395533169891 -313.361827855958 -265.378747128885</f>
        <v>-1143.1361081547338</v>
      </c>
      <c r="Q1460">
        <f>-431.924398436405 -147.823463084765 -379.831022024537</f>
        <v>-959.57888354570696</v>
      </c>
      <c r="R1460" t="s">
        <v>16172</v>
      </c>
      <c r="S1460" t="s">
        <v>16173</v>
      </c>
      <c r="T1460" t="s">
        <v>16174</v>
      </c>
      <c r="U1460" t="s">
        <v>16175</v>
      </c>
      <c r="V1460">
        <f>-592.071060335827 -133.854775910113 -97.8363929615847</f>
        <v>-823.76222920752468</v>
      </c>
      <c r="W1460" t="s">
        <v>16176</v>
      </c>
      <c r="X1460" t="s">
        <v>16177</v>
      </c>
      <c r="Y1460" t="s">
        <v>16178</v>
      </c>
    </row>
    <row r="1461" spans="1:25" x14ac:dyDescent="0.3">
      <c r="A1461">
        <v>73000</v>
      </c>
      <c r="B1461" t="s">
        <v>16179</v>
      </c>
      <c r="C1461">
        <f>-619.861898691343 -41.9181280222058 -100.2692489385</f>
        <v>-762.04927565204878</v>
      </c>
      <c r="D1461">
        <f>-642.525800213478 -53.1659903727235 -213.300567621955</f>
        <v>-908.99235820815647</v>
      </c>
      <c r="E1461">
        <f>-651.143486033842 -56.220334938313 -311.499662608209</f>
        <v>-1018.8634835803641</v>
      </c>
      <c r="F1461">
        <f>-655.081923560889 -56.6097207541791 -400.508496294657</f>
        <v>-1112.2001406097252</v>
      </c>
      <c r="G1461">
        <f>-654.777317330592 -54.6153893221114 -489.582420648533</f>
        <v>-1198.9751273012364</v>
      </c>
      <c r="H1461">
        <f>-649.862920677555 -49.401784966438 -613.958827973927</f>
        <v>-1313.2235336179201</v>
      </c>
      <c r="I1461">
        <f>-621.550863158252 -38.8436535764213 -691.366761093247</f>
        <v>-1351.7612778279204</v>
      </c>
      <c r="J1461">
        <f>-657.597542931157 -24.5683710085834 -558.309926336019</f>
        <v>-1240.4758402757593</v>
      </c>
      <c r="K1461" t="s">
        <v>16180</v>
      </c>
      <c r="L1461" t="s">
        <v>16181</v>
      </c>
      <c r="M1461" t="s">
        <v>16182</v>
      </c>
      <c r="N1461">
        <f>-646.453471640048 -78.8235377459322 -560.143831058001</f>
        <v>-1285.420840443981</v>
      </c>
      <c r="O1461">
        <f>-619.296764556223 -211.359392048392 -535.77057291456</f>
        <v>-1366.4267295191751</v>
      </c>
      <c r="P1461">
        <f>-567.162859290988 -311.665497627132 -264.086987729071</f>
        <v>-1142.915344647191</v>
      </c>
      <c r="Q1461">
        <f>-433.845962111233 -145.363060743484 -376.430115624744</f>
        <v>-955.63913847946105</v>
      </c>
      <c r="R1461" t="s">
        <v>16183</v>
      </c>
      <c r="S1461" t="s">
        <v>16184</v>
      </c>
      <c r="T1461" t="s">
        <v>16185</v>
      </c>
      <c r="U1461" t="s">
        <v>16186</v>
      </c>
      <c r="V1461">
        <f>-592.27260801764 -133.191260641657 -97.8212952979355</f>
        <v>-823.2851639572325</v>
      </c>
      <c r="W1461" t="s">
        <v>16187</v>
      </c>
      <c r="X1461" t="s">
        <v>16188</v>
      </c>
      <c r="Y1461" t="s">
        <v>16189</v>
      </c>
    </row>
    <row r="1462" spans="1:25" x14ac:dyDescent="0.3">
      <c r="A1462">
        <v>73050</v>
      </c>
      <c r="B1462" t="s">
        <v>16190</v>
      </c>
      <c r="C1462">
        <f>-619.817444846847 -41.3867020741629 -100.244372122575</f>
        <v>-761.44851904358495</v>
      </c>
      <c r="D1462">
        <f>-642.476796618514 -52.5665666501768 -213.283191185236</f>
        <v>-908.32655445392675</v>
      </c>
      <c r="E1462">
        <f>-651.041908368966 -55.5965038319389 -311.487773606928</f>
        <v>-1018.1261858078328</v>
      </c>
      <c r="F1462">
        <f>-654.913704748428 -55.9774375389012 -400.499630959575</f>
        <v>-1111.3907732469042</v>
      </c>
      <c r="G1462">
        <f>-654.523513176779 -53.9893373272319 -489.573339230665</f>
        <v>-1198.0861897346758</v>
      </c>
      <c r="H1462">
        <f>-649.470100489786 -48.8000694190326 -613.945090789969</f>
        <v>-1312.2152606987875</v>
      </c>
      <c r="I1462">
        <f>-621.131185833102 -38.3527301829845 -691.358222009315</f>
        <v>-1350.8421380254015</v>
      </c>
      <c r="J1462">
        <f>-657.229692786442 -23.9482881577771 -558.307983139154</f>
        <v>-1239.4859640833731</v>
      </c>
      <c r="K1462" t="s">
        <v>16191</v>
      </c>
      <c r="L1462" t="s">
        <v>16192</v>
      </c>
      <c r="M1462" t="s">
        <v>16193</v>
      </c>
      <c r="N1462">
        <f>-646.158002864359 -78.2188394696498 -560.122488648759</f>
        <v>-1284.4993309827678</v>
      </c>
      <c r="O1462">
        <f>-619.180823102637 -210.78441368127 -535.684684521117</f>
        <v>-1365.6499213050238</v>
      </c>
      <c r="P1462">
        <f>-568.605632091672 -310.60677557885 -263.528732109744</f>
        <v>-1142.7411397802659</v>
      </c>
      <c r="Q1462">
        <f>-435.223341105679 -143.727798647776 -374.935328783557</f>
        <v>-953.88646853701198</v>
      </c>
      <c r="R1462" t="s">
        <v>16194</v>
      </c>
      <c r="S1462" t="s">
        <v>16195</v>
      </c>
      <c r="T1462" t="s">
        <v>16196</v>
      </c>
      <c r="U1462" t="s">
        <v>16197</v>
      </c>
      <c r="V1462">
        <f>-592.30427972001 -132.674993947675 -97.8219787869986</f>
        <v>-822.80125245468355</v>
      </c>
      <c r="W1462" t="s">
        <v>16198</v>
      </c>
      <c r="X1462" t="s">
        <v>16199</v>
      </c>
      <c r="Y1462" t="s">
        <v>16200</v>
      </c>
    </row>
    <row r="1463" spans="1:25" x14ac:dyDescent="0.3">
      <c r="A1463">
        <v>73100</v>
      </c>
      <c r="B1463" t="s">
        <v>16201</v>
      </c>
      <c r="C1463">
        <f>-619.626496743769 -40.5456483443331 -100.211707532671</f>
        <v>-760.38385262077315</v>
      </c>
      <c r="D1463">
        <f>-642.28781732472 -51.5868266777646 -213.263862292559</f>
        <v>-907.13850629504361</v>
      </c>
      <c r="E1463">
        <f>-650.793828999784 -54.5592909007738 -311.475211750483</f>
        <v>-1016.8283316510408</v>
      </c>
      <c r="F1463">
        <f>-654.589143348116 -54.9120572434798 -400.490429202459</f>
        <v>-1109.9916297940547</v>
      </c>
      <c r="G1463">
        <f>-654.099439576892 -52.9212813214884 -489.563648018286</f>
        <v>-1196.5843689166663</v>
      </c>
      <c r="H1463">
        <f>-648.883435244683 -47.7552961545304 -613.929638426564</f>
        <v>-1310.5683698257774</v>
      </c>
      <c r="I1463">
        <f>-620.496678451485 -37.5021471572834 -691.351185785401</f>
        <v>-1349.3500113941693</v>
      </c>
      <c r="J1463">
        <f>-656.636416416603 -22.8772867934858 -558.303420925676</f>
        <v>-1237.817124135765</v>
      </c>
      <c r="K1463" t="s">
        <v>16202</v>
      </c>
      <c r="L1463" t="s">
        <v>16203</v>
      </c>
      <c r="M1463" t="s">
        <v>16204</v>
      </c>
      <c r="N1463">
        <f>-645.721026470356 -77.179982770853 -560.101172624689</f>
        <v>-1283.0021818658979</v>
      </c>
      <c r="O1463">
        <f>-619.226478013022 -209.832873396227 -535.6444947574</f>
        <v>-1364.7038461666489</v>
      </c>
      <c r="P1463">
        <f>-571.830695183099 -308.488686440266 -262.492864172396</f>
        <v>-1142.8122457957611</v>
      </c>
      <c r="Q1463">
        <f>-438.466127451141 -140.243195039032 -371.846446621627</f>
        <v>-950.55576911180003</v>
      </c>
      <c r="R1463" t="s">
        <v>16205</v>
      </c>
      <c r="S1463" t="s">
        <v>16206</v>
      </c>
      <c r="T1463" t="s">
        <v>16207</v>
      </c>
      <c r="U1463" t="s">
        <v>16208</v>
      </c>
      <c r="V1463">
        <f>-592.311915410325 -131.893305159149 -97.8107381605186</f>
        <v>-822.01595872999258</v>
      </c>
      <c r="W1463" t="s">
        <v>16209</v>
      </c>
      <c r="X1463" t="s">
        <v>16210</v>
      </c>
      <c r="Y1463" t="s">
        <v>16211</v>
      </c>
    </row>
    <row r="1464" spans="1:25" x14ac:dyDescent="0.3">
      <c r="A1464">
        <v>73150</v>
      </c>
      <c r="B1464" t="s">
        <v>16212</v>
      </c>
      <c r="C1464">
        <f>-619.423284391735 -40.1879182701093 -100.177019347529</f>
        <v>-759.78822200937338</v>
      </c>
      <c r="D1464">
        <f>-642.096399487626 -51.1629035209016 -213.233126973138</f>
        <v>-906.49242998166562</v>
      </c>
      <c r="E1464">
        <f>-650.58215788308 -54.11357941574 -311.446937843636</f>
        <v>-1016.142675142456</v>
      </c>
      <c r="F1464">
        <f>-654.347352427307 -54.4605895394891 -400.463470459416</f>
        <v>-1109.271412426212</v>
      </c>
      <c r="G1464">
        <f>-653.81586697261 -52.4791419700038 -489.536699693596</f>
        <v>-1195.8317086362099</v>
      </c>
      <c r="H1464">
        <f>-648.529390422404 -47.3422714319752 -613.900898569944</f>
        <v>-1309.7725604243233</v>
      </c>
      <c r="I1464">
        <f>-620.139418635626 -37.1755400970617 -691.332666738655</f>
        <v>-1348.6476254713427</v>
      </c>
      <c r="J1464">
        <f>-656.269641351538 -22.4424738812641 -558.282744300319</f>
        <v>-1236.9948595331211</v>
      </c>
      <c r="K1464" t="s">
        <v>16213</v>
      </c>
      <c r="L1464" t="s">
        <v>16214</v>
      </c>
      <c r="M1464" t="s">
        <v>16215</v>
      </c>
      <c r="N1464">
        <f>-645.441762040152 -76.7632073343268 -560.066123703035</f>
        <v>-1282.2710930775138</v>
      </c>
      <c r="O1464">
        <f>-619.170735294408 -209.448976979077 -535.525813551912</f>
        <v>-1364.145525825397</v>
      </c>
      <c r="P1464">
        <f>-573.027874087302 -307.754373447457 -262.033382142343</f>
        <v>-1142.8156296771022</v>
      </c>
      <c r="Q1464">
        <f>-440.17883286528 -138.359799183335 -370.234570919685</f>
        <v>-948.77320296829998</v>
      </c>
      <c r="R1464" t="s">
        <v>16216</v>
      </c>
      <c r="S1464" t="s">
        <v>16217</v>
      </c>
      <c r="T1464" t="s">
        <v>16218</v>
      </c>
      <c r="U1464" t="s">
        <v>16219</v>
      </c>
      <c r="V1464">
        <f>-592.174500593697 -131.537740010451 -97.8212264665676</f>
        <v>-821.53346707071557</v>
      </c>
      <c r="W1464" t="s">
        <v>16220</v>
      </c>
      <c r="X1464" t="s">
        <v>16221</v>
      </c>
      <c r="Y1464" t="s">
        <v>16222</v>
      </c>
    </row>
    <row r="1465" spans="1:25" x14ac:dyDescent="0.3">
      <c r="A1465">
        <v>73200</v>
      </c>
      <c r="B1465" t="s">
        <v>16223</v>
      </c>
      <c r="C1465">
        <f>-619.220144898994 -39.5052531851275 -100.090880954023</f>
        <v>-758.81627903814444</v>
      </c>
      <c r="D1465">
        <f>-641.905612877768 -50.3689597375968 -213.155443646429</f>
        <v>-905.43001626179387</v>
      </c>
      <c r="E1465">
        <f>-650.351864377791 -53.2646822219964 -311.374175780705</f>
        <v>-1014.9907223804923</v>
      </c>
      <c r="F1465">
        <f>-654.061459295958 -53.5783513260478 -400.393220750834</f>
        <v>-1108.0330313728398</v>
      </c>
      <c r="G1465">
        <f>-653.454682970819 -51.5809427933747 -489.465560679959</f>
        <v>-1194.5011864441526</v>
      </c>
      <c r="H1465">
        <f>-648.042201844871 -46.4416444131598 -613.824325063716</f>
        <v>-1308.3081713217466</v>
      </c>
      <c r="I1465">
        <f>-619.69110371809 -36.4236599018877 -691.289590717169</f>
        <v>-1347.4043543371467</v>
      </c>
      <c r="J1465">
        <f>-655.758142341191 -21.5271101301432 -558.209212734435</f>
        <v>-1235.4944652057693</v>
      </c>
      <c r="K1465" t="s">
        <v>16224</v>
      </c>
      <c r="L1465" t="s">
        <v>16225</v>
      </c>
      <c r="M1465" t="s">
        <v>16226</v>
      </c>
      <c r="N1465">
        <f>-645.089828470101 -75.8794557736945 -559.991132048051</f>
        <v>-1280.9604162918465</v>
      </c>
      <c r="O1465">
        <f>-619.21665113444 -208.635955913556 -535.411245857448</f>
        <v>-1363.2638529054439</v>
      </c>
      <c r="P1465">
        <f>-575.512826436744 -305.832577400083 -261.123048452691</f>
        <v>-1142.4684522895182</v>
      </c>
      <c r="Q1465">
        <f>-443.575506084623 -134.245205853777 -366.958734980126</f>
        <v>-944.77944691852599</v>
      </c>
      <c r="R1465" t="s">
        <v>16227</v>
      </c>
      <c r="S1465" t="s">
        <v>16228</v>
      </c>
      <c r="T1465" t="s">
        <v>16229</v>
      </c>
      <c r="U1465" t="s">
        <v>16230</v>
      </c>
      <c r="V1465">
        <f>-592.188904263191 -130.935795296941 -97.7894167592924</f>
        <v>-820.91411631942447</v>
      </c>
      <c r="W1465" t="s">
        <v>16231</v>
      </c>
      <c r="X1465" t="s">
        <v>16232</v>
      </c>
      <c r="Y1465" t="s">
        <v>16233</v>
      </c>
    </row>
    <row r="1466" spans="1:25" x14ac:dyDescent="0.3">
      <c r="A1466">
        <v>73250</v>
      </c>
      <c r="B1466" t="s">
        <v>16234</v>
      </c>
      <c r="C1466">
        <f>-619.134822158332 -39.1729320508914 -100.06128870855</f>
        <v>-758.36904291777341</v>
      </c>
      <c r="D1466">
        <f>-641.817666477995 -49.9868671538875 -213.131067906127</f>
        <v>-904.93560153800945</v>
      </c>
      <c r="E1466">
        <f>-650.239449424377 -52.8467343243569 -311.35311869475</f>
        <v>-1014.4393024434839</v>
      </c>
      <c r="F1466">
        <f>-653.918150150666 -53.1306021446821 -400.373481975018</f>
        <v>-1107.4222342703661</v>
      </c>
      <c r="G1466">
        <f>-653.271319095241 -51.1074155927588 -489.444918466262</f>
        <v>-1193.8236531542618</v>
      </c>
      <c r="H1466">
        <f>-647.793630680591 -45.9362538402588 -613.799530521228</f>
        <v>-1307.5294150420777</v>
      </c>
      <c r="I1466">
        <f>-619.476251229631 -35.9844842770053 -691.285826833516</f>
        <v>-1346.7465623401522</v>
      </c>
      <c r="J1466">
        <f>-655.502296468475 -21.0288335601504 -558.180222379222</f>
        <v>-1234.7113524078472</v>
      </c>
      <c r="K1466" t="s">
        <v>16235</v>
      </c>
      <c r="L1466" t="s">
        <v>16236</v>
      </c>
      <c r="M1466" t="s">
        <v>16237</v>
      </c>
      <c r="N1466">
        <f>-644.905947721906 -75.3947952725442 -559.974200756052</f>
        <v>-1280.2749437505022</v>
      </c>
      <c r="O1466">
        <f>-619.245094960643 -208.191411807016 -535.40351017553</f>
        <v>-1362.8400169431889</v>
      </c>
      <c r="P1466">
        <f>-576.597018563798 -304.72563393348 -260.715464801609</f>
        <v>-1142.0381172988871</v>
      </c>
      <c r="Q1466">
        <f>-444.749547515593 -132.217109561311 -365.156618773804</f>
        <v>-942.12327585070796</v>
      </c>
      <c r="R1466" t="s">
        <v>16238</v>
      </c>
      <c r="S1466" t="s">
        <v>16239</v>
      </c>
      <c r="T1466" t="s">
        <v>16240</v>
      </c>
      <c r="U1466" t="s">
        <v>16241</v>
      </c>
      <c r="V1466">
        <f>-592.195861450745 -130.619840174847 -97.7748942111657</f>
        <v>-820.59059583675776</v>
      </c>
      <c r="W1466" t="s">
        <v>16242</v>
      </c>
      <c r="X1466" t="s">
        <v>16243</v>
      </c>
      <c r="Y1466" t="s">
        <v>16244</v>
      </c>
    </row>
    <row r="1467" spans="1:25" x14ac:dyDescent="0.3">
      <c r="A1467">
        <v>73300</v>
      </c>
      <c r="B1467" t="s">
        <v>16245</v>
      </c>
      <c r="C1467">
        <f>-618.90583276853 -38.6930096759393 -100.000061112191</f>
        <v>-757.59890355666028</v>
      </c>
      <c r="D1467">
        <f>-641.546089860883 -49.3750250204733 -213.090982231421</f>
        <v>-904.01209711277727</v>
      </c>
      <c r="E1467">
        <f>-649.882189225823 -52.1302448649603 -311.323102391901</f>
        <v>-1013.3355364826843</v>
      </c>
      <c r="F1467">
        <f>-653.464199688972 -52.3222269194983 -400.347743411293</f>
        <v>-1106.1341700197634</v>
      </c>
      <c r="G1467">
        <f>-652.701456909341 -50.2113645952685 -489.416329098924</f>
        <v>-1192.3291506035334</v>
      </c>
      <c r="H1467">
        <f>-647.041976090707 -44.922229525062 -613.757692087045</f>
        <v>-1305.721897702814</v>
      </c>
      <c r="I1467">
        <f>-618.845124704096 -35.1018770145458 -691.30462357515</f>
        <v>-1345.2516252937917</v>
      </c>
      <c r="J1467">
        <f>-654.766032194316 -20.0549204220997 -558.122693952447</f>
        <v>-1232.9436465688627</v>
      </c>
      <c r="K1467" t="s">
        <v>16246</v>
      </c>
      <c r="L1467" t="s">
        <v>16247</v>
      </c>
      <c r="M1467" t="s">
        <v>16248</v>
      </c>
      <c r="N1467">
        <f>-644.29892533905 -74.4445269258699 -559.959718452229</f>
        <v>-1278.7031707171491</v>
      </c>
      <c r="O1467">
        <f>-618.960370751077 -207.311544939018 -535.399506101454</f>
        <v>-1361.6714217915492</v>
      </c>
      <c r="P1467">
        <f>-578.688913953926 -302.821561040491 -259.995717696993</f>
        <v>-1141.50619269141</v>
      </c>
      <c r="Q1467">
        <f>-446.242131582079 -129.07490314485 -361.587091407912</f>
        <v>-936.90412613484102</v>
      </c>
      <c r="R1467" t="s">
        <v>16249</v>
      </c>
      <c r="S1467" t="s">
        <v>16250</v>
      </c>
      <c r="T1467" t="s">
        <v>16251</v>
      </c>
      <c r="U1467" t="s">
        <v>16252</v>
      </c>
      <c r="V1467">
        <f>-592.259406707918 -130.136921534519 -97.7581328524178</f>
        <v>-820.15446109485481</v>
      </c>
      <c r="W1467" t="s">
        <v>16253</v>
      </c>
      <c r="X1467" t="s">
        <v>16254</v>
      </c>
      <c r="Y1467" t="s">
        <v>16255</v>
      </c>
    </row>
    <row r="1468" spans="1:25" x14ac:dyDescent="0.3">
      <c r="A1468">
        <v>73350</v>
      </c>
      <c r="B1468" t="s">
        <v>16256</v>
      </c>
      <c r="C1468">
        <f>-618.880578868774 -38.4052414779892 -99.9654495595881</f>
        <v>-757.25126990635135</v>
      </c>
      <c r="D1468">
        <f>-641.480464144668 -49.0141286679789 -213.071295981096</f>
        <v>-903.56588879374283</v>
      </c>
      <c r="E1468">
        <f>-649.769344479534 -51.715653231479 -311.308942716219</f>
        <v>-1012.793940427232</v>
      </c>
      <c r="F1468">
        <f>-653.303936139543 -51.8624051327567 -400.33561174708</f>
        <v>-1105.5019530193797</v>
      </c>
      <c r="G1468">
        <f>-652.488964766394 -49.710342494316 -489.402629700146</f>
        <v>-1191.6019369608562</v>
      </c>
      <c r="H1468">
        <f>-646.7516026863 -44.3685366019604 -613.738347552104</f>
        <v>-1304.8584868403643</v>
      </c>
      <c r="I1468">
        <f>-618.626783125748 -34.6212476624528 -691.320565122082</f>
        <v>-1344.568595910283</v>
      </c>
      <c r="J1468">
        <f>-654.476891418781 -19.5184767766327 -558.095676565082</f>
        <v>-1232.0910447604956</v>
      </c>
      <c r="K1468" t="s">
        <v>16257</v>
      </c>
      <c r="L1468" t="s">
        <v>16258</v>
      </c>
      <c r="M1468" t="s">
        <v>16259</v>
      </c>
      <c r="N1468">
        <f>-644.075834832303 -73.9200638448664 -559.953070690566</f>
        <v>-1277.9489693677356</v>
      </c>
      <c r="O1468">
        <f>-618.886553255704 -206.810103642944 -535.430821212981</f>
        <v>-1361.127478111629</v>
      </c>
      <c r="P1468">
        <f>-580.005228381483 -301.722654816801 -259.621001960923</f>
        <v>-1141.3488851592069</v>
      </c>
      <c r="Q1468">
        <f>-447.084652950005 -127.304592559994 -359.427510355595</f>
        <v>-933.81675586559402</v>
      </c>
      <c r="R1468" t="s">
        <v>16260</v>
      </c>
      <c r="S1468" t="s">
        <v>16261</v>
      </c>
      <c r="T1468" t="s">
        <v>16262</v>
      </c>
      <c r="U1468" t="s">
        <v>16263</v>
      </c>
      <c r="V1468">
        <f>-592.295516549054 -129.837016362284 -97.7332195084106</f>
        <v>-819.86575241974856</v>
      </c>
      <c r="W1468" t="s">
        <v>16264</v>
      </c>
      <c r="X1468" t="s">
        <v>16265</v>
      </c>
      <c r="Y1468" t="s">
        <v>16266</v>
      </c>
    </row>
    <row r="1469" spans="1:25" x14ac:dyDescent="0.3">
      <c r="A1469">
        <v>73400</v>
      </c>
      <c r="B1469" t="s">
        <v>16267</v>
      </c>
      <c r="C1469">
        <f>-618.632729089229 -38.1600058763438 -99.8834514909782</f>
        <v>-756.67618645655102</v>
      </c>
      <c r="D1469">
        <f>-641.149109527217 -48.5876030025356 -213.022666056001</f>
        <v>-902.75937858575355</v>
      </c>
      <c r="E1469">
        <f>-649.365173921465 -51.1883668469542 -311.269348930417</f>
        <v>-1011.8228896988362</v>
      </c>
      <c r="F1469">
        <f>-652.834482572852 -51.2656856443811 -400.298527952865</f>
        <v>-1104.398696170098</v>
      </c>
      <c r="G1469">
        <f>-651.955076899751 -49.0670279050381 -489.363803280709</f>
        <v>-1190.3859080854982</v>
      </c>
      <c r="H1469">
        <f>-646.128693236855 -43.6843545809843 -613.693610576666</f>
        <v>-1303.5066583945054</v>
      </c>
      <c r="I1469">
        <f>-618.187227301198 -34.1406331268277 -691.367450501761</f>
        <v>-1343.6953109297867</v>
      </c>
      <c r="J1469">
        <f>-653.812754183081 -18.8373320382639 -558.043997725138</f>
        <v>-1230.6940839464828</v>
      </c>
      <c r="K1469" t="s">
        <v>16268</v>
      </c>
      <c r="L1469" t="s">
        <v>16269</v>
      </c>
      <c r="M1469" t="s">
        <v>16270</v>
      </c>
      <c r="N1469">
        <f>-643.572484644779 -73.268702570704 -559.920460153461</f>
        <v>-1276.7616473689441</v>
      </c>
      <c r="O1469">
        <f>-618.842955218633 -206.264584263944 -535.458246627909</f>
        <v>-1360.565786110486</v>
      </c>
      <c r="P1469">
        <f>-582.456152540769 -299.515533838092 -258.742648037907</f>
        <v>-1140.714334416768</v>
      </c>
      <c r="Q1469">
        <f>-447.952665547815 -124.37547425854 -355.104741631704</f>
        <v>-927.43288143805898</v>
      </c>
      <c r="R1469" t="s">
        <v>16271</v>
      </c>
      <c r="S1469" t="s">
        <v>16272</v>
      </c>
      <c r="T1469" t="s">
        <v>16273</v>
      </c>
      <c r="U1469" t="s">
        <v>16274</v>
      </c>
      <c r="V1469">
        <f>-592.255195463629 -129.73049008717 -97.7313031823873</f>
        <v>-819.71698873318621</v>
      </c>
      <c r="W1469" t="s">
        <v>16275</v>
      </c>
      <c r="X1469" t="s">
        <v>16276</v>
      </c>
      <c r="Y1469" t="s">
        <v>16277</v>
      </c>
    </row>
    <row r="1470" spans="1:25" x14ac:dyDescent="0.3">
      <c r="A1470">
        <v>73450</v>
      </c>
      <c r="B1470" t="s">
        <v>16278</v>
      </c>
      <c r="C1470">
        <f>-618.484362287437 -38.1750846147704 -99.8289487369469</f>
        <v>-756.48839563915431</v>
      </c>
      <c r="D1470">
        <f>-640.956246244635 -48.5000373833412 -212.986457999666</f>
        <v>-902.44274162764225</v>
      </c>
      <c r="E1470">
        <f>-649.146217451622 -51.0567937901986 -311.236470946167</f>
        <v>-1011.4394821879876</v>
      </c>
      <c r="F1470">
        <f>-652.597991281263 -51.1107637183879 -400.266343951559</f>
        <v>-1103.9750989512099</v>
      </c>
      <c r="G1470">
        <f>-651.707326414464 -48.9053470600127 -489.331322435566</f>
        <v>-1189.9439959100428</v>
      </c>
      <c r="H1470">
        <f>-645.872304176728 -43.5307727868905 -613.66111168788</f>
        <v>-1303.0641886514984</v>
      </c>
      <c r="I1470">
        <f>-618.049465388528 -34.1135498117885 -691.392840936965</f>
        <v>-1343.5558561372814</v>
      </c>
      <c r="J1470">
        <f>-653.520104542532 -18.6726974877288 -558.011325156891</f>
        <v>-1230.2041271871517</v>
      </c>
      <c r="K1470" t="s">
        <v>16279</v>
      </c>
      <c r="L1470" t="s">
        <v>16280</v>
      </c>
      <c r="M1470" t="s">
        <v>16281</v>
      </c>
      <c r="N1470">
        <f>-643.359977291165 -73.1191317999319 -559.888162728499</f>
        <v>-1276.3672718195958</v>
      </c>
      <c r="O1470">
        <f>-618.878689041902 -206.152777843072 -535.385074752907</f>
        <v>-1360.416541637881</v>
      </c>
      <c r="P1470">
        <f>-583.812866292173 -298.088659457225 -258.059788410418</f>
        <v>-1139.9613141598159</v>
      </c>
      <c r="Q1470">
        <f>-448.500077591128 -122.777930083013 -352.967382734516</f>
        <v>-924.24539040865693</v>
      </c>
      <c r="R1470" t="s">
        <v>16282</v>
      </c>
      <c r="S1470" t="s">
        <v>16283</v>
      </c>
      <c r="T1470" t="s">
        <v>16284</v>
      </c>
      <c r="U1470" t="s">
        <v>16285</v>
      </c>
      <c r="V1470">
        <f>-592.323347872651 -129.680186435794 -97.7167709544854</f>
        <v>-819.72030526293031</v>
      </c>
      <c r="W1470" t="s">
        <v>16286</v>
      </c>
      <c r="X1470" t="s">
        <v>16287</v>
      </c>
      <c r="Y1470" t="s">
        <v>16288</v>
      </c>
    </row>
    <row r="1471" spans="1:25" x14ac:dyDescent="0.3">
      <c r="A1471">
        <v>73500</v>
      </c>
      <c r="B1471" t="s">
        <v>16289</v>
      </c>
      <c r="C1471">
        <f>-618.302581986448 -38.2152001797529 -99.6911249636141</f>
        <v>-756.20890712981497</v>
      </c>
      <c r="D1471">
        <f>-640.693444888555 -48.2996972409347 -212.886536654393</f>
        <v>-901.8796787838827</v>
      </c>
      <c r="E1471">
        <f>-648.831434057754 -50.789666266116 -311.142440032752</f>
        <v>-1010.763540356622</v>
      </c>
      <c r="F1471">
        <f>-652.24699602805 -50.8353105474041 -400.173781617711</f>
        <v>-1103.2560881931652</v>
      </c>
      <c r="G1471">
        <f>-651.332418495563 -48.673839573901 -489.239622488819</f>
        <v>-1189.245880558283</v>
      </c>
      <c r="H1471">
        <f>-645.478144515155 -43.4137934280815 -613.573397618342</f>
        <v>-1302.4653355615785</v>
      </c>
      <c r="I1471">
        <f>-617.929560670185 -34.3169144012636 -691.44081640907</f>
        <v>-1343.6872914805185</v>
      </c>
      <c r="J1471">
        <f>-653.051411254151 -18.4893258736199 -557.943108903429</f>
        <v>-1229.4838460311998</v>
      </c>
      <c r="K1471" t="s">
        <v>16290</v>
      </c>
      <c r="L1471" t="s">
        <v>16291</v>
      </c>
      <c r="M1471" t="s">
        <v>16292</v>
      </c>
      <c r="N1471">
        <f>-643.057197920468 -72.9678710254731 -559.777321693023</f>
        <v>-1275.802390638964</v>
      </c>
      <c r="O1471">
        <f>-619.115819357781 -206.068570786914 -535.076690505739</f>
        <v>-1360.261080650434</v>
      </c>
      <c r="P1471">
        <f>-586.856999395907 -294.566899384328 -256.295989831191</f>
        <v>-1137.7198886114261</v>
      </c>
      <c r="Q1471">
        <f>-450.032746126874 -120.120105476865 -350.626967912982</f>
        <v>-920.77981951672109</v>
      </c>
      <c r="R1471" t="s">
        <v>16293</v>
      </c>
      <c r="S1471" t="s">
        <v>16294</v>
      </c>
      <c r="T1471" t="s">
        <v>16295</v>
      </c>
      <c r="U1471" t="s">
        <v>16296</v>
      </c>
      <c r="V1471">
        <f>-592.599572551866 -129.749944636764 -97.67218275243</f>
        <v>-820.02169994105998</v>
      </c>
      <c r="W1471" t="s">
        <v>16297</v>
      </c>
      <c r="X1471" t="s">
        <v>16298</v>
      </c>
      <c r="Y1471" t="s">
        <v>16299</v>
      </c>
    </row>
    <row r="1472" spans="1:25" x14ac:dyDescent="0.3">
      <c r="A1472">
        <v>73550</v>
      </c>
      <c r="B1472" t="s">
        <v>16300</v>
      </c>
      <c r="C1472">
        <f>-618.282336702882 -38.080614673346 -99.6176550584989</f>
        <v>-755.98060643472695</v>
      </c>
      <c r="D1472">
        <f>-640.617779024284 -48.0783081419989 -212.831539725811</f>
        <v>-901.52762689209396</v>
      </c>
      <c r="E1472">
        <f>-648.73763033187 -50.5687775468656 -311.089042119926</f>
        <v>-1010.3954499986617</v>
      </c>
      <c r="F1472">
        <f>-652.150863305013 -50.6419480404198 -400.12052619718</f>
        <v>-1102.9133375426129</v>
      </c>
      <c r="G1472">
        <f>-651.248931223256 -48.5346214384201 -489.187657950249</f>
        <v>-1188.971210611925</v>
      </c>
      <c r="H1472">
        <f>-645.42875381471 -43.3774105758823 -613.527383536339</f>
        <v>-1302.3335479269313</v>
      </c>
      <c r="I1472">
        <f>-618.026570019209 -34.474456042557 -691.468891077652</f>
        <v>-1343.9699171394179</v>
      </c>
      <c r="J1472">
        <f>-652.941229645552 -18.3986680261421 -557.913250819438</f>
        <v>-1229.2531484911319</v>
      </c>
      <c r="K1472" t="s">
        <v>16301</v>
      </c>
      <c r="L1472" t="s">
        <v>16302</v>
      </c>
      <c r="M1472" t="s">
        <v>16303</v>
      </c>
      <c r="N1472">
        <f>-643.038613858644 -72.8950837827337 -559.709982521706</f>
        <v>-1275.6436801630837</v>
      </c>
      <c r="O1472">
        <f>-619.401989681508 -206.008853789222 -534.865816829585</f>
        <v>-1360.2766603003151</v>
      </c>
      <c r="P1472">
        <f>-588.2899095021 -292.388298330207 -255.291476841502</f>
        <v>-1135.9696846738091</v>
      </c>
      <c r="Q1472">
        <f>-451.060128438282 -118.263448294243 -349.628154803674</f>
        <v>-918.95173153619908</v>
      </c>
      <c r="R1472" t="s">
        <v>16304</v>
      </c>
      <c r="S1472" t="s">
        <v>16305</v>
      </c>
      <c r="T1472" t="s">
        <v>16306</v>
      </c>
      <c r="U1472" t="s">
        <v>16307</v>
      </c>
      <c r="V1472">
        <f>-592.775215254975 -129.64003152863 -97.6129528833847</f>
        <v>-820.02819966698962</v>
      </c>
      <c r="W1472" t="s">
        <v>16308</v>
      </c>
      <c r="X1472" t="s">
        <v>16309</v>
      </c>
      <c r="Y1472" t="s">
        <v>16310</v>
      </c>
    </row>
    <row r="1473" spans="1:25" x14ac:dyDescent="0.3">
      <c r="A1473">
        <v>73600</v>
      </c>
      <c r="B1473" t="s">
        <v>16311</v>
      </c>
      <c r="C1473">
        <f>-618.255983033673 -37.8838067680506 -99.561678951114</f>
        <v>-755.70146875283763</v>
      </c>
      <c r="D1473">
        <f>-640.544300203543 -47.7896311833609 -212.793015123062</f>
        <v>-901.12694650996593</v>
      </c>
      <c r="E1473">
        <f>-648.646273015668 -50.3080522017943 -311.051192962511</f>
        <v>-1010.0055181799734</v>
      </c>
      <c r="F1473">
        <f>-652.054991742629 -50.447257281415 -400.082688902638</f>
        <v>-1102.584937926682</v>
      </c>
      <c r="G1473">
        <f>-651.160904639037 -48.4462254142635 -489.152449795794</f>
        <v>-1188.7595798490945</v>
      </c>
      <c r="H1473">
        <f>-645.365564442647 -43.4789279972241 -613.500966497348</f>
        <v>-1302.3454589372191</v>
      </c>
      <c r="I1473">
        <f>-618.094016950985 -34.8026109511641 -691.513871394046</f>
        <v>-1344.410499296195</v>
      </c>
      <c r="J1473">
        <f>-652.819430718099 -18.4067535423171 -557.921097006588</f>
        <v>-1229.147281267004</v>
      </c>
      <c r="K1473" t="s">
        <v>16312</v>
      </c>
      <c r="L1473" t="s">
        <v>16313</v>
      </c>
      <c r="M1473" t="s">
        <v>16314</v>
      </c>
      <c r="N1473">
        <f>-643.012192028332 -72.9229955446607 -559.641802929247</f>
        <v>-1275.5769905022398</v>
      </c>
      <c r="O1473">
        <f>-619.657855058076 -206.051072085927 -534.552714161779</f>
        <v>-1360.2616413057822</v>
      </c>
      <c r="P1473">
        <f>-589.525500961873 -290.393077734366 -254.2499174185</f>
        <v>-1134.1684961147389</v>
      </c>
      <c r="Q1473">
        <f>-452.180722933125 -116.37248656277 -348.611527253287</f>
        <v>-917.16473674918211</v>
      </c>
      <c r="R1473" t="s">
        <v>16315</v>
      </c>
      <c r="S1473" t="s">
        <v>16316</v>
      </c>
      <c r="T1473" t="s">
        <v>16317</v>
      </c>
      <c r="U1473" t="s">
        <v>16318</v>
      </c>
      <c r="V1473">
        <f>-592.966164599911 -129.492991927604 -97.5846397916906</f>
        <v>-820.04379631920563</v>
      </c>
      <c r="W1473" t="s">
        <v>16319</v>
      </c>
      <c r="X1473" t="s">
        <v>16320</v>
      </c>
      <c r="Y1473" t="s">
        <v>16321</v>
      </c>
    </row>
    <row r="1474" spans="1:25" x14ac:dyDescent="0.3">
      <c r="A1474">
        <v>73650</v>
      </c>
      <c r="B1474" t="s">
        <v>16322</v>
      </c>
      <c r="C1474">
        <f>-617.989055966326 -37.2010760485639 -99.4644533095804</f>
        <v>-754.6545853244703</v>
      </c>
      <c r="D1474">
        <f>-640.147480527936 -46.9706614326974 -212.733038715489</f>
        <v>-899.85118067612234</v>
      </c>
      <c r="E1474">
        <f>-648.17711622827 -49.6644987704557 -310.992516422443</f>
        <v>-1008.8341314211686</v>
      </c>
      <c r="F1474">
        <f>-651.541972090521 -50.0744483850515 -400.024800263795</f>
        <v>-1101.6412207393673</v>
      </c>
      <c r="G1474">
        <f>-650.628432363447 -48.4559946968888 -489.102273577419</f>
        <v>-1188.1867006377547</v>
      </c>
      <c r="H1474">
        <f>-644.833465886569 -44.1380539679898 -613.475122591644</f>
        <v>-1302.4466424462028</v>
      </c>
      <c r="I1474">
        <f>-617.830277875576 -36.0428252795168 -691.643582272406</f>
        <v>-1345.5166854274989</v>
      </c>
      <c r="J1474">
        <f>-652.205816170735 -18.7614738903012 -558.022337872784</f>
        <v>-1228.9896279338202</v>
      </c>
      <c r="K1474" t="s">
        <v>16323</v>
      </c>
      <c r="L1474" t="s">
        <v>16324</v>
      </c>
      <c r="M1474" t="s">
        <v>16325</v>
      </c>
      <c r="N1474">
        <f>-642.561246874612 -73.3147244178421 -559.467046808244</f>
        <v>-1275.3430181006981</v>
      </c>
      <c r="O1474">
        <f>-619.68147166673 -206.409978293533 -533.677229372811</f>
        <v>-1359.768679333074</v>
      </c>
      <c r="P1474">
        <f>-592.420088834846 -287.673366151712 -252.173520337612</f>
        <v>-1132.2669753241698</v>
      </c>
      <c r="Q1474">
        <f>-453.374897712837 -114.956077935831 -346.439449530943</f>
        <v>-914.77042517961104</v>
      </c>
      <c r="R1474" t="s">
        <v>16326</v>
      </c>
      <c r="S1474" t="s">
        <v>16327</v>
      </c>
      <c r="T1474" t="s">
        <v>16328</v>
      </c>
      <c r="U1474" t="s">
        <v>16329</v>
      </c>
      <c r="V1474">
        <f>-593.079474252667 -128.79076002898 -97.4965353212355</f>
        <v>-819.36676960288241</v>
      </c>
      <c r="W1474" t="s">
        <v>16330</v>
      </c>
      <c r="X1474" t="s">
        <v>16331</v>
      </c>
      <c r="Y1474" t="s">
        <v>16332</v>
      </c>
    </row>
    <row r="1475" spans="1:25" x14ac:dyDescent="0.3">
      <c r="A1475">
        <v>73700</v>
      </c>
      <c r="B1475" t="s">
        <v>16333</v>
      </c>
      <c r="C1475">
        <f>-617.610938784616 -36.2885529392929 -99.393950209147</f>
        <v>-753.29344193305587</v>
      </c>
      <c r="D1475">
        <f>-639.702891212338 -45.9708623745305 -212.683177918325</f>
        <v>-898.35693150519353</v>
      </c>
      <c r="E1475">
        <f>-647.715465872201 -48.898640032046 -310.937296418488</f>
        <v>-1007.551402322735</v>
      </c>
      <c r="F1475">
        <f>-651.087474550318 -49.6386372636998 -399.967260008735</f>
        <v>-1100.6933718227529</v>
      </c>
      <c r="G1475">
        <f>-650.205939938717 -48.4674970305786 -489.051999698692</f>
        <v>-1187.7254366679877</v>
      </c>
      <c r="H1475">
        <f>-644.484529153642 -44.89482793205 -613.45173542129</f>
        <v>-1302.831092506982</v>
      </c>
      <c r="I1475">
        <f>-617.78902957045 -37.4698917719254 -691.792357855727</f>
        <v>-1347.0512791981023</v>
      </c>
      <c r="J1475">
        <f>-651.769676424453 -19.1769290614272 -558.144973774141</f>
        <v>-1229.0915792600213</v>
      </c>
      <c r="K1475" t="s">
        <v>16334</v>
      </c>
      <c r="L1475" t="s">
        <v>16335</v>
      </c>
      <c r="M1475" t="s">
        <v>16336</v>
      </c>
      <c r="N1475">
        <f>-642.234717921154 -73.7570459539401 -559.274001357627</f>
        <v>-1275.2657652327212</v>
      </c>
      <c r="O1475">
        <f>-619.856052957019 -206.751130677147 -532.585773870927</f>
        <v>-1359.1929575050931</v>
      </c>
      <c r="P1475">
        <f>-596.850289332103 -283.573867647931 -249.459889573211</f>
        <v>-1129.8840465532451</v>
      </c>
      <c r="Q1475">
        <f>-451.929140673496 -116.271704376655 -344.63722907202</f>
        <v>-912.83807412217095</v>
      </c>
      <c r="R1475" t="s">
        <v>16337</v>
      </c>
      <c r="S1475" t="s">
        <v>16338</v>
      </c>
      <c r="T1475" t="s">
        <v>16339</v>
      </c>
      <c r="U1475" t="s">
        <v>16340</v>
      </c>
      <c r="V1475">
        <f>-592.986205659531 -127.926721705291 -97.4186218095738</f>
        <v>-818.33154917439583</v>
      </c>
      <c r="W1475" t="s">
        <v>16341</v>
      </c>
      <c r="X1475" t="s">
        <v>16342</v>
      </c>
      <c r="Y1475" t="s">
        <v>16343</v>
      </c>
    </row>
    <row r="1476" spans="1:25" x14ac:dyDescent="0.3">
      <c r="A1476">
        <v>73750</v>
      </c>
      <c r="B1476" t="s">
        <v>16344</v>
      </c>
      <c r="C1476">
        <f>-617.555687272766 -35.7076561463032 -99.3850757597585</f>
        <v>-752.64841917882768</v>
      </c>
      <c r="D1476">
        <f>-639.64605662587 -45.4009676586822 -212.673540385288</f>
        <v>-897.7205646698402</v>
      </c>
      <c r="E1476">
        <f>-647.64051750211 -48.4795927193846 -310.924609307919</f>
        <v>-1007.0447195294137</v>
      </c>
      <c r="F1476">
        <f>-650.992141655446 -49.410342030235 -399.953438671404</f>
        <v>-1100.3559223570851</v>
      </c>
      <c r="G1476">
        <f>-650.088079832494 -48.4824828251933 -489.040846085318</f>
        <v>-1187.6114087430053</v>
      </c>
      <c r="H1476">
        <f>-644.333996369688 -45.3037935542809 -613.449944004357</f>
        <v>-1303.0877339283259</v>
      </c>
      <c r="I1476">
        <f>-617.785280264032 -38.2151037091944 -691.871430619025</f>
        <v>-1347.8718145922514</v>
      </c>
      <c r="J1476">
        <f>-651.641006715244 -19.4122137661079 -558.227175725438</f>
        <v>-1229.2803962067899</v>
      </c>
      <c r="K1476" t="s">
        <v>16345</v>
      </c>
      <c r="L1476" t="s">
        <v>16346</v>
      </c>
      <c r="M1476" t="s">
        <v>16347</v>
      </c>
      <c r="N1476">
        <f>-642.091130398394 -73.9928954115164 -559.180036831617</f>
        <v>-1275.2640626415273</v>
      </c>
      <c r="O1476">
        <f>-619.6929582047 -206.833300848878 -531.895844411377</f>
        <v>-1358.4221034649549</v>
      </c>
      <c r="P1476">
        <f>-599.330907767099 -281.846741942732 -248.083232388916</f>
        <v>-1129.2608820987471</v>
      </c>
      <c r="Q1476">
        <f>-452.677198386472 -116.649204410666 -344.277483494761</f>
        <v>-913.60388629189902</v>
      </c>
      <c r="R1476" t="s">
        <v>16348</v>
      </c>
      <c r="S1476" t="s">
        <v>16349</v>
      </c>
      <c r="T1476" t="s">
        <v>16350</v>
      </c>
      <c r="U1476" t="s">
        <v>16351</v>
      </c>
      <c r="V1476">
        <f>-592.836012877282 -127.340047067932 -97.3717253900458</f>
        <v>-817.54778533525973</v>
      </c>
      <c r="W1476" t="s">
        <v>16352</v>
      </c>
      <c r="X1476" t="s">
        <v>16353</v>
      </c>
      <c r="Y1476" t="s">
        <v>16354</v>
      </c>
    </row>
    <row r="1477" spans="1:25" x14ac:dyDescent="0.3">
      <c r="A1477">
        <v>73800</v>
      </c>
      <c r="B1477" t="s">
        <v>16355</v>
      </c>
      <c r="C1477">
        <f>-617.465025289435 -35.1923744480632 -99.4388212181979</f>
        <v>-752.09622095569603</v>
      </c>
      <c r="D1477">
        <f>-639.580219493695 -45.0894719772084 -212.704826897819</f>
        <v>-897.37451836872242</v>
      </c>
      <c r="E1477">
        <f>-647.579819711929 -48.5587225771746 -310.942392591619</f>
        <v>-1007.0809348807227</v>
      </c>
      <c r="F1477">
        <f>-650.93120410009 -49.9315699563366 -399.965691533338</f>
        <v>-1100.8284655897646</v>
      </c>
      <c r="G1477">
        <f>-650.022928259275 -49.5353963658268 -489.05700539494</f>
        <v>-1188.6153300200417</v>
      </c>
      <c r="H1477">
        <f>-644.259776729169 -47.194157860408 -613.483974493666</f>
        <v>-1304.9379090832431</v>
      </c>
      <c r="I1477">
        <f>-618.005273271359 -40.7677926234703 -692.061550434914</f>
        <v>-1350.8346163297433</v>
      </c>
      <c r="J1477">
        <f>-651.608877927973 -20.938036023678 -558.439321810994</f>
        <v>-1230.986235762645</v>
      </c>
      <c r="K1477" t="s">
        <v>16356</v>
      </c>
      <c r="L1477" t="s">
        <v>16357</v>
      </c>
      <c r="M1477" t="s">
        <v>16358</v>
      </c>
      <c r="N1477">
        <f>-641.982806061982 -75.5106346755721 -559.020313087809</f>
        <v>-1276.513753825363</v>
      </c>
      <c r="O1477">
        <f>-619.435211113055 -208.152663205277 -530.860860009552</f>
        <v>-1358.4487343278838</v>
      </c>
      <c r="P1477">
        <f>-603.093622457921 -278.010237675309 -245.476796840288</f>
        <v>-1126.580656973518</v>
      </c>
      <c r="Q1477">
        <f>-456.18754037335 -113.287714390295 -342.09932545675</f>
        <v>-911.57458022039509</v>
      </c>
      <c r="R1477" t="s">
        <v>16359</v>
      </c>
      <c r="S1477" t="s">
        <v>16360</v>
      </c>
      <c r="T1477" t="s">
        <v>16361</v>
      </c>
      <c r="U1477" t="s">
        <v>16362</v>
      </c>
      <c r="V1477">
        <f>-592.257294765302 -127.03823324294 -97.315193449436</f>
        <v>-816.6107214576781</v>
      </c>
      <c r="W1477" t="s">
        <v>16363</v>
      </c>
      <c r="X1477" t="s">
        <v>16364</v>
      </c>
      <c r="Y1477" t="s">
        <v>16365</v>
      </c>
    </row>
    <row r="1478" spans="1:25" x14ac:dyDescent="0.3">
      <c r="A1478">
        <v>73850</v>
      </c>
      <c r="B1478" t="s">
        <v>16366</v>
      </c>
      <c r="C1478">
        <f>-617.486643103365 -35.2081644725542 -99.4758008904223</f>
        <v>-752.1706084663416</v>
      </c>
      <c r="D1478">
        <f>-639.561005941796 -45.194447927521 -212.741911362028</f>
        <v>-897.49736523134493</v>
      </c>
      <c r="E1478">
        <f>-647.56720079307 -48.8552542887833 -310.97200451975</f>
        <v>-1007.3944596016033</v>
      </c>
      <c r="F1478">
        <f>-650.941702788839 -50.4506852720855 -399.990650272971</f>
        <v>-1101.3830383338955</v>
      </c>
      <c r="G1478">
        <f>-650.07431409091 -50.3261266132737 -489.083068303387</f>
        <v>-1189.4835090075708</v>
      </c>
      <c r="H1478">
        <f>-644.386914771866 -48.4165828727585 -613.521165860672</f>
        <v>-1306.3246635052965</v>
      </c>
      <c r="I1478">
        <f>-618.26635088848 -42.3377232396999 -692.170982872436</f>
        <v>-1352.775057000616</v>
      </c>
      <c r="J1478">
        <f>-651.734044821313 -21.9752442559322 -558.564919880272</f>
        <v>-1232.2742089575172</v>
      </c>
      <c r="K1478" t="s">
        <v>16367</v>
      </c>
      <c r="L1478" t="s">
        <v>16368</v>
      </c>
      <c r="M1478" t="s">
        <v>16369</v>
      </c>
      <c r="N1478">
        <f>-642.045283594079 -76.5384117034678 -558.959317662429</f>
        <v>-1277.5430129599758</v>
      </c>
      <c r="O1478">
        <f>-619.255298876483 -209.048053157589 -530.332127276682</f>
        <v>-1358.6354793107539</v>
      </c>
      <c r="P1478">
        <f>-603.814615760746 -277.526797287409 -244.563907701327</f>
        <v>-1125.9053207494821</v>
      </c>
      <c r="Q1478">
        <f>-457.837299635723 -112.170531245312 -341.511439055646</f>
        <v>-911.51926993668098</v>
      </c>
      <c r="R1478" t="s">
        <v>16370</v>
      </c>
      <c r="S1478" t="s">
        <v>16371</v>
      </c>
      <c r="T1478" t="s">
        <v>16372</v>
      </c>
      <c r="U1478" t="s">
        <v>16373</v>
      </c>
      <c r="V1478">
        <f>-592.055115687507 -126.972810230698 -97.3417547476134</f>
        <v>-816.36968066581846</v>
      </c>
      <c r="W1478" t="s">
        <v>16374</v>
      </c>
      <c r="X1478" t="s">
        <v>16375</v>
      </c>
      <c r="Y1478" t="s">
        <v>16376</v>
      </c>
    </row>
    <row r="1479" spans="1:25" x14ac:dyDescent="0.3">
      <c r="A1479">
        <v>73900</v>
      </c>
      <c r="B1479" t="s">
        <v>16377</v>
      </c>
      <c r="C1479">
        <f>-618.2295376157 -35.2886251032608 -99.598710733337</f>
        <v>-753.1168734522978</v>
      </c>
      <c r="D1479">
        <f>-640.214302276843 -45.5028140064379 -212.86196067836</f>
        <v>-898.57907696164091</v>
      </c>
      <c r="E1479">
        <f>-648.285153449763 -49.5047689753964 -311.073524618106</f>
        <v>-1008.8634470432653</v>
      </c>
      <c r="F1479">
        <f>-651.775465329674 -51.4719452939491 -400.080148193159</f>
        <v>-1103.3275588167821</v>
      </c>
      <c r="G1479">
        <f>-651.08209570133 -51.780175600337 -489.173758681182</f>
        <v>-1192.036029982849</v>
      </c>
      <c r="H1479">
        <f>-645.699187797671 -50.5391722396267 -613.633768470834</f>
        <v>-1309.8721285081317</v>
      </c>
      <c r="I1479">
        <f>-619.833016717132 -44.9262977873526 -692.40211843715</f>
        <v>-1357.1614329416345</v>
      </c>
      <c r="J1479">
        <f>-653.074161364348 -23.8321898984821 -558.809858561497</f>
        <v>-1235.7162098243271</v>
      </c>
      <c r="K1479" t="s">
        <v>16378</v>
      </c>
      <c r="L1479" t="s">
        <v>16379</v>
      </c>
      <c r="M1479" t="s">
        <v>16380</v>
      </c>
      <c r="N1479">
        <f>-643.061815810042 -78.3382769213058 -558.920300787579</f>
        <v>-1280.3203935189267</v>
      </c>
      <c r="O1479">
        <f>-619.388349317873 -210.593531536918 -529.787340700561</f>
        <v>-1359.769221555352</v>
      </c>
      <c r="P1479">
        <f>-603.858891335706 -277.258597137876 -243.59536848607</f>
        <v>-1124.7128569596518</v>
      </c>
      <c r="Q1479">
        <f>-460.677267379006 -110.795689291661 -342.792202839202</f>
        <v>-914.26515950986902</v>
      </c>
      <c r="R1479" t="s">
        <v>16381</v>
      </c>
      <c r="S1479" t="s">
        <v>16382</v>
      </c>
      <c r="T1479" t="s">
        <v>16383</v>
      </c>
      <c r="U1479" t="s">
        <v>16384</v>
      </c>
      <c r="V1479">
        <f>-592.419232735299 -126.880623371038 -97.367386612332</f>
        <v>-816.66724271866906</v>
      </c>
      <c r="W1479" t="s">
        <v>16385</v>
      </c>
      <c r="X1479" t="s">
        <v>16386</v>
      </c>
      <c r="Y1479" t="s">
        <v>16387</v>
      </c>
    </row>
    <row r="1480" spans="1:25" x14ac:dyDescent="0.3">
      <c r="A1480">
        <v>73950</v>
      </c>
      <c r="B1480" t="s">
        <v>16388</v>
      </c>
      <c r="C1480">
        <f>-618.762753062218 -35.4852523703271 -99.6298326454678</f>
        <v>-753.87783807801293</v>
      </c>
      <c r="D1480">
        <f>-640.731180212527 -45.8626191279267 -212.881422703826</f>
        <v>-899.47522204427969</v>
      </c>
      <c r="E1480">
        <f>-648.891867658777 -49.9555586210623 -311.081761712764</f>
        <v>-1009.9291879926033</v>
      </c>
      <c r="F1480">
        <f>-652.504324262017 -51.9860055320911 -400.082083948893</f>
        <v>-1104.5724137430011</v>
      </c>
      <c r="G1480">
        <f>-651.973974831388 -52.3357985190399 -489.176680883258</f>
        <v>-1193.4864542336859</v>
      </c>
      <c r="H1480">
        <f>-646.861337740649 -51.1293752477359 -613.648395172891</f>
        <v>-1311.639108161276</v>
      </c>
      <c r="I1480">
        <f>-621.107860893034 -45.6028051167432 -692.459939451383</f>
        <v>-1359.17060546116</v>
      </c>
      <c r="J1480">
        <f>-654.244806118011 -24.4309539501594 -558.821535816659</f>
        <v>-1237.4972958848293</v>
      </c>
      <c r="K1480" t="s">
        <v>16389</v>
      </c>
      <c r="L1480" t="s">
        <v>16390</v>
      </c>
      <c r="M1480" t="s">
        <v>16391</v>
      </c>
      <c r="N1480">
        <f>-643.977524071237 -78.8895967165465 -558.927626998145</f>
        <v>-1281.7947477859284</v>
      </c>
      <c r="O1480">
        <f>-619.664439832425 -211.037866944252 -529.808632161818</f>
        <v>-1360.510938938495</v>
      </c>
      <c r="P1480">
        <f>-604.227406802286 -276.412421989597 -243.314068022829</f>
        <v>-1123.9538968147119</v>
      </c>
      <c r="Q1480">
        <f>-460.253516325292 -110.868423505996 -342.901146358756</f>
        <v>-914.02308619004407</v>
      </c>
      <c r="R1480" t="s">
        <v>16392</v>
      </c>
      <c r="S1480" t="s">
        <v>16393</v>
      </c>
      <c r="T1480" t="s">
        <v>16394</v>
      </c>
      <c r="U1480" t="s">
        <v>16395</v>
      </c>
      <c r="V1480">
        <f>-592.522890967653 -127.114257673379 -97.3787096235724</f>
        <v>-817.01585826460439</v>
      </c>
      <c r="W1480" t="s">
        <v>16396</v>
      </c>
      <c r="X1480" t="s">
        <v>16397</v>
      </c>
      <c r="Y1480" t="s">
        <v>16398</v>
      </c>
    </row>
    <row r="1481" spans="1:25" x14ac:dyDescent="0.3">
      <c r="A1481">
        <v>74000</v>
      </c>
      <c r="B1481" t="s">
        <v>16399</v>
      </c>
      <c r="C1481">
        <f>-619.529846253468 -36.1725841363775 -99.7125845403503</f>
        <v>-755.41501493019587</v>
      </c>
      <c r="D1481">
        <f>-641.54692743671 -46.946996639297 -212.917593569435</f>
        <v>-901.41151764544202</v>
      </c>
      <c r="E1481">
        <f>-649.913220514008 -51.1879316656048 -311.094428469705</f>
        <v>-1012.1955806493178</v>
      </c>
      <c r="F1481">
        <f>-653.773394958252 -53.2781923903483 -400.082924106834</f>
        <v>-1107.1345114554342</v>
      </c>
      <c r="G1481">
        <f>-653.55170569853 -53.6102963002946 -489.178896910192</f>
        <v>-1196.3408989090167</v>
      </c>
      <c r="H1481">
        <f>-648.932510024123 -52.2971817741136 -613.668840434043</f>
        <v>-1314.8985322322796</v>
      </c>
      <c r="I1481">
        <f>-623.412006974661 -46.8159999032134 -692.559350799536</f>
        <v>-1362.7873576774105</v>
      </c>
      <c r="J1481">
        <f>-656.316473555891 -25.6878022897292 -558.798859380459</f>
        <v>-1240.8031352260791</v>
      </c>
      <c r="K1481" t="s">
        <v>16400</v>
      </c>
      <c r="L1481" t="s">
        <v>16401</v>
      </c>
      <c r="M1481" t="s">
        <v>16402</v>
      </c>
      <c r="N1481">
        <f>-645.613901881336 -80.0623436409824 -558.97524038496</f>
        <v>-1284.6514859072784</v>
      </c>
      <c r="O1481">
        <f>-620.0835668283 -212.035044180704 -530.188113997583</f>
        <v>-1362.3067250065869</v>
      </c>
      <c r="P1481">
        <f>-604.595514030799 -277.481317783652 -243.712764249442</f>
        <v>-1125.789596063893</v>
      </c>
      <c r="Q1481">
        <f>-460.55574035676 -112.35626741638 -343.898180170146</f>
        <v>-916.810187943286</v>
      </c>
      <c r="R1481" t="s">
        <v>16403</v>
      </c>
      <c r="S1481" t="s">
        <v>16404</v>
      </c>
      <c r="T1481" t="s">
        <v>16405</v>
      </c>
      <c r="U1481" t="s">
        <v>16406</v>
      </c>
      <c r="V1481">
        <f>-592.755988407221 -127.497279689635 -97.3605422119334</f>
        <v>-817.61381030878943</v>
      </c>
      <c r="W1481" t="s">
        <v>16407</v>
      </c>
      <c r="X1481" t="s">
        <v>16408</v>
      </c>
      <c r="Y1481" t="s">
        <v>16409</v>
      </c>
    </row>
    <row r="1482" spans="1:25" x14ac:dyDescent="0.3">
      <c r="A1482">
        <v>74050</v>
      </c>
      <c r="B1482" t="s">
        <v>16410</v>
      </c>
      <c r="C1482">
        <f>-619.822684413561 -36.7852649018153 -99.7629642060532</f>
        <v>-756.37091352142943</v>
      </c>
      <c r="D1482">
        <f>-641.831036472384 -47.7185141094458 -212.954442933408</f>
        <v>-902.50399351523777</v>
      </c>
      <c r="E1482">
        <f>-650.312733271434 -52.0167083276411 -311.118883192193</f>
        <v>-1013.4483247912681</v>
      </c>
      <c r="F1482">
        <f>-654.325585284392 -54.127513538563 -400.100198367518</f>
        <v>-1108.5532971904729</v>
      </c>
      <c r="G1482">
        <f>-654.304431451627 -54.4466035710549 -489.196445989373</f>
        <v>-1197.9474810120548</v>
      </c>
      <c r="H1482">
        <f>-650.015019692969 -53.0788941041532 -613.6977027125</f>
        <v>-1316.7916165096221</v>
      </c>
      <c r="I1482">
        <f>-624.640287392782 -47.5671686356477 -692.632859767949</f>
        <v>-1364.8403157963787</v>
      </c>
      <c r="J1482">
        <f>-657.341655697776 -26.5110402594905 -558.799754157663</f>
        <v>-1242.6524501149295</v>
      </c>
      <c r="K1482" t="s">
        <v>16411</v>
      </c>
      <c r="L1482" t="s">
        <v>16412</v>
      </c>
      <c r="M1482" t="s">
        <v>16413</v>
      </c>
      <c r="N1482">
        <f>-646.463513125295 -80.8506171466122 -559.021977212938</f>
        <v>-1286.3361074848453</v>
      </c>
      <c r="O1482">
        <f>-620.42489814929 -212.770677889443 -530.429226403029</f>
        <v>-1363.6248024417619</v>
      </c>
      <c r="P1482">
        <f>-604.726033457533 -278.453904360198 -244.019603511141</f>
        <v>-1127.1995413288721</v>
      </c>
      <c r="Q1482">
        <f>-460.171254939072 -113.77125545081 -344.191688547331</f>
        <v>-918.13419893721311</v>
      </c>
      <c r="R1482" t="s">
        <v>16414</v>
      </c>
      <c r="S1482" t="s">
        <v>16415</v>
      </c>
      <c r="T1482" t="s">
        <v>16416</v>
      </c>
      <c r="U1482" t="s">
        <v>16417</v>
      </c>
      <c r="V1482">
        <f>-592.909687315715 -128.021358906287 -97.3514190663852</f>
        <v>-818.28246528838724</v>
      </c>
      <c r="W1482" t="s">
        <v>16418</v>
      </c>
      <c r="X1482" t="s">
        <v>16419</v>
      </c>
      <c r="Y1482" t="s">
        <v>16420</v>
      </c>
    </row>
    <row r="1483" spans="1:25" x14ac:dyDescent="0.3">
      <c r="A1483">
        <v>74100</v>
      </c>
      <c r="B1483" t="s">
        <v>16421</v>
      </c>
      <c r="C1483">
        <f>-620.145220323533 -38.8146742752458 -99.8217059038166</f>
        <v>-758.78160050259532</v>
      </c>
      <c r="D1483">
        <f>-642.130296345625 -49.8664060845118 -213.006279376022</f>
        <v>-905.0029818061588</v>
      </c>
      <c r="E1483">
        <f>-650.898327000256 -54.2659914148981 -311.141011695708</f>
        <v>-1016.3053301108621</v>
      </c>
      <c r="F1483">
        <f>-655.295929443715 -56.461936390325 -400.102161403423</f>
        <v>-1111.8600272374629</v>
      </c>
      <c r="G1483">
        <f>-655.787435350256 -56.852397708052 -489.196713722646</f>
        <v>-1201.836546780954</v>
      </c>
      <c r="H1483">
        <f>-652.34884003734 -55.564765265844 -613.725055090152</f>
        <v>-1321.6386603933361</v>
      </c>
      <c r="I1483">
        <f>-627.35405208464 -49.9323940234314 -692.773039785883</f>
        <v>-1370.0594858939544</v>
      </c>
      <c r="J1483">
        <f>-659.482930915652 -28.998745917555 -558.800923023578</f>
        <v>-1247.2825998567851</v>
      </c>
      <c r="K1483" t="s">
        <v>16422</v>
      </c>
      <c r="L1483" t="s">
        <v>16423</v>
      </c>
      <c r="M1483" t="s">
        <v>16424</v>
      </c>
      <c r="N1483">
        <f>-648.241058275577 -83.2639905253012 -559.051598976379</f>
        <v>-1290.5566477772572</v>
      </c>
      <c r="O1483">
        <f>-621.173936715454 -214.976605883023 -530.553488465118</f>
        <v>-1366.704031063595</v>
      </c>
      <c r="P1483">
        <f>-606.405112886375 -281.079925358842 -244.191159756217</f>
        <v>-1131.6761980014342</v>
      </c>
      <c r="Q1483">
        <f>-460.833720695852 -117.329254868029 -344.418535187915</f>
        <v>-922.58151075179603</v>
      </c>
      <c r="R1483" t="s">
        <v>16425</v>
      </c>
      <c r="S1483" t="s">
        <v>16426</v>
      </c>
      <c r="T1483" t="s">
        <v>16427</v>
      </c>
      <c r="U1483" t="s">
        <v>16428</v>
      </c>
      <c r="V1483">
        <f>-593.091100557938 -130.205582458368 -97.3520547221897</f>
        <v>-820.6487377384957</v>
      </c>
      <c r="W1483" t="s">
        <v>16429</v>
      </c>
      <c r="X1483" t="s">
        <v>16430</v>
      </c>
      <c r="Y1483" t="s">
        <v>16431</v>
      </c>
    </row>
    <row r="1484" spans="1:25" x14ac:dyDescent="0.3">
      <c r="A1484">
        <v>74150</v>
      </c>
      <c r="B1484" t="s">
        <v>16432</v>
      </c>
      <c r="C1484">
        <f>-620.212787080607 -40.0065890976948 -99.8544538813628</f>
        <v>-760.0738300596646</v>
      </c>
      <c r="D1484">
        <f>-642.090900824229 -51.0667968440669 -213.058869149172</f>
        <v>-906.21656681746788</v>
      </c>
      <c r="E1484">
        <f>-650.936299917211 -55.5636394158296 -311.182170339611</f>
        <v>-1017.6821096726517</v>
      </c>
      <c r="F1484">
        <f>-655.475742176431 -57.8777799397604 -400.133279137413</f>
        <v>-1113.4868012536044</v>
      </c>
      <c r="G1484">
        <f>-656.182866280902 -58.4126773933283 -489.225690441934</f>
        <v>-1203.8212341161643</v>
      </c>
      <c r="H1484">
        <f>-653.124612728298 -57.3500570392255 -613.766038335664</f>
        <v>-1324.2407081031874</v>
      </c>
      <c r="I1484">
        <f>-628.353357521053 -51.6976587948069 -692.882942189534</f>
        <v>-1372.933958505394</v>
      </c>
      <c r="J1484">
        <f>-660.182949531672 -30.7039844874962 -558.870943811465</f>
        <v>-1249.7578778306333</v>
      </c>
      <c r="K1484" t="s">
        <v>16433</v>
      </c>
      <c r="L1484" t="s">
        <v>16434</v>
      </c>
      <c r="M1484" t="s">
        <v>16435</v>
      </c>
      <c r="N1484">
        <f>-648.757840589352 -84.9312963087559 -559.053074018323</f>
        <v>-1292.7422109164308</v>
      </c>
      <c r="O1484">
        <f>-621.265033319981 -216.547496486935 -530.416410750879</f>
        <v>-1368.2289405577949</v>
      </c>
      <c r="P1484">
        <f>-607.022720370873 -281.832315792808 -243.839649553001</f>
        <v>-1132.694685716682</v>
      </c>
      <c r="Q1484">
        <f>-460.74189452722 -118.902264685521 -344.371247245796</f>
        <v>-924.01540645853697</v>
      </c>
      <c r="R1484" t="s">
        <v>16436</v>
      </c>
      <c r="S1484" t="s">
        <v>16437</v>
      </c>
      <c r="T1484" t="s">
        <v>16438</v>
      </c>
      <c r="U1484" t="s">
        <v>16439</v>
      </c>
      <c r="V1484">
        <f>-593.201149286753 -131.383507163599 -97.3528090613164</f>
        <v>-821.93746551166839</v>
      </c>
      <c r="W1484" t="s">
        <v>16440</v>
      </c>
      <c r="X1484" t="s">
        <v>16441</v>
      </c>
      <c r="Y1484" t="s">
        <v>16442</v>
      </c>
    </row>
    <row r="1485" spans="1:25" x14ac:dyDescent="0.3">
      <c r="A1485">
        <v>74200</v>
      </c>
      <c r="B1485" t="s">
        <v>16443</v>
      </c>
      <c r="C1485">
        <f>-620.597140904171 -42.2571398241023 -99.8359326082716</f>
        <v>-762.69021333654496</v>
      </c>
      <c r="D1485">
        <f>-642.414547072634 -53.5203954756823 -213.032014149618</f>
        <v>-908.96695669793439</v>
      </c>
      <c r="E1485">
        <f>-651.321918835911 -58.0366225373594 -311.148889027189</f>
        <v>-1020.5074304004595</v>
      </c>
      <c r="F1485">
        <f>-655.965330246084 -60.2987713744599 -400.095923580671</f>
        <v>-1116.360025201215</v>
      </c>
      <c r="G1485">
        <f>-656.825921811679 -60.7048727594166 -489.187582721791</f>
        <v>-1206.7183772928865</v>
      </c>
      <c r="H1485">
        <f>-654.035167989208 -59.376431349327 -613.731792754106</f>
        <v>-1327.1433920926411</v>
      </c>
      <c r="I1485">
        <f>-629.587743170521 -53.534655109441 -692.935472892714</f>
        <v>-1376.057871172676</v>
      </c>
      <c r="J1485">
        <f>-661.190112531436 -32.8937171909186 -558.770076714964</f>
        <v>-1252.8539064373185</v>
      </c>
      <c r="K1485" t="s">
        <v>16444</v>
      </c>
      <c r="L1485" t="s">
        <v>16445</v>
      </c>
      <c r="M1485" t="s">
        <v>16446</v>
      </c>
      <c r="N1485">
        <f>-649.336359821955 -87.0282798560239 -559.081977856839</f>
        <v>-1295.446617534818</v>
      </c>
      <c r="O1485">
        <f>-620.942942897983 -218.458064319065 -530.433806471947</f>
        <v>-1369.8348136889949</v>
      </c>
      <c r="P1485">
        <f>-608.163076617057 -282.241451140524 -243.450273340773</f>
        <v>-1133.8548010983541</v>
      </c>
      <c r="Q1485">
        <f>-460.38609200808 -120.775943887381 -344.15625583999</f>
        <v>-925.31829173545111</v>
      </c>
      <c r="R1485" t="s">
        <v>16447</v>
      </c>
      <c r="S1485" t="s">
        <v>16448</v>
      </c>
      <c r="T1485" t="s">
        <v>16449</v>
      </c>
      <c r="U1485" t="s">
        <v>16450</v>
      </c>
      <c r="V1485">
        <f>-593.519878840583 -133.603227377345 -97.2199785006135</f>
        <v>-824.34308471854149</v>
      </c>
      <c r="W1485" t="s">
        <v>16451</v>
      </c>
      <c r="X1485" t="s">
        <v>16452</v>
      </c>
      <c r="Y1485" t="s">
        <v>16453</v>
      </c>
    </row>
    <row r="1486" spans="1:25" x14ac:dyDescent="0.3">
      <c r="A1486">
        <v>74250</v>
      </c>
      <c r="B1486" t="s">
        <v>16454</v>
      </c>
      <c r="C1486">
        <f>-620.870302208701 -43.3334391222774 -99.8575990689473</f>
        <v>-764.0613403999256</v>
      </c>
      <c r="D1486">
        <f>-642.743699410489 -54.8393339590675 -213.018493297705</f>
        <v>-910.6015266672614</v>
      </c>
      <c r="E1486">
        <f>-651.67476810883 -59.3458560212813 -311.133677435636</f>
        <v>-1022.1543015657473</v>
      </c>
      <c r="F1486">
        <f>-656.325887195204 -61.5146592461139 -400.082477073899</f>
        <v>-1117.9230235152168</v>
      </c>
      <c r="G1486">
        <f>-657.179479022444 -61.7421135337506 -489.174954357238</f>
        <v>-1208.0965469134326</v>
      </c>
      <c r="H1486">
        <f>-654.361925978807 -60.0750849637514 -613.714560009686</f>
        <v>-1328.1515709522444</v>
      </c>
      <c r="I1486">
        <f>-630.047377049612 -54.1677358931236 -692.954173702484</f>
        <v>-1377.1692866452195</v>
      </c>
      <c r="J1486">
        <f>-661.595718072444 -33.7566247389441 -558.684377555293</f>
        <v>-1254.036720366681</v>
      </c>
      <c r="K1486" t="s">
        <v>16455</v>
      </c>
      <c r="L1486" t="s">
        <v>16456</v>
      </c>
      <c r="M1486" t="s">
        <v>16457</v>
      </c>
      <c r="N1486">
        <f>-649.607941315369 -87.8607656182193 -559.137325579061</f>
        <v>-1296.6060325126491</v>
      </c>
      <c r="O1486">
        <f>-620.859359302491 -219.284837781008 -530.842467245142</f>
        <v>-1370.9866643286409</v>
      </c>
      <c r="P1486">
        <f>-608.872718149697 -282.400364677942 -243.676955898121</f>
        <v>-1134.9500387257599</v>
      </c>
      <c r="Q1486">
        <f>-460.527716983135 -121.302930894755 -344.137220384672</f>
        <v>-925.96786826256198</v>
      </c>
      <c r="R1486" t="s">
        <v>16458</v>
      </c>
      <c r="S1486" t="s">
        <v>16459</v>
      </c>
      <c r="T1486" t="s">
        <v>16460</v>
      </c>
      <c r="U1486" t="s">
        <v>16461</v>
      </c>
      <c r="V1486">
        <f>-593.670270759569 -134.416455330057 -97.1160638973766</f>
        <v>-825.20278998700269</v>
      </c>
      <c r="W1486" t="s">
        <v>16462</v>
      </c>
      <c r="X1486" t="s">
        <v>16463</v>
      </c>
      <c r="Y1486" t="s">
        <v>16464</v>
      </c>
    </row>
    <row r="1487" spans="1:25" x14ac:dyDescent="0.3">
      <c r="A1487">
        <v>74300</v>
      </c>
      <c r="B1487" t="s">
        <v>16465</v>
      </c>
      <c r="C1487">
        <f>-621.055234289189 -44.4723416080241 -99.9334802749971</f>
        <v>-765.46105617221019</v>
      </c>
      <c r="D1487">
        <f>-642.859282568152 -56.1391382196758 -213.091342495131</f>
        <v>-912.08976328295887</v>
      </c>
      <c r="E1487">
        <f>-651.764735024358 -60.609293411449 -311.21050878451</f>
        <v>-1023.584537220317</v>
      </c>
      <c r="F1487">
        <f>-656.402655045487 -62.6785770832971 -400.162321303933</f>
        <v>-1119.2435534327171</v>
      </c>
      <c r="G1487">
        <f>-657.250847050151 -62.741206324254 -489.255223397705</f>
        <v>-1209.2472767721101</v>
      </c>
      <c r="H1487">
        <f>-654.432292751563 -60.7773063471159 -613.790259750331</f>
        <v>-1328.9998588490098</v>
      </c>
      <c r="I1487">
        <f>-630.226775840172 -54.8507756505813 -693.061964396006</f>
        <v>-1378.1395158867595</v>
      </c>
      <c r="J1487">
        <f>-661.661027326573 -34.5889047168907 -558.697454595271</f>
        <v>-1254.9473866387348</v>
      </c>
      <c r="K1487" t="s">
        <v>16466</v>
      </c>
      <c r="L1487" t="s">
        <v>16467</v>
      </c>
      <c r="M1487" t="s">
        <v>16468</v>
      </c>
      <c r="N1487">
        <f>-649.684140506193 -88.6941884209334 -559.279628408416</f>
        <v>-1297.6579573355425</v>
      </c>
      <c r="O1487">
        <f>-621.017105787948 -220.189487855692 -531.309582199435</f>
        <v>-1372.516175843075</v>
      </c>
      <c r="P1487">
        <f>-609.152408530437 -283.203927914952 -244.116863902112</f>
        <v>-1136.473200347501</v>
      </c>
      <c r="Q1487">
        <f>-460.013230829995 -122.332815034418 -343.760335874654</f>
        <v>-926.10638173906705</v>
      </c>
      <c r="R1487" t="s">
        <v>16469</v>
      </c>
      <c r="S1487" t="s">
        <v>16470</v>
      </c>
      <c r="T1487" t="s">
        <v>16471</v>
      </c>
      <c r="U1487" t="s">
        <v>16472</v>
      </c>
      <c r="V1487">
        <f>-593.708419051593 -135.540768735145 -97.0707894733487</f>
        <v>-826.3199772600866</v>
      </c>
      <c r="W1487" t="s">
        <v>16473</v>
      </c>
      <c r="X1487" t="s">
        <v>16474</v>
      </c>
      <c r="Y1487" t="s">
        <v>16475</v>
      </c>
    </row>
    <row r="1488" spans="1:25" x14ac:dyDescent="0.3">
      <c r="A1488">
        <v>74350</v>
      </c>
      <c r="B1488" t="s">
        <v>16476</v>
      </c>
      <c r="C1488">
        <f>-621.208710754177 -46.38101273648 -99.9902026928334</f>
        <v>-767.57992618349044</v>
      </c>
      <c r="D1488">
        <f>-642.799088290007 -58.0055979471855 -213.193154829082</f>
        <v>-913.99784106627453</v>
      </c>
      <c r="E1488">
        <f>-651.511195545633 -62.3323640871329 -311.336261812184</f>
        <v>-1025.1798214449498</v>
      </c>
      <c r="F1488">
        <f>-655.967030804154 -64.2313386487474 -400.301282431444</f>
        <v>-1120.4996518843454</v>
      </c>
      <c r="G1488">
        <f>-656.623127301963 -64.0886188260096 -489.39552444387</f>
        <v>-1210.1072705718425</v>
      </c>
      <c r="H1488">
        <f>-653.523946751865 -61.8041726928785 -613.918501791034</f>
        <v>-1329.2466212357776</v>
      </c>
      <c r="I1488">
        <f>-629.474060830321 -55.966591228271 -693.244176161085</f>
        <v>-1378.684828219677</v>
      </c>
      <c r="J1488">
        <f>-660.675985286803 -35.7139734781376 -558.769042828006</f>
        <v>-1255.1590015929467</v>
      </c>
      <c r="K1488" t="s">
        <v>16477</v>
      </c>
      <c r="L1488" t="s">
        <v>16478</v>
      </c>
      <c r="M1488" t="s">
        <v>16479</v>
      </c>
      <c r="N1488">
        <f>-649.09945293483 -89.9048477993429 -559.475157415651</f>
        <v>-1298.4794581498238</v>
      </c>
      <c r="O1488">
        <f>-621.581651837359 -221.695425526661 -531.671684948992</f>
        <v>-1374.9487623130121</v>
      </c>
      <c r="P1488">
        <f>-609.401502490279 -286.331062117734 -244.852754900791</f>
        <v>-1140.5853195088041</v>
      </c>
      <c r="Q1488">
        <f>-459.656890557188 -125.412296266497 -343.506519021204</f>
        <v>-928.57570584488894</v>
      </c>
      <c r="R1488" t="s">
        <v>16480</v>
      </c>
      <c r="S1488" t="s">
        <v>16481</v>
      </c>
      <c r="T1488" t="s">
        <v>16482</v>
      </c>
      <c r="U1488" t="s">
        <v>16483</v>
      </c>
      <c r="V1488">
        <f>-594.294972628649 -137.3062159039 -97.0685303169702</f>
        <v>-828.6697188495192</v>
      </c>
      <c r="W1488" t="s">
        <v>16484</v>
      </c>
      <c r="X1488" t="s">
        <v>16485</v>
      </c>
      <c r="Y1488" t="s">
        <v>16486</v>
      </c>
    </row>
    <row r="1489" spans="1:25" x14ac:dyDescent="0.3">
      <c r="A1489">
        <v>74400</v>
      </c>
      <c r="B1489" t="s">
        <v>16487</v>
      </c>
      <c r="C1489">
        <f>-621.962277994865 -47.8489948584427 -100.023763439509</f>
        <v>-769.83503629281665</v>
      </c>
      <c r="D1489">
        <f>-643.532191427498 -59.1330249223944 -213.265251094911</f>
        <v>-915.93046744480341</v>
      </c>
      <c r="E1489">
        <f>-651.983526398803 -63.2498885745017 -311.440066196924</f>
        <v>-1026.6734811702286</v>
      </c>
      <c r="F1489">
        <f>-656.10850045559 -64.9879498267951 -400.424241610721</f>
        <v>-1121.5206918931062</v>
      </c>
      <c r="G1489">
        <f>-656.338809186718 -64.7175932597946 -489.52047186624</f>
        <v>-1210.5768743127526</v>
      </c>
      <c r="H1489">
        <f>-652.546164149547 -62.2907890762916 -614.02155030566</f>
        <v>-1328.8585035314986</v>
      </c>
      <c r="I1489">
        <f>-628.437419026809 -56.6851013528939 -693.346063947288</f>
        <v>-1378.4685843269908</v>
      </c>
      <c r="J1489">
        <f>-659.739153270288 -36.2082954193561 -558.873771209249</f>
        <v>-1254.8212198988931</v>
      </c>
      <c r="K1489" t="s">
        <v>16488</v>
      </c>
      <c r="L1489" t="s">
        <v>16489</v>
      </c>
      <c r="M1489" t="s">
        <v>16490</v>
      </c>
      <c r="N1489">
        <f>-648.691111775986 -90.5091539341199 -559.595632769058</f>
        <v>-1298.795898479164</v>
      </c>
      <c r="O1489">
        <f>-622.561336667541 -222.561233522318 -531.804719394971</f>
        <v>-1376.9272895848301</v>
      </c>
      <c r="P1489">
        <f>-611.959868400298 -287.5195497668 -244.99605768844</f>
        <v>-1144.475475855538</v>
      </c>
      <c r="Q1489">
        <f>-460.39440838158 -128.142724840828 -343.371817851035</f>
        <v>-931.90895107344295</v>
      </c>
      <c r="R1489" t="s">
        <v>16491</v>
      </c>
      <c r="S1489" t="s">
        <v>16492</v>
      </c>
      <c r="T1489" t="s">
        <v>16493</v>
      </c>
      <c r="U1489" t="s">
        <v>16494</v>
      </c>
      <c r="V1489">
        <f>-595.917887072706 -138.973261378731 -97.1564131305796</f>
        <v>-832.04756158201656</v>
      </c>
      <c r="W1489" t="s">
        <v>16495</v>
      </c>
      <c r="X1489" t="s">
        <v>16496</v>
      </c>
      <c r="Y1489" t="s">
        <v>16497</v>
      </c>
    </row>
    <row r="1490" spans="1:25" x14ac:dyDescent="0.3">
      <c r="A1490">
        <v>74450</v>
      </c>
      <c r="B1490" t="s">
        <v>16498</v>
      </c>
      <c r="C1490">
        <f>-622.471488018246 -48.253309718586 -100.093295272588</f>
        <v>-770.81809300941995</v>
      </c>
      <c r="D1490">
        <f>-643.997642727611 -59.3854656149613 -213.35804127085</f>
        <v>-916.74114961342229</v>
      </c>
      <c r="E1490">
        <f>-652.312753792481 -63.4389128085112 -311.547228466122</f>
        <v>-1027.2988950671142</v>
      </c>
      <c r="F1490">
        <f>-656.275879829056 -65.1451414099754 -400.539424711368</f>
        <v>-1121.9604459503994</v>
      </c>
      <c r="G1490">
        <f>-656.305471416971 -64.8715078994409 -489.635784192902</f>
        <v>-1210.812763509314</v>
      </c>
      <c r="H1490">
        <f>-652.192083566631 -62.4712663361706 -614.127261838066</f>
        <v>-1328.7906117408677</v>
      </c>
      <c r="I1490">
        <f>-628.012375045129 -57.0283467582469 -693.441606724839</f>
        <v>-1378.482328528215</v>
      </c>
      <c r="J1490">
        <f>-659.372176371535 -36.3461231399288 -558.998079902544</f>
        <v>-1254.7163794140079</v>
      </c>
      <c r="K1490" t="s">
        <v>16499</v>
      </c>
      <c r="L1490" t="s">
        <v>16500</v>
      </c>
      <c r="M1490" t="s">
        <v>16501</v>
      </c>
      <c r="N1490">
        <f>-648.632221632497 -90.7090983121848 -559.691409648394</f>
        <v>-1299.0327295930758</v>
      </c>
      <c r="O1490">
        <f>-623.2359394762 -222.927100556367 -531.900750057611</f>
        <v>-1378.0637900901779</v>
      </c>
      <c r="P1490">
        <f>-613.64689689902 -287.575852405092 -244.986561620261</f>
        <v>-1146.2093109243731</v>
      </c>
      <c r="Q1490">
        <f>-460.789862782716 -129.269522798701 -343.092116627573</f>
        <v>-933.15150220899</v>
      </c>
      <c r="R1490" t="s">
        <v>16502</v>
      </c>
      <c r="S1490" t="s">
        <v>16503</v>
      </c>
      <c r="T1490" t="s">
        <v>16504</v>
      </c>
      <c r="U1490" t="s">
        <v>16505</v>
      </c>
      <c r="V1490">
        <f>-596.813962184505 -139.35023573781 -97.2049693331622</f>
        <v>-833.36916725547724</v>
      </c>
      <c r="W1490" t="s">
        <v>16506</v>
      </c>
      <c r="X1490" t="s">
        <v>16507</v>
      </c>
      <c r="Y1490" t="s">
        <v>16508</v>
      </c>
    </row>
    <row r="1491" spans="1:25" x14ac:dyDescent="0.3">
      <c r="A1491">
        <v>74500</v>
      </c>
      <c r="B1491" t="s">
        <v>16509</v>
      </c>
      <c r="C1491">
        <f>-622.727368171119 -49.3616234292227 -100.127124334137</f>
        <v>-772.21611593447869</v>
      </c>
      <c r="D1491">
        <f>-644.117591186352 -60.1050724912321 -213.455287231034</f>
        <v>-917.67795090861819</v>
      </c>
      <c r="E1491">
        <f>-652.122918505488 -64.030660634824 -311.675159178853</f>
        <v>-1027.828738319165</v>
      </c>
      <c r="F1491">
        <f>-655.730961986809 -65.7023208172893 -400.683172584726</f>
        <v>-1122.1164553888243</v>
      </c>
      <c r="G1491">
        <f>-655.330692213092 -65.4821166158935 -489.778830783939</f>
        <v>-1210.5916396129244</v>
      </c>
      <c r="H1491">
        <f>-650.539060245949 -63.2516026617739 -614.249300389901</f>
        <v>-1328.0399632976239</v>
      </c>
      <c r="I1491">
        <f>-626.116465385428 -58.1639112867809 -693.512633061012</f>
        <v>-1377.793009733221</v>
      </c>
      <c r="J1491">
        <f>-657.679688018835 -36.9864520690646 -559.181485226594</f>
        <v>-1253.8476253144936</v>
      </c>
      <c r="K1491" t="s">
        <v>16510</v>
      </c>
      <c r="L1491" t="s">
        <v>16511</v>
      </c>
      <c r="M1491" t="s">
        <v>16512</v>
      </c>
      <c r="N1491">
        <f>-647.615482842223 -91.4797938874402 -559.77055721492</f>
        <v>-1298.8658339445833</v>
      </c>
      <c r="O1491">
        <f>-623.985582371075 -223.993958336839 -531.849000047749</f>
        <v>-1379.828540755663</v>
      </c>
      <c r="P1491">
        <f>-616.513991556101 -288.171119159347 -244.76603756523</f>
        <v>-1149.4511482806779</v>
      </c>
      <c r="Q1491">
        <f>-460.531834344751 -132.521355590724 -342.201057520839</f>
        <v>-935.25424745631403</v>
      </c>
      <c r="R1491" t="s">
        <v>16513</v>
      </c>
      <c r="S1491" t="s">
        <v>16514</v>
      </c>
      <c r="T1491" t="s">
        <v>16515</v>
      </c>
      <c r="U1491" t="s">
        <v>16516</v>
      </c>
      <c r="V1491">
        <f>-597.912180888091 -140.713868214676 -97.2468118669516</f>
        <v>-835.87286096971866</v>
      </c>
      <c r="W1491" t="s">
        <v>16517</v>
      </c>
      <c r="X1491" t="s">
        <v>16518</v>
      </c>
      <c r="Y1491" t="s">
        <v>16519</v>
      </c>
    </row>
    <row r="1492" spans="1:25" x14ac:dyDescent="0.3">
      <c r="A1492">
        <v>74550</v>
      </c>
      <c r="B1492" t="s">
        <v>16520</v>
      </c>
      <c r="C1492">
        <f>-622.570152038627 -49.7915593380658 -100.070195178628</f>
        <v>-772.43190655532078</v>
      </c>
      <c r="D1492">
        <f>-643.87826726783 -60.3551922881938 -213.430663970893</f>
        <v>-917.6641235269168</v>
      </c>
      <c r="E1492">
        <f>-651.728881221495 -64.2538438240946 -311.664296982362</f>
        <v>-1027.6470220279516</v>
      </c>
      <c r="F1492">
        <f>-655.164793702301 -65.952134944287 -400.678530220329</f>
        <v>-1121.795458866917</v>
      </c>
      <c r="G1492">
        <f>-654.559738981493 -65.8132167605871 -489.773250684302</f>
        <v>-1210.1462064263822</v>
      </c>
      <c r="H1492">
        <f>-649.448432474872 -63.755366236203 -614.233814415953</f>
        <v>-1327.437613127028</v>
      </c>
      <c r="I1492">
        <f>-624.851473641846 -58.8645001958979 -693.455671450131</f>
        <v>-1377.171645287875</v>
      </c>
      <c r="J1492">
        <f>-656.556210130904 -37.3822794379359 -559.213278570764</f>
        <v>-1253.151768139604</v>
      </c>
      <c r="K1492" t="s">
        <v>16521</v>
      </c>
      <c r="L1492" t="s">
        <v>16522</v>
      </c>
      <c r="M1492" t="s">
        <v>16523</v>
      </c>
      <c r="N1492">
        <f>-646.839071102939 -91.9395395393369 -559.716331574869</f>
        <v>-1298.4949422171449</v>
      </c>
      <c r="O1492">
        <f>-624.135551939638 -224.583847732649 -531.653662730538</f>
        <v>-1380.3730624028251</v>
      </c>
      <c r="P1492">
        <f>-617.682772515906 -288.705413473104 -244.533280940447</f>
        <v>-1150.921466929457</v>
      </c>
      <c r="Q1492">
        <f>-460.421617818431 -134.151745128634 -341.656833731322</f>
        <v>-936.23019667838707</v>
      </c>
      <c r="R1492" t="s">
        <v>16524</v>
      </c>
      <c r="S1492" t="s">
        <v>16525</v>
      </c>
      <c r="T1492" t="s">
        <v>16526</v>
      </c>
      <c r="U1492" t="s">
        <v>16527</v>
      </c>
      <c r="V1492">
        <f>-598.208797475966 -141.125773593438 -97.2368994081957</f>
        <v>-836.57147047759963</v>
      </c>
      <c r="W1492" t="s">
        <v>16528</v>
      </c>
      <c r="X1492" t="s">
        <v>16529</v>
      </c>
      <c r="Y1492" t="s">
        <v>16530</v>
      </c>
    </row>
    <row r="1493" spans="1:25" x14ac:dyDescent="0.3">
      <c r="A1493">
        <v>74600</v>
      </c>
      <c r="B1493" t="s">
        <v>16531</v>
      </c>
      <c r="C1493">
        <f>-622.348246288159 -49.8447767225809 -99.9623494877475</f>
        <v>-772.1553724984874</v>
      </c>
      <c r="D1493">
        <f>-643.453212983255 -60.1197263467253 -213.387363918687</f>
        <v>-916.96030324866729</v>
      </c>
      <c r="E1493">
        <f>-650.979778586132 -63.9534265388122 -311.648811690039</f>
        <v>-1026.5820168149833</v>
      </c>
      <c r="F1493">
        <f>-654.06562170332 -65.6636306111851 -400.675719485045</f>
        <v>-1120.4049717995501</v>
      </c>
      <c r="G1493">
        <f>-653.054411039838 -65.6118820934042 -489.766742671256</f>
        <v>-1208.4330358044981</v>
      </c>
      <c r="H1493">
        <f>-647.317926591153 -63.7562829935116 -614.203405759553</f>
        <v>-1325.2776153442176</v>
      </c>
      <c r="I1493">
        <f>-622.415397498473 -59.1866743509019 -693.348802001975</f>
        <v>-1374.9508738513498</v>
      </c>
      <c r="J1493">
        <f>-654.450836979582 -37.2503723723032 -559.24999025129</f>
        <v>-1250.9511996031752</v>
      </c>
      <c r="K1493" t="s">
        <v>16532</v>
      </c>
      <c r="L1493" t="s">
        <v>16533</v>
      </c>
      <c r="M1493" t="s">
        <v>16534</v>
      </c>
      <c r="N1493">
        <f>-645.233735487454 -91.8953164027737 -559.639961559251</f>
        <v>-1296.7690134494787</v>
      </c>
      <c r="O1493">
        <f>-624.026784367607 -224.710245145773 -531.187523491035</f>
        <v>-1379.924553004415</v>
      </c>
      <c r="P1493">
        <f>-619.735860425227 -288.377239931601 -243.925846241526</f>
        <v>-1152.038946598354</v>
      </c>
      <c r="Q1493">
        <f>-459.967482488876 -135.988831210605 -340.376475589975</f>
        <v>-936.33278928945606</v>
      </c>
      <c r="R1493" t="s">
        <v>16535</v>
      </c>
      <c r="S1493" t="s">
        <v>16536</v>
      </c>
      <c r="T1493" t="s">
        <v>16537</v>
      </c>
      <c r="U1493" t="s">
        <v>16538</v>
      </c>
      <c r="V1493">
        <f>-598.66364625484 -141.227965550771 -97.1939527199186</f>
        <v>-837.08556452552966</v>
      </c>
      <c r="W1493" t="s">
        <v>16539</v>
      </c>
      <c r="X1493" t="s">
        <v>16540</v>
      </c>
      <c r="Y1493" t="s">
        <v>16541</v>
      </c>
    </row>
    <row r="1494" spans="1:25" x14ac:dyDescent="0.3">
      <c r="A1494">
        <v>74650</v>
      </c>
      <c r="B1494" t="s">
        <v>16542</v>
      </c>
      <c r="C1494">
        <f>-622.356525079932 -49.3516956504076 -99.9570531318012</f>
        <v>-771.66527386214079</v>
      </c>
      <c r="D1494">
        <f>-643.366982850394 -59.5033917206808 -213.410676891684</f>
        <v>-916.28105146275891</v>
      </c>
      <c r="E1494">
        <f>-650.762803462797 -63.3135414581518 -311.682888469064</f>
        <v>-1025.7592333900129</v>
      </c>
      <c r="F1494">
        <f>-653.713049828765 -65.0317612364736 -400.714338669689</f>
        <v>-1119.4591497349275</v>
      </c>
      <c r="G1494">
        <f>-652.55009649 -65.017053372822 -489.803528637987</f>
        <v>-1207.3706785008089</v>
      </c>
      <c r="H1494">
        <f>-646.585805973674 -63.2426486045676 -614.230652695096</f>
        <v>-1324.0591072733378</v>
      </c>
      <c r="I1494">
        <f>-621.555797019263 -58.817142024781 -693.344118818812</f>
        <v>-1373.7170578628561</v>
      </c>
      <c r="J1494">
        <f>-653.765035614453 -36.6918691349347 -559.304937872645</f>
        <v>-1249.7618426220329</v>
      </c>
      <c r="K1494" t="s">
        <v>16543</v>
      </c>
      <c r="L1494" t="s">
        <v>16544</v>
      </c>
      <c r="M1494" t="s">
        <v>16545</v>
      </c>
      <c r="N1494">
        <f>-644.655766343901 -91.3551200866925 -559.647930937436</f>
        <v>-1295.6588173680293</v>
      </c>
      <c r="O1494">
        <f>-623.821025460355 -224.185035224501 -531.017787410934</f>
        <v>-1379.0238480957901</v>
      </c>
      <c r="P1494">
        <f>-620.715619955328 -287.41057356747 -243.643234213926</f>
        <v>-1151.7694277367241</v>
      </c>
      <c r="Q1494">
        <f>-460.074868209862 -135.809014893296 -339.884600728091</f>
        <v>-935.76848383124911</v>
      </c>
      <c r="R1494" t="s">
        <v>16546</v>
      </c>
      <c r="S1494" t="s">
        <v>16547</v>
      </c>
      <c r="T1494" t="s">
        <v>16548</v>
      </c>
      <c r="U1494" t="s">
        <v>16549</v>
      </c>
      <c r="V1494">
        <f>-599.001012323739 -140.72777457816 -97.1936419916375</f>
        <v>-836.92242889353645</v>
      </c>
      <c r="W1494" t="s">
        <v>16550</v>
      </c>
      <c r="X1494" t="s">
        <v>16551</v>
      </c>
      <c r="Y1494" t="s">
        <v>16552</v>
      </c>
    </row>
    <row r="1495" spans="1:25" x14ac:dyDescent="0.3">
      <c r="A1495">
        <v>74700</v>
      </c>
      <c r="B1495" t="s">
        <v>16553</v>
      </c>
      <c r="C1495">
        <f>-622.393999561962 -48.0724444273128 -99.9483026894342</f>
        <v>-770.41474667870898</v>
      </c>
      <c r="D1495">
        <f>-643.311780491968 -58.0723239563099 -213.432513039008</f>
        <v>-914.81661748728584</v>
      </c>
      <c r="E1495">
        <f>-650.530673280839 -61.9128206230715 -311.716763860286</f>
        <v>-1024.1602577641966</v>
      </c>
      <c r="F1495">
        <f>-653.285854147574 -63.7188746885863 -400.752641541983</f>
        <v>-1117.7573703781434</v>
      </c>
      <c r="G1495">
        <f>-651.894342774916 -63.8516645720819 -489.838519736122</f>
        <v>-1205.5845270831198</v>
      </c>
      <c r="H1495">
        <f>-645.577572629084 -62.3446553266922 -614.251639242815</f>
        <v>-1322.1738671985913</v>
      </c>
      <c r="I1495">
        <f>-620.305610096449 -58.220137986349 -693.304510527557</f>
        <v>-1371.830258610355</v>
      </c>
      <c r="J1495">
        <f>-652.866172879022 -35.6684233126553 -559.401406356776</f>
        <v>-1247.9360025484532</v>
      </c>
      <c r="K1495" t="s">
        <v>16554</v>
      </c>
      <c r="L1495" t="s">
        <v>16555</v>
      </c>
      <c r="M1495" t="s">
        <v>16556</v>
      </c>
      <c r="N1495">
        <f>-643.848333704102 -90.3473802581592 -559.605811028724</f>
        <v>-1293.8015249909852</v>
      </c>
      <c r="O1495">
        <f>-623.452348813134 -223.162881281975 -530.602697364596</f>
        <v>-1377.2179274597049</v>
      </c>
      <c r="P1495">
        <f>-621.287979930431 -285.703434394613 -243.06976514703</f>
        <v>-1150.0611794720739</v>
      </c>
      <c r="Q1495">
        <f>-459.954382623809 -134.647666774418 -339.009844577639</f>
        <v>-933.611893975866</v>
      </c>
      <c r="R1495" t="s">
        <v>16557</v>
      </c>
      <c r="S1495" t="s">
        <v>16558</v>
      </c>
      <c r="T1495" t="s">
        <v>16559</v>
      </c>
      <c r="U1495" t="s">
        <v>16560</v>
      </c>
      <c r="V1495">
        <f>-599.364784793749 -139.354551355576 -97.1988761914845</f>
        <v>-835.91821234080953</v>
      </c>
      <c r="W1495" t="s">
        <v>16561</v>
      </c>
      <c r="X1495" t="s">
        <v>16562</v>
      </c>
      <c r="Y1495" t="s">
        <v>16563</v>
      </c>
    </row>
    <row r="1496" spans="1:25" x14ac:dyDescent="0.3">
      <c r="A1496">
        <v>74750</v>
      </c>
      <c r="B1496" t="s">
        <v>16564</v>
      </c>
      <c r="C1496">
        <f>-622.2341680022 -47.5103250493598 -99.9481222802282</f>
        <v>-769.69261533178803</v>
      </c>
      <c r="D1496">
        <f>-643.128905816087 -57.5001408979455 -213.437598740047</f>
        <v>-914.06664545407943</v>
      </c>
      <c r="E1496">
        <f>-650.277677812311 -61.3749514078638 -311.725539158738</f>
        <v>-1023.3781683789128</v>
      </c>
      <c r="F1496">
        <f>-652.950039668192 -63.2287549373847 -400.763022891057</f>
        <v>-1116.9418174966336</v>
      </c>
      <c r="G1496">
        <f>-651.456865038622 -63.4262916522709 -489.847085222478</f>
        <v>-1204.7302419133709</v>
      </c>
      <c r="H1496">
        <f>-644.978796643019 -62.026718382891 -614.253199285621</f>
        <v>-1321.2587143115311</v>
      </c>
      <c r="I1496">
        <f>-619.585102540646 -58.0202785427243 -693.273108735187</f>
        <v>-1370.8784898185572</v>
      </c>
      <c r="J1496">
        <f>-652.350536402631 -35.304942423943 -559.435994757488</f>
        <v>-1247.091473584062</v>
      </c>
      <c r="K1496" t="s">
        <v>16565</v>
      </c>
      <c r="L1496" t="s">
        <v>16566</v>
      </c>
      <c r="M1496" t="s">
        <v>16567</v>
      </c>
      <c r="N1496">
        <f>-643.308321264184 -89.9801625331797 -559.580374012147</f>
        <v>-1292.8688578095107</v>
      </c>
      <c r="O1496">
        <f>-622.918515782971 -222.759030248566 -530.413971608728</f>
        <v>-1376.091517640265</v>
      </c>
      <c r="P1496">
        <f>-620.902308680904 -285.229793575053 -242.864859133368</f>
        <v>-1148.996961389325</v>
      </c>
      <c r="Q1496">
        <f>-459.66047985338 -134.077533303363 -338.807019892187</f>
        <v>-932.54503304893001</v>
      </c>
      <c r="R1496" t="s">
        <v>16568</v>
      </c>
      <c r="S1496" t="s">
        <v>16569</v>
      </c>
      <c r="T1496" t="s">
        <v>16570</v>
      </c>
      <c r="U1496" t="s">
        <v>16571</v>
      </c>
      <c r="V1496">
        <f>-599.107711068227 -138.927648465666 -97.2001978150787</f>
        <v>-835.23555734897172</v>
      </c>
      <c r="W1496" t="s">
        <v>16572</v>
      </c>
      <c r="X1496" t="s">
        <v>16573</v>
      </c>
      <c r="Y1496" t="s">
        <v>16574</v>
      </c>
    </row>
    <row r="1497" spans="1:25" x14ac:dyDescent="0.3">
      <c r="A1497">
        <v>74800</v>
      </c>
      <c r="B1497" t="s">
        <v>16575</v>
      </c>
      <c r="C1497">
        <f>-621.547901063764 -46.8872350754664 -99.988901505151</f>
        <v>-768.42403764438143</v>
      </c>
      <c r="D1497">
        <f>-642.312008291971 -56.8769094349606 -213.502250598699</f>
        <v>-912.69116832563054</v>
      </c>
      <c r="E1497">
        <f>-649.322238352085 -60.8063452769582 -311.798097012948</f>
        <v>-1021.9266806419912</v>
      </c>
      <c r="F1497">
        <f>-651.858979440614 -62.7334491978687 -400.837919341015</f>
        <v>-1115.4303479794976</v>
      </c>
      <c r="G1497">
        <f>-650.2204472878 -63.0277274014981 -489.919200999296</f>
        <v>-1203.1673756885939</v>
      </c>
      <c r="H1497">
        <f>-643.529673616912 -61.7883288891211 -614.315763908804</f>
        <v>-1319.6337664148371</v>
      </c>
      <c r="I1497">
        <f>-617.871606327347 -57.9377754733159 -693.257900312116</f>
        <v>-1369.0672821127789</v>
      </c>
      <c r="J1497">
        <f>-651.052287524764 -35.0055275782065 -559.549025661949</f>
        <v>-1245.6068407649195</v>
      </c>
      <c r="K1497" t="s">
        <v>16576</v>
      </c>
      <c r="L1497" t="s">
        <v>16577</v>
      </c>
      <c r="M1497" t="s">
        <v>16578</v>
      </c>
      <c r="N1497">
        <f>-641.895654016314 -89.6619394667201 -559.600972469285</f>
        <v>-1291.1585659523191</v>
      </c>
      <c r="O1497">
        <f>-621.362687280696 -222.36160188903 -530.215837450498</f>
        <v>-1373.940126620224</v>
      </c>
      <c r="P1497">
        <f>-619.499901129128 -284.203145022409 -242.529618605008</f>
        <v>-1146.2326647565451</v>
      </c>
      <c r="Q1497">
        <f>-458.744695961009 -132.662138978006 -338.675150349254</f>
        <v>-930.08198528826892</v>
      </c>
      <c r="R1497" t="s">
        <v>16579</v>
      </c>
      <c r="S1497" t="s">
        <v>16580</v>
      </c>
      <c r="T1497" t="s">
        <v>16581</v>
      </c>
      <c r="U1497" t="s">
        <v>16582</v>
      </c>
      <c r="V1497">
        <f>-598.219431497723 -138.473920726532 -97.2015044941454</f>
        <v>-833.89485671840043</v>
      </c>
      <c r="W1497" t="s">
        <v>16583</v>
      </c>
      <c r="X1497" t="s">
        <v>16584</v>
      </c>
      <c r="Y1497" t="s">
        <v>16585</v>
      </c>
    </row>
    <row r="1498" spans="1:25" x14ac:dyDescent="0.3">
      <c r="A1498">
        <v>74850</v>
      </c>
      <c r="B1498" t="s">
        <v>16586</v>
      </c>
      <c r="C1498">
        <f>-621.212093067002 -46.5454848618771 -99.9668869368995</f>
        <v>-767.7244648657786</v>
      </c>
      <c r="D1498">
        <f>-641.909532835359 -56.5190967344386 -213.493892891276</f>
        <v>-911.92252246107353</v>
      </c>
      <c r="E1498">
        <f>-648.840802061853 -60.4829609076646 -311.79385718214</f>
        <v>-1021.1176201516575</v>
      </c>
      <c r="F1498">
        <f>-651.297962028035 -62.4617728264245 -400.834831422111</f>
        <v>-1114.5945662765705</v>
      </c>
      <c r="G1498">
        <f>-649.572012493322 -62.8278585596973 -489.914237970046</f>
        <v>-1202.3141090230652</v>
      </c>
      <c r="H1498">
        <f>-642.751295992045 -61.7106054948799 -614.304906513579</f>
        <v>-1318.7668080005039</v>
      </c>
      <c r="I1498">
        <f>-616.969154924923 -57.9454794246981 -693.210683646035</f>
        <v>-1368.1253179956561</v>
      </c>
      <c r="J1498">
        <f>-650.365413542299 -34.8799796462895 -559.574136745529</f>
        <v>-1244.8195299341176</v>
      </c>
      <c r="K1498" t="s">
        <v>16587</v>
      </c>
      <c r="L1498" t="s">
        <v>16588</v>
      </c>
      <c r="M1498" t="s">
        <v>16589</v>
      </c>
      <c r="N1498">
        <f>-641.140092358641 -89.5247579965038 -559.559124410291</f>
        <v>-1290.2239747654357</v>
      </c>
      <c r="O1498">
        <f>-620.461745570184 -222.188873202226 -530.055801059536</f>
        <v>-1372.7064198319458</v>
      </c>
      <c r="P1498">
        <f>-618.561614141548 -283.738515404695 -242.307270205563</f>
        <v>-1144.607399751806</v>
      </c>
      <c r="Q1498">
        <f>-458.218931108138 -131.860965399617 -338.610448118601</f>
        <v>-928.69034462635591</v>
      </c>
      <c r="R1498" t="s">
        <v>16590</v>
      </c>
      <c r="S1498" t="s">
        <v>16591</v>
      </c>
      <c r="T1498" t="s">
        <v>16592</v>
      </c>
      <c r="U1498" t="s">
        <v>16593</v>
      </c>
      <c r="V1498">
        <f>-597.85180796389 -138.067958281094 -97.1788703106529</f>
        <v>-833.09863655563686</v>
      </c>
      <c r="W1498" t="s">
        <v>16594</v>
      </c>
      <c r="X1498" t="s">
        <v>16595</v>
      </c>
      <c r="Y1498" t="s">
        <v>16596</v>
      </c>
    </row>
    <row r="1499" spans="1:25" x14ac:dyDescent="0.3">
      <c r="A1499">
        <v>74900</v>
      </c>
      <c r="B1499" t="s">
        <v>16597</v>
      </c>
      <c r="C1499">
        <f>-620.821696833451 -45.8766027146734 -99.8771807935632</f>
        <v>-766.57548034168758</v>
      </c>
      <c r="D1499">
        <f>-641.432710906814 -55.7291313908077 -213.43038356588</f>
        <v>-910.59222586350165</v>
      </c>
      <c r="E1499">
        <f>-648.198236181502 -59.7737892722477 -311.738809892678</f>
        <v>-1019.7108353464276</v>
      </c>
      <c r="F1499">
        <f>-650.470869391258 -61.9007386468625 -400.781149418886</f>
        <v>-1113.1527574570064</v>
      </c>
      <c r="G1499">
        <f>-648.527644786835 -62.4898311302736 -489.854762234183</f>
        <v>-1200.8722381512916</v>
      </c>
      <c r="H1499">
        <f>-641.370213172351 -61.7626764229784 -614.229468284072</f>
        <v>-1317.3623578794013</v>
      </c>
      <c r="I1499">
        <f>-615.314873822163 -58.2613228147601 -693.057590627893</f>
        <v>-1366.633787264816</v>
      </c>
      <c r="J1499">
        <f>-649.16473540311 -34.7658885540152 -559.605925429247</f>
        <v>-1243.5365493863721</v>
      </c>
      <c r="K1499" t="s">
        <v>16598</v>
      </c>
      <c r="L1499" t="s">
        <v>16599</v>
      </c>
      <c r="M1499" t="s">
        <v>16600</v>
      </c>
      <c r="N1499">
        <f>-639.875000517432 -89.3994619077901 -559.390738864471</f>
        <v>-1288.665201289693</v>
      </c>
      <c r="O1499">
        <f>-619.033661333947 -221.965072838749 -529.568558797543</f>
        <v>-1370.5672929702391</v>
      </c>
      <c r="P1499">
        <f>-616.974908677113 -283.336480842453 -241.783004087709</f>
        <v>-1142.0943936072752</v>
      </c>
      <c r="Q1499">
        <f>-457.652699807444 -130.466253213155 -338.209156829817</f>
        <v>-926.32810985041601</v>
      </c>
      <c r="R1499" t="s">
        <v>16601</v>
      </c>
      <c r="S1499" t="s">
        <v>16602</v>
      </c>
      <c r="T1499" t="s">
        <v>16603</v>
      </c>
      <c r="U1499" t="s">
        <v>16604</v>
      </c>
      <c r="V1499">
        <f>-597.437629872288 -137.410933553716 -97.1669241910679</f>
        <v>-832.01548761707181</v>
      </c>
      <c r="W1499" t="s">
        <v>16605</v>
      </c>
      <c r="X1499" t="s">
        <v>16606</v>
      </c>
      <c r="Y1499" t="s">
        <v>16607</v>
      </c>
    </row>
    <row r="1500" spans="1:25" x14ac:dyDescent="0.3">
      <c r="A1500">
        <v>74950</v>
      </c>
      <c r="B1500" t="s">
        <v>16608</v>
      </c>
      <c r="C1500">
        <f>-620.845998533391 -45.4600259420096 -99.8273655094192</f>
        <v>-766.13338998481981</v>
      </c>
      <c r="D1500">
        <f>-641.398352887224 -55.2263512226283 -213.398651065041</f>
        <v>-910.02335517489325</v>
      </c>
      <c r="E1500">
        <f>-648.076632887317 -59.3163948138325 -311.710972891251</f>
        <v>-1019.1040005924006</v>
      </c>
      <c r="F1500">
        <f>-650.257364336957 -61.5318999139179 -400.753628765162</f>
        <v>-1112.5428930160369</v>
      </c>
      <c r="G1500">
        <f>-648.209971589811 -62.2573154886095 -489.823888091343</f>
        <v>-1200.2911751697634</v>
      </c>
      <c r="H1500">
        <f>-640.895027415308 -61.770685282618 -614.190651054836</f>
        <v>-1316.8563637527623</v>
      </c>
      <c r="I1500">
        <f>-614.708657014193 -58.4419782341918 -692.982849460685</f>
        <v>-1366.1334847090698</v>
      </c>
      <c r="J1500">
        <f>-648.750857691915 -34.6670702259423 -559.628786592938</f>
        <v>-1243.0467145107955</v>
      </c>
      <c r="K1500" t="s">
        <v>16609</v>
      </c>
      <c r="L1500" t="s">
        <v>16610</v>
      </c>
      <c r="M1500" t="s">
        <v>16611</v>
      </c>
      <c r="N1500">
        <f>-639.477000406192 -89.3026198819557 -559.297169240872</f>
        <v>-1288.0767895290196</v>
      </c>
      <c r="O1500">
        <f>-618.685925549525 -221.834425770759 -529.298972468658</f>
        <v>-1369.819323788942</v>
      </c>
      <c r="P1500">
        <f>-616.590065590394 -283.011000421833 -241.472186583609</f>
        <v>-1141.073252595836</v>
      </c>
      <c r="Q1500">
        <f>-457.369128557347 -129.988068682311 -337.823387068257</f>
        <v>-925.18058430791507</v>
      </c>
      <c r="R1500" t="s">
        <v>16612</v>
      </c>
      <c r="S1500" t="s">
        <v>16613</v>
      </c>
      <c r="T1500" t="s">
        <v>16614</v>
      </c>
      <c r="U1500" t="s">
        <v>16615</v>
      </c>
      <c r="V1500">
        <f>-597.522715855424 -137.020903091075 -97.1713955005682</f>
        <v>-831.71501444706723</v>
      </c>
      <c r="W1500" t="s">
        <v>16616</v>
      </c>
      <c r="X1500" t="s">
        <v>16617</v>
      </c>
      <c r="Y1500" t="s">
        <v>16618</v>
      </c>
    </row>
    <row r="1501" spans="1:25" x14ac:dyDescent="0.3">
      <c r="A1501">
        <v>75000</v>
      </c>
      <c r="B1501" t="s">
        <v>16619</v>
      </c>
      <c r="C1501">
        <f>-621.109121210851 -44.3870741824599 -99.7534616889499</f>
        <v>-765.24965708226068</v>
      </c>
      <c r="D1501">
        <f>-641.542561227372 -53.9842521272753 -213.360644608068</f>
        <v>-908.8874579627153</v>
      </c>
      <c r="E1501">
        <f>-648.054541434854 -58.1525828369688 -311.68089817826</f>
        <v>-1017.8880224500828</v>
      </c>
      <c r="F1501">
        <f>-650.062099915517 -60.5279438826382 -400.723381266614</f>
        <v>-1111.3134250647693</v>
      </c>
      <c r="G1501">
        <f>-647.820448829093 -61.5029585297959 -489.786637783566</f>
        <v>-1199.110045142455</v>
      </c>
      <c r="H1501">
        <f>-640.213289319407 -61.4594979486475 -614.13666481377</f>
        <v>-1315.8094520818245</v>
      </c>
      <c r="I1501">
        <f>-613.729140533965 -58.4966991780719 -692.844075807828</f>
        <v>-1365.0699155198649</v>
      </c>
      <c r="J1501">
        <f>-648.141464271887 -34.1521732610036 -559.687208494267</f>
        <v>-1241.9808460271574</v>
      </c>
      <c r="K1501" t="s">
        <v>16620</v>
      </c>
      <c r="L1501" t="s">
        <v>16621</v>
      </c>
      <c r="M1501" t="s">
        <v>16622</v>
      </c>
      <c r="N1501">
        <f>-638.980256177867 -88.8050968851123 -559.145844235042</f>
        <v>-1286.9311972980213</v>
      </c>
      <c r="O1501">
        <f>-618.39889492967 -221.301057639794 -528.794444479125</f>
        <v>-1368.4943970485888</v>
      </c>
      <c r="P1501">
        <f>-616.972277412529 -282.228323495323 -240.910773086248</f>
        <v>-1140.1113739941002</v>
      </c>
      <c r="Q1501">
        <f>-457.249362236326 -129.485519478797 -336.874853542337</f>
        <v>-923.60973525745999</v>
      </c>
      <c r="R1501" t="s">
        <v>16623</v>
      </c>
      <c r="S1501" t="s">
        <v>16624</v>
      </c>
      <c r="T1501" t="s">
        <v>16625</v>
      </c>
      <c r="U1501" t="s">
        <v>16626</v>
      </c>
      <c r="V1501">
        <f>-597.895841922992 -136.056602847432 -97.1580729218571</f>
        <v>-831.11051769228106</v>
      </c>
      <c r="W1501" t="s">
        <v>16627</v>
      </c>
      <c r="X1501" t="s">
        <v>16628</v>
      </c>
      <c r="Y1501" t="s">
        <v>16629</v>
      </c>
    </row>
    <row r="1502" spans="1:25" x14ac:dyDescent="0.3">
      <c r="A1502">
        <v>75050</v>
      </c>
      <c r="B1502" t="s">
        <v>16630</v>
      </c>
      <c r="C1502">
        <f>-621.278368742885 -43.8235864091471 -99.7193345126486</f>
        <v>-764.82128966468076</v>
      </c>
      <c r="D1502">
        <f>-641.657001187917 -53.3259922628683 -213.344247158183</f>
        <v>-908.3272406089684</v>
      </c>
      <c r="E1502">
        <f>-648.109589585104 -57.5365196959268 -311.666645540767</f>
        <v>-1017.3127548217979</v>
      </c>
      <c r="F1502">
        <f>-650.060291569134 -59.9987732875445 -400.708138829148</f>
        <v>-1110.7672036858266</v>
      </c>
      <c r="G1502">
        <f>-647.759253925047 -61.1102566956163 -489.768184057477</f>
        <v>-1198.6376946781402</v>
      </c>
      <c r="H1502">
        <f>-640.067401464825 -61.3093271089477 -614.112928310485</f>
        <v>-1315.4896568842578</v>
      </c>
      <c r="I1502">
        <f>-613.430369105511 -58.5298561768061 -692.775265882763</f>
        <v>-1364.73549116508</v>
      </c>
      <c r="J1502">
        <f>-647.986176316882 -33.8881627102253 -559.719239611904</f>
        <v>-1241.5935786390114</v>
      </c>
      <c r="K1502" t="s">
        <v>16631</v>
      </c>
      <c r="L1502" t="s">
        <v>16632</v>
      </c>
      <c r="M1502" t="s">
        <v>16633</v>
      </c>
      <c r="N1502">
        <f>-638.918251966703 -88.5554708215233 -559.070777188671</f>
        <v>-1286.5444999768972</v>
      </c>
      <c r="O1502">
        <f>-618.572914717284 -221.041688664368 -528.547645262023</f>
        <v>-1368.162248643675</v>
      </c>
      <c r="P1502">
        <f>-617.438408143953 -281.740965677071 -240.614369832846</f>
        <v>-1139.79374365387</v>
      </c>
      <c r="Q1502">
        <f>-457.446652458562 -129.234451145046 -336.506323576529</f>
        <v>-923.18742718013698</v>
      </c>
      <c r="R1502" t="s">
        <v>16634</v>
      </c>
      <c r="S1502" t="s">
        <v>16635</v>
      </c>
      <c r="T1502" t="s">
        <v>16636</v>
      </c>
      <c r="U1502" t="s">
        <v>16637</v>
      </c>
      <c r="V1502">
        <f>-598.142352796197 -135.549109386868 -97.1594046330065</f>
        <v>-830.8508668160714</v>
      </c>
      <c r="W1502" t="s">
        <v>16638</v>
      </c>
      <c r="X1502" t="s">
        <v>16639</v>
      </c>
      <c r="Y1502" t="s">
        <v>16640</v>
      </c>
    </row>
    <row r="1503" spans="1:25" x14ac:dyDescent="0.3">
      <c r="A1503">
        <v>75100</v>
      </c>
      <c r="B1503" t="s">
        <v>16641</v>
      </c>
      <c r="C1503">
        <f>-621.694181629704 -42.7912765965471 -99.6555976145104</f>
        <v>-764.1410558407614</v>
      </c>
      <c r="D1503">
        <f>-641.936620008539 -52.1050537319446 -213.32054153263</f>
        <v>-907.36221527311363</v>
      </c>
      <c r="E1503">
        <f>-648.297680124677 -56.4315036287194 -311.643919122899</f>
        <v>-1016.3731028762953</v>
      </c>
      <c r="F1503">
        <f>-650.179305838019 -59.1095647333767 -400.680480690051</f>
        <v>-1109.9693512614467</v>
      </c>
      <c r="G1503">
        <f>-647.824133710753 -60.5500725981937 -489.734629660593</f>
        <v>-1198.1088359695395</v>
      </c>
      <c r="H1503">
        <f>-640.073618140828 -61.3283717159554 -614.073392554977</f>
        <v>-1315.4753824117604</v>
      </c>
      <c r="I1503">
        <f>-613.146665308049 -58.9555595523752 -692.650284236952</f>
        <v>-1364.7525090973763</v>
      </c>
      <c r="J1503">
        <f>-647.88108164454 -33.6314828267928 -559.803341966278</f>
        <v>-1241.3159064376109</v>
      </c>
      <c r="K1503" t="s">
        <v>16642</v>
      </c>
      <c r="L1503" t="s">
        <v>16643</v>
      </c>
      <c r="M1503" t="s">
        <v>16644</v>
      </c>
      <c r="N1503">
        <f>-639.087518675561 -88.3402448308918 -558.912747398905</f>
        <v>-1286.3405109053579</v>
      </c>
      <c r="O1503">
        <f>-619.367399858643 -220.823787387945 -527.975632579448</f>
        <v>-1368.1668198260359</v>
      </c>
      <c r="P1503">
        <f>-618.426584690406 -280.913708067193 -239.913988470783</f>
        <v>-1139.2542812283818</v>
      </c>
      <c r="Q1503">
        <f>-457.784762804682 -129.30506874056 -336.142491848649</f>
        <v>-923.23232339389097</v>
      </c>
      <c r="R1503" t="s">
        <v>16645</v>
      </c>
      <c r="S1503" t="s">
        <v>16646</v>
      </c>
      <c r="T1503" t="s">
        <v>16647</v>
      </c>
      <c r="U1503" t="s">
        <v>16648</v>
      </c>
      <c r="V1503">
        <f>-598.843269710684 -134.622006522546 -97.1344532461925</f>
        <v>-830.59972947942254</v>
      </c>
      <c r="W1503" t="s">
        <v>16649</v>
      </c>
      <c r="X1503" t="s">
        <v>16650</v>
      </c>
      <c r="Y1503" t="s">
        <v>16651</v>
      </c>
    </row>
    <row r="1504" spans="1:25" x14ac:dyDescent="0.3">
      <c r="A1504">
        <v>75150</v>
      </c>
      <c r="B1504" t="s">
        <v>16652</v>
      </c>
      <c r="C1504">
        <f>-622.006882172391 -42.2177726371406 -99.6014297066743</f>
        <v>-763.82608451620581</v>
      </c>
      <c r="D1504">
        <f>-642.202233234246 -51.4340363688431 -213.282800877436</f>
        <v>-906.91907048052508</v>
      </c>
      <c r="E1504">
        <f>-648.531959085304 -55.8281546249971 -311.605132705981</f>
        <v>-1015.9652464162821</v>
      </c>
      <c r="F1504">
        <f>-650.39062980895 -58.6282670445022 -400.638539386145</f>
        <v>-1109.6574362395972</v>
      </c>
      <c r="G1504">
        <f>-648.018402926492 -60.2532919415287 -489.68890200528</f>
        <v>-1197.9605968733006</v>
      </c>
      <c r="H1504">
        <f>-640.251001395255 -61.3558277330127 -614.024127220128</f>
        <v>-1315.6309563483956</v>
      </c>
      <c r="I1504">
        <f>-613.189619176635 -59.2132803200643 -692.561485681153</f>
        <v>-1364.9643851778524</v>
      </c>
      <c r="J1504">
        <f>-647.982732975535 -33.5042726090485 -559.822444484343</f>
        <v>-1241.3094500689265</v>
      </c>
      <c r="K1504" t="s">
        <v>16653</v>
      </c>
      <c r="L1504" t="s">
        <v>16654</v>
      </c>
      <c r="M1504" t="s">
        <v>16655</v>
      </c>
      <c r="N1504">
        <f>-639.355329742929 -88.2370568887134 -558.798144679411</f>
        <v>-1286.3905313110536</v>
      </c>
      <c r="O1504">
        <f>-620.007168421375 -220.71883462158 -527.628760645766</f>
        <v>-1368.3547636887211</v>
      </c>
      <c r="P1504">
        <f>-619.112828897968 -280.352776482713 -239.472281302426</f>
        <v>-1138.9378866831071</v>
      </c>
      <c r="Q1504">
        <f>-458.110794695063 -129.301757338739 -335.975154984676</f>
        <v>-923.38770701847807</v>
      </c>
      <c r="R1504" t="s">
        <v>16656</v>
      </c>
      <c r="S1504" t="s">
        <v>16657</v>
      </c>
      <c r="T1504" t="s">
        <v>16658</v>
      </c>
      <c r="U1504" t="s">
        <v>16659</v>
      </c>
      <c r="V1504">
        <f>-599.310172696185 -134.098170689123 -97.120357816809</f>
        <v>-830.52870120211696</v>
      </c>
      <c r="W1504" t="s">
        <v>16660</v>
      </c>
      <c r="X1504" t="s">
        <v>16661</v>
      </c>
      <c r="Y1504" t="s">
        <v>16662</v>
      </c>
    </row>
    <row r="1505" spans="1:25" x14ac:dyDescent="0.3">
      <c r="A1505">
        <v>75200</v>
      </c>
      <c r="B1505" t="s">
        <v>16663</v>
      </c>
      <c r="C1505">
        <f>-623.048689429042 -40.9921070111786 -99.5199894400763</f>
        <v>-763.56078588029698</v>
      </c>
      <c r="D1505">
        <f>-643.164892945752 -50.0419912670457 -213.228653256647</f>
        <v>-906.43553746944463</v>
      </c>
      <c r="E1505">
        <f>-649.427202872734 -54.6091775756844 -311.547527436533</f>
        <v>-1015.5839078849515</v>
      </c>
      <c r="F1505">
        <f>-651.228746756664 -57.6925713515363 -400.572593674537</f>
        <v>-1109.4939117827373</v>
      </c>
      <c r="G1505">
        <f>-648.804822689453 -59.7314196861813 -489.613194204129</f>
        <v>-1198.1494365797632</v>
      </c>
      <c r="H1505">
        <f>-640.97234906572 -61.5502304539035 -613.935895331687</f>
        <v>-1316.4584748513105</v>
      </c>
      <c r="I1505">
        <f>-613.686920472462 -59.8877348664595 -692.407295375237</f>
        <v>-1365.9819507141585</v>
      </c>
      <c r="J1505">
        <f>-648.559941421831 -33.3598653296524 -559.889250422041</f>
        <v>-1241.8090571735243</v>
      </c>
      <c r="K1505" t="s">
        <v>16664</v>
      </c>
      <c r="L1505" t="s">
        <v>16665</v>
      </c>
      <c r="M1505" t="s">
        <v>16666</v>
      </c>
      <c r="N1505">
        <f>-640.278169374279 -88.1397181461532 -558.566064810049</f>
        <v>-1286.9839523304813</v>
      </c>
      <c r="O1505">
        <f>-621.700178609495 -220.590276897875 -526.828779973024</f>
        <v>-1369.1192354803939</v>
      </c>
      <c r="P1505">
        <f>-621.076324663175 -279.161423272903 -238.453595645481</f>
        <v>-1138.6913435815591</v>
      </c>
      <c r="Q1505">
        <f>-459.208778525055 -129.393640054601 -335.507155953391</f>
        <v>-924.10957453304695</v>
      </c>
      <c r="R1505" t="s">
        <v>16667</v>
      </c>
      <c r="S1505" t="s">
        <v>16668</v>
      </c>
      <c r="T1505" t="s">
        <v>16669</v>
      </c>
      <c r="U1505" t="s">
        <v>16670</v>
      </c>
      <c r="V1505">
        <f>-600.586605028079 -133.04538563381 -97.1113535869405</f>
        <v>-830.74334424882954</v>
      </c>
      <c r="W1505" t="s">
        <v>16671</v>
      </c>
      <c r="X1505" t="s">
        <v>16672</v>
      </c>
      <c r="Y1505" t="s">
        <v>16673</v>
      </c>
    </row>
    <row r="1506" spans="1:25" x14ac:dyDescent="0.3">
      <c r="A1506">
        <v>75250</v>
      </c>
      <c r="B1506" t="s">
        <v>16674</v>
      </c>
      <c r="C1506">
        <f>-623.734566098788 -40.331851847382 -99.5031000886614</f>
        <v>-763.5695180348315</v>
      </c>
      <c r="D1506">
        <f>-643.809837631066 -49.3192954629648 -213.223882071018</f>
        <v>-906.35301516504876</v>
      </c>
      <c r="E1506">
        <f>-650.051211409533 -53.9975452802981 -311.538821607927</f>
        <v>-1015.5875782977582</v>
      </c>
      <c r="F1506">
        <f>-651.841523210824 -57.2475955296978 -400.558379153021</f>
        <v>-1109.6474978935428</v>
      </c>
      <c r="G1506">
        <f>-649.414707640885 -59.521206255407 -489.593105288466</f>
        <v>-1198.529019184758</v>
      </c>
      <c r="H1506">
        <f>-641.587632051835 -61.7403475666279 -613.90963245911</f>
        <v>-1317.237612077573</v>
      </c>
      <c r="I1506">
        <f>-614.210397353382 -60.3441622694423 -692.354402612294</f>
        <v>-1366.9089622351185</v>
      </c>
      <c r="J1506">
        <f>-649.089572229491 -33.3635690923511 -559.948604970817</f>
        <v>-1242.401746292659</v>
      </c>
      <c r="K1506" t="s">
        <v>16675</v>
      </c>
      <c r="L1506" t="s">
        <v>16676</v>
      </c>
      <c r="M1506" t="s">
        <v>16677</v>
      </c>
      <c r="N1506">
        <f>-640.974372763302 -88.1640650159588 -558.459526362437</f>
        <v>-1287.597964141698</v>
      </c>
      <c r="O1506">
        <f>-622.721295061894 -220.590808326839 -526.401129501127</f>
        <v>-1369.7132328898601</v>
      </c>
      <c r="P1506">
        <f>-622.235814501284 -278.58604736537 -237.909444820997</f>
        <v>-1138.7313066876509</v>
      </c>
      <c r="Q1506">
        <f>-459.979444763902 -129.330664713671 -335.102758376197</f>
        <v>-924.41286785376997</v>
      </c>
      <c r="R1506" t="s">
        <v>16678</v>
      </c>
      <c r="S1506" t="s">
        <v>16679</v>
      </c>
      <c r="T1506" t="s">
        <v>16680</v>
      </c>
      <c r="U1506" t="s">
        <v>16681</v>
      </c>
      <c r="V1506">
        <f>-601.36415587055 -132.547517256647 -97.1120994680343</f>
        <v>-831.02377259523132</v>
      </c>
      <c r="W1506" t="s">
        <v>16682</v>
      </c>
      <c r="X1506" t="s">
        <v>16683</v>
      </c>
      <c r="Y1506" t="s">
        <v>16684</v>
      </c>
    </row>
    <row r="1507" spans="1:25" x14ac:dyDescent="0.3">
      <c r="A1507">
        <v>75300</v>
      </c>
      <c r="B1507" t="s">
        <v>16685</v>
      </c>
      <c r="C1507">
        <f>-624.461245258202 -39.7548675528374 -99.5010793452285</f>
        <v>-763.71719215626786</v>
      </c>
      <c r="D1507">
        <f>-644.502909886248 -48.6893332610375 -213.232026356805</f>
        <v>-906.42426950409049</v>
      </c>
      <c r="E1507">
        <f>-650.741320072829 -53.4921857774494 -311.541095274255</f>
        <v>-1015.7746011245334</v>
      </c>
      <c r="F1507">
        <f>-652.541222110351 -56.9238530002917 -400.553562599534</f>
        <v>-1110.0186377101768</v>
      </c>
      <c r="G1507">
        <f>-650.137064480754 -59.4493281166723 -489.582081531658</f>
        <v>-1199.1684741290842</v>
      </c>
      <c r="H1507">
        <f>-642.35649862699 -62.0954148174924 -613.893403002474</f>
        <v>-1318.3453164469563</v>
      </c>
      <c r="I1507">
        <f>-614.913089210807 -60.9786923245391 -692.319367964929</f>
        <v>-1368.211149500275</v>
      </c>
      <c r="J1507">
        <f>-649.770532219135 -33.5233573076368 -560.023175387416</f>
        <v>-1243.317064914188</v>
      </c>
      <c r="K1507" t="s">
        <v>16686</v>
      </c>
      <c r="L1507" t="s">
        <v>16687</v>
      </c>
      <c r="M1507" t="s">
        <v>16688</v>
      </c>
      <c r="N1507">
        <f>-641.790133378025 -88.3385822407012 -558.3571180527</f>
        <v>-1288.485833671426</v>
      </c>
      <c r="O1507">
        <f>-623.815321207425 -220.708838729123 -525.925788293513</f>
        <v>-1370.449948230061</v>
      </c>
      <c r="P1507">
        <f>-623.462135945739 -278.042388255635 -237.30146042145</f>
        <v>-1138.8059846228239</v>
      </c>
      <c r="Q1507">
        <f>-460.931827647812 -129.120724786363 -334.549225870368</f>
        <v>-924.60177830454302</v>
      </c>
      <c r="R1507" t="s">
        <v>16689</v>
      </c>
      <c r="S1507" t="s">
        <v>16690</v>
      </c>
      <c r="T1507" t="s">
        <v>16691</v>
      </c>
      <c r="U1507" t="s">
        <v>16692</v>
      </c>
      <c r="V1507">
        <f>-602.146175668369 -132.116938952858 -97.1282129463746</f>
        <v>-831.39132756760159</v>
      </c>
      <c r="W1507" t="s">
        <v>16693</v>
      </c>
      <c r="X1507" t="s">
        <v>16694</v>
      </c>
      <c r="Y1507" t="s">
        <v>16695</v>
      </c>
    </row>
    <row r="1508" spans="1:25" x14ac:dyDescent="0.3">
      <c r="A1508">
        <v>75350</v>
      </c>
      <c r="B1508" t="s">
        <v>16696</v>
      </c>
      <c r="C1508">
        <f>-626.043567844168 -38.3086967322322 -99.5123105784432</f>
        <v>-763.86457515484346</v>
      </c>
      <c r="D1508">
        <f>-646.171477431459 -47.3213806144034 -213.221901133166</f>
        <v>-906.71475917902853</v>
      </c>
      <c r="E1508">
        <f>-652.48274775547 -52.417940435376 -311.511479600509</f>
        <v>-1016.4121677913549</v>
      </c>
      <c r="F1508">
        <f>-654.34912076968 -56.2135026989905 -400.507975718763</f>
        <v>-1111.0705991874336</v>
      </c>
      <c r="G1508">
        <f>-652.012939663046 -59.2055167341466 -489.523829768369</f>
        <v>-1200.7422861655616</v>
      </c>
      <c r="H1508">
        <f>-644.329707105373 -62.6144908315728 -613.822412175468</f>
        <v>-1320.7666101124137</v>
      </c>
      <c r="I1508">
        <f>-616.807686655166 -62.000148303178 -692.226397320426</f>
        <v>-1371.0342322787701</v>
      </c>
      <c r="J1508">
        <f>-651.641191064647 -33.7035209089261 -560.119455933027</f>
        <v>-1245.4641679066001</v>
      </c>
      <c r="K1508" t="s">
        <v>16697</v>
      </c>
      <c r="L1508" t="s">
        <v>16698</v>
      </c>
      <c r="M1508" t="s">
        <v>16699</v>
      </c>
      <c r="N1508">
        <f>-643.780250149986 -88.5251492208804 -558.130175296713</f>
        <v>-1290.4355746675794</v>
      </c>
      <c r="O1508">
        <f>-625.951804317351 -220.726219902021 -524.919445170091</f>
        <v>-1371.597469389463</v>
      </c>
      <c r="P1508">
        <f>-626.208047703349 -276.400982766013 -235.970499212258</f>
        <v>-1138.57952968162</v>
      </c>
      <c r="Q1508">
        <f>-462.969256920527 -128.372762521842 -333.395440207476</f>
        <v>-924.73745964984505</v>
      </c>
      <c r="R1508" t="s">
        <v>16700</v>
      </c>
      <c r="S1508" t="s">
        <v>16701</v>
      </c>
      <c r="T1508" t="s">
        <v>16702</v>
      </c>
      <c r="U1508" t="s">
        <v>16703</v>
      </c>
      <c r="V1508">
        <f>-603.295746617478 -130.55238394999 -97.1716286283732</f>
        <v>-831.01975919584129</v>
      </c>
      <c r="W1508" t="s">
        <v>16704</v>
      </c>
      <c r="X1508" t="s">
        <v>16705</v>
      </c>
      <c r="Y1508" t="s">
        <v>16706</v>
      </c>
    </row>
    <row r="1509" spans="1:25" x14ac:dyDescent="0.3">
      <c r="A1509">
        <v>75400</v>
      </c>
      <c r="B1509" t="s">
        <v>16707</v>
      </c>
      <c r="C1509">
        <f>-628.207895123976 -36.0778359227306 -99.556694044769</f>
        <v>-763.84242509147555</v>
      </c>
      <c r="D1509">
        <f>-648.534125207743 -45.6713348437984 -213.183413236772</f>
        <v>-907.38887328831345</v>
      </c>
      <c r="E1509">
        <f>-654.983118699646 -51.109295659536 -311.445794130094</f>
        <v>-1017.5382084892759</v>
      </c>
      <c r="F1509">
        <f>-656.953264273932 -55.1740580857476 -400.427938248284</f>
        <v>-1112.5552606079636</v>
      </c>
      <c r="G1509">
        <f>-654.697662378444 -58.4029351152547 -489.437637935174</f>
        <v>-1202.5382354288727</v>
      </c>
      <c r="H1509">
        <f>-647.100260219165 -62.1189677874963 -613.732811745048</f>
        <v>-1322.9520397517094</v>
      </c>
      <c r="I1509">
        <f>-619.58605531192 -61.7379773082498 -692.141090374363</f>
        <v>-1373.4651229945327</v>
      </c>
      <c r="J1509">
        <f>-654.438943442636 -33.0848007507329 -560.100089693029</f>
        <v>-1247.6238338863977</v>
      </c>
      <c r="K1509" t="s">
        <v>16708</v>
      </c>
      <c r="L1509" t="s">
        <v>16709</v>
      </c>
      <c r="M1509" t="s">
        <v>16710</v>
      </c>
      <c r="N1509">
        <f>-646.448128708872 -87.8825668457022 -557.973344286862</f>
        <v>-1292.3040398414362</v>
      </c>
      <c r="O1509">
        <f>-628.197357329667 -219.979491744114 -524.500851923352</f>
        <v>-1372.6777009971331</v>
      </c>
      <c r="P1509">
        <f>-629.172259884535 -274.143105234655 -235.266417963994</f>
        <v>-1138.5817830831841</v>
      </c>
      <c r="Q1509">
        <f>-465.353388658959 -127.071947820872 -333.165870542478</f>
        <v>-925.59120702230894</v>
      </c>
      <c r="R1509" t="s">
        <v>16711</v>
      </c>
      <c r="S1509" t="s">
        <v>16712</v>
      </c>
      <c r="T1509" t="s">
        <v>16713</v>
      </c>
      <c r="U1509" t="s">
        <v>16714</v>
      </c>
      <c r="V1509">
        <f>-603.95219438988 -128.097025498912 -97.1361780072734</f>
        <v>-829.18539789606541</v>
      </c>
      <c r="W1509" t="s">
        <v>16715</v>
      </c>
      <c r="X1509" t="s">
        <v>16716</v>
      </c>
      <c r="Y1509" t="s">
        <v>16717</v>
      </c>
    </row>
    <row r="1510" spans="1:25" x14ac:dyDescent="0.3">
      <c r="A1510">
        <v>75450</v>
      </c>
      <c r="B1510" t="s">
        <v>16718</v>
      </c>
      <c r="C1510">
        <f>-629.066802146956 -35.5422644449777 -99.6193572106458</f>
        <v>-764.22842380257953</v>
      </c>
      <c r="D1510">
        <f>-649.442344884349 -45.4026115515516 -213.214319070005</f>
        <v>-908.05927550590559</v>
      </c>
      <c r="E1510">
        <f>-655.966361993887 -50.8961296029925 -311.468690199122</f>
        <v>-1018.3311817960014</v>
      </c>
      <c r="F1510">
        <f>-658.012855139502 -54.9499159699134 -400.449778486451</f>
        <v>-1113.4125495958665</v>
      </c>
      <c r="G1510">
        <f>-655.840260704327 -58.1078681006416 -489.464051634651</f>
        <v>-1203.4121804396195</v>
      </c>
      <c r="H1510">
        <f>-648.363923883526 -61.6648851276328 -613.771217341337</f>
        <v>-1323.8000263524959</v>
      </c>
      <c r="I1510">
        <f>-620.949863205739 -61.2179227103952 -692.21413937011</f>
        <v>-1374.3819252862443</v>
      </c>
      <c r="J1510">
        <f>-655.744290598875 -32.7134765059352 -560.099463731942</f>
        <v>-1248.5572308367523</v>
      </c>
      <c r="K1510" t="s">
        <v>16719</v>
      </c>
      <c r="L1510" t="s">
        <v>16720</v>
      </c>
      <c r="M1510" t="s">
        <v>16721</v>
      </c>
      <c r="N1510">
        <f>-647.563500170077 -87.4857575854078 -558.04009182327</f>
        <v>-1293.0893495787548</v>
      </c>
      <c r="O1510">
        <f>-628.854413179875 -219.565982787586 -524.707913515189</f>
        <v>-1373.1283094826499</v>
      </c>
      <c r="P1510">
        <f>-629.769937944787 -273.588487800655 -235.446865487605</f>
        <v>-1138.805291233047</v>
      </c>
      <c r="Q1510">
        <f>-465.882724769551 -126.689347241838 -333.490268914798</f>
        <v>-926.06234092618695</v>
      </c>
      <c r="R1510" t="s">
        <v>16722</v>
      </c>
      <c r="S1510" t="s">
        <v>16723</v>
      </c>
      <c r="T1510" t="s">
        <v>16724</v>
      </c>
      <c r="U1510" t="s">
        <v>16725</v>
      </c>
      <c r="V1510">
        <f>-604.045954029206 -127.787321034287 -97.1359416796448</f>
        <v>-828.96921674313774</v>
      </c>
      <c r="W1510" t="s">
        <v>16726</v>
      </c>
      <c r="X1510" t="s">
        <v>16727</v>
      </c>
      <c r="Y1510" t="s">
        <v>16728</v>
      </c>
    </row>
    <row r="1511" spans="1:25" x14ac:dyDescent="0.3">
      <c r="A1511">
        <v>75500</v>
      </c>
      <c r="B1511" t="s">
        <v>16729</v>
      </c>
      <c r="C1511">
        <f>-629.280407343739 -36.5167642943413 -99.8085184340702</f>
        <v>-765.60569007215042</v>
      </c>
      <c r="D1511">
        <f>-649.610183818185 -46.6817223254959 -213.384814233474</f>
        <v>-909.67672037715488</v>
      </c>
      <c r="E1511">
        <f>-656.310412978969 -52.1664197265802 -311.627867437163</f>
        <v>-1020.1047001427122</v>
      </c>
      <c r="F1511">
        <f>-658.597415980855 -56.1072484873947 -400.608074323453</f>
        <v>-1115.3127387917027</v>
      </c>
      <c r="G1511">
        <f>-656.744621694387 -59.0431972653008 -489.637241069213</f>
        <v>-1205.4250600289008</v>
      </c>
      <c r="H1511">
        <f>-649.795238781795 -62.1747367743895 -613.986474820234</f>
        <v>-1325.9564503764186</v>
      </c>
      <c r="I1511">
        <f>-622.743072400552 -61.4429751799368 -692.552727245324</f>
        <v>-1376.7387748258129</v>
      </c>
      <c r="J1511">
        <f>-657.19105338109 -33.4451955998029 -560.197824657087</f>
        <v>-1250.8340736379801</v>
      </c>
      <c r="K1511" t="s">
        <v>16730</v>
      </c>
      <c r="L1511" t="s">
        <v>16731</v>
      </c>
      <c r="M1511" t="s">
        <v>16732</v>
      </c>
      <c r="N1511">
        <f>-648.51555083404 -88.148281071607 -558.335324201365</f>
        <v>-1294.9991561070119</v>
      </c>
      <c r="O1511">
        <f>-628.490894267298 -220.104212154494 -525.480394412049</f>
        <v>-1374.075500833841</v>
      </c>
      <c r="P1511">
        <f>-628.271722725193 -275.271171800188 -236.434121909537</f>
        <v>-1139.9770164349179</v>
      </c>
      <c r="Q1511">
        <f>-464.772966458644 -127.975494926877 -334.53093497935</f>
        <v>-927.27939636487099</v>
      </c>
      <c r="R1511" t="s">
        <v>16733</v>
      </c>
      <c r="S1511" t="s">
        <v>16734</v>
      </c>
      <c r="T1511" t="s">
        <v>16735</v>
      </c>
      <c r="U1511" t="s">
        <v>16736</v>
      </c>
      <c r="V1511">
        <f>-603.818901832447 -129.10676513615 -97.1917546534146</f>
        <v>-830.11742162201153</v>
      </c>
      <c r="W1511" t="s">
        <v>16737</v>
      </c>
      <c r="X1511" t="s">
        <v>16738</v>
      </c>
      <c r="Y1511" t="s">
        <v>16739</v>
      </c>
    </row>
    <row r="1512" spans="1:25" x14ac:dyDescent="0.3">
      <c r="A1512">
        <v>75550</v>
      </c>
      <c r="B1512" t="s">
        <v>16740</v>
      </c>
      <c r="C1512">
        <f>-629.313806550634 -37.050266527433 -99.844666053467</f>
        <v>-766.208739131534</v>
      </c>
      <c r="D1512">
        <f>-649.6161768592 -47.2543653704038 -213.422430152563</f>
        <v>-910.29297238216679</v>
      </c>
      <c r="E1512">
        <f>-656.42803778461 -52.7664281233533 -311.656271732935</f>
        <v>-1020.8507376408983</v>
      </c>
      <c r="F1512">
        <f>-658.870595931686 -56.7275562109237 -400.631402853507</f>
        <v>-1116.2295549961168</v>
      </c>
      <c r="G1512">
        <f>-657.228351156659 -59.6755492944534 -489.66428129699</f>
        <v>-1206.5681817481022</v>
      </c>
      <c r="H1512">
        <f>-650.630785226889 -62.8132174608394 -614.032472634119</f>
        <v>-1327.4764753218474</v>
      </c>
      <c r="I1512">
        <f>-623.825735213404 -61.9514374124949 -692.682212121741</f>
        <v>-1378.4593847476399</v>
      </c>
      <c r="J1512">
        <f>-657.978865233825 -34.0978890166616 -560.229626464681</f>
        <v>-1252.3063807151675</v>
      </c>
      <c r="K1512" t="s">
        <v>16741</v>
      </c>
      <c r="L1512" t="s">
        <v>16742</v>
      </c>
      <c r="M1512" t="s">
        <v>16743</v>
      </c>
      <c r="N1512">
        <f>-649.08919230172 -88.767035036248 -558.378859262622</f>
        <v>-1296.23508660059</v>
      </c>
      <c r="O1512">
        <f>-628.479831221513 -220.649779562321 -525.589643636712</f>
        <v>-1374.7192544205459</v>
      </c>
      <c r="P1512">
        <f>-627.408316814676 -276.102247977402 -236.600028389057</f>
        <v>-1140.1105931811348</v>
      </c>
      <c r="Q1512">
        <f>-464.389497967224 -128.599317475853 -335.183018996662</f>
        <v>-928.17183443973897</v>
      </c>
      <c r="R1512" t="s">
        <v>16744</v>
      </c>
      <c r="S1512" t="s">
        <v>16745</v>
      </c>
      <c r="T1512" t="s">
        <v>16746</v>
      </c>
      <c r="U1512" t="s">
        <v>16747</v>
      </c>
      <c r="V1512">
        <f>-603.955851733106 -129.351874386652 -97.198396441697</f>
        <v>-830.50612256145496</v>
      </c>
      <c r="W1512" t="s">
        <v>16748</v>
      </c>
      <c r="X1512" t="s">
        <v>16749</v>
      </c>
      <c r="Y1512" t="s">
        <v>16750</v>
      </c>
    </row>
    <row r="1513" spans="1:25" x14ac:dyDescent="0.3">
      <c r="A1513">
        <v>75600</v>
      </c>
      <c r="B1513" t="s">
        <v>16751</v>
      </c>
      <c r="C1513">
        <f>-629.749062548601 -37.6663954122726 -99.7682315857036</f>
        <v>-767.18368954657717</v>
      </c>
      <c r="D1513">
        <f>-650.073557861359 -47.838425857323 -213.345027993395</f>
        <v>-911.25701171207697</v>
      </c>
      <c r="E1513">
        <f>-657.010719421843 -53.282317299591 -311.573711847875</f>
        <v>-1021.866748569309</v>
      </c>
      <c r="F1513">
        <f>-659.610822704964 -57.157444801134 -400.548247581539</f>
        <v>-1117.3165150876371</v>
      </c>
      <c r="G1513">
        <f>-658.171165975943 -59.9880179694999 -489.588398604615</f>
        <v>-1207.7475825500578</v>
      </c>
      <c r="H1513">
        <f>-651.904165070457 -62.9232005340247 -613.978572691813</f>
        <v>-1328.8059382962947</v>
      </c>
      <c r="I1513">
        <f>-625.510418640085 -61.7339764747621 -692.763175263177</f>
        <v>-1380.0075703780242</v>
      </c>
      <c r="J1513">
        <f>-659.278899242684 -34.3240206295698 -560.117711282978</f>
        <v>-1253.7206311552318</v>
      </c>
      <c r="K1513" t="s">
        <v>16752</v>
      </c>
      <c r="L1513" t="s">
        <v>16753</v>
      </c>
      <c r="M1513" t="s">
        <v>16754</v>
      </c>
      <c r="N1513">
        <f>-650.04504747099 -88.9392349532893 -558.363736866232</f>
        <v>-1297.3480192905113</v>
      </c>
      <c r="O1513">
        <f>-628.72273331776 -220.718862282157 -525.447025197249</f>
        <v>-1374.8886207971659</v>
      </c>
      <c r="P1513">
        <f>-626.434516553769 -275.220313184818 -236.283543730448</f>
        <v>-1137.938373469035</v>
      </c>
      <c r="Q1513">
        <f>-464.28779400942 -127.945748389694 -336.63045905358</f>
        <v>-928.86400145269397</v>
      </c>
      <c r="R1513" t="s">
        <v>16755</v>
      </c>
      <c r="S1513" t="s">
        <v>16756</v>
      </c>
      <c r="T1513" t="s">
        <v>16757</v>
      </c>
      <c r="U1513" t="s">
        <v>16758</v>
      </c>
      <c r="V1513">
        <f>-604.318424160575 -129.935198447134 -97.1867596792165</f>
        <v>-831.44038228692546</v>
      </c>
      <c r="W1513" t="s">
        <v>16759</v>
      </c>
      <c r="X1513" t="s">
        <v>16760</v>
      </c>
      <c r="Y1513" t="s">
        <v>16761</v>
      </c>
    </row>
    <row r="1514" spans="1:25" x14ac:dyDescent="0.3">
      <c r="A1514">
        <v>75650</v>
      </c>
      <c r="B1514" t="s">
        <v>16762</v>
      </c>
      <c r="C1514">
        <f>-629.951232760926 -38.026188862581 -99.7431592275025</f>
        <v>-767.72058085100946</v>
      </c>
      <c r="D1514">
        <f>-650.362789105379 -48.2098559462333 -213.303250593948</f>
        <v>-911.87589564556038</v>
      </c>
      <c r="E1514">
        <f>-657.343165903624 -53.5224916136984 -311.536194448363</f>
        <v>-1022.4018519656854</v>
      </c>
      <c r="F1514">
        <f>-659.968894075463 -57.2181469029492 -400.517514988982</f>
        <v>-1117.7045559673943</v>
      </c>
      <c r="G1514">
        <f>-658.541005498346 -59.8056527206546 -489.56526569385</f>
        <v>-1207.9119239128506</v>
      </c>
      <c r="H1514">
        <f>-652.275427518179 -62.3311689326954 -613.964535652226</f>
        <v>-1328.5711321031004</v>
      </c>
      <c r="I1514">
        <f>-626.035297530831 -60.9230024122139 -692.796643823718</f>
        <v>-1379.7549437667631</v>
      </c>
      <c r="J1514">
        <f>-659.758001404608 -33.9281640209688 -560.014721789262</f>
        <v>-1253.7008872148388</v>
      </c>
      <c r="K1514" t="s">
        <v>16763</v>
      </c>
      <c r="L1514" t="s">
        <v>16764</v>
      </c>
      <c r="M1514" t="s">
        <v>16765</v>
      </c>
      <c r="N1514">
        <f>-650.307158780989 -88.5114981797183 -558.430509147055</f>
        <v>-1297.2491661077622</v>
      </c>
      <c r="O1514">
        <f>-628.618263061806 -220.260376164253 -525.656380710111</f>
        <v>-1374.5350199361701</v>
      </c>
      <c r="P1514">
        <f>-626.58469598401 -273.865006857448 -236.323355861083</f>
        <v>-1136.773058702541</v>
      </c>
      <c r="Q1514">
        <f>-464.485424579368 -127.023100618939 -337.378553267766</f>
        <v>-928.88707846607304</v>
      </c>
      <c r="R1514" t="s">
        <v>16766</v>
      </c>
      <c r="S1514" t="s">
        <v>16767</v>
      </c>
      <c r="T1514" t="s">
        <v>16768</v>
      </c>
      <c r="U1514" t="s">
        <v>16769</v>
      </c>
      <c r="V1514">
        <f>-604.430617863406 -130.399704341756 -97.1697281121707</f>
        <v>-832.00005031733269</v>
      </c>
      <c r="W1514" t="s">
        <v>16770</v>
      </c>
      <c r="X1514" t="s">
        <v>16771</v>
      </c>
      <c r="Y1514" t="s">
        <v>16772</v>
      </c>
    </row>
    <row r="1515" spans="1:25" x14ac:dyDescent="0.3">
      <c r="A1515">
        <v>75700</v>
      </c>
      <c r="B1515" t="s">
        <v>16773</v>
      </c>
      <c r="C1515">
        <f>-630.320312504161 -39.1447244871354 -99.7379005543346</f>
        <v>-769.20293754563102</v>
      </c>
      <c r="D1515">
        <f>-650.843070750661 -49.5664793350228 -213.256282539158</f>
        <v>-913.66583262484187</v>
      </c>
      <c r="E1515">
        <f>-658.005543409849 -54.6668298867173 -311.487312773946</f>
        <v>-1024.1596860705122</v>
      </c>
      <c r="F1515">
        <f>-660.824910471379 -58.0033840907962 -400.477109143119</f>
        <v>-1119.3054037052941</v>
      </c>
      <c r="G1515">
        <f>-659.617157796644 -60.0594887920886 -489.541869819095</f>
        <v>-1209.2185164078276</v>
      </c>
      <c r="H1515">
        <f>-653.684452689891 -61.6601390633693 -613.972857189816</f>
        <v>-1329.3174489430762</v>
      </c>
      <c r="I1515">
        <f>-627.743215518278 -59.7882063006122 -692.894179840696</f>
        <v>-1380.4256016595862</v>
      </c>
      <c r="J1515">
        <f>-661.241847593311 -33.6980848215192 -559.803422519642</f>
        <v>-1254.7433549344723</v>
      </c>
      <c r="K1515" t="s">
        <v>16774</v>
      </c>
      <c r="L1515" t="s">
        <v>16775</v>
      </c>
      <c r="M1515" t="s">
        <v>16776</v>
      </c>
      <c r="N1515">
        <f>-651.348478133454 -88.2133268069787 -558.630491561305</f>
        <v>-1298.1922965017377</v>
      </c>
      <c r="O1515">
        <f>-628.580408972692 -219.963034625285 -526.736124409537</f>
        <v>-1375.2795680075139</v>
      </c>
      <c r="P1515">
        <f>-626.985599508082 -273.276190571476 -237.346500084568</f>
        <v>-1137.6082901641262</v>
      </c>
      <c r="Q1515">
        <f>-464.993462388857 -126.275455815929 -338.342573446243</f>
        <v>-929.61149165102904</v>
      </c>
      <c r="R1515" t="s">
        <v>16777</v>
      </c>
      <c r="S1515" t="s">
        <v>16778</v>
      </c>
      <c r="T1515" t="s">
        <v>16779</v>
      </c>
      <c r="U1515" t="s">
        <v>16780</v>
      </c>
      <c r="V1515">
        <f>-604.375075688049 -131.426591507217 -97.1267458730382</f>
        <v>-832.92841306830428</v>
      </c>
      <c r="W1515" t="s">
        <v>16781</v>
      </c>
      <c r="X1515" t="s">
        <v>16782</v>
      </c>
      <c r="Y1515" t="s">
        <v>16783</v>
      </c>
    </row>
    <row r="1516" spans="1:25" x14ac:dyDescent="0.3">
      <c r="A1516">
        <v>75750</v>
      </c>
      <c r="B1516" t="s">
        <v>16784</v>
      </c>
      <c r="C1516">
        <f>-630.44014153922 -40.1093770572895 -99.7372883497297</f>
        <v>-770.28680694623927</v>
      </c>
      <c r="D1516">
        <f>-650.906818144712 -50.6589070001668 -213.254021969427</f>
        <v>-914.81974711430576</v>
      </c>
      <c r="E1516">
        <f>-658.14840669072 -55.7093374302029 -311.481795823089</f>
        <v>-1025.3395399440119</v>
      </c>
      <c r="F1516">
        <f>-661.086890172122 -58.9398576870109 -400.471484665794</f>
        <v>-1120.4982325249268</v>
      </c>
      <c r="G1516">
        <f>-660.044367593155 -60.8288286340107 -489.542249309378</f>
        <v>-1210.4154455365438</v>
      </c>
      <c r="H1516">
        <f>-654.389130202318 -62.1327643584092 -613.989600625577</f>
        <v>-1330.5114951863043</v>
      </c>
      <c r="I1516">
        <f>-628.571471085229 -60.0515489779415 -692.946291471409</f>
        <v>-1381.5693115345794</v>
      </c>
      <c r="J1516">
        <f>-661.869434720226 -34.3081134269064 -559.738743620486</f>
        <v>-1255.9162917676185</v>
      </c>
      <c r="K1516" t="s">
        <v>16785</v>
      </c>
      <c r="L1516" t="s">
        <v>16786</v>
      </c>
      <c r="M1516" t="s">
        <v>16787</v>
      </c>
      <c r="N1516">
        <f>-651.886050410021 -88.8098805549195 -558.714071628568</f>
        <v>-1299.4100025935086</v>
      </c>
      <c r="O1516">
        <f>-628.806999086551 -220.608735240442 -527.250651817172</f>
        <v>-1376.6663861441648</v>
      </c>
      <c r="P1516">
        <f>-626.488381073868 -274.720306313556 -238.014178559793</f>
        <v>-1139.2228659472171</v>
      </c>
      <c r="Q1516">
        <f>-464.92054308956 -126.790761069985 -338.331319877203</f>
        <v>-930.04262403674795</v>
      </c>
      <c r="R1516" t="s">
        <v>16788</v>
      </c>
      <c r="S1516" t="s">
        <v>16789</v>
      </c>
      <c r="T1516" t="s">
        <v>16790</v>
      </c>
      <c r="U1516" t="s">
        <v>16791</v>
      </c>
      <c r="V1516">
        <f>-604.248752177157 -132.401585299578 -97.0851822990178</f>
        <v>-833.73551977575278</v>
      </c>
      <c r="W1516" t="s">
        <v>16792</v>
      </c>
      <c r="X1516" t="s">
        <v>16793</v>
      </c>
      <c r="Y1516" t="s">
        <v>16794</v>
      </c>
    </row>
    <row r="1517" spans="1:25" x14ac:dyDescent="0.3">
      <c r="A1517">
        <v>75800</v>
      </c>
      <c r="B1517" t="s">
        <v>16795</v>
      </c>
      <c r="C1517">
        <f>-630.892967081115 -41.9562066981168 -99.7274520393588</f>
        <v>-772.57662581859063</v>
      </c>
      <c r="D1517">
        <f>-651.293710942103 -52.4941010628738 -213.257158961279</f>
        <v>-917.04497096625573</v>
      </c>
      <c r="E1517">
        <f>-658.665423153766 -57.4883830385838 -311.478213425513</f>
        <v>-1027.6320196178629</v>
      </c>
      <c r="F1517">
        <f>-661.795099388307 -60.6510579156586 -400.463855224102</f>
        <v>-1122.9100125280677</v>
      </c>
      <c r="G1517">
        <f>-661.016067544437 -62.4561455298808 -489.538945654322</f>
        <v>-1213.0111587286397</v>
      </c>
      <c r="H1517">
        <f>-655.803562596093 -63.6266727263653 -614.006950329616</f>
        <v>-1333.4371856520743</v>
      </c>
      <c r="I1517">
        <f>-630.276581863555 -61.3290744753845 -693.051990759689</f>
        <v>-1384.6576470986283</v>
      </c>
      <c r="J1517">
        <f>-663.051433088185 -35.8528500205416 -559.698584845759</f>
        <v>-1258.6028679544856</v>
      </c>
      <c r="K1517" t="s">
        <v>16796</v>
      </c>
      <c r="L1517" t="s">
        <v>16797</v>
      </c>
      <c r="M1517" t="s">
        <v>16798</v>
      </c>
      <c r="N1517">
        <f>-653.14322702851 -90.3702426325616 -558.770970855993</f>
        <v>-1302.2844405170645</v>
      </c>
      <c r="O1517">
        <f>-630.001025306926 -222.271114236931 -527.60807723126</f>
        <v>-1379.8802167751169</v>
      </c>
      <c r="P1517">
        <f>-625.903941128859 -278.306751827356 -238.757841460778</f>
        <v>-1142.968534416993</v>
      </c>
      <c r="Q1517">
        <f>-465.502986577255 -128.446401555817 -338.077015063458</f>
        <v>-932.02640319653005</v>
      </c>
      <c r="R1517" t="s">
        <v>16799</v>
      </c>
      <c r="S1517" t="s">
        <v>16800</v>
      </c>
      <c r="T1517" t="s">
        <v>16801</v>
      </c>
      <c r="U1517" t="s">
        <v>16802</v>
      </c>
      <c r="V1517">
        <f>-604.670529461091 -134.433617459224 -97.0178445266891</f>
        <v>-836.12199144700412</v>
      </c>
      <c r="W1517" t="s">
        <v>16803</v>
      </c>
      <c r="X1517" t="s">
        <v>16804</v>
      </c>
      <c r="Y1517" t="s">
        <v>16805</v>
      </c>
    </row>
    <row r="1518" spans="1:25" x14ac:dyDescent="0.3">
      <c r="A1518">
        <v>75850</v>
      </c>
      <c r="B1518" t="s">
        <v>16806</v>
      </c>
      <c r="C1518">
        <f>-631.261535409005 -42.7146521613367 -99.7002732704198</f>
        <v>-773.67646084076148</v>
      </c>
      <c r="D1518">
        <f>-651.618308919892 -53.0681091781222 -213.254896137182</f>
        <v>-917.94131423519616</v>
      </c>
      <c r="E1518">
        <f>-659.001452609318 -57.9445681629626 -311.48087109967</f>
        <v>-1028.4268918719506</v>
      </c>
      <c r="F1518">
        <f>-662.163147261548 -61.0129686077653 -400.468795172749</f>
        <v>-1123.6449110420624</v>
      </c>
      <c r="G1518">
        <f>-661.438343182395 -62.7353923783714 -489.545963655827</f>
        <v>-1213.7196992165934</v>
      </c>
      <c r="H1518">
        <f>-656.32547583222 -63.8006809423283 -614.018920549313</f>
        <v>-1334.1450773238612</v>
      </c>
      <c r="I1518">
        <f>-630.959385406933 -61.4665476898789 -693.114701219315</f>
        <v>-1385.5406343161269</v>
      </c>
      <c r="J1518">
        <f>-663.489596447844 -36.0655059106982 -559.679671287012</f>
        <v>-1259.234773645554</v>
      </c>
      <c r="K1518" t="s">
        <v>16807</v>
      </c>
      <c r="L1518" t="s">
        <v>16808</v>
      </c>
      <c r="M1518" t="s">
        <v>16809</v>
      </c>
      <c r="N1518">
        <f>-653.66117517489 -90.5982328565606 -558.809252566562</f>
        <v>-1303.0686605980127</v>
      </c>
      <c r="O1518">
        <f>-630.72772145705 -222.528074357623 -527.705190643825</f>
        <v>-1380.9609864584982</v>
      </c>
      <c r="P1518">
        <f>-626.564034225008 -279.28553599073 -238.99690798275</f>
        <v>-1144.8464781984878</v>
      </c>
      <c r="Q1518">
        <f>-466.482006641412 -128.766506261834 -337.833270119205</f>
        <v>-933.08178302245096</v>
      </c>
      <c r="R1518" t="s">
        <v>16810</v>
      </c>
      <c r="S1518" t="s">
        <v>16811</v>
      </c>
      <c r="T1518" t="s">
        <v>16812</v>
      </c>
      <c r="U1518" t="s">
        <v>16813</v>
      </c>
      <c r="V1518">
        <f>-605.259847297114 -135.299074392746 -97.0292123000061</f>
        <v>-837.58813398986604</v>
      </c>
      <c r="W1518" t="s">
        <v>16814</v>
      </c>
      <c r="X1518" t="s">
        <v>16815</v>
      </c>
      <c r="Y1518" t="s">
        <v>16816</v>
      </c>
    </row>
    <row r="1519" spans="1:25" x14ac:dyDescent="0.3">
      <c r="A1519">
        <v>75900</v>
      </c>
      <c r="B1519" t="s">
        <v>16817</v>
      </c>
      <c r="C1519">
        <f>-631.705365702532 -43.3531149746417 -99.6685675473103</f>
        <v>-774.72704822448407</v>
      </c>
      <c r="D1519">
        <f>-651.970278289867 -53.527431308102 -213.255698438387</f>
        <v>-918.75340803635595</v>
      </c>
      <c r="E1519">
        <f>-659.328969774762 -58.3201677892209 -311.487748382759</f>
        <v>-1029.1368859467418</v>
      </c>
      <c r="F1519">
        <f>-662.492878335031 -61.3364776929641 -400.477233284954</f>
        <v>-1124.3065893129492</v>
      </c>
      <c r="G1519">
        <f>-661.795502265326 -63.0292837709666 -489.555266029051</f>
        <v>-1214.3800520653435</v>
      </c>
      <c r="H1519">
        <f>-656.748212211151 -64.0755312994067 -614.03116138812</f>
        <v>-1334.8549048986779</v>
      </c>
      <c r="I1519">
        <f>-631.53321304719 -61.7870265017664 -693.17650763434</f>
        <v>-1386.4967471832965</v>
      </c>
      <c r="J1519">
        <f>-663.828266454979 -36.3387974457514 -559.681692102408</f>
        <v>-1259.8487560031385</v>
      </c>
      <c r="K1519" t="s">
        <v>16818</v>
      </c>
      <c r="L1519" t="s">
        <v>16819</v>
      </c>
      <c r="M1519" t="s">
        <v>16820</v>
      </c>
      <c r="N1519">
        <f>-654.110372607492 -90.8914679147008 -558.829161385177</f>
        <v>-1303.8310019073697</v>
      </c>
      <c r="O1519">
        <f>-631.409110237191 -222.852548560697 -527.723798736433</f>
        <v>-1381.9854575343211</v>
      </c>
      <c r="P1519">
        <f>-627.7941759236 -279.235212108347 -238.934748045229</f>
        <v>-1145.9641360771761</v>
      </c>
      <c r="Q1519">
        <f>-467.585675494815 -128.690173965121 -337.526181728071</f>
        <v>-933.80203118800705</v>
      </c>
      <c r="R1519" t="s">
        <v>16821</v>
      </c>
      <c r="S1519" t="s">
        <v>16822</v>
      </c>
      <c r="T1519" t="s">
        <v>16823</v>
      </c>
      <c r="U1519" t="s">
        <v>16824</v>
      </c>
      <c r="V1519">
        <f>-605.954501436899 -135.998585011793 -97.0786433650211</f>
        <v>-839.03172981371313</v>
      </c>
      <c r="W1519" t="s">
        <v>16825</v>
      </c>
      <c r="X1519" t="s">
        <v>16826</v>
      </c>
      <c r="Y1519" t="s">
        <v>16827</v>
      </c>
    </row>
    <row r="1520" spans="1:25" x14ac:dyDescent="0.3">
      <c r="A1520">
        <v>75950</v>
      </c>
      <c r="B1520" t="s">
        <v>16828</v>
      </c>
      <c r="C1520">
        <f>-632.566427361353 -44.1907945852712 -99.5534575673795</f>
        <v>-776.31067951400371</v>
      </c>
      <c r="D1520">
        <f>-652.727297922047 -54.0506739724457 -213.186904946715</f>
        <v>-919.96487684120768</v>
      </c>
      <c r="E1520">
        <f>-660.017611228496 -58.7703429550367 -311.427648635967</f>
        <v>-1030.2156028194995</v>
      </c>
      <c r="F1520">
        <f>-663.133348469025 -61.7915563378375 -400.418574877607</f>
        <v>-1125.3434796844695</v>
      </c>
      <c r="G1520">
        <f>-662.403015394002 -63.5610181855521 -489.49478825423</f>
        <v>-1215.458821833784</v>
      </c>
      <c r="H1520">
        <f>-657.32744050279 -64.787375972411 -613.967885972507</f>
        <v>-1336.082702447708</v>
      </c>
      <c r="I1520">
        <f>-632.40565099063 -62.7699778935535 -693.213540164567</f>
        <v>-1388.3891690487503</v>
      </c>
      <c r="J1520">
        <f>-664.251329216999 -36.9424465428133 -559.653761188852</f>
        <v>-1260.8475369486641</v>
      </c>
      <c r="K1520" t="s">
        <v>16829</v>
      </c>
      <c r="L1520" t="s">
        <v>16830</v>
      </c>
      <c r="M1520" t="s">
        <v>16831</v>
      </c>
      <c r="N1520">
        <f>-654.870619095153 -91.5530137208783 -558.733175709402</f>
        <v>-1305.1568085254332</v>
      </c>
      <c r="O1520">
        <f>-633.132630758172 -223.626611717708 -527.376123878621</f>
        <v>-1384.135366354501</v>
      </c>
      <c r="P1520">
        <f>-630.134643866444 -279.165271471852 -238.416409880413</f>
        <v>-1147.716325218709</v>
      </c>
      <c r="Q1520">
        <f>-469.297533927099 -129.333906225287 -337.071644269708</f>
        <v>-935.70308442209398</v>
      </c>
      <c r="R1520" t="s">
        <v>16832</v>
      </c>
      <c r="S1520" t="s">
        <v>16833</v>
      </c>
      <c r="T1520" t="s">
        <v>16834</v>
      </c>
      <c r="U1520" t="s">
        <v>16835</v>
      </c>
      <c r="V1520">
        <f>-607.440829278209 -136.805709322161 -97.1037100864875</f>
        <v>-841.35024868685741</v>
      </c>
      <c r="W1520" t="s">
        <v>16836</v>
      </c>
      <c r="X1520" t="s">
        <v>16837</v>
      </c>
      <c r="Y1520" t="s">
        <v>16838</v>
      </c>
    </row>
    <row r="1521" spans="1:25" x14ac:dyDescent="0.3">
      <c r="A1521">
        <v>76000</v>
      </c>
      <c r="B1521" t="s">
        <v>16839</v>
      </c>
      <c r="C1521">
        <f>-633.122981931018 -44.4380222923133 -99.5011560324031</f>
        <v>-777.0621602557344</v>
      </c>
      <c r="D1521">
        <f>-653.216390340754 -54.1239037810683 -213.161429361094</f>
        <v>-920.5017234829163</v>
      </c>
      <c r="E1521">
        <f>-660.42203227557 -58.810478809987 -311.409971552704</f>
        <v>-1030.6424826382611</v>
      </c>
      <c r="F1521">
        <f>-663.453137441483 -61.8441451138107 -400.403551045584</f>
        <v>-1125.7008336008776</v>
      </c>
      <c r="G1521">
        <f>-662.630867507946 -63.6699253218881 -489.477814452594</f>
        <v>-1215.7786072824281</v>
      </c>
      <c r="H1521">
        <f>-657.420100931177 -65.0205752867754 -613.943926994891</f>
        <v>-1336.3846032128433</v>
      </c>
      <c r="I1521">
        <f>-632.687893107822 -63.3132947262352 -693.256270006834</f>
        <v>-1389.2574578408912</v>
      </c>
      <c r="J1521">
        <f>-664.249238948052 -37.09527970258 -559.659022457891</f>
        <v>-1261.003541108523</v>
      </c>
      <c r="K1521" t="s">
        <v>16840</v>
      </c>
      <c r="L1521" t="s">
        <v>16841</v>
      </c>
      <c r="M1521" t="s">
        <v>16842</v>
      </c>
      <c r="N1521">
        <f>-655.176926687416 -91.757101927755 -558.686089761239</f>
        <v>-1305.6201183764101</v>
      </c>
      <c r="O1521">
        <f>-634.384936873407 -223.944774703317 -527.15830957992</f>
        <v>-1385.488021156644</v>
      </c>
      <c r="P1521">
        <f>-631.774594319668 -279.353113777302 -238.16990456899</f>
        <v>-1149.2976126659601</v>
      </c>
      <c r="Q1521">
        <f>-469.636442550709 -130.57758846019 -336.292077639607</f>
        <v>-936.50610865050589</v>
      </c>
      <c r="R1521" t="s">
        <v>16843</v>
      </c>
      <c r="S1521" t="s">
        <v>16844</v>
      </c>
      <c r="T1521" t="s">
        <v>16845</v>
      </c>
      <c r="U1521" t="s">
        <v>16846</v>
      </c>
      <c r="V1521">
        <f>-608.494475688327 -137.146101300853 -97.0695185627176</f>
        <v>-842.71009555189767</v>
      </c>
      <c r="W1521" t="s">
        <v>16847</v>
      </c>
      <c r="X1521" t="s">
        <v>16848</v>
      </c>
      <c r="Y1521" t="s">
        <v>16849</v>
      </c>
    </row>
    <row r="1522" spans="1:25" x14ac:dyDescent="0.3">
      <c r="A1522">
        <v>76050</v>
      </c>
      <c r="B1522" t="s">
        <v>16850</v>
      </c>
      <c r="C1522">
        <f>-633.342672296945 -44.5153814872853 -99.4814499614287</f>
        <v>-777.33950374565893</v>
      </c>
      <c r="D1522">
        <f>-653.408878658464 -54.1567984935863 -213.150357055866</f>
        <v>-920.71603420791632</v>
      </c>
      <c r="E1522">
        <f>-660.609639874713 -58.8361546083676 -311.399612564988</f>
        <v>-1030.8454070480686</v>
      </c>
      <c r="F1522">
        <f>-663.644491013339 -61.874626980785 -400.392821656393</f>
        <v>-1125.9119396505171</v>
      </c>
      <c r="G1522">
        <f>-662.834142773629 -63.7169725043492 -489.466874999744</f>
        <v>-1216.0179902777222</v>
      </c>
      <c r="H1522">
        <f>-657.649079454156 -65.1031305578501 -613.933788380028</f>
        <v>-1336.685998392034</v>
      </c>
      <c r="I1522">
        <f>-633.002082077713 -63.5289697314294 -693.275336717261</f>
        <v>-1389.8063885264032</v>
      </c>
      <c r="J1522">
        <f>-664.42001894631 -37.1546113271206 -559.653561463951</f>
        <v>-1261.2281917373816</v>
      </c>
      <c r="K1522" t="s">
        <v>16851</v>
      </c>
      <c r="L1522" t="s">
        <v>16852</v>
      </c>
      <c r="M1522" t="s">
        <v>16853</v>
      </c>
      <c r="N1522">
        <f>-655.441545661421 -91.8317755944282 -558.670621847445</f>
        <v>-1305.9439431032943</v>
      </c>
      <c r="O1522">
        <f>-634.956320828247 -224.039205613295 -527.094619328013</f>
        <v>-1386.090145769555</v>
      </c>
      <c r="P1522">
        <f>-632.469086599657 -279.718816695645 -238.157236106106</f>
        <v>-1150.345139401408</v>
      </c>
      <c r="Q1522">
        <f>-469.803933338986 -131.120198786775 -335.673069290107</f>
        <v>-936.59720141586786</v>
      </c>
      <c r="R1522" t="s">
        <v>16854</v>
      </c>
      <c r="S1522" t="s">
        <v>16855</v>
      </c>
      <c r="T1522" t="s">
        <v>16856</v>
      </c>
      <c r="U1522" t="s">
        <v>16857</v>
      </c>
      <c r="V1522">
        <f>-608.861115482599 -137.286245939146 -97.0669703091151</f>
        <v>-843.21433173086007</v>
      </c>
      <c r="W1522" t="s">
        <v>16858</v>
      </c>
      <c r="X1522" t="s">
        <v>16859</v>
      </c>
      <c r="Y1522" t="s">
        <v>16860</v>
      </c>
    </row>
    <row r="1523" spans="1:25" x14ac:dyDescent="0.3">
      <c r="A1523">
        <v>76100</v>
      </c>
      <c r="B1523" t="s">
        <v>16861</v>
      </c>
      <c r="C1523">
        <f>-633.669904752227 -44.5279623592594 -99.5154042746808</f>
        <v>-777.71327138616721</v>
      </c>
      <c r="D1523">
        <f>-653.650291421517 -54.1491731178548 -213.201121147378</f>
        <v>-921.00058568674979</v>
      </c>
      <c r="E1523">
        <f>-660.875161530645 -58.8651788007452 -311.446806817776</f>
        <v>-1031.1871471491661</v>
      </c>
      <c r="F1523">
        <f>-663.972353233959 -61.9563101257338 -400.436063329391</f>
        <v>-1126.3647266890839</v>
      </c>
      <c r="G1523">
        <f>-663.265449365472 -63.8701731586086 -489.509521234879</f>
        <v>-1216.6451437589596</v>
      </c>
      <c r="H1523">
        <f>-658.267934472561 -65.3747562458452 -613.982751561181</f>
        <v>-1337.6254422795873</v>
      </c>
      <c r="I1523">
        <f>-633.730562586765 -63.923603160183 -693.36047418947</f>
        <v>-1391.014639936418</v>
      </c>
      <c r="J1523">
        <f>-664.934920558675 -37.3709822244134 -559.718135687079</f>
        <v>-1262.0240384701674</v>
      </c>
      <c r="K1523" t="s">
        <v>16862</v>
      </c>
      <c r="L1523" t="s">
        <v>16863</v>
      </c>
      <c r="M1523" t="s">
        <v>16864</v>
      </c>
      <c r="N1523">
        <f>-655.999279832535 -92.0544241039103 -558.698357970623</f>
        <v>-1306.7520619070683</v>
      </c>
      <c r="O1523">
        <f>-635.6042118403 -224.266632244651 -527.048712155578</f>
        <v>-1386.9195562405289</v>
      </c>
      <c r="P1523">
        <f>-633.065137570738 -279.78989544192 -238.081646795248</f>
        <v>-1150.9366798079059</v>
      </c>
      <c r="Q1523">
        <f>-469.64925100973 -131.048194920497 -334.112892140559</f>
        <v>-934.81033807078597</v>
      </c>
      <c r="R1523" t="s">
        <v>16865</v>
      </c>
      <c r="S1523" t="s">
        <v>16866</v>
      </c>
      <c r="T1523" t="s">
        <v>16867</v>
      </c>
      <c r="U1523" t="s">
        <v>16868</v>
      </c>
      <c r="V1523">
        <f>-609.339941539759 -137.148945169405 -97.0736895549247</f>
        <v>-843.56257626408876</v>
      </c>
      <c r="W1523" t="s">
        <v>16869</v>
      </c>
      <c r="X1523" t="s">
        <v>16870</v>
      </c>
      <c r="Y1523" t="s">
        <v>16871</v>
      </c>
    </row>
    <row r="1524" spans="1:25" x14ac:dyDescent="0.3">
      <c r="A1524">
        <v>76150</v>
      </c>
      <c r="B1524" t="s">
        <v>16872</v>
      </c>
      <c r="C1524">
        <f>-633.82071779645 -44.4483055164475 -99.5533763240484</f>
        <v>-777.82239963694587</v>
      </c>
      <c r="D1524">
        <f>-653.734141359868 -54.0626456473109 -213.251375273599</f>
        <v>-921.04816228077789</v>
      </c>
      <c r="E1524">
        <f>-660.973281021295 -58.8030036158258 -311.494990388148</f>
        <v>-1031.2712750252688</v>
      </c>
      <c r="F1524">
        <f>-664.112921990321 -61.9270428371495 -400.481471538153</f>
        <v>-1126.5214363656235</v>
      </c>
      <c r="G1524">
        <f>-663.478489145147 -63.8834535425399 -489.554657335098</f>
        <v>-1216.9166000227849</v>
      </c>
      <c r="H1524">
        <f>-658.614164218508 -65.4568657903027 -614.032305344009</f>
        <v>-1338.1033353528196</v>
      </c>
      <c r="I1524">
        <f>-634.122101121638 -64.0234251218067 -693.424384646976</f>
        <v>-1391.5699108904207</v>
      </c>
      <c r="J1524">
        <f>-665.241291488723 -37.426093161062 -559.776705657427</f>
        <v>-1262.444090307212</v>
      </c>
      <c r="K1524" t="s">
        <v>16873</v>
      </c>
      <c r="L1524" t="s">
        <v>16874</v>
      </c>
      <c r="M1524" t="s">
        <v>16875</v>
      </c>
      <c r="N1524">
        <f>-656.268052892922 -92.1029068490554 -558.734944730025</f>
        <v>-1307.1059044720023</v>
      </c>
      <c r="O1524">
        <f>-635.727404546622 -224.285460248292 -527.041259878349</f>
        <v>-1387.054124673263</v>
      </c>
      <c r="P1524">
        <f>-633.066984600336 -279.691251773929 -238.052834169572</f>
        <v>-1150.8110705438371</v>
      </c>
      <c r="Q1524">
        <f>-469.582080492717 -130.493650142487 -333.255914707415</f>
        <v>-933.33164534261914</v>
      </c>
      <c r="R1524" t="s">
        <v>16876</v>
      </c>
      <c r="S1524" t="s">
        <v>16877</v>
      </c>
      <c r="T1524" t="s">
        <v>16878</v>
      </c>
      <c r="U1524" t="s">
        <v>16879</v>
      </c>
      <c r="V1524">
        <f>-609.525937788912 -137.076588820372 -97.0880170237836</f>
        <v>-843.69054363306759</v>
      </c>
      <c r="W1524" t="s">
        <v>16880</v>
      </c>
      <c r="X1524" t="s">
        <v>16881</v>
      </c>
      <c r="Y1524" t="s">
        <v>16882</v>
      </c>
    </row>
    <row r="1525" spans="1:25" x14ac:dyDescent="0.3">
      <c r="A1525">
        <v>76200</v>
      </c>
      <c r="B1525" t="s">
        <v>16883</v>
      </c>
      <c r="C1525">
        <f>-634.096385035931 -44.3709845538468 -99.5971307610455</f>
        <v>-778.06450035082332</v>
      </c>
      <c r="D1525">
        <f>-653.892897354753 -53.9723513397587 -213.316698040172</f>
        <v>-921.18194673468372</v>
      </c>
      <c r="E1525">
        <f>-661.125214353885 -58.7508411718554 -311.558765404395</f>
        <v>-1031.4348209301354</v>
      </c>
      <c r="F1525">
        <f>-664.297664075158 -61.9271420837462 -400.542457768561</f>
        <v>-1126.7672639274651</v>
      </c>
      <c r="G1525">
        <f>-663.735446422622 -63.9520970840977 -489.614501399073</f>
        <v>-1217.3020449057926</v>
      </c>
      <c r="H1525">
        <f>-659.013919664514 -65.6368917861964 -614.096047804476</f>
        <v>-1338.7468592551863</v>
      </c>
      <c r="I1525">
        <f>-634.562532954898 -64.2604366776083 -693.501809086786</f>
        <v>-1392.3247787192922</v>
      </c>
      <c r="J1525">
        <f>-665.610794967735 -37.5628195157983 -559.859178874051</f>
        <v>-1263.0327933575845</v>
      </c>
      <c r="K1525" t="s">
        <v>16884</v>
      </c>
      <c r="L1525" t="s">
        <v>16885</v>
      </c>
      <c r="M1525" t="s">
        <v>16886</v>
      </c>
      <c r="N1525">
        <f>-656.572460415476 -92.2281603979393 -558.776598325856</f>
        <v>-1307.5772191392712</v>
      </c>
      <c r="O1525">
        <f>-635.828380556747 -224.369589319157 -527.052294387509</f>
        <v>-1387.2502642634131</v>
      </c>
      <c r="P1525">
        <f>-632.374402360679 -280.020315937033 -238.119340165239</f>
        <v>-1150.514058462951</v>
      </c>
      <c r="Q1525">
        <f>-468.835638542281 -129.594210074939 -331.274769869337</f>
        <v>-929.70461848655702</v>
      </c>
      <c r="R1525" t="s">
        <v>16887</v>
      </c>
      <c r="S1525" t="s">
        <v>16888</v>
      </c>
      <c r="T1525" t="s">
        <v>16889</v>
      </c>
      <c r="U1525" t="s">
        <v>16890</v>
      </c>
      <c r="V1525">
        <f>-609.872565617184 -136.964057131108 -97.1051043558322</f>
        <v>-843.9417271041242</v>
      </c>
      <c r="W1525" t="s">
        <v>16891</v>
      </c>
      <c r="X1525" t="s">
        <v>16892</v>
      </c>
      <c r="Y1525" t="s">
        <v>16893</v>
      </c>
    </row>
    <row r="1526" spans="1:25" x14ac:dyDescent="0.3">
      <c r="A1526">
        <v>76250</v>
      </c>
      <c r="B1526" t="s">
        <v>16894</v>
      </c>
      <c r="C1526">
        <f>-634.240520517716 -44.3504321334939 -99.6152606448621</f>
        <v>-778.20621329607206</v>
      </c>
      <c r="D1526">
        <f>-653.989054762411 -53.9401042588366 -213.344181849449</f>
        <v>-921.27334087069664</v>
      </c>
      <c r="E1526">
        <f>-661.196079061637 -58.7249675830301 -311.587832680423</f>
        <v>-1031.50887932509</v>
      </c>
      <c r="F1526">
        <f>-664.352452748139 -61.9131712337747 -400.571551846659</f>
        <v>-1126.8371758285728</v>
      </c>
      <c r="G1526">
        <f>-663.781397236119 -63.9556213004551 -489.643110657236</f>
        <v>-1217.38012919381</v>
      </c>
      <c r="H1526">
        <f>-659.054879102421 -65.6704779220877 -614.124097595873</f>
        <v>-1338.8494546203815</v>
      </c>
      <c r="I1526">
        <f>-634.598576663102 -64.3285931779333 -693.528942344754</f>
        <v>-1392.4561121857892</v>
      </c>
      <c r="J1526">
        <f>-665.663763706876 -37.5849520178999 -559.89478605218</f>
        <v>-1263.1435017769559</v>
      </c>
      <c r="K1526" t="s">
        <v>16895</v>
      </c>
      <c r="L1526" t="s">
        <v>16896</v>
      </c>
      <c r="M1526" t="s">
        <v>16897</v>
      </c>
      <c r="N1526">
        <f>-656.605807835233 -92.2468176140464 -558.797825497226</f>
        <v>-1307.6504509465053</v>
      </c>
      <c r="O1526">
        <f>-635.806542875758 -224.372940695638 -527.040635338678</f>
        <v>-1387.2201189100742</v>
      </c>
      <c r="P1526">
        <f>-631.973165028291 -280.362313077629 -238.177915929286</f>
        <v>-1150.5133940352059</v>
      </c>
      <c r="Q1526">
        <f>-468.495353020192 -129.242326981863 -330.311570021461</f>
        <v>-928.04925002351592</v>
      </c>
      <c r="R1526" t="s">
        <v>16898</v>
      </c>
      <c r="S1526" t="s">
        <v>16899</v>
      </c>
      <c r="T1526" t="s">
        <v>16900</v>
      </c>
      <c r="U1526" t="s">
        <v>16901</v>
      </c>
      <c r="V1526">
        <f>-610.001457476766 -136.94916315496 -97.1208185878369</f>
        <v>-844.07143921956288</v>
      </c>
      <c r="W1526" t="s">
        <v>16902</v>
      </c>
      <c r="X1526" t="s">
        <v>16903</v>
      </c>
      <c r="Y1526" t="s">
        <v>16904</v>
      </c>
    </row>
    <row r="1527" spans="1:25" x14ac:dyDescent="0.3">
      <c r="A1527">
        <v>76300</v>
      </c>
      <c r="B1527" t="s">
        <v>16905</v>
      </c>
      <c r="C1527">
        <f>-634.371390297765 -44.2726091214906 -99.6530906159376</f>
        <v>-778.29709003519315</v>
      </c>
      <c r="D1527">
        <f>-654.037702154042 -53.8103605774347 -213.400630840109</f>
        <v>-921.2486935715857</v>
      </c>
      <c r="E1527">
        <f>-661.178862787583 -58.6089524858531 -311.648447226687</f>
        <v>-1031.4362625001231</v>
      </c>
      <c r="F1527">
        <f>-664.278583289815 -61.831878370292 -400.632931805815</f>
        <v>-1126.7433934659221</v>
      </c>
      <c r="G1527">
        <f>-663.654515732424 -63.9310257180653 -489.70275962207</f>
        <v>-1217.2883010725593</v>
      </c>
      <c r="H1527">
        <f>-658.858258526344 -65.7477183696483 -614.179787577473</f>
        <v>-1338.7857644734654</v>
      </c>
      <c r="I1527">
        <f>-634.331580671762 -64.4702555875751 -693.563892670443</f>
        <v>-1392.3657289297803</v>
      </c>
      <c r="J1527">
        <f>-665.498101721925 -37.6179465986343 -559.9769877146</f>
        <v>-1263.0930360351592</v>
      </c>
      <c r="K1527" t="s">
        <v>16906</v>
      </c>
      <c r="L1527" t="s">
        <v>16907</v>
      </c>
      <c r="M1527" t="s">
        <v>16908</v>
      </c>
      <c r="N1527">
        <f>-656.439565889433 -92.2785748499184 -558.830227718386</f>
        <v>-1307.5483684577375</v>
      </c>
      <c r="O1527">
        <f>-635.604322349814 -224.380403855658 -527.005244552046</f>
        <v>-1386.9899707575178</v>
      </c>
      <c r="P1527">
        <f>-631.563231523586 -280.556050303543 -238.181523592282</f>
        <v>-1150.3008054194108</v>
      </c>
      <c r="Q1527">
        <f>-467.826348515297 -128.448736304394 -328.206253042152</f>
        <v>-924.48133786184303</v>
      </c>
      <c r="R1527" t="s">
        <v>16909</v>
      </c>
      <c r="S1527" t="s">
        <v>16910</v>
      </c>
      <c r="T1527" t="s">
        <v>16911</v>
      </c>
      <c r="U1527" t="s">
        <v>16912</v>
      </c>
      <c r="V1527">
        <f>-610.184097397624 -136.768901794622 -97.1520094584664</f>
        <v>-844.10500865071242</v>
      </c>
      <c r="W1527" t="s">
        <v>16913</v>
      </c>
      <c r="X1527" t="s">
        <v>16914</v>
      </c>
      <c r="Y1527" t="s">
        <v>16915</v>
      </c>
    </row>
    <row r="1528" spans="1:25" x14ac:dyDescent="0.3">
      <c r="A1528">
        <v>76350</v>
      </c>
      <c r="B1528" t="s">
        <v>16916</v>
      </c>
      <c r="C1528">
        <f>-634.405024849265 -44.2021630553053 -99.6497863787617</f>
        <v>-778.25697428333206</v>
      </c>
      <c r="D1528">
        <f>-654.026956338616 -53.7294739094044 -213.405791114289</f>
        <v>-921.16222136230931</v>
      </c>
      <c r="E1528">
        <f>-661.155800110825 -58.541308036986 -311.653836791903</f>
        <v>-1031.3509449397141</v>
      </c>
      <c r="F1528">
        <f>-664.255341964426 -61.7845534724904 -400.637587206051</f>
        <v>-1126.6774826429673</v>
      </c>
      <c r="G1528">
        <f>-663.642018600929 -63.9123725693288 -489.706950558651</f>
        <v>-1217.2613417289087</v>
      </c>
      <c r="H1528">
        <f>-658.87248554771 -65.7772410108856 -614.184190070552</f>
        <v>-1338.8339166291476</v>
      </c>
      <c r="I1528">
        <f>-634.295075114379 -64.5401631319648 -693.55332063149</f>
        <v>-1392.3885588778339</v>
      </c>
      <c r="J1528">
        <f>-665.491254866428 -37.6248888029761 -559.99061959482</f>
        <v>-1263.1067632642241</v>
      </c>
      <c r="K1528" t="s">
        <v>16917</v>
      </c>
      <c r="L1528" t="s">
        <v>16918</v>
      </c>
      <c r="M1528" t="s">
        <v>16919</v>
      </c>
      <c r="N1528">
        <f>-656.45137496639 -92.2883069101593 -558.825301158324</f>
        <v>-1307.5649830348734</v>
      </c>
      <c r="O1528">
        <f>-635.629180287625 -224.379906292754 -526.957592716797</f>
        <v>-1386.9666792971759</v>
      </c>
      <c r="P1528">
        <f>-631.650145127387 -280.479746970486 -238.118159138332</f>
        <v>-1150.2480512362049</v>
      </c>
      <c r="Q1528">
        <f>-467.547189291364 -128.124091578281 -327.049894095568</f>
        <v>-922.72117496521298</v>
      </c>
      <c r="R1528" t="s">
        <v>16920</v>
      </c>
      <c r="S1528" t="s">
        <v>16921</v>
      </c>
      <c r="T1528" t="s">
        <v>16922</v>
      </c>
      <c r="U1528" t="s">
        <v>16923</v>
      </c>
      <c r="V1528">
        <f>-610.304311365321 -136.637782097538 -97.1483218200713</f>
        <v>-844.09041528293028</v>
      </c>
      <c r="W1528" t="s">
        <v>16924</v>
      </c>
      <c r="X1528" t="s">
        <v>16925</v>
      </c>
      <c r="Y1528" t="s">
        <v>16926</v>
      </c>
    </row>
    <row r="1529" spans="1:25" x14ac:dyDescent="0.3">
      <c r="A1529">
        <v>76400</v>
      </c>
      <c r="B1529" t="s">
        <v>16927</v>
      </c>
      <c r="C1529">
        <f>-634.501597331242 -44.0978102354372 -99.6220184338953</f>
        <v>-778.22142600057452</v>
      </c>
      <c r="D1529">
        <f>-654.011772369998 -53.5685102101653 -213.401942840149</f>
        <v>-920.98222542031226</v>
      </c>
      <c r="E1529">
        <f>-661.10584070518 -58.394900497512 -311.651825759042</f>
        <v>-1031.152566961734</v>
      </c>
      <c r="F1529">
        <f>-664.199833791219 -61.674983607334 -400.634504228476</f>
        <v>-1126.5093216270288</v>
      </c>
      <c r="G1529">
        <f>-663.607243529864 -63.8630780191977 -489.702404748562</f>
        <v>-1217.1727262976237</v>
      </c>
      <c r="H1529">
        <f>-658.894758465825 -65.8362655535914 -614.180260343984</f>
        <v>-1338.9112843634002</v>
      </c>
      <c r="I1529">
        <f>-634.219813354975 -64.6980457828536 -693.520451279837</f>
        <v>-1392.4383104176654</v>
      </c>
      <c r="J1529">
        <f>-665.457928790078 -37.6316611505717 -560.007013588633</f>
        <v>-1263.0966035292827</v>
      </c>
      <c r="K1529" t="s">
        <v>16928</v>
      </c>
      <c r="L1529" t="s">
        <v>16929</v>
      </c>
      <c r="M1529" t="s">
        <v>16930</v>
      </c>
      <c r="N1529">
        <f>-656.47898925135 -92.3042072919384 -558.800489300809</f>
        <v>-1307.5836858440973</v>
      </c>
      <c r="O1529">
        <f>-635.722840686794 -224.384465722163 -526.831538800909</f>
        <v>-1386.938845209866</v>
      </c>
      <c r="P1529">
        <f>-631.912717832959 -280.319886818939 -237.958083207704</f>
        <v>-1150.1906878596019</v>
      </c>
      <c r="Q1529">
        <f>-466.815289347078 -127.754985767368 -324.662359886879</f>
        <v>-919.23263500132509</v>
      </c>
      <c r="R1529" t="s">
        <v>16931</v>
      </c>
      <c r="S1529" t="s">
        <v>16932</v>
      </c>
      <c r="T1529" t="s">
        <v>16933</v>
      </c>
      <c r="U1529" t="s">
        <v>16934</v>
      </c>
      <c r="V1529">
        <f>-610.516786202979 -136.575814487087 -97.1363622211948</f>
        <v>-844.22896291126074</v>
      </c>
      <c r="W1529" t="s">
        <v>16935</v>
      </c>
      <c r="X1529" t="s">
        <v>16936</v>
      </c>
      <c r="Y1529" t="s">
        <v>16937</v>
      </c>
    </row>
    <row r="1530" spans="1:25" x14ac:dyDescent="0.3">
      <c r="A1530">
        <v>76450</v>
      </c>
      <c r="B1530" t="s">
        <v>16938</v>
      </c>
      <c r="C1530">
        <f>-634.603112394627 -44.1398725874668 -99.6264247262146</f>
        <v>-778.36940970830847</v>
      </c>
      <c r="D1530">
        <f>-654.062465506388 -53.5482410593595 -213.42033747757</f>
        <v>-921.03104404331748</v>
      </c>
      <c r="E1530">
        <f>-661.124741045548 -58.3685111764472 -311.672824715196</f>
        <v>-1031.1660769371913</v>
      </c>
      <c r="F1530">
        <f>-664.195769939015 -61.660814484954 -400.655762926118</f>
        <v>-1126.5123473500871</v>
      </c>
      <c r="G1530">
        <f>-663.586323225656 -63.8787567294833 -489.722790714007</f>
        <v>-1217.1878706691462</v>
      </c>
      <c r="H1530">
        <f>-658.857115545899 -65.9118760864726 -614.199034484067</f>
        <v>-1338.9680261164385</v>
      </c>
      <c r="I1530">
        <f>-634.117258766741 -64.7910384131721 -693.519321012902</f>
        <v>-1392.4276181928151</v>
      </c>
      <c r="J1530">
        <f>-665.40858755453 -37.6780977493795 -560.03961553752</f>
        <v>-1263.1263008414294</v>
      </c>
      <c r="K1530" t="s">
        <v>16939</v>
      </c>
      <c r="L1530" t="s">
        <v>16940</v>
      </c>
      <c r="M1530" t="s">
        <v>16941</v>
      </c>
      <c r="N1530">
        <f>-656.467762659572 -92.3562972378769 -558.806818643593</f>
        <v>-1307.630878541042</v>
      </c>
      <c r="O1530">
        <f>-635.779525101067 -224.428110376646 -526.773144579583</f>
        <v>-1386.980780057296</v>
      </c>
      <c r="P1530">
        <f>-632.15894760855 -280.233941198633 -237.872159697798</f>
        <v>-1150.265048504981</v>
      </c>
      <c r="Q1530">
        <f>-466.632564745134 -127.659308331634 -323.737494199398</f>
        <v>-918.02936727616589</v>
      </c>
      <c r="R1530" t="s">
        <v>16942</v>
      </c>
      <c r="S1530" t="s">
        <v>16943</v>
      </c>
      <c r="T1530" t="s">
        <v>16944</v>
      </c>
      <c r="U1530" t="s">
        <v>16945</v>
      </c>
      <c r="V1530">
        <f>-610.716642478932 -136.685818838103 -97.1447761099088</f>
        <v>-844.54723742694375</v>
      </c>
      <c r="W1530" t="s">
        <v>16946</v>
      </c>
      <c r="X1530" t="s">
        <v>16947</v>
      </c>
      <c r="Y1530" t="s">
        <v>16948</v>
      </c>
    </row>
    <row r="1531" spans="1:25" x14ac:dyDescent="0.3">
      <c r="A1531">
        <v>76500</v>
      </c>
      <c r="B1531" t="s">
        <v>16949</v>
      </c>
      <c r="C1531">
        <f>-634.792692877026 -44.1011979749452 -99.6033947221847</f>
        <v>-778.49728557415585</v>
      </c>
      <c r="D1531">
        <f>-654.129977298466 -53.4686654013966 -213.421509420669</f>
        <v>-921.02015212053152</v>
      </c>
      <c r="E1531">
        <f>-661.079261849856 -58.3084993541067 -311.681010500767</f>
        <v>-1031.0687717047299</v>
      </c>
      <c r="F1531">
        <f>-664.04569569035 -61.6398715904078 -400.666038857626</f>
        <v>-1126.3516061383839</v>
      </c>
      <c r="G1531">
        <f>-663.329557329496 -63.9190428323942 -489.730901459528</f>
        <v>-1216.9795016214182</v>
      </c>
      <c r="H1531">
        <f>-658.449500436527 -66.061154939947 -614.199370123013</f>
        <v>-1338.7100254994871</v>
      </c>
      <c r="I1531">
        <f>-633.582043414541 -64.9573339710904 -693.479959050494</f>
        <v>-1392.0193364361253</v>
      </c>
      <c r="J1531">
        <f>-665.017449760132 -37.771909814275 -560.070908231214</f>
        <v>-1262.8602678056209</v>
      </c>
      <c r="K1531" t="s">
        <v>16950</v>
      </c>
      <c r="L1531" t="s">
        <v>16951</v>
      </c>
      <c r="M1531" t="s">
        <v>16952</v>
      </c>
      <c r="N1531">
        <f>-656.17653492537 -92.4650610524443 -558.782939140096</f>
        <v>-1307.4245351179102</v>
      </c>
      <c r="O1531">
        <f>-635.705111958174 -224.527129409398 -526.560732269602</f>
        <v>-1386.7929736371739</v>
      </c>
      <c r="P1531">
        <f>-632.878015417957 -279.816983478316 -237.551637465336</f>
        <v>-1150.246636361609</v>
      </c>
      <c r="Q1531">
        <f>-466.460129111229 -127.121287709398 -321.456349119366</f>
        <v>-915.03776593999294</v>
      </c>
      <c r="R1531" t="s">
        <v>16953</v>
      </c>
      <c r="S1531" t="s">
        <v>16954</v>
      </c>
      <c r="T1531" t="s">
        <v>16955</v>
      </c>
      <c r="U1531" t="s">
        <v>16956</v>
      </c>
      <c r="V1531">
        <f>-611.036752568155 -136.473983026043 -97.1221454117896</f>
        <v>-844.63288100598754</v>
      </c>
      <c r="W1531" t="s">
        <v>16957</v>
      </c>
      <c r="X1531" t="s">
        <v>16958</v>
      </c>
      <c r="Y1531" t="s">
        <v>16959</v>
      </c>
    </row>
    <row r="1532" spans="1:25" x14ac:dyDescent="0.3">
      <c r="A1532">
        <v>76550</v>
      </c>
      <c r="B1532" t="s">
        <v>16960</v>
      </c>
      <c r="C1532">
        <f>-634.814548079609 -44.0690943299822 -99.5910744709929</f>
        <v>-778.4747168805842</v>
      </c>
      <c r="D1532">
        <f>-654.070793237465 -53.3948385063112 -213.426235004068</f>
        <v>-920.89186674784412</v>
      </c>
      <c r="E1532">
        <f>-660.938332357782 -58.2396940905516 -311.691280049756</f>
        <v>-1030.8693064980896</v>
      </c>
      <c r="F1532">
        <f>-663.826609612569 -61.5911952712693 -400.678181456069</f>
        <v>-1126.0959863399073</v>
      </c>
      <c r="G1532">
        <f>-663.028532292592 -63.9064148144096 -489.741361755005</f>
        <v>-1216.6763088620066</v>
      </c>
      <c r="H1532">
        <f>-658.030347390832 -66.1154956287993 -614.204014931262</f>
        <v>-1338.3498579508932</v>
      </c>
      <c r="I1532">
        <f>-633.09037524791 -65.0167338565177 -693.461967073127</f>
        <v>-1391.5690761775545</v>
      </c>
      <c r="J1532">
        <f>-664.632660670453 -37.7943782872735 -560.096389870426</f>
        <v>-1262.5234288281526</v>
      </c>
      <c r="K1532" t="s">
        <v>16961</v>
      </c>
      <c r="L1532" t="s">
        <v>16962</v>
      </c>
      <c r="M1532" t="s">
        <v>16963</v>
      </c>
      <c r="N1532">
        <f>-655.826990652245 -92.4923715056362 -558.772005041989</f>
        <v>-1307.0913671998701</v>
      </c>
      <c r="O1532">
        <f>-635.44830984096 -224.552200135599 -526.461207577195</f>
        <v>-1386.4617175537539</v>
      </c>
      <c r="P1532">
        <f>-633.218621221374 -279.568426447233 -237.394787767308</f>
        <v>-1150.1818354359148</v>
      </c>
      <c r="Q1532">
        <f>-466.568210168781 -126.734222176082 -320.582683822254</f>
        <v>-913.88511616711696</v>
      </c>
      <c r="R1532" t="s">
        <v>16964</v>
      </c>
      <c r="S1532" t="s">
        <v>16965</v>
      </c>
      <c r="T1532" t="s">
        <v>16966</v>
      </c>
      <c r="U1532" t="s">
        <v>16967</v>
      </c>
      <c r="V1532">
        <f>-611.177922713957 -136.409348394561 -97.1164079182804</f>
        <v>-844.70367902679834</v>
      </c>
      <c r="W1532" t="s">
        <v>16968</v>
      </c>
      <c r="X1532" t="s">
        <v>16969</v>
      </c>
      <c r="Y1532" t="s">
        <v>16970</v>
      </c>
    </row>
    <row r="1533" spans="1:25" x14ac:dyDescent="0.3">
      <c r="A1533">
        <v>76600</v>
      </c>
      <c r="B1533" t="s">
        <v>16971</v>
      </c>
      <c r="C1533">
        <f>-634.939551302636 -43.79144396471 -99.5700258241355</f>
        <v>-778.30102109148152</v>
      </c>
      <c r="D1533">
        <f>-654.017121181634 -53.0654458391425 -213.439572713225</f>
        <v>-920.52213973400148</v>
      </c>
      <c r="E1533">
        <f>-660.716812633694 -57.926218120382 -311.715348000743</f>
        <v>-1030.3583787548191</v>
      </c>
      <c r="F1533">
        <f>-663.448777997408 -61.3152248026194 -400.705818290755</f>
        <v>-1125.4698210907823</v>
      </c>
      <c r="G1533">
        <f>-662.490147327827 -63.6910639320423 -489.765797994379</f>
        <v>-1215.9470092542483</v>
      </c>
      <c r="H1533">
        <f>-657.264135407802 -66.0086492418033 -614.217024358553</f>
        <v>-1337.4898090081583</v>
      </c>
      <c r="I1533">
        <f>-632.144191433845 -64.902961067441 -693.418022229694</f>
        <v>-1390.4651747309799</v>
      </c>
      <c r="J1533">
        <f>-663.949866740198 -37.6379732444429 -560.145692640724</f>
        <v>-1261.7335326253649</v>
      </c>
      <c r="K1533" t="s">
        <v>16972</v>
      </c>
      <c r="L1533" t="s">
        <v>16973</v>
      </c>
      <c r="M1533" t="s">
        <v>16974</v>
      </c>
      <c r="N1533">
        <f>-655.177846478333 -92.3397543726697 -558.758704593337</f>
        <v>-1306.2763054443399</v>
      </c>
      <c r="O1533">
        <f>-634.932752551334 -224.376872502794 -526.294121765302</f>
        <v>-1385.6037468194299</v>
      </c>
      <c r="P1533">
        <f>-633.63452628357 -279.22984291358 -237.190953650543</f>
        <v>-1150.0553228476931</v>
      </c>
      <c r="Q1533">
        <f>-466.591962186454 -126.229002785983 -319.278662849868</f>
        <v>-912.09962782230491</v>
      </c>
      <c r="R1533" t="s">
        <v>16975</v>
      </c>
      <c r="S1533" t="s">
        <v>16976</v>
      </c>
      <c r="T1533" t="s">
        <v>16977</v>
      </c>
      <c r="U1533" t="s">
        <v>16978</v>
      </c>
      <c r="V1533">
        <f>-611.412973406846 -136.107713468649 -97.0851962205501</f>
        <v>-844.60588309604509</v>
      </c>
      <c r="W1533" t="s">
        <v>16979</v>
      </c>
      <c r="X1533" t="s">
        <v>16980</v>
      </c>
      <c r="Y1533" t="s">
        <v>16981</v>
      </c>
    </row>
    <row r="1534" spans="1:25" x14ac:dyDescent="0.3">
      <c r="A1534">
        <v>76650</v>
      </c>
      <c r="B1534" t="s">
        <v>16982</v>
      </c>
      <c r="C1534">
        <f>-634.985273903638 -43.5750825628967 -99.5622860840723</f>
        <v>-778.122642550607</v>
      </c>
      <c r="D1534">
        <f>-653.959500315385 -52.8178583890551 -213.451540082346</f>
        <v>-920.22889878678609</v>
      </c>
      <c r="E1534">
        <f>-660.551145846008 -57.6852822420203 -311.734471636316</f>
        <v>-1029.9708997243442</v>
      </c>
      <c r="F1534">
        <f>-663.178202371948 -61.0937069692966 -400.727278395786</f>
        <v>-1124.9991877370308</v>
      </c>
      <c r="G1534">
        <f>-662.107984397861 -63.5021051857037 -489.785108607495</f>
        <v>-1215.3951981910595</v>
      </c>
      <c r="H1534">
        <f>-656.719153484728 -65.8790723391509 -614.22835651323</f>
        <v>-1336.8265823371089</v>
      </c>
      <c r="I1534">
        <f>-631.485814192343 -64.7549842858939 -693.39295737252</f>
        <v>-1389.6337558507569</v>
      </c>
      <c r="J1534">
        <f>-663.474350979988 -37.482317624211 -560.179303802799</f>
        <v>-1261.135972406998</v>
      </c>
      <c r="K1534" t="s">
        <v>16983</v>
      </c>
      <c r="L1534" t="s">
        <v>16984</v>
      </c>
      <c r="M1534" t="s">
        <v>16985</v>
      </c>
      <c r="N1534">
        <f>-654.706709025838 -92.183867142546 -558.754658804797</f>
        <v>-1305.645234973181</v>
      </c>
      <c r="O1534">
        <f>-634.519246231737 -224.206727767794 -526.205082708847</f>
        <v>-1384.931056708378</v>
      </c>
      <c r="P1534">
        <f>-633.553826264927 -279.01102946973 -237.091229265038</f>
        <v>-1149.6560849996949</v>
      </c>
      <c r="Q1534">
        <f>-466.326429291551 -126.002860030414 -318.78799841681</f>
        <v>-911.11728773877508</v>
      </c>
      <c r="R1534" t="s">
        <v>16986</v>
      </c>
      <c r="S1534" t="s">
        <v>16987</v>
      </c>
      <c r="T1534" t="s">
        <v>16988</v>
      </c>
      <c r="U1534" t="s">
        <v>16989</v>
      </c>
      <c r="V1534">
        <f>-611.476846656439 -135.896728448773 -97.0764466401546</f>
        <v>-844.4500217453666</v>
      </c>
      <c r="W1534" t="s">
        <v>16990</v>
      </c>
      <c r="X1534" t="s">
        <v>16991</v>
      </c>
      <c r="Y1534" t="s">
        <v>16992</v>
      </c>
    </row>
    <row r="1535" spans="1:25" x14ac:dyDescent="0.3">
      <c r="A1535">
        <v>76700</v>
      </c>
      <c r="B1535" t="s">
        <v>16993</v>
      </c>
      <c r="C1535">
        <f>-634.880253610547 -43.1394197771948 -99.5513608343213</f>
        <v>-777.57103422206308</v>
      </c>
      <c r="D1535">
        <f>-653.674284064412 -52.3349852370352 -213.47439387514</f>
        <v>-919.48366317658713</v>
      </c>
      <c r="E1535">
        <f>-660.034693909261 -57.2364274243387 -311.770683972631</f>
        <v>-1029.0418053062308</v>
      </c>
      <c r="F1535">
        <f>-662.423217735356 -60.7057728023304 -400.767894825344</f>
        <v>-1123.8968853630304</v>
      </c>
      <c r="G1535">
        <f>-661.085563252641 -63.205774896821 -489.819515932592</f>
        <v>-1214.1108540820542</v>
      </c>
      <c r="H1535">
        <f>-655.293536063249 -65.7430004851162 -614.241539695976</f>
        <v>-1335.2780762443413</v>
      </c>
      <c r="I1535">
        <f>-629.798635743028 -64.5981720960949 -693.322073514564</f>
        <v>-1387.7188813536868</v>
      </c>
      <c r="J1535">
        <f>-662.226124855878 -37.2769380294378 -560.251392470194</f>
        <v>-1259.7544553555099</v>
      </c>
      <c r="K1535" t="s">
        <v>16994</v>
      </c>
      <c r="L1535" t="s">
        <v>16995</v>
      </c>
      <c r="M1535" t="s">
        <v>16996</v>
      </c>
      <c r="N1535">
        <f>-653.458567158941 -91.9759459211289 -558.727839836007</f>
        <v>-1304.162352916077</v>
      </c>
      <c r="O1535">
        <f>-633.338489797554 -223.955525401175 -525.958505802043</f>
        <v>-1383.252521000772</v>
      </c>
      <c r="P1535">
        <f>-633.042116857392 -278.433120232088 -236.781599180059</f>
        <v>-1148.256836269539</v>
      </c>
      <c r="Q1535">
        <f>-465.412645631198 -125.714952570746 -318.196501959942</f>
        <v>-909.32410016188601</v>
      </c>
      <c r="R1535" t="s">
        <v>16997</v>
      </c>
      <c r="S1535" t="s">
        <v>16998</v>
      </c>
      <c r="T1535" t="s">
        <v>16999</v>
      </c>
      <c r="U1535" t="s">
        <v>17000</v>
      </c>
      <c r="V1535">
        <f>-611.406531484742 -135.409222656438 -97.0597096139966</f>
        <v>-843.87546375517661</v>
      </c>
      <c r="W1535" t="s">
        <v>17001</v>
      </c>
      <c r="X1535" t="s">
        <v>17002</v>
      </c>
      <c r="Y1535" t="s">
        <v>17003</v>
      </c>
    </row>
    <row r="1536" spans="1:25" x14ac:dyDescent="0.3">
      <c r="A1536">
        <v>76750</v>
      </c>
      <c r="B1536" t="s">
        <v>17004</v>
      </c>
      <c r="C1536">
        <f>-634.776042828533 -42.9449910059677 -99.5567552144596</f>
        <v>-777.27778904896036</v>
      </c>
      <c r="D1536">
        <f>-653.475216200581 -52.1123625984703 -213.497658632978</f>
        <v>-919.08523743202932</v>
      </c>
      <c r="E1536">
        <f>-659.717369992783 -57.0402880617063 -311.800244541597</f>
        <v>-1028.5579025960863</v>
      </c>
      <c r="F1536">
        <f>-661.984640023295 -60.5540620386337 -400.798774985028</f>
        <v>-1123.3374770469568</v>
      </c>
      <c r="G1536">
        <f>-660.512157478925 -63.1194394135968 -489.846547038105</f>
        <v>-1213.4781439306266</v>
      </c>
      <c r="H1536">
        <f>-654.517794558499 -65.7702379548158 -614.256618253026</f>
        <v>-1334.5446507663407</v>
      </c>
      <c r="I1536">
        <f>-628.87519127877 -64.6313018662188 -693.289387074518</f>
        <v>-1386.7958802195067</v>
      </c>
      <c r="J1536">
        <f>-661.536338252472 -37.2547138920843 -560.303650806569</f>
        <v>-1259.0947029511253</v>
      </c>
      <c r="K1536" t="s">
        <v>17005</v>
      </c>
      <c r="L1536" t="s">
        <v>17006</v>
      </c>
      <c r="M1536" t="s">
        <v>17007</v>
      </c>
      <c r="N1536">
        <f>-652.774860820071 -91.9527959166421 -558.716007569195</f>
        <v>-1303.443664305908</v>
      </c>
      <c r="O1536">
        <f>-632.702434036812 -223.90441898521 -525.812024795704</f>
        <v>-1382.4188778177258</v>
      </c>
      <c r="P1536">
        <f>-632.7045623072 -278.116395705465 -236.584865466386</f>
        <v>-1147.4058234790509</v>
      </c>
      <c r="Q1536">
        <f>-464.908187569861 -125.573656927244 -317.984823206096</f>
        <v>-908.46666770320098</v>
      </c>
      <c r="R1536" t="s">
        <v>17008</v>
      </c>
      <c r="S1536" t="s">
        <v>17009</v>
      </c>
      <c r="T1536" t="s">
        <v>17010</v>
      </c>
      <c r="U1536" t="s">
        <v>17011</v>
      </c>
      <c r="V1536">
        <f>-611.306717259721 -135.241856210662 -97.0639231729629</f>
        <v>-843.61249664334593</v>
      </c>
      <c r="W1536" t="s">
        <v>17012</v>
      </c>
      <c r="X1536" t="s">
        <v>17013</v>
      </c>
      <c r="Y1536" t="s">
        <v>17014</v>
      </c>
    </row>
    <row r="1537" spans="1:25" x14ac:dyDescent="0.3">
      <c r="A1537">
        <v>76800</v>
      </c>
      <c r="B1537" t="s">
        <v>17015</v>
      </c>
      <c r="C1537">
        <f>-634.683028529295 -42.6931362944515 -99.5597391832239</f>
        <v>-776.93590400697042</v>
      </c>
      <c r="D1537">
        <f>-653.292194232011 -51.8247648681997 -213.518161276916</f>
        <v>-918.63512037712667</v>
      </c>
      <c r="E1537">
        <f>-659.421169717216 -56.7836454967993 -311.826512036632</f>
        <v>-1028.0313272506473</v>
      </c>
      <c r="F1537">
        <f>-661.572532815591 -60.3507117588025 -400.825836674814</f>
        <v>-1122.7490812492074</v>
      </c>
      <c r="G1537">
        <f>-659.970890655013 -62.9947127527165 -489.868993820681</f>
        <v>-1212.8345972284105</v>
      </c>
      <c r="H1537">
        <f>-653.782814149693 -65.7826008674274 -614.266481477683</f>
        <v>-1333.8318964948035</v>
      </c>
      <c r="I1537">
        <f>-627.986835588415 -64.6595693275461 -693.249606368612</f>
        <v>-1385.8960112845732</v>
      </c>
      <c r="J1537">
        <f>-660.879394907768 -37.206714849762 -560.355757283845</f>
        <v>-1258.441867041375</v>
      </c>
      <c r="K1537" t="s">
        <v>17016</v>
      </c>
      <c r="L1537" t="s">
        <v>17017</v>
      </c>
      <c r="M1537" t="s">
        <v>17018</v>
      </c>
      <c r="N1537">
        <f>-652.132374146465 -91.9049488468269 -558.694785213822</f>
        <v>-1302.7321082071139</v>
      </c>
      <c r="O1537">
        <f>-632.102755704928 -223.828977112669 -525.637742536724</f>
        <v>-1381.569475354321</v>
      </c>
      <c r="P1537">
        <f>-632.422452767488 -277.760158342347 -236.358568570927</f>
        <v>-1146.5411796807621</v>
      </c>
      <c r="Q1537">
        <f>-464.45622827491 -125.409965037096 -317.768924409182</f>
        <v>-907.63511772118795</v>
      </c>
      <c r="R1537" t="s">
        <v>17019</v>
      </c>
      <c r="S1537" t="s">
        <v>17020</v>
      </c>
      <c r="T1537" t="s">
        <v>17021</v>
      </c>
      <c r="U1537" t="s">
        <v>17022</v>
      </c>
      <c r="V1537">
        <f>-611.241859327481 -134.978348252377 -97.0663299510843</f>
        <v>-843.28653753094238</v>
      </c>
      <c r="W1537" t="s">
        <v>17023</v>
      </c>
      <c r="X1537" t="s">
        <v>17024</v>
      </c>
      <c r="Y1537" t="s">
        <v>17025</v>
      </c>
    </row>
    <row r="1538" spans="1:25" x14ac:dyDescent="0.3">
      <c r="A1538">
        <v>76850</v>
      </c>
      <c r="B1538" t="s">
        <v>17026</v>
      </c>
      <c r="C1538">
        <f>-634.486056404077 -42.2215985631904 -99.5596227088184</f>
        <v>-776.26727767608577</v>
      </c>
      <c r="D1538">
        <f>-652.915755254366 -51.2890429983506 -213.552457097865</f>
        <v>-917.75725535058154</v>
      </c>
      <c r="E1538">
        <f>-658.820323670578 -56.3289798296416 -311.870213689781</f>
        <v>-1027.0195171900007</v>
      </c>
      <c r="F1538">
        <f>-660.742269964826 -60.0250175678028 -400.869518995185</f>
        <v>-1121.6368065278139</v>
      </c>
      <c r="G1538">
        <f>-658.885860981555 -62.8543149135788 -489.902026550054</f>
        <v>-1211.6422024451879</v>
      </c>
      <c r="H1538">
        <f>-652.315985452399 -65.9608682436511 -614.272453520935</f>
        <v>-1332.5493072169852</v>
      </c>
      <c r="I1538">
        <f>-626.228828049957 -64.896029802471 -693.160722677774</f>
        <v>-1384.285580530202</v>
      </c>
      <c r="J1538">
        <f>-659.558326222354 -37.243878653625 -560.456237332595</f>
        <v>-1257.258442208574</v>
      </c>
      <c r="K1538" t="s">
        <v>17027</v>
      </c>
      <c r="L1538" t="s">
        <v>17028</v>
      </c>
      <c r="M1538" t="s">
        <v>17029</v>
      </c>
      <c r="N1538">
        <f>-650.855860195122 -91.9438616260004 -558.630187322677</f>
        <v>-1301.4299091437993</v>
      </c>
      <c r="O1538">
        <f>-630.940645723212 -223.796391581219 -525.239537215726</f>
        <v>-1379.9765745201571</v>
      </c>
      <c r="P1538">
        <f>-632.004134996215 -277.071349360212 -235.84043012562</f>
        <v>-1144.9159144820471</v>
      </c>
      <c r="Q1538">
        <f>-463.669566366773 -125.10114317365 -317.200132062507</f>
        <v>-905.97084160293002</v>
      </c>
      <c r="R1538" t="s">
        <v>17030</v>
      </c>
      <c r="S1538" t="s">
        <v>17031</v>
      </c>
      <c r="T1538" t="s">
        <v>17032</v>
      </c>
      <c r="U1538" t="s">
        <v>17033</v>
      </c>
      <c r="V1538">
        <f>-611.067901904973 -134.516827057108 -97.0760999738773</f>
        <v>-842.66082893595831</v>
      </c>
      <c r="W1538" t="s">
        <v>17034</v>
      </c>
      <c r="X1538" t="s">
        <v>17035</v>
      </c>
      <c r="Y1538" t="s">
        <v>17036</v>
      </c>
    </row>
    <row r="1539" spans="1:25" x14ac:dyDescent="0.3">
      <c r="A1539">
        <v>76900</v>
      </c>
      <c r="B1539" t="s">
        <v>17037</v>
      </c>
      <c r="C1539">
        <f>-634.282060522253 -41.5621135262879 -99.5595748052291</f>
        <v>-775.40374885377003</v>
      </c>
      <c r="D1539">
        <f>-652.568007672097 -50.5735714399956 -213.579875239586</f>
        <v>-916.72145435167863</v>
      </c>
      <c r="E1539">
        <f>-658.261777445175 -55.6890994083761 -311.906206841239</f>
        <v>-1025.8570836947902</v>
      </c>
      <c r="F1539">
        <f>-659.959351388132 -59.503931480068 -400.905198451211</f>
        <v>-1120.3684813194109</v>
      </c>
      <c r="G1539">
        <f>-657.845911514933 -62.5038341534311 -489.926394537102</f>
        <v>-1210.2761402054662</v>
      </c>
      <c r="H1539">
        <f>-650.883782705271 -65.9038567453496 -614.26780886053</f>
        <v>-1331.0554483111505</v>
      </c>
      <c r="I1539">
        <f>-624.503906206839 -64.9119764622677 -693.059571663166</f>
        <v>-1382.4754543322729</v>
      </c>
      <c r="J1539">
        <f>-658.275661570563 -37.0566897841836 -560.541425588836</f>
        <v>-1255.8737769435825</v>
      </c>
      <c r="K1539" t="s">
        <v>17038</v>
      </c>
      <c r="L1539" t="s">
        <v>17039</v>
      </c>
      <c r="M1539" t="s">
        <v>17040</v>
      </c>
      <c r="N1539">
        <f>-649.619285192518 -91.7587221342944 -558.560988613783</f>
        <v>-1299.9389959405953</v>
      </c>
      <c r="O1539">
        <f>-629.831636142588 -223.558405866878 -524.869537844436</f>
        <v>-1378.2595798539019</v>
      </c>
      <c r="P1539">
        <f>-631.713221213846 -276.260444479018 -235.369692962998</f>
        <v>-1143.3433586558622</v>
      </c>
      <c r="Q1539">
        <f>-463.085451416799 -124.590128775762 -316.681858268434</f>
        <v>-904.35743846099501</v>
      </c>
      <c r="R1539" t="s">
        <v>17041</v>
      </c>
      <c r="S1539" t="s">
        <v>17042</v>
      </c>
      <c r="T1539" t="s">
        <v>17043</v>
      </c>
      <c r="U1539" t="s">
        <v>17044</v>
      </c>
      <c r="V1539">
        <f>-610.832594474839 -133.7955728585 -97.0904445768256</f>
        <v>-841.71861191016455</v>
      </c>
      <c r="W1539" t="s">
        <v>17045</v>
      </c>
      <c r="X1539" t="s">
        <v>17046</v>
      </c>
      <c r="Y1539" t="s">
        <v>17047</v>
      </c>
    </row>
    <row r="1540" spans="1:25" x14ac:dyDescent="0.3">
      <c r="A1540">
        <v>76950</v>
      </c>
      <c r="B1540" t="s">
        <v>17048</v>
      </c>
      <c r="C1540">
        <f>-634.156955376604 -41.2680611275841 -99.55566884065</f>
        <v>-774.98068534483809</v>
      </c>
      <c r="D1540">
        <f>-652.367434527646 -50.2528263558895 -213.590193155093</f>
        <v>-916.21045403862854</v>
      </c>
      <c r="E1540">
        <f>-657.94775291748 -55.3960589316865 -311.921523234984</f>
        <v>-1025.2653350841506</v>
      </c>
      <c r="F1540">
        <f>-659.524006708541 -59.2570631529233 -400.92069455998</f>
        <v>-1119.7017644214443</v>
      </c>
      <c r="G1540">
        <f>-657.270656410493 -62.3249544473039 -489.936200486117</f>
        <v>-1209.5318113439139</v>
      </c>
      <c r="H1540">
        <f>-650.094063036733 -65.8431436863842 -614.262064133282</f>
        <v>-1330.1992708563994</v>
      </c>
      <c r="I1540">
        <f>-623.549679732028 -64.8725567908762 -692.998942262826</f>
        <v>-1381.4211787857303</v>
      </c>
      <c r="J1540">
        <f>-657.568322360726 -36.9433505689128 -560.57550641761</f>
        <v>-1255.0871793472488</v>
      </c>
      <c r="K1540" t="s">
        <v>17049</v>
      </c>
      <c r="L1540" t="s">
        <v>17050</v>
      </c>
      <c r="M1540" t="s">
        <v>17051</v>
      </c>
      <c r="N1540">
        <f>-648.935971343314 -91.6467066742136 -558.529319425702</f>
        <v>-1299.1119974432297</v>
      </c>
      <c r="O1540">
        <f>-629.221908732391 -223.426478735618 -524.712136118709</f>
        <v>-1377.360523586718</v>
      </c>
      <c r="P1540">
        <f>-631.453439972753 -275.876402555349 -235.168952675492</f>
        <v>-1142.498795203594</v>
      </c>
      <c r="Q1540">
        <f>-462.6593895228 -124.35881318118 -316.420887461391</f>
        <v>-903.439090165371</v>
      </c>
      <c r="R1540" t="s">
        <v>17052</v>
      </c>
      <c r="S1540" t="s">
        <v>17053</v>
      </c>
      <c r="T1540" t="s">
        <v>17054</v>
      </c>
      <c r="U1540" t="s">
        <v>17055</v>
      </c>
      <c r="V1540">
        <f>-610.714960018224 -133.537189093654 -97.0899275206539</f>
        <v>-841.34207663253187</v>
      </c>
      <c r="W1540" t="s">
        <v>17056</v>
      </c>
      <c r="X1540" t="s">
        <v>17057</v>
      </c>
      <c r="Y1540" t="s">
        <v>17058</v>
      </c>
    </row>
    <row r="1541" spans="1:25" x14ac:dyDescent="0.3">
      <c r="A1541">
        <v>77000</v>
      </c>
      <c r="B1541" t="s">
        <v>17059</v>
      </c>
      <c r="C1541">
        <f>-633.839073467914 -40.5609488179732 -99.5587470949343</f>
        <v>-773.95876938082154</v>
      </c>
      <c r="D1541">
        <f>-651.892727925623 -49.5148833443534 -213.620641238977</f>
        <v>-915.02825250895341</v>
      </c>
      <c r="E1541">
        <f>-657.256357607593 -54.7192912762772 -311.960859700783</f>
        <v>-1023.9365085846532</v>
      </c>
      <c r="F1541">
        <f>-658.60450115769 -58.6733907466103 -400.959742225897</f>
        <v>-1118.2376341301974</v>
      </c>
      <c r="G1541">
        <f>-656.091591297535 -61.873638736497 -489.96361478191</f>
        <v>-1207.9288448159421</v>
      </c>
      <c r="H1541">
        <f>-648.519965892243 -65.6199815372554 -614.259347211815</f>
        <v>-1328.3992946413134</v>
      </c>
      <c r="I1541">
        <f>-621.645226154196 -64.6770526125307 -692.88430155739</f>
        <v>-1379.2065803241167</v>
      </c>
      <c r="J1541">
        <f>-656.135055917373 -36.6168641871548 -560.648220293075</f>
        <v>-1253.4001403976029</v>
      </c>
      <c r="K1541" t="s">
        <v>17060</v>
      </c>
      <c r="L1541" t="s">
        <v>17061</v>
      </c>
      <c r="M1541" t="s">
        <v>17062</v>
      </c>
      <c r="N1541">
        <f>-647.568708588819 -91.3258838110361 -558.477529731851</f>
        <v>-1297.372122131706</v>
      </c>
      <c r="O1541">
        <f>-628.034362035069 -223.082335281408 -524.462933768937</f>
        <v>-1375.5796310854139</v>
      </c>
      <c r="P1541">
        <f>-630.812351291429 -275.179608584428 -234.860880966225</f>
        <v>-1140.8528408420821</v>
      </c>
      <c r="Q1541">
        <f>-461.753382649497 -123.950186304558 -316.098543399366</f>
        <v>-901.80211235342097</v>
      </c>
      <c r="R1541" t="s">
        <v>17063</v>
      </c>
      <c r="S1541" t="s">
        <v>17064</v>
      </c>
      <c r="T1541" t="s">
        <v>17065</v>
      </c>
      <c r="U1541" t="s">
        <v>17066</v>
      </c>
      <c r="V1541">
        <f>-610.3750358456 -132.768629672145 -97.0784150459779</f>
        <v>-840.2220805637229</v>
      </c>
      <c r="W1541" t="s">
        <v>17067</v>
      </c>
      <c r="X1541" t="s">
        <v>17068</v>
      </c>
      <c r="Y1541" t="s">
        <v>17069</v>
      </c>
    </row>
    <row r="1542" spans="1:25" x14ac:dyDescent="0.3">
      <c r="A1542">
        <v>77050</v>
      </c>
      <c r="B1542" t="s">
        <v>17070</v>
      </c>
      <c r="C1542">
        <f>-633.679150649495 -40.2470206956943 -99.5448135651914</f>
        <v>-773.47098491038071</v>
      </c>
      <c r="D1542">
        <f>-651.663618579208 -49.1833794632148 -213.61902336095</f>
        <v>-914.46602140337279</v>
      </c>
      <c r="E1542">
        <f>-656.937270772728 -54.416053170349 -311.962673278609</f>
        <v>-1023.3159972216858</v>
      </c>
      <c r="F1542">
        <f>-658.192303725804 -58.4140687543925 -400.960927062929</f>
        <v>-1117.5672995431255</v>
      </c>
      <c r="G1542">
        <f>-655.574828758193 -61.677441655738 -489.959459313954</f>
        <v>-1207.2117297278851</v>
      </c>
      <c r="H1542">
        <f>-647.84538594917 -65.5324092601702 -614.24217095338</f>
        <v>-1327.6199661627202</v>
      </c>
      <c r="I1542">
        <f>-620.811569809271 -64.6033567156152 -692.812720664226</f>
        <v>-1378.2276471891123</v>
      </c>
      <c r="J1542">
        <f>-655.510655723373 -36.4796918336983 -560.665323107425</f>
        <v>-1252.6556706644965</v>
      </c>
      <c r="K1542" t="s">
        <v>17071</v>
      </c>
      <c r="L1542" t="s">
        <v>17072</v>
      </c>
      <c r="M1542" t="s">
        <v>17073</v>
      </c>
      <c r="N1542">
        <f>-646.982733345171 -91.1923700292519 -558.437730323192</f>
        <v>-1296.6128336976149</v>
      </c>
      <c r="O1542">
        <f>-627.546863454562 -222.934483648343 -524.328774034363</f>
        <v>-1374.810121137268</v>
      </c>
      <c r="P1542">
        <f>-630.512886102896 -274.961113546896 -234.715888563348</f>
        <v>-1140.18988821314</v>
      </c>
      <c r="Q1542">
        <f>-461.422035848694 -123.801413409022 -316.016985874989</f>
        <v>-901.24043513270499</v>
      </c>
      <c r="R1542" t="s">
        <v>17074</v>
      </c>
      <c r="S1542" t="s">
        <v>17075</v>
      </c>
      <c r="T1542" t="s">
        <v>17076</v>
      </c>
      <c r="U1542" t="s">
        <v>17077</v>
      </c>
      <c r="V1542">
        <f>-610.216358859037 -132.494561119943 -97.0745223185868</f>
        <v>-839.78544229756676</v>
      </c>
      <c r="W1542" t="s">
        <v>17078</v>
      </c>
      <c r="X1542" t="s">
        <v>17079</v>
      </c>
      <c r="Y1542" t="s">
        <v>17080</v>
      </c>
    </row>
    <row r="1543" spans="1:25" x14ac:dyDescent="0.3">
      <c r="A1543">
        <v>77100</v>
      </c>
      <c r="B1543" t="s">
        <v>17081</v>
      </c>
      <c r="C1543">
        <f>-633.2703651852 -39.4713210896318 -99.5261070897321</f>
        <v>-772.267793364564</v>
      </c>
      <c r="D1543">
        <f>-651.164889570953 -48.3698468774486 -213.617334525309</f>
        <v>-913.15207097371058</v>
      </c>
      <c r="E1543">
        <f>-656.31147891308 -53.6578676337048 -311.964806277371</f>
        <v>-1021.9341528241557</v>
      </c>
      <c r="F1543">
        <f>-657.432456721714 -57.7422919979831 -400.960869786584</f>
        <v>-1116.1356185062809</v>
      </c>
      <c r="G1543">
        <f>-654.662543522225 -61.1298539141491 -489.950089669347</f>
        <v>-1205.742487105721</v>
      </c>
      <c r="H1543">
        <f>-646.701430776772 -65.1989720459464 -614.211354493116</f>
        <v>-1326.1117573158344</v>
      </c>
      <c r="I1543">
        <f>-619.35564924141 -64.2996021908461 -692.674297791194</f>
        <v>-1376.3295492234502</v>
      </c>
      <c r="J1543">
        <f>-654.416033210288 -36.0459346524224 -560.695955909532</f>
        <v>-1251.1579237722424</v>
      </c>
      <c r="K1543" t="s">
        <v>17082</v>
      </c>
      <c r="L1543" t="s">
        <v>17083</v>
      </c>
      <c r="M1543" t="s">
        <v>17084</v>
      </c>
      <c r="N1543">
        <f>-645.993430734104 -90.7706542883064 -558.364444840636</f>
        <v>-1295.1285298630464</v>
      </c>
      <c r="O1543">
        <f>-626.845193603975 -222.502826831344 -524.041149373519</f>
        <v>-1373.389169808838</v>
      </c>
      <c r="P1543">
        <f>-630.111503468924 -274.122999259234 -234.358905654064</f>
        <v>-1138.5934083822219</v>
      </c>
      <c r="Q1543">
        <f>-460.772400785643 -123.235426760855 -315.649205263131</f>
        <v>-899.65703280962907</v>
      </c>
      <c r="R1543" t="s">
        <v>17085</v>
      </c>
      <c r="S1543" t="s">
        <v>17086</v>
      </c>
      <c r="T1543" t="s">
        <v>17087</v>
      </c>
      <c r="U1543" t="s">
        <v>17088</v>
      </c>
      <c r="V1543">
        <f>-609.893712294377 -131.677448798033 -97.0707390027064</f>
        <v>-838.6419000951164</v>
      </c>
      <c r="W1543" t="s">
        <v>17089</v>
      </c>
      <c r="X1543" t="s">
        <v>17090</v>
      </c>
      <c r="Y1543" t="s">
        <v>17091</v>
      </c>
    </row>
    <row r="1544" spans="1:25" x14ac:dyDescent="0.3">
      <c r="A1544">
        <v>77150</v>
      </c>
      <c r="B1544" t="s">
        <v>17092</v>
      </c>
      <c r="C1544">
        <f>-633.104784754277 -39.0720688628351 -99.529238120938</f>
        <v>-771.70609173805008</v>
      </c>
      <c r="D1544">
        <f>-650.959382831532 -47.9482125029122 -213.628455045722</f>
        <v>-912.53605038016622</v>
      </c>
      <c r="E1544">
        <f>-656.05172730731 -53.2582911018735 -311.977528129606</f>
        <v>-1021.2875465387895</v>
      </c>
      <c r="F1544">
        <f>-657.11614609213 -57.3791017892457 -400.97260260119</f>
        <v>-1115.4678504825656</v>
      </c>
      <c r="G1544">
        <f>-654.282456148789 -60.8203302245261 -489.957853636978</f>
        <v>-1205.0606400102931</v>
      </c>
      <c r="H1544">
        <f>-646.224938232756 -64.983342644472 -614.209809531122</f>
        <v>-1325.4180904083501</v>
      </c>
      <c r="I1544">
        <f>-618.721879779539 -64.0907805896455 -692.61784696988</f>
        <v>-1375.4305073390647</v>
      </c>
      <c r="J1544">
        <f>-653.94847162436 -35.784871786738 -560.720499508757</f>
        <v>-1250.4538429198551</v>
      </c>
      <c r="K1544" t="s">
        <v>17093</v>
      </c>
      <c r="L1544" t="s">
        <v>17094</v>
      </c>
      <c r="M1544" t="s">
        <v>17095</v>
      </c>
      <c r="N1544">
        <f>-645.592859841104 -90.5179207584332 -558.344780506279</f>
        <v>-1294.4555611058163</v>
      </c>
      <c r="O1544">
        <f>-626.592051776349 -222.247353424344 -523.919510729481</f>
        <v>-1372.7589159301738</v>
      </c>
      <c r="P1544">
        <f>-630.149217584666 -273.540626047526 -234.182424048423</f>
        <v>-1137.8722676806149</v>
      </c>
      <c r="Q1544">
        <f>-460.604539270726 -122.875846639179 -315.457362746437</f>
        <v>-898.93774865634191</v>
      </c>
      <c r="R1544" t="s">
        <v>17096</v>
      </c>
      <c r="S1544" t="s">
        <v>17097</v>
      </c>
      <c r="T1544" t="s">
        <v>17098</v>
      </c>
      <c r="U1544" t="s">
        <v>17099</v>
      </c>
      <c r="V1544">
        <f>-609.750253170417 -131.291743578783 -97.0753321525829</f>
        <v>-838.1173289017828</v>
      </c>
      <c r="W1544" t="s">
        <v>17100</v>
      </c>
      <c r="X1544" t="s">
        <v>17101</v>
      </c>
      <c r="Y1544" t="s">
        <v>17102</v>
      </c>
    </row>
    <row r="1545" spans="1:25" x14ac:dyDescent="0.3">
      <c r="A1545">
        <v>77200</v>
      </c>
      <c r="B1545" t="s">
        <v>17103</v>
      </c>
      <c r="C1545">
        <f>-632.79932359107 -38.1712253804219 -99.5451033596323</f>
        <v>-770.51565233112422</v>
      </c>
      <c r="D1545">
        <f>-650.593190029461 -47.0122934247014 -213.656645529826</f>
        <v>-911.2621289839883</v>
      </c>
      <c r="E1545">
        <f>-655.589142512957 -52.3370927559968 -312.009704872624</f>
        <v>-1019.9359401415777</v>
      </c>
      <c r="F1545">
        <f>-656.549355533974 -56.4896412850064 -401.004591232232</f>
        <v>-1114.0435880512123</v>
      </c>
      <c r="G1545">
        <f>-653.594665900979 -59.9823781395411 -489.983893638389</f>
        <v>-1203.5609376789091</v>
      </c>
      <c r="H1545">
        <f>-645.350848564536 -64.2386089558014 -614.220412462817</f>
        <v>-1323.8098699831544</v>
      </c>
      <c r="I1545">
        <f>-617.539015748196 -63.2892733345818 -692.518810596</f>
        <v>-1373.3470996787778</v>
      </c>
      <c r="J1545">
        <f>-653.08270152518 -34.9889954512018 -560.760406267842</f>
        <v>-1248.8321032442238</v>
      </c>
      <c r="K1545" t="s">
        <v>17104</v>
      </c>
      <c r="L1545" t="s">
        <v>17105</v>
      </c>
      <c r="M1545" t="s">
        <v>17106</v>
      </c>
      <c r="N1545">
        <f>-644.874310458733 -89.7423569035161 -558.339826983989</f>
        <v>-1292.9564943462383</v>
      </c>
      <c r="O1545">
        <f>-626.247927276983 -221.485411052277 -523.77175149563</f>
        <v>-1371.5050898248901</v>
      </c>
      <c r="P1545">
        <f>-630.457300363189 -272.294837573876 -233.958319906361</f>
        <v>-1136.710457843426</v>
      </c>
      <c r="Q1545">
        <f>-460.470181475783 -121.990423749161 -314.975643408968</f>
        <v>-897.4362486339121</v>
      </c>
      <c r="R1545" t="s">
        <v>17107</v>
      </c>
      <c r="S1545" t="s">
        <v>17108</v>
      </c>
      <c r="T1545" t="s">
        <v>17109</v>
      </c>
      <c r="U1545" t="s">
        <v>17110</v>
      </c>
      <c r="V1545">
        <f>-609.56236788211 -130.356481019816 -97.0820645486804</f>
        <v>-837.00091345060639</v>
      </c>
      <c r="W1545" t="s">
        <v>17111</v>
      </c>
      <c r="X1545" t="s">
        <v>17112</v>
      </c>
      <c r="Y1545" t="s">
        <v>17113</v>
      </c>
    </row>
    <row r="1546" spans="1:25" x14ac:dyDescent="0.3">
      <c r="A1546">
        <v>77250</v>
      </c>
      <c r="B1546" t="s">
        <v>17114</v>
      </c>
      <c r="C1546">
        <f>-632.616416626744 -37.8513034566342 -99.5429323074254</f>
        <v>-770.01065239080367</v>
      </c>
      <c r="D1546">
        <f>-650.39828948091 -46.6693572073892 -213.658021197226</f>
        <v>-910.72566788552513</v>
      </c>
      <c r="E1546">
        <f>-655.349066523221 -51.9943269321252 -312.013510190382</f>
        <v>-1019.3569036457283</v>
      </c>
      <c r="F1546">
        <f>-656.254957358862 -56.1548556208394 -401.008633714617</f>
        <v>-1113.4184466943184</v>
      </c>
      <c r="G1546">
        <f>-653.232028740544 -59.6650315704886 -489.984885405798</f>
        <v>-1202.8819457168306</v>
      </c>
      <c r="H1546">
        <f>-644.878833886945 -63.9560054182721 -614.213015150009</f>
        <v>-1323.0478544552261</v>
      </c>
      <c r="I1546">
        <f>-616.897521234572 -62.9532763782556 -692.450217331066</f>
        <v>-1372.3010149438937</v>
      </c>
      <c r="J1546">
        <f>-652.612754658099 -34.6846113563802 -560.765075622182</f>
        <v>-1248.0624416366613</v>
      </c>
      <c r="K1546" t="s">
        <v>17115</v>
      </c>
      <c r="L1546" t="s">
        <v>17116</v>
      </c>
      <c r="M1546" t="s">
        <v>17117</v>
      </c>
      <c r="N1546">
        <f>-644.496631440169 -89.4508489472489 -558.327518008485</f>
        <v>-1292.2749983959029</v>
      </c>
      <c r="O1546">
        <f>-626.107883781143 -221.213919449281 -523.711552331535</f>
        <v>-1371.0333555619591</v>
      </c>
      <c r="P1546">
        <f>-630.731309565003 -271.834445506469 -233.871281010549</f>
        <v>-1136.437036082021</v>
      </c>
      <c r="Q1546">
        <f>-460.477698000539 -121.743016967696 -314.724106987798</f>
        <v>-896.94482195603302</v>
      </c>
      <c r="R1546" t="s">
        <v>17118</v>
      </c>
      <c r="S1546" t="s">
        <v>17119</v>
      </c>
      <c r="T1546" t="s">
        <v>17120</v>
      </c>
      <c r="U1546" t="s">
        <v>17121</v>
      </c>
      <c r="V1546">
        <f>-609.442667540309 -130.050253491493 -97.0788167638547</f>
        <v>-836.57173779565665</v>
      </c>
      <c r="W1546" t="s">
        <v>17122</v>
      </c>
      <c r="X1546" t="s">
        <v>17123</v>
      </c>
      <c r="Y1546" t="s">
        <v>17124</v>
      </c>
    </row>
    <row r="1547" spans="1:25" x14ac:dyDescent="0.3">
      <c r="A1547">
        <v>77300</v>
      </c>
      <c r="B1547" t="s">
        <v>17125</v>
      </c>
      <c r="C1547">
        <f>-632.248796045709 -37.2430727549856 -99.5267630997965</f>
        <v>-769.01863190049119</v>
      </c>
      <c r="D1547">
        <f>-650.039932705052 -46.0081417989566 -213.644654480294</f>
        <v>-909.69272898430256</v>
      </c>
      <c r="E1547">
        <f>-654.924114608183 -51.3122333728026 -312.004446328381</f>
        <v>-1018.2407943093665</v>
      </c>
      <c r="F1547">
        <f>-655.740038912683 -55.4649417746648 -401.000705155882</f>
        <v>-1112.2056858432297</v>
      </c>
      <c r="G1547">
        <f>-652.597475529963 -58.980905154846 -489.972687579598</f>
        <v>-1201.5510682644071</v>
      </c>
      <c r="H1547">
        <f>-644.046048944045 -63.2962834939889 -614.186499648682</f>
        <v>-1321.5288320867157</v>
      </c>
      <c r="I1547">
        <f>-615.775413307639 -62.2086799571745 -692.318345191046</f>
        <v>-1370.3024384558594</v>
      </c>
      <c r="J1547">
        <f>-651.755705676406 -33.9982031727884 -560.749711748577</f>
        <v>-1246.5036205977715</v>
      </c>
      <c r="K1547" t="s">
        <v>17126</v>
      </c>
      <c r="L1547" t="s">
        <v>17127</v>
      </c>
      <c r="M1547" t="s">
        <v>17128</v>
      </c>
      <c r="N1547">
        <f>-643.862524293465 -88.7966195022166 -558.302478809934</f>
        <v>-1290.9616226056155</v>
      </c>
      <c r="O1547">
        <f>-626.074472824934 -220.628080057536 -523.633797201453</f>
        <v>-1370.336350083923</v>
      </c>
      <c r="P1547">
        <f>-631.655291031742 -271.023918490448 -233.771177669532</f>
        <v>-1136.4503871917218</v>
      </c>
      <c r="Q1547">
        <f>-460.712157622635 -121.576009743593 -314.360290070275</f>
        <v>-896.64845743650301</v>
      </c>
      <c r="R1547" t="s">
        <v>17129</v>
      </c>
      <c r="S1547" t="s">
        <v>17130</v>
      </c>
      <c r="T1547" t="s">
        <v>17131</v>
      </c>
      <c r="U1547" t="s">
        <v>17132</v>
      </c>
      <c r="V1547">
        <f>-609.296162543414 -129.397591196301 -97.0770210620734</f>
        <v>-835.77077480178843</v>
      </c>
      <c r="W1547" t="s">
        <v>17133</v>
      </c>
      <c r="X1547" t="s">
        <v>17134</v>
      </c>
      <c r="Y1547" t="s">
        <v>17135</v>
      </c>
    </row>
    <row r="1548" spans="1:25" x14ac:dyDescent="0.3">
      <c r="A1548">
        <v>77350</v>
      </c>
      <c r="B1548" t="s">
        <v>17136</v>
      </c>
      <c r="C1548">
        <f>-631.866657954901 -36.7975834042159 -99.5023632291986</f>
        <v>-768.16660458831552</v>
      </c>
      <c r="D1548">
        <f>-649.813930727412 -45.569979719972 -213.595070966464</f>
        <v>-908.97898141384803</v>
      </c>
      <c r="E1548">
        <f>-654.724706049606 -50.8048813407992 -311.957455371397</f>
        <v>-1017.4870427618021</v>
      </c>
      <c r="F1548">
        <f>-655.520125724534 -54.8662409885335 -400.958126880104</f>
        <v>-1111.3444935931714</v>
      </c>
      <c r="G1548">
        <f>-652.311646520262 -58.2656274659967 -489.932081755416</f>
        <v>-1200.5093557416747</v>
      </c>
      <c r="H1548">
        <f>-643.620049215274 -62.3935621420217 -614.142538628799</f>
        <v>-1320.1561499860945</v>
      </c>
      <c r="I1548">
        <f>-615.103530328369 -61.2020760173069 -692.183612858276</f>
        <v>-1368.489219203952</v>
      </c>
      <c r="J1548">
        <f>-651.266272460329 -33.1581677671522 -560.662329551339</f>
        <v>-1245.0867697788203</v>
      </c>
      <c r="K1548" t="s">
        <v>17137</v>
      </c>
      <c r="L1548" t="s">
        <v>17138</v>
      </c>
      <c r="M1548" t="s">
        <v>17139</v>
      </c>
      <c r="N1548">
        <f>-643.623248628169 -87.9960051340344 -558.30509295879</f>
        <v>-1289.9243467209935</v>
      </c>
      <c r="O1548">
        <f>-626.549784167339 -219.94517834391 -523.709123376596</f>
        <v>-1370.2040858878449</v>
      </c>
      <c r="P1548">
        <f>-633.294691393033 -270.179450591662 -233.843127331623</f>
        <v>-1137.3172693163178</v>
      </c>
      <c r="Q1548">
        <f>-461.291411196207 -121.717717125776 -313.99839267627</f>
        <v>-897.00752099825297</v>
      </c>
      <c r="R1548" t="s">
        <v>17140</v>
      </c>
      <c r="S1548" t="s">
        <v>17141</v>
      </c>
      <c r="T1548" t="s">
        <v>17142</v>
      </c>
      <c r="U1548" t="s">
        <v>17143</v>
      </c>
      <c r="V1548">
        <f>-609.149981854091 -129.02285354578 -97.0566998829462</f>
        <v>-835.22953528281721</v>
      </c>
      <c r="W1548" t="s">
        <v>17144</v>
      </c>
      <c r="X1548" t="s">
        <v>17145</v>
      </c>
      <c r="Y1548" t="s">
        <v>17146</v>
      </c>
    </row>
    <row r="1549" spans="1:25" x14ac:dyDescent="0.3">
      <c r="A1549">
        <v>77400</v>
      </c>
      <c r="B1549" t="s">
        <v>17147</v>
      </c>
      <c r="C1549">
        <f>-631.621946838415 -36.598549308507 -99.5118631068289</f>
        <v>-767.73235925375093</v>
      </c>
      <c r="D1549">
        <f>-649.629393433633 -45.3327764057002 -213.598024045405</f>
        <v>-908.56019388473828</v>
      </c>
      <c r="E1549">
        <f>-654.560972857612 -50.4717611169862 -311.964344488916</f>
        <v>-1016.9970784635142</v>
      </c>
      <c r="F1549">
        <f>-655.361951893 -54.4210268676667 -400.970001822391</f>
        <v>-1110.7529805830577</v>
      </c>
      <c r="G1549">
        <f>-652.14512606098 -57.6843962631374 -489.94891281949</f>
        <v>-1199.7784351436073</v>
      </c>
      <c r="H1549">
        <f>-643.426783757653 -61.5973947019031 -614.16432948577</f>
        <v>-1319.1885079453261</v>
      </c>
      <c r="I1549">
        <f>-614.784547049837 -60.322921584297 -692.158184974498</f>
        <v>-1367.265653608632</v>
      </c>
      <c r="J1549">
        <f>-651.034514315149 -32.4473896576667 -560.631942628316</f>
        <v>-1244.1138466011316</v>
      </c>
      <c r="K1549" t="s">
        <v>17148</v>
      </c>
      <c r="L1549" t="s">
        <v>17149</v>
      </c>
      <c r="M1549" t="s">
        <v>17150</v>
      </c>
      <c r="N1549">
        <f>-643.492102212679 -87.3034995341516 -558.374476144128</f>
        <v>-1289.1700778909585</v>
      </c>
      <c r="O1549">
        <f>-626.71317865481 -219.331722545449 -523.903860777338</f>
        <v>-1369.9487619775969</v>
      </c>
      <c r="P1549">
        <f>-634.031754750282 -269.596512645704 -234.057149731676</f>
        <v>-1137.685417127662</v>
      </c>
      <c r="Q1549">
        <f>-461.479636943503 -121.6131119524 -313.916662028029</f>
        <v>-897.00941092393202</v>
      </c>
      <c r="R1549" t="s">
        <v>17151</v>
      </c>
      <c r="S1549" t="s">
        <v>17152</v>
      </c>
      <c r="T1549" t="s">
        <v>17153</v>
      </c>
      <c r="U1549" t="s">
        <v>17154</v>
      </c>
      <c r="V1549">
        <f>-608.91853658833 -128.827409539894 -97.0804324970762</f>
        <v>-834.82637862530021</v>
      </c>
      <c r="W1549" t="s">
        <v>17155</v>
      </c>
      <c r="X1549" t="s">
        <v>17156</v>
      </c>
      <c r="Y1549" t="s">
        <v>17157</v>
      </c>
    </row>
    <row r="1550" spans="1:25" x14ac:dyDescent="0.3">
      <c r="A1550">
        <v>77450</v>
      </c>
      <c r="B1550" t="s">
        <v>17158</v>
      </c>
      <c r="C1550">
        <f>-631.329433671589 -36.6039802576493 -99.530443251239</f>
        <v>-767.46385718047725</v>
      </c>
      <c r="D1550">
        <f>-649.373324363932 -45.2939942482674 -213.61439409309</f>
        <v>-908.28171270528946</v>
      </c>
      <c r="E1550">
        <f>-654.32024528258 -50.3213136857245 -311.985714629184</f>
        <v>-1016.6272735974885</v>
      </c>
      <c r="F1550">
        <f>-655.127725173636 -54.1400399011434 -400.996897369146</f>
        <v>-1110.2646624439253</v>
      </c>
      <c r="G1550">
        <f>-651.90920127494 -57.2439560939839 -489.981348660573</f>
        <v>-1199.1345060294968</v>
      </c>
      <c r="H1550">
        <f>-643.179643442822 -60.9044123628437 -614.203933242779</f>
        <v>-1318.2879890484446</v>
      </c>
      <c r="I1550">
        <f>-614.416212452988 -59.5332091277451 -692.15135833289</f>
        <v>-1366.1007799136232</v>
      </c>
      <c r="J1550">
        <f>-650.75528879668 -31.8582630970607 -560.610507767559</f>
        <v>-1243.2240596612996</v>
      </c>
      <c r="K1550" t="s">
        <v>17159</v>
      </c>
      <c r="L1550" t="s">
        <v>17160</v>
      </c>
      <c r="M1550" t="s">
        <v>17161</v>
      </c>
      <c r="N1550">
        <f>-643.286909896391 -86.7289633530544 -558.468858282854</f>
        <v>-1288.4847315322993</v>
      </c>
      <c r="O1550">
        <f>-626.721945216025 -218.819420566499 -524.208929111939</f>
        <v>-1369.750294894463</v>
      </c>
      <c r="P1550">
        <f>-634.621101708008 -269.302433380135 -234.415532878319</f>
        <v>-1138.3390679664622</v>
      </c>
      <c r="Q1550">
        <f>-461.569332840232 -121.678934043703 -313.858894345496</f>
        <v>-897.10716122943109</v>
      </c>
      <c r="R1550" t="s">
        <v>17162</v>
      </c>
      <c r="S1550" t="s">
        <v>17163</v>
      </c>
      <c r="T1550" t="s">
        <v>17164</v>
      </c>
      <c r="U1550" t="s">
        <v>17165</v>
      </c>
      <c r="V1550">
        <f>-608.683561400875 -128.953111611365 -97.1017634512955</f>
        <v>-834.73843646353544</v>
      </c>
      <c r="W1550" t="s">
        <v>17166</v>
      </c>
      <c r="X1550" t="s">
        <v>17167</v>
      </c>
      <c r="Y1550" t="s">
        <v>17168</v>
      </c>
    </row>
    <row r="1551" spans="1:25" x14ac:dyDescent="0.3">
      <c r="A1551">
        <v>77500</v>
      </c>
      <c r="B1551" t="s">
        <v>17169</v>
      </c>
      <c r="C1551">
        <f>-630.590087081275 -37.0917839283795 -99.5220103379639</f>
        <v>-767.20388134761845</v>
      </c>
      <c r="D1551">
        <f>-648.614899320135 -45.6950689828022 -213.615465036776</f>
        <v>-907.92543333971321</v>
      </c>
      <c r="E1551">
        <f>-653.496789861554 -50.4908251138251 -312.001553011777</f>
        <v>-1015.9891679871561</v>
      </c>
      <c r="F1551">
        <f>-654.223415822737 -54.0388878333008 -401.02473428617</f>
        <v>-1109.2870379422079</v>
      </c>
      <c r="G1551">
        <f>-650.900664558234 -56.8130971275954 -490.016233529225</f>
        <v>-1197.7299952150543</v>
      </c>
      <c r="H1551">
        <f>-641.99956972938 -59.9526197168723 -614.240790361494</f>
        <v>-1316.1929798077463</v>
      </c>
      <c r="I1551">
        <f>-613.02394395402 -58.3373191956509 -692.105065901465</f>
        <v>-1363.4663290511357</v>
      </c>
      <c r="J1551">
        <f>-649.583765519807 -31.1224033625215 -560.532198214298</f>
        <v>-1241.2383670966265</v>
      </c>
      <c r="K1551" t="s">
        <v>17170</v>
      </c>
      <c r="L1551" t="s">
        <v>17171</v>
      </c>
      <c r="M1551" t="s">
        <v>17172</v>
      </c>
      <c r="N1551">
        <f>-642.249194439211 -86.019730606233 -558.619322229606</f>
        <v>-1286.8882472750502</v>
      </c>
      <c r="O1551">
        <f>-626.119138044403 -218.298343772761 -524.878421893725</f>
        <v>-1369.295903710889</v>
      </c>
      <c r="P1551">
        <f>-634.723339295014 -269.782469579814 -235.281167856424</f>
        <v>-1139.786976731252</v>
      </c>
      <c r="Q1551">
        <f>-461.07916662628 -122.379693242047 -313.836922281081</f>
        <v>-897.29578214940807</v>
      </c>
      <c r="R1551" t="s">
        <v>17173</v>
      </c>
      <c r="S1551" t="s">
        <v>17174</v>
      </c>
      <c r="T1551" t="s">
        <v>17175</v>
      </c>
      <c r="U1551" t="s">
        <v>17176</v>
      </c>
      <c r="V1551">
        <f>-608.107983882925 -129.406878078133 -97.1021232536492</f>
        <v>-834.61698521470726</v>
      </c>
      <c r="W1551" t="s">
        <v>17177</v>
      </c>
      <c r="X1551" t="s">
        <v>17178</v>
      </c>
      <c r="Y1551" t="s">
        <v>17179</v>
      </c>
    </row>
    <row r="1552" spans="1:25" x14ac:dyDescent="0.3">
      <c r="A1552">
        <v>77550</v>
      </c>
      <c r="B1552" t="s">
        <v>17180</v>
      </c>
      <c r="C1552">
        <f>-630.317770690481 -37.30944888011 -99.4765454248657</f>
        <v>-767.10376499545669</v>
      </c>
      <c r="D1552">
        <f>-648.311327596574 -45.8315230571682 -213.581077665166</f>
        <v>-907.72392831890807</v>
      </c>
      <c r="E1552">
        <f>-653.142477447761 -50.5037425373706 -311.975619882762</f>
        <v>-1015.6218398678936</v>
      </c>
      <c r="F1552">
        <f>-653.812886294544 -53.9187725068358 -401.004379689036</f>
        <v>-1108.7360384904159</v>
      </c>
      <c r="G1552">
        <f>-650.423079438298 -56.5393070578531 -489.998185944455</f>
        <v>-1196.960572440606</v>
      </c>
      <c r="H1552">
        <f>-641.416828452761 -59.4428299135424 -614.220693438993</f>
        <v>-1315.0803518052962</v>
      </c>
      <c r="I1552">
        <f>-612.366346455706 -57.6835460171931 -692.0539565206</f>
        <v>-1362.103848993499</v>
      </c>
      <c r="J1552">
        <f>-649.035628953503 -30.7133294010341 -560.463104211462</f>
        <v>-1240.2120625659991</v>
      </c>
      <c r="K1552" t="s">
        <v>17181</v>
      </c>
      <c r="L1552" t="s">
        <v>17182</v>
      </c>
      <c r="M1552" t="s">
        <v>17183</v>
      </c>
      <c r="N1552">
        <f>-641.724346800879 -85.6169350196275 -558.649938459867</f>
        <v>-1285.9912202803735</v>
      </c>
      <c r="O1552">
        <f>-625.672169984898 -217.963052628772 -525.131314935815</f>
        <v>-1368.7665375494851</v>
      </c>
      <c r="P1552">
        <f>-634.627314988751 -270.033234785237 -235.649587812526</f>
        <v>-1140.310137586514</v>
      </c>
      <c r="Q1552">
        <f>-460.83969867837 -122.555357118284 -313.745700238029</f>
        <v>-897.14075603468291</v>
      </c>
      <c r="R1552" t="s">
        <v>17184</v>
      </c>
      <c r="S1552" t="s">
        <v>17185</v>
      </c>
      <c r="T1552" t="s">
        <v>17186</v>
      </c>
      <c r="U1552" t="s">
        <v>17187</v>
      </c>
      <c r="V1552">
        <f>-607.909041691737 -129.57959491765 -97.1037587573933</f>
        <v>-834.59239536678024</v>
      </c>
      <c r="W1552" t="s">
        <v>17188</v>
      </c>
      <c r="X1552" t="s">
        <v>17189</v>
      </c>
      <c r="Y1552" t="s">
        <v>17190</v>
      </c>
    </row>
    <row r="1553" spans="1:25" x14ac:dyDescent="0.3">
      <c r="A1553">
        <v>77600</v>
      </c>
      <c r="B1553" t="s">
        <v>17191</v>
      </c>
      <c r="C1553">
        <f>-629.949208662587 -37.6756923712733 -99.3865868633536</f>
        <v>-767.0114878972139</v>
      </c>
      <c r="D1553">
        <f>-647.926888694987 -46.0525704036643 -213.504320935678</f>
        <v>-907.48378003432936</v>
      </c>
      <c r="E1553">
        <f>-652.684350773131 -50.5257033658903 -311.911674099065</f>
        <v>-1015.1217282380862</v>
      </c>
      <c r="F1553">
        <f>-653.26317594602 -53.7306352630594 -400.948885204787</f>
        <v>-1107.9426964138665</v>
      </c>
      <c r="G1553">
        <f>-649.756490315009 -56.1109776023219 -489.944941703388</f>
        <v>-1195.8124096207189</v>
      </c>
      <c r="H1553">
        <f>-640.560060830579 -58.6473626197363 -614.161797629489</f>
        <v>-1313.3692210798044</v>
      </c>
      <c r="I1553">
        <f>-611.340170698017 -56.5775307444936 -691.923767688648</f>
        <v>-1359.8414691311586</v>
      </c>
      <c r="J1553">
        <f>-648.273569796781 -30.078306442706 -560.331981876451</f>
        <v>-1238.6838581159379</v>
      </c>
      <c r="K1553" t="s">
        <v>17192</v>
      </c>
      <c r="L1553" t="s">
        <v>17193</v>
      </c>
      <c r="M1553" t="s">
        <v>17194</v>
      </c>
      <c r="N1553">
        <f>-640.940286272784 -84.9839237406834 -558.667985905907</f>
        <v>-1284.5921959193743</v>
      </c>
      <c r="O1553">
        <f>-624.890766763259 -217.425072823989 -525.507628382161</f>
        <v>-1367.823467969409</v>
      </c>
      <c r="P1553">
        <f>-634.444302321925 -270.118143386145 -236.157785022017</f>
        <v>-1140.720230730087</v>
      </c>
      <c r="Q1553">
        <f>-460.677445365803 -122.201675435211 -313.466891321243</f>
        <v>-896.34601212225698</v>
      </c>
      <c r="R1553" t="s">
        <v>17195</v>
      </c>
      <c r="S1553" t="s">
        <v>17196</v>
      </c>
      <c r="T1553" t="s">
        <v>17197</v>
      </c>
      <c r="U1553" t="s">
        <v>17198</v>
      </c>
      <c r="V1553">
        <f>-607.532432177937 -129.944542054671 -97.1461297840983</f>
        <v>-834.62310401670629</v>
      </c>
      <c r="W1553" t="s">
        <v>17199</v>
      </c>
      <c r="X1553" t="s">
        <v>17200</v>
      </c>
      <c r="Y1553" t="s">
        <v>17201</v>
      </c>
    </row>
    <row r="1554" spans="1:25" x14ac:dyDescent="0.3">
      <c r="A1554">
        <v>77650</v>
      </c>
      <c r="B1554" t="s">
        <v>17202</v>
      </c>
      <c r="C1554">
        <f>-629.802334537294 -37.925640055254 -99.3239768401505</f>
        <v>-767.0519514326985</v>
      </c>
      <c r="D1554">
        <f>-647.843327906299 -46.3066970239191 -213.431393704543</f>
        <v>-907.58141863476112</v>
      </c>
      <c r="E1554">
        <f>-652.587096731635 -50.6894621516037 -311.843508502126</f>
        <v>-1015.1200673853648</v>
      </c>
      <c r="F1554">
        <f>-653.124764294573 -53.7774198447775 -400.885257717597</f>
        <v>-1107.7874418569475</v>
      </c>
      <c r="G1554">
        <f>-649.547166127624 -56.0060788411957 -489.882241211367</f>
        <v>-1195.4354861801867</v>
      </c>
      <c r="H1554">
        <f>-640.220029434878 -58.2951412338348 -614.094062874193</f>
        <v>-1312.6092335429057</v>
      </c>
      <c r="I1554">
        <f>-610.889125237796 -56.0464357115304 -691.809419400165</f>
        <v>-1358.7449803494915</v>
      </c>
      <c r="J1554">
        <f>-648.007474048821 -29.8357616654291 -560.217078040704</f>
        <v>-1238.0603137549542</v>
      </c>
      <c r="K1554" t="s">
        <v>17203</v>
      </c>
      <c r="L1554" t="s">
        <v>17204</v>
      </c>
      <c r="M1554" t="s">
        <v>17205</v>
      </c>
      <c r="N1554">
        <f>-640.641291114919 -84.7398340935706 -558.652136479113</f>
        <v>-1284.0332616876026</v>
      </c>
      <c r="O1554">
        <f>-624.554906665375 -217.230398863348 -525.691504775521</f>
        <v>-1367.4768103042441</v>
      </c>
      <c r="P1554">
        <f>-634.50935347183 -270.14787899094 -236.396093850724</f>
        <v>-1141.0533263134939</v>
      </c>
      <c r="Q1554">
        <f>-460.757817287524 -122.025641814728 -313.344610782204</f>
        <v>-896.12806988445595</v>
      </c>
      <c r="R1554" t="s">
        <v>17206</v>
      </c>
      <c r="S1554" t="s">
        <v>17207</v>
      </c>
      <c r="T1554" t="s">
        <v>17208</v>
      </c>
      <c r="U1554" t="s">
        <v>17209</v>
      </c>
      <c r="V1554">
        <f>-607.328864991672 -130.335204824236 -97.1347867612901</f>
        <v>-834.79885657719819</v>
      </c>
      <c r="W1554" t="s">
        <v>17210</v>
      </c>
      <c r="X1554" t="s">
        <v>17211</v>
      </c>
      <c r="Y1554" t="s">
        <v>17212</v>
      </c>
    </row>
    <row r="1555" spans="1:25" x14ac:dyDescent="0.3">
      <c r="A1555">
        <v>77700</v>
      </c>
      <c r="B1555" t="s">
        <v>17213</v>
      </c>
      <c r="C1555">
        <f>-629.300286051018 -38.37057224564 -99.2775090781549</f>
        <v>-766.94836737481296</v>
      </c>
      <c r="D1555">
        <f>-647.395962129845 -46.7663649823876 -213.375202409767</f>
        <v>-907.53752952199955</v>
      </c>
      <c r="E1555">
        <f>-652.128575060462 -50.9694081726157 -311.795759865893</f>
        <v>-1014.8937430989706</v>
      </c>
      <c r="F1555">
        <f>-652.628831424295 -53.8227947430241 -400.845397988354</f>
        <v>-1107.2970241556732</v>
      </c>
      <c r="G1555">
        <f>-648.985091492066 -55.7466201358016 -489.846880510618</f>
        <v>-1194.5785921384854</v>
      </c>
      <c r="H1555">
        <f>-639.533733396882 -57.5379682377522 -614.057476813525</f>
        <v>-1311.1291784481591</v>
      </c>
      <c r="I1555">
        <f>-609.9217174166 -54.9275977067116 -691.654764406427</f>
        <v>-1356.5040795297386</v>
      </c>
      <c r="J1555">
        <f>-647.414738295191 -29.3000838781929 -560.077613891273</f>
        <v>-1236.7924360646571</v>
      </c>
      <c r="K1555" t="s">
        <v>17214</v>
      </c>
      <c r="L1555" t="s">
        <v>17215</v>
      </c>
      <c r="M1555" t="s">
        <v>17216</v>
      </c>
      <c r="N1555">
        <f>-639.970801375581 -84.1991857940945 -558.719430942182</f>
        <v>-1282.8894181118576</v>
      </c>
      <c r="O1555">
        <f>-623.691690587368 -216.79111008906 -526.275364764458</f>
        <v>-1366.7581654408859</v>
      </c>
      <c r="P1555">
        <f>-634.097768814917 -270.334313754664 -237.110909642195</f>
        <v>-1141.542992211776</v>
      </c>
      <c r="Q1555">
        <f>-460.502716544607 -121.666655650762 -313.357645395201</f>
        <v>-895.52701759057004</v>
      </c>
      <c r="R1555" t="s">
        <v>17217</v>
      </c>
      <c r="S1555" t="s">
        <v>17218</v>
      </c>
      <c r="T1555" t="s">
        <v>17219</v>
      </c>
      <c r="U1555" t="s">
        <v>17220</v>
      </c>
      <c r="V1555">
        <f>-606.457487659847 -130.791093813159 -97.1435369191453</f>
        <v>-834.39211839215125</v>
      </c>
      <c r="W1555" t="s">
        <v>17221</v>
      </c>
      <c r="X1555" t="s">
        <v>17222</v>
      </c>
      <c r="Y1555" t="s">
        <v>17223</v>
      </c>
    </row>
    <row r="1556" spans="1:25" x14ac:dyDescent="0.3">
      <c r="A1556">
        <v>77750</v>
      </c>
      <c r="B1556" t="s">
        <v>17224</v>
      </c>
      <c r="C1556">
        <f>-628.833474680582 -38.8450333424676 -99.2708140439645</f>
        <v>-766.94932206701401</v>
      </c>
      <c r="D1556">
        <f>-646.933722211696 -47.2238978737909 -213.368944164293</f>
        <v>-907.52656424977988</v>
      </c>
      <c r="E1556">
        <f>-651.688458427085 -51.3481806551601 -311.791873104995</f>
        <v>-1014.8285121872402</v>
      </c>
      <c r="F1556">
        <f>-652.214741086066 -54.1061342316626 -400.844275526931</f>
        <v>-1107.1651508446598</v>
      </c>
      <c r="G1556">
        <f>-648.602523210684 -55.910756014978 -489.849521512113</f>
        <v>-1194.3628007377749</v>
      </c>
      <c r="H1556">
        <f>-639.200074208079 -57.5114398715947 -614.066484417547</f>
        <v>-1310.7779984972208</v>
      </c>
      <c r="I1556">
        <f>-609.435301906894 -54.7275337922507 -691.599304298471</f>
        <v>-1355.7621399976156</v>
      </c>
      <c r="J1556">
        <f>-647.071078677837 -29.3580905302422 -560.041044212633</f>
        <v>-1236.4702134207123</v>
      </c>
      <c r="K1556" t="s">
        <v>17225</v>
      </c>
      <c r="L1556" t="s">
        <v>17226</v>
      </c>
      <c r="M1556" t="s">
        <v>17227</v>
      </c>
      <c r="N1556">
        <f>-639.604171270424 -84.2560418256177 -558.768485722835</f>
        <v>-1282.6286988188767</v>
      </c>
      <c r="O1556">
        <f>-623.251998368255 -216.88975077443 -526.555775220879</f>
        <v>-1366.6975243635641</v>
      </c>
      <c r="P1556">
        <f>-633.552150076142 -270.852458640154 -237.465542156514</f>
        <v>-1141.87015087281</v>
      </c>
      <c r="Q1556">
        <f>-460.085596057909 -121.916525682658 -313.480726667363</f>
        <v>-895.48284840792996</v>
      </c>
      <c r="R1556" t="s">
        <v>17228</v>
      </c>
      <c r="S1556" t="s">
        <v>17229</v>
      </c>
      <c r="T1556" t="s">
        <v>17230</v>
      </c>
      <c r="U1556" t="s">
        <v>17231</v>
      </c>
      <c r="V1556">
        <f>-605.954926450465 -131.330314205843 -97.1528824309257</f>
        <v>-834.43812308723375</v>
      </c>
      <c r="W1556" t="s">
        <v>17232</v>
      </c>
      <c r="X1556" t="s">
        <v>17233</v>
      </c>
      <c r="Y1556" t="s">
        <v>17234</v>
      </c>
    </row>
    <row r="1557" spans="1:25" x14ac:dyDescent="0.3">
      <c r="A1557">
        <v>77800</v>
      </c>
      <c r="B1557" t="s">
        <v>17235</v>
      </c>
      <c r="C1557">
        <f>-628.194470321549 -39.5226146465288 -99.1952285336823</f>
        <v>-766.9123135017602</v>
      </c>
      <c r="D1557">
        <f>-646.388449047058 -47.9046052009103 -213.278277749297</f>
        <v>-907.57133199726525</v>
      </c>
      <c r="E1557">
        <f>-651.219901136664 -51.9212186760207 -311.701765398336</f>
        <v>-1014.8428852110208</v>
      </c>
      <c r="F1557">
        <f>-651.811432221096 -54.5413900071487 -400.758061613867</f>
        <v>-1107.1108838421117</v>
      </c>
      <c r="G1557">
        <f>-648.258766254414 -56.1696675469896 -489.769074913501</f>
        <v>-1194.1975087149046</v>
      </c>
      <c r="H1557">
        <f>-638.932800071563 -57.485444528173 -613.995085590417</f>
        <v>-1310.4133301901529</v>
      </c>
      <c r="I1557">
        <f>-608.939381559232 -54.3949236619934 -691.428163247656</f>
        <v>-1354.7624684688813</v>
      </c>
      <c r="J1557">
        <f>-646.764899680217 -29.4552826691486 -559.900064815111</f>
        <v>-1236.1202471644765</v>
      </c>
      <c r="K1557" t="s">
        <v>17236</v>
      </c>
      <c r="L1557" t="s">
        <v>17237</v>
      </c>
      <c r="M1557" t="s">
        <v>17238</v>
      </c>
      <c r="N1557">
        <f>-639.30840279111 -84.3575505764302 -558.75874846731</f>
        <v>-1282.4247018348501</v>
      </c>
      <c r="O1557">
        <f>-622.935340149177 -217.071282640437 -526.860530478513</f>
        <v>-1366.8671532681271</v>
      </c>
      <c r="P1557">
        <f>-633.095356021796 -271.61149661355 -237.873746937559</f>
        <v>-1142.5805995729049</v>
      </c>
      <c r="Q1557">
        <f>-459.71576286522 -122.542103913914 -313.825616664497</f>
        <v>-896.08348344363094</v>
      </c>
      <c r="R1557" t="s">
        <v>17239</v>
      </c>
      <c r="S1557" t="s">
        <v>17240</v>
      </c>
      <c r="T1557" t="s">
        <v>17241</v>
      </c>
      <c r="U1557" t="s">
        <v>17242</v>
      </c>
      <c r="V1557">
        <f>-605.360604704046 -131.818959326593 -97.1372843686702</f>
        <v>-834.31684839930915</v>
      </c>
      <c r="W1557" t="s">
        <v>17243</v>
      </c>
      <c r="X1557" t="s">
        <v>17244</v>
      </c>
      <c r="Y1557" t="s">
        <v>17245</v>
      </c>
    </row>
    <row r="1558" spans="1:25" x14ac:dyDescent="0.3">
      <c r="A1558">
        <v>77850</v>
      </c>
      <c r="B1558" t="s">
        <v>17246</v>
      </c>
      <c r="C1558">
        <f>-628.30811677671 -39.4306367745512 -99.1330231539381</f>
        <v>-766.8717767051993</v>
      </c>
      <c r="D1558">
        <f>-646.603978412221 -47.8132477326182 -213.199668160952</f>
        <v>-907.61689430579111</v>
      </c>
      <c r="E1558">
        <f>-651.475713712021 -51.7676938342605 -311.623754582177</f>
        <v>-1014.8671621284586</v>
      </c>
      <c r="F1558">
        <f>-652.082949638488 -54.3093397836203 -400.682152096422</f>
        <v>-1107.0744415185304</v>
      </c>
      <c r="G1558">
        <f>-648.524725258999 -55.8378570814546 -489.694695358036</f>
        <v>-1194.0572776984895</v>
      </c>
      <c r="H1558">
        <f>-639.168190299767 -56.9934680798771 -613.920186036777</f>
        <v>-1310.0818444164211</v>
      </c>
      <c r="I1558">
        <f>-609.07547409912 -53.7517439688615 -691.308375432661</f>
        <v>-1354.1355935006427</v>
      </c>
      <c r="J1558">
        <f>-647.007157623434 -29.0321676056526 -559.790499677498</f>
        <v>-1235.8298249065847</v>
      </c>
      <c r="K1558" t="s">
        <v>17247</v>
      </c>
      <c r="L1558" t="s">
        <v>17248</v>
      </c>
      <c r="M1558" t="s">
        <v>17249</v>
      </c>
      <c r="N1558">
        <f>-639.563943143787 -83.9377090068584 -558.719015643719</f>
        <v>-1282.2206677943645</v>
      </c>
      <c r="O1558">
        <f>-623.233910762257 -216.697558550556 -526.972727407534</f>
        <v>-1366.904196720347</v>
      </c>
      <c r="P1558">
        <f>-633.504459702848 -271.421647031113 -238.024632530767</f>
        <v>-1142.9507392647279</v>
      </c>
      <c r="Q1558">
        <f>-460.05698311286 -122.458873567873 -314.030764259194</f>
        <v>-896.54662093992692</v>
      </c>
      <c r="R1558" t="s">
        <v>17250</v>
      </c>
      <c r="S1558" t="s">
        <v>17251</v>
      </c>
      <c r="T1558" t="s">
        <v>17252</v>
      </c>
      <c r="U1558" t="s">
        <v>17253</v>
      </c>
      <c r="V1558">
        <f>-605.376393514204 -131.646640092318 -97.1151591367882</f>
        <v>-834.13819274331013</v>
      </c>
      <c r="W1558" t="s">
        <v>17254</v>
      </c>
      <c r="X1558" t="s">
        <v>17255</v>
      </c>
      <c r="Y1558" t="s">
        <v>17256</v>
      </c>
    </row>
    <row r="1559" spans="1:25" x14ac:dyDescent="0.3">
      <c r="A1559">
        <v>77900</v>
      </c>
      <c r="B1559" t="s">
        <v>17257</v>
      </c>
      <c r="C1559">
        <f>-628.499612060206 -39.2744105187569 -99.118660632697</f>
        <v>-766.89268321165991</v>
      </c>
      <c r="D1559">
        <f>-646.907098641125 -47.6842396982934 -213.165345904465</f>
        <v>-907.75668424388334</v>
      </c>
      <c r="E1559">
        <f>-651.815125212424 -51.5013127428463 -311.592983972105</f>
        <v>-1014.9094219273753</v>
      </c>
      <c r="F1559">
        <f>-652.42826200432 -53.8572190761471 -400.656564877562</f>
        <v>-1106.9420459580292</v>
      </c>
      <c r="G1559">
        <f>-648.847449861252 -55.1397778673637 -489.672236366868</f>
        <v>-1193.6594640954836</v>
      </c>
      <c r="H1559">
        <f>-639.428094058787 -55.8901879408062 -613.895885358399</f>
        <v>-1309.2141673579922</v>
      </c>
      <c r="I1559">
        <f>-609.178040190322 -52.3658445164097 -691.21045634781</f>
        <v>-1352.7543410545418</v>
      </c>
      <c r="J1559">
        <f>-647.303539328989 -28.106919665534 -559.679938645412</f>
        <v>-1235.090397639935</v>
      </c>
      <c r="K1559" t="s">
        <v>17258</v>
      </c>
      <c r="L1559" t="s">
        <v>17259</v>
      </c>
      <c r="M1559" t="s">
        <v>17260</v>
      </c>
      <c r="N1559">
        <f>-639.842572869537 -83.0131223214781 -558.782433831679</f>
        <v>-1281.6381290226941</v>
      </c>
      <c r="O1559">
        <f>-623.466911425339 -215.85083310292 -527.406781221978</f>
        <v>-1366.724525750237</v>
      </c>
      <c r="P1559">
        <f>-634.197382231062 -271.237860721743 -238.60176169046</f>
        <v>-1144.0370046432649</v>
      </c>
      <c r="Q1559">
        <f>-460.481795206178 -122.401283352345 -314.241772964606</f>
        <v>-897.12485152312911</v>
      </c>
      <c r="R1559" t="s">
        <v>17261</v>
      </c>
      <c r="S1559" t="s">
        <v>17262</v>
      </c>
      <c r="T1559" t="s">
        <v>17263</v>
      </c>
      <c r="U1559" t="s">
        <v>17264</v>
      </c>
      <c r="V1559">
        <f>-605.104013811279 -131.483859610515 -97.1520482817256</f>
        <v>-833.73992170351949</v>
      </c>
      <c r="W1559" t="s">
        <v>17265</v>
      </c>
      <c r="X1559" t="s">
        <v>17266</v>
      </c>
      <c r="Y1559" t="s">
        <v>17267</v>
      </c>
    </row>
    <row r="1560" spans="1:25" x14ac:dyDescent="0.3">
      <c r="A1560">
        <v>77950</v>
      </c>
      <c r="B1560" t="s">
        <v>17268</v>
      </c>
      <c r="C1560">
        <f>-628.327996209359 -39.5976883236604 -99.1420568912234</f>
        <v>-767.06774142424274</v>
      </c>
      <c r="D1560">
        <f>-646.775404693153 -48.029776151488 -213.180694752042</f>
        <v>-907.98587559668294</v>
      </c>
      <c r="E1560">
        <f>-651.70366668193 -51.7792173353034 -311.609887692807</f>
        <v>-1015.0927717100404</v>
      </c>
      <c r="F1560">
        <f>-652.327679625938 -54.0402089173143 -400.675894361741</f>
        <v>-1107.0437829049933</v>
      </c>
      <c r="G1560">
        <f>-648.749733374515 -55.1942760896223 -489.693258480946</f>
        <v>-1193.6372679450833</v>
      </c>
      <c r="H1560">
        <f>-639.325303930874 -55.730217901019 -613.917677517664</f>
        <v>-1308.973199349557</v>
      </c>
      <c r="I1560">
        <f>-609.000206039005 -52.0497833964735 -691.195551309983</f>
        <v>-1352.2455407454613</v>
      </c>
      <c r="J1560">
        <f>-647.219158370274 -28.0427789510036 -559.655251644745</f>
        <v>-1234.9171889660226</v>
      </c>
      <c r="K1560" t="s">
        <v>17269</v>
      </c>
      <c r="L1560" t="s">
        <v>17270</v>
      </c>
      <c r="M1560" t="s">
        <v>17271</v>
      </c>
      <c r="N1560">
        <f>-639.725950176387 -82.9460350310163 -558.850092514149</f>
        <v>-1281.5220777215523</v>
      </c>
      <c r="O1560">
        <f>-623.290362480239 -215.825411563778 -527.705950389097</f>
        <v>-1366.821724433114</v>
      </c>
      <c r="P1560">
        <f>-634.17838971959 -271.558471073414 -238.973360122337</f>
        <v>-1144.7102209153409</v>
      </c>
      <c r="Q1560">
        <f>-460.445430609788 -122.560122456516 -314.254072122057</f>
        <v>-897.25962518836093</v>
      </c>
      <c r="R1560" t="s">
        <v>17272</v>
      </c>
      <c r="S1560" t="s">
        <v>17273</v>
      </c>
      <c r="T1560" t="s">
        <v>17274</v>
      </c>
      <c r="U1560" t="s">
        <v>17275</v>
      </c>
      <c r="V1560">
        <f>-604.805286704165 -131.950374941113 -97.1653319836886</f>
        <v>-833.92099362896658</v>
      </c>
      <c r="W1560" t="s">
        <v>17276</v>
      </c>
      <c r="X1560" t="s">
        <v>17277</v>
      </c>
      <c r="Y1560" t="s">
        <v>17278</v>
      </c>
    </row>
    <row r="1561" spans="1:25" x14ac:dyDescent="0.3">
      <c r="A1561">
        <v>78000</v>
      </c>
      <c r="B1561" t="s">
        <v>17279</v>
      </c>
      <c r="C1561">
        <f>-627.604244735647 -40.6445781465825 -99.1101447509081</f>
        <v>-767.35896763313758</v>
      </c>
      <c r="D1561">
        <f>-646.087717751629 -49.1152240309856 -213.140105538867</f>
        <v>-908.34304732148166</v>
      </c>
      <c r="E1561">
        <f>-651.047797376541 -52.7465329125671 -311.572170193189</f>
        <v>-1015.3665004822971</v>
      </c>
      <c r="F1561">
        <f>-651.697756883601 -54.8437237949714 -400.64187986727</f>
        <v>-1107.1833605458423</v>
      </c>
      <c r="G1561">
        <f>-648.14123581616 -55.777890245564 -489.662763968948</f>
        <v>-1193.581890030672</v>
      </c>
      <c r="H1561">
        <f>-638.740635891171 -55.9491449920963 -613.88999936951</f>
        <v>-1308.5797802527773</v>
      </c>
      <c r="I1561">
        <f>-608.329765447835 -51.9659615754478 -691.11912535565</f>
        <v>-1351.4148523789327</v>
      </c>
      <c r="J1561">
        <f>-646.659382342845 -28.4259527649406 -559.547919213679</f>
        <v>-1234.6332543214646</v>
      </c>
      <c r="K1561" t="s">
        <v>17280</v>
      </c>
      <c r="L1561" t="s">
        <v>17281</v>
      </c>
      <c r="M1561" t="s">
        <v>17282</v>
      </c>
      <c r="N1561">
        <f>-639.095326283252 -83.321579487781 -558.89973673637</f>
        <v>-1281.316642507403</v>
      </c>
      <c r="O1561">
        <f>-622.4828068294 -216.283603504266 -528.175664103187</f>
        <v>-1366.9420744368531</v>
      </c>
      <c r="P1561">
        <f>-633.509801059776 -272.802228325866 -239.601090528964</f>
        <v>-1145.9131199146061</v>
      </c>
      <c r="Q1561">
        <f>-459.928604977024 -123.383624954512 -314.397545537902</f>
        <v>-897.709775469438</v>
      </c>
      <c r="R1561" t="s">
        <v>17283</v>
      </c>
      <c r="S1561" t="s">
        <v>17284</v>
      </c>
      <c r="T1561" t="s">
        <v>17285</v>
      </c>
      <c r="U1561" t="s">
        <v>17286</v>
      </c>
      <c r="V1561">
        <f>-604.11308541425 -132.846743828816 -97.1521809535243</f>
        <v>-834.11201019659029</v>
      </c>
      <c r="W1561" t="s">
        <v>17287</v>
      </c>
      <c r="X1561" t="s">
        <v>17288</v>
      </c>
      <c r="Y1561" t="s">
        <v>17289</v>
      </c>
    </row>
    <row r="1562" spans="1:25" x14ac:dyDescent="0.3">
      <c r="A1562">
        <v>78050</v>
      </c>
      <c r="B1562" t="s">
        <v>17290</v>
      </c>
      <c r="C1562">
        <f>-627.306173587889 -40.9999040600351 -99.0901986503706</f>
        <v>-767.39627629829465</v>
      </c>
      <c r="D1562">
        <f>-645.810535814021 -49.4845828328491 -213.115726961884</f>
        <v>-908.41084560875413</v>
      </c>
      <c r="E1562">
        <f>-650.797403689831 -53.0600842441989 -311.548462314138</f>
        <v>-1015.405950248168</v>
      </c>
      <c r="F1562">
        <f>-651.473847308537 -55.0809805618475 -400.619842173359</f>
        <v>-1107.1746700437434</v>
      </c>
      <c r="G1562">
        <f>-647.945390858742 -55.9128177411629 -489.642732435707</f>
        <v>-1193.500941035612</v>
      </c>
      <c r="H1562">
        <f>-638.585023881078 -55.9144975399657 -613.873190420709</f>
        <v>-1308.3727118417528</v>
      </c>
      <c r="I1562">
        <f>-608.170695679209 -51.7913223584217 -691.093636621564</f>
        <v>-1351.0556546591947</v>
      </c>
      <c r="J1562">
        <f>-646.510249064362 -28.46875145083 -559.492705446567</f>
        <v>-1234.4717059617592</v>
      </c>
      <c r="K1562" t="s">
        <v>17291</v>
      </c>
      <c r="L1562" t="s">
        <v>17292</v>
      </c>
      <c r="M1562" t="s">
        <v>17293</v>
      </c>
      <c r="N1562">
        <f>-638.897805483147 -83.3585229066249 -558.918443573006</f>
        <v>-1281.1747719627779</v>
      </c>
      <c r="O1562">
        <f>-622.173566208298 -216.341486613233 -528.366862247302</f>
        <v>-1366.881915068833</v>
      </c>
      <c r="P1562">
        <f>-633.16095379003 -273.170289679576 -239.851711774398</f>
        <v>-1146.182955244004</v>
      </c>
      <c r="Q1562">
        <f>-459.675843586754 -123.58462017213 -314.537214178301</f>
        <v>-897.79767793718497</v>
      </c>
      <c r="R1562" t="s">
        <v>17294</v>
      </c>
      <c r="S1562" t="s">
        <v>17295</v>
      </c>
      <c r="T1562" t="s">
        <v>17296</v>
      </c>
      <c r="U1562" t="s">
        <v>17297</v>
      </c>
      <c r="V1562">
        <f>-603.773007611557 -133.113463916471 -97.1350715558974</f>
        <v>-834.02154308392539</v>
      </c>
      <c r="W1562" t="s">
        <v>17298</v>
      </c>
      <c r="X1562" t="s">
        <v>17299</v>
      </c>
      <c r="Y1562" t="s">
        <v>17300</v>
      </c>
    </row>
    <row r="1563" spans="1:25" x14ac:dyDescent="0.3">
      <c r="A1563">
        <v>78100</v>
      </c>
      <c r="B1563" t="s">
        <v>17301</v>
      </c>
      <c r="C1563">
        <f>-626.939050735821 -41.4702341906018 -99.0610608373848</f>
        <v>-767.47034576380759</v>
      </c>
      <c r="D1563">
        <f>-645.405583013186 -50.0278146490356 -213.08729205107</f>
        <v>-908.52068971329152</v>
      </c>
      <c r="E1563">
        <f>-650.460601483351 -53.5321618081076 -311.519016541445</f>
        <v>-1015.5117798329036</v>
      </c>
      <c r="F1563">
        <f>-651.236238091641 -55.4370595862242 -400.592083574055</f>
        <v>-1107.2653812519202</v>
      </c>
      <c r="G1563">
        <f>-647.843203854952 -56.1003244846254 -489.62181012063</f>
        <v>-1193.5653384602074</v>
      </c>
      <c r="H1563">
        <f>-638.708632865878 -55.8114483899543 -613.86882106915</f>
        <v>-1308.3889023249824</v>
      </c>
      <c r="I1563">
        <f>-608.337577049651 -51.4622525352087 -691.093883794831</f>
        <v>-1350.8937133796908</v>
      </c>
      <c r="J1563">
        <f>-646.603337285347 -28.5026829964909 -559.414949130556</f>
        <v>-1234.5209694123939</v>
      </c>
      <c r="K1563" t="s">
        <v>17302</v>
      </c>
      <c r="L1563" t="s">
        <v>17303</v>
      </c>
      <c r="M1563" t="s">
        <v>17304</v>
      </c>
      <c r="N1563">
        <f>-638.853259865844 -83.3744544192991 -558.972759988078</f>
        <v>-1281.2004742732211</v>
      </c>
      <c r="O1563">
        <f>-621.758761013886 -216.37828460241 -528.688354769691</f>
        <v>-1366.825400385987</v>
      </c>
      <c r="P1563">
        <f>-632.529420440322 -273.684035971702 -240.259303650465</f>
        <v>-1146.472760062489</v>
      </c>
      <c r="Q1563">
        <f>-459.363774756715 -123.656615356789 -314.799642618117</f>
        <v>-897.82003273162093</v>
      </c>
      <c r="R1563" t="s">
        <v>17305</v>
      </c>
      <c r="S1563" t="s">
        <v>17306</v>
      </c>
      <c r="T1563" t="s">
        <v>17307</v>
      </c>
      <c r="U1563" t="s">
        <v>17308</v>
      </c>
      <c r="V1563">
        <f>-603.05378611257 -133.567999290028 -97.1250370383668</f>
        <v>-833.74682244096493</v>
      </c>
      <c r="W1563" t="s">
        <v>17309</v>
      </c>
      <c r="X1563" t="s">
        <v>17310</v>
      </c>
      <c r="Y1563" t="s">
        <v>17311</v>
      </c>
    </row>
    <row r="1564" spans="1:25" x14ac:dyDescent="0.3">
      <c r="A1564">
        <v>78150</v>
      </c>
      <c r="B1564" t="s">
        <v>17312</v>
      </c>
      <c r="C1564">
        <f>-626.810489387409 -41.5428057561196 -99.0541902365966</f>
        <v>-767.40748538012519</v>
      </c>
      <c r="D1564">
        <f>-645.282068286473 -50.1440336507907 -213.07630832132</f>
        <v>-908.50241025858361</v>
      </c>
      <c r="E1564">
        <f>-650.399831176856 -53.6182143865502 -311.50596588926</f>
        <v>-1015.5240114526662</v>
      </c>
      <c r="F1564">
        <f>-651.254498838931 -55.4686443540031 -400.579433777753</f>
        <v>-1107.3025769706871</v>
      </c>
      <c r="G1564">
        <f>-647.96231246878 -56.0490441342359 -489.613524065878</f>
        <v>-1193.6248806688941</v>
      </c>
      <c r="H1564">
        <f>-638.990808474152 -55.6136645665441 -613.871853449902</f>
        <v>-1308.4763264905982</v>
      </c>
      <c r="I1564">
        <f>-608.678507975747 -51.1417688621042 -691.113008956945</f>
        <v>-1350.9332857947961</v>
      </c>
      <c r="J1564">
        <f>-646.879910571601 -28.3785592934255 -559.38033562233</f>
        <v>-1234.6388054873564</v>
      </c>
      <c r="K1564" t="s">
        <v>17313</v>
      </c>
      <c r="L1564" t="s">
        <v>17314</v>
      </c>
      <c r="M1564" t="s">
        <v>17315</v>
      </c>
      <c r="N1564">
        <f>-638.997525199784 -83.2319014514878 -559.003454858143</f>
        <v>-1281.2328815094147</v>
      </c>
      <c r="O1564">
        <f>-621.589350058024 -216.219943366679 -528.830339881548</f>
        <v>-1366.639633306251</v>
      </c>
      <c r="P1564">
        <f>-632.193924969689 -273.725900707947 -240.435071429175</f>
        <v>-1146.354897106811</v>
      </c>
      <c r="Q1564">
        <f>-459.28389906245 -123.344794262756 -314.856230392121</f>
        <v>-897.48492371732698</v>
      </c>
      <c r="R1564" t="s">
        <v>17316</v>
      </c>
      <c r="S1564" t="s">
        <v>17317</v>
      </c>
      <c r="T1564" t="s">
        <v>17318</v>
      </c>
      <c r="U1564" t="s">
        <v>17319</v>
      </c>
      <c r="V1564">
        <f>-602.708478043535 -133.597973161848 -97.1114462736799</f>
        <v>-833.41789747906296</v>
      </c>
      <c r="W1564" t="s">
        <v>17320</v>
      </c>
      <c r="X1564" t="s">
        <v>17321</v>
      </c>
      <c r="Y1564" t="s">
        <v>17322</v>
      </c>
    </row>
    <row r="1565" spans="1:25" x14ac:dyDescent="0.3">
      <c r="A1565">
        <v>78200</v>
      </c>
      <c r="B1565" t="s">
        <v>17323</v>
      </c>
      <c r="C1565">
        <f>-626.374984543907 -41.8674570888661 -99.0871404434547</f>
        <v>-767.32958207622778</v>
      </c>
      <c r="D1565">
        <f>-644.856631642346 -50.5075856485136 -213.104658177948</f>
        <v>-908.46887546880748</v>
      </c>
      <c r="E1565">
        <f>-650.117414140843 -53.9573143833912 -311.527593771461</f>
        <v>-1015.6023222956953</v>
      </c>
      <c r="F1565">
        <f>-651.154631651399 -55.7610826750296 -400.600098370682</f>
        <v>-1107.5158126971105</v>
      </c>
      <c r="G1565">
        <f>-648.098169772438 -56.2665964511481 -489.643052638127</f>
        <v>-1194.0078188617131</v>
      </c>
      <c r="H1565">
        <f>-639.51107899529 -55.6944028483207 -613.92794395144</f>
        <v>-1309.1334257950507</v>
      </c>
      <c r="I1565">
        <f>-609.348484266179 -51.0092187865513 -691.215137504186</f>
        <v>-1351.5728405569162</v>
      </c>
      <c r="J1565">
        <f>-647.377907664335 -28.5408101953055 -559.392695466409</f>
        <v>-1235.3114133260497</v>
      </c>
      <c r="K1565" t="s">
        <v>17324</v>
      </c>
      <c r="L1565" t="s">
        <v>17325</v>
      </c>
      <c r="M1565" t="s">
        <v>17326</v>
      </c>
      <c r="N1565">
        <f>-639.201750838606 -83.3515320832653 -559.080024701894</f>
        <v>-1281.6333076237652</v>
      </c>
      <c r="O1565">
        <f>-621.046972894687 -216.265211290993 -529.0805753588</f>
        <v>-1366.39275954448</v>
      </c>
      <c r="P1565">
        <f>-630.97600306087 -274.051298501108 -240.717346171312</f>
        <v>-1145.7446477332901</v>
      </c>
      <c r="Q1565">
        <f>-458.876129760009 -122.575726820353 -314.795907090812</f>
        <v>-896.24776367117397</v>
      </c>
      <c r="R1565" t="s">
        <v>17327</v>
      </c>
      <c r="S1565" t="s">
        <v>17328</v>
      </c>
      <c r="T1565" t="s">
        <v>17329</v>
      </c>
      <c r="U1565" t="s">
        <v>17330</v>
      </c>
      <c r="V1565">
        <f>-602.003416304074 -133.943619784527 -97.1627108747072</f>
        <v>-833.10974696330811</v>
      </c>
      <c r="W1565" t="s">
        <v>17331</v>
      </c>
      <c r="X1565" t="s">
        <v>17332</v>
      </c>
      <c r="Y1565" t="s">
        <v>17333</v>
      </c>
    </row>
    <row r="1566" spans="1:25" x14ac:dyDescent="0.3">
      <c r="A1566">
        <v>78250</v>
      </c>
      <c r="B1566" t="s">
        <v>17334</v>
      </c>
      <c r="C1566">
        <f>-626.13746347083 -42.0222636361809 -99.1226948635507</f>
        <v>-767.28242197056159</v>
      </c>
      <c r="D1566">
        <f>-644.580289743761 -50.6910638011427 -213.144290229226</f>
        <v>-908.41564377412965</v>
      </c>
      <c r="E1566">
        <f>-649.903521362073 -54.1550415949552 -311.563351851927</f>
        <v>-1015.6219148089551</v>
      </c>
      <c r="F1566">
        <f>-651.035308739489 -55.9678860370185 -400.634651818676</f>
        <v>-1107.6378465951834</v>
      </c>
      <c r="G1566">
        <f>-648.111433261839 -56.4770204381779 -489.681926206832</f>
        <v>-1194.2703799068488</v>
      </c>
      <c r="H1566">
        <f>-639.749097861413 -55.904078136524 -613.982318888765</f>
        <v>-1309.635494886702</v>
      </c>
      <c r="I1566">
        <f>-609.672237020981 -51.1647950786287 -691.299360101772</f>
        <v>-1352.1363922013816</v>
      </c>
      <c r="J1566">
        <f>-647.571310437697 -28.7589834154976 -559.436203831467</f>
        <v>-1235.7664976846615</v>
      </c>
      <c r="K1566" t="s">
        <v>17335</v>
      </c>
      <c r="L1566" t="s">
        <v>17336</v>
      </c>
      <c r="M1566" t="s">
        <v>17337</v>
      </c>
      <c r="N1566">
        <f>-639.286505581984 -83.5534283691733 -559.131514470324</f>
        <v>-1281.9714484214812</v>
      </c>
      <c r="O1566">
        <f>-620.820088044426 -216.43707037726 -529.175821506465</f>
        <v>-1366.4329799281509</v>
      </c>
      <c r="P1566">
        <f>-630.256309340837 -274.263582508372 -240.804144827128</f>
        <v>-1145.3240366763371</v>
      </c>
      <c r="Q1566">
        <f>-458.634073382124 -122.209907262521 -314.806697821034</f>
        <v>-895.65067846567899</v>
      </c>
      <c r="R1566" t="s">
        <v>17338</v>
      </c>
      <c r="S1566" t="s">
        <v>17339</v>
      </c>
      <c r="T1566" t="s">
        <v>17340</v>
      </c>
      <c r="U1566" t="s">
        <v>17341</v>
      </c>
      <c r="V1566">
        <f>-601.68719751048 -134.060418602186 -97.1996215988313</f>
        <v>-832.94723771149734</v>
      </c>
      <c r="W1566" t="s">
        <v>17342</v>
      </c>
      <c r="X1566" t="s">
        <v>17343</v>
      </c>
      <c r="Y1566" t="s">
        <v>17344</v>
      </c>
    </row>
    <row r="1567" spans="1:25" x14ac:dyDescent="0.3">
      <c r="A1567">
        <v>78300</v>
      </c>
      <c r="B1567" t="s">
        <v>17345</v>
      </c>
      <c r="C1567">
        <f>-625.919092590108 -42.3359382885581 -99.1862019956453</f>
        <v>-767.44123287431137</v>
      </c>
      <c r="D1567">
        <f>-644.310556277106 -51.0533209142656 -213.212438070577</f>
        <v>-908.57631526194859</v>
      </c>
      <c r="E1567">
        <f>-649.733560650784 -54.562041283426 -311.62459967879</f>
        <v>-1015.920201613</v>
      </c>
      <c r="F1567">
        <f>-651.012553011979 -56.4177391357803 -400.692764321068</f>
        <v>-1108.1230564688271</v>
      </c>
      <c r="G1567">
        <f>-648.29285022283 -56.970612051089 -489.746376213504</f>
        <v>-1195.0098384874229</v>
      </c>
      <c r="H1567">
        <f>-640.274807029769 -56.4591145050912 -614.069526274166</f>
        <v>-1310.8034478090262</v>
      </c>
      <c r="I1567">
        <f>-610.371921916801 -51.7197506229204 -691.454287736994</f>
        <v>-1353.5459602767155</v>
      </c>
      <c r="J1567">
        <f>-648.014671049481 -29.2975188996434 -559.520093720038</f>
        <v>-1236.8322836691623</v>
      </c>
      <c r="K1567" t="s">
        <v>17346</v>
      </c>
      <c r="L1567" t="s">
        <v>17347</v>
      </c>
      <c r="M1567" t="s">
        <v>17348</v>
      </c>
      <c r="N1567">
        <f>-639.591620276455 -84.0709410544376 -559.202054509619</f>
        <v>-1282.8646158405118</v>
      </c>
      <c r="O1567">
        <f>-620.739679494216 -216.911822856273 -529.253790047602</f>
        <v>-1366.9052923980912</v>
      </c>
      <c r="P1567">
        <f>-629.600715531098 -274.515987659181 -240.819302778474</f>
        <v>-1144.9360059687529</v>
      </c>
      <c r="Q1567">
        <f>-458.896067904866 -121.471827690106 -314.90218767586</f>
        <v>-895.27008327083195</v>
      </c>
      <c r="R1567" t="s">
        <v>17349</v>
      </c>
      <c r="S1567" t="s">
        <v>17350</v>
      </c>
      <c r="T1567" t="s">
        <v>17351</v>
      </c>
      <c r="U1567" t="s">
        <v>17352</v>
      </c>
      <c r="V1567">
        <f>-601.230993901072 -134.399759324923 -97.2404506127365</f>
        <v>-832.8712038387315</v>
      </c>
      <c r="W1567" t="s">
        <v>17353</v>
      </c>
      <c r="X1567" t="s">
        <v>17354</v>
      </c>
      <c r="Y1567" t="s">
        <v>17355</v>
      </c>
    </row>
    <row r="1568" spans="1:25" x14ac:dyDescent="0.3">
      <c r="A1568">
        <v>78350</v>
      </c>
      <c r="B1568" t="s">
        <v>17356</v>
      </c>
      <c r="C1568">
        <f>-625.904428248466 -42.3672626635184 -99.202016529375</f>
        <v>-767.47370744135947</v>
      </c>
      <c r="D1568">
        <f>-644.314130861524 -51.0709472069592 -213.226422426941</f>
        <v>-908.61150049542414</v>
      </c>
      <c r="E1568">
        <f>-649.782247269016 -54.5763219246444 -311.636111934306</f>
        <v>-1015.9946811279664</v>
      </c>
      <c r="F1568">
        <f>-651.114054786727 -56.4322375325146 -400.7035253986</f>
        <v>-1108.2498177178416</v>
      </c>
      <c r="G1568">
        <f>-648.459215984083 -56.9876138246422 -489.759086010131</f>
        <v>-1195.2059158188563</v>
      </c>
      <c r="H1568">
        <f>-640.544624978763 -56.4820477034131 -614.08886179419</f>
        <v>-1311.1155344763661</v>
      </c>
      <c r="I1568">
        <f>-610.723140135448 -51.7508811439977 -691.505522626488</f>
        <v>-1353.9795439059337</v>
      </c>
      <c r="J1568">
        <f>-648.266693596064 -29.3221659862008 -559.536099418665</f>
        <v>-1237.1249590009297</v>
      </c>
      <c r="K1568" t="s">
        <v>17357</v>
      </c>
      <c r="L1568" t="s">
        <v>17358</v>
      </c>
      <c r="M1568" t="s">
        <v>17359</v>
      </c>
      <c r="N1568">
        <f>-639.788225809845 -84.0869352484237 -559.218986040706</f>
        <v>-1283.0941470989746</v>
      </c>
      <c r="O1568">
        <f>-620.825628429297 -216.913585458821 -529.256486264157</f>
        <v>-1366.995700152275</v>
      </c>
      <c r="P1568">
        <f>-629.725572561863 -274.279791549636 -240.775865547246</f>
        <v>-1144.7812296587451</v>
      </c>
      <c r="Q1568">
        <f>-459.24600668025 -121.007776490422 -314.905931345414</f>
        <v>-895.15971451608607</v>
      </c>
      <c r="R1568" t="s">
        <v>17360</v>
      </c>
      <c r="S1568" t="s">
        <v>17361</v>
      </c>
      <c r="T1568" t="s">
        <v>17362</v>
      </c>
      <c r="U1568" t="s">
        <v>17363</v>
      </c>
      <c r="V1568">
        <f>-601.143132980424 -134.371181178462 -97.2701207524757</f>
        <v>-832.7844349113617</v>
      </c>
      <c r="W1568" t="s">
        <v>17364</v>
      </c>
      <c r="X1568" t="s">
        <v>17365</v>
      </c>
      <c r="Y1568" t="s">
        <v>17366</v>
      </c>
    </row>
    <row r="1569" spans="1:25" x14ac:dyDescent="0.3">
      <c r="A1569">
        <v>78400</v>
      </c>
      <c r="B1569" t="s">
        <v>17367</v>
      </c>
      <c r="C1569">
        <f>-625.887549937062 -42.2261071112373 -99.1856479644522</f>
        <v>-767.29930501275146</v>
      </c>
      <c r="D1569">
        <f>-644.3391048646 -50.907999692203 -213.204969268877</f>
        <v>-908.45207382568003</v>
      </c>
      <c r="E1569">
        <f>-649.885099540492 -54.3880207038841 -311.611212463621</f>
        <v>-1015.884332707997</v>
      </c>
      <c r="F1569">
        <f>-651.304559569014 -56.2171227693293 -400.677806064675</f>
        <v>-1108.1994884030182</v>
      </c>
      <c r="G1569">
        <f>-648.75452096818 -56.7408261342408 -489.736586961313</f>
        <v>-1195.2319340637339</v>
      </c>
      <c r="H1569">
        <f>-641.00445455941 -56.1840868616982 -614.076647017839</f>
        <v>-1311.2651884389472</v>
      </c>
      <c r="I1569">
        <f>-611.288044891668 -51.4995496071499 -691.536392953034</f>
        <v>-1354.323987451852</v>
      </c>
      <c r="J1569">
        <f>-648.684045453675 -29.051252807963 -559.504304372571</f>
        <v>-1237.2396026342089</v>
      </c>
      <c r="K1569" t="s">
        <v>17368</v>
      </c>
      <c r="L1569" t="s">
        <v>17369</v>
      </c>
      <c r="M1569" t="s">
        <v>17370</v>
      </c>
      <c r="N1569">
        <f>-640.145661023504 -83.8068427357662 -559.217366022765</f>
        <v>-1283.1698697820352</v>
      </c>
      <c r="O1569">
        <f>-621.064066600051 -216.62309151683 -529.319024806512</f>
        <v>-1367.0061829233928</v>
      </c>
      <c r="P1569">
        <f>-629.920778361466 -273.977797765513 -240.834697320216</f>
        <v>-1144.733273447195</v>
      </c>
      <c r="Q1569">
        <f>-459.877697697877 -119.995052053226 -314.492921030953</f>
        <v>-894.36567078205599</v>
      </c>
      <c r="R1569" t="s">
        <v>17371</v>
      </c>
      <c r="S1569" t="s">
        <v>17372</v>
      </c>
      <c r="T1569" t="s">
        <v>17373</v>
      </c>
      <c r="U1569" t="s">
        <v>17374</v>
      </c>
      <c r="V1569">
        <f>-601.048423556822 -134.140924160586 -97.30031073822</f>
        <v>-832.48965845562793</v>
      </c>
      <c r="W1569" t="s">
        <v>17375</v>
      </c>
      <c r="X1569" t="s">
        <v>17376</v>
      </c>
      <c r="Y1569" t="s">
        <v>17377</v>
      </c>
    </row>
    <row r="1570" spans="1:25" x14ac:dyDescent="0.3">
      <c r="A1570">
        <v>78450</v>
      </c>
      <c r="B1570" t="s">
        <v>17378</v>
      </c>
      <c r="C1570">
        <f>-625.778647749667 -42.2566663291523 -99.1739233387084</f>
        <v>-767.20923741752767</v>
      </c>
      <c r="D1570">
        <f>-644.240237998534 -50.9249217653221 -213.192615991132</f>
        <v>-908.3577757549881</v>
      </c>
      <c r="E1570">
        <f>-649.833625396662 -54.396304260338 -311.59643660264</f>
        <v>-1015.8263662596399</v>
      </c>
      <c r="F1570">
        <f>-651.31185798817 -56.2176993908989 -400.662386499499</f>
        <v>-1108.1919438785681</v>
      </c>
      <c r="G1570">
        <f>-648.836376210862 -56.7332264164537 -489.723282501235</f>
        <v>-1195.2928851285508</v>
      </c>
      <c r="H1570">
        <f>-641.207091573698 -56.1644069789011 -614.07077989446</f>
        <v>-1311.4422784470589</v>
      </c>
      <c r="I1570">
        <f>-611.513273119712 -51.5164828386305 -691.541427289077</f>
        <v>-1354.5711832474194</v>
      </c>
      <c r="J1570">
        <f>-648.82972858748 -29.0362806666403 -559.487972135578</f>
        <v>-1237.3539813896982</v>
      </c>
      <c r="K1570" t="s">
        <v>17379</v>
      </c>
      <c r="L1570" t="s">
        <v>17380</v>
      </c>
      <c r="M1570" t="s">
        <v>17381</v>
      </c>
      <c r="N1570">
        <f>-640.29900074068 -83.7930587997804 -559.215154615805</f>
        <v>-1283.3072141562652</v>
      </c>
      <c r="O1570">
        <f>-621.231362005372 -216.621146897074 -529.365886642216</f>
        <v>-1367.2183955446621</v>
      </c>
      <c r="P1570">
        <f>-629.95660191601 -274.082239209669 -240.898706453451</f>
        <v>-1144.9375475791301</v>
      </c>
      <c r="Q1570">
        <f>-460.059671956699 -119.709737271206 -314.076889810691</f>
        <v>-893.84629903859604</v>
      </c>
      <c r="R1570" t="s">
        <v>17382</v>
      </c>
      <c r="S1570" t="s">
        <v>17383</v>
      </c>
      <c r="T1570" t="s">
        <v>17384</v>
      </c>
      <c r="U1570" t="s">
        <v>17385</v>
      </c>
      <c r="V1570">
        <f>-600.931310069043 -134.173060712565 -97.3064286163534</f>
        <v>-832.41079939796134</v>
      </c>
      <c r="W1570" t="s">
        <v>17386</v>
      </c>
      <c r="X1570" t="s">
        <v>17387</v>
      </c>
      <c r="Y1570" t="s">
        <v>17388</v>
      </c>
    </row>
    <row r="1571" spans="1:25" x14ac:dyDescent="0.3">
      <c r="A1571">
        <v>78500</v>
      </c>
      <c r="B1571" t="s">
        <v>17389</v>
      </c>
      <c r="C1571">
        <f>-625.379717292144 -42.4465614364019 -99.1444957719534</f>
        <v>-766.97077450049937</v>
      </c>
      <c r="D1571">
        <f>-643.891963322816 -51.1146428965237 -213.154947031477</f>
        <v>-908.16155325081672</v>
      </c>
      <c r="E1571">
        <f>-649.616805371137 -54.5735071202726 -311.551791904707</f>
        <v>-1015.7421043961166</v>
      </c>
      <c r="F1571">
        <f>-651.249200085947 -56.3768211585314 -400.61524001729</f>
        <v>-1108.2412612617684</v>
      </c>
      <c r="G1571">
        <f>-648.962994248874 -56.8663570625919 -489.681397415638</f>
        <v>-1195.5107487271039</v>
      </c>
      <c r="H1571">
        <f>-641.634762096046 -56.2521908920473 -614.0467287009</f>
        <v>-1311.9336816889931</v>
      </c>
      <c r="I1571">
        <f>-611.980786122104 -51.6401105506909 -691.534780040825</f>
        <v>-1355.1556767136199</v>
      </c>
      <c r="J1571">
        <f>-649.119783145061 -29.143138831897 -559.435519389847</f>
        <v>-1237.6984413668049</v>
      </c>
      <c r="K1571" t="s">
        <v>17390</v>
      </c>
      <c r="L1571" t="s">
        <v>17391</v>
      </c>
      <c r="M1571" t="s">
        <v>17392</v>
      </c>
      <c r="N1571">
        <f>-640.599370994762 -83.9017968006949 -559.203959298325</f>
        <v>-1283.7051270937818</v>
      </c>
      <c r="O1571">
        <f>-621.542992381041 -216.741691470548 -529.405325730432</f>
        <v>-1367.690009582021</v>
      </c>
      <c r="P1571">
        <f>-630.200510431167 -274.131953568911 -240.922081142016</f>
        <v>-1145.254545142094</v>
      </c>
      <c r="Q1571">
        <f>-460.35717621444 -119.425630805639 -313.51726130463</f>
        <v>-893.30006832470895</v>
      </c>
      <c r="R1571" t="s">
        <v>17393</v>
      </c>
      <c r="S1571" t="s">
        <v>17394</v>
      </c>
      <c r="T1571" t="s">
        <v>17395</v>
      </c>
      <c r="U1571" t="s">
        <v>17396</v>
      </c>
      <c r="V1571">
        <f>-600.57535588456 -134.435993037172 -97.2969307725865</f>
        <v>-832.30827969431857</v>
      </c>
      <c r="W1571" t="s">
        <v>17397</v>
      </c>
      <c r="X1571" t="s">
        <v>17398</v>
      </c>
      <c r="Y1571" t="s">
        <v>17399</v>
      </c>
    </row>
    <row r="1572" spans="1:25" x14ac:dyDescent="0.3">
      <c r="A1572">
        <v>78550</v>
      </c>
      <c r="B1572" t="s">
        <v>17400</v>
      </c>
      <c r="C1572">
        <f>-625.184379564283 -42.6824940103595 -99.1298614427183</f>
        <v>-766.99673501736072</v>
      </c>
      <c r="D1572">
        <f>-643.736881075155 -51.3495410863344 -213.133860809457</f>
        <v>-908.22028297094641</v>
      </c>
      <c r="E1572">
        <f>-649.537715511316 -54.794061118705 -311.526567776223</f>
        <v>-1015.858344406244</v>
      </c>
      <c r="F1572">
        <f>-651.255220621825 -56.578419678005 -400.588970839539</f>
        <v>-1108.4226111393691</v>
      </c>
      <c r="G1572">
        <f>-649.070494404122 -57.0425569459414 -489.65770047729</f>
        <v>-1195.7707518273535</v>
      </c>
      <c r="H1572">
        <f>-641.900924148026 -56.385482148925 -614.032219506563</f>
        <v>-1312.3186258035139</v>
      </c>
      <c r="I1572">
        <f>-612.273615412988 -51.7587269566787 -691.529593946415</f>
        <v>-1355.5619363160818</v>
      </c>
      <c r="J1572">
        <f>-649.324376703896 -29.2965360537501 -559.402633010269</f>
        <v>-1238.023545767915</v>
      </c>
      <c r="K1572" t="s">
        <v>17401</v>
      </c>
      <c r="L1572" t="s">
        <v>17402</v>
      </c>
      <c r="M1572" t="s">
        <v>17403</v>
      </c>
      <c r="N1572">
        <f>-640.787430964447 -84.0526167794975 -559.199693044935</f>
        <v>-1284.0397407888795</v>
      </c>
      <c r="O1572">
        <f>-621.680342111417 -216.898597545768 -529.457542183857</f>
        <v>-1368.0364818410419</v>
      </c>
      <c r="P1572">
        <f>-630.323832602785 -274.306599612719 -240.977287029153</f>
        <v>-1145.6077192446569</v>
      </c>
      <c r="Q1572">
        <f>-460.609467096564 -119.324814939253 -313.285971259856</f>
        <v>-893.22025329567305</v>
      </c>
      <c r="R1572" t="s">
        <v>17404</v>
      </c>
      <c r="S1572" t="s">
        <v>17405</v>
      </c>
      <c r="T1572" t="s">
        <v>17406</v>
      </c>
      <c r="U1572" t="s">
        <v>17407</v>
      </c>
      <c r="V1572">
        <f>-600.346995546519 -134.675680444885 -97.3003418525431</f>
        <v>-832.32301784394701</v>
      </c>
      <c r="W1572" t="s">
        <v>17408</v>
      </c>
      <c r="X1572" t="s">
        <v>17409</v>
      </c>
      <c r="Y1572" t="s">
        <v>17410</v>
      </c>
    </row>
    <row r="1573" spans="1:25" x14ac:dyDescent="0.3">
      <c r="A1573">
        <v>78600</v>
      </c>
      <c r="B1573" t="s">
        <v>17411</v>
      </c>
      <c r="C1573">
        <f>-624.723694613419 -43.3248657819689 -99.1172649110091</f>
        <v>-767.16582530639698</v>
      </c>
      <c r="D1573">
        <f>-643.325169416203 -52.0326127517474 -213.110190045879</f>
        <v>-908.4679722138294</v>
      </c>
      <c r="E1573">
        <f>-649.257978680088 -55.4637407974619 -311.495557883917</f>
        <v>-1016.2172773614668</v>
      </c>
      <c r="F1573">
        <f>-651.13016861982 -57.2159656011858 -400.555539592524</f>
        <v>-1108.9016738135297</v>
      </c>
      <c r="G1573">
        <f>-649.13514394708 -57.6266134862223 -489.629087418024</f>
        <v>-1196.3908448513262</v>
      </c>
      <c r="H1573">
        <f>-642.266697940229 -56.8715082644051 -614.019669427909</f>
        <v>-1313.157875632543</v>
      </c>
      <c r="I1573">
        <f>-612.69455513357 -52.1828550582991 -691.53458793094</f>
        <v>-1356.4119981228091</v>
      </c>
      <c r="J1573">
        <f>-649.607124239933 -29.8332757663422 -559.353869884758</f>
        <v>-1238.7942698910333</v>
      </c>
      <c r="K1573" t="s">
        <v>17412</v>
      </c>
      <c r="L1573" t="s">
        <v>17413</v>
      </c>
      <c r="M1573" t="s">
        <v>17414</v>
      </c>
      <c r="N1573">
        <f>-640.971228514262 -84.5742214739465 -559.20924975337</f>
        <v>-1284.7546997415784</v>
      </c>
      <c r="O1573">
        <f>-621.60485331416 -217.416794301779 -529.618216702138</f>
        <v>-1368.6398643180769</v>
      </c>
      <c r="P1573">
        <f>-630.040366318481 -274.907158559246 -241.148349762325</f>
        <v>-1146.095874640052</v>
      </c>
      <c r="Q1573">
        <f>-460.774607585971 -119.234167295596 -313.022778787988</f>
        <v>-893.03155366955502</v>
      </c>
      <c r="R1573" t="s">
        <v>17415</v>
      </c>
      <c r="S1573" t="s">
        <v>17416</v>
      </c>
      <c r="T1573" t="s">
        <v>17417</v>
      </c>
      <c r="U1573" t="s">
        <v>17418</v>
      </c>
      <c r="V1573">
        <f>-599.769536247942 -135.271002008039 -97.297128464914</f>
        <v>-832.33766672089496</v>
      </c>
      <c r="W1573" t="s">
        <v>17419</v>
      </c>
      <c r="X1573" t="s">
        <v>17420</v>
      </c>
      <c r="Y1573" t="s">
        <v>17421</v>
      </c>
    </row>
    <row r="1574" spans="1:25" x14ac:dyDescent="0.3">
      <c r="A1574">
        <v>78650</v>
      </c>
      <c r="B1574" t="s">
        <v>17422</v>
      </c>
      <c r="C1574">
        <f>-624.503125391608 -43.5460860753158 -99.1108357180333</f>
        <v>-767.16004718495708</v>
      </c>
      <c r="D1574">
        <f>-643.126220819396 -52.2645561750082 -213.099383617519</f>
        <v>-908.49016061192333</v>
      </c>
      <c r="E1574">
        <f>-649.116444480082 -55.6785443241936 -311.481941865292</f>
        <v>-1016.2769306695676</v>
      </c>
      <c r="F1574">
        <f>-651.055948313529 -57.4043309366814 -400.540949961104</f>
        <v>-1109.0012292113145</v>
      </c>
      <c r="G1574">
        <f>-649.143367975984 -57.7763605632199 -489.616347349967</f>
        <v>-1196.5360758891709</v>
      </c>
      <c r="H1574">
        <f>-642.405970296008 -56.9538912825288 -614.013891385613</f>
        <v>-1313.3737529641498</v>
      </c>
      <c r="I1574">
        <f>-612.873319852287 -52.2203517235785 -691.540988180716</f>
        <v>-1356.6346597565814</v>
      </c>
      <c r="J1574">
        <f>-649.725432493605 -29.9510777843213 -559.327677651825</f>
        <v>-1239.0041879297514</v>
      </c>
      <c r="K1574" t="s">
        <v>17423</v>
      </c>
      <c r="L1574" t="s">
        <v>17424</v>
      </c>
      <c r="M1574" t="s">
        <v>17425</v>
      </c>
      <c r="N1574">
        <f>-641.015987419138 -84.6804648630394 -559.217798971172</f>
        <v>-1284.9142512533494</v>
      </c>
      <c r="O1574">
        <f>-621.485140700255 -217.520469024673 -529.701608024219</f>
        <v>-1368.707217749147</v>
      </c>
      <c r="P1574">
        <f>-629.749102715597 -275.115858959023 -241.247634070953</f>
        <v>-1146.1125957455729</v>
      </c>
      <c r="Q1574">
        <f>-460.77658182579 -119.074317864388 -313.012805609608</f>
        <v>-892.86370529978603</v>
      </c>
      <c r="R1574" t="s">
        <v>17426</v>
      </c>
      <c r="S1574" t="s">
        <v>17427</v>
      </c>
      <c r="T1574" t="s">
        <v>17428</v>
      </c>
      <c r="U1574" t="s">
        <v>17429</v>
      </c>
      <c r="V1574">
        <f>-599.516640083911 -135.466811806743 -97.2834077759474</f>
        <v>-832.26685966660148</v>
      </c>
      <c r="W1574" t="s">
        <v>17430</v>
      </c>
      <c r="X1574" t="s">
        <v>17431</v>
      </c>
      <c r="Y1574" t="s">
        <v>17432</v>
      </c>
    </row>
    <row r="1575" spans="1:25" x14ac:dyDescent="0.3">
      <c r="A1575">
        <v>78700</v>
      </c>
      <c r="B1575" t="s">
        <v>17433</v>
      </c>
      <c r="C1575">
        <f>-624.007843325076 -44.0052909485379 -99.0931065710129</f>
        <v>-767.10624084462677</v>
      </c>
      <c r="D1575">
        <f>-642.622416051871 -52.7408960425422 -213.081656152932</f>
        <v>-908.44496824734529</v>
      </c>
      <c r="E1575">
        <f>-648.688514242088 -56.1374909201807 -311.460155047279</f>
        <v>-1016.2861602095477</v>
      </c>
      <c r="F1575">
        <f>-650.729924145658 -57.8328781943349 -400.517444037704</f>
        <v>-1109.0802463776968</v>
      </c>
      <c r="G1575">
        <f>-648.952747384375 -58.1577624409435 -489.595980976406</f>
        <v>-1196.7064908017246</v>
      </c>
      <c r="H1575">
        <f>-642.439350625771 -57.2501819654602 -614.004758797668</f>
        <v>-1313.6942913888993</v>
      </c>
      <c r="I1575">
        <f>-612.996187831568 -52.428611929696 -691.56044553111</f>
        <v>-1356.985245292374</v>
      </c>
      <c r="J1575">
        <f>-649.731382862253 -30.2961591092624 -559.290821686713</f>
        <v>-1239.3183636582285</v>
      </c>
      <c r="K1575" t="s">
        <v>17434</v>
      </c>
      <c r="L1575" t="s">
        <v>17435</v>
      </c>
      <c r="M1575" t="s">
        <v>17436</v>
      </c>
      <c r="N1575">
        <f>-640.879638256042 -85.0027759895238 -559.226424414297</f>
        <v>-1285.1088386598626</v>
      </c>
      <c r="O1575">
        <f>-620.983127042106 -217.810985333567 -529.821531800273</f>
        <v>-1368.615644175946</v>
      </c>
      <c r="P1575">
        <f>-629.024014753625 -275.484103859841 -241.376753981092</f>
        <v>-1145.8848725945579</v>
      </c>
      <c r="Q1575">
        <f>-460.370755343859 -119.017660119208 -312.967156573086</f>
        <v>-892.35557203615303</v>
      </c>
      <c r="R1575" t="s">
        <v>17437</v>
      </c>
      <c r="S1575" t="s">
        <v>17438</v>
      </c>
      <c r="T1575" t="s">
        <v>17439</v>
      </c>
      <c r="U1575" t="s">
        <v>17440</v>
      </c>
      <c r="V1575">
        <f>-598.920978840175 -135.869508959506 -97.2705045138564</f>
        <v>-832.06099231353744</v>
      </c>
      <c r="W1575" t="s">
        <v>17441</v>
      </c>
      <c r="X1575" t="s">
        <v>17442</v>
      </c>
      <c r="Y1575" t="s">
        <v>17443</v>
      </c>
    </row>
    <row r="1576" spans="1:25" x14ac:dyDescent="0.3">
      <c r="A1576">
        <v>78750</v>
      </c>
      <c r="B1576" t="s">
        <v>17444</v>
      </c>
      <c r="C1576">
        <f>-623.755417648323 -44.2736223233718 -99.0909778672248</f>
        <v>-767.12001783891958</v>
      </c>
      <c r="D1576">
        <f>-642.358335294782 -53.03460733712 -213.07968167017</f>
        <v>-908.47262430207195</v>
      </c>
      <c r="E1576">
        <f>-648.456686305508 -56.43536664873 -311.455852277544</f>
        <v>-1016.3479052317821</v>
      </c>
      <c r="F1576">
        <f>-650.544055341371 -58.1273705039713 -400.512228844452</f>
        <v>-1109.1836546897944</v>
      </c>
      <c r="G1576">
        <f>-648.829604174416 -58.4404887840794 -489.591915757548</f>
        <v>-1196.8620087160434</v>
      </c>
      <c r="H1576">
        <f>-642.421376192055 -57.506900877503 -614.006084119768</f>
        <v>-1313.934361189326</v>
      </c>
      <c r="I1576">
        <f>-613.033654984971 -52.6396852721201 -691.579885975426</f>
        <v>-1357.2532262325171</v>
      </c>
      <c r="J1576">
        <f>-649.702162322029 -30.5700592993326 -559.282223868866</f>
        <v>-1239.5544454902276</v>
      </c>
      <c r="K1576" t="s">
        <v>17445</v>
      </c>
      <c r="L1576" t="s">
        <v>17446</v>
      </c>
      <c r="M1576" t="s">
        <v>17447</v>
      </c>
      <c r="N1576">
        <f>-640.780411415911 -85.2652331251436 -559.233014618574</f>
        <v>-1285.2786591596287</v>
      </c>
      <c r="O1576">
        <f>-620.70300635882 -218.049839897201 -529.853101886344</f>
        <v>-1368.6059481423649</v>
      </c>
      <c r="P1576">
        <f>-628.624636578826 -275.790966478957 -241.418772768207</f>
        <v>-1145.83437582599</v>
      </c>
      <c r="Q1576">
        <f>-460.149453764225 -119.084354545367 -312.902884893289</f>
        <v>-892.13669320288091</v>
      </c>
      <c r="R1576" t="s">
        <v>17448</v>
      </c>
      <c r="S1576" t="s">
        <v>17449</v>
      </c>
      <c r="T1576" t="s">
        <v>17450</v>
      </c>
      <c r="U1576" t="s">
        <v>17451</v>
      </c>
      <c r="V1576">
        <f>-598.590552856743 -136.199290001251 -97.2549394731144</f>
        <v>-832.04478233110842</v>
      </c>
      <c r="W1576" t="s">
        <v>17452</v>
      </c>
      <c r="X1576" t="s">
        <v>17453</v>
      </c>
      <c r="Y1576" t="s">
        <v>17454</v>
      </c>
    </row>
    <row r="1577" spans="1:25" x14ac:dyDescent="0.3">
      <c r="A1577">
        <v>78800</v>
      </c>
      <c r="B1577" t="s">
        <v>17455</v>
      </c>
      <c r="C1577">
        <f>-623.356241299732 -44.7588500476185 -99.096379490189</f>
        <v>-767.21147083753942</v>
      </c>
      <c r="D1577">
        <f>-641.922652263367 -53.5962336998491 -213.084982592401</f>
        <v>-908.60386855561705</v>
      </c>
      <c r="E1577">
        <f>-648.062274151467 -57.0169097178581 -311.4581252518</f>
        <v>-1016.5373091211252</v>
      </c>
      <c r="F1577">
        <f>-650.215250914997 -58.7089915792016 -400.512818323525</f>
        <v>-1109.4370608177235</v>
      </c>
      <c r="G1577">
        <f>-648.594547510645 -59.0022141245934 -489.594480221349</f>
        <v>-1197.1912418565873</v>
      </c>
      <c r="H1577">
        <f>-642.346221816149 -58.0199170145042 -614.01634623506</f>
        <v>-1314.3824850657134</v>
      </c>
      <c r="I1577">
        <f>-613.052091860296 -53.0660922649024 -691.620026115082</f>
        <v>-1357.7382102402803</v>
      </c>
      <c r="J1577">
        <f>-649.632309201911 -31.1170151428676 -559.276443919444</f>
        <v>-1240.0257682642225</v>
      </c>
      <c r="K1577" t="s">
        <v>17456</v>
      </c>
      <c r="L1577" t="s">
        <v>17457</v>
      </c>
      <c r="M1577" t="s">
        <v>17458</v>
      </c>
      <c r="N1577">
        <f>-640.559330145148 -85.7873639064203 -559.252307432211</f>
        <v>-1285.5990014837794</v>
      </c>
      <c r="O1577">
        <f>-620.07051230915 -218.522906217776 -529.940383971512</f>
        <v>-1368.533802498438</v>
      </c>
      <c r="P1577">
        <f>-627.843846089552 -276.276714182606 -241.504573697853</f>
        <v>-1145.6251339700109</v>
      </c>
      <c r="Q1577">
        <f>-459.446693197248 -119.372858113658 -312.739569965864</f>
        <v>-891.55912127677004</v>
      </c>
      <c r="R1577" t="s">
        <v>17459</v>
      </c>
      <c r="S1577" t="s">
        <v>17460</v>
      </c>
      <c r="T1577" t="s">
        <v>17461</v>
      </c>
      <c r="U1577" t="s">
        <v>17462</v>
      </c>
      <c r="V1577">
        <f>-598.004408391564 -136.682404000586 -97.2440168590367</f>
        <v>-831.93082925118665</v>
      </c>
      <c r="W1577" t="s">
        <v>17463</v>
      </c>
      <c r="X1577" t="s">
        <v>17464</v>
      </c>
      <c r="Y1577" t="s">
        <v>17465</v>
      </c>
    </row>
    <row r="1578" spans="1:25" x14ac:dyDescent="0.3">
      <c r="A1578">
        <v>78850</v>
      </c>
      <c r="B1578" t="s">
        <v>17466</v>
      </c>
      <c r="C1578">
        <f>-623.189579557863 -44.9230078889153 -99.1143235224444</f>
        <v>-767.22691096922267</v>
      </c>
      <c r="D1578">
        <f>-641.729304524188 -53.7918959759946 -213.104800543007</f>
        <v>-908.62600104318972</v>
      </c>
      <c r="E1578">
        <f>-647.878913203626 -57.2421433282271 -311.476261431826</f>
        <v>-1016.5973179636792</v>
      </c>
      <c r="F1578">
        <f>-650.05360989654 -58.9628018141281 -400.529986661525</f>
        <v>-1109.5463983721932</v>
      </c>
      <c r="G1578">
        <f>-648.46759393505 -59.2862857702012 -489.612019188285</f>
        <v>-1197.3658988935363</v>
      </c>
      <c r="H1578">
        <f>-642.281202863614 -58.3477429872388 -614.037372876751</f>
        <v>-1314.6663187276038</v>
      </c>
      <c r="I1578">
        <f>-613.019452571025 -53.3833430311352 -691.65251979224</f>
        <v>-1358.0553153944002</v>
      </c>
      <c r="J1578">
        <f>-649.56632774554 -31.4298933748432 -559.30458906449</f>
        <v>-1240.3008101848732</v>
      </c>
      <c r="K1578" t="s">
        <v>17467</v>
      </c>
      <c r="L1578" t="s">
        <v>17468</v>
      </c>
      <c r="M1578" t="s">
        <v>17469</v>
      </c>
      <c r="N1578">
        <f>-640.440785203915 -86.0915078261896 -559.263197876471</f>
        <v>-1285.7954909065757</v>
      </c>
      <c r="O1578">
        <f>-619.798177604453 -218.7989741427 -529.944626767891</f>
        <v>-1368.5417785150439</v>
      </c>
      <c r="P1578">
        <f>-627.420112074125 -276.508257816208 -241.495766893481</f>
        <v>-1145.424136783814</v>
      </c>
      <c r="Q1578">
        <f>-459.011522198993 -119.665245473479 -312.837685612894</f>
        <v>-891.51445328536602</v>
      </c>
      <c r="R1578" t="s">
        <v>17470</v>
      </c>
      <c r="S1578" t="s">
        <v>17471</v>
      </c>
      <c r="T1578" t="s">
        <v>17472</v>
      </c>
      <c r="U1578" t="s">
        <v>17473</v>
      </c>
      <c r="V1578">
        <f>-597.785851218098 -136.842744322036 -97.2489002484582</f>
        <v>-831.87749578859211</v>
      </c>
      <c r="W1578" t="s">
        <v>17474</v>
      </c>
      <c r="X1578" t="s">
        <v>17475</v>
      </c>
      <c r="Y1578" t="s">
        <v>17476</v>
      </c>
    </row>
    <row r="1579" spans="1:25" x14ac:dyDescent="0.3">
      <c r="A1579">
        <v>78900</v>
      </c>
      <c r="B1579" t="s">
        <v>17477</v>
      </c>
      <c r="C1579">
        <f>-622.890081244524 -45.0166457489303 -99.1337434958958</f>
        <v>-767.04047048935013</v>
      </c>
      <c r="D1579">
        <f>-641.344940515194 -53.92134418247 -213.135230949294</f>
        <v>-908.40151564695793</v>
      </c>
      <c r="E1579">
        <f>-647.467833307541 -57.4338756988708 -311.506227044694</f>
        <v>-1016.4079360511058</v>
      </c>
      <c r="F1579">
        <f>-649.637300724338 -59.2239666000416 -400.558562180926</f>
        <v>-1109.4198295053056</v>
      </c>
      <c r="G1579">
        <f>-648.065102979401 -59.6296294370795 -489.640549320258</f>
        <v>-1197.3352817367386</v>
      </c>
      <c r="H1579">
        <f>-641.918138376584 -58.8190252326216 -614.068732956621</f>
        <v>-1314.8058965658265</v>
      </c>
      <c r="I1579">
        <f>-612.717241965977 -53.8862394652291 -691.708961199866</f>
        <v>-1358.3124426310721</v>
      </c>
      <c r="J1579">
        <f>-649.212214945963 -31.8494071242262 -559.362680357986</f>
        <v>-1240.4243024281752</v>
      </c>
      <c r="K1579" t="s">
        <v>17478</v>
      </c>
      <c r="L1579" t="s">
        <v>17479</v>
      </c>
      <c r="M1579" t="s">
        <v>17480</v>
      </c>
      <c r="N1579">
        <f>-640.034053522605 -86.5021115436535 -559.265309267206</f>
        <v>-1285.8014743334645</v>
      </c>
      <c r="O1579">
        <f>-619.25088254954 -219.162325751787 -529.781749697149</f>
        <v>-1368.1949579984762</v>
      </c>
      <c r="P1579">
        <f>-626.668376073574 -276.51972081298 -241.257476729377</f>
        <v>-1144.4455736159309</v>
      </c>
      <c r="Q1579">
        <f>-458.398580796451 -119.723596640893 -313.028732446993</f>
        <v>-891.15090988433701</v>
      </c>
      <c r="R1579" t="s">
        <v>17481</v>
      </c>
      <c r="S1579" t="s">
        <v>17482</v>
      </c>
      <c r="T1579" t="s">
        <v>17483</v>
      </c>
      <c r="U1579" t="s">
        <v>17484</v>
      </c>
      <c r="V1579">
        <f>-597.419803962709 -136.871248303332 -97.2440729115469</f>
        <v>-831.53512517758793</v>
      </c>
      <c r="W1579" t="s">
        <v>17485</v>
      </c>
      <c r="X1579" t="s">
        <v>17486</v>
      </c>
      <c r="Y1579" t="s">
        <v>17487</v>
      </c>
    </row>
    <row r="1580" spans="1:25" x14ac:dyDescent="0.3">
      <c r="A1580">
        <v>78950</v>
      </c>
      <c r="B1580" t="s">
        <v>17488</v>
      </c>
      <c r="C1580">
        <f>-622.861457424096 -44.9075507265242 -99.1501137739606</f>
        <v>-766.91912192458074</v>
      </c>
      <c r="D1580">
        <f>-641.302677467504 -53.8391934770762 -213.151786589008</f>
        <v>-908.2936575335882</v>
      </c>
      <c r="E1580">
        <f>-647.388578965031 -57.369183496442 -311.524259957172</f>
        <v>-1016.2820224186451</v>
      </c>
      <c r="F1580">
        <f>-649.514359291447 -59.1728112206474 -400.577424621457</f>
        <v>-1109.2645951335514</v>
      </c>
      <c r="G1580">
        <f>-647.888471163686 -59.5896488101347 -489.658449231179</f>
        <v>-1197.1365692049997</v>
      </c>
      <c r="H1580">
        <f>-641.655862338988 -58.792383356522 -614.082457715755</f>
        <v>-1314.530703411265</v>
      </c>
      <c r="I1580">
        <f>-612.465529698718 -53.870019850666 -691.727316194101</f>
        <v>-1358.062865743485</v>
      </c>
      <c r="J1580">
        <f>-649.005224852689 -31.8198810873848 -559.385295639864</f>
        <v>-1240.2104015799378</v>
      </c>
      <c r="K1580" t="s">
        <v>17489</v>
      </c>
      <c r="L1580" t="s">
        <v>17490</v>
      </c>
      <c r="M1580" t="s">
        <v>17491</v>
      </c>
      <c r="N1580">
        <f>-639.791829492375 -86.4666014083762 -559.273906969224</f>
        <v>-1285.532337869975</v>
      </c>
      <c r="O1580">
        <f>-618.972528102703 -219.112213492968 -529.733930305072</f>
        <v>-1367.8186719007431</v>
      </c>
      <c r="P1580">
        <f>-626.540621009114 -276.296639443178 -241.179049738767</f>
        <v>-1144.0163101910589</v>
      </c>
      <c r="Q1580">
        <f>-458.177130305866 -119.668764163639 -313.098044369357</f>
        <v>-890.94393883886198</v>
      </c>
      <c r="R1580" t="s">
        <v>17492</v>
      </c>
      <c r="S1580" t="s">
        <v>17493</v>
      </c>
      <c r="T1580" t="s">
        <v>17494</v>
      </c>
      <c r="U1580" t="s">
        <v>17495</v>
      </c>
      <c r="V1580">
        <f>-597.373580373727 -136.748283217013 -97.2397096123223</f>
        <v>-831.36157320306233</v>
      </c>
      <c r="W1580" t="s">
        <v>17496</v>
      </c>
      <c r="X1580" t="s">
        <v>17497</v>
      </c>
      <c r="Y1580" t="s">
        <v>17498</v>
      </c>
    </row>
    <row r="1581" spans="1:25" x14ac:dyDescent="0.3">
      <c r="A1581">
        <v>79000</v>
      </c>
      <c r="B1581" t="s">
        <v>17499</v>
      </c>
      <c r="C1581">
        <f>-622.982142318063 -44.7675701027914 -99.2537177808258</f>
        <v>-767.0034302016802</v>
      </c>
      <c r="D1581">
        <f>-641.195145233285 -53.6598845697699 -213.29505371986</f>
        <v>-908.15008352291488</v>
      </c>
      <c r="E1581">
        <f>-647.066330237915 -57.1579019150573 -311.681797214992</f>
        <v>-1015.9060293679644</v>
      </c>
      <c r="F1581">
        <f>-648.991073671206 -58.9329816327451 -400.740117722292</f>
        <v>-1108.6641730262431</v>
      </c>
      <c r="G1581">
        <f>-647.157600649509 -59.3209832807534 -489.817248239459</f>
        <v>-1196.2958321697215</v>
      </c>
      <c r="H1581">
        <f>-640.628435724374 -58.4823268492041 -614.225749719635</f>
        <v>-1313.3365122932132</v>
      </c>
      <c r="I1581">
        <f>-611.383683208705 -53.5702507659338 -691.850754740693</f>
        <v>-1356.8046887153318</v>
      </c>
      <c r="J1581">
        <f>-648.126675377459 -31.5312286522396 -559.538257812746</f>
        <v>-1239.1961618424448</v>
      </c>
      <c r="K1581" t="s">
        <v>17500</v>
      </c>
      <c r="L1581" t="s">
        <v>17501</v>
      </c>
      <c r="M1581" t="s">
        <v>17502</v>
      </c>
      <c r="N1581">
        <f>-638.876430760865 -86.1716521882204 -559.421101776529</f>
        <v>-1284.4691847256145</v>
      </c>
      <c r="O1581">
        <f>-618.120735604189 -218.80598732769 -529.836658804693</f>
        <v>-1366.763381736572</v>
      </c>
      <c r="P1581">
        <f>-625.81548033719 -276.042682636475 -241.295503503409</f>
        <v>-1143.153666477074</v>
      </c>
      <c r="Q1581">
        <f>-457.177280848052 -119.519256009275 -312.796845609479</f>
        <v>-889.493382466806</v>
      </c>
      <c r="R1581" t="s">
        <v>17503</v>
      </c>
      <c r="S1581" t="s">
        <v>17504</v>
      </c>
      <c r="T1581" t="s">
        <v>17505</v>
      </c>
      <c r="U1581" t="s">
        <v>17506</v>
      </c>
      <c r="V1581">
        <f>-597.468723101575 -136.712606875648 -97.2538726653598</f>
        <v>-831.43520264258291</v>
      </c>
      <c r="W1581" t="s">
        <v>17507</v>
      </c>
      <c r="X1581" t="s">
        <v>17508</v>
      </c>
      <c r="Y1581" t="s">
        <v>17509</v>
      </c>
    </row>
    <row r="1582" spans="1:25" x14ac:dyDescent="0.3">
      <c r="A1582">
        <v>79050</v>
      </c>
      <c r="B1582" t="s">
        <v>17510</v>
      </c>
      <c r="C1582">
        <f>-622.999113734665 -44.7950139589877 -99.2698045169201</f>
        <v>-767.06393221057283</v>
      </c>
      <c r="D1582">
        <f>-641.058829987788 -53.6282615009566 -213.340175596926</f>
        <v>-908.02726708567059</v>
      </c>
      <c r="E1582">
        <f>-646.787060785364 -57.1026734967674 -311.736155959947</f>
        <v>-1015.6258902420784</v>
      </c>
      <c r="F1582">
        <f>-648.57894210045 -58.8658936665197 -400.797453618278</f>
        <v>-1108.2422893852477</v>
      </c>
      <c r="G1582">
        <f>-646.609469199875 -59.2512293320938 -489.871703977919</f>
        <v>-1195.7324025098878</v>
      </c>
      <c r="H1582">
        <f>-639.887590548694 -58.4183512035978 -614.26993729244</f>
        <v>-1312.5758790447317</v>
      </c>
      <c r="I1582">
        <f>-610.626467437931 -53.5385970619816 -691.890815495662</f>
        <v>-1356.0558799955745</v>
      </c>
      <c r="J1582">
        <f>-647.462168036734 -31.4632108859155 -559.594904911961</f>
        <v>-1238.5202838346104</v>
      </c>
      <c r="K1582" t="s">
        <v>17511</v>
      </c>
      <c r="L1582" t="s">
        <v>17512</v>
      </c>
      <c r="M1582" t="s">
        <v>17513</v>
      </c>
      <c r="N1582">
        <f>-638.228904474102 -86.1065242816776 -559.46193450405</f>
        <v>-1283.7973632598296</v>
      </c>
      <c r="O1582">
        <f>-617.585883783232 -218.747862795025 -529.853345729129</f>
        <v>-1366.1870923073861</v>
      </c>
      <c r="P1582">
        <f>-625.447283932219 -276.160078711644 -241.351687779505</f>
        <v>-1142.9590504233679</v>
      </c>
      <c r="Q1582">
        <f>-456.782691043588 -119.643083030253 -312.804922679236</f>
        <v>-889.23069675307693</v>
      </c>
      <c r="R1582" t="s">
        <v>17514</v>
      </c>
      <c r="S1582" t="s">
        <v>17515</v>
      </c>
      <c r="T1582" t="s">
        <v>17516</v>
      </c>
      <c r="U1582" t="s">
        <v>17517</v>
      </c>
      <c r="V1582">
        <f>-597.713458682413 -136.739088240621 -97.2718598366575</f>
        <v>-831.72440675969153</v>
      </c>
      <c r="W1582" t="s">
        <v>17518</v>
      </c>
      <c r="X1582" t="s">
        <v>17519</v>
      </c>
      <c r="Y1582" t="s">
        <v>17520</v>
      </c>
    </row>
    <row r="1583" spans="1:25" x14ac:dyDescent="0.3">
      <c r="A1583">
        <v>79100</v>
      </c>
      <c r="B1583" t="s">
        <v>17521</v>
      </c>
      <c r="C1583">
        <f>-623.283299063281 -44.3691863441876 -99.224512924802</f>
        <v>-766.87699833227055</v>
      </c>
      <c r="D1583">
        <f>-641.199551563953 -53.0812156787048 -213.326864785743</f>
        <v>-907.60763202840076</v>
      </c>
      <c r="E1583">
        <f>-646.664208539727 -56.5574348511154 -311.737753468915</f>
        <v>-1014.9593968597575</v>
      </c>
      <c r="F1583">
        <f>-648.162839305613 -58.3664157315974 -400.803538024547</f>
        <v>-1107.3327930617575</v>
      </c>
      <c r="G1583">
        <f>-645.845844414842 -58.8445388467137 -489.868972800435</f>
        <v>-1194.5593560619907</v>
      </c>
      <c r="H1583">
        <f>-638.582541969976 -58.1927339201817 -614.237841372174</f>
        <v>-1311.0131172623317</v>
      </c>
      <c r="I1583">
        <f>-609.22480654547 -53.4734977236178 -691.832274446172</f>
        <v>-1354.5305787152597</v>
      </c>
      <c r="J1583">
        <f>-646.308067587085 -31.1435368483033 -559.630573513788</f>
        <v>-1237.0821779491762</v>
      </c>
      <c r="K1583" t="s">
        <v>17522</v>
      </c>
      <c r="L1583" t="s">
        <v>17523</v>
      </c>
      <c r="M1583" t="s">
        <v>17524</v>
      </c>
      <c r="N1583">
        <f>-637.24946238654 -85.8155938042136 -559.388044061234</f>
        <v>-1282.4531002519875</v>
      </c>
      <c r="O1583">
        <f>-617.089508084734 -218.498769759022 -529.612859934223</f>
        <v>-1365.2011377779791</v>
      </c>
      <c r="P1583">
        <f>-625.554939090326 -276.064079483462 -241.158689537167</f>
        <v>-1142.777708110955</v>
      </c>
      <c r="Q1583">
        <f>-456.782289017697 -119.80913818019 -312.92966189584</f>
        <v>-889.52108909372703</v>
      </c>
      <c r="R1583" t="s">
        <v>17525</v>
      </c>
      <c r="S1583" t="s">
        <v>17526</v>
      </c>
      <c r="T1583" t="s">
        <v>17527</v>
      </c>
      <c r="U1583" t="s">
        <v>17528</v>
      </c>
      <c r="V1583">
        <f>-598.372125677786 -136.057210618198 -97.2734933823405</f>
        <v>-831.70282967832452</v>
      </c>
      <c r="W1583" t="s">
        <v>17529</v>
      </c>
      <c r="X1583" t="s">
        <v>17530</v>
      </c>
      <c r="Y1583" t="s">
        <v>17531</v>
      </c>
    </row>
    <row r="1584" spans="1:25" x14ac:dyDescent="0.3">
      <c r="A1584">
        <v>79150</v>
      </c>
      <c r="B1584" t="s">
        <v>17532</v>
      </c>
      <c r="C1584">
        <f>-623.562646505722 -43.9640859499312 -99.2327051837375</f>
        <v>-766.75943763939074</v>
      </c>
      <c r="D1584">
        <f>-641.413978429236 -52.6017572649458 -213.35087016524</f>
        <v>-907.36660585942172</v>
      </c>
      <c r="E1584">
        <f>-646.740690206361 -56.082687742526 -311.769151967819</f>
        <v>-1014.5925299167061</v>
      </c>
      <c r="F1584">
        <f>-648.08249278969 -57.9245001932932 -400.836804831248</f>
        <v>-1106.8437978142313</v>
      </c>
      <c r="G1584">
        <f>-645.576996942219 -58.4657804144614 -489.896654732761</f>
        <v>-1193.9394320894414</v>
      </c>
      <c r="H1584">
        <f>-638.017572256789 -57.9350957544364 -614.248599686147</f>
        <v>-1310.2012676973723</v>
      </c>
      <c r="I1584">
        <f>-608.583623378515 -53.3195445179373 -691.820316791749</f>
        <v>-1353.7234846882011</v>
      </c>
      <c r="J1584">
        <f>-645.807515754659 -30.8218476837078 -559.682186127575</f>
        <v>-1236.3115495659417</v>
      </c>
      <c r="K1584" t="s">
        <v>17533</v>
      </c>
      <c r="L1584" t="s">
        <v>17534</v>
      </c>
      <c r="M1584" t="s">
        <v>17535</v>
      </c>
      <c r="N1584">
        <f>-636.880675352444 -85.5153591545734 -559.372827248935</f>
        <v>-1281.7688617559525</v>
      </c>
      <c r="O1584">
        <f>-617.046437003209 -218.223450206987 -529.48668682768</f>
        <v>-1364.7565740378759</v>
      </c>
      <c r="P1584">
        <f>-626.110295433521 -275.535527915852 -241.00031593931</f>
        <v>-1142.6461392886829</v>
      </c>
      <c r="Q1584">
        <f>-456.920865943605 -119.779716177254 -312.874832749521</f>
        <v>-889.57541487037997</v>
      </c>
      <c r="R1584" t="s">
        <v>17536</v>
      </c>
      <c r="S1584" t="s">
        <v>17537</v>
      </c>
      <c r="T1584" t="s">
        <v>17538</v>
      </c>
      <c r="U1584" t="s">
        <v>17539</v>
      </c>
      <c r="V1584">
        <f>-598.643436314085 -135.734481176814 -97.3120281646742</f>
        <v>-831.68994565557318</v>
      </c>
      <c r="W1584" t="s">
        <v>17540</v>
      </c>
      <c r="X1584" t="s">
        <v>17541</v>
      </c>
      <c r="Y1584" t="s">
        <v>17542</v>
      </c>
    </row>
    <row r="1585" spans="1:25" x14ac:dyDescent="0.3">
      <c r="A1585">
        <v>79200</v>
      </c>
      <c r="B1585" t="s">
        <v>17543</v>
      </c>
      <c r="C1585">
        <f>-623.503535624939 -43.8316812300179 -99.2514428833982</f>
        <v>-766.58665973835514</v>
      </c>
      <c r="D1585">
        <f>-641.18907572373 -52.2324456781686 -213.412951563145</f>
        <v>-906.83447296504346</v>
      </c>
      <c r="E1585">
        <f>-646.259571820484 -55.7023856528656 -311.845341725658</f>
        <v>-1013.8072991990075</v>
      </c>
      <c r="F1585">
        <f>-647.327027162574 -57.6111052353161 -400.9152050967</f>
        <v>-1105.8533374945901</v>
      </c>
      <c r="G1585">
        <f>-644.505759941664 -58.3005982505171 -489.964632182314</f>
        <v>-1192.7709903744951</v>
      </c>
      <c r="H1585">
        <f>-636.463367158664 -58.0637211953225 -614.287182775569</f>
        <v>-1308.8142711295554</v>
      </c>
      <c r="I1585">
        <f>-606.864264931199 -53.6917209780754 -691.810097029504</f>
        <v>-1352.3660829387786</v>
      </c>
      <c r="J1585">
        <f>-644.287745827373 -30.7931495096923 -559.804046148316</f>
        <v>-1234.8849414853812</v>
      </c>
      <c r="K1585" t="s">
        <v>17544</v>
      </c>
      <c r="L1585" t="s">
        <v>17545</v>
      </c>
      <c r="M1585" t="s">
        <v>17546</v>
      </c>
      <c r="N1585">
        <f>-635.717232156935 -85.5427447465997 -559.353920977522</f>
        <v>-1280.6138978810568</v>
      </c>
      <c r="O1585">
        <f>-616.727420297044 -218.33941561932 -529.276298816205</f>
        <v>-1364.3431347325691</v>
      </c>
      <c r="P1585">
        <f>-626.884418325887 -275.260638831205 -240.748810062589</f>
        <v>-1142.8938672196809</v>
      </c>
      <c r="Q1585">
        <f>-456.643791690818 -120.663273779221 -312.642285646707</f>
        <v>-889.94935111674602</v>
      </c>
      <c r="R1585" t="s">
        <v>17547</v>
      </c>
      <c r="S1585" t="s">
        <v>17548</v>
      </c>
      <c r="T1585" t="s">
        <v>17549</v>
      </c>
      <c r="U1585" t="s">
        <v>17550</v>
      </c>
      <c r="V1585">
        <f>-598.789890167353 -136.020762938845 -97.3726197238336</f>
        <v>-832.18327283003157</v>
      </c>
      <c r="W1585" t="s">
        <v>17551</v>
      </c>
      <c r="X1585" t="s">
        <v>17552</v>
      </c>
      <c r="Y1585" t="s">
        <v>17553</v>
      </c>
    </row>
    <row r="1586" spans="1:25" x14ac:dyDescent="0.3">
      <c r="A1586">
        <v>79250</v>
      </c>
      <c r="B1586" t="s">
        <v>17554</v>
      </c>
      <c r="C1586">
        <f>-623.200278761773 -44.0242966906925 -99.2263032472216</f>
        <v>-766.45087869968711</v>
      </c>
      <c r="D1586">
        <f>-640.801708383631 -52.3050477427975 -213.409686479277</f>
        <v>-906.51644260570538</v>
      </c>
      <c r="E1586">
        <f>-645.753413060631 -55.7313454368326 -311.849492173786</f>
        <v>-1013.3342506712497</v>
      </c>
      <c r="F1586">
        <f>-646.696234189935 -57.623016212201 -400.921194424441</f>
        <v>-1105.240444826577</v>
      </c>
      <c r="G1586">
        <f>-643.733528192608 -58.3190606413111 -489.96599584788</f>
        <v>-1192.018584681799</v>
      </c>
      <c r="H1586">
        <f>-635.476554681439 -58.1164883518435 -614.274558352912</f>
        <v>-1307.8676013861946</v>
      </c>
      <c r="I1586">
        <f>-605.80214372701 -53.8339603192007 -691.773605816363</f>
        <v>-1351.4097098625739</v>
      </c>
      <c r="J1586">
        <f>-643.307376796817 -30.81735625632 -559.806677718529</f>
        <v>-1233.9314107716659</v>
      </c>
      <c r="K1586" t="s">
        <v>17555</v>
      </c>
      <c r="L1586" t="s">
        <v>17556</v>
      </c>
      <c r="M1586" t="s">
        <v>17557</v>
      </c>
      <c r="N1586">
        <f>-634.912742327755 -85.593871596471 -559.33838686544</f>
        <v>-1279.8450007896661</v>
      </c>
      <c r="O1586">
        <f>-616.402443877643 -218.451448855971 -529.240811921108</f>
        <v>-1364.0947046547221</v>
      </c>
      <c r="P1586">
        <f>-626.990152281623 -275.463986352233 -240.747115620283</f>
        <v>-1143.201254254139</v>
      </c>
      <c r="Q1586">
        <f>-455.967086360518 -121.644355582329 -312.451256247552</f>
        <v>-890.06269819039903</v>
      </c>
      <c r="R1586" t="s">
        <v>17558</v>
      </c>
      <c r="S1586" t="s">
        <v>17559</v>
      </c>
      <c r="T1586" t="s">
        <v>17560</v>
      </c>
      <c r="U1586" t="s">
        <v>17561</v>
      </c>
      <c r="V1586">
        <f>-598.780526341706 -136.345075836512 -97.3923372145285</f>
        <v>-832.5179393927466</v>
      </c>
      <c r="W1586" t="s">
        <v>17562</v>
      </c>
      <c r="X1586" t="s">
        <v>17563</v>
      </c>
      <c r="Y1586" t="s">
        <v>17564</v>
      </c>
    </row>
    <row r="1587" spans="1:25" x14ac:dyDescent="0.3">
      <c r="A1587">
        <v>79300</v>
      </c>
      <c r="B1587" t="s">
        <v>17565</v>
      </c>
      <c r="C1587">
        <f>-622.568962161454 -44.1857996222719 -99.1678738754621</f>
        <v>-765.92263565918802</v>
      </c>
      <c r="D1587">
        <f>-640.062790835236 -52.2055144232783 -213.386375469453</f>
        <v>-905.65468072796727</v>
      </c>
      <c r="E1587">
        <f>-644.791611797431 -55.4949945962642 -311.841829994122</f>
        <v>-1012.1284363878171</v>
      </c>
      <c r="F1587">
        <f>-645.483601049797 -57.2931969917757 -400.917858738182</f>
        <v>-1103.6946567797547</v>
      </c>
      <c r="G1587">
        <f>-642.221690022953 -57.9276413225364 -489.952626312961</f>
        <v>-1190.1019576584504</v>
      </c>
      <c r="H1587">
        <f>-633.497317382613 -57.6724053456574 -614.229200988765</f>
        <v>-1305.3989237170354</v>
      </c>
      <c r="I1587">
        <f>-603.675584969568 -53.49589314061 -691.67741498246</f>
        <v>-1348.848893092638</v>
      </c>
      <c r="J1587">
        <f>-641.388667678197 -30.3745434506238 -559.769315377485</f>
        <v>-1231.5325265063057</v>
      </c>
      <c r="K1587" t="s">
        <v>17566</v>
      </c>
      <c r="L1587" t="s">
        <v>17567</v>
      </c>
      <c r="M1587" t="s">
        <v>17568</v>
      </c>
      <c r="N1587">
        <f>-633.28434837476 -85.1949818374266 -559.313022354379</f>
        <v>-1277.7923525665656</v>
      </c>
      <c r="O1587">
        <f>-615.55260234613 -218.163958778788 -529.288522062953</f>
        <v>-1363.0050831878712</v>
      </c>
      <c r="P1587">
        <f>-626.890620443892 -275.856456661448 -240.958372724782</f>
        <v>-1143.705449830122</v>
      </c>
      <c r="Q1587">
        <f>-454.551689566888 -123.265993416873 -312.136490622984</f>
        <v>-889.95417360674492</v>
      </c>
      <c r="R1587" t="s">
        <v>17569</v>
      </c>
      <c r="S1587" t="s">
        <v>17570</v>
      </c>
      <c r="T1587" t="s">
        <v>17571</v>
      </c>
      <c r="U1587" t="s">
        <v>17572</v>
      </c>
      <c r="V1587">
        <f>-598.815837878308 -136.490967679904 -97.409167865129</f>
        <v>-832.71597342334098</v>
      </c>
      <c r="W1587" t="s">
        <v>17573</v>
      </c>
      <c r="X1587" t="s">
        <v>17574</v>
      </c>
      <c r="Y1587" t="s">
        <v>17575</v>
      </c>
    </row>
    <row r="1588" spans="1:25" x14ac:dyDescent="0.3">
      <c r="A1588">
        <v>79350</v>
      </c>
      <c r="B1588" t="s">
        <v>17576</v>
      </c>
      <c r="C1588">
        <f>-622.365416586586 -44.0991800441651 -99.1419737544081</f>
        <v>-765.60657038515922</v>
      </c>
      <c r="D1588">
        <f>-639.824095703136 -51.9958158035934 -213.374421594266</f>
        <v>-905.19433310099532</v>
      </c>
      <c r="E1588">
        <f>-644.472096454309 -55.2211246969837 -311.835855095129</f>
        <v>-1011.5290762464217</v>
      </c>
      <c r="F1588">
        <f>-645.072322193573 -56.9751541173018 -400.913358477021</f>
        <v>-1102.9608347878957</v>
      </c>
      <c r="G1588">
        <f>-641.700425835403 -57.5799236875718 -489.944385319568</f>
        <v>-1189.2247348425428</v>
      </c>
      <c r="H1588">
        <f>-632.804177375481 -57.2972905636584 -614.208452145537</f>
        <v>-1304.3099200846764</v>
      </c>
      <c r="I1588">
        <f>-602.920121990574 -53.1410360372718 -691.634035273118</f>
        <v>-1347.6951933009636</v>
      </c>
      <c r="J1588">
        <f>-640.718872550947 -30.0037915471275 -559.749965740798</f>
        <v>-1230.4726298388725</v>
      </c>
      <c r="K1588" t="s">
        <v>17577</v>
      </c>
      <c r="L1588" t="s">
        <v>17578</v>
      </c>
      <c r="M1588" t="s">
        <v>17579</v>
      </c>
      <c r="N1588">
        <f>-632.719103743191 -84.8396481756004 -559.301983367891</f>
        <v>-1276.8607352866825</v>
      </c>
      <c r="O1588">
        <f>-615.288197394487 -217.854327421297 -529.304953268879</f>
        <v>-1362.4474780846631</v>
      </c>
      <c r="P1588">
        <f>-626.770301063172 -275.890355567096 -241.049475507288</f>
        <v>-1143.710132137556</v>
      </c>
      <c r="Q1588">
        <f>-454.149187690813 -123.543578672437 -312.065460444891</f>
        <v>-889.75822680814099</v>
      </c>
      <c r="R1588" t="s">
        <v>17580</v>
      </c>
      <c r="S1588" t="s">
        <v>17581</v>
      </c>
      <c r="T1588" t="s">
        <v>17582</v>
      </c>
      <c r="U1588" t="s">
        <v>17583</v>
      </c>
      <c r="V1588">
        <f>-598.885172415653 -136.425090549607 -97.4076202636758</f>
        <v>-832.71788322893576</v>
      </c>
      <c r="W1588" t="s">
        <v>17584</v>
      </c>
      <c r="X1588" t="s">
        <v>17585</v>
      </c>
      <c r="Y1588" t="s">
        <v>17586</v>
      </c>
    </row>
    <row r="1589" spans="1:25" x14ac:dyDescent="0.3">
      <c r="A1589">
        <v>79400</v>
      </c>
      <c r="B1589" t="s">
        <v>17587</v>
      </c>
      <c r="C1589">
        <f>-622.110355576305 -44.0259273736476 -99.0458270543802</f>
        <v>-765.1821100043328</v>
      </c>
      <c r="D1589">
        <f>-639.513376428535 -51.6735057741513 -213.303710586964</f>
        <v>-904.49059278965035</v>
      </c>
      <c r="E1589">
        <f>-644.050322415562 -54.756159824905 -311.774828578218</f>
        <v>-1010.5813108186851</v>
      </c>
      <c r="F1589">
        <f>-644.5283165985 -56.4015246402239 -400.855223798348</f>
        <v>-1101.7850650370719</v>
      </c>
      <c r="G1589">
        <f>-641.014267400009 -56.9142906376029 -489.881245707974</f>
        <v>-1187.8098037455859</v>
      </c>
      <c r="H1589">
        <f>-631.900101240709 -56.5172203335586 -614.12932965248</f>
        <v>-1302.5466512267476</v>
      </c>
      <c r="I1589">
        <f>-601.895281198255 -52.2736221341214 -691.503228797959</f>
        <v>-1345.6721321303353</v>
      </c>
      <c r="J1589">
        <f>-639.920079172477 -29.2753560297676 -559.660405737741</f>
        <v>-1228.8558409399857</v>
      </c>
      <c r="K1589" t="s">
        <v>17588</v>
      </c>
      <c r="L1589" t="s">
        <v>17589</v>
      </c>
      <c r="M1589" t="s">
        <v>17590</v>
      </c>
      <c r="N1589">
        <f>-631.901432358998 -84.1085961835097 -559.247479788747</f>
        <v>-1275.2575083312547</v>
      </c>
      <c r="O1589">
        <f>-614.473033351797 -217.131978687986 -529.302320966121</f>
        <v>-1360.9073330059041</v>
      </c>
      <c r="P1589">
        <f>-626.324571480644 -275.483374526685 -241.12544652814</f>
        <v>-1142.933392535469</v>
      </c>
      <c r="Q1589">
        <f>-453.725537672938 -122.959250819835 -311.813756256212</f>
        <v>-888.49854474898507</v>
      </c>
      <c r="R1589" t="s">
        <v>17591</v>
      </c>
      <c r="S1589" t="s">
        <v>17592</v>
      </c>
      <c r="T1589" t="s">
        <v>17593</v>
      </c>
      <c r="U1589" t="s">
        <v>17594</v>
      </c>
      <c r="V1589">
        <f>-598.993720481366 -136.541171144608 -97.4005048169628</f>
        <v>-832.93539644293685</v>
      </c>
      <c r="W1589" t="s">
        <v>17595</v>
      </c>
      <c r="X1589" t="s">
        <v>17596</v>
      </c>
      <c r="Y1589" t="s">
        <v>17597</v>
      </c>
    </row>
    <row r="1590" spans="1:25" x14ac:dyDescent="0.3">
      <c r="A1590">
        <v>79450</v>
      </c>
      <c r="B1590" t="s">
        <v>17598</v>
      </c>
      <c r="C1590">
        <f>-621.888161787521 -44.1366258812361 -98.9945631471132</f>
        <v>-765.01935081587033</v>
      </c>
      <c r="D1590">
        <f>-639.225887656893 -51.6722758743102 -213.269800964806</f>
        <v>-904.16796449600918</v>
      </c>
      <c r="E1590">
        <f>-643.701639440086 -54.6969575712845 -311.745694277964</f>
        <v>-1010.1442912893344</v>
      </c>
      <c r="F1590">
        <f>-644.124260206417 -56.3013666868683 -400.827069303045</f>
        <v>-1101.2526961963304</v>
      </c>
      <c r="G1590">
        <f>-640.55540491139 -56.7826158306267 -489.851010604331</f>
        <v>-1187.1890313463477</v>
      </c>
      <c r="H1590">
        <f>-631.366118859101 -56.3491884698291 -614.093443393231</f>
        <v>-1301.8087507221612</v>
      </c>
      <c r="I1590">
        <f>-601.294143986593 -52.0265732708302 -691.436918625194</f>
        <v>-1344.7576358826173</v>
      </c>
      <c r="J1590">
        <f>-639.454965132214 -29.1283779595615 -559.624042701502</f>
        <v>-1228.2073857932776</v>
      </c>
      <c r="K1590" t="s">
        <v>17599</v>
      </c>
      <c r="L1590" t="s">
        <v>17600</v>
      </c>
      <c r="M1590" t="s">
        <v>17601</v>
      </c>
      <c r="N1590">
        <f>-631.364789154277 -83.9513117206895 -559.216922289631</f>
        <v>-1274.5330231645976</v>
      </c>
      <c r="O1590">
        <f>-613.771530588061 -216.968783618769 -529.317743779838</f>
        <v>-1360.0580579866678</v>
      </c>
      <c r="P1590">
        <f>-625.639727552547 -275.475413448983 -241.173029803014</f>
        <v>-1142.2881708045441</v>
      </c>
      <c r="Q1590">
        <f>-453.25269063519 -122.58661333994 -311.5903704055</f>
        <v>-887.42967438062988</v>
      </c>
      <c r="R1590" t="s">
        <v>17602</v>
      </c>
      <c r="S1590" t="s">
        <v>17603</v>
      </c>
      <c r="T1590" t="s">
        <v>17604</v>
      </c>
      <c r="U1590" t="s">
        <v>17605</v>
      </c>
      <c r="V1590">
        <f>-598.902046389273 -136.638780706568 -97.4040743482785</f>
        <v>-832.94490144411952</v>
      </c>
      <c r="W1590" t="s">
        <v>17606</v>
      </c>
      <c r="X1590" t="s">
        <v>17607</v>
      </c>
      <c r="Y1590" t="s">
        <v>17608</v>
      </c>
    </row>
    <row r="1591" spans="1:25" x14ac:dyDescent="0.3">
      <c r="A1591">
        <v>79500</v>
      </c>
      <c r="B1591" t="s">
        <v>17609</v>
      </c>
      <c r="C1591">
        <f>-621.390993352528 -44.2582948321959 -98.8597209516555</f>
        <v>-764.5090091363794</v>
      </c>
      <c r="D1591">
        <f>-638.629629939627 -51.69593875181 -213.156391836883</f>
        <v>-903.48196052831997</v>
      </c>
      <c r="E1591">
        <f>-642.976498429054 -54.620895366773 -311.640933697461</f>
        <v>-1009.2383274932879</v>
      </c>
      <c r="F1591">
        <f>-643.265585260256 -56.1269725858656 -400.724610162746</f>
        <v>-1100.1171680088676</v>
      </c>
      <c r="G1591">
        <f>-639.546972474817 -56.5002215633849 -489.742858775841</f>
        <v>-1185.7900528140431</v>
      </c>
      <c r="H1591">
        <f>-630.131571377458 -55.9042316946917 -613.967837616512</f>
        <v>-1300.0036406886618</v>
      </c>
      <c r="I1591">
        <f>-599.916415079882 -51.4007782308441 -691.245222667418</f>
        <v>-1342.5624159781441</v>
      </c>
      <c r="J1591">
        <f>-638.373241841908 -28.7627134712438 -559.481753219656</f>
        <v>-1226.6177085328077</v>
      </c>
      <c r="K1591" t="s">
        <v>17610</v>
      </c>
      <c r="L1591" t="s">
        <v>17611</v>
      </c>
      <c r="M1591" t="s">
        <v>17612</v>
      </c>
      <c r="N1591">
        <f>-630.176390933673 -83.5701739702265 -559.123456334998</f>
        <v>-1272.8700212388976</v>
      </c>
      <c r="O1591">
        <f>-612.344328078076 -216.593235156369 -529.354911313583</f>
        <v>-1358.2924745480282</v>
      </c>
      <c r="P1591">
        <f>-623.939167764436 -275.491513580706 -241.278853922578</f>
        <v>-1140.70953526772</v>
      </c>
      <c r="Q1591">
        <f>-452.149489311109 -121.734127278419 -311.263515417922</f>
        <v>-885.14713200744995</v>
      </c>
      <c r="R1591" t="s">
        <v>17613</v>
      </c>
      <c r="S1591" t="s">
        <v>17614</v>
      </c>
      <c r="T1591" t="s">
        <v>17615</v>
      </c>
      <c r="U1591" t="s">
        <v>17616</v>
      </c>
      <c r="V1591">
        <f>-598.622090890504 -136.568780547209 -97.3192867926756</f>
        <v>-832.51015823038858</v>
      </c>
      <c r="W1591" t="s">
        <v>17617</v>
      </c>
      <c r="X1591" t="s">
        <v>17618</v>
      </c>
      <c r="Y1591" t="s">
        <v>17619</v>
      </c>
    </row>
    <row r="1592" spans="1:25" x14ac:dyDescent="0.3">
      <c r="A1592">
        <v>79550</v>
      </c>
      <c r="B1592" t="s">
        <v>17620</v>
      </c>
      <c r="C1592">
        <f>-621.244117537688 -44.1797962990212 -98.8004251099356</f>
        <v>-764.22433894664482</v>
      </c>
      <c r="D1592">
        <f>-638.438807455836 -51.5850135732661 -213.105776626986</f>
        <v>-903.12959765608809</v>
      </c>
      <c r="E1592">
        <f>-642.71575903212 -54.4691244888529 -311.594613959649</f>
        <v>-1008.7794974806219</v>
      </c>
      <c r="F1592">
        <f>-642.928562195122 -55.9334119593252 -400.679165978782</f>
        <v>-1099.5411401332292</v>
      </c>
      <c r="G1592">
        <f>-639.120594667726 -56.2599995044451 -489.693978563647</f>
        <v>-1185.074572735818</v>
      </c>
      <c r="H1592">
        <f>-629.566750344818 -55.5943792423861 -613.907900698575</f>
        <v>-1299.0690302857793</v>
      </c>
      <c r="I1592">
        <f>-599.286486048682 -51.044286920678 -691.156932240512</f>
        <v>-1341.487705209872</v>
      </c>
      <c r="J1592">
        <f>-637.879357601661 -28.4849933606442 -559.416598274386</f>
        <v>-1225.7809492366914</v>
      </c>
      <c r="K1592" t="s">
        <v>17621</v>
      </c>
      <c r="L1592" t="s">
        <v>17622</v>
      </c>
      <c r="M1592" t="s">
        <v>17623</v>
      </c>
      <c r="N1592">
        <f>-629.662552504374 -83.2895399127228 -559.078252216398</f>
        <v>-1272.0303446334949</v>
      </c>
      <c r="O1592">
        <f>-611.796682680324 -216.313914304659 -529.361317254676</f>
        <v>-1357.4719142396589</v>
      </c>
      <c r="P1592">
        <f>-623.440478911206 -275.417563502261 -241.329363008899</f>
        <v>-1140.1874054223661</v>
      </c>
      <c r="Q1592">
        <f>-451.799341806634 -121.452610461572 -311.22202103189</f>
        <v>-884.47397330009596</v>
      </c>
      <c r="R1592" t="s">
        <v>17624</v>
      </c>
      <c r="S1592" t="s">
        <v>17625</v>
      </c>
      <c r="T1592" t="s">
        <v>17626</v>
      </c>
      <c r="U1592" t="s">
        <v>17627</v>
      </c>
      <c r="V1592">
        <f>-598.516359943954 -136.507072945653 -97.2905213506623</f>
        <v>-832.31395424026925</v>
      </c>
      <c r="W1592" t="s">
        <v>17628</v>
      </c>
      <c r="X1592" t="s">
        <v>17629</v>
      </c>
      <c r="Y1592" t="s">
        <v>17630</v>
      </c>
    </row>
    <row r="1593" spans="1:25" x14ac:dyDescent="0.3">
      <c r="A1593">
        <v>79600</v>
      </c>
      <c r="B1593" t="s">
        <v>17631</v>
      </c>
      <c r="C1593">
        <f>-621.373031760624 -43.6378476042354 -98.7234406081109</f>
        <v>-763.7343199729703</v>
      </c>
      <c r="D1593">
        <f>-638.490082577998 -51.0055393954331 -213.042867596796</f>
        <v>-902.53848957022706</v>
      </c>
      <c r="E1593">
        <f>-642.690152334586 -53.8580946241508 -311.536016982938</f>
        <v>-1008.0842639416747</v>
      </c>
      <c r="F1593">
        <f>-642.829830967407 -55.2927392942463 -400.621159815148</f>
        <v>-1098.7437300768013</v>
      </c>
      <c r="G1593">
        <f>-638.945347461895 -55.5884317149792 -489.632802493597</f>
        <v>-1184.1665816704713</v>
      </c>
      <c r="H1593">
        <f>-629.281222369405 -54.877625784056 -613.837874722993</f>
        <v>-1297.996722876454</v>
      </c>
      <c r="I1593">
        <f>-598.902100719075 -50.2607688692052 -691.044217623922</f>
        <v>-1340.2070872122022</v>
      </c>
      <c r="J1593">
        <f>-637.646195477914 -27.7887030987511 -559.344365135479</f>
        <v>-1224.7792637121443</v>
      </c>
      <c r="K1593" t="s">
        <v>17632</v>
      </c>
      <c r="L1593" t="s">
        <v>17633</v>
      </c>
      <c r="M1593" t="s">
        <v>17634</v>
      </c>
      <c r="N1593">
        <f>-629.421603013082 -82.5921727429098 -559.018169049538</f>
        <v>-1271.0319448055297</v>
      </c>
      <c r="O1593">
        <f>-611.600475783831 -215.62384152474 -529.282020692732</f>
        <v>-1356.506338001303</v>
      </c>
      <c r="P1593">
        <f>-623.539863939636 -274.882154766293 -241.293998092025</f>
        <v>-1139.7160167979541</v>
      </c>
      <c r="Q1593">
        <f>-451.814108036486 -120.952395652162 -311.056309367927</f>
        <v>-883.82281305657489</v>
      </c>
      <c r="R1593" t="s">
        <v>17635</v>
      </c>
      <c r="S1593" t="s">
        <v>17636</v>
      </c>
      <c r="T1593" t="s">
        <v>17637</v>
      </c>
      <c r="U1593" t="s">
        <v>17638</v>
      </c>
      <c r="V1593">
        <f>-598.612872251838 -136.019337072722 -97.2547039197581</f>
        <v>-831.88691324431807</v>
      </c>
      <c r="W1593" t="s">
        <v>17639</v>
      </c>
      <c r="X1593" t="s">
        <v>17640</v>
      </c>
      <c r="Y1593" t="s">
        <v>17641</v>
      </c>
    </row>
    <row r="1594" spans="1:25" x14ac:dyDescent="0.3">
      <c r="A1594">
        <v>79650</v>
      </c>
      <c r="B1594" t="s">
        <v>17642</v>
      </c>
      <c r="C1594">
        <f>-621.500340624667 -43.3319869504536 -98.7090480392122</f>
        <v>-763.54137561433288</v>
      </c>
      <c r="D1594">
        <f>-638.622863334079 -50.6784640993523 -213.029107175561</f>
        <v>-902.33043460899228</v>
      </c>
      <c r="E1594">
        <f>-642.84461244761 -53.5227787459597 -311.521455839697</f>
        <v>-1007.8888470332668</v>
      </c>
      <c r="F1594">
        <f>-643.011141261187 -54.9528932137499 -400.606626320368</f>
        <v>-1098.570660795305</v>
      </c>
      <c r="G1594">
        <f>-639.160811876804 -55.2465189486858 -489.619691825841</f>
        <v>-1184.0270226513308</v>
      </c>
      <c r="H1594">
        <f>-629.552282909073 -54.534906562827 -613.829072315241</f>
        <v>-1297.9162617871411</v>
      </c>
      <c r="I1594">
        <f>-599.157044295939 -49.8944650087226 -691.027757092465</f>
        <v>-1340.0792663971265</v>
      </c>
      <c r="J1594">
        <f>-637.877586544209 -27.4439134095396 -559.330646001913</f>
        <v>-1224.6521459556616</v>
      </c>
      <c r="K1594" t="s">
        <v>17643</v>
      </c>
      <c r="L1594" t="s">
        <v>17644</v>
      </c>
      <c r="M1594" t="s">
        <v>17645</v>
      </c>
      <c r="N1594">
        <f>-629.683414064922 -82.2519805568534 -559.010727781749</f>
        <v>-1270.9461224035244</v>
      </c>
      <c r="O1594">
        <f>-611.963561070945 -215.281950488022 -529.218788588724</f>
        <v>-1356.4643001476911</v>
      </c>
      <c r="P1594">
        <f>-624.064059328569 -274.388074423575 -241.206248164044</f>
        <v>-1139.6583819161879</v>
      </c>
      <c r="Q1594">
        <f>-452.115229937326 -120.652902294744 -310.847834368927</f>
        <v>-883.61596660099701</v>
      </c>
      <c r="R1594" t="s">
        <v>17646</v>
      </c>
      <c r="S1594" t="s">
        <v>17647</v>
      </c>
      <c r="T1594" t="s">
        <v>17648</v>
      </c>
      <c r="U1594" t="s">
        <v>17649</v>
      </c>
      <c r="V1594">
        <f>-598.802007884156 -135.78936279795 -97.2490663473912</f>
        <v>-831.84043702949714</v>
      </c>
      <c r="W1594" t="s">
        <v>17650</v>
      </c>
      <c r="X1594" t="s">
        <v>17651</v>
      </c>
      <c r="Y1594" t="s">
        <v>17652</v>
      </c>
    </row>
    <row r="1595" spans="1:25" x14ac:dyDescent="0.3">
      <c r="A1595">
        <v>79700</v>
      </c>
      <c r="B1595" t="s">
        <v>17653</v>
      </c>
      <c r="C1595">
        <f>-621.533393088995 -42.7880843470041 -98.6679610724194</f>
        <v>-762.98943850841852</v>
      </c>
      <c r="D1595">
        <f>-638.739967100572 -50.1208544331548 -212.976315371183</f>
        <v>-901.83713690490981</v>
      </c>
      <c r="E1595">
        <f>-643.054065999829 -52.9622506222528 -311.464775263865</f>
        <v>-1007.4810918859469</v>
      </c>
      <c r="F1595">
        <f>-643.312616395194 -54.3912536208965 -400.549689763535</f>
        <v>-1098.2535597796254</v>
      </c>
      <c r="G1595">
        <f>-639.562574881786 -54.6861701455204 -489.567039045286</f>
        <v>-1183.8157840725924</v>
      </c>
      <c r="H1595">
        <f>-630.10294729068 -53.9784190784964 -613.787861106855</f>
        <v>-1297.8692274760315</v>
      </c>
      <c r="I1595">
        <f>-599.6865945046 -49.3352275109578 -690.97806503145</f>
        <v>-1339.9998870470076</v>
      </c>
      <c r="J1595">
        <f>-638.29350321857 -26.8754096297548 -559.275009752538</f>
        <v>-1224.4439226008628</v>
      </c>
      <c r="K1595" t="s">
        <v>17654</v>
      </c>
      <c r="L1595" t="s">
        <v>17655</v>
      </c>
      <c r="M1595" t="s">
        <v>17656</v>
      </c>
      <c r="N1595">
        <f>-630.237820315221 -81.7041443215919 -558.973939692308</f>
        <v>-1270.9159043291211</v>
      </c>
      <c r="O1595">
        <f>-612.903991802046 -214.757644535325 -529.058218739935</f>
        <v>-1356.719855077306</v>
      </c>
      <c r="P1595">
        <f>-625.219836147751 -273.604743544931 -241.001713553498</f>
        <v>-1139.8262932461801</v>
      </c>
      <c r="Q1595">
        <f>-452.773356373972 -120.371387473327 -310.518559887181</f>
        <v>-883.66330373448</v>
      </c>
      <c r="R1595" t="s">
        <v>17657</v>
      </c>
      <c r="S1595" t="s">
        <v>17658</v>
      </c>
      <c r="T1595" t="s">
        <v>17659</v>
      </c>
      <c r="U1595" t="s">
        <v>17660</v>
      </c>
      <c r="V1595">
        <f>-598.98091570195 -135.294130990818 -97.2191054865</f>
        <v>-831.49415217926799</v>
      </c>
      <c r="W1595" t="s">
        <v>17661</v>
      </c>
      <c r="X1595" t="s">
        <v>17662</v>
      </c>
      <c r="Y1595" t="s">
        <v>17663</v>
      </c>
    </row>
    <row r="1596" spans="1:25" x14ac:dyDescent="0.3">
      <c r="A1596">
        <v>79750</v>
      </c>
      <c r="B1596" t="s">
        <v>17664</v>
      </c>
      <c r="C1596">
        <f>-621.495810728928 -42.5138514099456 -98.6525712325713</f>
        <v>-762.66223337144481</v>
      </c>
      <c r="D1596">
        <f>-638.808278480578 -49.8593707026409 -212.944146174119</f>
        <v>-901.611795357338</v>
      </c>
      <c r="E1596">
        <f>-643.175107563045 -52.6993598019598 -311.43030916899</f>
        <v>-1007.3047765339948</v>
      </c>
      <c r="F1596">
        <f>-643.465847439414 -54.1220227249688 -400.515231112892</f>
        <v>-1098.1031012772748</v>
      </c>
      <c r="G1596">
        <f>-639.732470065337 -54.4057757314364 -489.533248083686</f>
        <v>-1183.6714938804594</v>
      </c>
      <c r="H1596">
        <f>-630.279554730783 -53.6780048461028 -613.754568692637</f>
        <v>-1297.712128269523</v>
      </c>
      <c r="I1596">
        <f>-599.85807878187 -49.0441526914765 -690.943257463654</f>
        <v>-1339.8454889370005</v>
      </c>
      <c r="J1596">
        <f>-638.444455810492 -26.5805575686888 -559.23502494675</f>
        <v>-1224.2600383259307</v>
      </c>
      <c r="K1596" t="s">
        <v>17665</v>
      </c>
      <c r="L1596" t="s">
        <v>17666</v>
      </c>
      <c r="M1596" t="s">
        <v>17667</v>
      </c>
      <c r="N1596">
        <f>-630.434060110588 -81.4159162592287 -558.946872471991</f>
        <v>-1270.7968488418078</v>
      </c>
      <c r="O1596">
        <f>-613.234085157241 -214.476439990196 -529.006509537049</f>
        <v>-1356.717034684486</v>
      </c>
      <c r="P1596">
        <f>-625.796464012246 -273.358042442356 -240.967793916849</f>
        <v>-1140.122300371451</v>
      </c>
      <c r="Q1596">
        <f>-453.107697780997 -120.397253717486 -310.483642202926</f>
        <v>-883.98859370140894</v>
      </c>
      <c r="R1596" t="s">
        <v>17668</v>
      </c>
      <c r="S1596" t="s">
        <v>17669</v>
      </c>
      <c r="T1596" t="s">
        <v>17670</v>
      </c>
      <c r="U1596" t="s">
        <v>17671</v>
      </c>
      <c r="V1596">
        <f>-598.965905721816 -135.034165169832 -97.2001349967591</f>
        <v>-831.20020588840703</v>
      </c>
      <c r="W1596" t="s">
        <v>17672</v>
      </c>
      <c r="X1596" t="s">
        <v>17673</v>
      </c>
      <c r="Y1596" t="s">
        <v>17674</v>
      </c>
    </row>
    <row r="1597" spans="1:25" x14ac:dyDescent="0.3">
      <c r="A1597">
        <v>79800</v>
      </c>
      <c r="B1597" t="s">
        <v>17675</v>
      </c>
      <c r="C1597">
        <f>-621.318481821122 -42.1557218950531 -98.640691511775</f>
        <v>-762.11489522795011</v>
      </c>
      <c r="D1597">
        <f>-638.768869588874 -49.5111927402593 -212.910526518438</f>
        <v>-901.19058884757135</v>
      </c>
      <c r="E1597">
        <f>-643.208659464116 -52.3521812307646 -311.39338259801</f>
        <v>-1006.9542232928906</v>
      </c>
      <c r="F1597">
        <f>-643.54682143493 -53.7728603128154 -400.478284281355</f>
        <v>-1097.7979660291005</v>
      </c>
      <c r="G1597">
        <f>-639.842238551105 -54.0524450169269 -489.497596119585</f>
        <v>-1183.3922796876168</v>
      </c>
      <c r="H1597">
        <f>-630.410171007971 -53.3166299755223 -613.720461710319</f>
        <v>-1297.4472626938123</v>
      </c>
      <c r="I1597">
        <f>-599.985645011735 -48.7104462757641 -690.909559058774</f>
        <v>-1339.605650346273</v>
      </c>
      <c r="J1597">
        <f>-638.54879990527 -26.2202959590372 -559.196555012635</f>
        <v>-1223.9656508769422</v>
      </c>
      <c r="K1597" t="s">
        <v>17676</v>
      </c>
      <c r="L1597" t="s">
        <v>17677</v>
      </c>
      <c r="M1597" t="s">
        <v>17678</v>
      </c>
      <c r="N1597">
        <f>-630.572779096084 -81.0606938238763 -558.915753238883</f>
        <v>-1270.5492261588433</v>
      </c>
      <c r="O1597">
        <f>-613.470282802856 -214.127880823334 -528.967789514527</f>
        <v>-1356.5659531407168</v>
      </c>
      <c r="P1597">
        <f>-626.074005023327 -272.940190630431 -240.916614000499</f>
        <v>-1139.930809654257</v>
      </c>
      <c r="Q1597">
        <f>-453.154623589315 -120.260209479192 -310.476551007713</f>
        <v>-883.89138407621999</v>
      </c>
      <c r="R1597" t="s">
        <v>17679</v>
      </c>
      <c r="S1597" t="s">
        <v>17680</v>
      </c>
      <c r="T1597" t="s">
        <v>17681</v>
      </c>
      <c r="U1597" t="s">
        <v>17682</v>
      </c>
      <c r="V1597">
        <f>-598.740551546118 -134.690915735014 -97.1882872401339</f>
        <v>-830.61975452126592</v>
      </c>
      <c r="W1597" t="s">
        <v>17683</v>
      </c>
      <c r="X1597" t="s">
        <v>17684</v>
      </c>
      <c r="Y1597" t="s">
        <v>17685</v>
      </c>
    </row>
    <row r="1598" spans="1:25" x14ac:dyDescent="0.3">
      <c r="A1598">
        <v>79850</v>
      </c>
      <c r="B1598" t="s">
        <v>17686</v>
      </c>
      <c r="C1598">
        <f>-621.176600861179 -42.1921464731379 -98.6240502735171</f>
        <v>-761.99279760783406</v>
      </c>
      <c r="D1598">
        <f>-638.685420384915 -49.5497220373188 -212.884888913432</f>
        <v>-901.12003133566577</v>
      </c>
      <c r="E1598">
        <f>-643.184715309816 -52.3929519211282 -311.365000115877</f>
        <v>-1006.9426673468213</v>
      </c>
      <c r="F1598">
        <f>-643.580561318205 -53.8153557940047 -400.449554606199</f>
        <v>-1097.8454717184088</v>
      </c>
      <c r="G1598">
        <f>-639.937477865089 -54.0960570917424 -489.471455308521</f>
        <v>-1183.5049902653525</v>
      </c>
      <c r="H1598">
        <f>-630.595199643373 -53.3609322309144 -613.700941081621</f>
        <v>-1297.6570729559085</v>
      </c>
      <c r="I1598">
        <f>-600.164091072793 -48.748322330166 -690.887004246844</f>
        <v>-1339.799417649803</v>
      </c>
      <c r="J1598">
        <f>-638.696803149139 -26.2645388608269 -559.171487446971</f>
        <v>-1224.1328294569369</v>
      </c>
      <c r="K1598" t="s">
        <v>17687</v>
      </c>
      <c r="L1598" t="s">
        <v>17688</v>
      </c>
      <c r="M1598" t="s">
        <v>17689</v>
      </c>
      <c r="N1598">
        <f>-630.715813941833 -81.1043016825731 -558.895762030529</f>
        <v>-1270.715877654935</v>
      </c>
      <c r="O1598">
        <f>-613.564206514878 -214.176436428368 -528.96979783909</f>
        <v>-1356.710440782336</v>
      </c>
      <c r="P1598">
        <f>-626.064153337013 -272.925640420616 -240.901307713759</f>
        <v>-1139.8911014713879</v>
      </c>
      <c r="Q1598">
        <f>-453.156442154116 -120.267971881322 -310.539099080879</f>
        <v>-883.96351311631702</v>
      </c>
      <c r="R1598" t="s">
        <v>17690</v>
      </c>
      <c r="S1598" t="s">
        <v>17691</v>
      </c>
      <c r="T1598" t="s">
        <v>17692</v>
      </c>
      <c r="U1598" t="s">
        <v>17693</v>
      </c>
      <c r="V1598">
        <f>-598.61408666152 -134.813651408401 -97.1890379917161</f>
        <v>-830.6167760616371</v>
      </c>
      <c r="W1598" t="s">
        <v>17694</v>
      </c>
      <c r="X1598" t="s">
        <v>17695</v>
      </c>
      <c r="Y1598" t="s">
        <v>17696</v>
      </c>
    </row>
    <row r="1599" spans="1:25" x14ac:dyDescent="0.3">
      <c r="A1599">
        <v>79900</v>
      </c>
      <c r="B1599" t="s">
        <v>17697</v>
      </c>
      <c r="C1599">
        <f>-620.991413135082 -42.3856097976682 -98.6036224447412</f>
        <v>-761.98064537749133</v>
      </c>
      <c r="D1599">
        <f>-638.612004294372 -49.7273841043959 -212.848295500197</f>
        <v>-901.18768389896491</v>
      </c>
      <c r="E1599">
        <f>-643.225391513496 -52.5700633355872 -311.323089484894</f>
        <v>-1007.1185443339772</v>
      </c>
      <c r="F1599">
        <f>-643.731968572031 -53.9961262458779 -400.406984323885</f>
        <v>-1098.135079141794</v>
      </c>
      <c r="G1599">
        <f>-640.20702932679 -54.2846356786436 -489.433607566604</f>
        <v>-1183.9252725720376</v>
      </c>
      <c r="H1599">
        <f>-631.037805835106 -53.5642004091918 -613.676236758443</f>
        <v>-1298.278243002741</v>
      </c>
      <c r="I1599">
        <f>-600.713851656985 -48.9330350895891 -690.903360422934</f>
        <v>-1340.5502471695081</v>
      </c>
      <c r="J1599">
        <f>-639.055830389514 -26.4602337023332 -559.138159070189</f>
        <v>-1224.654223162036</v>
      </c>
      <c r="K1599" t="s">
        <v>17698</v>
      </c>
      <c r="L1599" t="s">
        <v>17699</v>
      </c>
      <c r="M1599" t="s">
        <v>17700</v>
      </c>
      <c r="N1599">
        <f>-631.089622131451 -81.3022473898733 -558.868215642395</f>
        <v>-1271.2600851637194</v>
      </c>
      <c r="O1599">
        <f>-613.928651301799 -214.371815680138 -528.944962726326</f>
        <v>-1357.2454297082631</v>
      </c>
      <c r="P1599">
        <f>-625.813825623487 -273.01329889258 -240.8283749135</f>
        <v>-1139.655499429567</v>
      </c>
      <c r="Q1599">
        <f>-453.235136518647 -120.169146800664 -310.872072044601</f>
        <v>-884.27635536391199</v>
      </c>
      <c r="R1599" t="s">
        <v>17701</v>
      </c>
      <c r="S1599" t="s">
        <v>17702</v>
      </c>
      <c r="T1599" t="s">
        <v>17703</v>
      </c>
      <c r="U1599" t="s">
        <v>17704</v>
      </c>
      <c r="V1599">
        <f>-598.501648522404 -135.029741097921 -97.1752902452008</f>
        <v>-830.70667986552587</v>
      </c>
      <c r="W1599" t="s">
        <v>17705</v>
      </c>
      <c r="X1599" t="s">
        <v>17706</v>
      </c>
      <c r="Y1599" t="s">
        <v>17707</v>
      </c>
    </row>
    <row r="1600" spans="1:25" x14ac:dyDescent="0.3">
      <c r="A1600">
        <v>79950</v>
      </c>
      <c r="B1600" t="s">
        <v>17708</v>
      </c>
      <c r="C1600">
        <f>-620.942098900293 -42.4178880739003 -98.5829926478593</f>
        <v>-761.94297962205258</v>
      </c>
      <c r="D1600">
        <f>-638.614729087436 -49.7650744275103 -212.819178518641</f>
        <v>-901.1989820335873</v>
      </c>
      <c r="E1600">
        <f>-643.252306797465 -52.5965378245546 -311.293278849714</f>
        <v>-1007.1421234717336</v>
      </c>
      <c r="F1600">
        <f>-643.772201377889 -54.0067239894108 -400.377340290185</f>
        <v>-1098.1562656574847</v>
      </c>
      <c r="G1600">
        <f>-640.252036874197 -54.2734113927663 -489.404207234338</f>
        <v>-1183.9296555013013</v>
      </c>
      <c r="H1600">
        <f>-631.080193445963 -53.516377016532 -613.64647744548</f>
        <v>-1298.2430479079749</v>
      </c>
      <c r="I1600">
        <f>-600.80878104854 -48.8413284099731 -690.891652356246</f>
        <v>-1340.5417618147592</v>
      </c>
      <c r="J1600">
        <f>-639.094753624138 -26.4277799730037 -559.100203828387</f>
        <v>-1224.6227374255286</v>
      </c>
      <c r="K1600" t="s">
        <v>17709</v>
      </c>
      <c r="L1600" t="s">
        <v>17710</v>
      </c>
      <c r="M1600" t="s">
        <v>17711</v>
      </c>
      <c r="N1600">
        <f>-631.137757413543 -81.2711378456237 -558.846888875382</f>
        <v>-1271.2557841345488</v>
      </c>
      <c r="O1600">
        <f>-613.994296381907 -214.357200973419 -528.949134759658</f>
        <v>-1357.3006321149842</v>
      </c>
      <c r="P1600">
        <f>-625.814646096928 -272.863207752541 -240.802442459649</f>
        <v>-1139.4802963091179</v>
      </c>
      <c r="Q1600">
        <f>-453.318172946518 -120.018983485332 -311.048166326962</f>
        <v>-884.38532275881198</v>
      </c>
      <c r="R1600" t="s">
        <v>17712</v>
      </c>
      <c r="S1600" t="s">
        <v>17713</v>
      </c>
      <c r="T1600" t="s">
        <v>17714</v>
      </c>
      <c r="U1600" t="s">
        <v>17715</v>
      </c>
      <c r="V1600">
        <f>-598.456574589177 -135.026205452788 -97.1614956364804</f>
        <v>-830.6442756784453</v>
      </c>
      <c r="W1600" t="s">
        <v>17716</v>
      </c>
      <c r="X1600" t="s">
        <v>17717</v>
      </c>
      <c r="Y1600" t="s">
        <v>17718</v>
      </c>
    </row>
    <row r="1601" spans="1:25" x14ac:dyDescent="0.3">
      <c r="A1601">
        <v>80000</v>
      </c>
      <c r="B1601" t="s">
        <v>17719</v>
      </c>
      <c r="C1601">
        <f>-620.680587387252 -42.2963510827633 -98.5290585783125</f>
        <v>-761.5059970483278</v>
      </c>
      <c r="D1601">
        <f>-638.519517611039 -49.7144201814647 -212.734916323088</f>
        <v>-900.96885411559163</v>
      </c>
      <c r="E1601">
        <f>-643.23432197598 -52.5505742786078 -311.205104022586</f>
        <v>-1006.9900002771737</v>
      </c>
      <c r="F1601">
        <f>-643.796232511421 -53.9445893704001 -400.289191723428</f>
        <v>-1098.030013605249</v>
      </c>
      <c r="G1601">
        <f>-640.289579540914 -54.1763556360239 -489.316683405474</f>
        <v>-1183.7826185824119</v>
      </c>
      <c r="H1601">
        <f>-631.106494488772 -53.3525716978477 -613.557677039665</f>
        <v>-1298.0167432262847</v>
      </c>
      <c r="I1601">
        <f>-600.925538252834 -48.5898735506912 -690.832742739815</f>
        <v>-1340.3481545433401</v>
      </c>
      <c r="J1601">
        <f>-639.122231614492 -26.2927892931623 -558.997341121851</f>
        <v>-1224.4123620295054</v>
      </c>
      <c r="K1601" t="s">
        <v>17720</v>
      </c>
      <c r="L1601" t="s">
        <v>17721</v>
      </c>
      <c r="M1601" t="s">
        <v>17722</v>
      </c>
      <c r="N1601">
        <f>-631.17280912292 -81.1374144045668 -558.773420609853</f>
        <v>-1271.0836441373399</v>
      </c>
      <c r="O1601">
        <f>-614.051658325385 -214.243489999183 -528.962246624031</f>
        <v>-1357.2573949485991</v>
      </c>
      <c r="P1601">
        <f>-625.86994061653 -272.743208422775 -240.81406954135</f>
        <v>-1139.4272185806549</v>
      </c>
      <c r="Q1601">
        <f>-453.278595902039 -120.034898908712 -311.12259159294</f>
        <v>-884.43608640369098</v>
      </c>
      <c r="R1601" t="s">
        <v>17723</v>
      </c>
      <c r="S1601" t="s">
        <v>17724</v>
      </c>
      <c r="T1601" t="s">
        <v>17725</v>
      </c>
      <c r="U1601" t="s">
        <v>17726</v>
      </c>
      <c r="V1601">
        <f>-598.107072184953 -134.819127553857 -97.130257425503</f>
        <v>-830.05645716431309</v>
      </c>
      <c r="W1601" t="s">
        <v>17727</v>
      </c>
      <c r="X1601" t="s">
        <v>17728</v>
      </c>
      <c r="Y1601" t="s">
        <v>17729</v>
      </c>
    </row>
    <row r="1602" spans="1:25" x14ac:dyDescent="0.3">
      <c r="A1602">
        <v>80050</v>
      </c>
      <c r="B1602" t="s">
        <v>17730</v>
      </c>
      <c r="C1602">
        <f>-620.534470877494 -42.0571710038359 -98.4817227522486</f>
        <v>-761.07336463357854</v>
      </c>
      <c r="D1602">
        <f>-638.473674285066 -49.5158984631902 -212.669155490922</f>
        <v>-900.65872823917812</v>
      </c>
      <c r="E1602">
        <f>-643.269763004318 -52.3483674096091 -311.135615426932</f>
        <v>-1006.753745840859</v>
      </c>
      <c r="F1602">
        <f>-643.902257141969 -53.7256724813445 -400.219477407558</f>
        <v>-1097.8474070308716</v>
      </c>
      <c r="G1602">
        <f>-640.462614305981 -53.9277997445656 -489.249627483383</f>
        <v>-1183.6400415339297</v>
      </c>
      <c r="H1602">
        <f>-631.36883857298 -53.0496225601307 -613.496770063049</f>
        <v>-1297.9152311961598</v>
      </c>
      <c r="I1602">
        <f>-601.250252068735 -48.2595835614615 -690.794515730132</f>
        <v>-1340.3043513603284</v>
      </c>
      <c r="J1602">
        <f>-639.349090267692 -26.0143715156166 -558.919114599169</f>
        <v>-1224.2825763824776</v>
      </c>
      <c r="K1602" t="s">
        <v>17731</v>
      </c>
      <c r="L1602" t="s">
        <v>17732</v>
      </c>
      <c r="M1602" t="s">
        <v>17733</v>
      </c>
      <c r="N1602">
        <f>-631.392039880132 -80.8577958211871 -558.724446873761</f>
        <v>-1270.97428257508</v>
      </c>
      <c r="O1602">
        <f>-614.255510678147 -213.980410922867 -528.996489669731</f>
        <v>-1357.2324112707449</v>
      </c>
      <c r="P1602">
        <f>-625.991826070122 -272.636563676815 -240.876925646939</f>
        <v>-1139.5053153938761</v>
      </c>
      <c r="Q1602">
        <f>-453.284921864663 -120.01399603873 -311.087570478376</f>
        <v>-884.38648838176891</v>
      </c>
      <c r="R1602" t="s">
        <v>17734</v>
      </c>
      <c r="S1602" t="s">
        <v>17735</v>
      </c>
      <c r="T1602" t="s">
        <v>17736</v>
      </c>
      <c r="U1602" t="s">
        <v>17737</v>
      </c>
      <c r="V1602">
        <f>-597.848191475388 -134.518259193116 -97.1106047782104</f>
        <v>-829.47705544671442</v>
      </c>
      <c r="W1602" t="s">
        <v>17738</v>
      </c>
      <c r="X1602" t="s">
        <v>17739</v>
      </c>
      <c r="Y1602" t="s">
        <v>17740</v>
      </c>
    </row>
    <row r="1603" spans="1:25" x14ac:dyDescent="0.3">
      <c r="A1603">
        <v>80100</v>
      </c>
      <c r="B1603" t="s">
        <v>17741</v>
      </c>
      <c r="C1603">
        <f>-620.439734766107 -41.8331131866707 -98.4473728635946</f>
        <v>-760.72022081637238</v>
      </c>
      <c r="D1603">
        <f>-638.448072814817 -49.3128395526986 -212.622591468754</f>
        <v>-900.3835038362696</v>
      </c>
      <c r="E1603">
        <f>-643.317535695326 -52.123344271749 -311.085924094477</f>
        <v>-1006.526804061552</v>
      </c>
      <c r="F1603">
        <f>-644.020828208137 -53.4662340725998 -400.16986289328</f>
        <v>-1097.6569251740168</v>
      </c>
      <c r="G1603">
        <f>-640.656030558666 -53.6200232180802 -489.203098435734</f>
        <v>-1183.4791522124801</v>
      </c>
      <c r="H1603">
        <f>-631.670496010374 -52.6602588618707 -613.457491928723</f>
        <v>-1297.7882468009677</v>
      </c>
      <c r="I1603">
        <f>-601.630433310371 -47.8484810304263 -690.784425030126</f>
        <v>-1340.2633393709234</v>
      </c>
      <c r="J1603">
        <f>-639.610008473143 -25.6617978590784 -558.855559093235</f>
        <v>-1224.1273654254564</v>
      </c>
      <c r="K1603" t="s">
        <v>17742</v>
      </c>
      <c r="L1603" t="s">
        <v>17743</v>
      </c>
      <c r="M1603" t="s">
        <v>17744</v>
      </c>
      <c r="N1603">
        <f>-631.639160037658 -80.5034774520608 -558.702835511</f>
        <v>-1270.8454730007188</v>
      </c>
      <c r="O1603">
        <f>-614.482818563792 -213.638620891209 -529.062868643469</f>
        <v>-1357.18430809847</v>
      </c>
      <c r="P1603">
        <f>-625.985520703434 -272.552101238488 -240.986360763014</f>
        <v>-1139.5239827049361</v>
      </c>
      <c r="Q1603">
        <f>-453.169866610475 -120.006342236179 -311.096176162166</f>
        <v>-884.27238500882004</v>
      </c>
      <c r="R1603" t="s">
        <v>17745</v>
      </c>
      <c r="S1603" t="s">
        <v>17746</v>
      </c>
      <c r="T1603" t="s">
        <v>17747</v>
      </c>
      <c r="U1603" t="s">
        <v>17748</v>
      </c>
      <c r="V1603">
        <f>-597.525451959335 -134.399813129105 -97.100337395168</f>
        <v>-829.02560248360805</v>
      </c>
      <c r="W1603" t="s">
        <v>17749</v>
      </c>
      <c r="X1603" t="s">
        <v>17750</v>
      </c>
      <c r="Y1603" t="s">
        <v>17751</v>
      </c>
    </row>
    <row r="1604" spans="1:25" x14ac:dyDescent="0.3">
      <c r="A1604">
        <v>80150</v>
      </c>
      <c r="B1604" t="s">
        <v>17752</v>
      </c>
      <c r="C1604">
        <f>-620.221840185119 -41.9354082575683 -98.5610473517811</f>
        <v>-760.71829579446842</v>
      </c>
      <c r="D1604">
        <f>-638.267690062499 -49.484152225957 -212.725756187362</f>
        <v>-900.47759847581801</v>
      </c>
      <c r="E1604">
        <f>-643.223160330623 -52.2862354378092 -311.185067277701</f>
        <v>-1006.6944630461333</v>
      </c>
      <c r="F1604">
        <f>-644.023967218432 -53.5965231313983 -400.268716013873</f>
        <v>-1097.8892063637031</v>
      </c>
      <c r="G1604">
        <f>-640.77560420462 -53.6931683819101 -489.306242376121</f>
        <v>-1183.7750149626511</v>
      </c>
      <c r="H1604">
        <f>-631.971749181274 -52.6282225358414 -613.572860980177</f>
        <v>-1298.1728326972925</v>
      </c>
      <c r="I1604">
        <f>-601.983986594229 -47.7902916764525 -690.918520568</f>
        <v>-1340.6927988386815</v>
      </c>
      <c r="J1604">
        <f>-639.850182191363 -25.6786833150927 -558.938023942507</f>
        <v>-1224.4668894489628</v>
      </c>
      <c r="K1604" t="s">
        <v>17753</v>
      </c>
      <c r="L1604" t="s">
        <v>17754</v>
      </c>
      <c r="M1604" t="s">
        <v>17755</v>
      </c>
      <c r="N1604">
        <f>-631.841610131304 -80.5149390360414 -558.840510635872</f>
        <v>-1271.1970598032174</v>
      </c>
      <c r="O1604">
        <f>-614.538493142315 -213.654390218711 -529.343632016841</f>
        <v>-1357.5365153778671</v>
      </c>
      <c r="P1604">
        <f>-625.682692801193 -272.762977160422 -241.29297093089</f>
        <v>-1139.7386408925049</v>
      </c>
      <c r="Q1604">
        <f>-452.833988351171 -120.249367549972 -311.391549143753</f>
        <v>-884.4749050448961</v>
      </c>
      <c r="R1604" t="s">
        <v>17756</v>
      </c>
      <c r="S1604" t="s">
        <v>17757</v>
      </c>
      <c r="T1604" t="s">
        <v>17758</v>
      </c>
      <c r="U1604" t="s">
        <v>17759</v>
      </c>
      <c r="V1604">
        <f>-597.04815372821 -134.655866208997 -97.1256706593804</f>
        <v>-828.8296905965874</v>
      </c>
      <c r="W1604" t="s">
        <v>17760</v>
      </c>
      <c r="X1604" t="s">
        <v>17761</v>
      </c>
      <c r="Y1604" t="s">
        <v>17762</v>
      </c>
    </row>
    <row r="1605" spans="1:25" x14ac:dyDescent="0.3">
      <c r="A1605">
        <v>80200</v>
      </c>
      <c r="B1605" t="s">
        <v>17763</v>
      </c>
      <c r="C1605">
        <f>-619.96176471587 -42.4024897924653 -98.6622199839956</f>
        <v>-761.02647449233086</v>
      </c>
      <c r="D1605">
        <f>-638.020053287604 -49.9752158123915 -212.823342921609</f>
        <v>-900.81861202160451</v>
      </c>
      <c r="E1605">
        <f>-642.984195746046 -52.7976320526392 -311.281732428857</f>
        <v>-1007.0635602275422</v>
      </c>
      <c r="F1605">
        <f>-643.791537127916 -54.1274492727822 -400.364920437076</f>
        <v>-1098.2839068377741</v>
      </c>
      <c r="G1605">
        <f>-640.548474204977 -54.2450060402307 -489.402606372839</f>
        <v>-1184.1960866180466</v>
      </c>
      <c r="H1605">
        <f>-631.750519763035 -53.2119663853819 -613.669950431628</f>
        <v>-1298.6324365800447</v>
      </c>
      <c r="I1605">
        <f>-601.838422863256 -48.3381267205029 -691.042555258278</f>
        <v>-1341.2191048420368</v>
      </c>
      <c r="J1605">
        <f>-639.630511800223 -26.2490108292027 -559.041862041469</f>
        <v>-1224.9213846708947</v>
      </c>
      <c r="K1605" t="s">
        <v>17764</v>
      </c>
      <c r="L1605" t="s">
        <v>17765</v>
      </c>
      <c r="M1605" t="s">
        <v>17766</v>
      </c>
      <c r="N1605">
        <f>-631.613674420756 -81.0841512478798 -558.930247395822</f>
        <v>-1271.6280730644578</v>
      </c>
      <c r="O1605">
        <f>-614.231788207954 -214.237424927013 -529.49015434686</f>
        <v>-1357.959367481827</v>
      </c>
      <c r="P1605">
        <f>-625.31345708787 -273.232467101366 -241.413904830004</f>
        <v>-1139.95982901924</v>
      </c>
      <c r="Q1605">
        <f>-452.757527964176 -120.485263596249 -311.724582484383</f>
        <v>-884.96737404480791</v>
      </c>
      <c r="R1605" t="s">
        <v>17767</v>
      </c>
      <c r="S1605" t="s">
        <v>17768</v>
      </c>
      <c r="T1605" t="s">
        <v>17769</v>
      </c>
      <c r="U1605" t="s">
        <v>17770</v>
      </c>
      <c r="V1605">
        <f>-596.813035105473 -135.064913913893 -97.1933605186076</f>
        <v>-829.07130953797366</v>
      </c>
      <c r="W1605" t="s">
        <v>17771</v>
      </c>
      <c r="X1605" t="s">
        <v>17772</v>
      </c>
      <c r="Y1605" t="s">
        <v>17773</v>
      </c>
    </row>
    <row r="1606" spans="1:25" x14ac:dyDescent="0.3">
      <c r="A1606">
        <v>80250</v>
      </c>
      <c r="B1606" t="s">
        <v>17774</v>
      </c>
      <c r="C1606">
        <f>-619.849164674388 -42.4317249850542 -98.6485187225411</f>
        <v>-760.92940838198331</v>
      </c>
      <c r="D1606">
        <f>-637.893442819054 -49.9844069113119 -212.813247434697</f>
        <v>-900.69109716506296</v>
      </c>
      <c r="E1606">
        <f>-642.800477078215 -52.8085658807387 -311.274322987112</f>
        <v>-1006.8833659460656</v>
      </c>
      <c r="F1606">
        <f>-643.538751274195 -54.1476242932001 -400.358110421088</f>
        <v>-1098.0444859884831</v>
      </c>
      <c r="G1606">
        <f>-640.209107407374 -54.2821021690697 -489.392543932471</f>
        <v>-1183.8837535089147</v>
      </c>
      <c r="H1606">
        <f>-631.27223175821 -53.2809641703109 -613.650156981892</f>
        <v>-1298.2033529104128</v>
      </c>
      <c r="I1606">
        <f>-601.343556580327 -48.3990804774392 -691.015962235305</f>
        <v>-1340.7585992930713</v>
      </c>
      <c r="J1606">
        <f>-639.20442834457 -26.3026377292981 -559.037236310187</f>
        <v>-1224.5443023840553</v>
      </c>
      <c r="K1606" t="s">
        <v>17775</v>
      </c>
      <c r="L1606" t="s">
        <v>17776</v>
      </c>
      <c r="M1606" t="s">
        <v>17777</v>
      </c>
      <c r="N1606">
        <f>-631.205396574772 -81.1403188777194 -558.903800127071</f>
        <v>-1271.2495155795623</v>
      </c>
      <c r="O1606">
        <f>-613.903412040644 -214.298432859517 -529.423898242872</f>
        <v>-1357.6257431430331</v>
      </c>
      <c r="P1606">
        <f>-625.045133261532 -273.267974741943 -241.344584511667</f>
        <v>-1139.6576925151421</v>
      </c>
      <c r="Q1606">
        <f>-452.507887589205 -120.551075419438 -311.767253643451</f>
        <v>-884.82621665209399</v>
      </c>
      <c r="R1606" t="s">
        <v>17778</v>
      </c>
      <c r="S1606" t="s">
        <v>17779</v>
      </c>
      <c r="T1606" t="s">
        <v>17780</v>
      </c>
      <c r="U1606" t="s">
        <v>17781</v>
      </c>
      <c r="V1606">
        <f>-596.789293020804 -135.004381449883 -97.1945071359493</f>
        <v>-828.98818160663632</v>
      </c>
      <c r="W1606" t="s">
        <v>17782</v>
      </c>
      <c r="X1606" t="s">
        <v>17783</v>
      </c>
      <c r="Y1606" t="s">
        <v>17784</v>
      </c>
    </row>
    <row r="1607" spans="1:25" x14ac:dyDescent="0.3">
      <c r="A1607">
        <v>80300</v>
      </c>
      <c r="B1607" t="s">
        <v>17785</v>
      </c>
      <c r="C1607">
        <f>-619.734515253762 -42.351466329219 -98.59657027915</f>
        <v>-760.68255186213094</v>
      </c>
      <c r="D1607">
        <f>-637.809633540755 -49.9239386463884 -212.755217530264</f>
        <v>-900.48878971740737</v>
      </c>
      <c r="E1607">
        <f>-642.697925368214 -52.7600646136117 -311.216900211204</f>
        <v>-1006.6748901930297</v>
      </c>
      <c r="F1607">
        <f>-643.40112591253 -54.1078384156593 -400.300722994365</f>
        <v>-1097.8096873225543</v>
      </c>
      <c r="G1607">
        <f>-640.018176374624 -54.2499774223992 -489.333166678182</f>
        <v>-1183.6013204752053</v>
      </c>
      <c r="H1607">
        <f>-630.987794750681 -53.2582302735192 -613.584043314118</f>
        <v>-1297.8300683383181</v>
      </c>
      <c r="I1607">
        <f>-601.056859507647 -48.3975276394501 -690.95026573153</f>
        <v>-1340.4046528786271</v>
      </c>
      <c r="J1607">
        <f>-638.935381709167 -26.272076317849 -558.977251552984</f>
        <v>-1224.1847095799999</v>
      </c>
      <c r="K1607" t="s">
        <v>17786</v>
      </c>
      <c r="L1607" t="s">
        <v>17787</v>
      </c>
      <c r="M1607" t="s">
        <v>17788</v>
      </c>
      <c r="N1607">
        <f>-630.987829081306 -81.1171868761328 -558.837436670995</f>
        <v>-1270.9424526284338</v>
      </c>
      <c r="O1607">
        <f>-613.797452505988 -214.271460133974 -529.306811123504</f>
        <v>-1357.3757237634659</v>
      </c>
      <c r="P1607">
        <f>-625.456867962772 -273.003302113879 -241.19944928184</f>
        <v>-1139.659619358491</v>
      </c>
      <c r="Q1607">
        <f>-452.538973977688 -120.679049673661 -311.538718666142</f>
        <v>-884.75674231749099</v>
      </c>
      <c r="R1607" t="s">
        <v>17789</v>
      </c>
      <c r="S1607" t="s">
        <v>17790</v>
      </c>
      <c r="T1607" t="s">
        <v>17791</v>
      </c>
      <c r="U1607" t="s">
        <v>17792</v>
      </c>
      <c r="V1607">
        <f>-596.706588732175 -134.928280464942 -97.1738411407968</f>
        <v>-828.80871033791368</v>
      </c>
      <c r="W1607" t="s">
        <v>17793</v>
      </c>
      <c r="X1607" t="s">
        <v>17794</v>
      </c>
      <c r="Y1607" t="s">
        <v>17795</v>
      </c>
    </row>
    <row r="1608" spans="1:25" x14ac:dyDescent="0.3">
      <c r="A1608">
        <v>80350</v>
      </c>
      <c r="B1608" t="s">
        <v>17796</v>
      </c>
      <c r="C1608">
        <f>-619.717918815442 -42.2903145196321 -98.5856307570656</f>
        <v>-760.59386409213971</v>
      </c>
      <c r="D1608">
        <f>-637.808408858063 -49.8773118901862 -212.740759397397</f>
        <v>-900.42648014564622</v>
      </c>
      <c r="E1608">
        <f>-642.710905500542 -52.7229220975642 -311.201592014486</f>
        <v>-1006.6354196125922</v>
      </c>
      <c r="F1608">
        <f>-643.427019585726 -54.0785118602142 -400.285261486298</f>
        <v>-1097.7907929322382</v>
      </c>
      <c r="G1608">
        <f>-640.057169947973 -54.2277431026806 -489.318051739268</f>
        <v>-1183.6029647899215</v>
      </c>
      <c r="H1608">
        <f>-631.045112634611 -53.2459492585882 -613.570366538239</f>
        <v>-1297.8614284314381</v>
      </c>
      <c r="I1608">
        <f>-601.126985434241 -48.4159566531439 -690.943455667797</f>
        <v>-1340.4863977551818</v>
      </c>
      <c r="J1608">
        <f>-638.974943461991 -26.2540266964088 -558.963847320132</f>
        <v>-1224.1928174785317</v>
      </c>
      <c r="K1608" t="s">
        <v>17797</v>
      </c>
      <c r="L1608" t="s">
        <v>17798</v>
      </c>
      <c r="M1608" t="s">
        <v>17799</v>
      </c>
      <c r="N1608">
        <f>-631.046809863299 -81.1019073712038 -558.822308815187</f>
        <v>-1270.9710260496897</v>
      </c>
      <c r="O1608">
        <f>-613.942542553386 -214.275352234931 -529.306900092565</f>
        <v>-1357.5247948808819</v>
      </c>
      <c r="P1608">
        <f>-625.776610467965 -272.943275017054 -241.193651876929</f>
        <v>-1139.9135373619481</v>
      </c>
      <c r="Q1608">
        <f>-452.585801368677 -120.854145932178 -311.369818248842</f>
        <v>-884.80976554969698</v>
      </c>
      <c r="R1608" t="s">
        <v>17800</v>
      </c>
      <c r="S1608" t="s">
        <v>17801</v>
      </c>
      <c r="T1608" t="s">
        <v>17802</v>
      </c>
      <c r="U1608" t="s">
        <v>17803</v>
      </c>
      <c r="V1608">
        <f>-596.672739407132 -134.918813373321 -97.1558893190494</f>
        <v>-828.74744209950234</v>
      </c>
      <c r="W1608" t="s">
        <v>17804</v>
      </c>
      <c r="X1608" t="s">
        <v>17805</v>
      </c>
      <c r="Y1608" t="s">
        <v>17806</v>
      </c>
    </row>
    <row r="1609" spans="1:25" x14ac:dyDescent="0.3">
      <c r="A1609">
        <v>80400</v>
      </c>
      <c r="B1609" t="s">
        <v>17807</v>
      </c>
      <c r="C1609">
        <f>-619.623220166998 -42.3820837458291 -98.5756420784047</f>
        <v>-760.58094599123172</v>
      </c>
      <c r="D1609">
        <f>-637.73184163056 -49.988544353519 -212.726546401804</f>
        <v>-900.44693238588297</v>
      </c>
      <c r="E1609">
        <f>-642.650655184877 -52.8426180955365 -311.186357889659</f>
        <v>-1006.6796311700725</v>
      </c>
      <c r="F1609">
        <f>-643.381629999234 -54.2029283319483 -400.269637215882</f>
        <v>-1097.8541955470644</v>
      </c>
      <c r="G1609">
        <f>-640.026507423641 -54.354224985887 -489.303206440281</f>
        <v>-1183.6839388498088</v>
      </c>
      <c r="H1609">
        <f>-631.034720454464 -53.3724569528551 -613.557011573924</f>
        <v>-1297.9641889812433</v>
      </c>
      <c r="I1609">
        <f>-601.097281092132 -48.5537706127195 -690.923413000195</f>
        <v>-1340.5744647050465</v>
      </c>
      <c r="J1609">
        <f>-638.951969316675 -26.380120602023 -558.948987203827</f>
        <v>-1224.2810771225249</v>
      </c>
      <c r="K1609" t="s">
        <v>17808</v>
      </c>
      <c r="L1609" t="s">
        <v>17809</v>
      </c>
      <c r="M1609" t="s">
        <v>17810</v>
      </c>
      <c r="N1609">
        <f>-631.031181870779 -81.229005428595 -558.80912239107</f>
        <v>-1271.069309690444</v>
      </c>
      <c r="O1609">
        <f>-613.949555586456 -214.410487127419 -529.316918207466</f>
        <v>-1357.6769609213409</v>
      </c>
      <c r="P1609">
        <f>-625.886203339112 -273.138097019446 -241.220132387835</f>
        <v>-1140.2444327463929</v>
      </c>
      <c r="Q1609">
        <f>-452.552557892437 -121.153233721792 -311.269232429409</f>
        <v>-884.97502404363809</v>
      </c>
      <c r="R1609" t="s">
        <v>17811</v>
      </c>
      <c r="S1609" t="s">
        <v>17812</v>
      </c>
      <c r="T1609" t="s">
        <v>17813</v>
      </c>
      <c r="U1609" t="s">
        <v>17814</v>
      </c>
      <c r="V1609">
        <f>-596.561583091527 -135.086190101868 -97.1413310747896</f>
        <v>-828.7891042681847</v>
      </c>
      <c r="W1609" t="s">
        <v>17815</v>
      </c>
      <c r="X1609" t="s">
        <v>17816</v>
      </c>
      <c r="Y1609" t="s">
        <v>17817</v>
      </c>
    </row>
    <row r="1610" spans="1:25" x14ac:dyDescent="0.3">
      <c r="A1610">
        <v>80450</v>
      </c>
      <c r="B1610" t="s">
        <v>17818</v>
      </c>
      <c r="C1610">
        <f>-619.36689440775 -42.3000769159141 -98.5824465442871</f>
        <v>-760.24941786795125</v>
      </c>
      <c r="D1610">
        <f>-637.53242003619 -49.9762156301781 -212.719764824834</f>
        <v>-900.22840049120214</v>
      </c>
      <c r="E1610">
        <f>-642.511808063302 -52.864839222171 -311.175394440737</f>
        <v>-1006.5520417262101</v>
      </c>
      <c r="F1610">
        <f>-643.301178471849 -54.2482261447276 -400.258024825813</f>
        <v>-1097.8074294423895</v>
      </c>
      <c r="G1610">
        <f>-640.007640795877 -54.4150402356871 -489.293828371436</f>
        <v>-1183.7165094030001</v>
      </c>
      <c r="H1610">
        <f>-631.104815793577 -53.4482620396327 -613.55405569225</f>
        <v>-1298.1071335254596</v>
      </c>
      <c r="I1610">
        <f>-601.148789576485 -48.6290070400738 -690.913178696212</f>
        <v>-1340.6909753127707</v>
      </c>
      <c r="J1610">
        <f>-638.983367780743 -26.4493783537882 -558.943511343568</f>
        <v>-1224.3762574780994</v>
      </c>
      <c r="K1610" t="s">
        <v>17819</v>
      </c>
      <c r="L1610" t="s">
        <v>17820</v>
      </c>
      <c r="M1610" t="s">
        <v>17821</v>
      </c>
      <c r="N1610">
        <f>-631.061629157266 -81.2981351976458 -558.802705442383</f>
        <v>-1271.1624697972948</v>
      </c>
      <c r="O1610">
        <f>-613.97031532933 -214.478526480008 -529.340189863191</f>
        <v>-1357.7890316725288</v>
      </c>
      <c r="P1610">
        <f>-625.783178149333 -273.430212620846 -241.284045156598</f>
        <v>-1140.4974359267771</v>
      </c>
      <c r="Q1610">
        <f>-452.389566199801 -121.51912760825 -311.345046695793</f>
        <v>-885.25374050384403</v>
      </c>
      <c r="R1610" t="s">
        <v>17822</v>
      </c>
      <c r="S1610" t="s">
        <v>17823</v>
      </c>
      <c r="T1610" t="s">
        <v>17824</v>
      </c>
      <c r="U1610" t="s">
        <v>17825</v>
      </c>
      <c r="V1610">
        <f>-596.213952803541 -134.854852238412 -97.1302908532967</f>
        <v>-828.1990958952498</v>
      </c>
      <c r="W1610" t="s">
        <v>17826</v>
      </c>
      <c r="X1610" t="s">
        <v>17827</v>
      </c>
      <c r="Y1610" t="s">
        <v>17828</v>
      </c>
    </row>
    <row r="1611" spans="1:25" x14ac:dyDescent="0.3">
      <c r="A1611">
        <v>80500</v>
      </c>
      <c r="B1611" t="s">
        <v>17829</v>
      </c>
      <c r="C1611">
        <f>-619.051527310793 -42.3081877898978 -98.608113259066</f>
        <v>-759.96782835975682</v>
      </c>
      <c r="D1611">
        <f>-637.243453279533 -50.0220128527401 -212.738640702382</f>
        <v>-900.00410683465509</v>
      </c>
      <c r="E1611">
        <f>-642.276784986048 -52.9721708501439 -311.189783571299</f>
        <v>-1006.438739407491</v>
      </c>
      <c r="F1611">
        <f>-643.127418622382 -54.4242302120811 -400.270673901189</f>
        <v>-1097.8223227356521</v>
      </c>
      <c r="G1611">
        <f>-639.907516114137 -54.6729018171586 -489.308870454952</f>
        <v>-1183.8892883862477</v>
      </c>
      <c r="H1611">
        <f>-631.120464116409 -53.8349962650417 -613.578278589563</f>
        <v>-1298.5337389710137</v>
      </c>
      <c r="I1611">
        <f>-601.208440967205 -49.0573047603872 -690.957086331514</f>
        <v>-1341.2228320591062</v>
      </c>
      <c r="J1611">
        <f>-638.939517328976 -26.7782517156352 -558.987964605747</f>
        <v>-1224.7057336503581</v>
      </c>
      <c r="K1611" t="s">
        <v>17830</v>
      </c>
      <c r="L1611" t="s">
        <v>17831</v>
      </c>
      <c r="M1611" t="s">
        <v>17832</v>
      </c>
      <c r="N1611">
        <f>-631.034914590022 -81.6292674652879 -558.798976318564</f>
        <v>-1271.4631583738737</v>
      </c>
      <c r="O1611">
        <f>-613.942344123542 -214.800219819277 -529.280531741398</f>
        <v>-1358.023095684217</v>
      </c>
      <c r="P1611">
        <f>-625.68937991242 -273.454768982026 -241.160998812034</f>
        <v>-1140.3051477064801</v>
      </c>
      <c r="Q1611">
        <f>-452.183746055162 -121.71333574495 -311.312187157782</f>
        <v>-885.20926895789398</v>
      </c>
      <c r="R1611" t="s">
        <v>17833</v>
      </c>
      <c r="S1611" t="s">
        <v>17834</v>
      </c>
      <c r="T1611" t="s">
        <v>17835</v>
      </c>
      <c r="U1611" t="s">
        <v>17836</v>
      </c>
      <c r="V1611">
        <f>-595.843689414716 -134.874543381786 -97.1215496388027</f>
        <v>-827.83978243530464</v>
      </c>
      <c r="W1611" t="s">
        <v>17837</v>
      </c>
      <c r="X1611" t="s">
        <v>17838</v>
      </c>
      <c r="Y1611" t="s">
        <v>17839</v>
      </c>
    </row>
    <row r="1612" spans="1:25" x14ac:dyDescent="0.3">
      <c r="A1612">
        <v>80550</v>
      </c>
      <c r="B1612" t="s">
        <v>17840</v>
      </c>
      <c r="C1612">
        <f>-618.863106126225 -42.3047690868768 -98.6141697147257</f>
        <v>-759.78204492782754</v>
      </c>
      <c r="D1612">
        <f>-637.072159266748 -50.0327142015242 -212.74094382391</f>
        <v>-899.84581729218223</v>
      </c>
      <c r="E1612">
        <f>-642.132495075587 -53.0089381177486 -311.189895870134</f>
        <v>-1006.3313290634696</v>
      </c>
      <c r="F1612">
        <f>-643.012384192389 -54.4903547531312 -400.270024714432</f>
        <v>-1097.7727636599523</v>
      </c>
      <c r="G1612">
        <f>-639.82651957632 -54.7751835725503 -489.309448113735</f>
        <v>-1183.9111512626055</v>
      </c>
      <c r="H1612">
        <f>-631.091920316112 -53.9949028060506 -613.582947540981</f>
        <v>-1298.6697706631435</v>
      </c>
      <c r="I1612">
        <f>-601.218971834683 -49.2544126860487 -690.979152915841</f>
        <v>-1341.4525374365726</v>
      </c>
      <c r="J1612">
        <f>-638.873770023626 -26.9107263801984 -559.000956632789</f>
        <v>-1224.7854530366135</v>
      </c>
      <c r="K1612" t="s">
        <v>17841</v>
      </c>
      <c r="L1612" t="s">
        <v>17842</v>
      </c>
      <c r="M1612" t="s">
        <v>17843</v>
      </c>
      <c r="N1612">
        <f>-630.997378651192 -81.7657765716265 -558.791701638929</f>
        <v>-1271.5548568617473</v>
      </c>
      <c r="O1612">
        <f>-613.961341643513 -214.940359360165 -529.238448465023</f>
        <v>-1358.1401494687011</v>
      </c>
      <c r="P1612">
        <f>-625.811762216191 -273.332470884775 -241.06990488555</f>
        <v>-1140.2141379865159</v>
      </c>
      <c r="Q1612">
        <f>-451.951022671623 -121.855502729913 -310.912795387318</f>
        <v>-884.71932078885402</v>
      </c>
      <c r="R1612" t="s">
        <v>17844</v>
      </c>
      <c r="S1612" t="s">
        <v>17845</v>
      </c>
      <c r="T1612" t="s">
        <v>17846</v>
      </c>
      <c r="U1612" t="s">
        <v>17847</v>
      </c>
      <c r="V1612">
        <f>-595.618991584672 -134.942374511933 -97.1317772087598</f>
        <v>-827.69314330536486</v>
      </c>
      <c r="W1612" t="s">
        <v>17848</v>
      </c>
      <c r="X1612" t="s">
        <v>17849</v>
      </c>
      <c r="Y1612" t="s">
        <v>17850</v>
      </c>
    </row>
    <row r="1613" spans="1:25" x14ac:dyDescent="0.3">
      <c r="A1613">
        <v>80600</v>
      </c>
      <c r="B1613" t="s">
        <v>17851</v>
      </c>
      <c r="C1613">
        <f>-618.542580592101 -42.1964415788416 -98.6535500473902</f>
        <v>-759.39257221833282</v>
      </c>
      <c r="D1613">
        <f>-636.768763967495 -49.9633814579166 -212.774986019503</f>
        <v>-899.50713144491465</v>
      </c>
      <c r="E1613">
        <f>-641.859358124331 -52.9737793836831 -311.221191232914</f>
        <v>-1006.0543287409282</v>
      </c>
      <c r="F1613">
        <f>-642.772417142998 -54.4879005941427 -400.300584459329</f>
        <v>-1097.5609021964697</v>
      </c>
      <c r="G1613">
        <f>-639.625087270708 -54.8077034652943 -489.341228637797</f>
        <v>-1183.7740193737993</v>
      </c>
      <c r="H1613">
        <f>-630.949810258808 -54.0795552851326 -613.619202121281</f>
        <v>-1298.6485676652217</v>
      </c>
      <c r="I1613">
        <f>-601.130608493389 -49.4189414075499 -691.040902975398</f>
        <v>-1341.5904528763369</v>
      </c>
      <c r="J1613">
        <f>-638.679659084343 -26.9687663607347 -559.042854632796</f>
        <v>-1224.6912800778737</v>
      </c>
      <c r="K1613" t="s">
        <v>17852</v>
      </c>
      <c r="L1613" t="s">
        <v>17853</v>
      </c>
      <c r="M1613" t="s">
        <v>17854</v>
      </c>
      <c r="N1613">
        <f>-630.855045920826 -81.831257765591 -558.818168796008</f>
        <v>-1271.5044724824249</v>
      </c>
      <c r="O1613">
        <f>-613.957650949064 -215.02587557996 -529.270822693036</f>
        <v>-1358.2543492220602</v>
      </c>
      <c r="P1613">
        <f>-626.200080583976 -273.354341872493 -241.105774253894</f>
        <v>-1140.6601967103632</v>
      </c>
      <c r="Q1613">
        <f>-451.65113389641 -122.185010160441 -309.890619042139</f>
        <v>-883.72676309898998</v>
      </c>
      <c r="R1613" t="s">
        <v>17855</v>
      </c>
      <c r="S1613" t="s">
        <v>17856</v>
      </c>
      <c r="T1613" t="s">
        <v>17857</v>
      </c>
      <c r="U1613" t="s">
        <v>17858</v>
      </c>
      <c r="V1613">
        <f>-595.277200282603 -134.769447490924 -97.1507519412072</f>
        <v>-827.19739971473416</v>
      </c>
      <c r="W1613" t="s">
        <v>17859</v>
      </c>
      <c r="X1613" t="s">
        <v>17860</v>
      </c>
      <c r="Y1613" t="s">
        <v>17861</v>
      </c>
    </row>
    <row r="1614" spans="1:25" x14ac:dyDescent="0.3">
      <c r="A1614">
        <v>80650</v>
      </c>
      <c r="B1614" t="s">
        <v>17862</v>
      </c>
      <c r="C1614">
        <f>-618.199625565932 -41.9497152211538 -98.6947102108965</f>
        <v>-758.84405099798232</v>
      </c>
      <c r="D1614">
        <f>-636.477439788901 -49.7552373926491 -212.805397328356</f>
        <v>-899.0380745099061</v>
      </c>
      <c r="E1614">
        <f>-641.621879989248 -52.7756704651871 -311.248620779305</f>
        <v>-1005.64617123374</v>
      </c>
      <c r="F1614">
        <f>-642.586656680317 -54.2902718912553 -400.327172588164</f>
        <v>-1097.2041011597362</v>
      </c>
      <c r="G1614">
        <f>-639.493865875056 -54.603121900988 -489.369746205865</f>
        <v>-1183.4667339819089</v>
      </c>
      <c r="H1614">
        <f>-630.897239550515 -53.8577680654854 -613.653211061516</f>
        <v>-1298.4082186775163</v>
      </c>
      <c r="I1614">
        <f>-601.150232902039 -49.2546003297911 -691.106052844749</f>
        <v>-1341.510886076579</v>
      </c>
      <c r="J1614">
        <f>-638.568789922909 -26.7511089580462 -559.066703912849</f>
        <v>-1224.3866027938043</v>
      </c>
      <c r="K1614" t="s">
        <v>17863</v>
      </c>
      <c r="L1614" t="s">
        <v>17864</v>
      </c>
      <c r="M1614" t="s">
        <v>17865</v>
      </c>
      <c r="N1614">
        <f>-630.791581097754 -81.6203785653549 -558.857790266949</f>
        <v>-1271.269749930058</v>
      </c>
      <c r="O1614">
        <f>-613.999424679737 -214.840047543451 -529.372255320769</f>
        <v>-1358.2117275439568</v>
      </c>
      <c r="P1614">
        <f>-626.580799553279 -273.444313326888 -241.277822666342</f>
        <v>-1141.3029355465089</v>
      </c>
      <c r="Q1614">
        <f>-451.694917101937 -122.343615273027 -309.353851387275</f>
        <v>-883.39238376223898</v>
      </c>
      <c r="R1614" t="s">
        <v>17866</v>
      </c>
      <c r="S1614" t="s">
        <v>17867</v>
      </c>
      <c r="T1614" t="s">
        <v>17868</v>
      </c>
      <c r="U1614" t="s">
        <v>17869</v>
      </c>
      <c r="V1614">
        <f>-594.911180131916 -134.415543620717 -97.1646670260867</f>
        <v>-826.49139077871973</v>
      </c>
      <c r="W1614" t="s">
        <v>17870</v>
      </c>
      <c r="X1614" t="s">
        <v>17871</v>
      </c>
      <c r="Y1614" t="s">
        <v>17872</v>
      </c>
    </row>
    <row r="1615" spans="1:25" x14ac:dyDescent="0.3">
      <c r="A1615">
        <v>80700</v>
      </c>
      <c r="B1615" t="s">
        <v>17873</v>
      </c>
      <c r="C1615">
        <f>-617.69759217403 -41.999444819364 -98.7217293445311</f>
        <v>-758.41876633792515</v>
      </c>
      <c r="D1615">
        <f>-635.954653197815 -49.8207951814869 -212.834526855964</f>
        <v>-898.60997523526589</v>
      </c>
      <c r="E1615">
        <f>-641.099664166067 -52.8358466915051 -311.277861738686</f>
        <v>-1005.2133725962581</v>
      </c>
      <c r="F1615">
        <f>-642.07179313853 -54.3383524602646 -400.356818465771</f>
        <v>-1096.7669640645656</v>
      </c>
      <c r="G1615">
        <f>-638.992763955776 -54.632515912693 -489.399856123003</f>
        <v>-1183.0251359914719</v>
      </c>
      <c r="H1615">
        <f>-630.421999994936 -53.8544747626286 -613.6848036081</f>
        <v>-1297.9612783656644</v>
      </c>
      <c r="I1615">
        <f>-600.711043990572 -49.2978252362446 -691.15418815992</f>
        <v>-1341.1630573867365</v>
      </c>
      <c r="J1615">
        <f>-638.059817723436 -26.7590550760315 -559.087960115957</f>
        <v>-1223.9068329154245</v>
      </c>
      <c r="K1615" t="s">
        <v>17874</v>
      </c>
      <c r="L1615" t="s">
        <v>17875</v>
      </c>
      <c r="M1615" t="s">
        <v>17876</v>
      </c>
      <c r="N1615">
        <f>-630.327373631694 -81.6346877638641 -558.898219920619</f>
        <v>-1270.860281316177</v>
      </c>
      <c r="O1615">
        <f>-613.684212438548 -214.875684717289 -529.455952693645</f>
        <v>-1358.015849849482</v>
      </c>
      <c r="P1615">
        <f>-626.372598436883 -273.823502119832 -241.436264755933</f>
        <v>-1141.6323653126481</v>
      </c>
      <c r="Q1615">
        <f>-451.8595771554 -121.944870499477 -308.733608455671</f>
        <v>-882.53805611054804</v>
      </c>
      <c r="R1615" t="s">
        <v>17877</v>
      </c>
      <c r="S1615" t="s">
        <v>17878</v>
      </c>
      <c r="T1615" t="s">
        <v>17879</v>
      </c>
      <c r="U1615" t="s">
        <v>17880</v>
      </c>
      <c r="V1615">
        <f>-594.395201556429 -134.473310972821 -97.1706566074637</f>
        <v>-826.03916913671367</v>
      </c>
      <c r="W1615" t="s">
        <v>17881</v>
      </c>
      <c r="X1615" t="s">
        <v>17882</v>
      </c>
      <c r="Y1615" t="s">
        <v>17883</v>
      </c>
    </row>
    <row r="1616" spans="1:25" x14ac:dyDescent="0.3">
      <c r="A1616">
        <v>80750</v>
      </c>
      <c r="B1616" t="s">
        <v>17884</v>
      </c>
      <c r="C1616">
        <f>-617.48570940658 -42.0526464711693 -98.7132947261219</f>
        <v>-758.25165060387121</v>
      </c>
      <c r="D1616">
        <f>-635.754001773001 -49.8630123885657 -212.824990491864</f>
        <v>-898.44200465343079</v>
      </c>
      <c r="E1616">
        <f>-640.901283608919 -52.868746464615 -311.268595665125</f>
        <v>-1005.038625738659</v>
      </c>
      <c r="F1616">
        <f>-641.872704744679 -54.3629632297483 -400.347657297494</f>
        <v>-1096.5833252719212</v>
      </c>
      <c r="G1616">
        <f>-638.790207947012 -54.648519231054 -489.39065970519</f>
        <v>-1182.8293868832561</v>
      </c>
      <c r="H1616">
        <f>-630.211485219497 -53.8583941615253 -613.674836291724</f>
        <v>-1297.7447156727462</v>
      </c>
      <c r="I1616">
        <f>-600.512101605693 -49.3040915784817 -691.149012971293</f>
        <v>-1340.9652061554677</v>
      </c>
      <c r="J1616">
        <f>-637.84772275105 -26.7675852504224 -559.075614014354</f>
        <v>-1223.6909220158263</v>
      </c>
      <c r="K1616" t="s">
        <v>17885</v>
      </c>
      <c r="L1616" t="s">
        <v>17886</v>
      </c>
      <c r="M1616" t="s">
        <v>17887</v>
      </c>
      <c r="N1616">
        <f>-630.125394724282 -81.6446352134292 -558.891472616598</f>
        <v>-1270.6615025543092</v>
      </c>
      <c r="O1616">
        <f>-613.54260549903 -214.895096783108 -529.435624124582</f>
        <v>-1357.87332640672</v>
      </c>
      <c r="P1616">
        <f>-626.143519348122 -273.700644468685 -241.383001284098</f>
        <v>-1141.227165100905</v>
      </c>
      <c r="Q1616">
        <f>-451.728474402677 -121.715690489927 -308.694423112549</f>
        <v>-882.138588005153</v>
      </c>
      <c r="R1616" t="s">
        <v>17888</v>
      </c>
      <c r="S1616" t="s">
        <v>17889</v>
      </c>
      <c r="T1616" t="s">
        <v>17890</v>
      </c>
      <c r="U1616" t="s">
        <v>17891</v>
      </c>
      <c r="V1616">
        <f>-594.233985726996 -134.545455287429 -97.1736123276301</f>
        <v>-825.95305334205511</v>
      </c>
      <c r="W1616" t="s">
        <v>17892</v>
      </c>
      <c r="X1616" t="s">
        <v>17893</v>
      </c>
      <c r="Y1616" t="s">
        <v>17894</v>
      </c>
    </row>
    <row r="1617" spans="1:25" x14ac:dyDescent="0.3">
      <c r="A1617">
        <v>80800</v>
      </c>
      <c r="B1617" t="s">
        <v>17895</v>
      </c>
      <c r="C1617">
        <f>-617.202564180723 -42.2117325112663 -98.7004889825249</f>
        <v>-758.11478567451422</v>
      </c>
      <c r="D1617">
        <f>-635.476403941016 -50.0052717091178 -212.812523867091</f>
        <v>-898.2941995172248</v>
      </c>
      <c r="E1617">
        <f>-640.631921486358 -53.0081537847512 -311.255666525552</f>
        <v>-1004.8957417966612</v>
      </c>
      <c r="F1617">
        <f>-641.612343871241 -54.5039067826485 -400.334498310285</f>
        <v>-1096.4507489641746</v>
      </c>
      <c r="G1617">
        <f>-638.5403088821 -54.7959931483585 -489.377831003957</f>
        <v>-1182.7141330344157</v>
      </c>
      <c r="H1617">
        <f>-629.978033939776 -54.0198858124662 -613.663412102298</f>
        <v>-1297.6613318545401</v>
      </c>
      <c r="I1617">
        <f>-600.300613200403 -49.4793261353747 -691.146749067265</f>
        <v>-1340.9266884030426</v>
      </c>
      <c r="J1617">
        <f>-637.587303542894 -26.9200704575278 -559.064863293749</f>
        <v>-1223.5722372941709</v>
      </c>
      <c r="K1617" t="s">
        <v>17896</v>
      </c>
      <c r="L1617" t="s">
        <v>17897</v>
      </c>
      <c r="M1617" t="s">
        <v>17898</v>
      </c>
      <c r="N1617">
        <f>-629.904458677896 -81.8027335797067 -558.878227777549</f>
        <v>-1270.5854200351516</v>
      </c>
      <c r="O1617">
        <f>-613.410031090455 -215.055143076355 -529.390409404112</f>
        <v>-1357.8555835709221</v>
      </c>
      <c r="P1617">
        <f>-625.854570302361 -273.510339039102 -241.259556764977</f>
        <v>-1140.6244661064402</v>
      </c>
      <c r="Q1617">
        <f>-451.335330469213 -121.729909346612 -308.762184038419</f>
        <v>-881.82742385424399</v>
      </c>
      <c r="R1617" t="s">
        <v>17899</v>
      </c>
      <c r="S1617" t="s">
        <v>17900</v>
      </c>
      <c r="T1617" t="s">
        <v>17901</v>
      </c>
      <c r="U1617" t="s">
        <v>17902</v>
      </c>
      <c r="V1617">
        <f>-594.020267327863 -134.687625428543 -97.1661244625329</f>
        <v>-825.874017218939</v>
      </c>
      <c r="W1617" t="s">
        <v>17903</v>
      </c>
      <c r="X1617" t="s">
        <v>17904</v>
      </c>
      <c r="Y1617" t="s">
        <v>17905</v>
      </c>
    </row>
    <row r="1618" spans="1:25" x14ac:dyDescent="0.3">
      <c r="A1618">
        <v>80850</v>
      </c>
      <c r="B1618" t="s">
        <v>17906</v>
      </c>
      <c r="C1618">
        <f>-616.964459853604 -42.4008894995038 -98.6784109739767</f>
        <v>-758.04376032708456</v>
      </c>
      <c r="D1618">
        <f>-635.235894320989 -50.1781447107527 -212.791904882765</f>
        <v>-898.20594391450675</v>
      </c>
      <c r="E1618">
        <f>-640.411872631059 -53.1796420064956 -311.233999853432</f>
        <v>-1004.8255144909866</v>
      </c>
      <c r="F1618">
        <f>-641.420025197459 -54.6790222710123 -400.312507214237</f>
        <v>-1096.4115546827084</v>
      </c>
      <c r="G1618">
        <f>-638.38509064442 -54.9793652838101 -489.35715213036</f>
        <v>-1182.7216080585902</v>
      </c>
      <c r="H1618">
        <f>-629.884240761319 -54.2196818564228 -613.64690590472</f>
        <v>-1297.7508285224617</v>
      </c>
      <c r="I1618">
        <f>-600.248393728087 -49.7092017323707 -691.147971401945</f>
        <v>-1341.1055668624026</v>
      </c>
      <c r="J1618">
        <f>-637.450401896936 -27.1105003889529 -559.047037531415</f>
        <v>-1223.6079398173038</v>
      </c>
      <c r="K1618" t="s">
        <v>17907</v>
      </c>
      <c r="L1618" t="s">
        <v>17908</v>
      </c>
      <c r="M1618" t="s">
        <v>17909</v>
      </c>
      <c r="N1618">
        <f>-629.799672918365 -81.9975443036213 -558.859295042859</f>
        <v>-1270.6565122648453</v>
      </c>
      <c r="O1618">
        <f>-613.31555840356 -215.247255511187 -529.35676479953</f>
        <v>-1357.9195787142771</v>
      </c>
      <c r="P1618">
        <f>-625.628102308533 -273.679866738112 -241.215803102073</f>
        <v>-1140.5237721487181</v>
      </c>
      <c r="Q1618">
        <f>-451.286078203574 -121.668980234076 -308.657873028939</f>
        <v>-881.61293146658898</v>
      </c>
      <c r="R1618" t="s">
        <v>17910</v>
      </c>
      <c r="S1618" t="s">
        <v>17911</v>
      </c>
      <c r="T1618" t="s">
        <v>17912</v>
      </c>
      <c r="U1618" t="s">
        <v>17913</v>
      </c>
      <c r="V1618">
        <f>-593.820929095889 -134.897434693633 -97.1636304962379</f>
        <v>-825.88199428576002</v>
      </c>
      <c r="W1618" t="s">
        <v>17914</v>
      </c>
      <c r="X1618" t="s">
        <v>17915</v>
      </c>
      <c r="Y1618" t="s">
        <v>17916</v>
      </c>
    </row>
    <row r="1619" spans="1:25" x14ac:dyDescent="0.3">
      <c r="A1619">
        <v>80900</v>
      </c>
      <c r="B1619" t="s">
        <v>17917</v>
      </c>
      <c r="C1619">
        <f>-616.722453894487 -42.5297267134024 -98.6587971050589</f>
        <v>-757.91097771294824</v>
      </c>
      <c r="D1619">
        <f>-634.993978922118 -50.3085668752506 -212.772249157306</f>
        <v>-898.07479495467453</v>
      </c>
      <c r="E1619">
        <f>-640.204760132013 -53.3126654090057 -311.212453620605</f>
        <v>-1004.7298791616238</v>
      </c>
      <c r="F1619">
        <f>-641.258091509093 -54.8152166106784 -400.290282361444</f>
        <v>-1096.3635904812154</v>
      </c>
      <c r="G1619">
        <f>-638.281884257139 -55.1196443189964 -489.336929643027</f>
        <v>-1182.7384582191626</v>
      </c>
      <c r="H1619">
        <f>-629.877175481028 -54.3668832093565 -613.63329605587</f>
        <v>-1297.8773547462545</v>
      </c>
      <c r="I1619">
        <f>-600.298027704396 -49.8878083072552 -691.15776043772</f>
        <v>-1341.343596449371</v>
      </c>
      <c r="J1619">
        <f>-637.399259554299 -27.2543807729385 -559.028939858645</f>
        <v>-1223.6825801858824</v>
      </c>
      <c r="K1619" t="s">
        <v>17918</v>
      </c>
      <c r="L1619" t="s">
        <v>17919</v>
      </c>
      <c r="M1619" t="s">
        <v>17920</v>
      </c>
      <c r="N1619">
        <f>-629.752129029435 -82.1420443347504 -558.844233214372</f>
        <v>-1270.7384065785573</v>
      </c>
      <c r="O1619">
        <f>-613.189134722751 -215.38471683519 -529.343287064177</f>
        <v>-1357.917138622118</v>
      </c>
      <c r="P1619">
        <f>-625.285931920232 -273.942235111955 -241.218422044945</f>
        <v>-1140.4465890771321</v>
      </c>
      <c r="Q1619">
        <f>-451.780402414301 -120.766641346374 -308.180867889423</f>
        <v>-880.72791165009801</v>
      </c>
      <c r="R1619" t="s">
        <v>17921</v>
      </c>
      <c r="S1619" t="s">
        <v>17922</v>
      </c>
      <c r="T1619" t="s">
        <v>17923</v>
      </c>
      <c r="U1619" t="s">
        <v>17924</v>
      </c>
      <c r="V1619">
        <f>-593.524383705218 -134.962575265612 -97.1519369581998</f>
        <v>-825.6388959290299</v>
      </c>
      <c r="W1619" t="s">
        <v>17925</v>
      </c>
      <c r="X1619" t="s">
        <v>17926</v>
      </c>
      <c r="Y1619" t="s">
        <v>17927</v>
      </c>
    </row>
    <row r="1620" spans="1:25" x14ac:dyDescent="0.3">
      <c r="A1620">
        <v>80950</v>
      </c>
      <c r="B1620" t="s">
        <v>17928</v>
      </c>
      <c r="C1620">
        <f>-616.633418555417 -42.5276255784759 -98.6695347457595</f>
        <v>-757.83057887965242</v>
      </c>
      <c r="D1620">
        <f>-634.910295730317 -50.3141453157048 -212.781512674896</f>
        <v>-898.00595372091777</v>
      </c>
      <c r="E1620">
        <f>-640.13697560669 -53.323908274359 -311.220778955937</f>
        <v>-1004.6816628369861</v>
      </c>
      <c r="F1620">
        <f>-641.209034074622 -54.8317239803869 -400.298435713412</f>
        <v>-1096.339193768421</v>
      </c>
      <c r="G1620">
        <f>-638.255850583865 -55.1412317397101 -489.345620646344</f>
        <v>-1182.742702969919</v>
      </c>
      <c r="H1620">
        <f>-629.887844010993 -54.3957922694691 -613.644680015232</f>
        <v>-1297.928316295694</v>
      </c>
      <c r="I1620">
        <f>-600.34042905961 -49.9271911160529 -691.181830719445</f>
        <v>-1341.4494508951079</v>
      </c>
      <c r="J1620">
        <f>-637.398132100052 -27.2806882014952 -559.039822061239</f>
        <v>-1223.7186423627861</v>
      </c>
      <c r="K1620" t="s">
        <v>17929</v>
      </c>
      <c r="L1620" t="s">
        <v>17930</v>
      </c>
      <c r="M1620" t="s">
        <v>17931</v>
      </c>
      <c r="N1620">
        <f>-629.742376386756 -82.1670125188425 -558.853738960124</f>
        <v>-1270.7631278657225</v>
      </c>
      <c r="O1620">
        <f>-613.107517634755 -215.396845405168 -529.344987614322</f>
        <v>-1357.849350654245</v>
      </c>
      <c r="P1620">
        <f>-625.180213387072 -273.772074398807 -241.182284893962</f>
        <v>-1140.1345726798409</v>
      </c>
      <c r="Q1620">
        <f>-452.120331759703 -120.006929852169 -307.946350541814</f>
        <v>-880.07361215368599</v>
      </c>
      <c r="R1620" t="s">
        <v>17932</v>
      </c>
      <c r="S1620" t="s">
        <v>17933</v>
      </c>
      <c r="T1620" t="s">
        <v>17934</v>
      </c>
      <c r="U1620" t="s">
        <v>17935</v>
      </c>
      <c r="V1620">
        <f>-593.392898817362 -134.964781813437 -97.1567829523857</f>
        <v>-825.51446358318469</v>
      </c>
      <c r="W1620" t="s">
        <v>17936</v>
      </c>
      <c r="X1620" t="s">
        <v>17937</v>
      </c>
      <c r="Y1620" t="s">
        <v>17938</v>
      </c>
    </row>
    <row r="1621" spans="1:25" x14ac:dyDescent="0.3">
      <c r="A1621">
        <v>81000</v>
      </c>
      <c r="B1621" t="s">
        <v>17939</v>
      </c>
      <c r="C1621">
        <f>-616.450380005324 -42.7949637272066 -98.6696486146058</f>
        <v>-757.91499234713626</v>
      </c>
      <c r="D1621">
        <f>-634.758403667527 -50.5947989547175 -212.775692444863</f>
        <v>-898.12889506710746</v>
      </c>
      <c r="E1621">
        <f>-640.055390498656 -53.6148739679177 -311.210906293823</f>
        <v>-1004.8811707603967</v>
      </c>
      <c r="F1621">
        <f>-641.208616273674 -55.1306693779907 -400.287242598377</f>
        <v>-1096.6265282500417</v>
      </c>
      <c r="G1621">
        <f>-638.35424803345 -55.4458692187604 -489.337800051237</f>
        <v>-1183.1379173034475</v>
      </c>
      <c r="H1621">
        <f>-630.142817597211 -54.7049773685214 -613.64728297607</f>
        <v>-1298.4950779418023</v>
      </c>
      <c r="I1621">
        <f>-600.668995639005 -50.2305701431405 -691.212182643922</f>
        <v>-1342.1117484260676</v>
      </c>
      <c r="J1621">
        <f>-637.626912719934 -27.593767801633 -559.037013956792</f>
        <v>-1224.2576944783591</v>
      </c>
      <c r="K1621" t="s">
        <v>17940</v>
      </c>
      <c r="L1621" t="s">
        <v>17941</v>
      </c>
      <c r="M1621" t="s">
        <v>17942</v>
      </c>
      <c r="N1621">
        <f>-629.885655176241 -82.468236302291 -558.852741754373</f>
        <v>-1271.206633232905</v>
      </c>
      <c r="O1621">
        <f>-612.992853387302 -215.669007526061 -529.344793812557</f>
        <v>-1358.00665472592</v>
      </c>
      <c r="P1621">
        <f>-624.644735451704 -273.974165333358 -241.150488762682</f>
        <v>-1139.7693895477439</v>
      </c>
      <c r="Q1621">
        <f>-453.154763850656 -118.349446180833 -307.656088980129</f>
        <v>-879.16029901161801</v>
      </c>
      <c r="R1621" t="s">
        <v>17943</v>
      </c>
      <c r="S1621" t="s">
        <v>17944</v>
      </c>
      <c r="T1621" t="s">
        <v>17945</v>
      </c>
      <c r="U1621" t="s">
        <v>17946</v>
      </c>
      <c r="V1621">
        <f>-593.18836399849 -135.276702595736 -97.1654788182824</f>
        <v>-825.63054541250835</v>
      </c>
      <c r="W1621" t="s">
        <v>17947</v>
      </c>
      <c r="X1621" t="s">
        <v>17948</v>
      </c>
      <c r="Y1621" t="s">
        <v>17949</v>
      </c>
    </row>
    <row r="1622" spans="1:25" x14ac:dyDescent="0.3">
      <c r="A1622">
        <v>81050</v>
      </c>
      <c r="B1622" t="s">
        <v>17950</v>
      </c>
      <c r="C1622">
        <f>-616.366354210124 -42.8477161499993 -98.6653100043701</f>
        <v>-757.87938036449339</v>
      </c>
      <c r="D1622">
        <f>-634.69708319787 -50.6609370302829 -212.766812608478</f>
        <v>-898.12483283663096</v>
      </c>
      <c r="E1622">
        <f>-640.032280130337 -53.6868361812534 -311.199693853588</f>
        <v>-1004.9188101651783</v>
      </c>
      <c r="F1622">
        <f>-641.227689511582 -55.2054947946575 -400.275463710508</f>
        <v>-1096.7086480167475</v>
      </c>
      <c r="G1622">
        <f>-638.423089132468 -55.5202945956989 -489.327590808049</f>
        <v>-1183.270974536216</v>
      </c>
      <c r="H1622">
        <f>-630.289195433946 -54.7746653890209 -613.642177469358</f>
        <v>-1298.706038292325</v>
      </c>
      <c r="I1622">
        <f>-600.843210127002 -50.2826342355802 -691.21655354961</f>
        <v>-1342.3423979121922</v>
      </c>
      <c r="J1622">
        <f>-637.768147266171 -27.6696830395315 -559.028026352195</f>
        <v>-1224.4658566578973</v>
      </c>
      <c r="K1622" t="s">
        <v>17951</v>
      </c>
      <c r="L1622" t="s">
        <v>17952</v>
      </c>
      <c r="M1622" t="s">
        <v>17953</v>
      </c>
      <c r="N1622">
        <f>-629.968867399856 -82.5359066384825 -558.846838137952</f>
        <v>-1271.3516121762905</v>
      </c>
      <c r="O1622">
        <f>-612.962516079259 -215.727995934747 -529.375814393921</f>
        <v>-1358.0663264079271</v>
      </c>
      <c r="P1622">
        <f>-624.167220181785 -274.139597222769 -241.185372743572</f>
        <v>-1139.4921901481259</v>
      </c>
      <c r="Q1622">
        <f>-453.316863916463 -117.641707399095 -307.28710795749</f>
        <v>-878.24567927304793</v>
      </c>
      <c r="R1622" t="s">
        <v>17954</v>
      </c>
      <c r="S1622" t="s">
        <v>17955</v>
      </c>
      <c r="T1622" t="s">
        <v>17956</v>
      </c>
      <c r="U1622" t="s">
        <v>17957</v>
      </c>
      <c r="V1622">
        <f>-593.031954127006 -135.330615537139 -97.165779326605</f>
        <v>-825.52834899075003</v>
      </c>
      <c r="W1622" t="s">
        <v>17958</v>
      </c>
      <c r="X1622" t="s">
        <v>17959</v>
      </c>
      <c r="Y1622" t="s">
        <v>17960</v>
      </c>
    </row>
    <row r="1623" spans="1:25" x14ac:dyDescent="0.3">
      <c r="A1623">
        <v>81100</v>
      </c>
      <c r="B1623" t="s">
        <v>17961</v>
      </c>
      <c r="C1623">
        <f>-616.218061015118 -42.902224602456 -98.6880991442961</f>
        <v>-757.80838476187012</v>
      </c>
      <c r="D1623">
        <f>-634.57573500113 -50.763726234233 -212.7819834315</f>
        <v>-898.121444666863</v>
      </c>
      <c r="E1623">
        <f>-639.951492014852 -53.8170043842812 -311.211801575739</f>
        <v>-1004.9802979748722</v>
      </c>
      <c r="F1623">
        <f>-641.190371876521 -55.3547405554102 -400.28680855259</f>
        <v>-1096.8319209845213</v>
      </c>
      <c r="G1623">
        <f>-638.435915538912 -55.6823210579157 -489.340414741469</f>
        <v>-1183.4586513382967</v>
      </c>
      <c r="H1623">
        <f>-630.378891582406 -54.9480849109286 -613.659979028997</f>
        <v>-1298.9869555223318</v>
      </c>
      <c r="I1623">
        <f>-601.001606691996 -50.4532234891603 -691.26024748717</f>
        <v>-1342.7150776683263</v>
      </c>
      <c r="J1623">
        <f>-637.855144335659 -27.8425418798838 -559.045813730662</f>
        <v>-1224.7434999462048</v>
      </c>
      <c r="K1623" t="s">
        <v>17962</v>
      </c>
      <c r="L1623" t="s">
        <v>17963</v>
      </c>
      <c r="M1623" t="s">
        <v>17964</v>
      </c>
      <c r="N1623">
        <f>-629.993730888841 -82.6999258738053 -558.860414629463</f>
        <v>-1271.5540713921093</v>
      </c>
      <c r="O1623">
        <f>-612.827390153852 -215.883600123117 -529.409726300039</f>
        <v>-1358.1207165770079</v>
      </c>
      <c r="P1623">
        <f>-622.752559921341 -275.557264953936 -241.430996291674</f>
        <v>-1139.740821166951</v>
      </c>
      <c r="Q1623">
        <f>-453.697356937785 -116.709507615993 -306.535381021824</f>
        <v>-876.94224557560187</v>
      </c>
      <c r="R1623" t="s">
        <v>17965</v>
      </c>
      <c r="S1623" t="s">
        <v>17966</v>
      </c>
      <c r="T1623" t="s">
        <v>17967</v>
      </c>
      <c r="U1623" t="s">
        <v>17968</v>
      </c>
      <c r="V1623">
        <f>-592.792462942546 -135.467739544696 -97.1594984855252</f>
        <v>-825.41970097276715</v>
      </c>
      <c r="W1623" t="s">
        <v>17969</v>
      </c>
      <c r="X1623" t="s">
        <v>17970</v>
      </c>
      <c r="Y1623" t="s">
        <v>17971</v>
      </c>
    </row>
    <row r="1624" spans="1:25" x14ac:dyDescent="0.3">
      <c r="A1624">
        <v>81150</v>
      </c>
      <c r="B1624" t="s">
        <v>17972</v>
      </c>
      <c r="C1624">
        <f>-616.133150984577 -42.9542718502851 -98.6939496825053</f>
        <v>-757.78137251736734</v>
      </c>
      <c r="D1624">
        <f>-634.494194797464 -50.8209408124393 -212.786979167869</f>
        <v>-898.10211477777239</v>
      </c>
      <c r="E1624">
        <f>-639.881141923158 -53.8725329385471 -311.216325280257</f>
        <v>-1004.9700001419621</v>
      </c>
      <c r="F1624">
        <f>-641.133431454955 -55.4061048030252 -400.29108753106</f>
        <v>-1096.8306237890401</v>
      </c>
      <c r="G1624">
        <f>-638.395773038857 -55.7264249431247 -489.345261449655</f>
        <v>-1183.4674594316366</v>
      </c>
      <c r="H1624">
        <f>-630.365658201411 -54.9782959207574 -613.666546063614</f>
        <v>-1299.0105001857823</v>
      </c>
      <c r="I1624">
        <f>-601.039897240543 -50.4792910283317 -691.286008277381</f>
        <v>-1342.8051965462557</v>
      </c>
      <c r="J1624">
        <f>-637.837875111956 -27.8799288230869 -559.048192447853</f>
        <v>-1224.765996382896</v>
      </c>
      <c r="K1624" t="s">
        <v>17973</v>
      </c>
      <c r="L1624" t="s">
        <v>17974</v>
      </c>
      <c r="M1624" t="s">
        <v>17975</v>
      </c>
      <c r="N1624">
        <f>-629.960643737768 -82.7349671526475 -558.869512385048</f>
        <v>-1271.5651232754635</v>
      </c>
      <c r="O1624">
        <f>-612.763151910675 -215.907446483709 -529.42165201859</f>
        <v>-1358.092250412974</v>
      </c>
      <c r="P1624">
        <f>-622.449040454771 -275.584160904053 -241.43532509158</f>
        <v>-1139.4685264504042</v>
      </c>
      <c r="Q1624">
        <f>-453.624019355594 -116.427880405046 -306.383539630765</f>
        <v>-876.435439391405</v>
      </c>
      <c r="R1624" t="s">
        <v>17976</v>
      </c>
      <c r="S1624" t="s">
        <v>17977</v>
      </c>
      <c r="T1624" t="s">
        <v>17978</v>
      </c>
      <c r="U1624" t="s">
        <v>17979</v>
      </c>
      <c r="V1624">
        <f>-592.711807069841 -135.514268560122 -97.1554384112692</f>
        <v>-825.38151404123221</v>
      </c>
      <c r="W1624" t="s">
        <v>17980</v>
      </c>
      <c r="X1624" t="s">
        <v>17981</v>
      </c>
      <c r="Y1624" t="s">
        <v>17982</v>
      </c>
    </row>
    <row r="1625" spans="1:25" x14ac:dyDescent="0.3">
      <c r="A1625">
        <v>81200</v>
      </c>
      <c r="B1625" t="s">
        <v>17983</v>
      </c>
      <c r="C1625">
        <f>-616.03926526601 -42.9900217038748 -98.7055822269679</f>
        <v>-757.73486919685274</v>
      </c>
      <c r="D1625">
        <f>-634.38282803372 -50.8754941597495 -212.80004641078</f>
        <v>-898.05836860424938</v>
      </c>
      <c r="E1625">
        <f>-639.791900453829 -53.969843825992 -311.226842517645</f>
        <v>-1004.988586797466</v>
      </c>
      <c r="F1625">
        <f>-641.079426812474 -55.5523102210674 -400.300279513375</f>
        <v>-1096.9320165469164</v>
      </c>
      <c r="G1625">
        <f>-638.392436233769 -55.9315591237698 -489.355642912671</f>
        <v>-1183.6796382702098</v>
      </c>
      <c r="H1625">
        <f>-630.449302745816 -55.2760003390672 -613.682991186584</f>
        <v>-1299.4082942714672</v>
      </c>
      <c r="I1625">
        <f>-601.252219813957 -50.840023938372 -691.354698819193</f>
        <v>-1343.446942571522</v>
      </c>
      <c r="J1625">
        <f>-637.878155815973 -28.1361879888264 -559.079382696907</f>
        <v>-1225.0937265017064</v>
      </c>
      <c r="K1625" t="s">
        <v>17984</v>
      </c>
      <c r="L1625" t="s">
        <v>17985</v>
      </c>
      <c r="M1625" t="s">
        <v>17986</v>
      </c>
      <c r="N1625">
        <f>-630.011182470114 -82.9926714087504 -558.866098190808</f>
        <v>-1271.8699520696723</v>
      </c>
      <c r="O1625">
        <f>-612.825754212551 -216.153044859203 -529.326720317693</f>
        <v>-1358.305519389447</v>
      </c>
      <c r="P1625">
        <f>-622.462429188254 -275.382976456924 -241.246478018967</f>
        <v>-1139.0918836641449</v>
      </c>
      <c r="Q1625">
        <f>-453.808008283628 -116.188263441016 -306.542406592797</f>
        <v>-876.53867831744105</v>
      </c>
      <c r="R1625" t="s">
        <v>17987</v>
      </c>
      <c r="S1625" t="s">
        <v>17988</v>
      </c>
      <c r="T1625" t="s">
        <v>17989</v>
      </c>
      <c r="U1625" t="s">
        <v>17990</v>
      </c>
      <c r="V1625">
        <f>-592.656067731162 -135.516425550086 -97.1586163272484</f>
        <v>-825.33110960849649</v>
      </c>
      <c r="W1625" t="s">
        <v>17991</v>
      </c>
      <c r="X1625" t="s">
        <v>17992</v>
      </c>
      <c r="Y1625" t="s">
        <v>17993</v>
      </c>
    </row>
    <row r="1626" spans="1:25" x14ac:dyDescent="0.3">
      <c r="A1626">
        <v>81250</v>
      </c>
      <c r="B1626" t="s">
        <v>17994</v>
      </c>
      <c r="C1626">
        <f>-616.040669042768 -42.9372503747422 -98.7159239364831</f>
        <v>-757.69384335399332</v>
      </c>
      <c r="D1626">
        <f>-634.358777395207 -50.822568176579 -212.814519136836</f>
        <v>-897.99586470862198</v>
      </c>
      <c r="E1626">
        <f>-639.792522495923 -53.9555978666746 -311.238775767361</f>
        <v>-1004.9868961299585</v>
      </c>
      <c r="F1626">
        <f>-641.12152913906 -55.5880575441198 -400.310642523172</f>
        <v>-1097.0202292063518</v>
      </c>
      <c r="G1626">
        <f>-638.495247831263 -56.0328988902967 -489.367659304697</f>
        <v>-1183.8958060262567</v>
      </c>
      <c r="H1626">
        <f>-630.657217722498 -55.4856011270552 -613.702254224113</f>
        <v>-1299.8450730736663</v>
      </c>
      <c r="I1626">
        <f>-601.56990866714 -51.1663811807919 -691.421524237129</f>
        <v>-1344.1578140850609</v>
      </c>
      <c r="J1626">
        <f>-638.010894013567 -28.2942079867007 -559.114139008524</f>
        <v>-1225.4192410087917</v>
      </c>
      <c r="K1626" t="s">
        <v>17995</v>
      </c>
      <c r="L1626" t="s">
        <v>17996</v>
      </c>
      <c r="M1626" t="s">
        <v>17997</v>
      </c>
      <c r="N1626">
        <f>-630.201851511524 -83.1587463526982 -558.863323261158</f>
        <v>-1272.2239211253802</v>
      </c>
      <c r="O1626">
        <f>-613.096913234506 -216.289771147242 -529.175231943283</f>
        <v>-1358.561916325031</v>
      </c>
      <c r="P1626">
        <f>-622.915392687162 -274.79690406508 -240.953555607723</f>
        <v>-1138.6658523599651</v>
      </c>
      <c r="Q1626">
        <f>-453.760575854407 -116.399009348218 -306.890067877563</f>
        <v>-877.04965308018814</v>
      </c>
      <c r="R1626" t="s">
        <v>17998</v>
      </c>
      <c r="S1626" t="s">
        <v>17999</v>
      </c>
      <c r="T1626" t="s">
        <v>18000</v>
      </c>
      <c r="U1626" t="s">
        <v>18001</v>
      </c>
      <c r="V1626">
        <f>-592.676350452627 -135.49747711715 -97.1534829253812</f>
        <v>-825.32731049515826</v>
      </c>
      <c r="W1626" t="s">
        <v>18002</v>
      </c>
      <c r="X1626" t="s">
        <v>18003</v>
      </c>
      <c r="Y1626" t="s">
        <v>18004</v>
      </c>
    </row>
    <row r="1627" spans="1:25" x14ac:dyDescent="0.3">
      <c r="A1627">
        <v>81300</v>
      </c>
      <c r="B1627" t="s">
        <v>18005</v>
      </c>
      <c r="C1627">
        <f>-616.022905661029 -42.9598744159853 -98.7282715367787</f>
        <v>-757.71105161379296</v>
      </c>
      <c r="D1627">
        <f>-634.350588944994 -50.8543654191104 -212.824780962708</f>
        <v>-898.02973532681244</v>
      </c>
      <c r="E1627">
        <f>-639.816887706114 -54.0072438852498 -311.246560267079</f>
        <v>-1005.0706918584428</v>
      </c>
      <c r="F1627">
        <f>-641.185449288139 -55.6621438148783 -400.317352327281</f>
        <v>-1097.1649454302983</v>
      </c>
      <c r="G1627">
        <f>-638.608902191264 -56.1333281030696 -489.375775798736</f>
        <v>-1184.1180060930697</v>
      </c>
      <c r="H1627">
        <f>-630.851001059966 -55.6266744822815 -613.715375643226</f>
        <v>-1300.1930511854735</v>
      </c>
      <c r="I1627">
        <f>-601.816101018909 -51.3555245951052 -691.45705454016</f>
        <v>-1344.6286801541742</v>
      </c>
      <c r="J1627">
        <f>-638.162905617248 -28.4163722709225 -559.131136546285</f>
        <v>-1225.7104144344555</v>
      </c>
      <c r="K1627" t="s">
        <v>18006</v>
      </c>
      <c r="L1627" t="s">
        <v>18007</v>
      </c>
      <c r="M1627" t="s">
        <v>18008</v>
      </c>
      <c r="N1627">
        <f>-630.366925240476 -83.2828092377927 -558.868332997898</f>
        <v>-1272.5180674761668</v>
      </c>
      <c r="O1627">
        <f>-613.276981831671 -216.415122988788 -529.150240596571</f>
        <v>-1358.8423454170302</v>
      </c>
      <c r="P1627">
        <f>-623.220745614183 -274.589019026063 -240.865610650839</f>
        <v>-1138.6753752910849</v>
      </c>
      <c r="Q1627">
        <f>-453.742393687577 -116.636672153299 -307.039704862326</f>
        <v>-877.41877070320197</v>
      </c>
      <c r="R1627" t="s">
        <v>18009</v>
      </c>
      <c r="S1627" t="s">
        <v>18010</v>
      </c>
      <c r="T1627" t="s">
        <v>18011</v>
      </c>
      <c r="U1627" t="s">
        <v>18012</v>
      </c>
      <c r="V1627">
        <f>-592.689146861879 -135.526208476181 -97.1593598078673</f>
        <v>-825.37471514592721</v>
      </c>
      <c r="W1627" t="s">
        <v>18013</v>
      </c>
      <c r="X1627" t="s">
        <v>18014</v>
      </c>
      <c r="Y1627" t="s">
        <v>18015</v>
      </c>
    </row>
    <row r="1628" spans="1:25" x14ac:dyDescent="0.3">
      <c r="A1628">
        <v>81350</v>
      </c>
      <c r="B1628" t="s">
        <v>18016</v>
      </c>
      <c r="C1628">
        <f>-616.02685716698 -42.8379433359078 -98.7488874267655</f>
        <v>-757.61368792965322</v>
      </c>
      <c r="D1628">
        <f>-634.373626329279 -50.7441894801314 -212.841327356291</f>
        <v>-897.95914316570133</v>
      </c>
      <c r="E1628">
        <f>-639.888972775116 -53.9152462221683 -311.259849410682</f>
        <v>-1005.0640684079664</v>
      </c>
      <c r="F1628">
        <f>-641.314984300647 -55.5894422734441 -400.329506959245</f>
        <v>-1097.2339335333361</v>
      </c>
      <c r="G1628">
        <f>-638.809046822305 -56.0824368649851 -489.389695783112</f>
        <v>-1184.2811794704021</v>
      </c>
      <c r="H1628">
        <f>-631.16351355967 -55.6086767728854 -613.736539965605</f>
        <v>-1300.5087302981603</v>
      </c>
      <c r="I1628">
        <f>-602.184537592233 -51.3712479159643 -691.500855213034</f>
        <v>-1345.0566407212314</v>
      </c>
      <c r="J1628">
        <f>-638.419660070462 -28.383051831378 -559.152423993858</f>
        <v>-1225.9551358956978</v>
      </c>
      <c r="K1628" t="s">
        <v>18017</v>
      </c>
      <c r="L1628" t="s">
        <v>18018</v>
      </c>
      <c r="M1628" t="s">
        <v>18019</v>
      </c>
      <c r="N1628">
        <f>-630.636183269643 -83.2512216960193 -558.8827878154</f>
        <v>-1272.7701927810622</v>
      </c>
      <c r="O1628">
        <f>-613.552529267352 -216.37410738265 -529.141613567434</f>
        <v>-1359.0682502174359</v>
      </c>
      <c r="P1628">
        <f>-623.586738155749 -274.254791172692 -240.800868073344</f>
        <v>-1138.642397401785</v>
      </c>
      <c r="Q1628">
        <f>-453.706335871573 -116.828196326569 -307.19659096458</f>
        <v>-877.73112316272204</v>
      </c>
      <c r="R1628" t="s">
        <v>18020</v>
      </c>
      <c r="S1628" t="s">
        <v>18021</v>
      </c>
      <c r="T1628" t="s">
        <v>18022</v>
      </c>
      <c r="U1628" t="s">
        <v>18023</v>
      </c>
      <c r="V1628">
        <f>-592.739472507462 -135.316510821367 -97.1626593970236</f>
        <v>-825.21864272585253</v>
      </c>
      <c r="W1628" t="s">
        <v>18024</v>
      </c>
      <c r="X1628" t="s">
        <v>18025</v>
      </c>
      <c r="Y1628" t="s">
        <v>18026</v>
      </c>
    </row>
    <row r="1629" spans="1:25" x14ac:dyDescent="0.3">
      <c r="A1629">
        <v>81400</v>
      </c>
      <c r="B1629" t="s">
        <v>18027</v>
      </c>
      <c r="C1629">
        <f>-616.114106786429 -42.7003887892295 -98.7636140955643</f>
        <v>-757.57810967122282</v>
      </c>
      <c r="D1629">
        <f>-634.477219163111 -50.6422336273575 -212.851070656361</f>
        <v>-897.97052344682959</v>
      </c>
      <c r="E1629">
        <f>-640.104021643863 -53.8542501201375 -311.261765894811</f>
        <v>-1005.2200376588115</v>
      </c>
      <c r="F1629">
        <f>-641.669987626474 -55.5689938036198 -400.328353397097</f>
        <v>-1097.5673348271907</v>
      </c>
      <c r="G1629">
        <f>-639.343061008191 -56.1060283919696 -489.393063596563</f>
        <v>-1184.8421529967236</v>
      </c>
      <c r="H1629">
        <f>-631.988255761708 -55.6964205117113 -613.757750764712</f>
        <v>-1301.4424270381314</v>
      </c>
      <c r="I1629">
        <f>-603.154196512295 -51.4961635815926 -691.578040661512</f>
        <v>-1346.2284007553994</v>
      </c>
      <c r="J1629">
        <f>-639.105167058988 -28.4410627901527 -559.170184453573</f>
        <v>-1226.7164143027137</v>
      </c>
      <c r="K1629" t="s">
        <v>18028</v>
      </c>
      <c r="L1629" t="s">
        <v>18029</v>
      </c>
      <c r="M1629" t="s">
        <v>18030</v>
      </c>
      <c r="N1629">
        <f>-631.344174192876 -83.3123208435701 -558.891867647013</f>
        <v>-1273.5483626834591</v>
      </c>
      <c r="O1629">
        <f>-614.250204723532 -216.436069347247 -529.14333537076</f>
        <v>-1359.8296094415391</v>
      </c>
      <c r="P1629">
        <f>-624.024922342799 -274.094372749865 -240.7491532167</f>
        <v>-1138.8684483093639</v>
      </c>
      <c r="Q1629">
        <f>-453.444895665989 -117.472324256385 -307.253658132995</f>
        <v>-878.17087805536903</v>
      </c>
      <c r="R1629" t="s">
        <v>18031</v>
      </c>
      <c r="S1629" t="s">
        <v>18032</v>
      </c>
      <c r="T1629" t="s">
        <v>18033</v>
      </c>
      <c r="U1629" t="s">
        <v>18034</v>
      </c>
      <c r="V1629">
        <f>-592.843830125795 -135.190347915773 -97.1622149792256</f>
        <v>-825.19639302079361</v>
      </c>
      <c r="W1629" t="s">
        <v>18035</v>
      </c>
      <c r="X1629" t="s">
        <v>18036</v>
      </c>
      <c r="Y1629" t="s">
        <v>18037</v>
      </c>
    </row>
    <row r="1630" spans="1:25" x14ac:dyDescent="0.3">
      <c r="A1630">
        <v>81450</v>
      </c>
      <c r="B1630" t="s">
        <v>18038</v>
      </c>
      <c r="C1630">
        <f>-616.153178509615 -42.5708804989079 -98.7760401767094</f>
        <v>-757.50009918523233</v>
      </c>
      <c r="D1630">
        <f>-634.516541293748 -50.5310073052999 -212.862186416341</f>
        <v>-897.90973501538883</v>
      </c>
      <c r="E1630">
        <f>-640.204202927198 -53.7437588106702 -311.26951533023</f>
        <v>-1005.2174770680982</v>
      </c>
      <c r="F1630">
        <f>-641.849164969736 -55.4525949635484 -400.334586360607</f>
        <v>-1097.6363462938914</v>
      </c>
      <c r="G1630">
        <f>-639.624897496583 -55.9772831111083 -489.402119856821</f>
        <v>-1185.0043004645122</v>
      </c>
      <c r="H1630">
        <f>-632.438182026072 -55.5436569536306 -613.776548173137</f>
        <v>-1301.7583871528395</v>
      </c>
      <c r="I1630">
        <f>-603.694332890867 -51.3408372842121 -691.629914090045</f>
        <v>-1346.6650842651241</v>
      </c>
      <c r="J1630">
        <f>-639.474429738487 -28.2978478341577 -559.173728895995</f>
        <v>-1226.9460064686396</v>
      </c>
      <c r="K1630" t="s">
        <v>18039</v>
      </c>
      <c r="L1630" t="s">
        <v>18040</v>
      </c>
      <c r="M1630" t="s">
        <v>18041</v>
      </c>
      <c r="N1630">
        <f>-631.72693509268 -83.1711724189696 -558.917249131645</f>
        <v>-1273.8153566432948</v>
      </c>
      <c r="O1630">
        <f>-614.642793395967 -216.300981213608 -529.205857300526</f>
        <v>-1360.1496319101011</v>
      </c>
      <c r="P1630">
        <f>-624.13488184926 -274.126553245137 -240.835794687724</f>
        <v>-1139.0972297821211</v>
      </c>
      <c r="Q1630">
        <f>-453.554262215332 -117.525766724953 -307.38904027877</f>
        <v>-878.46906921905497</v>
      </c>
      <c r="R1630" t="s">
        <v>18042</v>
      </c>
      <c r="S1630" t="s">
        <v>18043</v>
      </c>
      <c r="T1630" t="s">
        <v>18044</v>
      </c>
      <c r="U1630" t="s">
        <v>18045</v>
      </c>
      <c r="V1630">
        <f>-592.887919620209 -135.057682968094 -97.1571930634057</f>
        <v>-825.10279565170867</v>
      </c>
      <c r="W1630" t="s">
        <v>18046</v>
      </c>
      <c r="X1630" t="s">
        <v>18047</v>
      </c>
      <c r="Y1630" t="s">
        <v>18048</v>
      </c>
    </row>
    <row r="1631" spans="1:25" x14ac:dyDescent="0.3">
      <c r="A1631">
        <v>81500</v>
      </c>
      <c r="B1631" t="s">
        <v>18049</v>
      </c>
      <c r="C1631">
        <f>-616.250729685057 -42.5191791188522 -98.8177566776243</f>
        <v>-757.58766548153346</v>
      </c>
      <c r="D1631">
        <f>-634.621701247384 -50.5158318287527 -212.900179565423</f>
        <v>-898.03771264155966</v>
      </c>
      <c r="E1631">
        <f>-640.409350372326 -53.7362108259513 -311.301262660198</f>
        <v>-1005.4468238584752</v>
      </c>
      <c r="F1631">
        <f>-642.181717051845 -55.4418842726574 -400.364158326165</f>
        <v>-1097.9877596506674</v>
      </c>
      <c r="G1631">
        <f>-640.121450531577 -55.9528678192451 -489.43570373125</f>
        <v>-1185.5100220820721</v>
      </c>
      <c r="H1631">
        <f>-633.201648979427 -55.4888685553767 -613.82500567054</f>
        <v>-1302.5155232053437</v>
      </c>
      <c r="I1631">
        <f>-604.645202691368 -51.2833048019938 -691.74727603153</f>
        <v>-1347.6757835248918</v>
      </c>
      <c r="J1631">
        <f>-640.113933449593 -28.2553256948759 -559.200316124293</f>
        <v>-1227.5695752687618</v>
      </c>
      <c r="K1631" t="s">
        <v>18050</v>
      </c>
      <c r="L1631" t="s">
        <v>18051</v>
      </c>
      <c r="M1631" t="s">
        <v>18052</v>
      </c>
      <c r="N1631">
        <f>-632.379452720235 -83.1305865660198 -558.97473491026</f>
        <v>-1274.484774196515</v>
      </c>
      <c r="O1631">
        <f>-615.280727999852 -216.276269833075 -529.352290817792</f>
        <v>-1360.909288650719</v>
      </c>
      <c r="P1631">
        <f>-624.358806903942 -274.145105702714 -240.977555747853</f>
        <v>-1139.4814683545089</v>
      </c>
      <c r="Q1631">
        <f>-453.831404929604 -117.617669267677 -307.838835280926</f>
        <v>-879.28790947820698</v>
      </c>
      <c r="R1631" t="s">
        <v>18053</v>
      </c>
      <c r="S1631" t="s">
        <v>18054</v>
      </c>
      <c r="T1631" t="s">
        <v>18055</v>
      </c>
      <c r="U1631" t="s">
        <v>18056</v>
      </c>
      <c r="V1631">
        <f>-592.961298588582 -135.077393563169 -97.162517250571</f>
        <v>-825.20120940232209</v>
      </c>
      <c r="W1631" t="s">
        <v>18057</v>
      </c>
      <c r="X1631" t="s">
        <v>18058</v>
      </c>
      <c r="Y1631" t="s">
        <v>18059</v>
      </c>
    </row>
    <row r="1632" spans="1:25" x14ac:dyDescent="0.3">
      <c r="A1632">
        <v>81550</v>
      </c>
      <c r="B1632" t="s">
        <v>18060</v>
      </c>
      <c r="C1632">
        <f>-616.259727534884 -42.598735413816 -98.8264353394206</f>
        <v>-757.68489828812062</v>
      </c>
      <c r="D1632">
        <f>-634.633783339632 -50.6054355813347 -212.907588816833</f>
        <v>-898.1468077377998</v>
      </c>
      <c r="E1632">
        <f>-640.450627091543 -53.8288883301701 -311.306843654941</f>
        <v>-1005.5863590766542</v>
      </c>
      <c r="F1632">
        <f>-642.259822296089 -55.5355673852433 -400.369038797604</f>
        <v>-1098.1644284789363</v>
      </c>
      <c r="G1632">
        <f>-640.246548799174 -56.0457015019026 -489.441650871893</f>
        <v>-1185.7339011729696</v>
      </c>
      <c r="H1632">
        <f>-633.402944279889 -55.5786783665104 -613.835206262208</f>
        <v>-1302.8168289086075</v>
      </c>
      <c r="I1632">
        <f>-604.927983749075 -51.3681799742419 -691.786883419029</f>
        <v>-1348.083047142346</v>
      </c>
      <c r="J1632">
        <f>-640.273568608359 -28.3454076189678 -559.205001455667</f>
        <v>-1227.8239776829937</v>
      </c>
      <c r="K1632" t="s">
        <v>18061</v>
      </c>
      <c r="L1632" t="s">
        <v>18062</v>
      </c>
      <c r="M1632" t="s">
        <v>18063</v>
      </c>
      <c r="N1632">
        <f>-632.555381676645 -83.2230455626267 -558.986490279372</f>
        <v>-1274.7649175186439</v>
      </c>
      <c r="O1632">
        <f>-615.488429313171 -216.376022614087 -529.381451641919</f>
        <v>-1361.245903569177</v>
      </c>
      <c r="P1632">
        <f>-624.376372418454 -274.220777488622 -240.995987628096</f>
        <v>-1139.593137535172</v>
      </c>
      <c r="Q1632">
        <f>-453.840349014157 -117.766097400654 -308.005464192005</f>
        <v>-879.61191060681597</v>
      </c>
      <c r="R1632" t="s">
        <v>18064</v>
      </c>
      <c r="S1632" t="s">
        <v>18065</v>
      </c>
      <c r="T1632" t="s">
        <v>18066</v>
      </c>
      <c r="U1632" t="s">
        <v>18067</v>
      </c>
      <c r="V1632">
        <f>-592.950671722902 -135.177337693583 -97.1733388350679</f>
        <v>-825.30134825155289</v>
      </c>
      <c r="W1632" t="s">
        <v>18068</v>
      </c>
      <c r="X1632" t="s">
        <v>18069</v>
      </c>
      <c r="Y1632" t="s">
        <v>18070</v>
      </c>
    </row>
    <row r="1633" spans="1:25" x14ac:dyDescent="0.3">
      <c r="A1633">
        <v>81600</v>
      </c>
      <c r="B1633" t="s">
        <v>18071</v>
      </c>
      <c r="C1633">
        <f>-616.215221581174 -42.6535633978999 -98.856342037316</f>
        <v>-757.72512701638993</v>
      </c>
      <c r="D1633">
        <f>-634.588224744023 -50.680645892106 -212.936179450955</f>
        <v>-898.20505008708403</v>
      </c>
      <c r="E1633">
        <f>-640.458879439645 -53.916200229129 -311.332036763201</f>
        <v>-1005.707116431975</v>
      </c>
      <c r="F1633">
        <f>-642.338437545546 -55.6319057887184 -400.392530344005</f>
        <v>-1098.3628736782694</v>
      </c>
      <c r="G1633">
        <f>-640.41680914097 -56.1491716260666 -489.467019800331</f>
        <v>-1186.0330005673677</v>
      </c>
      <c r="H1633">
        <f>-633.723486337046 -55.6904224118252 -613.868806280021</f>
        <v>-1303.2827150288922</v>
      </c>
      <c r="I1633">
        <f>-605.394316126992 -51.5105793750406 -691.875364832666</f>
        <v>-1348.7802603346986</v>
      </c>
      <c r="J1633">
        <f>-640.507538899711 -28.4506406979444 -559.231155691858</f>
        <v>-1228.1893352895136</v>
      </c>
      <c r="K1633" t="s">
        <v>18072</v>
      </c>
      <c r="L1633" t="s">
        <v>18073</v>
      </c>
      <c r="M1633" t="s">
        <v>18074</v>
      </c>
      <c r="N1633">
        <f>-632.830293997989 -83.334062450263 -559.020480653225</f>
        <v>-1275.1848371014771</v>
      </c>
      <c r="O1633">
        <f>-615.796600692543 -216.505722763669 -529.47662487786</f>
        <v>-1361.7789483340721</v>
      </c>
      <c r="P1633">
        <f>-624.542058711496 -274.23894702765 -241.064529448933</f>
        <v>-1139.8455351880789</v>
      </c>
      <c r="Q1633">
        <f>-453.923384412233 -117.902684902446 -308.139736659725</f>
        <v>-879.96580597440402</v>
      </c>
      <c r="R1633" t="s">
        <v>18075</v>
      </c>
      <c r="S1633" t="s">
        <v>18076</v>
      </c>
      <c r="T1633" t="s">
        <v>18077</v>
      </c>
      <c r="U1633" t="s">
        <v>18078</v>
      </c>
      <c r="V1633">
        <f>-592.922312122149 -135.185761791993 -97.171619425241</f>
        <v>-825.27969333938313</v>
      </c>
      <c r="W1633" t="s">
        <v>18079</v>
      </c>
      <c r="X1633" t="s">
        <v>18080</v>
      </c>
      <c r="Y1633" t="s">
        <v>18081</v>
      </c>
    </row>
    <row r="1634" spans="1:25" x14ac:dyDescent="0.3">
      <c r="A1634">
        <v>81650</v>
      </c>
      <c r="B1634" t="s">
        <v>18082</v>
      </c>
      <c r="C1634">
        <f>-616.212147203675 -42.6100783881359 -98.8537845034037</f>
        <v>-757.67601009521468</v>
      </c>
      <c r="D1634">
        <f>-634.582223873946 -50.6544170418545 -212.932875280953</f>
        <v>-898.16951619675342</v>
      </c>
      <c r="E1634">
        <f>-640.488469211284 -53.8995052130019 -311.326278776729</f>
        <v>-1005.714253201015</v>
      </c>
      <c r="F1634">
        <f>-642.415317247465 -55.6212576076094 -400.385461038163</f>
        <v>-1098.4220358932375</v>
      </c>
      <c r="G1634">
        <f>-640.556114487996 -56.1420385896142 -489.461470991156</f>
        <v>-1186.1596240687661</v>
      </c>
      <c r="H1634">
        <f>-633.965518587826 -55.6852985792691 -613.868782475943</f>
        <v>-1303.519599643038</v>
      </c>
      <c r="I1634">
        <f>-605.708912314005 -51.5260365242308 -691.902603964969</f>
        <v>-1349.1375528032049</v>
      </c>
      <c r="J1634">
        <f>-640.696683519917 -28.4435516031895 -559.225452657257</f>
        <v>-1228.3656877803635</v>
      </c>
      <c r="K1634" t="s">
        <v>18083</v>
      </c>
      <c r="L1634" t="s">
        <v>18084</v>
      </c>
      <c r="M1634" t="s">
        <v>18085</v>
      </c>
      <c r="N1634">
        <f>-633.034719962806 -83.3289825907825 -559.021036745588</f>
        <v>-1275.3847392991765</v>
      </c>
      <c r="O1634">
        <f>-616.020972880558 -216.509025206804 -529.499982514057</f>
        <v>-1362.0299806014191</v>
      </c>
      <c r="P1634">
        <f>-624.665469288928 -274.24442915532 -241.085130484116</f>
        <v>-1139.995028928364</v>
      </c>
      <c r="Q1634">
        <f>-453.996098837353 -117.940437775355 -308.106706366004</f>
        <v>-880.04324297871199</v>
      </c>
      <c r="R1634" t="s">
        <v>18086</v>
      </c>
      <c r="S1634" t="s">
        <v>18087</v>
      </c>
      <c r="T1634" t="s">
        <v>18088</v>
      </c>
      <c r="U1634" t="s">
        <v>18089</v>
      </c>
      <c r="V1634">
        <f>-592.927519965272 -135.151619848358 -97.1630462529871</f>
        <v>-825.24218606661714</v>
      </c>
      <c r="W1634" t="s">
        <v>18090</v>
      </c>
      <c r="X1634" t="s">
        <v>18091</v>
      </c>
      <c r="Y1634" t="s">
        <v>18092</v>
      </c>
    </row>
    <row r="1635" spans="1:25" x14ac:dyDescent="0.3">
      <c r="A1635">
        <v>81700</v>
      </c>
      <c r="B1635" t="s">
        <v>18093</v>
      </c>
      <c r="C1635">
        <f>-616.173018908372 -42.6887072437726 -98.8383872283404</f>
        <v>-757.70011338048494</v>
      </c>
      <c r="D1635">
        <f>-634.559528709077 -50.7455973623166 -212.913970487692</f>
        <v>-898.21909655908564</v>
      </c>
      <c r="E1635">
        <f>-640.535146183024 -54.0108869918905 -311.302501888281</f>
        <v>-1005.8485350631955</v>
      </c>
      <c r="F1635">
        <f>-642.546992965648 -55.7539581728164 -400.359415455728</f>
        <v>-1098.6603665941925</v>
      </c>
      <c r="G1635">
        <f>-640.795050340654 -56.2992917951857 -489.437431509802</f>
        <v>-1186.5317736456418</v>
      </c>
      <c r="H1635">
        <f>-634.377499218561 -55.8796109700108 -613.853797416307</f>
        <v>-1304.1109076048788</v>
      </c>
      <c r="I1635">
        <f>-606.250413475634 -51.7687598939223 -691.937137201845</f>
        <v>-1349.9563105714012</v>
      </c>
      <c r="J1635">
        <f>-641.015075981855 -28.6190406409482 -559.208454805406</f>
        <v>-1228.8425714282093</v>
      </c>
      <c r="K1635" t="s">
        <v>18094</v>
      </c>
      <c r="L1635" t="s">
        <v>18095</v>
      </c>
      <c r="M1635" t="s">
        <v>18096</v>
      </c>
      <c r="N1635">
        <f>-633.387953623571 -83.5094642559 -559.000133770473</f>
        <v>-1275.897551649944</v>
      </c>
      <c r="O1635">
        <f>-616.400688006612 -216.693750774639 -529.48293785421</f>
        <v>-1362.577376635461</v>
      </c>
      <c r="P1635">
        <f>-624.76452433887 -274.371055218019 -241.048277105987</f>
        <v>-1140.183856662876</v>
      </c>
      <c r="Q1635">
        <f>-454.278303687973 -117.902222543445 -308.151415875744</f>
        <v>-880.33194210716192</v>
      </c>
      <c r="R1635" t="s">
        <v>18097</v>
      </c>
      <c r="S1635" t="s">
        <v>18098</v>
      </c>
      <c r="T1635" t="s">
        <v>18099</v>
      </c>
      <c r="U1635" t="s">
        <v>18100</v>
      </c>
      <c r="V1635">
        <f>-592.88776892586 -135.342523083984 -97.1511000212605</f>
        <v>-825.3813920311045</v>
      </c>
      <c r="W1635" t="s">
        <v>18101</v>
      </c>
      <c r="X1635" t="s">
        <v>18102</v>
      </c>
      <c r="Y1635" t="s">
        <v>18103</v>
      </c>
    </row>
    <row r="1636" spans="1:25" x14ac:dyDescent="0.3">
      <c r="A1636">
        <v>81750</v>
      </c>
      <c r="B1636" t="s">
        <v>18104</v>
      </c>
      <c r="C1636">
        <f>-616.161441261095 -42.7264790251195 -98.8408631258887</f>
        <v>-757.72878341210321</v>
      </c>
      <c r="D1636">
        <f>-634.561743394741 -50.7978090747887 -212.913229403742</f>
        <v>-898.2727818732717</v>
      </c>
      <c r="E1636">
        <f>-640.571798455212 -54.0797311725356 -311.299051803984</f>
        <v>-1005.9505814317317</v>
      </c>
      <c r="F1636">
        <f>-642.623870747151 -55.8391206442025 -400.354772332701</f>
        <v>-1098.8177637240544</v>
      </c>
      <c r="G1636">
        <f>-640.921168614771 -56.4024826047781 -489.433437857004</f>
        <v>-1186.757089076553</v>
      </c>
      <c r="H1636">
        <f>-634.581802126089 -56.009542019131 -613.854116423313</f>
        <v>-1304.445460568533</v>
      </c>
      <c r="I1636">
        <f>-606.502718606345 -51.9192590790883 -691.955681032102</f>
        <v>-1350.3776587175353</v>
      </c>
      <c r="J1636">
        <f>-641.17953963477 -28.7365577506162 -559.21010240293</f>
        <v>-1229.1261997883162</v>
      </c>
      <c r="K1636" t="s">
        <v>18105</v>
      </c>
      <c r="L1636" t="s">
        <v>18106</v>
      </c>
      <c r="M1636" t="s">
        <v>18107</v>
      </c>
      <c r="N1636">
        <f>-633.563340004225 -83.6283270913882 -558.995379971882</f>
        <v>-1276.1870470674953</v>
      </c>
      <c r="O1636">
        <f>-616.573168035106 -216.807808256196 -529.462152825926</f>
        <v>-1362.843129117228</v>
      </c>
      <c r="P1636">
        <f>-624.861703470618 -274.303394862492 -240.988985838921</f>
        <v>-1140.1540841720309</v>
      </c>
      <c r="Q1636">
        <f>-454.407983172153 -117.838637227198 -308.183869347035</f>
        <v>-880.430489746386</v>
      </c>
      <c r="R1636" t="s">
        <v>18108</v>
      </c>
      <c r="S1636" t="s">
        <v>18109</v>
      </c>
      <c r="T1636" t="s">
        <v>18110</v>
      </c>
      <c r="U1636" t="s">
        <v>18111</v>
      </c>
      <c r="V1636">
        <f>-592.862332537119 -135.332834808059 -97.1451999273098</f>
        <v>-825.34036727248781</v>
      </c>
      <c r="W1636" t="s">
        <v>18112</v>
      </c>
      <c r="X1636" t="s">
        <v>18113</v>
      </c>
      <c r="Y1636" t="s">
        <v>18114</v>
      </c>
    </row>
    <row r="1637" spans="1:25" x14ac:dyDescent="0.3">
      <c r="A1637">
        <v>81800</v>
      </c>
      <c r="B1637" t="s">
        <v>18115</v>
      </c>
      <c r="C1637">
        <f>-616.035987253746 -42.908965832384 -98.8459845934896</f>
        <v>-757.79093767961956</v>
      </c>
      <c r="D1637">
        <f>-634.482522268262 -50.994975335876 -212.909840329983</f>
        <v>-898.38733793412098</v>
      </c>
      <c r="E1637">
        <f>-640.570125162372 -54.2844836483064 -311.290568559538</f>
        <v>-1006.1451773702164</v>
      </c>
      <c r="F1637">
        <f>-642.707485610083 -56.0482175304818 -400.344302482406</f>
        <v>-1099.1000056229709</v>
      </c>
      <c r="G1637">
        <f>-641.1050513662 -56.6128125222368 -489.424932449217</f>
        <v>-1187.1427963376539</v>
      </c>
      <c r="H1637">
        <f>-634.921613533453 -56.2180118682401 -613.853281274053</f>
        <v>-1304.9929066757459</v>
      </c>
      <c r="I1637">
        <f>-606.937753425266 -52.1551827133917 -691.990557209909</f>
        <v>-1351.0834933485667</v>
      </c>
      <c r="J1637">
        <f>-641.458143623175 -28.946818969069 -559.201099044018</f>
        <v>-1229.606061636262</v>
      </c>
      <c r="K1637" t="s">
        <v>18116</v>
      </c>
      <c r="L1637" t="s">
        <v>18117</v>
      </c>
      <c r="M1637" t="s">
        <v>18118</v>
      </c>
      <c r="N1637">
        <f>-633.827210964978 -83.8366610968585 -558.99597987477</f>
        <v>-1276.6598519366066</v>
      </c>
      <c r="O1637">
        <f>-616.773218151017 -217.008417498587 -529.440857315258</f>
        <v>-1363.2224929648619</v>
      </c>
      <c r="P1637">
        <f>-624.939732819618 -274.342528322965 -240.932155161716</f>
        <v>-1140.214416304299</v>
      </c>
      <c r="Q1637">
        <f>-454.733955466952 -117.652293289717 -308.230054756596</f>
        <v>-880.61630351326505</v>
      </c>
      <c r="R1637" t="s">
        <v>18119</v>
      </c>
      <c r="S1637" t="s">
        <v>18120</v>
      </c>
      <c r="T1637" t="s">
        <v>18121</v>
      </c>
      <c r="U1637" t="s">
        <v>18122</v>
      </c>
      <c r="V1637">
        <f>-592.613857366643 -135.487412094361 -97.1537130373132</f>
        <v>-825.25498249831719</v>
      </c>
      <c r="W1637" t="s">
        <v>18123</v>
      </c>
      <c r="X1637" t="s">
        <v>18124</v>
      </c>
      <c r="Y1637" t="s">
        <v>18125</v>
      </c>
    </row>
    <row r="1638" spans="1:25" x14ac:dyDescent="0.3">
      <c r="A1638">
        <v>81850</v>
      </c>
      <c r="B1638" t="s">
        <v>18126</v>
      </c>
      <c r="C1638">
        <f>-616.069775805536 -42.8451957693751 -98.8362807600835</f>
        <v>-757.75125233499455</v>
      </c>
      <c r="D1638">
        <f>-634.543617025596 -50.9261944235774 -212.895944694071</f>
        <v>-898.36575614324431</v>
      </c>
      <c r="E1638">
        <f>-640.671704606354 -54.219404501786 -311.27419047075</f>
        <v>-1006.16529957889</v>
      </c>
      <c r="F1638">
        <f>-642.852937706256 -55.9893708794087 -400.326605768879</f>
        <v>-1099.1689143545436</v>
      </c>
      <c r="G1638">
        <f>-641.301581086718 -56.5623190713762 -489.408179384612</f>
        <v>-1187.2720795427063</v>
      </c>
      <c r="H1638">
        <f>-635.197215394969 -56.181041021406 -613.840399442237</f>
        <v>-1305.218655858612</v>
      </c>
      <c r="I1638">
        <f>-607.254246232681 -52.1273537326816 -691.992762192703</f>
        <v>-1351.3743621580657</v>
      </c>
      <c r="J1638">
        <f>-641.711286533474 -28.9056114389114 -559.187639236526</f>
        <v>-1229.8045372089114</v>
      </c>
      <c r="K1638" t="s">
        <v>18127</v>
      </c>
      <c r="L1638" t="s">
        <v>18128</v>
      </c>
      <c r="M1638" t="s">
        <v>18129</v>
      </c>
      <c r="N1638">
        <f>-634.055655641511 -83.7920721083292 -558.980288923533</f>
        <v>-1276.828016673373</v>
      </c>
      <c r="O1638">
        <f>-616.926923030264 -216.948427648852 -529.42754302107</f>
        <v>-1363.3028937001859</v>
      </c>
      <c r="P1638">
        <f>-625.066768070002 -274.17543776214 -240.896851473003</f>
        <v>-1140.1390573051449</v>
      </c>
      <c r="Q1638">
        <f>-454.889285900358 -117.408596266968 -308.087868714654</f>
        <v>-880.3857508819799</v>
      </c>
      <c r="R1638" t="s">
        <v>18130</v>
      </c>
      <c r="S1638" t="s">
        <v>18131</v>
      </c>
      <c r="T1638" t="s">
        <v>18132</v>
      </c>
      <c r="U1638" t="s">
        <v>18133</v>
      </c>
      <c r="V1638">
        <f>-592.672882867791 -135.350061500838 -97.1239084661319</f>
        <v>-825.14685283476092</v>
      </c>
      <c r="W1638" t="s">
        <v>18134</v>
      </c>
      <c r="X1638" t="s">
        <v>18135</v>
      </c>
      <c r="Y1638" t="s">
        <v>18136</v>
      </c>
    </row>
    <row r="1639" spans="1:25" x14ac:dyDescent="0.3">
      <c r="A1639">
        <v>81900</v>
      </c>
      <c r="B1639" t="s">
        <v>18137</v>
      </c>
      <c r="C1639">
        <f>-616.330700820443 -42.9647680449868 -98.7821529607049</f>
        <v>-758.07762182613476</v>
      </c>
      <c r="D1639">
        <f>-634.84227895372 -51.0391852728412 -212.836321509378</f>
        <v>-898.71778573593917</v>
      </c>
      <c r="E1639">
        <f>-641.068877724711 -54.356638905352 -311.207478693177</f>
        <v>-1006.63299532324</v>
      </c>
      <c r="F1639">
        <f>-643.366264175574 -56.159646925428 -400.256372678558</f>
        <v>-1099.78228377956</v>
      </c>
      <c r="G1639">
        <f>-641.958740898768 -56.7751515603544 -489.339945460462</f>
        <v>-1188.0738379195845</v>
      </c>
      <c r="H1639">
        <f>-636.084371436709 -56.4625358727432 -613.783467839089</f>
        <v>-1306.3303751485412</v>
      </c>
      <c r="I1639">
        <f>-608.237915512786 -52.4191619381544 -691.970815652198</f>
        <v>-1352.6278931031384</v>
      </c>
      <c r="J1639">
        <f>-642.531588828111 -29.1617232637591 -559.135373860987</f>
        <v>-1230.8286859528571</v>
      </c>
      <c r="K1639" t="s">
        <v>18138</v>
      </c>
      <c r="L1639" t="s">
        <v>18139</v>
      </c>
      <c r="M1639" t="s">
        <v>18140</v>
      </c>
      <c r="N1639">
        <f>-634.807115164345 -84.0384182951195 -558.908674877301</f>
        <v>-1277.7542083367655</v>
      </c>
      <c r="O1639">
        <f>-617.434672983127 -217.161039427206 -529.341687359164</f>
        <v>-1363.937399769497</v>
      </c>
      <c r="P1639">
        <f>-625.556357710639 -274.508660583995 -240.834344039042</f>
        <v>-1140.899362333676</v>
      </c>
      <c r="Q1639">
        <f>-455.663128364862 -117.350204870283 -307.829743457641</f>
        <v>-880.84307669278587</v>
      </c>
      <c r="R1639" t="s">
        <v>18141</v>
      </c>
      <c r="S1639" t="s">
        <v>18142</v>
      </c>
      <c r="T1639" t="s">
        <v>18143</v>
      </c>
      <c r="U1639" t="s">
        <v>18144</v>
      </c>
      <c r="V1639">
        <f>-592.873404943128 -135.422986607084 -97.1176872691799</f>
        <v>-825.41407881939188</v>
      </c>
      <c r="W1639" t="s">
        <v>18145</v>
      </c>
      <c r="X1639" t="s">
        <v>18146</v>
      </c>
      <c r="Y1639" t="s">
        <v>18147</v>
      </c>
    </row>
    <row r="1640" spans="1:25" x14ac:dyDescent="0.3">
      <c r="A1640">
        <v>81950</v>
      </c>
      <c r="B1640" t="s">
        <v>18148</v>
      </c>
      <c r="C1640">
        <f>-616.550255562789 -42.9928895416724 -98.7810644447909</f>
        <v>-758.32420954925226</v>
      </c>
      <c r="D1640">
        <f>-635.073335054243 -51.0720453425054 -212.833065982822</f>
        <v>-898.97844637957041</v>
      </c>
      <c r="E1640">
        <f>-641.350323084099 -54.3987288093267 -311.200648765286</f>
        <v>-1006.9497006587118</v>
      </c>
      <c r="F1640">
        <f>-643.709539621923 -56.2118970557273 -400.24774512637</f>
        <v>-1100.1691818040204</v>
      </c>
      <c r="G1640">
        <f>-642.380226774124 -56.8391619427658 -489.332452107661</f>
        <v>-1188.5518408245509</v>
      </c>
      <c r="H1640">
        <f>-636.632241322529 -56.5442480756687 -613.782000298239</f>
        <v>-1306.9584896964368</v>
      </c>
      <c r="I1640">
        <f>-608.829564048528 -52.4865036558173 -691.984052742697</f>
        <v>-1353.3001204470424</v>
      </c>
      <c r="J1640">
        <f>-643.041298055454 -29.2381165853269 -559.132070702502</f>
        <v>-1231.4114853432829</v>
      </c>
      <c r="K1640" t="s">
        <v>18149</v>
      </c>
      <c r="L1640" t="s">
        <v>18150</v>
      </c>
      <c r="M1640" t="s">
        <v>18151</v>
      </c>
      <c r="N1640">
        <f>-635.281972397533 -84.1098004749254 -558.903657337962</f>
        <v>-1278.2954302104204</v>
      </c>
      <c r="O1640">
        <f>-617.801536942881 -217.221468118821 -529.335823525026</f>
        <v>-1364.3588285867279</v>
      </c>
      <c r="P1640">
        <f>-625.844390038175 -274.461821973859 -240.804896474505</f>
        <v>-1141.111108486539</v>
      </c>
      <c r="Q1640">
        <f>-456.052417869191 -117.19257546178 -307.796896559859</f>
        <v>-881.04188989083013</v>
      </c>
      <c r="R1640" t="s">
        <v>18152</v>
      </c>
      <c r="S1640" t="s">
        <v>18153</v>
      </c>
      <c r="T1640" t="s">
        <v>18154</v>
      </c>
      <c r="U1640" t="s">
        <v>18155</v>
      </c>
      <c r="V1640">
        <f>-593.080448502426 -135.43892604607 -97.1255805441663</f>
        <v>-825.64495509266226</v>
      </c>
      <c r="W1640" t="s">
        <v>18156</v>
      </c>
      <c r="X1640" t="s">
        <v>18157</v>
      </c>
      <c r="Y1640" t="s">
        <v>18158</v>
      </c>
    </row>
    <row r="1641" spans="1:25" x14ac:dyDescent="0.3">
      <c r="A1641">
        <v>82000</v>
      </c>
      <c r="B1641" t="s">
        <v>18159</v>
      </c>
      <c r="C1641">
        <f>-616.895855771703 -43.0452748046778 -98.7990489439769</f>
        <v>-758.74017952035774</v>
      </c>
      <c r="D1641">
        <f>-635.436694590062 -51.1258552982088 -212.8480126146</f>
        <v>-899.41056250287079</v>
      </c>
      <c r="E1641">
        <f>-641.81776153238 -54.4579992599594 -311.208770790098</f>
        <v>-1007.4845315824374</v>
      </c>
      <c r="F1641">
        <f>-644.307193859484 -56.2768324429454 -400.252278425468</f>
        <v>-1100.8363047278974</v>
      </c>
      <c r="G1641">
        <f>-643.144182070979 -56.9082563036081 -489.339136862178</f>
        <v>-1189.3915752367652</v>
      </c>
      <c r="H1641">
        <f>-637.666547411296 -56.6166687197402 -613.800905370145</f>
        <v>-1308.0841215011812</v>
      </c>
      <c r="I1641">
        <f>-609.966749453477 -52.5291830567542 -692.037965164871</f>
        <v>-1354.5338976751023</v>
      </c>
      <c r="J1641">
        <f>-644.011220059351 -29.316842342768 -559.140242570548</f>
        <v>-1232.4683049726671</v>
      </c>
      <c r="K1641" t="s">
        <v>18160</v>
      </c>
      <c r="L1641" t="s">
        <v>18161</v>
      </c>
      <c r="M1641" t="s">
        <v>18162</v>
      </c>
      <c r="N1641">
        <f>-636.142809150468 -84.1730605487172 -558.922616249201</f>
        <v>-1279.2384859483864</v>
      </c>
      <c r="O1641">
        <f>-618.349426086515 -217.242391797056 -529.355143916426</f>
        <v>-1364.9469617999971</v>
      </c>
      <c r="P1641">
        <f>-626.251171281931 -274.385505536844 -240.801098263047</f>
        <v>-1141.4377750818219</v>
      </c>
      <c r="Q1641">
        <f>-456.894136824841 -116.709287222435 -307.937385364805</f>
        <v>-881.54080941208099</v>
      </c>
      <c r="R1641" t="s">
        <v>18163</v>
      </c>
      <c r="S1641" t="s">
        <v>18164</v>
      </c>
      <c r="T1641" t="s">
        <v>18165</v>
      </c>
      <c r="U1641" t="s">
        <v>18166</v>
      </c>
      <c r="V1641">
        <f>-593.341923091183 -135.489306214271 -97.1690959737202</f>
        <v>-826.00032527917426</v>
      </c>
      <c r="W1641" t="s">
        <v>18167</v>
      </c>
      <c r="X1641" t="s">
        <v>18168</v>
      </c>
      <c r="Y1641" t="s">
        <v>18169</v>
      </c>
    </row>
    <row r="1642" spans="1:25" x14ac:dyDescent="0.3">
      <c r="A1642">
        <v>82050</v>
      </c>
      <c r="B1642" t="s">
        <v>18170</v>
      </c>
      <c r="C1642">
        <f>-617.015938308237 -42.9380327873682 -98.8099334549586</f>
        <v>-758.76390455056378</v>
      </c>
      <c r="D1642">
        <f>-635.552814249014 -51.0285770596242 -212.858792360521</f>
        <v>-899.44018366915918</v>
      </c>
      <c r="E1642">
        <f>-641.988496197274 -54.3644949298629 -311.215839486635</f>
        <v>-1007.5688306137719</v>
      </c>
      <c r="F1642">
        <f>-644.550381060006 -56.1844870184523 -400.257153702802</f>
        <v>-1100.9920217812603</v>
      </c>
      <c r="G1642">
        <f>-643.483269969657 -56.8135460289238 -489.345361746591</f>
        <v>-1189.6421777451719</v>
      </c>
      <c r="H1642">
        <f>-638.163929973521 -56.5144162584761 -613.814001283845</f>
        <v>-1308.4923475158421</v>
      </c>
      <c r="I1642">
        <f>-610.51618893297 -52.4119930254617 -692.068789181818</f>
        <v>-1354.9969711402496</v>
      </c>
      <c r="J1642">
        <f>-644.469988943254 -29.2224308300879 -559.14508837781</f>
        <v>-1232.8375081511517</v>
      </c>
      <c r="K1642" t="s">
        <v>18171</v>
      </c>
      <c r="L1642" t="s">
        <v>18172</v>
      </c>
      <c r="M1642" t="s">
        <v>18173</v>
      </c>
      <c r="N1642">
        <f>-636.539463105677 -84.0696911595171 -558.938037325269</f>
        <v>-1279.5471915904632</v>
      </c>
      <c r="O1642">
        <f>-618.598292947374 -217.120131436793 -529.384009804469</f>
        <v>-1365.1024341886359</v>
      </c>
      <c r="P1642">
        <f>-626.286407868576 -274.167868111994 -240.805302200385</f>
        <v>-1141.259578180955</v>
      </c>
      <c r="Q1642">
        <f>-457.17817730714 -116.25003493842 -308.000739676692</f>
        <v>-881.42895192225194</v>
      </c>
      <c r="R1642" t="s">
        <v>18174</v>
      </c>
      <c r="S1642" t="s">
        <v>18175</v>
      </c>
      <c r="T1642" t="s">
        <v>18176</v>
      </c>
      <c r="U1642" t="s">
        <v>18177</v>
      </c>
      <c r="V1642">
        <f>-593.450650238815 -135.256294176707 -97.1822257823337</f>
        <v>-825.88917019785572</v>
      </c>
      <c r="W1642" t="s">
        <v>18178</v>
      </c>
      <c r="X1642" t="s">
        <v>18179</v>
      </c>
      <c r="Y1642" t="s">
        <v>18180</v>
      </c>
    </row>
    <row r="1643" spans="1:25" x14ac:dyDescent="0.3">
      <c r="A1643">
        <v>82100</v>
      </c>
      <c r="B1643" t="s">
        <v>18181</v>
      </c>
      <c r="C1643">
        <f>-617.232764045031 -42.8969761434269 -98.8290784433595</f>
        <v>-758.95881863181739</v>
      </c>
      <c r="D1643">
        <f>-635.730840278044 -51.0419222978527 -212.880469750658</f>
        <v>-899.65323232655464</v>
      </c>
      <c r="E1643">
        <f>-642.258950207101 -54.4133032963222 -311.230122589433</f>
        <v>-1007.9023760928561</v>
      </c>
      <c r="F1643">
        <f>-644.954792461894 -56.2601188084761 -400.266956451323</f>
        <v>-1101.4818677216931</v>
      </c>
      <c r="G1643">
        <f>-644.071944996038 -56.9097262930603 -489.35702127704</f>
        <v>-1190.3386925661384</v>
      </c>
      <c r="H1643">
        <f>-639.062526737449 -56.630791053808 -613.838652437904</f>
        <v>-1309.5319702291611</v>
      </c>
      <c r="I1643">
        <f>-611.545942531047 -52.5289100680378 -692.139549334406</f>
        <v>-1356.2144019334908</v>
      </c>
      <c r="J1643">
        <f>-645.29254431092 -29.338664905529 -559.161159375455</f>
        <v>-1233.7923685919041</v>
      </c>
      <c r="K1643" t="s">
        <v>18182</v>
      </c>
      <c r="L1643" t="s">
        <v>18183</v>
      </c>
      <c r="M1643" t="s">
        <v>18184</v>
      </c>
      <c r="N1643">
        <f>-637.241295871013 -84.1683518647259 -558.959855305147</f>
        <v>-1280.3695030408858</v>
      </c>
      <c r="O1643">
        <f>-618.945595817478 -217.171768347299 -529.40751232012</f>
        <v>-1365.524876484897</v>
      </c>
      <c r="P1643">
        <f>-626.187825815393 -274.084518999913 -240.790621746309</f>
        <v>-1141.062966561615</v>
      </c>
      <c r="Q1643">
        <f>-457.611624501025 -115.705179448071 -308.236537436234</f>
        <v>-881.55334138532999</v>
      </c>
      <c r="R1643" t="s">
        <v>18185</v>
      </c>
      <c r="S1643" t="s">
        <v>18186</v>
      </c>
      <c r="T1643" t="s">
        <v>18187</v>
      </c>
      <c r="U1643" t="s">
        <v>18188</v>
      </c>
      <c r="V1643">
        <f>-593.572883856057 -135.32918397083 -97.1748312431799</f>
        <v>-826.07689907006704</v>
      </c>
      <c r="W1643" t="s">
        <v>18189</v>
      </c>
      <c r="X1643" t="s">
        <v>18190</v>
      </c>
      <c r="Y1643" t="s">
        <v>18191</v>
      </c>
    </row>
    <row r="1644" spans="1:25" x14ac:dyDescent="0.3">
      <c r="A1644">
        <v>82150</v>
      </c>
      <c r="B1644" t="s">
        <v>18192</v>
      </c>
      <c r="C1644">
        <f>-617.247674947683 -42.8807017050199 -98.8437997252225</f>
        <v>-758.97217637792539</v>
      </c>
      <c r="D1644">
        <f>-635.723933866284 -51.032357973278 -212.898172107493</f>
        <v>-899.65446394705498</v>
      </c>
      <c r="E1644">
        <f>-642.283877124709 -54.4213986862668 -311.245181867772</f>
        <v>-1007.9504576787477</v>
      </c>
      <c r="F1644">
        <f>-645.028929236849 -56.2891112497215 -400.280152615566</f>
        <v>-1101.5981931021365</v>
      </c>
      <c r="G1644">
        <f>-644.215669148024 -56.9638108048948 -489.370594405419</f>
        <v>-1190.5500743583377</v>
      </c>
      <c r="H1644">
        <f>-639.32507083726 -56.724301171248 -613.856885729367</f>
        <v>-1309.906257737875</v>
      </c>
      <c r="I1644">
        <f>-611.879347929869 -52.636644667695 -692.183549696573</f>
        <v>-1356.699542294137</v>
      </c>
      <c r="J1644">
        <f>-645.519667194919 -29.4172858185048 -559.182704386591</f>
        <v>-1234.1196574000146</v>
      </c>
      <c r="K1644" t="s">
        <v>18193</v>
      </c>
      <c r="L1644" t="s">
        <v>18194</v>
      </c>
      <c r="M1644" t="s">
        <v>18195</v>
      </c>
      <c r="N1644">
        <f>-637.43478603701 -84.2420195757059 -558.970722691857</f>
        <v>-1280.6475283045729</v>
      </c>
      <c r="O1644">
        <f>-619.028162066151 -217.226797514033 -529.405971852756</f>
        <v>-1365.6609314329401</v>
      </c>
      <c r="P1644">
        <f>-626.050646294846 -274.038651384097 -240.763790318023</f>
        <v>-1140.853087996966</v>
      </c>
      <c r="Q1644">
        <f>-457.628392487528 -115.543474004964 -308.321882665625</f>
        <v>-881.493749158117</v>
      </c>
      <c r="R1644" t="s">
        <v>18196</v>
      </c>
      <c r="S1644" t="s">
        <v>18197</v>
      </c>
      <c r="T1644" t="s">
        <v>18198</v>
      </c>
      <c r="U1644" t="s">
        <v>18199</v>
      </c>
      <c r="V1644">
        <f>-593.514308069628 -135.362004962983 -97.1811473116326</f>
        <v>-826.05746034424362</v>
      </c>
      <c r="W1644" t="s">
        <v>18200</v>
      </c>
      <c r="X1644" t="s">
        <v>18201</v>
      </c>
      <c r="Y1644" t="s">
        <v>18202</v>
      </c>
    </row>
    <row r="1645" spans="1:25" x14ac:dyDescent="0.3">
      <c r="A1645">
        <v>82200</v>
      </c>
      <c r="B1645" t="s">
        <v>18203</v>
      </c>
      <c r="C1645">
        <f>-617.106500807511 -42.514765358294 -98.8591932780721</f>
        <v>-758.48045944387707</v>
      </c>
      <c r="D1645">
        <f>-635.499756297177 -50.6863453026768 -212.925570846022</f>
        <v>-899.1116724458758</v>
      </c>
      <c r="E1645">
        <f>-642.055467378059 -54.1272107920321 -311.271096788429</f>
        <v>-1007.4537749585202</v>
      </c>
      <c r="F1645">
        <f>-644.823812938449 -56.055990866685 -400.304007174975</f>
        <v>-1101.183810980109</v>
      </c>
      <c r="G1645">
        <f>-644.061247185337 -56.8057085276716 -489.394389475121</f>
        <v>-1190.2613451881298</v>
      </c>
      <c r="H1645">
        <f>-639.270005052268 -56.6862097597827 -613.884664716277</f>
        <v>-1309.8408795283276</v>
      </c>
      <c r="I1645">
        <f>-611.950865125993 -52.6627238136831 -692.258854362948</f>
        <v>-1356.8724433026241</v>
      </c>
      <c r="J1645">
        <f>-645.423830963755 -29.3270039749193 -559.232120157251</f>
        <v>-1233.9829550959253</v>
      </c>
      <c r="K1645" t="s">
        <v>18204</v>
      </c>
      <c r="L1645" t="s">
        <v>18205</v>
      </c>
      <c r="M1645" t="s">
        <v>18206</v>
      </c>
      <c r="N1645">
        <f>-637.332916875223 -84.1506161285777 -558.973336902695</f>
        <v>-1280.4568699064957</v>
      </c>
      <c r="O1645">
        <f>-618.86463715465 -217.10664595949 -529.307221744531</f>
        <v>-1365.2785048586711</v>
      </c>
      <c r="P1645">
        <f>-625.683785912102 -273.660332717398 -240.60941532952</f>
        <v>-1139.95353395902</v>
      </c>
      <c r="Q1645">
        <f>-457.400082877573 -115.143812336256 -308.461798151839</f>
        <v>-881.00569336566809</v>
      </c>
      <c r="R1645" t="s">
        <v>18207</v>
      </c>
      <c r="S1645" t="s">
        <v>18208</v>
      </c>
      <c r="T1645" t="s">
        <v>18209</v>
      </c>
      <c r="U1645" t="s">
        <v>18210</v>
      </c>
      <c r="V1645">
        <f>-593.310203204971 -134.972905777143 -97.1879424282718</f>
        <v>-825.47105141038583</v>
      </c>
      <c r="W1645" t="s">
        <v>18211</v>
      </c>
      <c r="X1645" t="s">
        <v>18212</v>
      </c>
      <c r="Y1645" t="s">
        <v>18213</v>
      </c>
    </row>
    <row r="1646" spans="1:25" x14ac:dyDescent="0.3">
      <c r="A1646">
        <v>82250</v>
      </c>
      <c r="B1646" t="s">
        <v>18214</v>
      </c>
      <c r="C1646">
        <f>-616.94552007822 -42.3122329602913 -98.8596215705427</f>
        <v>-758.11737460905408</v>
      </c>
      <c r="D1646">
        <f>-635.296227703539 -50.4786809676134 -212.933231481589</f>
        <v>-898.70814015274141</v>
      </c>
      <c r="E1646">
        <f>-641.82052362661 -53.9345832508531 -311.280343334289</f>
        <v>-1007.035450211752</v>
      </c>
      <c r="F1646">
        <f>-644.562620363367 -55.8854791646874 -400.31363102337</f>
        <v>-1100.7617305514245</v>
      </c>
      <c r="G1646">
        <f>-643.776074013001 -56.6657939150286 -489.403371235607</f>
        <v>-1189.8452391636365</v>
      </c>
      <c r="H1646">
        <f>-638.953978524367 -56.597894687785 -613.892609642722</f>
        <v>-1309.444482854874</v>
      </c>
      <c r="I1646">
        <f>-611.677736006876 -52.6200824734586 -692.28397869872</f>
        <v>-1356.5817971790548</v>
      </c>
      <c r="J1646">
        <f>-645.113450011201 -29.2148368804462 -559.252546028543</f>
        <v>-1233.5808329201902</v>
      </c>
      <c r="K1646" t="s">
        <v>18215</v>
      </c>
      <c r="L1646" t="s">
        <v>18216</v>
      </c>
      <c r="M1646" t="s">
        <v>18217</v>
      </c>
      <c r="N1646">
        <f>-637.038420993479 -84.0406608838116 -558.969572750417</f>
        <v>-1280.0486546277075</v>
      </c>
      <c r="O1646">
        <f>-618.613375801345 -216.989077504477 -529.236521443544</f>
        <v>-1364.8389747493661</v>
      </c>
      <c r="P1646">
        <f>-625.506126819159 -273.386667014355 -240.510019477463</f>
        <v>-1139.4028133109771</v>
      </c>
      <c r="Q1646">
        <f>-457.196712470361 -114.94406950153 -308.471336958376</f>
        <v>-880.612118930267</v>
      </c>
      <c r="R1646" t="s">
        <v>18218</v>
      </c>
      <c r="S1646" t="s">
        <v>18219</v>
      </c>
      <c r="T1646" t="s">
        <v>18220</v>
      </c>
      <c r="U1646" t="s">
        <v>18221</v>
      </c>
      <c r="V1646">
        <f>-593.129351628435 -134.733213759161 -97.1893612999567</f>
        <v>-825.05192668755262</v>
      </c>
      <c r="W1646" t="s">
        <v>18222</v>
      </c>
      <c r="X1646" t="s">
        <v>18223</v>
      </c>
      <c r="Y1646" t="s">
        <v>18224</v>
      </c>
    </row>
    <row r="1647" spans="1:25" x14ac:dyDescent="0.3">
      <c r="A1647">
        <v>82300</v>
      </c>
      <c r="B1647" t="s">
        <v>18225</v>
      </c>
      <c r="C1647">
        <f>-616.43426905926 -41.9312996496819 -98.8541019116046</f>
        <v>-757.21967062054659</v>
      </c>
      <c r="D1647">
        <f>-634.714038968575 -50.0699717889078 -212.94107075935</f>
        <v>-897.72508151683269</v>
      </c>
      <c r="E1647">
        <f>-641.14536643256 -53.5578965770065 -311.293093043679</f>
        <v>-1005.9963560532456</v>
      </c>
      <c r="F1647">
        <f>-643.791347651778 -55.5604568830684 -400.328111461938</f>
        <v>-1099.6799159967843</v>
      </c>
      <c r="G1647">
        <f>-642.896881806685 -56.4161464405528 -489.41636151105</f>
        <v>-1188.7293897582877</v>
      </c>
      <c r="H1647">
        <f>-637.912191146127 -56.4789875451802 -613.89917051196</f>
        <v>-1308.2903492032674</v>
      </c>
      <c r="I1647">
        <f>-610.654028573772 -52.6350143726211 -692.303379322221</f>
        <v>-1355.592422268614</v>
      </c>
      <c r="J1647">
        <f>-644.113778498994 -29.0343639081443 -559.294815121193</f>
        <v>-1232.4429575283311</v>
      </c>
      <c r="K1647" t="s">
        <v>18226</v>
      </c>
      <c r="L1647" t="s">
        <v>18227</v>
      </c>
      <c r="M1647" t="s">
        <v>18228</v>
      </c>
      <c r="N1647">
        <f>-636.097726683613 -83.8684919248549 -558.946044111442</f>
        <v>-1278.9122627199099</v>
      </c>
      <c r="O1647">
        <f>-617.790881964236 -216.79548185964 -529.074619841355</f>
        <v>-1363.660983665231</v>
      </c>
      <c r="P1647">
        <f>-625.041591379719 -272.881541758546 -240.296175300502</f>
        <v>-1138.219308438767</v>
      </c>
      <c r="Q1647">
        <f>-456.433248896057 -114.778252406736 -308.306816737886</f>
        <v>-879.51831804067911</v>
      </c>
      <c r="R1647" t="s">
        <v>18229</v>
      </c>
      <c r="S1647" t="s">
        <v>18230</v>
      </c>
      <c r="T1647" t="s">
        <v>18231</v>
      </c>
      <c r="U1647" t="s">
        <v>18232</v>
      </c>
      <c r="V1647">
        <f>-592.610028496959 -134.323740016539 -97.1890967761436</f>
        <v>-824.1228652896416</v>
      </c>
      <c r="W1647" t="s">
        <v>18233</v>
      </c>
      <c r="X1647" t="s">
        <v>18234</v>
      </c>
      <c r="Y1647" t="s">
        <v>18235</v>
      </c>
    </row>
    <row r="1648" spans="1:25" x14ac:dyDescent="0.3">
      <c r="A1648">
        <v>82350</v>
      </c>
      <c r="B1648" t="s">
        <v>18236</v>
      </c>
      <c r="C1648">
        <f>-616.198324927308 -41.6895309323963 -98.8656826882374</f>
        <v>-756.75353854794173</v>
      </c>
      <c r="D1648">
        <f>-634.454516913317 -49.8133759006187 -212.95750280582</f>
        <v>-897.22539561975566</v>
      </c>
      <c r="E1648">
        <f>-640.848344712438 -53.3235384423552 -311.311269998043</f>
        <v>-1005.4831531528362</v>
      </c>
      <c r="F1648">
        <f>-643.453720093124 -55.3606940669728 -400.346618374582</f>
        <v>-1099.1610325346787</v>
      </c>
      <c r="G1648">
        <f>-642.512364214529 -56.2660867804101 -489.433949521242</f>
        <v>-1188.2124005161811</v>
      </c>
      <c r="H1648">
        <f>-637.455521529863 -56.4151971066592 -613.913630417059</f>
        <v>-1307.7843490535811</v>
      </c>
      <c r="I1648">
        <f>-610.18162566498 -52.647321009129 -692.3162869277</f>
        <v>-1355.145233601809</v>
      </c>
      <c r="J1648">
        <f>-643.664436810341 -28.929088923016 -559.330924677854</f>
        <v>-1231.9244504112112</v>
      </c>
      <c r="K1648" t="s">
        <v>18237</v>
      </c>
      <c r="L1648" t="s">
        <v>18238</v>
      </c>
      <c r="M1648" t="s">
        <v>18239</v>
      </c>
      <c r="N1648">
        <f>-635.697084377096 -83.7700236778022 -558.941554396059</f>
        <v>-1278.4086624509573</v>
      </c>
      <c r="O1648">
        <f>-617.505145413243 -216.700325997615 -528.990526215115</f>
        <v>-1363.195997625973</v>
      </c>
      <c r="P1648">
        <f>-624.855880187751 -272.632641653435 -240.184849015745</f>
        <v>-1137.6733708569309</v>
      </c>
      <c r="Q1648">
        <f>-456.077024993591 -114.730707337947 -308.240151742912</f>
        <v>-879.04788407444994</v>
      </c>
      <c r="R1648" t="s">
        <v>18240</v>
      </c>
      <c r="S1648" t="s">
        <v>18241</v>
      </c>
      <c r="T1648" t="s">
        <v>18242</v>
      </c>
      <c r="U1648" t="s">
        <v>18243</v>
      </c>
      <c r="V1648">
        <f>-592.393604993102 -134.026429637352 -97.1870561525855</f>
        <v>-823.60709078303944</v>
      </c>
      <c r="W1648" t="s">
        <v>18244</v>
      </c>
      <c r="X1648" t="s">
        <v>18245</v>
      </c>
      <c r="Y1648" t="s">
        <v>18246</v>
      </c>
    </row>
    <row r="1649" spans="1:25" x14ac:dyDescent="0.3">
      <c r="A1649">
        <v>82400</v>
      </c>
      <c r="B1649" t="s">
        <v>18247</v>
      </c>
      <c r="C1649">
        <f>-615.788023057039 -41.2514749885668 -98.8635282574498</f>
        <v>-755.90302630305564</v>
      </c>
      <c r="D1649">
        <f>-634.025949796146 -49.3836573061093 -212.957676882913</f>
        <v>-896.36728398516834</v>
      </c>
      <c r="E1649">
        <f>-640.373327306212 -52.9235555245639 -311.31331869918</f>
        <v>-1004.6102015299559</v>
      </c>
      <c r="F1649">
        <f>-642.924363754693 -54.9982595925501 -400.349404810048</f>
        <v>-1098.2720281572911</v>
      </c>
      <c r="G1649">
        <f>-641.915885852536 -55.9533564465995 -489.435424355685</f>
        <v>-1187.3046666548205</v>
      </c>
      <c r="H1649">
        <f>-636.75232971817 -56.1853181432161 -613.910702441267</f>
        <v>-1306.8483503026532</v>
      </c>
      <c r="I1649">
        <f>-609.432021833823 -52.5049630748179 -692.301359092516</f>
        <v>-1354.2383440011567</v>
      </c>
      <c r="J1649">
        <f>-642.985628017424 -28.6596325344135 -559.350714385633</f>
        <v>-1230.9959749374705</v>
      </c>
      <c r="K1649" t="s">
        <v>18248</v>
      </c>
      <c r="L1649" t="s">
        <v>18249</v>
      </c>
      <c r="M1649" t="s">
        <v>18250</v>
      </c>
      <c r="N1649">
        <f>-635.063511084057 -83.506864809901 -558.919778669117</f>
        <v>-1277.4901545630751</v>
      </c>
      <c r="O1649">
        <f>-616.974895569933 -216.428223604212 -528.866636065424</f>
        <v>-1362.2697552395689</v>
      </c>
      <c r="P1649">
        <f>-624.548296845715 -272.155305515891 -240.02703235954</f>
        <v>-1136.7306347211459</v>
      </c>
      <c r="Q1649">
        <f>-455.501454070291 -114.603705793228 -308.229153281571</f>
        <v>-878.33431314508994</v>
      </c>
      <c r="R1649" t="s">
        <v>18251</v>
      </c>
      <c r="S1649" t="s">
        <v>18252</v>
      </c>
      <c r="T1649" t="s">
        <v>18253</v>
      </c>
      <c r="U1649" t="s">
        <v>18254</v>
      </c>
      <c r="V1649">
        <f>-591.858476817652 -133.497383090103 -97.1893465735715</f>
        <v>-822.54520648132643</v>
      </c>
      <c r="W1649" t="s">
        <v>18255</v>
      </c>
      <c r="X1649" t="s">
        <v>18256</v>
      </c>
      <c r="Y1649" t="s">
        <v>18257</v>
      </c>
    </row>
    <row r="1650" spans="1:25" x14ac:dyDescent="0.3">
      <c r="A1650">
        <v>82450</v>
      </c>
      <c r="B1650" t="s">
        <v>18258</v>
      </c>
      <c r="C1650">
        <f>-615.576136709496 -41.1425644833007 -98.8581349209935</f>
        <v>-755.57683611379025</v>
      </c>
      <c r="D1650">
        <f>-633.81918150067 -49.2970637921874 -212.949910456367</f>
        <v>-896.06615574922432</v>
      </c>
      <c r="E1650">
        <f>-640.155247069261 -52.84170485112 -311.306076119031</f>
        <v>-1004.303028039412</v>
      </c>
      <c r="F1650">
        <f>-642.689198249708 -54.9164950548794 -400.342634947603</f>
        <v>-1097.9483282521905</v>
      </c>
      <c r="G1650">
        <f>-641.656869197254 -55.8672695113482 -489.428493800403</f>
        <v>-1186.9526325090051</v>
      </c>
      <c r="H1650">
        <f>-636.452371431252 -56.0889592563445 -613.902032176666</f>
        <v>-1306.4433628642626</v>
      </c>
      <c r="I1650">
        <f>-609.101395896983 -52.3969258328796 -692.281460866693</f>
        <v>-1353.7797825965556</v>
      </c>
      <c r="J1650">
        <f>-642.723893969295 -28.5707607377669 -559.342724955818</f>
        <v>-1230.63737966288</v>
      </c>
      <c r="K1650" t="s">
        <v>18259</v>
      </c>
      <c r="L1650" t="s">
        <v>18260</v>
      </c>
      <c r="M1650" t="s">
        <v>18261</v>
      </c>
      <c r="N1650">
        <f>-634.761355669238 -83.4121569258783 -558.912000141103</f>
        <v>-1277.0855127362192</v>
      </c>
      <c r="O1650">
        <f>-616.591801956598 -216.315586023085 -528.845873328086</f>
        <v>-1361.753261307769</v>
      </c>
      <c r="P1650">
        <f>-624.245580517713 -271.98592735751 -239.997393152587</f>
        <v>-1136.22890102781</v>
      </c>
      <c r="Q1650">
        <f>-455.160974103926 -114.482813669312 -308.217732790186</f>
        <v>-877.86152056342394</v>
      </c>
      <c r="R1650" t="s">
        <v>18262</v>
      </c>
      <c r="S1650" t="s">
        <v>18263</v>
      </c>
      <c r="T1650" t="s">
        <v>18264</v>
      </c>
      <c r="U1650" t="s">
        <v>18265</v>
      </c>
      <c r="V1650">
        <f>-591.521253047503 -133.342283141634 -97.1872000722394</f>
        <v>-822.05073626137641</v>
      </c>
      <c r="W1650" t="s">
        <v>18266</v>
      </c>
      <c r="X1650" t="s">
        <v>18267</v>
      </c>
      <c r="Y1650" t="s">
        <v>18268</v>
      </c>
    </row>
    <row r="1651" spans="1:25" x14ac:dyDescent="0.3">
      <c r="A1651">
        <v>82500</v>
      </c>
      <c r="B1651" t="s">
        <v>18269</v>
      </c>
      <c r="C1651">
        <f>-615.06978460886 -41.3456395663061 -98.8555979630148</f>
        <v>-755.27102213818091</v>
      </c>
      <c r="D1651">
        <f>-633.312818113484 -49.5677970861672 -212.94242331522</f>
        <v>-895.8230385148712</v>
      </c>
      <c r="E1651">
        <f>-639.667119762754 -53.1128055377404 -311.297576251668</f>
        <v>-1004.0775015521624</v>
      </c>
      <c r="F1651">
        <f>-642.223373499966 -55.1662922792387 -400.333998019299</f>
        <v>-1097.7236637985038</v>
      </c>
      <c r="G1651">
        <f>-641.218978965914 -56.0732044317269 -489.420440271048</f>
        <v>-1186.7126236686888</v>
      </c>
      <c r="H1651">
        <f>-636.058947158778 -56.2098453700554 -613.895967299445</f>
        <v>-1306.1647598282784</v>
      </c>
      <c r="I1651">
        <f>-608.657609091817 -52.4179230253443 -692.253080978774</f>
        <v>-1353.3286130959355</v>
      </c>
      <c r="J1651">
        <f>-642.404906853777 -28.7427110036042 -559.319494724789</f>
        <v>-1230.4671125821701</v>
      </c>
      <c r="K1651" t="s">
        <v>18270</v>
      </c>
      <c r="L1651" t="s">
        <v>18271</v>
      </c>
      <c r="M1651" t="s">
        <v>18272</v>
      </c>
      <c r="N1651">
        <f>-634.254274728827 -83.556739857916 -558.921424152764</f>
        <v>-1276.732438739507</v>
      </c>
      <c r="O1651">
        <f>-615.582412997782 -216.416336315746 -528.945028713329</f>
        <v>-1360.9437780268568</v>
      </c>
      <c r="P1651">
        <f>-623.089430420847 -272.260713044615 -240.126262901304</f>
        <v>-1135.476406366766</v>
      </c>
      <c r="Q1651">
        <f>-454.493197699508 -114.174191857967 -308.205837287405</f>
        <v>-876.87322684488004</v>
      </c>
      <c r="R1651" t="s">
        <v>18273</v>
      </c>
      <c r="S1651" t="s">
        <v>18274</v>
      </c>
      <c r="T1651" t="s">
        <v>18275</v>
      </c>
      <c r="U1651" t="s">
        <v>18276</v>
      </c>
      <c r="V1651">
        <f>-590.752086716257 -133.675687911477 -97.1896263199571</f>
        <v>-821.61740094769118</v>
      </c>
      <c r="W1651" t="s">
        <v>18277</v>
      </c>
      <c r="X1651" t="s">
        <v>18278</v>
      </c>
      <c r="Y1651" t="s">
        <v>18279</v>
      </c>
    </row>
    <row r="1652" spans="1:25" x14ac:dyDescent="0.3">
      <c r="A1652">
        <v>82550</v>
      </c>
      <c r="B1652" t="s">
        <v>18280</v>
      </c>
      <c r="C1652">
        <f>-614.844426669941 -41.4394476617795 -98.8638704510076</f>
        <v>-755.14774478272807</v>
      </c>
      <c r="D1652">
        <f>-633.1103692238 -49.6763264065823 -212.94599267303</f>
        <v>-895.73268830341237</v>
      </c>
      <c r="E1652">
        <f>-639.504173188953 -53.2055208394094 -311.298929544128</f>
        <v>-1004.0086235724904</v>
      </c>
      <c r="F1652">
        <f>-642.103891370476 -55.2337547440194 -400.334693396109</f>
        <v>-1097.6723395106044</v>
      </c>
      <c r="G1652">
        <f>-641.150532027237 -56.1027375293476 -489.42223318986</f>
        <v>-1186.6755027464446</v>
      </c>
      <c r="H1652">
        <f>-636.06970674286 -56.1727721063876 -613.901261438288</f>
        <v>-1306.1437402875356</v>
      </c>
      <c r="I1652">
        <f>-608.66745700314 -52.3013694793721 -692.253871661409</f>
        <v>-1353.2226981439212</v>
      </c>
      <c r="J1652">
        <f>-642.445799767366 -28.7446069179643 -559.308611592304</f>
        <v>-1230.4990182776344</v>
      </c>
      <c r="K1652" t="s">
        <v>18281</v>
      </c>
      <c r="L1652" t="s">
        <v>18282</v>
      </c>
      <c r="M1652" t="s">
        <v>18283</v>
      </c>
      <c r="N1652">
        <f>-634.165198793719 -83.5393770406436 -558.939622290559</f>
        <v>-1276.6441981249216</v>
      </c>
      <c r="O1652">
        <f>-615.166283869692 -216.364026795968 -529.028656830876</f>
        <v>-1360.5589674965361</v>
      </c>
      <c r="P1652">
        <f>-622.409975462763 -272.305768945377 -240.222213523597</f>
        <v>-1134.9379579317369</v>
      </c>
      <c r="Q1652">
        <f>-454.163000970621 -113.956494603388 -308.554655859129</f>
        <v>-876.67415143313792</v>
      </c>
      <c r="R1652" t="s">
        <v>18284</v>
      </c>
      <c r="S1652" t="s">
        <v>18285</v>
      </c>
      <c r="T1652" t="s">
        <v>18286</v>
      </c>
      <c r="U1652" t="s">
        <v>18287</v>
      </c>
      <c r="V1652">
        <f>-590.474878271347 -133.745314933157 -97.2153902797003</f>
        <v>-821.43558348420436</v>
      </c>
      <c r="W1652" t="s">
        <v>18288</v>
      </c>
      <c r="X1652" t="s">
        <v>18289</v>
      </c>
      <c r="Y1652" t="s">
        <v>18290</v>
      </c>
    </row>
    <row r="1653" spans="1:25" x14ac:dyDescent="0.3">
      <c r="A1653">
        <v>82600</v>
      </c>
      <c r="B1653" t="s">
        <v>18291</v>
      </c>
      <c r="C1653">
        <f>-614.553067581595 -41.7199069727899 -98.8488774553448</f>
        <v>-755.12185200972965</v>
      </c>
      <c r="D1653">
        <f>-632.830213513979 -50.0013947094101 -212.925975945989</f>
        <v>-895.75758416937799</v>
      </c>
      <c r="E1653">
        <f>-639.309876887073 -53.5129888397463 -311.274020896699</f>
        <v>-1004.0968866235182</v>
      </c>
      <c r="F1653">
        <f>-642.016832201667 -55.5033807926651 -400.307450147558</f>
        <v>-1097.8276631418901</v>
      </c>
      <c r="G1653">
        <f>-641.200370849514 -56.3101364720521 -489.396857095741</f>
        <v>-1186.9073644173072</v>
      </c>
      <c r="H1653">
        <f>-636.341261552927 -56.266949107435 -613.884586325111</f>
        <v>-1306.492796985473</v>
      </c>
      <c r="I1653">
        <f>-609.000601276188 -52.24612210391 -692.251399079039</f>
        <v>-1353.498122459137</v>
      </c>
      <c r="J1653">
        <f>-642.729036086308 -28.9051837413149 -559.260095129249</f>
        <v>-1230.8943149568718</v>
      </c>
      <c r="K1653" t="s">
        <v>18292</v>
      </c>
      <c r="L1653" t="s">
        <v>18293</v>
      </c>
      <c r="M1653" t="s">
        <v>18294</v>
      </c>
      <c r="N1653">
        <f>-634.230013041766 -83.6667231344201 -558.947444285984</f>
        <v>-1276.8441804621702</v>
      </c>
      <c r="O1653">
        <f>-614.633319422644 -216.408271004519 -529.059884121132</f>
        <v>-1360.1014745482951</v>
      </c>
      <c r="P1653">
        <f>-621.475294939046 -272.357225851078 -240.244820358501</f>
        <v>-1134.0773411486248</v>
      </c>
      <c r="Q1653">
        <f>-453.721438560392 -113.161022243079 -307.817685999494</f>
        <v>-874.70014680296504</v>
      </c>
      <c r="R1653" t="s">
        <v>18295</v>
      </c>
      <c r="S1653" t="s">
        <v>18296</v>
      </c>
      <c r="T1653" t="s">
        <v>18297</v>
      </c>
      <c r="U1653" t="s">
        <v>18298</v>
      </c>
      <c r="V1653">
        <f>-589.915308430158 -134.067732615682 -97.2033689653073</f>
        <v>-821.18641001114725</v>
      </c>
      <c r="W1653" t="s">
        <v>18299</v>
      </c>
      <c r="X1653" t="s">
        <v>18300</v>
      </c>
      <c r="Y1653" t="s">
        <v>18301</v>
      </c>
    </row>
    <row r="1654" spans="1:25" x14ac:dyDescent="0.3">
      <c r="A1654">
        <v>82650</v>
      </c>
      <c r="B1654" t="s">
        <v>18302</v>
      </c>
      <c r="C1654">
        <f>-614.373042289788 -41.8278313256167 -98.8352446797627</f>
        <v>-755.0361182951674</v>
      </c>
      <c r="D1654">
        <f>-632.666219563546 -50.1521113236959 -212.906645273218</f>
        <v>-895.72497616045985</v>
      </c>
      <c r="E1654">
        <f>-639.196972195914 -53.6712128599783 -311.251133411121</f>
        <v>-1004.1193184670133</v>
      </c>
      <c r="F1654">
        <f>-641.964552472272 -55.6568886365303 -400.282803770092</f>
        <v>-1097.9042448788944</v>
      </c>
      <c r="G1654">
        <f>-641.222923478144 -56.4470010084765 -489.372934537825</f>
        <v>-1187.0428590244455</v>
      </c>
      <c r="H1654">
        <f>-636.483104576477 -56.3671437906074 -613.865332432405</f>
        <v>-1306.7155807994895</v>
      </c>
      <c r="I1654">
        <f>-609.196331683551 -52.2851240192037 -692.247639628716</f>
        <v>-1353.7290953314707</v>
      </c>
      <c r="J1654">
        <f>-642.863629952923 -29.0285263388096 -559.228311332488</f>
        <v>-1231.1204676242205</v>
      </c>
      <c r="K1654" t="s">
        <v>18303</v>
      </c>
      <c r="L1654" t="s">
        <v>18304</v>
      </c>
      <c r="M1654" t="s">
        <v>18305</v>
      </c>
      <c r="N1654">
        <f>-634.274097353309 -83.776151668851 -558.936390333891</f>
        <v>-1276.986639356051</v>
      </c>
      <c r="O1654">
        <f>-614.455344676848 -216.489520044056 -529.028686995556</f>
        <v>-1359.97355171646</v>
      </c>
      <c r="P1654">
        <f>-621.31779884617 -272.321700083258 -240.191566519324</f>
        <v>-1133.831065448752</v>
      </c>
      <c r="Q1654">
        <f>-453.94165653799 -112.466569321034 -307.142485313462</f>
        <v>-873.55071117248599</v>
      </c>
      <c r="R1654" t="s">
        <v>18306</v>
      </c>
      <c r="S1654" t="s">
        <v>18307</v>
      </c>
      <c r="T1654" t="s">
        <v>18308</v>
      </c>
      <c r="U1654" t="s">
        <v>18309</v>
      </c>
      <c r="V1654">
        <f>-589.622831925881 -134.133903561797 -97.1992666001764</f>
        <v>-820.95600208785447</v>
      </c>
      <c r="W1654" t="s">
        <v>18310</v>
      </c>
      <c r="X1654" t="s">
        <v>18311</v>
      </c>
      <c r="Y1654" t="s">
        <v>18312</v>
      </c>
    </row>
    <row r="1655" spans="1:25" x14ac:dyDescent="0.3">
      <c r="A1655">
        <v>82700</v>
      </c>
      <c r="B1655" t="s">
        <v>18313</v>
      </c>
      <c r="C1655">
        <f>-613.948544353121 -41.8809784166374 -98.8467642632742</f>
        <v>-754.67628703303251</v>
      </c>
      <c r="D1655">
        <f>-632.263508091569 -50.2399956350691 -212.912095959117</f>
        <v>-895.41559968575507</v>
      </c>
      <c r="E1655">
        <f>-638.856574254737 -53.7174414839643 -311.253835259951</f>
        <v>-1003.8278509986524</v>
      </c>
      <c r="F1655">
        <f>-641.696860691827 -55.6365244747818 -400.284712943429</f>
        <v>-1097.6180981100379</v>
      </c>
      <c r="G1655">
        <f>-641.044036689907 -56.3293933473391 -489.376436015012</f>
        <v>-1186.7498660522581</v>
      </c>
      <c r="H1655">
        <f>-636.444712087654 -56.0810692248207 -613.873902035013</f>
        <v>-1306.3996833474876</v>
      </c>
      <c r="I1655">
        <f>-609.309783766127 -51.8878401303543 -692.302979458747</f>
        <v>-1353.5006033552283</v>
      </c>
      <c r="J1655">
        <f>-642.833096679634 -28.8273649503626 -559.195313244529</f>
        <v>-1230.8557748745257</v>
      </c>
      <c r="K1655" t="s">
        <v>18314</v>
      </c>
      <c r="L1655" t="s">
        <v>18315</v>
      </c>
      <c r="M1655" t="s">
        <v>18316</v>
      </c>
      <c r="N1655">
        <f>-634.104259002687 -83.5532992421378 -558.981975951058</f>
        <v>-1276.6395341958828</v>
      </c>
      <c r="O1655">
        <f>-613.963975010296 -216.223672578507 -529.127243643841</f>
        <v>-1359.3148912326442</v>
      </c>
      <c r="P1655">
        <f>-621.150838117763 -272.21104956107 -240.32802543802</f>
        <v>-1133.6899131168529</v>
      </c>
      <c r="Q1655">
        <f>-454.123617462072 -111.693875436335 -306.562411689845</f>
        <v>-872.37990458825197</v>
      </c>
      <c r="R1655" t="s">
        <v>18317</v>
      </c>
      <c r="S1655" t="s">
        <v>18318</v>
      </c>
      <c r="T1655" t="s">
        <v>18319</v>
      </c>
      <c r="U1655" t="s">
        <v>18320</v>
      </c>
      <c r="V1655">
        <f>-589.032301088419 -134.154954980669 -97.2003270394325</f>
        <v>-820.38758310852052</v>
      </c>
      <c r="W1655" t="s">
        <v>18321</v>
      </c>
      <c r="X1655" t="s">
        <v>18322</v>
      </c>
      <c r="Y1655" t="s">
        <v>18323</v>
      </c>
    </row>
    <row r="1656" spans="1:25" x14ac:dyDescent="0.3">
      <c r="A1656">
        <v>82750</v>
      </c>
      <c r="B1656" t="s">
        <v>18324</v>
      </c>
      <c r="C1656">
        <f>-613.702794044736 -41.9888633336418 -98.8508849620548</f>
        <v>-754.54254234043265</v>
      </c>
      <c r="D1656">
        <f>-632.006212226989 -50.3476542921794 -212.918091785668</f>
        <v>-895.2719583048364</v>
      </c>
      <c r="E1656">
        <f>-638.596779681413 -53.7948914450576 -311.261144583159</f>
        <v>-1003.6528157096295</v>
      </c>
      <c r="F1656">
        <f>-641.437537731637 -55.6740501324836 -400.292858246508</f>
        <v>-1097.4044461106287</v>
      </c>
      <c r="G1656">
        <f>-640.787909295324 -56.3141074055404 -489.384903636696</f>
        <v>-1186.4869203375604</v>
      </c>
      <c r="H1656">
        <f>-636.195653977456 -55.977350513252 -613.882326578917</f>
        <v>-1306.055331069625</v>
      </c>
      <c r="I1656">
        <f>-609.130344204357 -51.7301072745649 -692.332649114514</f>
        <v>-1353.1931005934359</v>
      </c>
      <c r="J1656">
        <f>-642.599169244892 -28.7655137373447 -559.184837282502</f>
        <v>-1230.5495202647387</v>
      </c>
      <c r="K1656" t="s">
        <v>18325</v>
      </c>
      <c r="L1656" t="s">
        <v>18326</v>
      </c>
      <c r="M1656" t="s">
        <v>18327</v>
      </c>
      <c r="N1656">
        <f>-633.833720106718 -83.4856350267104 -559.009575540165</f>
        <v>-1276.3289306735933</v>
      </c>
      <c r="O1656">
        <f>-613.638162710245 -216.156104479598 -529.20283457324</f>
        <v>-1358.9971017630828</v>
      </c>
      <c r="P1656">
        <f>-620.863353871791 -272.278644536232 -240.43074456255</f>
        <v>-1133.572742970573</v>
      </c>
      <c r="Q1656">
        <f>-453.952260285607 -111.677843703665 -306.75523915299</f>
        <v>-872.38534314226195</v>
      </c>
      <c r="R1656" t="s">
        <v>18328</v>
      </c>
      <c r="S1656" t="s">
        <v>18329</v>
      </c>
      <c r="T1656" t="s">
        <v>18330</v>
      </c>
      <c r="U1656" t="s">
        <v>18331</v>
      </c>
      <c r="V1656">
        <f>-588.764767703855 -134.318558281885 -97.2161278906456</f>
        <v>-820.29945387638554</v>
      </c>
      <c r="W1656" t="s">
        <v>18332</v>
      </c>
      <c r="X1656" t="s">
        <v>18333</v>
      </c>
      <c r="Y1656" t="s">
        <v>18334</v>
      </c>
    </row>
    <row r="1657" spans="1:25" x14ac:dyDescent="0.3">
      <c r="A1657">
        <v>82800</v>
      </c>
      <c r="B1657" t="s">
        <v>18335</v>
      </c>
      <c r="C1657">
        <f>-613.399076075808 -42.1524635037724 -98.8323344609672</f>
        <v>-754.38387404054765</v>
      </c>
      <c r="D1657">
        <f>-631.684254733854 -50.474484452407 -212.905108234121</f>
        <v>-895.06384742038199</v>
      </c>
      <c r="E1657">
        <f>-638.262090752081 -53.8620653676065 -311.251039689259</f>
        <v>-1003.3751958089465</v>
      </c>
      <c r="F1657">
        <f>-641.092924365197 -55.6740370871223 -400.284495956903</f>
        <v>-1097.0514574092222</v>
      </c>
      <c r="G1657">
        <f>-640.435001242214 -56.2323143072158 -489.377117079371</f>
        <v>-1186.0444326288007</v>
      </c>
      <c r="H1657">
        <f>-635.832977559555 -55.7656521025691 -613.8737762873</f>
        <v>-1305.4724059494242</v>
      </c>
      <c r="I1657">
        <f>-608.8817034426 -51.4261559318959 -692.358409673894</f>
        <v>-1352.6662690483899</v>
      </c>
      <c r="J1657">
        <f>-642.255828041193 -28.6133439836558 -559.148866644758</f>
        <v>-1230.0180386696068</v>
      </c>
      <c r="K1657" t="s">
        <v>18336</v>
      </c>
      <c r="L1657" t="s">
        <v>18337</v>
      </c>
      <c r="M1657" t="s">
        <v>18338</v>
      </c>
      <c r="N1657">
        <f>-633.460368392578 -83.3287544978747 -559.028894797896</f>
        <v>-1275.8180176883486</v>
      </c>
      <c r="O1657">
        <f>-613.274545964673 -216.017256298086 -529.295903964592</f>
        <v>-1358.5877062273512</v>
      </c>
      <c r="P1657">
        <f>-620.195861191449 -272.378123145705 -240.562946955197</f>
        <v>-1133.1369312923509</v>
      </c>
      <c r="Q1657">
        <f>-453.213428612458 -112.017819586144 -307.288482873806</f>
        <v>-872.51973107240792</v>
      </c>
      <c r="R1657" t="s">
        <v>18339</v>
      </c>
      <c r="S1657" t="s">
        <v>18340</v>
      </c>
      <c r="T1657" t="s">
        <v>18341</v>
      </c>
      <c r="U1657" t="s">
        <v>18342</v>
      </c>
      <c r="V1657">
        <f>-588.573942826821 -134.421243499583 -97.2022672912462</f>
        <v>-820.19745361765035</v>
      </c>
      <c r="W1657" t="s">
        <v>18343</v>
      </c>
      <c r="X1657" t="s">
        <v>18344</v>
      </c>
      <c r="Y1657" t="s">
        <v>18345</v>
      </c>
    </row>
    <row r="1658" spans="1:25" x14ac:dyDescent="0.3">
      <c r="A1658">
        <v>82850</v>
      </c>
      <c r="B1658" t="s">
        <v>18346</v>
      </c>
      <c r="C1658">
        <f>-613.297104688035 -42.1500186699016 -98.8294816764549</f>
        <v>-754.27660503439142</v>
      </c>
      <c r="D1658">
        <f>-631.552507076926 -50.4352903476362 -212.909813370404</f>
        <v>-894.89761079496611</v>
      </c>
      <c r="E1658">
        <f>-638.113129214614 -53.7880766108318 -311.258051003572</f>
        <v>-1003.1592568290177</v>
      </c>
      <c r="F1658">
        <f>-640.932211116475 -55.5659709019022 -400.292383266907</f>
        <v>-1096.7905652852842</v>
      </c>
      <c r="G1658">
        <f>-640.266306842609 -56.0871555699026 -489.385333513526</f>
        <v>-1185.7387959260377</v>
      </c>
      <c r="H1658">
        <f>-635.657370777799 -55.564671856434 -613.881397722598</f>
        <v>-1305.103440356831</v>
      </c>
      <c r="I1658">
        <f>-608.760455314028 -51.2006576065887 -692.383301759656</f>
        <v>-1352.3444146802726</v>
      </c>
      <c r="J1658">
        <f>-642.084333486456 -28.4370324464949 -559.144868047869</f>
        <v>-1229.6662339808199</v>
      </c>
      <c r="K1658" t="s">
        <v>18347</v>
      </c>
      <c r="L1658" t="s">
        <v>18348</v>
      </c>
      <c r="M1658" t="s">
        <v>18349</v>
      </c>
      <c r="N1658">
        <f>-633.286640690189 -83.1522899527927 -559.048803293979</f>
        <v>-1275.4877339369605</v>
      </c>
      <c r="O1658">
        <f>-613.123071146217 -215.851146570715 -529.345938301312</f>
        <v>-1358.3201560182438</v>
      </c>
      <c r="P1658">
        <f>-619.966030994409 -272.391885519124 -240.64627195961</f>
        <v>-1133.0041884731431</v>
      </c>
      <c r="Q1658">
        <f>-452.767011829005 -112.255069620061 -307.366222710502</f>
        <v>-872.38830415956795</v>
      </c>
      <c r="R1658" t="s">
        <v>18350</v>
      </c>
      <c r="S1658" t="s">
        <v>18351</v>
      </c>
      <c r="T1658" t="s">
        <v>18352</v>
      </c>
      <c r="U1658" t="s">
        <v>18353</v>
      </c>
      <c r="V1658">
        <f>-588.491287374914 -134.415256783611 -97.2089059708143</f>
        <v>-820.11545012933925</v>
      </c>
      <c r="W1658" t="s">
        <v>18354</v>
      </c>
      <c r="X1658" t="s">
        <v>18355</v>
      </c>
      <c r="Y1658" t="s">
        <v>18356</v>
      </c>
    </row>
    <row r="1659" spans="1:25" x14ac:dyDescent="0.3">
      <c r="A1659">
        <v>82900</v>
      </c>
      <c r="B1659" t="s">
        <v>18357</v>
      </c>
      <c r="C1659">
        <f>-613.196142595084 -42.1601786623387 -98.8186495906149</f>
        <v>-754.17497084803756</v>
      </c>
      <c r="D1659">
        <f>-631.364117378338 -50.3945190861028 -212.9166584031</f>
        <v>-894.67529486754086</v>
      </c>
      <c r="E1659">
        <f>-637.832424592731 -53.665099003994 -311.27367184051</f>
        <v>-1002.771195437235</v>
      </c>
      <c r="F1659">
        <f>-640.560848133646 -55.3525949363222 -400.312767849417</f>
        <v>-1096.2262109193853</v>
      </c>
      <c r="G1659">
        <f>-639.797132756016 -55.7670215500917 -489.40538863798</f>
        <v>-1184.9695429440878</v>
      </c>
      <c r="H1659">
        <f>-635.04393523699 -55.0778011208246 -613.895291466315</f>
        <v>-1304.0170278241296</v>
      </c>
      <c r="I1659">
        <f>-608.229989168257 -50.6719775653604 -692.423174308659</f>
        <v>-1351.3251410422763</v>
      </c>
      <c r="J1659">
        <f>-641.54167037709 -28.0245785654838 -559.130158097062</f>
        <v>-1228.6964070396357</v>
      </c>
      <c r="K1659" t="s">
        <v>18358</v>
      </c>
      <c r="L1659" t="s">
        <v>18359</v>
      </c>
      <c r="M1659" t="s">
        <v>18360</v>
      </c>
      <c r="N1659">
        <f>-632.729534418867 -82.737580629051 -559.096598930982</f>
        <v>-1274.5637139789001</v>
      </c>
      <c r="O1659">
        <f>-612.638282531896 -215.471384710614 -529.487243494396</f>
        <v>-1357.596910736906</v>
      </c>
      <c r="P1659">
        <f>-619.870226747689 -272.341792948145 -240.861727148086</f>
        <v>-1133.0737468439199</v>
      </c>
      <c r="Q1659">
        <f>-451.990969503871 -112.770456004742 -307.227420479873</f>
        <v>-871.98884598848599</v>
      </c>
      <c r="R1659" t="s">
        <v>18361</v>
      </c>
      <c r="S1659" t="s">
        <v>18362</v>
      </c>
      <c r="T1659" t="s">
        <v>18363</v>
      </c>
      <c r="U1659" t="s">
        <v>18364</v>
      </c>
      <c r="V1659">
        <f>-588.321685934232 -134.496541683357 -97.2097323023111</f>
        <v>-820.02795991990013</v>
      </c>
      <c r="W1659" t="s">
        <v>18365</v>
      </c>
      <c r="X1659" t="s">
        <v>18366</v>
      </c>
      <c r="Y1659" t="s">
        <v>18367</v>
      </c>
    </row>
    <row r="1660" spans="1:25" x14ac:dyDescent="0.3">
      <c r="A1660">
        <v>82950</v>
      </c>
      <c r="B1660" t="s">
        <v>18368</v>
      </c>
      <c r="C1660">
        <f>-613.169552629146 -42.2349761597311 -98.8253890603922</f>
        <v>-754.22991784926933</v>
      </c>
      <c r="D1660">
        <f>-631.29926418398 -50.4664002154535 -212.929632235708</f>
        <v>-894.69529663514152</v>
      </c>
      <c r="E1660">
        <f>-637.708812145493 -53.6963196564514 -311.292012921106</f>
        <v>-1002.6971447230503</v>
      </c>
      <c r="F1660">
        <f>-640.372988058951 -55.3325668701236 -400.333871908794</f>
        <v>-1096.0394268378686</v>
      </c>
      <c r="G1660">
        <f>-639.533814118308 -55.680852752187 -489.426101163842</f>
        <v>-1184.640768034337</v>
      </c>
      <c r="H1660">
        <f>-634.663016601484 -54.8842651523095 -613.910760543708</f>
        <v>-1303.4580422975014</v>
      </c>
      <c r="I1660">
        <f>-607.867445735574 -50.4506180130441 -692.443445611192</f>
        <v>-1350.7615093598101</v>
      </c>
      <c r="J1660">
        <f>-641.228531026078 -27.8807842133033 -559.129215473871</f>
        <v>-1228.2385307132522</v>
      </c>
      <c r="K1660" t="s">
        <v>18369</v>
      </c>
      <c r="L1660" t="s">
        <v>18370</v>
      </c>
      <c r="M1660" t="s">
        <v>18371</v>
      </c>
      <c r="N1660">
        <f>-632.384236547184 -82.5886095543716 -559.133194185667</f>
        <v>-1274.1060402872226</v>
      </c>
      <c r="O1660">
        <f>-612.276396754335 -215.32833758248 -529.579744001193</f>
        <v>-1357.1844783380079</v>
      </c>
      <c r="P1660">
        <f>-619.82211779046 -272.385335820184 -240.999065933586</f>
        <v>-1133.2065195442301</v>
      </c>
      <c r="Q1660">
        <f>-451.671399885097 -113.004886629723 -307.135974406702</f>
        <v>-871.81226092152201</v>
      </c>
      <c r="R1660" t="s">
        <v>18372</v>
      </c>
      <c r="S1660" t="s">
        <v>18373</v>
      </c>
      <c r="T1660" t="s">
        <v>18374</v>
      </c>
      <c r="U1660" t="s">
        <v>18375</v>
      </c>
      <c r="V1660">
        <f>-588.215863129267 -134.544124061812 -97.2192327486821</f>
        <v>-819.97921993976104</v>
      </c>
      <c r="W1660" t="s">
        <v>18376</v>
      </c>
      <c r="X1660" t="s">
        <v>18377</v>
      </c>
      <c r="Y1660" t="s">
        <v>18378</v>
      </c>
    </row>
    <row r="1661" spans="1:25" x14ac:dyDescent="0.3">
      <c r="A1661">
        <v>83000</v>
      </c>
      <c r="B1661" t="s">
        <v>18379</v>
      </c>
      <c r="C1661">
        <f>-613.215940645779 -42.7376585362367 -98.8304957320231</f>
        <v>-754.78409491403886</v>
      </c>
      <c r="D1661">
        <f>-631.240387512194 -50.9592688004659 -212.952157710924</f>
        <v>-895.15181402358394</v>
      </c>
      <c r="E1661">
        <f>-637.522532466004 -54.101948178568 -311.325396236343</f>
        <v>-1002.9498768809151</v>
      </c>
      <c r="F1661">
        <f>-640.055467539294 -55.6289194875424 -400.373164777655</f>
        <v>-1096.0575518044914</v>
      </c>
      <c r="G1661">
        <f>-639.068522789109 -55.8376520898383 -489.464312003185</f>
        <v>-1184.3704868821324</v>
      </c>
      <c r="H1661">
        <f>-633.973402039422 -54.8141565530584 -613.938401609393</f>
        <v>-1302.7259602018735</v>
      </c>
      <c r="I1661">
        <f>-607.141258620954 -50.3275508243992 -692.455452455911</f>
        <v>-1349.9242619012641</v>
      </c>
      <c r="J1661">
        <f>-640.6980035412 -27.9204192751406 -559.122105246162</f>
        <v>-1227.7405280625026</v>
      </c>
      <c r="K1661" t="s">
        <v>18380</v>
      </c>
      <c r="L1661" t="s">
        <v>18381</v>
      </c>
      <c r="M1661" t="s">
        <v>18382</v>
      </c>
      <c r="N1661">
        <f>-631.733083577311 -82.6085937280722 -559.204942596517</f>
        <v>-1273.5466199019002</v>
      </c>
      <c r="O1661">
        <f>-611.437278669064 -215.351407616259 -529.805335524257</f>
        <v>-1356.5940218095798</v>
      </c>
      <c r="P1661">
        <f>-619.248442715885 -272.968222217337 -241.34307946762</f>
        <v>-1133.5597444008417</v>
      </c>
      <c r="Q1661">
        <f>-451.049946300221 -113.356477527163 -306.797102507101</f>
        <v>-871.20352633448488</v>
      </c>
      <c r="R1661" t="s">
        <v>18383</v>
      </c>
      <c r="S1661" t="s">
        <v>18384</v>
      </c>
      <c r="T1661" t="s">
        <v>18385</v>
      </c>
      <c r="U1661" t="s">
        <v>18386</v>
      </c>
      <c r="V1661">
        <f>-588.151887050532 -135.028433237506 -97.2546078421055</f>
        <v>-820.43492813014348</v>
      </c>
      <c r="W1661" t="s">
        <v>18387</v>
      </c>
      <c r="X1661" t="s">
        <v>18388</v>
      </c>
      <c r="Y1661" t="s">
        <v>18389</v>
      </c>
    </row>
    <row r="1662" spans="1:25" x14ac:dyDescent="0.3">
      <c r="A1662">
        <v>83050</v>
      </c>
      <c r="B1662" t="s">
        <v>18390</v>
      </c>
      <c r="C1662">
        <f>-613.207744966649 -43.0967352565608 -98.8201224461573</f>
        <v>-755.12460266936705</v>
      </c>
      <c r="D1662">
        <f>-631.195104873806 -51.3205202812311 -212.94736467581</f>
        <v>-895.46298983084716</v>
      </c>
      <c r="E1662">
        <f>-637.413189946743 -54.426423239325 -311.325938666741</f>
        <v>-1003.1655518528091</v>
      </c>
      <c r="F1662">
        <f>-639.874557357659 -55.9057031164373 -400.376516944622</f>
        <v>-1096.1567774187183</v>
      </c>
      <c r="G1662">
        <f>-638.802303121171 -56.0513981245541 -489.466808010932</f>
        <v>-1184.3205092566573</v>
      </c>
      <c r="H1662">
        <f>-633.573605447787 -54.9240997453337 -613.934414892733</f>
        <v>-1302.4321200858537</v>
      </c>
      <c r="I1662">
        <f>-606.685895301127 -50.4118828655596 -692.431062545351</f>
        <v>-1349.5288407120374</v>
      </c>
      <c r="J1662">
        <f>-640.394226829743 -28.0823363022914 -559.10457533619</f>
        <v>-1227.5811384682245</v>
      </c>
      <c r="K1662" t="s">
        <v>18391</v>
      </c>
      <c r="L1662" t="s">
        <v>18392</v>
      </c>
      <c r="M1662" t="s">
        <v>18393</v>
      </c>
      <c r="N1662">
        <f>-631.354751212169 -82.7581233112145 -559.220010272414</f>
        <v>-1273.3328847957976</v>
      </c>
      <c r="O1662">
        <f>-610.91386177167 -215.511078697167 -529.948994751108</f>
        <v>-1356.373935219945</v>
      </c>
      <c r="P1662">
        <f>-618.665345096568 -273.647760802448 -241.589394908049</f>
        <v>-1133.9025008070648</v>
      </c>
      <c r="Q1662">
        <f>-450.531308897101 -113.743206859999 -306.491900670013</f>
        <v>-870.76641642711297</v>
      </c>
      <c r="R1662" t="s">
        <v>18394</v>
      </c>
      <c r="S1662" t="s">
        <v>18395</v>
      </c>
      <c r="T1662" t="s">
        <v>18396</v>
      </c>
      <c r="U1662" t="s">
        <v>18397</v>
      </c>
      <c r="V1662">
        <f>-588.066191640881 -135.356781650696 -97.2567341405388</f>
        <v>-820.67970743211583</v>
      </c>
      <c r="W1662" t="s">
        <v>18398</v>
      </c>
      <c r="X1662" t="s">
        <v>18399</v>
      </c>
      <c r="Y1662" t="s">
        <v>18400</v>
      </c>
    </row>
    <row r="1663" spans="1:25" x14ac:dyDescent="0.3">
      <c r="A1663">
        <v>83100</v>
      </c>
      <c r="B1663" t="s">
        <v>18401</v>
      </c>
      <c r="C1663">
        <f>-613.204732995325 -43.7719821878537 -98.807775402236</f>
        <v>-755.78449058541469</v>
      </c>
      <c r="D1663">
        <f>-631.16962314837 -51.9854252830842 -212.939354141425</f>
        <v>-896.09440257287918</v>
      </c>
      <c r="E1663">
        <f>-637.303645111203 -54.9550033469735 -311.327370207532</f>
        <v>-1003.5860186657085</v>
      </c>
      <c r="F1663">
        <f>-639.661164562979 -56.2613459181327 -400.383477529894</f>
        <v>-1096.3059880110059</v>
      </c>
      <c r="G1663">
        <f>-638.456237537275 -56.1845097264229 -489.472107598885</f>
        <v>-1184.1128548625829</v>
      </c>
      <c r="H1663">
        <f>-633.011357523855 -54.6944066346032 -613.926801813283</f>
        <v>-1301.6325659717413</v>
      </c>
      <c r="I1663">
        <f>-606.081731178206 -50.0571208687818 -692.401698380194</f>
        <v>-1348.5405504271819</v>
      </c>
      <c r="J1663">
        <f>-639.986665660394 -28.0223265249779 -559.033532882231</f>
        <v>-1227.042525067603</v>
      </c>
      <c r="K1663" t="s">
        <v>18402</v>
      </c>
      <c r="L1663" t="s">
        <v>18403</v>
      </c>
      <c r="M1663" t="s">
        <v>18404</v>
      </c>
      <c r="N1663">
        <f>-630.828049259728 -82.6779071443736 -559.287168182111</f>
        <v>-1272.7931245862128</v>
      </c>
      <c r="O1663">
        <f>-610.16638106669 -215.477698772962 -530.380592456324</f>
        <v>-1356.024672295976</v>
      </c>
      <c r="P1663">
        <f>-618.058051003978 -275.459947416173 -242.403072370983</f>
        <v>-1135.9210707911341</v>
      </c>
      <c r="Q1663">
        <f>-449.850005067657 -115.05734703099 -305.869054823594</f>
        <v>-870.77640692224099</v>
      </c>
      <c r="R1663" t="s">
        <v>18405</v>
      </c>
      <c r="S1663" t="s">
        <v>18406</v>
      </c>
      <c r="T1663" t="s">
        <v>18407</v>
      </c>
      <c r="U1663" t="s">
        <v>18408</v>
      </c>
      <c r="V1663">
        <f>-587.990180646019 -136.035759222178 -97.2634023373732</f>
        <v>-821.28934220557016</v>
      </c>
      <c r="W1663" t="s">
        <v>18409</v>
      </c>
      <c r="X1663" t="s">
        <v>18410</v>
      </c>
      <c r="Y1663" t="s">
        <v>18411</v>
      </c>
    </row>
    <row r="1664" spans="1:25" x14ac:dyDescent="0.3">
      <c r="A1664">
        <v>83150</v>
      </c>
      <c r="B1664" t="s">
        <v>18412</v>
      </c>
      <c r="C1664">
        <f>-613.139836429857 -44.0641390846381 -98.7798797060174</f>
        <v>-755.98385522051251</v>
      </c>
      <c r="D1664">
        <f>-631.077171910588 -52.2900279398898 -212.914866521382</f>
        <v>-896.28206637185986</v>
      </c>
      <c r="E1664">
        <f>-637.180220940278 -55.1927473892711 -311.306941017659</f>
        <v>-1003.6799093472081</v>
      </c>
      <c r="F1664">
        <f>-639.505378562859 -56.4085124073086 -400.365046347808</f>
        <v>-1096.2789373179758</v>
      </c>
      <c r="G1664">
        <f>-638.263372247987 -56.2105881459597 -489.453040839771</f>
        <v>-1183.9270012337179</v>
      </c>
      <c r="H1664">
        <f>-632.761061253751 -54.5191790870105 -613.902560223254</f>
        <v>-1301.1828005640155</v>
      </c>
      <c r="I1664">
        <f>-605.82847827995 -49.7804034296591 -692.370385382775</f>
        <v>-1347.9792670923841</v>
      </c>
      <c r="J1664">
        <f>-639.786021467332 -27.9400980509781 -558.970586563738</f>
        <v>-1226.6967060820482</v>
      </c>
      <c r="K1664" t="s">
        <v>18413</v>
      </c>
      <c r="L1664" t="s">
        <v>18414</v>
      </c>
      <c r="M1664" t="s">
        <v>18415</v>
      </c>
      <c r="N1664">
        <f>-630.578629789382 -82.5868595222072 -559.306292327882</f>
        <v>-1272.4717816394714</v>
      </c>
      <c r="O1664">
        <f>-609.849780316461 -215.417069311314 -530.613183637764</f>
        <v>-1355.8800332655389</v>
      </c>
      <c r="P1664">
        <f>-618.113573576248 -275.82495452023 -242.735184158795</f>
        <v>-1136.6737122552729</v>
      </c>
      <c r="Q1664">
        <f>-449.622222942461 -115.525631437653 -305.708457269513</f>
        <v>-870.85631164962706</v>
      </c>
      <c r="R1664" t="s">
        <v>18416</v>
      </c>
      <c r="S1664" t="s">
        <v>18417</v>
      </c>
      <c r="T1664" t="s">
        <v>18418</v>
      </c>
      <c r="U1664" t="s">
        <v>18419</v>
      </c>
      <c r="V1664">
        <f>-587.81993421613 -136.278440466417 -97.2516363031244</f>
        <v>-821.35001098567147</v>
      </c>
      <c r="W1664" t="s">
        <v>18420</v>
      </c>
      <c r="X1664" t="s">
        <v>18421</v>
      </c>
      <c r="Y1664" t="s">
        <v>18422</v>
      </c>
    </row>
    <row r="1665" spans="1:25" x14ac:dyDescent="0.3">
      <c r="A1665">
        <v>83200</v>
      </c>
      <c r="B1665" t="s">
        <v>18423</v>
      </c>
      <c r="C1665">
        <f>-612.904062605161 -44.8579525411495 -98.7348342179545</f>
        <v>-756.49684936426502</v>
      </c>
      <c r="D1665">
        <f>-630.803273399096 -53.103474989229 -212.874400430418</f>
        <v>-896.78114881874308</v>
      </c>
      <c r="E1665">
        <f>-636.885219061411 -55.9296717665916 -311.269935686104</f>
        <v>-1004.0848265141067</v>
      </c>
      <c r="F1665">
        <f>-639.194270294159 -57.0397154701527 -400.329962892479</f>
        <v>-1096.5639486567907</v>
      </c>
      <c r="G1665">
        <f>-637.938354430647 -56.6998740406618 -489.417265045816</f>
        <v>-1184.0554935171249</v>
      </c>
      <c r="H1665">
        <f>-632.418034338395 -54.7722512319912 -613.86255044998</f>
        <v>-1301.0528360203662</v>
      </c>
      <c r="I1665">
        <f>-605.45925512723 -49.8336249366149 -692.30904554886</f>
        <v>-1347.6019256127049</v>
      </c>
      <c r="J1665">
        <f>-639.477236594813 -28.301854243253 -558.88249749158</f>
        <v>-1226.6615883296461</v>
      </c>
      <c r="K1665" t="s">
        <v>18424</v>
      </c>
      <c r="L1665" t="s">
        <v>18425</v>
      </c>
      <c r="M1665" t="s">
        <v>18426</v>
      </c>
      <c r="N1665">
        <f>-630.217208480987 -82.939092042825 -559.318019924303</f>
        <v>-1272.4743204481151</v>
      </c>
      <c r="O1665">
        <f>-609.41086911313 -215.814764874432 -530.904715568957</f>
        <v>-1356.1303495565191</v>
      </c>
      <c r="P1665">
        <f>-618.030846191667 -276.761860678985 -243.150656562056</f>
        <v>-1137.9433634327079</v>
      </c>
      <c r="Q1665">
        <f>-449.501964132577 -116.476257638517 -306.058683989173</f>
        <v>-872.03690576026702</v>
      </c>
      <c r="R1665" t="s">
        <v>18427</v>
      </c>
      <c r="S1665" t="s">
        <v>18428</v>
      </c>
      <c r="T1665" t="s">
        <v>18429</v>
      </c>
      <c r="U1665" t="s">
        <v>18430</v>
      </c>
      <c r="V1665">
        <f>-587.506512674055 -137.020501710071 -97.2231520639381</f>
        <v>-821.75016644806408</v>
      </c>
      <c r="W1665" t="s">
        <v>18431</v>
      </c>
      <c r="X1665" t="s">
        <v>18432</v>
      </c>
      <c r="Y1665" t="s">
        <v>18433</v>
      </c>
    </row>
    <row r="1666" spans="1:25" x14ac:dyDescent="0.3">
      <c r="A1666">
        <v>83250</v>
      </c>
      <c r="B1666" t="s">
        <v>18434</v>
      </c>
      <c r="C1666">
        <f>-612.784909565406 -45.1804683461681 -98.7229993509103</f>
        <v>-756.68837726248444</v>
      </c>
      <c r="D1666">
        <f>-630.677895502545 -53.4244233517493 -212.863615517569</f>
        <v>-896.96593437186323</v>
      </c>
      <c r="E1666">
        <f>-636.759890435801 -56.2235870068859 -311.259931170942</f>
        <v>-1004.2434086136288</v>
      </c>
      <c r="F1666">
        <f>-639.070601774352 -57.2992275506316 -400.32025150153</f>
        <v>-1096.6900808265136</v>
      </c>
      <c r="G1666">
        <f>-637.817898843123 -56.9145016484013 -489.407437485659</f>
        <v>-1184.1398379771831</v>
      </c>
      <c r="H1666">
        <f>-632.303569072514 -54.9134676637008 -613.851862078783</f>
        <v>-1301.0688988149977</v>
      </c>
      <c r="I1666">
        <f>-605.331218706349 -49.8860476007054 -692.288047836462</f>
        <v>-1347.5053141435164</v>
      </c>
      <c r="J1666">
        <f>-639.372938326617 -28.4776722731315 -558.856558325618</f>
        <v>-1226.7071689253667</v>
      </c>
      <c r="K1666" t="s">
        <v>18435</v>
      </c>
      <c r="L1666" t="s">
        <v>18436</v>
      </c>
      <c r="M1666" t="s">
        <v>18437</v>
      </c>
      <c r="N1666">
        <f>-630.087333793436 -83.110373456578 -559.323508319238</f>
        <v>-1272.521215569252</v>
      </c>
      <c r="O1666">
        <f>-609.216926799076 -216.002726621775 -530.989620477787</f>
        <v>-1356.209273898638</v>
      </c>
      <c r="P1666">
        <f>-617.863513935478 -276.982066664336 -243.243252445709</f>
        <v>-1138.088833045523</v>
      </c>
      <c r="Q1666">
        <f>-449.363674345314 -116.76070504513 -306.392203831853</f>
        <v>-872.51658322229696</v>
      </c>
      <c r="R1666" t="s">
        <v>18438</v>
      </c>
      <c r="S1666" t="s">
        <v>18439</v>
      </c>
      <c r="T1666" t="s">
        <v>18440</v>
      </c>
      <c r="U1666" t="s">
        <v>18441</v>
      </c>
      <c r="V1666">
        <f>-587.311070558525 -137.323622479862 -97.2188549236939</f>
        <v>-821.85354796208094</v>
      </c>
      <c r="W1666" t="s">
        <v>18442</v>
      </c>
      <c r="X1666" t="s">
        <v>18443</v>
      </c>
      <c r="Y1666" t="s">
        <v>18444</v>
      </c>
    </row>
    <row r="1667" spans="1:25" x14ac:dyDescent="0.3">
      <c r="A1667">
        <v>83300</v>
      </c>
      <c r="B1667" t="s">
        <v>18445</v>
      </c>
      <c r="C1667">
        <f>-612.473570958703 -45.9846989200173 -98.6719094788966</f>
        <v>-757.13017935761695</v>
      </c>
      <c r="D1667">
        <f>-630.451662108752 -54.2311900643175 -212.799165637728</f>
        <v>-897.48201781079752</v>
      </c>
      <c r="E1667">
        <f>-636.605500682801 -56.9933241128227 -311.191919972041</f>
        <v>-1004.7907447676647</v>
      </c>
      <c r="F1667">
        <f>-638.980557408377 -58.0188262818552 -400.251215903652</f>
        <v>-1097.2505995938841</v>
      </c>
      <c r="G1667">
        <f>-637.791422742781 -57.5664287639369 -489.338932298891</f>
        <v>-1184.6967838056089</v>
      </c>
      <c r="H1667">
        <f>-632.365227500047 -55.4520500158864 -613.785243509782</f>
        <v>-1301.6025210257153</v>
      </c>
      <c r="I1667">
        <f>-605.468126826055 -50.3157395428643 -692.240396191513</f>
        <v>-1348.0242625604324</v>
      </c>
      <c r="J1667">
        <f>-639.438755361554 -29.0737541846922 -558.762854891193</f>
        <v>-1227.2753644374393</v>
      </c>
      <c r="K1667" t="s">
        <v>18446</v>
      </c>
      <c r="L1667" t="s">
        <v>18447</v>
      </c>
      <c r="M1667" t="s">
        <v>18448</v>
      </c>
      <c r="N1667">
        <f>-630.067315398957 -83.6912960119555 -559.28229108678</f>
        <v>-1273.0409024976925</v>
      </c>
      <c r="O1667">
        <f>-608.98290042665 -216.573267573754 -531.059622094176</f>
        <v>-1356.61579009458</v>
      </c>
      <c r="P1667">
        <f>-617.222009423978 -277.663879637352 -243.324898144137</f>
        <v>-1138.2107872054669</v>
      </c>
      <c r="Q1667">
        <f>-449.028910882164 -117.314317386311 -306.964149120578</f>
        <v>-873.30737738905293</v>
      </c>
      <c r="R1667" t="s">
        <v>18449</v>
      </c>
      <c r="S1667" t="s">
        <v>18450</v>
      </c>
      <c r="T1667" t="s">
        <v>18451</v>
      </c>
      <c r="U1667" t="s">
        <v>18452</v>
      </c>
      <c r="V1667">
        <f>-586.911215515607 -138.162509216011 -97.1957922265601</f>
        <v>-822.26951695817809</v>
      </c>
      <c r="W1667" t="s">
        <v>18453</v>
      </c>
      <c r="X1667" t="s">
        <v>18454</v>
      </c>
      <c r="Y1667" t="s">
        <v>18455</v>
      </c>
    </row>
    <row r="1668" spans="1:25" x14ac:dyDescent="0.3">
      <c r="A1668">
        <v>83350</v>
      </c>
      <c r="B1668" t="s">
        <v>18456</v>
      </c>
      <c r="C1668">
        <f>-612.245246270517 -46.3557147465872 -98.6622777133078</f>
        <v>-757.26323873041201</v>
      </c>
      <c r="D1668">
        <f>-630.275444486193 -54.6302226505484 -212.7790873958</f>
        <v>-897.68475453254132</v>
      </c>
      <c r="E1668">
        <f>-636.480084825535 -57.3837676116474 -311.169054457465</f>
        <v>-1005.0329068946473</v>
      </c>
      <c r="F1668">
        <f>-638.903196979726 -58.3885593567549 -400.227176800406</f>
        <v>-1097.518933136887</v>
      </c>
      <c r="G1668">
        <f>-637.764047519343 -57.9017192859942 -489.315453581279</f>
        <v>-1184.9812203866161</v>
      </c>
      <c r="H1668">
        <f>-632.409567925763 -55.7243801261537 -613.763850401158</f>
        <v>-1301.8977984530748</v>
      </c>
      <c r="I1668">
        <f>-605.551970039433 -50.5436284714792 -692.229459606859</f>
        <v>-1348.3250581177713</v>
      </c>
      <c r="J1668">
        <f>-639.488229140569 -29.3801585134977 -558.725788844524</f>
        <v>-1227.5941764985907</v>
      </c>
      <c r="K1668" t="s">
        <v>18457</v>
      </c>
      <c r="L1668" t="s">
        <v>18458</v>
      </c>
      <c r="M1668" t="s">
        <v>18459</v>
      </c>
      <c r="N1668">
        <f>-630.043400894789 -83.9848474467047 -559.274738668849</f>
        <v>-1273.3029870103428</v>
      </c>
      <c r="O1668">
        <f>-608.767821277888 -216.854072892456 -531.127359871584</f>
        <v>-1356.749254041928</v>
      </c>
      <c r="P1668">
        <f>-616.78691874247 -278.071375159411 -243.413358795507</f>
        <v>-1138.2716526973879</v>
      </c>
      <c r="Q1668">
        <f>-448.770279778827 -117.575249833232 -307.149477228287</f>
        <v>-873.49500684034592</v>
      </c>
      <c r="R1668" t="s">
        <v>18460</v>
      </c>
      <c r="S1668" t="s">
        <v>18461</v>
      </c>
      <c r="T1668" t="s">
        <v>18462</v>
      </c>
      <c r="U1668" t="s">
        <v>18463</v>
      </c>
      <c r="V1668">
        <f>-586.620601736976 -138.48972020696 -97.1901394559054</f>
        <v>-822.30046139984142</v>
      </c>
      <c r="W1668" t="s">
        <v>18464</v>
      </c>
      <c r="X1668" t="s">
        <v>18465</v>
      </c>
      <c r="Y1668" t="s">
        <v>18466</v>
      </c>
    </row>
    <row r="1669" spans="1:25" x14ac:dyDescent="0.3">
      <c r="A1669">
        <v>83400</v>
      </c>
      <c r="B1669" t="s">
        <v>18467</v>
      </c>
      <c r="C1669">
        <f>-611.882891759314 -46.8096484075135 -98.6549385312354</f>
        <v>-757.3474786980629</v>
      </c>
      <c r="D1669">
        <f>-629.977337788741 -55.1866336296292 -212.754172516616</f>
        <v>-897.91814393498623</v>
      </c>
      <c r="E1669">
        <f>-636.288925412976 -57.9328253019248 -311.137405374853</f>
        <v>-1005.3591560897539</v>
      </c>
      <c r="F1669">
        <f>-638.828175999385 -58.8931294603071 -400.192922136671</f>
        <v>-1097.9142275963632</v>
      </c>
      <c r="G1669">
        <f>-637.824357048735 -58.3215979850545 -489.282203072862</f>
        <v>-1185.4281581066516</v>
      </c>
      <c r="H1669">
        <f>-632.67840270858 -55.9828501884699 -613.736539612503</f>
        <v>-1302.3977925095528</v>
      </c>
      <c r="I1669">
        <f>-605.961198171231 -50.6855616123523 -692.242240549787</f>
        <v>-1348.8890003333704</v>
      </c>
      <c r="J1669">
        <f>-639.766174302546 -29.7277984574027 -558.657129274474</f>
        <v>-1228.1511020344228</v>
      </c>
      <c r="K1669" t="s">
        <v>18468</v>
      </c>
      <c r="L1669" t="s">
        <v>18469</v>
      </c>
      <c r="M1669" t="s">
        <v>18470</v>
      </c>
      <c r="N1669">
        <f>-630.119600946612 -84.2962416158249 -559.28365667312</f>
        <v>-1273.6994992355569</v>
      </c>
      <c r="O1669">
        <f>-608.371714841457 -217.122907550807 -531.308868297905</f>
        <v>-1356.8034906901689</v>
      </c>
      <c r="P1669">
        <f>-615.936277489812 -278.635125639551 -243.645458386707</f>
        <v>-1138.2168615160699</v>
      </c>
      <c r="Q1669">
        <f>-448.348055207124 -117.694964476387 -307.389542707956</f>
        <v>-873.43256239146706</v>
      </c>
      <c r="R1669" t="s">
        <v>18471</v>
      </c>
      <c r="S1669" t="s">
        <v>18472</v>
      </c>
      <c r="T1669" t="s">
        <v>18473</v>
      </c>
      <c r="U1669" t="s">
        <v>18474</v>
      </c>
      <c r="V1669">
        <f>-585.959347339322 -138.971636215352 -97.1486373394691</f>
        <v>-822.07962089414309</v>
      </c>
      <c r="W1669" t="s">
        <v>18475</v>
      </c>
      <c r="X1669" t="s">
        <v>18476</v>
      </c>
      <c r="Y1669" t="s">
        <v>18477</v>
      </c>
    </row>
    <row r="1670" spans="1:25" x14ac:dyDescent="0.3">
      <c r="A1670">
        <v>83450</v>
      </c>
      <c r="B1670" t="s">
        <v>18478</v>
      </c>
      <c r="C1670">
        <f>-611.682202206689 -47.1406105684166 -98.6563152281758</f>
        <v>-757.4791280032814</v>
      </c>
      <c r="D1670">
        <f>-629.785667767055 -55.5766407152053 -212.749882834768</f>
        <v>-898.11219131702819</v>
      </c>
      <c r="E1670">
        <f>-636.136003147466 -58.3252223706725 -311.130603775137</f>
        <v>-1005.5918292932754</v>
      </c>
      <c r="F1670">
        <f>-638.722097810807 -59.2685624195511 -400.184897820113</f>
        <v>-1098.1755580504712</v>
      </c>
      <c r="G1670">
        <f>-637.776691259969 -58.6597387763444 -489.274514240258</f>
        <v>-1185.7109442765714</v>
      </c>
      <c r="H1670">
        <f>-632.72442289548 -56.2470045844052 -613.731293127911</f>
        <v>-1302.7027206077962</v>
      </c>
      <c r="I1670">
        <f>-606.087737079038 -50.8846722148608 -692.259960273471</f>
        <v>-1349.2323695673699</v>
      </c>
      <c r="J1670">
        <f>-639.82993523933 -30.0352493977682 -558.63346710111</f>
        <v>-1228.4986517382081</v>
      </c>
      <c r="K1670" t="s">
        <v>18479</v>
      </c>
      <c r="L1670" t="s">
        <v>18480</v>
      </c>
      <c r="M1670" t="s">
        <v>18481</v>
      </c>
      <c r="N1670">
        <f>-630.065391600267 -84.5823327421698 -559.294572498094</f>
        <v>-1273.9422968405308</v>
      </c>
      <c r="O1670">
        <f>-608.040206951915 -217.376680719209 -531.407725428976</f>
        <v>-1356.8246131001001</v>
      </c>
      <c r="P1670">
        <f>-615.355633730808 -279.111419816104 -243.785587054279</f>
        <v>-1138.2526406011909</v>
      </c>
      <c r="Q1670">
        <f>-448.01155222326 -117.867625332432 -307.403561525404</f>
        <v>-873.282739081096</v>
      </c>
      <c r="R1670" t="s">
        <v>18482</v>
      </c>
      <c r="S1670" t="s">
        <v>18483</v>
      </c>
      <c r="T1670" t="s">
        <v>18484</v>
      </c>
      <c r="U1670" t="s">
        <v>18485</v>
      </c>
      <c r="V1670">
        <f>-585.620352551021 -139.273651967092 -97.1323389897988</f>
        <v>-822.02634350791175</v>
      </c>
      <c r="W1670" t="s">
        <v>18486</v>
      </c>
      <c r="X1670" t="s">
        <v>18487</v>
      </c>
      <c r="Y1670" t="s">
        <v>18488</v>
      </c>
    </row>
    <row r="1671" spans="1:25" x14ac:dyDescent="0.3">
      <c r="A1671">
        <v>83500</v>
      </c>
      <c r="B1671" t="s">
        <v>18489</v>
      </c>
      <c r="C1671">
        <f>-611.571948608418 -47.3758297665717 -98.6667658395475</f>
        <v>-757.61454421453709</v>
      </c>
      <c r="D1671">
        <f>-629.683401208706 -55.8786022146288 -212.75402651056</f>
        <v>-898.31602993389481</v>
      </c>
      <c r="E1671">
        <f>-636.071889854049 -58.6434997409065 -311.131916344406</f>
        <v>-1005.8473059393615</v>
      </c>
      <c r="F1671">
        <f>-638.704086112932 -59.5854552602877 -400.184755465908</f>
        <v>-1098.4742968391279</v>
      </c>
      <c r="G1671">
        <f>-637.816615171042 -58.958224637875 -489.274996088077</f>
        <v>-1186.049835896994</v>
      </c>
      <c r="H1671">
        <f>-632.857164775496 -56.5014520460683 -613.734616187811</f>
        <v>-1303.0932330093751</v>
      </c>
      <c r="I1671">
        <f>-606.29077351966 -51.0758892391618 -692.282774915206</f>
        <v>-1349.6494376740279</v>
      </c>
      <c r="J1671">
        <f>-639.984617550902 -30.320501994843 -558.625008269236</f>
        <v>-1228.930127814981</v>
      </c>
      <c r="K1671" t="s">
        <v>18490</v>
      </c>
      <c r="L1671" t="s">
        <v>18491</v>
      </c>
      <c r="M1671" t="s">
        <v>18492</v>
      </c>
      <c r="N1671">
        <f>-630.094582365943 -84.8446227890738 -559.307187131494</f>
        <v>-1274.2463922865109</v>
      </c>
      <c r="O1671">
        <f>-607.776690348886 -217.603662229262 -531.484700928203</f>
        <v>-1356.8650535063509</v>
      </c>
      <c r="P1671">
        <f>-614.790003724322 -279.545560300581 -243.899584676122</f>
        <v>-1138.2351487010251</v>
      </c>
      <c r="Q1671">
        <f>-447.770428919704 -117.930770662057 -307.429016990779</f>
        <v>-873.13021657254001</v>
      </c>
      <c r="R1671" t="s">
        <v>18493</v>
      </c>
      <c r="S1671" t="s">
        <v>18494</v>
      </c>
      <c r="T1671" t="s">
        <v>18495</v>
      </c>
      <c r="U1671" t="s">
        <v>18496</v>
      </c>
      <c r="V1671">
        <f>-585.347121318754 -139.495533266279 -97.1252901782505</f>
        <v>-821.96794476328353</v>
      </c>
      <c r="W1671" t="s">
        <v>18497</v>
      </c>
      <c r="X1671" t="s">
        <v>18498</v>
      </c>
      <c r="Y1671" t="s">
        <v>18499</v>
      </c>
    </row>
    <row r="1672" spans="1:25" x14ac:dyDescent="0.3">
      <c r="A1672">
        <v>83550</v>
      </c>
      <c r="B1672" t="s">
        <v>18500</v>
      </c>
      <c r="C1672">
        <f>-611.511187958855 -47.7028972352454 -98.7142976949825</f>
        <v>-757.92838288908285</v>
      </c>
      <c r="D1672">
        <f>-629.589706306746 -56.295281220421 -212.800155011555</f>
        <v>-898.68514253872206</v>
      </c>
      <c r="E1672">
        <f>-636.019104795009 -59.1009006620488 -311.17403288716</f>
        <v>-1006.2940383442178</v>
      </c>
      <c r="F1672">
        <f>-638.715933166044 -60.0654174934948 -400.224918099102</f>
        <v>-1099.0062687586408</v>
      </c>
      <c r="G1672">
        <f>-637.920713662525 -59.4438755844476 -489.315950512638</f>
        <v>-1186.6805397596106</v>
      </c>
      <c r="H1672">
        <f>-633.119329356551 -56.9758760659518 -613.78143995081</f>
        <v>-1303.8766453733128</v>
      </c>
      <c r="I1672">
        <f>-606.644321159288 -51.4375627539425 -692.352738979914</f>
        <v>-1350.4346228931445</v>
      </c>
      <c r="J1672">
        <f>-640.308235621487 -30.8239264478557 -558.666166563705</f>
        <v>-1229.7983286330477</v>
      </c>
      <c r="K1672" t="s">
        <v>18501</v>
      </c>
      <c r="L1672" t="s">
        <v>18502</v>
      </c>
      <c r="M1672" t="s">
        <v>18503</v>
      </c>
      <c r="N1672">
        <f>-630.156223960268 -85.2997799101304 -559.354645867457</f>
        <v>-1274.8106497378553</v>
      </c>
      <c r="O1672">
        <f>-607.21609340266 -217.956683447745 -531.547842903254</f>
        <v>-1356.7206197536591</v>
      </c>
      <c r="P1672">
        <f>-613.659710075474 -279.864351883344 -243.942049474567</f>
        <v>-1137.4661114333851</v>
      </c>
      <c r="Q1672">
        <f>-447.311654185361 -117.604091104884 -307.587910685975</f>
        <v>-872.50365597621999</v>
      </c>
      <c r="R1672" t="s">
        <v>18504</v>
      </c>
      <c r="S1672" t="s">
        <v>18505</v>
      </c>
      <c r="T1672" t="s">
        <v>18506</v>
      </c>
      <c r="U1672" t="s">
        <v>18507</v>
      </c>
      <c r="V1672">
        <f>-584.988262243833 -139.75658991475 -97.145996193053</f>
        <v>-821.8908483516359</v>
      </c>
      <c r="W1672" t="s">
        <v>18508</v>
      </c>
      <c r="X1672" t="s">
        <v>18509</v>
      </c>
      <c r="Y1672" t="s">
        <v>18510</v>
      </c>
    </row>
    <row r="1673" spans="1:25" x14ac:dyDescent="0.3">
      <c r="A1673">
        <v>83600</v>
      </c>
      <c r="B1673" t="s">
        <v>18511</v>
      </c>
      <c r="C1673">
        <f>-611.462264150515 -48.06976160122 -98.7991758391246</f>
        <v>-758.33120159085956</v>
      </c>
      <c r="D1673">
        <f>-629.4889061124 -56.7421823993756 -212.887091230858</f>
        <v>-899.11817974263352</v>
      </c>
      <c r="E1673">
        <f>-635.950221178211 -59.6059212223006 -311.257335409306</f>
        <v>-1006.8134778098176</v>
      </c>
      <c r="F1673">
        <f>-638.706608391618 -60.618668896638 -400.305817334411</f>
        <v>-1099.6310946226672</v>
      </c>
      <c r="G1673">
        <f>-638.002324663953 -60.0382038848287 -489.397923238583</f>
        <v>-1187.4384517873648</v>
      </c>
      <c r="H1673">
        <f>-633.360892558293 -57.6191811759855 -613.870434389225</f>
        <v>-1304.8505081235035</v>
      </c>
      <c r="I1673">
        <f>-606.986074520936 -52.0148732445127 -692.470633252096</f>
        <v>-1351.4715810175448</v>
      </c>
      <c r="J1673">
        <f>-640.589979632867 -31.4663749680424 -558.760620041155</f>
        <v>-1230.8169746420645</v>
      </c>
      <c r="K1673" t="s">
        <v>18512</v>
      </c>
      <c r="L1673" t="s">
        <v>18513</v>
      </c>
      <c r="M1673" t="s">
        <v>18514</v>
      </c>
      <c r="N1673">
        <f>-630.216729659657 -85.90097626178 -559.4318124297</f>
        <v>-1275.5495183511371</v>
      </c>
      <c r="O1673">
        <f>-606.762586578155 -218.458249393729 -531.555599383817</f>
        <v>-1356.7764353557011</v>
      </c>
      <c r="P1673">
        <f>-612.752638773738 -280.037233137735 -243.869335831564</f>
        <v>-1136.6592077430371</v>
      </c>
      <c r="Q1673">
        <f>-447.059042020447 -117.296354858349 -307.993274912411</f>
        <v>-872.34867179120693</v>
      </c>
      <c r="R1673" t="s">
        <v>18515</v>
      </c>
      <c r="S1673" t="s">
        <v>18516</v>
      </c>
      <c r="T1673" t="s">
        <v>18517</v>
      </c>
      <c r="U1673" t="s">
        <v>18518</v>
      </c>
      <c r="V1673">
        <f>-584.75648100425 -140.072808142731 -97.2035564017768</f>
        <v>-822.03284554875779</v>
      </c>
      <c r="W1673" t="s">
        <v>18519</v>
      </c>
      <c r="X1673" t="s">
        <v>18520</v>
      </c>
      <c r="Y1673" t="s">
        <v>18521</v>
      </c>
    </row>
    <row r="1674" spans="1:25" x14ac:dyDescent="0.3">
      <c r="A1674">
        <v>83650</v>
      </c>
      <c r="B1674" t="s">
        <v>18522</v>
      </c>
      <c r="C1674">
        <f>-611.51537978185 -48.1299077402568 -98.8458847318558</f>
        <v>-758.49117225396265</v>
      </c>
      <c r="D1674">
        <f>-629.505827745157 -56.8175304802323 -212.938420244037</f>
        <v>-899.26177846942642</v>
      </c>
      <c r="E1674">
        <f>-635.990711291307 -59.7034903590234 -311.306443148215</f>
        <v>-1007.0006447985454</v>
      </c>
      <c r="F1674">
        <f>-638.790675211169 -60.7393199165188 -400.353205458917</f>
        <v>-1099.8832005866047</v>
      </c>
      <c r="G1674">
        <f>-638.152506843401 -60.1840177693012 -489.445930101032</f>
        <v>-1187.7824547137343</v>
      </c>
      <c r="H1674">
        <f>-633.62709735751 -57.8011858686386 -613.923522491198</f>
        <v>-1305.3518057173467</v>
      </c>
      <c r="I1674">
        <f>-607.308969268012 -52.2036339536853 -692.543079421432</f>
        <v>-1352.0556826431293</v>
      </c>
      <c r="J1674">
        <f>-640.843274949822 -31.6397673830193 -558.816202194537</f>
        <v>-1231.2992445273783</v>
      </c>
      <c r="K1674" t="s">
        <v>18523</v>
      </c>
      <c r="L1674" t="s">
        <v>18524</v>
      </c>
      <c r="M1674" t="s">
        <v>18525</v>
      </c>
      <c r="N1674">
        <f>-630.3937366452 -86.0597416918863 -559.478077066465</f>
        <v>-1275.9315554035511</v>
      </c>
      <c r="O1674">
        <f>-606.764720309237 -218.57426639456 -531.544750819583</f>
        <v>-1356.88373752338</v>
      </c>
      <c r="P1674">
        <f>-612.519107508054 -279.988592860631 -243.81857027933</f>
        <v>-1136.326270648015</v>
      </c>
      <c r="Q1674">
        <f>-447.131257373638 -117.032727517264 -308.185468420092</f>
        <v>-872.34945331099391</v>
      </c>
      <c r="R1674" t="s">
        <v>18526</v>
      </c>
      <c r="S1674" t="s">
        <v>18527</v>
      </c>
      <c r="T1674" t="s">
        <v>18528</v>
      </c>
      <c r="U1674" t="s">
        <v>18529</v>
      </c>
      <c r="V1674">
        <f>-584.797055456443 -140.090607442452 -97.2470944101728</f>
        <v>-822.13475730906782</v>
      </c>
      <c r="W1674" t="s">
        <v>18530</v>
      </c>
      <c r="X1674" t="s">
        <v>18531</v>
      </c>
      <c r="Y1674" t="s">
        <v>18532</v>
      </c>
    </row>
    <row r="1675" spans="1:25" x14ac:dyDescent="0.3">
      <c r="A1675">
        <v>83700</v>
      </c>
      <c r="B1675" t="s">
        <v>18533</v>
      </c>
      <c r="C1675">
        <f>-611.780878028205 -48.0292926174236 -98.9321047545908</f>
        <v>-758.74227540021946</v>
      </c>
      <c r="D1675">
        <f>-629.725997321123 -56.7598707906644 -213.028535507844</f>
        <v>-899.51440361963148</v>
      </c>
      <c r="E1675">
        <f>-636.223600353063 -59.7043947645616 -311.393951195881</f>
        <v>-1007.3219463135056</v>
      </c>
      <c r="F1675">
        <f>-639.056518441897 -60.8013017528269 -400.438926239436</f>
        <v>-1100.29674643416</v>
      </c>
      <c r="G1675">
        <f>-638.473262164962 -60.3133284042655 -489.532486994094</f>
        <v>-1188.3190775633213</v>
      </c>
      <c r="H1675">
        <f>-634.04802408569 -58.0302547898401 -614.015506674784</f>
        <v>-1306.0937855503141</v>
      </c>
      <c r="I1675">
        <f>-607.824919002964 -52.4762626715669 -692.670022207961</f>
        <v>-1352.9712038824919</v>
      </c>
      <c r="J1675">
        <f>-641.273052710716 -31.8349074654095 -558.925444197709</f>
        <v>-1232.0334043738344</v>
      </c>
      <c r="K1675" t="s">
        <v>18534</v>
      </c>
      <c r="L1675" t="s">
        <v>18535</v>
      </c>
      <c r="M1675" t="s">
        <v>18536</v>
      </c>
      <c r="N1675">
        <f>-630.717619466549 -86.2349225778244 -559.547887875678</f>
        <v>-1276.5004299200514</v>
      </c>
      <c r="O1675">
        <f>-606.862288883856 -218.680263507207 -531.465811756316</f>
        <v>-1357.0083641473789</v>
      </c>
      <c r="P1675">
        <f>-612.316437952621 -279.728159006343 -243.655946771244</f>
        <v>-1135.700543730208</v>
      </c>
      <c r="Q1675">
        <f>-447.182117886245 -116.649739593772 -308.362628256787</f>
        <v>-872.19448573680393</v>
      </c>
      <c r="R1675" t="s">
        <v>18537</v>
      </c>
      <c r="S1675" t="s">
        <v>18538</v>
      </c>
      <c r="T1675" t="s">
        <v>18539</v>
      </c>
      <c r="U1675" t="s">
        <v>18540</v>
      </c>
      <c r="V1675">
        <f>-585.004013449234 -139.980443868989 -97.2742581314778</f>
        <v>-822.25871544970084</v>
      </c>
      <c r="W1675" t="s">
        <v>18541</v>
      </c>
      <c r="X1675" t="s">
        <v>18542</v>
      </c>
      <c r="Y1675" t="s">
        <v>18543</v>
      </c>
    </row>
    <row r="1676" spans="1:25" x14ac:dyDescent="0.3">
      <c r="A1676">
        <v>83750</v>
      </c>
      <c r="B1676" t="s">
        <v>18544</v>
      </c>
      <c r="C1676">
        <f>-611.948798458873 -48.0185448520406 -98.9595495785629</f>
        <v>-758.92689288947645</v>
      </c>
      <c r="D1676">
        <f>-629.89360605626 -56.7670452030999 -213.054515163464</f>
        <v>-899.71516642282381</v>
      </c>
      <c r="E1676">
        <f>-636.385863994761 -59.7352972487364 -311.419782730036</f>
        <v>-1007.5409439735334</v>
      </c>
      <c r="F1676">
        <f>-639.211985805473 -60.8566319225273 -400.464643281</f>
        <v>-1100.5332610090004</v>
      </c>
      <c r="G1676">
        <f>-638.620401887446 -60.3958044082702 -489.558198877834</f>
        <v>-1188.5744051735501</v>
      </c>
      <c r="H1676">
        <f>-634.182047183007 -58.153713502702 -614.041531675667</f>
        <v>-1306.377292361376</v>
      </c>
      <c r="I1676">
        <f>-607.987068354226 -52.6169264988354 -692.706618146555</f>
        <v>-1353.3106129996163</v>
      </c>
      <c r="J1676">
        <f>-641.428872006208 -31.9433103747349 -558.961460529289</f>
        <v>-1232.3336429102319</v>
      </c>
      <c r="K1676" t="s">
        <v>18545</v>
      </c>
      <c r="L1676" t="s">
        <v>18546</v>
      </c>
      <c r="M1676" t="s">
        <v>18547</v>
      </c>
      <c r="N1676">
        <f>-630.841410450217 -86.337308912866 -559.563666349768</f>
        <v>-1276.742385712851</v>
      </c>
      <c r="O1676">
        <f>-606.932442504336 -218.74639860184 -531.393813186876</f>
        <v>-1357.072654293052</v>
      </c>
      <c r="P1676">
        <f>-612.345193575662 -279.600191272983 -243.541871671125</f>
        <v>-1135.48725651977</v>
      </c>
      <c r="Q1676">
        <f>-447.197446255871 -116.562838971675 -308.317785241129</f>
        <v>-872.07807046867492</v>
      </c>
      <c r="R1676" t="s">
        <v>18548</v>
      </c>
      <c r="S1676" t="s">
        <v>18549</v>
      </c>
      <c r="T1676" t="s">
        <v>18550</v>
      </c>
      <c r="U1676" t="s">
        <v>18551</v>
      </c>
      <c r="V1676">
        <f>-585.127288834201 -140.045582648318 -97.2872984821399</f>
        <v>-822.46016996465892</v>
      </c>
      <c r="W1676" t="s">
        <v>18552</v>
      </c>
      <c r="X1676" t="s">
        <v>18553</v>
      </c>
      <c r="Y1676" t="s">
        <v>18554</v>
      </c>
    </row>
    <row r="1677" spans="1:25" x14ac:dyDescent="0.3">
      <c r="A1677">
        <v>83800</v>
      </c>
      <c r="B1677" t="s">
        <v>18555</v>
      </c>
      <c r="C1677">
        <f>-612.191000058321 -48.0897884562677 -99.0098269142121</f>
        <v>-759.29061542880083</v>
      </c>
      <c r="D1677">
        <f>-630.141264527409 -56.8737002273957 -213.101293728387</f>
        <v>-900.1162584831917</v>
      </c>
      <c r="E1677">
        <f>-636.598147082125 -59.9070387378866 -311.466697218959</f>
        <v>-1007.9718830389706</v>
      </c>
      <c r="F1677">
        <f>-639.376671740366 -61.1017600664017 -400.512162489186</f>
        <v>-1100.9905942959535</v>
      </c>
      <c r="G1677">
        <f>-638.722184882404 -60.7289439795577 -489.605889698673</f>
        <v>-1189.0570185606348</v>
      </c>
      <c r="H1677">
        <f>-634.180074966759 -58.6253530422265 -614.087756334712</f>
        <v>-1306.8931843436976</v>
      </c>
      <c r="I1677">
        <f>-608.023523718725 -53.1718529963142 -692.771459440796</f>
        <v>-1353.9668361558352</v>
      </c>
      <c r="J1677">
        <f>-641.472056788245 -32.3535596859165 -559.042916316752</f>
        <v>-1232.8685327909134</v>
      </c>
      <c r="K1677" t="s">
        <v>18556</v>
      </c>
      <c r="L1677" t="s">
        <v>18557</v>
      </c>
      <c r="M1677" t="s">
        <v>18558</v>
      </c>
      <c r="N1677">
        <f>-630.885709508983 -86.7484894918477 -559.575905931374</f>
        <v>-1277.2101049322048</v>
      </c>
      <c r="O1677">
        <f>-607.000181066911 -219.13871131485 -531.260298761208</f>
        <v>-1357.3991911429689</v>
      </c>
      <c r="P1677">
        <f>-612.365475667775 -279.724729606206 -243.350941173455</f>
        <v>-1135.441146447436</v>
      </c>
      <c r="Q1677">
        <f>-447.122413608528 -116.831040072442 -308.245071694571</f>
        <v>-872.19852537554107</v>
      </c>
      <c r="R1677" t="s">
        <v>18559</v>
      </c>
      <c r="S1677" t="s">
        <v>18560</v>
      </c>
      <c r="T1677" t="s">
        <v>18561</v>
      </c>
      <c r="U1677" t="s">
        <v>18562</v>
      </c>
      <c r="V1677">
        <f>-585.35769878139 -140.135306759743 -97.2986830888426</f>
        <v>-822.79168862997562</v>
      </c>
      <c r="W1677" t="s">
        <v>18563</v>
      </c>
      <c r="X1677" t="s">
        <v>18564</v>
      </c>
      <c r="Y1677" t="s">
        <v>18565</v>
      </c>
    </row>
    <row r="1678" spans="1:25" x14ac:dyDescent="0.3">
      <c r="A1678">
        <v>83850</v>
      </c>
      <c r="B1678" t="s">
        <v>18566</v>
      </c>
      <c r="C1678">
        <f>-612.292917682144 -48.0338459775837 -99.0317621180023</f>
        <v>-759.35852577773005</v>
      </c>
      <c r="D1678">
        <f>-630.248885530608 -56.8103124627077 -213.122783763768</f>
        <v>-900.18198175708369</v>
      </c>
      <c r="E1678">
        <f>-636.70436429306 -59.8697981666131 -311.487597995622</f>
        <v>-1008.0617604552951</v>
      </c>
      <c r="F1678">
        <f>-639.479735160284 -61.1008405891685 -400.532653332535</f>
        <v>-1101.1132290819874</v>
      </c>
      <c r="G1678">
        <f>-638.820224381673 -60.7772162357411 -489.626454841915</f>
        <v>-1189.223895459329</v>
      </c>
      <c r="H1678">
        <f>-634.269497286299 -58.7557658795319 -614.109549698518</f>
        <v>-1307.134812864349</v>
      </c>
      <c r="I1678">
        <f>-608.129386843766 -53.3696256004771 -692.803252037411</f>
        <v>-1354.3022644816542</v>
      </c>
      <c r="J1678">
        <f>-641.551294139457 -32.4450231958792 -559.081899958311</f>
        <v>-1233.0782172936474</v>
      </c>
      <c r="K1678" t="s">
        <v>18567</v>
      </c>
      <c r="L1678" t="s">
        <v>18568</v>
      </c>
      <c r="M1678" t="s">
        <v>18569</v>
      </c>
      <c r="N1678">
        <f>-630.992786177458 -86.8456870848343 -559.579321729718</f>
        <v>-1277.4177949920104</v>
      </c>
      <c r="O1678">
        <f>-607.160990006833 -219.225918031195 -531.19255984067</f>
        <v>-1357.5794678786979</v>
      </c>
      <c r="P1678">
        <f>-612.462074863883 -279.703349362321 -243.259261994419</f>
        <v>-1135.424686220623</v>
      </c>
      <c r="Q1678">
        <f>-447.15546997745 -116.92798175063 -308.287978903157</f>
        <v>-872.37143063123699</v>
      </c>
      <c r="R1678" t="s">
        <v>18570</v>
      </c>
      <c r="S1678" t="s">
        <v>18571</v>
      </c>
      <c r="T1678" t="s">
        <v>18572</v>
      </c>
      <c r="U1678" t="s">
        <v>18573</v>
      </c>
      <c r="V1678">
        <f>-585.473254445335 -140.106630847947 -97.319842652096</f>
        <v>-822.899727945378</v>
      </c>
      <c r="W1678" t="s">
        <v>18574</v>
      </c>
      <c r="X1678" t="s">
        <v>18575</v>
      </c>
      <c r="Y1678" t="s">
        <v>18576</v>
      </c>
    </row>
    <row r="1679" spans="1:25" x14ac:dyDescent="0.3">
      <c r="A1679">
        <v>83900</v>
      </c>
      <c r="B1679" t="s">
        <v>18577</v>
      </c>
      <c r="C1679">
        <f>-612.546611777503 -47.9371368852595 -99.0408974880233</f>
        <v>-759.52464615078588</v>
      </c>
      <c r="D1679">
        <f>-630.520521383613 -56.6857725778478 -213.131238528408</f>
        <v>-900.33753248986886</v>
      </c>
      <c r="E1679">
        <f>-637.01798300881 -59.7780867053364 -311.492196005603</f>
        <v>-1008.2882657197493</v>
      </c>
      <c r="F1679">
        <f>-639.84307400361 -61.0599899516319 -400.535005459973</f>
        <v>-1101.4380694152148</v>
      </c>
      <c r="G1679">
        <f>-639.245533365124 -60.8089912212461 -489.629389330137</f>
        <v>-1189.683913916507</v>
      </c>
      <c r="H1679">
        <f>-634.794291491996 -58.9113147423467 -614.11808226762</f>
        <v>-1307.8236885019628</v>
      </c>
      <c r="I1679">
        <f>-608.700639808479 -53.6815293946364 -692.837744811169</f>
        <v>-1355.2199140142843</v>
      </c>
      <c r="J1679">
        <f>-641.978571215129 -32.535433594413 -559.108747937728</f>
        <v>-1233.6227527472702</v>
      </c>
      <c r="K1679" t="s">
        <v>18578</v>
      </c>
      <c r="L1679" t="s">
        <v>18579</v>
      </c>
      <c r="M1679" t="s">
        <v>18580</v>
      </c>
      <c r="N1679">
        <f>-631.527466430986 -86.9572357082307 -559.564635491599</f>
        <v>-1278.0493376308157</v>
      </c>
      <c r="O1679">
        <f>-607.962713576724 -219.35364959846 -531.035458646968</f>
        <v>-1358.351821822152</v>
      </c>
      <c r="P1679">
        <f>-612.960768692295 -279.417596520805 -243.01019244969</f>
        <v>-1135.3885576627899</v>
      </c>
      <c r="Q1679">
        <f>-447.375962110887 -117.12423309703 -308.534385308615</f>
        <v>-873.03458051653195</v>
      </c>
      <c r="R1679" t="s">
        <v>18581</v>
      </c>
      <c r="S1679" t="s">
        <v>18582</v>
      </c>
      <c r="T1679" t="s">
        <v>18583</v>
      </c>
      <c r="U1679" t="s">
        <v>18584</v>
      </c>
      <c r="V1679">
        <f>-585.918774055147 -140.052074906633 -97.3359689412233</f>
        <v>-823.30681790300332</v>
      </c>
      <c r="W1679" t="s">
        <v>18585</v>
      </c>
      <c r="X1679" t="s">
        <v>18586</v>
      </c>
      <c r="Y1679" t="s">
        <v>18587</v>
      </c>
    </row>
    <row r="1680" spans="1:25" x14ac:dyDescent="0.3">
      <c r="A1680">
        <v>83950</v>
      </c>
      <c r="B1680" t="s">
        <v>18588</v>
      </c>
      <c r="C1680">
        <f>-612.78268433926 -47.6501684508328 -99.0522998101827</f>
        <v>-759.48515260027546</v>
      </c>
      <c r="D1680">
        <f>-630.809257615851 -56.3982263613317 -213.134400245436</f>
        <v>-900.34188422261877</v>
      </c>
      <c r="E1680">
        <f>-637.355043054564 -59.510063251481 -311.491604219979</f>
        <v>-1008.356710526024</v>
      </c>
      <c r="F1680">
        <f>-640.225338511319 -60.8172746467528 -400.53258283407</f>
        <v>-1101.5751959921417</v>
      </c>
      <c r="G1680">
        <f>-639.67428216423 -60.5998620914817 -489.627454862991</f>
        <v>-1189.9015991187027</v>
      </c>
      <c r="H1680">
        <f>-635.289590074648 -58.7578723400534 -614.11918291385</f>
        <v>-1308.1666453285513</v>
      </c>
      <c r="I1680">
        <f>-609.21238700971 -53.6212553367956 -692.85041363372</f>
        <v>-1355.6840559802256</v>
      </c>
      <c r="J1680">
        <f>-642.403953405347 -32.3497505536734 -559.116377592496</f>
        <v>-1233.8700815515163</v>
      </c>
      <c r="K1680" t="s">
        <v>18589</v>
      </c>
      <c r="L1680" t="s">
        <v>18590</v>
      </c>
      <c r="M1680" t="s">
        <v>18591</v>
      </c>
      <c r="N1680">
        <f>-632.034214075259 -86.7871040211119 -559.556457733426</f>
        <v>-1278.377775829797</v>
      </c>
      <c r="O1680">
        <f>-608.657096597798 -219.210657991403 -530.977909394407</f>
        <v>-1358.8456639836081</v>
      </c>
      <c r="P1680">
        <f>-613.577554144183 -279.042024785507 -242.902874211189</f>
        <v>-1135.522453140879</v>
      </c>
      <c r="Q1680">
        <f>-447.807961871756 -117.046927544657 -308.697484777363</f>
        <v>-873.55237419377602</v>
      </c>
      <c r="R1680" t="s">
        <v>18592</v>
      </c>
      <c r="S1680" t="s">
        <v>18593</v>
      </c>
      <c r="T1680" t="s">
        <v>18594</v>
      </c>
      <c r="U1680" t="s">
        <v>18595</v>
      </c>
      <c r="V1680">
        <f>-586.306039833309 -139.615990724244 -97.3382143007685</f>
        <v>-823.26024485832147</v>
      </c>
      <c r="W1680" t="s">
        <v>18596</v>
      </c>
      <c r="X1680" t="s">
        <v>18597</v>
      </c>
      <c r="Y1680" t="s">
        <v>18598</v>
      </c>
    </row>
    <row r="1681" spans="1:25" x14ac:dyDescent="0.3">
      <c r="A1681">
        <v>84000</v>
      </c>
      <c r="B1681" t="s">
        <v>18599</v>
      </c>
      <c r="C1681">
        <f>-613.383420390267 -47.338136004184 -99.1097299853799</f>
        <v>-759.83128637983089</v>
      </c>
      <c r="D1681">
        <f>-631.506918595525 -56.0660870424618 -213.177999262708</f>
        <v>-900.75100490069485</v>
      </c>
      <c r="E1681">
        <f>-638.119325238441 -59.2115959454142 -311.529731877024</f>
        <v>-1008.8606530608791</v>
      </c>
      <c r="F1681">
        <f>-641.043950276614 -60.5686567065729 -400.568083872426</f>
        <v>-1102.180690855613</v>
      </c>
      <c r="G1681">
        <f>-640.541260637238 -60.4220418551774 -489.663325136377</f>
        <v>-1190.6266276287924</v>
      </c>
      <c r="H1681">
        <f>-636.218083604369 -58.7015029166113 -614.15910240316</f>
        <v>-1309.0786889241404</v>
      </c>
      <c r="I1681">
        <f>-610.135975243481 -53.7437782255654 -692.900188203343</f>
        <v>-1356.7799416723892</v>
      </c>
      <c r="J1681">
        <f>-643.19644909025 -32.2191861036335 -559.174467658156</f>
        <v>-1234.5901028520395</v>
      </c>
      <c r="K1681" t="s">
        <v>18600</v>
      </c>
      <c r="L1681" t="s">
        <v>18601</v>
      </c>
      <c r="M1681" t="s">
        <v>18602</v>
      </c>
      <c r="N1681">
        <f>-633.044641508852 -86.6980106774153 -559.57476412667</f>
        <v>-1279.3174163129372</v>
      </c>
      <c r="O1681">
        <f>-610.209747241939 -219.182423700943 -530.867530953628</f>
        <v>-1360.25970189651</v>
      </c>
      <c r="P1681">
        <f>-615.085222693411 -278.690511223355 -242.724863205565</f>
        <v>-1136.5005971223309</v>
      </c>
      <c r="Q1681">
        <f>-448.787511437143 -117.395955154217 -308.90642953996</f>
        <v>-875.08989613132007</v>
      </c>
      <c r="R1681" t="s">
        <v>18603</v>
      </c>
      <c r="S1681" t="s">
        <v>18604</v>
      </c>
      <c r="T1681" t="s">
        <v>18605</v>
      </c>
      <c r="U1681" t="s">
        <v>18606</v>
      </c>
      <c r="V1681">
        <f>-587.042045974604 -139.537039688963 -97.3816234277487</f>
        <v>-823.96070909131572</v>
      </c>
      <c r="W1681" t="s">
        <v>18607</v>
      </c>
      <c r="X1681" t="s">
        <v>18608</v>
      </c>
      <c r="Y1681" t="s">
        <v>18609</v>
      </c>
    </row>
    <row r="1682" spans="1:25" x14ac:dyDescent="0.3">
      <c r="A1682">
        <v>84050</v>
      </c>
      <c r="B1682" t="s">
        <v>18610</v>
      </c>
      <c r="C1682">
        <f>-613.628215434921 -47.3383576950616 -99.1301277622709</f>
        <v>-760.09670089225358</v>
      </c>
      <c r="D1682">
        <f>-631.834508747311 -56.0332942035611 -213.187757249682</f>
        <v>-901.05556020055417</v>
      </c>
      <c r="E1682">
        <f>-638.486931078674 -59.1743881711902 -311.536855402193</f>
        <v>-1009.1981746520573</v>
      </c>
      <c r="F1682">
        <f>-641.435980773205 -60.5356136030481 -400.574374451898</f>
        <v>-1102.545968828151</v>
      </c>
      <c r="G1682">
        <f>-640.945838464784 -60.4024486362782 -489.669826388898</f>
        <v>-1191.0181134899601</v>
      </c>
      <c r="H1682">
        <f>-636.627828321361 -58.7111358069153 -614.166053630671</f>
        <v>-1309.5050177589474</v>
      </c>
      <c r="I1682">
        <f>-610.537511320514 -53.8355743314136 -692.909574635059</f>
        <v>-1357.2826602869866</v>
      </c>
      <c r="J1682">
        <f>-643.534586071169 -32.203125819464 -559.184792626927</f>
        <v>-1234.9225045175599</v>
      </c>
      <c r="K1682" t="s">
        <v>18611</v>
      </c>
      <c r="L1682" t="s">
        <v>18612</v>
      </c>
      <c r="M1682" t="s">
        <v>18613</v>
      </c>
      <c r="N1682">
        <f>-633.521329614767 -86.7077075777513 -559.578030630816</f>
        <v>-1279.8070678233344</v>
      </c>
      <c r="O1682">
        <f>-611.049819589779 -219.256249113788 -530.834541784233</f>
        <v>-1361.1406104878001</v>
      </c>
      <c r="P1682">
        <f>-616.050602400474 -278.59280964887 -242.658571744606</f>
        <v>-1137.3019837939501</v>
      </c>
      <c r="Q1682">
        <f>-449.449058431342 -117.618885931567 -308.856978237235</f>
        <v>-875.92492260014399</v>
      </c>
      <c r="R1682" t="s">
        <v>18614</v>
      </c>
      <c r="S1682" t="s">
        <v>18615</v>
      </c>
      <c r="T1682" t="s">
        <v>18616</v>
      </c>
      <c r="U1682" t="s">
        <v>18617</v>
      </c>
      <c r="V1682">
        <f>-587.491407566002 -139.655268724678 -97.4043326196003</f>
        <v>-824.55100891028019</v>
      </c>
      <c r="W1682" t="s">
        <v>18618</v>
      </c>
      <c r="X1682" t="s">
        <v>18619</v>
      </c>
      <c r="Y1682" t="s">
        <v>18620</v>
      </c>
    </row>
    <row r="1683" spans="1:25" x14ac:dyDescent="0.3">
      <c r="A1683">
        <v>84100</v>
      </c>
      <c r="B1683" t="s">
        <v>18621</v>
      </c>
      <c r="C1683">
        <f>-614.085547579168 -47.1275128747442 -99.1467853913988</f>
        <v>-760.35984584531093</v>
      </c>
      <c r="D1683">
        <f>-632.474666845322 -55.7958828879574 -213.177048968329</f>
        <v>-901.4475987016084</v>
      </c>
      <c r="E1683">
        <f>-639.216108838247 -58.9130778458178 -311.520809814066</f>
        <v>-1009.6499964981308</v>
      </c>
      <c r="F1683">
        <f>-642.218530801365 -60.2508039167393 -400.557037575639</f>
        <v>-1103.0263722937434</v>
      </c>
      <c r="G1683">
        <f>-641.753854990954 -60.0954254988636 -489.652508472901</f>
        <v>-1191.5017889627186</v>
      </c>
      <c r="H1683">
        <f>-637.44198647456 -58.3749253615673 -614.148500550648</f>
        <v>-1309.9654123867754</v>
      </c>
      <c r="I1683">
        <f>-611.345752441595 -53.6696892271945 -692.900410590366</f>
        <v>-1357.9158522591556</v>
      </c>
      <c r="J1683">
        <f>-644.187974642643 -31.8511623370775 -559.154914627269</f>
        <v>-1235.1940516069894</v>
      </c>
      <c r="K1683" t="s">
        <v>18622</v>
      </c>
      <c r="L1683" t="s">
        <v>18623</v>
      </c>
      <c r="M1683" t="s">
        <v>18624</v>
      </c>
      <c r="N1683">
        <f>-634.490836051429 -86.4127587091834 -559.572980090072</f>
        <v>-1280.4765748506843</v>
      </c>
      <c r="O1683">
        <f>-612.833978405369 -219.093936230138 -530.833830774246</f>
        <v>-1362.7617454097531</v>
      </c>
      <c r="P1683">
        <f>-618.368785924503 -278.276916703972 -242.635985489419</f>
        <v>-1139.281688117894</v>
      </c>
      <c r="Q1683">
        <f>-450.898737522199 -118.129717946545 -308.647479290058</f>
        <v>-877.67593475880199</v>
      </c>
      <c r="R1683" t="s">
        <v>18625</v>
      </c>
      <c r="S1683" t="s">
        <v>18626</v>
      </c>
      <c r="T1683" t="s">
        <v>18627</v>
      </c>
      <c r="U1683" t="s">
        <v>18628</v>
      </c>
      <c r="V1683">
        <f>-588.496377663431 -139.230228912094 -97.3906500274342</f>
        <v>-825.11725660295917</v>
      </c>
      <c r="W1683" t="s">
        <v>18629</v>
      </c>
      <c r="X1683" t="s">
        <v>18630</v>
      </c>
      <c r="Y1683" t="s">
        <v>18631</v>
      </c>
    </row>
    <row r="1684" spans="1:25" x14ac:dyDescent="0.3">
      <c r="A1684">
        <v>84150</v>
      </c>
      <c r="B1684" t="s">
        <v>18632</v>
      </c>
      <c r="C1684">
        <f>-614.286108055977 -47.0886366640194 -99.1287526115906</f>
        <v>-760.50349733158703</v>
      </c>
      <c r="D1684">
        <f>-632.753285075094 -55.7389050883019 -213.147811332227</f>
        <v>-901.64000149562287</v>
      </c>
      <c r="E1684">
        <f>-639.548181130638 -58.8366481522442 -311.488590869076</f>
        <v>-1009.8734201519582</v>
      </c>
      <c r="F1684">
        <f>-642.593351212782 -60.1543684310219 -400.523446747442</f>
        <v>-1103.271166391246</v>
      </c>
      <c r="G1684">
        <f>-642.16565271502 -59.9778488857881 -489.619119116567</f>
        <v>-1191.7626207173751</v>
      </c>
      <c r="H1684">
        <f>-637.899109905815 -58.2271012456753 -614.116342889727</f>
        <v>-1310.2425540412173</v>
      </c>
      <c r="I1684">
        <f>-611.782306263871 -53.5899641683429 -692.865598698077</f>
        <v>-1358.2378691302908</v>
      </c>
      <c r="J1684">
        <f>-644.550632914953 -31.7037061565254 -559.111020548559</f>
        <v>-1235.3653596200375</v>
      </c>
      <c r="K1684" t="s">
        <v>18633</v>
      </c>
      <c r="L1684" t="s">
        <v>18634</v>
      </c>
      <c r="M1684" t="s">
        <v>18635</v>
      </c>
      <c r="N1684">
        <f>-635.002593610556 -86.291295544277 -559.551465413433</f>
        <v>-1280.845354568266</v>
      </c>
      <c r="O1684">
        <f>-613.71261678169 -219.033264009234 -530.840409193235</f>
        <v>-1363.5862899841591</v>
      </c>
      <c r="P1684">
        <f>-619.59209555762 -278.114634471953 -242.628602243013</f>
        <v>-1140.3353322725861</v>
      </c>
      <c r="Q1684">
        <f>-451.663004910992 -118.383679945915 -308.48237410564</f>
        <v>-878.52905896254708</v>
      </c>
      <c r="R1684" t="s">
        <v>18636</v>
      </c>
      <c r="S1684" t="s">
        <v>18637</v>
      </c>
      <c r="T1684" t="s">
        <v>18638</v>
      </c>
      <c r="U1684" t="s">
        <v>18639</v>
      </c>
      <c r="V1684">
        <f>-588.793835273676 -139.280235623061 -97.3778135352304</f>
        <v>-825.45188443196741</v>
      </c>
      <c r="W1684" t="s">
        <v>18640</v>
      </c>
      <c r="X1684" t="s">
        <v>18641</v>
      </c>
      <c r="Y1684" t="s">
        <v>18642</v>
      </c>
    </row>
    <row r="1685" spans="1:25" x14ac:dyDescent="0.3">
      <c r="A1685">
        <v>84200</v>
      </c>
      <c r="B1685" t="s">
        <v>18643</v>
      </c>
      <c r="C1685">
        <f>-614.456444267756 -47.3784738978552 -99.0809645357222</f>
        <v>-760.91588270133332</v>
      </c>
      <c r="D1685">
        <f>-633.090842348614 -55.9886866697072 -213.075914452194</f>
        <v>-902.15544347051537</v>
      </c>
      <c r="E1685">
        <f>-640.027995400947 -59.0685772875455 -311.407149566951</f>
        <v>-1010.5037222554436</v>
      </c>
      <c r="F1685">
        <f>-643.202111617391 -60.3747530085556 -400.437903756964</f>
        <v>-1104.0147683829105</v>
      </c>
      <c r="G1685">
        <f>-642.902901949936 -60.1928558547103 -489.533982752271</f>
        <v>-1192.6297405569173</v>
      </c>
      <c r="H1685">
        <f>-638.8155248547 -58.4414211497923 -614.037180919818</f>
        <v>-1311.2941269243101</v>
      </c>
      <c r="I1685">
        <f>-612.643162276162 -53.9006219170241 -692.773441616385</f>
        <v>-1359.317225809571</v>
      </c>
      <c r="J1685">
        <f>-645.256424696272 -31.8957053489041 -559.017648382419</f>
        <v>-1236.1697784275952</v>
      </c>
      <c r="K1685" t="s">
        <v>18644</v>
      </c>
      <c r="L1685" t="s">
        <v>18645</v>
      </c>
      <c r="M1685" t="s">
        <v>18646</v>
      </c>
      <c r="N1685">
        <f>-635.971929397301 -86.5285463714528 -559.481257311574</f>
        <v>-1281.9817330803278</v>
      </c>
      <c r="O1685">
        <f>-615.278589433424 -219.364166366168 -530.789219379285</f>
        <v>-1365.4319751788771</v>
      </c>
      <c r="P1685">
        <f>-621.320429209099 -278.413488252398 -242.574354227037</f>
        <v>-1142.308271688534</v>
      </c>
      <c r="Q1685">
        <f>-452.754410698811 -119.319264521638 -308.341980243623</f>
        <v>-880.41565546407196</v>
      </c>
      <c r="R1685" t="s">
        <v>18647</v>
      </c>
      <c r="S1685" t="s">
        <v>18648</v>
      </c>
      <c r="T1685" t="s">
        <v>18649</v>
      </c>
      <c r="U1685" t="s">
        <v>18650</v>
      </c>
      <c r="V1685">
        <f>-589.200095721608 -139.748622797043 -97.3518779703011</f>
        <v>-826.30059648895212</v>
      </c>
      <c r="W1685" t="s">
        <v>18651</v>
      </c>
      <c r="X1685" t="s">
        <v>18652</v>
      </c>
      <c r="Y1685" t="s">
        <v>18653</v>
      </c>
    </row>
    <row r="1686" spans="1:25" x14ac:dyDescent="0.3">
      <c r="A1686">
        <v>84250</v>
      </c>
      <c r="B1686" t="s">
        <v>18654</v>
      </c>
      <c r="C1686">
        <f>-614.506768989962 -47.5681599647772 -99.0655340038445</f>
        <v>-761.14046295858373</v>
      </c>
      <c r="D1686">
        <f>-633.247304082771 -56.1873562589751 -213.042260726754</f>
        <v>-902.47692106850013</v>
      </c>
      <c r="E1686">
        <f>-640.27388913594 -59.27268491145 -311.3670614011</f>
        <v>-1010.9136354484899</v>
      </c>
      <c r="F1686">
        <f>-643.527863532493 -60.5821818722377 -400.394821888344</f>
        <v>-1104.5048672930748</v>
      </c>
      <c r="G1686">
        <f>-643.307628849719 -60.4027263179144 -489.491136226013</f>
        <v>-1193.2014913936464</v>
      </c>
      <c r="H1686">
        <f>-639.329338591426 -58.6539882847422 -613.997909847988</f>
        <v>-1311.9812367241561</v>
      </c>
      <c r="I1686">
        <f>-613.151365222986 -54.1561796620643 -692.734905458857</f>
        <v>-1360.0424503439074</v>
      </c>
      <c r="J1686">
        <f>-645.670675641161 -32.098478412229 -558.971587796632</f>
        <v>-1236.740741850022</v>
      </c>
      <c r="K1686" t="s">
        <v>18655</v>
      </c>
      <c r="L1686" t="s">
        <v>18656</v>
      </c>
      <c r="M1686" t="s">
        <v>18657</v>
      </c>
      <c r="N1686">
        <f>-636.489321246632 -86.7486541513179 -559.445831287237</f>
        <v>-1282.6838066851869</v>
      </c>
      <c r="O1686">
        <f>-616.036921218563 -219.622910584307 -530.759337216855</f>
        <v>-1366.4191690197249</v>
      </c>
      <c r="P1686">
        <f>-621.940660350456 -278.720285576964 -242.551179090102</f>
        <v>-1143.2121250175221</v>
      </c>
      <c r="Q1686">
        <f>-453.158886496564 -119.917255085786 -308.46915174571</f>
        <v>-881.54529332805987</v>
      </c>
      <c r="R1686" t="s">
        <v>18658</v>
      </c>
      <c r="S1686" t="s">
        <v>18659</v>
      </c>
      <c r="T1686" t="s">
        <v>18660</v>
      </c>
      <c r="U1686" t="s">
        <v>18661</v>
      </c>
      <c r="V1686">
        <f>-589.397455835218 -139.890481103908 -97.3283230790601</f>
        <v>-826.61626001818604</v>
      </c>
      <c r="W1686" t="s">
        <v>18662</v>
      </c>
      <c r="X1686" t="s">
        <v>18663</v>
      </c>
      <c r="Y1686" t="s">
        <v>18664</v>
      </c>
    </row>
    <row r="1687" spans="1:25" x14ac:dyDescent="0.3">
      <c r="A1687">
        <v>84300</v>
      </c>
      <c r="B1687" t="s">
        <v>18665</v>
      </c>
      <c r="C1687">
        <f>-614.669264154229 -47.8750281688966 -99.0287226355083</f>
        <v>-761.57301495863396</v>
      </c>
      <c r="D1687">
        <f>-633.565110019015 -56.508736956755 -212.97883624536</f>
        <v>-903.05268322113</v>
      </c>
      <c r="E1687">
        <f>-640.722945261252 -59.6043174962382 -311.293791013968</f>
        <v>-1011.6210537714583</v>
      </c>
      <c r="F1687">
        <f>-644.09480637272 -60.9214591100214 -400.317123443088</f>
        <v>-1105.3333889258292</v>
      </c>
      <c r="G1687">
        <f>-643.991021312597 -60.7493012596185 -489.413589110874</f>
        <v>-1194.1539116830895</v>
      </c>
      <c r="H1687">
        <f>-640.173998383687 -59.0105114492409 -613.925603279897</f>
        <v>-1313.1101131128248</v>
      </c>
      <c r="I1687">
        <f>-613.963786195816 -54.5476468972765 -692.653830927398</f>
        <v>-1361.1652640204907</v>
      </c>
      <c r="J1687">
        <f>-646.380497709472 -32.4399666247173 -558.891042082975</f>
        <v>-1237.7115064171644</v>
      </c>
      <c r="K1687" t="s">
        <v>18666</v>
      </c>
      <c r="L1687" t="s">
        <v>18667</v>
      </c>
      <c r="M1687" t="s">
        <v>18668</v>
      </c>
      <c r="N1687">
        <f>-637.326892211032 -87.1113209759541 -559.377043512515</f>
        <v>-1283.8152566995011</v>
      </c>
      <c r="O1687">
        <f>-617.176705276189 -220.046498118949 -530.72444227411</f>
        <v>-1367.9476456692478</v>
      </c>
      <c r="P1687">
        <f>-622.805483044882 -279.027972275594 -242.487179780307</f>
        <v>-1144.320635100783</v>
      </c>
      <c r="Q1687">
        <f>-453.67286823842 -120.787253157088 -308.856609983229</f>
        <v>-883.3167313787369</v>
      </c>
      <c r="R1687" t="s">
        <v>18669</v>
      </c>
      <c r="S1687" t="s">
        <v>18670</v>
      </c>
      <c r="T1687" t="s">
        <v>18671</v>
      </c>
      <c r="U1687" t="s">
        <v>18672</v>
      </c>
      <c r="V1687">
        <f>-589.747918848012 -140.103101203866 -97.2744154305866</f>
        <v>-827.12543548246458</v>
      </c>
      <c r="W1687" t="s">
        <v>18673</v>
      </c>
      <c r="X1687" t="s">
        <v>18674</v>
      </c>
      <c r="Y1687" t="s">
        <v>18675</v>
      </c>
    </row>
    <row r="1688" spans="1:25" x14ac:dyDescent="0.3">
      <c r="A1688">
        <v>84350</v>
      </c>
      <c r="B1688" t="s">
        <v>18676</v>
      </c>
      <c r="C1688">
        <f>-614.746633181768 -48.0307615262429 -99.0090218097203</f>
        <v>-761.78641651773114</v>
      </c>
      <c r="D1688">
        <f>-633.693187470043 -56.6750178039463 -212.949897365643</f>
        <v>-903.31810263963223</v>
      </c>
      <c r="E1688">
        <f>-640.893037351382 -59.7721830825093 -311.261879177701</f>
        <v>-1011.9270996115922</v>
      </c>
      <c r="F1688">
        <f>-644.302186047886 -61.0873065138051 -400.28359141096</f>
        <v>-1105.6730839726511</v>
      </c>
      <c r="G1688">
        <f>-644.234958378244 -60.9100751650117 -489.380247520923</f>
        <v>-1194.5252810641787</v>
      </c>
      <c r="H1688">
        <f>-640.467986488749 -59.1607979967764 -613.893578968737</f>
        <v>-1313.5223634542624</v>
      </c>
      <c r="I1688">
        <f>-614.259708533801 -54.7017039049492 -692.622624433362</f>
        <v>-1361.5840368721124</v>
      </c>
      <c r="J1688">
        <f>-646.633403555636 -32.5916186290917 -558.853699990245</f>
        <v>-1238.0787221749729</v>
      </c>
      <c r="K1688" t="s">
        <v>18677</v>
      </c>
      <c r="L1688" t="s">
        <v>18678</v>
      </c>
      <c r="M1688" t="s">
        <v>18679</v>
      </c>
      <c r="N1688">
        <f>-637.617872932787 -87.2693376686049 -559.349089736285</f>
        <v>-1284.2363003376768</v>
      </c>
      <c r="O1688">
        <f>-617.556166144446 -220.214756231965 -530.693391128823</f>
        <v>-1368.464313505234</v>
      </c>
      <c r="P1688">
        <f>-622.948039996498 -279.189692055033 -242.450271064813</f>
        <v>-1144.588003116344</v>
      </c>
      <c r="Q1688">
        <f>-453.792835352391 -121.084127385281 -309.083790483102</f>
        <v>-883.960753220774</v>
      </c>
      <c r="R1688" t="s">
        <v>18680</v>
      </c>
      <c r="S1688" t="s">
        <v>18681</v>
      </c>
      <c r="T1688" t="s">
        <v>18682</v>
      </c>
      <c r="U1688" t="s">
        <v>18683</v>
      </c>
      <c r="V1688">
        <f>-589.858551633238 -140.294883473484 -97.2583536770092</f>
        <v>-827.41178878373114</v>
      </c>
      <c r="W1688" t="s">
        <v>18684</v>
      </c>
      <c r="X1688" t="s">
        <v>18685</v>
      </c>
      <c r="Y1688" t="s">
        <v>18686</v>
      </c>
    </row>
    <row r="1689" spans="1:25" x14ac:dyDescent="0.3">
      <c r="A1689">
        <v>84400</v>
      </c>
      <c r="B1689" t="s">
        <v>18687</v>
      </c>
      <c r="C1689">
        <f>-614.92861228933 -48.349214298019 -99.0152320364518</f>
        <v>-762.29305862380079</v>
      </c>
      <c r="D1689">
        <f>-633.90968281231 -57.0271812207545 -212.94778622862</f>
        <v>-903.88465026168456</v>
      </c>
      <c r="E1689">
        <f>-641.163591479596 -60.1484991709632 -311.25496803062</f>
        <v>-1012.5670586811791</v>
      </c>
      <c r="F1689">
        <f>-644.631369525663 -61.4829871663482 -400.274281058448</f>
        <v>-1106.3886377504591</v>
      </c>
      <c r="G1689">
        <f>-644.632515313886 -61.3224954880432 -489.370949544618</f>
        <v>-1195.3259603465472</v>
      </c>
      <c r="H1689">
        <f>-640.971247558667 -59.5938651264452 -613.887658625629</f>
        <v>-1314.4527713107411</v>
      </c>
      <c r="I1689">
        <f>-614.741182124459 -55.1387869767041 -692.609669947777</f>
        <v>-1362.48963904894</v>
      </c>
      <c r="J1689">
        <f>-647.082616962899 -33.0145535507831 -558.846738845905</f>
        <v>-1238.943909359587</v>
      </c>
      <c r="K1689" t="s">
        <v>18688</v>
      </c>
      <c r="L1689" t="s">
        <v>18689</v>
      </c>
      <c r="M1689" t="s">
        <v>18690</v>
      </c>
      <c r="N1689">
        <f>-638.08219060032 -87.6945959954666 -559.341299729875</f>
        <v>-1285.1180863256616</v>
      </c>
      <c r="O1689">
        <f>-618.033215428836 -220.636033415004 -530.672668777289</f>
        <v>-1369.3419176211291</v>
      </c>
      <c r="P1689">
        <f>-623.133692044678 -279.497036784828 -242.400970603814</f>
        <v>-1145.03169943332</v>
      </c>
      <c r="Q1689">
        <f>-453.946072168557 -121.538773709287 -309.300825283341</f>
        <v>-884.78567116118506</v>
      </c>
      <c r="R1689" t="s">
        <v>18691</v>
      </c>
      <c r="S1689" t="s">
        <v>18692</v>
      </c>
      <c r="T1689" t="s">
        <v>18693</v>
      </c>
      <c r="U1689" t="s">
        <v>18694</v>
      </c>
      <c r="V1689">
        <f>-590.092529304548 -140.645563045486 -97.2344083663335</f>
        <v>-827.97250071636745</v>
      </c>
      <c r="W1689" t="s">
        <v>18695</v>
      </c>
      <c r="X1689" t="s">
        <v>18696</v>
      </c>
      <c r="Y1689" t="s">
        <v>18697</v>
      </c>
    </row>
    <row r="1690" spans="1:25" x14ac:dyDescent="0.3">
      <c r="A1690">
        <v>84450</v>
      </c>
      <c r="B1690" t="s">
        <v>18698</v>
      </c>
      <c r="C1690">
        <f>-615.05016324296 -48.3814392906887 -99.0269979709144</f>
        <v>-762.45860050456315</v>
      </c>
      <c r="D1690">
        <f>-634.028614900945 -57.0733029147098 -212.958998970672</f>
        <v>-904.06091678632674</v>
      </c>
      <c r="E1690">
        <f>-641.296439835977 -60.215934784045 -311.264441097012</f>
        <v>-1012.776815717034</v>
      </c>
      <c r="F1690">
        <f>-644.783505139848 -61.5735451973311 -400.282637892135</f>
        <v>-1106.6396882293141</v>
      </c>
      <c r="G1690">
        <f>-644.810458966324 -61.4396250521771 -489.379344266756</f>
        <v>-1195.6294282852571</v>
      </c>
      <c r="H1690">
        <f>-641.192446702875 -59.7519428627005 -613.8979407801</f>
        <v>-1314.8423303456757</v>
      </c>
      <c r="I1690">
        <f>-614.963193141707 -55.3084777811384 -692.620984225514</f>
        <v>-1362.8926551483596</v>
      </c>
      <c r="J1690">
        <f>-647.286531194555 -33.1546789369668 -558.863683567876</f>
        <v>-1239.3048936993978</v>
      </c>
      <c r="K1690" t="s">
        <v>18699</v>
      </c>
      <c r="L1690" t="s">
        <v>18700</v>
      </c>
      <c r="M1690" t="s">
        <v>18701</v>
      </c>
      <c r="N1690">
        <f>-638.282583755833 -87.834407517443 -559.343102504227</f>
        <v>-1285.4600937775031</v>
      </c>
      <c r="O1690">
        <f>-618.208669687199 -220.764604595137 -530.628944177377</f>
        <v>-1369.602218459713</v>
      </c>
      <c r="P1690">
        <f>-623.160414599063 -279.585486827955 -242.346439322822</f>
        <v>-1145.0923407498399</v>
      </c>
      <c r="Q1690">
        <f>-454.025806161696 -121.57399641791 -309.254904634873</f>
        <v>-884.85470721447894</v>
      </c>
      <c r="R1690" t="s">
        <v>18702</v>
      </c>
      <c r="S1690" t="s">
        <v>18703</v>
      </c>
      <c r="T1690" t="s">
        <v>18704</v>
      </c>
      <c r="U1690" t="s">
        <v>18705</v>
      </c>
      <c r="V1690">
        <f>-590.204761816046 -140.622223550914 -97.2394258620699</f>
        <v>-828.06641122902988</v>
      </c>
      <c r="W1690" t="s">
        <v>18706</v>
      </c>
      <c r="X1690" t="s">
        <v>18707</v>
      </c>
      <c r="Y1690" t="s">
        <v>18708</v>
      </c>
    </row>
    <row r="1691" spans="1:25" x14ac:dyDescent="0.3">
      <c r="A1691">
        <v>84500</v>
      </c>
      <c r="B1691" t="s">
        <v>18709</v>
      </c>
      <c r="C1691">
        <f>-615.138252972539 -48.5200405193102 -99.0480270962184</f>
        <v>-762.70632058806768</v>
      </c>
      <c r="D1691">
        <f>-634.128313868438 -57.2490567913036 -212.975050027515</f>
        <v>-904.35242068725665</v>
      </c>
      <c r="E1691">
        <f>-641.404596235849 -60.4306301116342 -311.278757258796</f>
        <v>-1013.1139836062791</v>
      </c>
      <c r="F1691">
        <f>-644.898723633858 -61.826251117983 -400.296023726689</f>
        <v>-1107.0209984785301</v>
      </c>
      <c r="G1691">
        <f>-644.9325218809 -61.7329975425894 -489.392842172312</f>
        <v>-1196.0583615958014</v>
      </c>
      <c r="H1691">
        <f>-641.323698285805 -60.104522241871 -613.912360225469</f>
        <v>-1315.3405807531449</v>
      </c>
      <c r="I1691">
        <f>-615.053212423644 -55.6716340455795 -692.622291029003</f>
        <v>-1363.3471374982264</v>
      </c>
      <c r="J1691">
        <f>-647.430720803846 -33.4840116627227 -558.890925269172</f>
        <v>-1239.8056577357406</v>
      </c>
      <c r="K1691" t="s">
        <v>18710</v>
      </c>
      <c r="L1691" t="s">
        <v>18711</v>
      </c>
      <c r="M1691" t="s">
        <v>18712</v>
      </c>
      <c r="N1691">
        <f>-638.392775853406 -88.1582803664245 -559.344052508598</f>
        <v>-1285.8951087284286</v>
      </c>
      <c r="O1691">
        <f>-618.248129773654 -221.057669983714 -530.532196174407</f>
        <v>-1369.8379959317749</v>
      </c>
      <c r="P1691">
        <f>-623.189500820574 -279.508387123598 -242.174174449848</f>
        <v>-1144.8720623940201</v>
      </c>
      <c r="Q1691">
        <f>-454.036488041367 -121.585327641587 -309.244724632936</f>
        <v>-884.86654031589001</v>
      </c>
      <c r="R1691" t="s">
        <v>18713</v>
      </c>
      <c r="S1691" t="s">
        <v>18714</v>
      </c>
      <c r="T1691" t="s">
        <v>18715</v>
      </c>
      <c r="U1691" t="s">
        <v>18716</v>
      </c>
      <c r="V1691">
        <f>-590.217908963128 -140.789143057357 -97.2357468627099</f>
        <v>-828.24279888319495</v>
      </c>
      <c r="W1691" t="s">
        <v>18717</v>
      </c>
      <c r="X1691" t="s">
        <v>18718</v>
      </c>
      <c r="Y1691" t="s">
        <v>18719</v>
      </c>
    </row>
    <row r="1692" spans="1:25" x14ac:dyDescent="0.3">
      <c r="A1692">
        <v>84550</v>
      </c>
      <c r="B1692" t="s">
        <v>18720</v>
      </c>
      <c r="C1692">
        <f>-615.104891318931 -48.5630459479497 -99.0676919631159</f>
        <v>-762.73562922999656</v>
      </c>
      <c r="D1692">
        <f>-634.117334326596 -57.3226394744008 -212.988787827942</f>
        <v>-904.4287616289389</v>
      </c>
      <c r="E1692">
        <f>-641.390025624619 -60.5378419033179 -311.291555217012</f>
        <v>-1013.219422744949</v>
      </c>
      <c r="F1692">
        <f>-644.871742370806 -61.9674014317297 -400.308793373099</f>
        <v>-1107.1479371756348</v>
      </c>
      <c r="G1692">
        <f>-644.88409802386 -61.9116740013583 -489.405567161257</f>
        <v>-1196.2013391864753</v>
      </c>
      <c r="H1692">
        <f>-641.235796548398 -60.3392506650385 -613.924729773799</f>
        <v>-1315.4997769872355</v>
      </c>
      <c r="I1692">
        <f>-614.941330953687 -55.9319243122618 -692.628032322727</f>
        <v>-1363.501287588676</v>
      </c>
      <c r="J1692">
        <f>-647.367707012343 -33.6951810994065 -558.917417674577</f>
        <v>-1239.9803057863264</v>
      </c>
      <c r="K1692" t="s">
        <v>18721</v>
      </c>
      <c r="L1692" t="s">
        <v>18722</v>
      </c>
      <c r="M1692" t="s">
        <v>18723</v>
      </c>
      <c r="N1692">
        <f>-638.314767754017 -88.3671373809068 -559.342657093592</f>
        <v>-1286.0245622285158</v>
      </c>
      <c r="O1692">
        <f>-618.130845958893 -221.246273943515 -530.473165347637</f>
        <v>-1369.8502852500451</v>
      </c>
      <c r="P1692">
        <f>-623.084098086007 -279.536458534026 -242.082848342944</f>
        <v>-1144.7034049629769</v>
      </c>
      <c r="Q1692">
        <f>-454.008314944828 -121.593750919831 -309.301584591925</f>
        <v>-884.90365045658393</v>
      </c>
      <c r="R1692" t="s">
        <v>18724</v>
      </c>
      <c r="S1692" t="s">
        <v>18725</v>
      </c>
      <c r="T1692" t="s">
        <v>18726</v>
      </c>
      <c r="U1692" t="s">
        <v>18727</v>
      </c>
      <c r="V1692">
        <f>-590.163115461682 -140.829280540946 -97.2395528961822</f>
        <v>-828.23194889881017</v>
      </c>
      <c r="W1692" t="s">
        <v>18728</v>
      </c>
      <c r="X1692" t="s">
        <v>18729</v>
      </c>
      <c r="Y1692" t="s">
        <v>18730</v>
      </c>
    </row>
    <row r="1693" spans="1:25" x14ac:dyDescent="0.3">
      <c r="A1693">
        <v>84600</v>
      </c>
      <c r="B1693" t="s">
        <v>18731</v>
      </c>
      <c r="C1693">
        <f>-615.059195292623 -48.6340329959334 -99.0787353211044</f>
        <v>-762.77196360966082</v>
      </c>
      <c r="D1693">
        <f>-634.129777504495 -57.4345380715843 -212.986965333477</f>
        <v>-904.55128090955623</v>
      </c>
      <c r="E1693">
        <f>-641.434640573464 -60.7063139114861 -311.285516943052</f>
        <v>-1013.4264714280021</v>
      </c>
      <c r="F1693">
        <f>-644.938899295518 -62.1956770922257 -400.300874030944</f>
        <v>-1107.4354504186877</v>
      </c>
      <c r="G1693">
        <f>-644.967064966331 -62.2081113078452 -489.397752843685</f>
        <v>-1196.5729291178613</v>
      </c>
      <c r="H1693">
        <f>-641.334412732371 -60.7397981845016 -613.918592138049</f>
        <v>-1315.9928030549218</v>
      </c>
      <c r="I1693">
        <f>-614.992026340278 -56.3739340428778 -692.608139597614</f>
        <v>-1363.9740999807698</v>
      </c>
      <c r="J1693">
        <f>-647.473805923578 -34.0520532405151 -558.93334430782</f>
        <v>-1240.459203471913</v>
      </c>
      <c r="K1693" t="s">
        <v>18732</v>
      </c>
      <c r="L1693" t="s">
        <v>18733</v>
      </c>
      <c r="M1693" t="s">
        <v>18734</v>
      </c>
      <c r="N1693">
        <f>-638.39214770737 -88.7196749525929 -559.312897670961</f>
        <v>-1286.4247203309237</v>
      </c>
      <c r="O1693">
        <f>-618.129169074025 -221.55295472414 -530.297005006926</f>
        <v>-1369.979128805091</v>
      </c>
      <c r="P1693">
        <f>-622.907053878195 -279.472826740981 -241.82924260006</f>
        <v>-1144.2091232192361</v>
      </c>
      <c r="Q1693">
        <f>-454.007854967121 -121.56090053123 -309.562037577935</f>
        <v>-885.13079307628595</v>
      </c>
      <c r="R1693" t="s">
        <v>18735</v>
      </c>
      <c r="S1693" t="s">
        <v>18736</v>
      </c>
      <c r="T1693" t="s">
        <v>18737</v>
      </c>
      <c r="U1693" t="s">
        <v>18738</v>
      </c>
      <c r="V1693">
        <f>-590.105196598926 -140.840906285577 -97.2290747988736</f>
        <v>-828.17517768337666</v>
      </c>
      <c r="W1693" t="s">
        <v>18739</v>
      </c>
      <c r="X1693" t="s">
        <v>18740</v>
      </c>
      <c r="Y1693" t="s">
        <v>18741</v>
      </c>
    </row>
    <row r="1694" spans="1:25" x14ac:dyDescent="0.3">
      <c r="A1694">
        <v>84650</v>
      </c>
      <c r="B1694" t="s">
        <v>18742</v>
      </c>
      <c r="C1694">
        <f>-615.048876689962 -48.5741353498317 -99.0737770580841</f>
        <v>-762.69678909787785</v>
      </c>
      <c r="D1694">
        <f>-634.153281495061 -57.399469876714 -212.974537659592</f>
        <v>-904.52728903136699</v>
      </c>
      <c r="E1694">
        <f>-641.488408611866 -60.7007600952077 -311.269600720951</f>
        <v>-1013.4587694280247</v>
      </c>
      <c r="F1694">
        <f>-645.020503635374 -62.2199780934028 -400.283500679784</f>
        <v>-1107.5239824085609</v>
      </c>
      <c r="G1694">
        <f>-645.077467440281 -62.2653364673063 -489.380279999172</f>
        <v>-1196.7230839067593</v>
      </c>
      <c r="H1694">
        <f>-641.485667042744 -60.8462601924125 -613.903010551822</f>
        <v>-1316.2349377869787</v>
      </c>
      <c r="I1694">
        <f>-615.107670789987 -56.4939697184333 -692.58137501029</f>
        <v>-1364.1830155187104</v>
      </c>
      <c r="J1694">
        <f>-647.613225595401 -34.1378233857138 -558.926378800258</f>
        <v>-1240.6774277813729</v>
      </c>
      <c r="K1694" t="s">
        <v>18743</v>
      </c>
      <c r="L1694" t="s">
        <v>18744</v>
      </c>
      <c r="M1694" t="s">
        <v>18745</v>
      </c>
      <c r="N1694">
        <f>-638.519210496275 -88.8035518064129 -559.286983358676</f>
        <v>-1286.6097456613638</v>
      </c>
      <c r="O1694">
        <f>-618.204573318938 -221.620633501597 -530.202792674335</f>
        <v>-1370.0279994948701</v>
      </c>
      <c r="P1694">
        <f>-622.791240167214 -279.360871715628 -241.695880698226</f>
        <v>-1143.847992581068</v>
      </c>
      <c r="Q1694">
        <f>-454.020940606732 -121.446045607016 -309.742646506337</f>
        <v>-885.20963272008498</v>
      </c>
      <c r="R1694" t="s">
        <v>18746</v>
      </c>
      <c r="S1694" t="s">
        <v>18747</v>
      </c>
      <c r="T1694" t="s">
        <v>18748</v>
      </c>
      <c r="U1694" t="s">
        <v>18749</v>
      </c>
      <c r="V1694">
        <f>-590.109826917159 -140.689803541494 -97.2167792954683</f>
        <v>-828.01640975412136</v>
      </c>
      <c r="W1694" t="s">
        <v>18750</v>
      </c>
      <c r="X1694" t="s">
        <v>18751</v>
      </c>
      <c r="Y1694" t="s">
        <v>18752</v>
      </c>
    </row>
    <row r="1695" spans="1:25" x14ac:dyDescent="0.3">
      <c r="A1695">
        <v>84700</v>
      </c>
      <c r="B1695" t="s">
        <v>18753</v>
      </c>
      <c r="C1695">
        <f>-615.118813889408 -48.7452807750785 -99.0884758536054</f>
        <v>-762.95257051809187</v>
      </c>
      <c r="D1695">
        <f>-634.262100192864 -57.611655548946 -212.979361814874</f>
        <v>-904.85311755668397</v>
      </c>
      <c r="E1695">
        <f>-641.639164023357 -60.9668814554361 -311.269687915749</f>
        <v>-1013.8757333945421</v>
      </c>
      <c r="F1695">
        <f>-645.213004217603 -62.5422878989524 -400.280879692008</f>
        <v>-1108.0361718085635</v>
      </c>
      <c r="G1695">
        <f>-645.315481553454 -62.6509718213086 -489.37745508719</f>
        <v>-1197.3439084619527</v>
      </c>
      <c r="H1695">
        <f>-641.791501352672 -61.3277381265209 -613.903173518111</f>
        <v>-1317.0224129973039</v>
      </c>
      <c r="I1695">
        <f>-615.349333822441 -57.0054602585867 -692.561788084513</f>
        <v>-1364.9165821655406</v>
      </c>
      <c r="J1695">
        <f>-647.888470061479 -34.5769479862506 -558.943795053595</f>
        <v>-1241.4092131013244</v>
      </c>
      <c r="K1695" t="s">
        <v>18754</v>
      </c>
      <c r="L1695" t="s">
        <v>18755</v>
      </c>
      <c r="M1695" t="s">
        <v>18756</v>
      </c>
      <c r="N1695">
        <f>-638.795999546862 -89.2431256565901 -559.267435963223</f>
        <v>-1287.3065611666752</v>
      </c>
      <c r="O1695">
        <f>-618.463903138314 -222.019493241066 -530.041775131887</f>
        <v>-1370.525171511267</v>
      </c>
      <c r="P1695">
        <f>-622.630128870918 -279.36951610701 -241.450705740716</f>
        <v>-1143.4503507186441</v>
      </c>
      <c r="Q1695">
        <f>-453.87713710067 -121.652598280585 -309.997498848312</f>
        <v>-885.52723422956706</v>
      </c>
      <c r="R1695" t="s">
        <v>18757</v>
      </c>
      <c r="S1695" t="s">
        <v>18758</v>
      </c>
      <c r="T1695" t="s">
        <v>18759</v>
      </c>
      <c r="U1695" t="s">
        <v>18760</v>
      </c>
      <c r="V1695">
        <f>-590.157876449059 -140.933945856813 -97.2161656895702</f>
        <v>-828.3079879954422</v>
      </c>
      <c r="W1695" t="s">
        <v>18761</v>
      </c>
      <c r="X1695" t="s">
        <v>18762</v>
      </c>
      <c r="Y1695" t="s">
        <v>18763</v>
      </c>
    </row>
    <row r="1696" spans="1:25" x14ac:dyDescent="0.3">
      <c r="A1696">
        <v>84750</v>
      </c>
      <c r="B1696" t="s">
        <v>18764</v>
      </c>
      <c r="C1696">
        <f>-615.211829562027 -48.7824900971189 -99.1024611958056</f>
        <v>-763.09678085495148</v>
      </c>
      <c r="D1696">
        <f>-634.382301748908 -57.6693322359326 -212.987193586731</f>
        <v>-905.03882757157169</v>
      </c>
      <c r="E1696">
        <f>-641.779490638287 -61.0523327360359 -311.275038798589</f>
        <v>-1014.1068621729119</v>
      </c>
      <c r="F1696">
        <f>-645.370050663894 -62.657136497855 -400.285050870221</f>
        <v>-1108.3122380319701</v>
      </c>
      <c r="G1696">
        <f>-645.487974181717 -62.7999112864721 -489.381598296968</f>
        <v>-1197.6694837651571</v>
      </c>
      <c r="H1696">
        <f>-641.984181100874 -61.5293352906499 -613.908502559347</f>
        <v>-1317.422018950871</v>
      </c>
      <c r="I1696">
        <f>-615.554413216457 -57.234931424207 -692.572601168067</f>
        <v>-1365.361945808731</v>
      </c>
      <c r="J1696">
        <f>-648.067775944113 -34.7546214906281 -558.959216845952</f>
        <v>-1241.7816142806932</v>
      </c>
      <c r="K1696" t="s">
        <v>18765</v>
      </c>
      <c r="L1696" t="s">
        <v>18766</v>
      </c>
      <c r="M1696" t="s">
        <v>18767</v>
      </c>
      <c r="N1696">
        <f>-638.984249387227 -89.4222952762083 -559.261493548708</f>
        <v>-1287.6680382121433</v>
      </c>
      <c r="O1696">
        <f>-618.634008775176 -222.19314843237 -529.987484514299</f>
        <v>-1370.814641721845</v>
      </c>
      <c r="P1696">
        <f>-622.744960625408 -279.456426214175 -241.378349378814</f>
        <v>-1143.5797362183969</v>
      </c>
      <c r="Q1696">
        <f>-454.010945002328 -121.791753415317 -310.091691814532</f>
        <v>-885.8943902321771</v>
      </c>
      <c r="R1696" t="s">
        <v>18768</v>
      </c>
      <c r="S1696" t="s">
        <v>18769</v>
      </c>
      <c r="T1696" t="s">
        <v>18770</v>
      </c>
      <c r="U1696" t="s">
        <v>18771</v>
      </c>
      <c r="V1696">
        <f>-590.248065678375 -140.936557440601 -97.2120341410625</f>
        <v>-828.39665726003864</v>
      </c>
      <c r="W1696" t="s">
        <v>18772</v>
      </c>
      <c r="X1696" t="s">
        <v>18773</v>
      </c>
      <c r="Y1696" t="s">
        <v>18774</v>
      </c>
    </row>
    <row r="1697" spans="1:25" x14ac:dyDescent="0.3">
      <c r="A1697">
        <v>84800</v>
      </c>
      <c r="B1697" t="s">
        <v>18775</v>
      </c>
      <c r="C1697">
        <f>-615.424499798525 -49.0721321123427 -99.1222309846701</f>
        <v>-763.61886289553775</v>
      </c>
      <c r="D1697">
        <f>-634.637913152614 -57.9847486123356 -212.997686097902</f>
        <v>-905.62034786285165</v>
      </c>
      <c r="E1697">
        <f>-642.03967959157 -61.401697903573 -311.283931688114</f>
        <v>-1014.725309183257</v>
      </c>
      <c r="F1697">
        <f>-645.621409453336 -63.0426893861392 -400.29373542891</f>
        <v>-1108.9578342683851</v>
      </c>
      <c r="G1697">
        <f>-645.717191659371 -63.227828190545 -489.390266691181</f>
        <v>-1198.335286541097</v>
      </c>
      <c r="H1697">
        <f>-642.16879281271 -62.0234065996067 -613.916503708789</f>
        <v>-1318.1087031211057</v>
      </c>
      <c r="I1697">
        <f>-615.824235628904 -57.7801044445539 -692.611932056048</f>
        <v>-1366.2162721295058</v>
      </c>
      <c r="J1697">
        <f>-648.255366887221 -35.2166726127095 -558.983168221968</f>
        <v>-1242.4552077218987</v>
      </c>
      <c r="K1697" t="s">
        <v>18776</v>
      </c>
      <c r="L1697" t="s">
        <v>18777</v>
      </c>
      <c r="M1697" t="s">
        <v>18778</v>
      </c>
      <c r="N1697">
        <f>-639.205201087942 -89.8901439701235 -559.254081120512</f>
        <v>-1288.3494261785775</v>
      </c>
      <c r="O1697">
        <f>-618.965785927693 -222.651376725297 -529.883332382136</f>
        <v>-1371.5004950351261</v>
      </c>
      <c r="P1697">
        <f>-623.060447016366 -279.637197566826 -241.21910525031</f>
        <v>-1143.9167498335019</v>
      </c>
      <c r="Q1697">
        <f>-454.01255358697 -122.39914638874 -310.138387107663</f>
        <v>-886.550087083373</v>
      </c>
      <c r="R1697" t="s">
        <v>18779</v>
      </c>
      <c r="S1697" t="s">
        <v>18780</v>
      </c>
      <c r="T1697" t="s">
        <v>18781</v>
      </c>
      <c r="U1697" t="s">
        <v>18782</v>
      </c>
      <c r="V1697">
        <f>-590.477560283858 -141.266157360059 -97.2135017653517</f>
        <v>-828.95721940926865</v>
      </c>
      <c r="W1697" t="s">
        <v>18783</v>
      </c>
      <c r="X1697" t="s">
        <v>18784</v>
      </c>
      <c r="Y1697" t="s">
        <v>18785</v>
      </c>
    </row>
    <row r="1698" spans="1:25" x14ac:dyDescent="0.3">
      <c r="A1698">
        <v>84850</v>
      </c>
      <c r="B1698" t="s">
        <v>18786</v>
      </c>
      <c r="C1698">
        <f>-615.559338856386 -49.185070953984 -99.1335781857515</f>
        <v>-763.87798799612153</v>
      </c>
      <c r="D1698">
        <f>-634.771363455942 -58.1054589291756 -213.00864774433</f>
        <v>-905.88547012944764</v>
      </c>
      <c r="E1698">
        <f>-642.160475547243 -61.5430505428599 -311.295320308811</f>
        <v>-1014.9988463989139</v>
      </c>
      <c r="F1698">
        <f>-645.726253643316 -63.2087032267477 -400.305079409498</f>
        <v>-1109.2400362795618</v>
      </c>
      <c r="G1698">
        <f>-645.801743474513 -63.4245686145161 -489.401569633944</f>
        <v>-1198.6278817229731</v>
      </c>
      <c r="H1698">
        <f>-642.220218801617 -62.2700333382367 -613.927379771534</f>
        <v>-1318.4176319113876</v>
      </c>
      <c r="I1698">
        <f>-615.925559148112 -58.0622965544936 -692.641455867814</f>
        <v>-1366.6293115704198</v>
      </c>
      <c r="J1698">
        <f>-648.309058289938 -35.4392538579259 -559.006037158042</f>
        <v>-1242.7543493059059</v>
      </c>
      <c r="K1698" t="s">
        <v>18787</v>
      </c>
      <c r="L1698" t="s">
        <v>18788</v>
      </c>
      <c r="M1698" t="s">
        <v>18789</v>
      </c>
      <c r="N1698">
        <f>-639.283388554674 -90.1168684996852 -559.253389442253</f>
        <v>-1288.6536464966123</v>
      </c>
      <c r="O1698">
        <f>-619.110420564911 -222.884480035731 -529.850350952086</f>
        <v>-1371.8452515527281</v>
      </c>
      <c r="P1698">
        <f>-623.205325367017 -279.712515848248 -241.154901192493</f>
        <v>-1144.0727424077581</v>
      </c>
      <c r="Q1698">
        <f>-453.867921405511 -122.7892054165 -310.08101427111</f>
        <v>-886.73814109312104</v>
      </c>
      <c r="R1698" t="s">
        <v>18790</v>
      </c>
      <c r="S1698" t="s">
        <v>18791</v>
      </c>
      <c r="T1698" t="s">
        <v>18792</v>
      </c>
      <c r="U1698" t="s">
        <v>18793</v>
      </c>
      <c r="V1698">
        <f>-590.667080536218 -141.350873168079 -97.2163574775021</f>
        <v>-829.23431118179917</v>
      </c>
      <c r="W1698" t="s">
        <v>18794</v>
      </c>
      <c r="X1698" t="s">
        <v>18795</v>
      </c>
      <c r="Y1698" t="s">
        <v>18796</v>
      </c>
    </row>
    <row r="1699" spans="1:25" x14ac:dyDescent="0.3">
      <c r="A1699">
        <v>84900</v>
      </c>
      <c r="B1699" t="s">
        <v>18797</v>
      </c>
      <c r="C1699">
        <f>-615.881597753107 -49.1625396186982 -99.1565286097897</f>
        <v>-764.20066598159497</v>
      </c>
      <c r="D1699">
        <f>-635.100881079952 -58.1029356219747 -213.028840101192</f>
        <v>-906.23265680311874</v>
      </c>
      <c r="E1699">
        <f>-642.491466198486 -61.5778961688918 -311.314060211677</f>
        <v>-1015.3834225790548</v>
      </c>
      <c r="F1699">
        <f>-646.056756902741 -63.2856735175934 -400.32305234932</f>
        <v>-1109.6654827696543</v>
      </c>
      <c r="G1699">
        <f>-646.129645679122 -63.5530634484273 -489.419475263687</f>
        <v>-1199.1021843912363</v>
      </c>
      <c r="H1699">
        <f>-642.542348074584 -62.4807779866187 -613.94567848318</f>
        <v>-1318.9688045443827</v>
      </c>
      <c r="I1699">
        <f>-616.381241994443 -58.3625305813392 -692.709106586345</f>
        <v>-1367.4528791621274</v>
      </c>
      <c r="J1699">
        <f>-648.594039391028 -35.6071475372735 -559.041219563564</f>
        <v>-1243.2424064918655</v>
      </c>
      <c r="K1699" t="s">
        <v>18798</v>
      </c>
      <c r="L1699" t="s">
        <v>18799</v>
      </c>
      <c r="M1699" t="s">
        <v>18800</v>
      </c>
      <c r="N1699">
        <f>-639.647779880115 -90.2980007550646 -559.25456204157</f>
        <v>-1289.2003426767496</v>
      </c>
      <c r="O1699">
        <f>-619.680049379307 -223.078959677518 -529.776582205766</f>
        <v>-1372.535591262591</v>
      </c>
      <c r="P1699">
        <f>-623.751425155748 -279.985857860318 -241.096401679454</f>
        <v>-1144.8336846955201</v>
      </c>
      <c r="Q1699">
        <f>-454.118764768807 -123.25927214296 -309.74334716484</f>
        <v>-887.121384076607</v>
      </c>
      <c r="R1699" t="s">
        <v>18801</v>
      </c>
      <c r="S1699" t="s">
        <v>18802</v>
      </c>
      <c r="T1699" t="s">
        <v>18803</v>
      </c>
      <c r="U1699" t="s">
        <v>18804</v>
      </c>
      <c r="V1699">
        <f>-591.047053923175 -141.207115232195 -97.2208238187559</f>
        <v>-829.47499297412583</v>
      </c>
      <c r="W1699" t="s">
        <v>18805</v>
      </c>
      <c r="X1699" t="s">
        <v>18806</v>
      </c>
      <c r="Y1699" t="s">
        <v>18807</v>
      </c>
    </row>
    <row r="1700" spans="1:25" x14ac:dyDescent="0.3">
      <c r="A1700">
        <v>84950</v>
      </c>
      <c r="B1700" t="s">
        <v>18808</v>
      </c>
      <c r="C1700">
        <f>-616.085193408991 -49.2451763863128 -99.1648690326157</f>
        <v>-764.49523882791948</v>
      </c>
      <c r="D1700">
        <f>-635.326367004147 -58.183790315192 -213.033526780322</f>
        <v>-906.54368409966105</v>
      </c>
      <c r="E1700">
        <f>-642.732363771995 -61.6719189395076 -311.317153820782</f>
        <v>-1015.7214365322845</v>
      </c>
      <c r="F1700">
        <f>-646.310190896329 -63.3976379436884 -400.325269909415</f>
        <v>-1110.0330987494324</v>
      </c>
      <c r="G1700">
        <f>-646.394366056108 -63.6896063188112 -489.421553703603</f>
        <v>-1199.5055260785223</v>
      </c>
      <c r="H1700">
        <f>-642.821409881142 -62.6588451573272 -613.948685721349</f>
        <v>-1319.428940759818</v>
      </c>
      <c r="I1700">
        <f>-616.739306805511 -58.5826997300333 -692.740336925092</f>
        <v>-1368.0623434606364</v>
      </c>
      <c r="J1700">
        <f>-648.846496996346 -35.7636757542359 -559.051913470994</f>
        <v>-1243.6620862215759</v>
      </c>
      <c r="K1700" t="s">
        <v>18809</v>
      </c>
      <c r="L1700" t="s">
        <v>18810</v>
      </c>
      <c r="M1700" t="s">
        <v>18811</v>
      </c>
      <c r="N1700">
        <f>-639.940858307184 -90.461122835493 -559.249136028096</f>
        <v>-1289.651117170773</v>
      </c>
      <c r="O1700">
        <f>-620.086779018799 -223.25498935707 -529.754285174784</f>
        <v>-1373.0960535506529</v>
      </c>
      <c r="P1700">
        <f>-624.33137637339 -280.060820367975 -241.056590477647</f>
        <v>-1145.448787219012</v>
      </c>
      <c r="Q1700">
        <f>-454.469901113869 -123.560905291156 -309.65504824812</f>
        <v>-887.68585465314504</v>
      </c>
      <c r="R1700" t="s">
        <v>18812</v>
      </c>
      <c r="S1700" t="s">
        <v>18813</v>
      </c>
      <c r="T1700" t="s">
        <v>18814</v>
      </c>
      <c r="U1700" t="s">
        <v>18815</v>
      </c>
      <c r="V1700">
        <f>-591.22874459958 -141.358215548211 -97.2230045197218</f>
        <v>-829.80996466751276</v>
      </c>
      <c r="W1700" t="s">
        <v>18816</v>
      </c>
      <c r="X1700" t="s">
        <v>18817</v>
      </c>
      <c r="Y1700" t="s">
        <v>18818</v>
      </c>
    </row>
    <row r="1701" spans="1:25" x14ac:dyDescent="0.3">
      <c r="A1701">
        <v>85000</v>
      </c>
      <c r="B1701" t="s">
        <v>18819</v>
      </c>
      <c r="C1701">
        <f>-616.272037228446 -49.3760272630219 -99.1791544853301</f>
        <v>-764.82721897679801</v>
      </c>
      <c r="D1701">
        <f>-635.533136154339 -58.3221110858921 -213.043940197584</f>
        <v>-906.89918743781504</v>
      </c>
      <c r="E1701">
        <f>-642.956788047754 -61.8298847915272 -311.325371113958</f>
        <v>-1016.1120439532392</v>
      </c>
      <c r="F1701">
        <f>-646.550850787771 -63.5786636911458 -400.33247912814</f>
        <v>-1110.4619936070567</v>
      </c>
      <c r="G1701">
        <f>-646.651411384448 -63.8996972864993 -489.428702639951</f>
        <v>-1199.9798113108982</v>
      </c>
      <c r="H1701">
        <f>-643.101578530992 -62.9159158843614 -613.956812139712</f>
        <v>-1319.9743065550656</v>
      </c>
      <c r="I1701">
        <f>-617.108955525987 -58.8833557558227 -692.780316116476</f>
        <v>-1368.7726273982857</v>
      </c>
      <c r="J1701">
        <f>-649.095452119022 -35.9965024208936 -559.068442382152</f>
        <v>-1244.1603969220678</v>
      </c>
      <c r="K1701" t="s">
        <v>18820</v>
      </c>
      <c r="L1701" t="s">
        <v>18821</v>
      </c>
      <c r="M1701" t="s">
        <v>18822</v>
      </c>
      <c r="N1701">
        <f>-640.231973621546 -90.7009617699442 -559.247892659709</f>
        <v>-1290.1808280511991</v>
      </c>
      <c r="O1701">
        <f>-620.503705661154 -223.499047684259 -529.712865743553</f>
        <v>-1373.7156190889659</v>
      </c>
      <c r="P1701">
        <f>-624.838949552988 -280.235649631607 -241.0029417239</f>
        <v>-1146.0775409084949</v>
      </c>
      <c r="Q1701">
        <f>-454.779245048701 -123.974256574516 -309.653819353503</f>
        <v>-888.40732097672003</v>
      </c>
      <c r="R1701" t="s">
        <v>18823</v>
      </c>
      <c r="S1701" t="s">
        <v>18824</v>
      </c>
      <c r="T1701" t="s">
        <v>18825</v>
      </c>
      <c r="U1701" t="s">
        <v>18826</v>
      </c>
      <c r="V1701">
        <f>-591.418877450915 -141.504796345822 -97.2387459419642</f>
        <v>-830.16241973870126</v>
      </c>
      <c r="W1701" t="s">
        <v>18827</v>
      </c>
      <c r="X1701" t="s">
        <v>18828</v>
      </c>
      <c r="Y1701" t="s">
        <v>18829</v>
      </c>
    </row>
    <row r="1702" spans="1:25" x14ac:dyDescent="0.3">
      <c r="A1702">
        <v>85050</v>
      </c>
      <c r="B1702" t="s">
        <v>18830</v>
      </c>
      <c r="C1702">
        <f>-616.595109802168 -49.6861110129556 -99.1951784207298</f>
        <v>-765.47639923585348</v>
      </c>
      <c r="D1702">
        <f>-635.888015998458 -58.645971884004 -213.053445861842</f>
        <v>-907.58743374430389</v>
      </c>
      <c r="E1702">
        <f>-643.36576153908 -62.1900359503236 -311.329534879923</f>
        <v>-1016.8853323693266</v>
      </c>
      <c r="F1702">
        <f>-647.019666748081 -63.9811570277731 -400.333396002691</f>
        <v>-1111.334219778545</v>
      </c>
      <c r="G1702">
        <f>-647.191167871693 -64.3540474070153 -489.429295810502</f>
        <v>-1200.9745110892104</v>
      </c>
      <c r="H1702">
        <f>-643.752049858142 -63.4531731948972 -613.961042842152</f>
        <v>-1321.1662658951911</v>
      </c>
      <c r="I1702">
        <f>-617.957360144346 -59.5032305304647 -692.853687424882</f>
        <v>-1370.3142780996927</v>
      </c>
      <c r="J1702">
        <f>-649.670772228678 -36.4931387437871 -559.084476840076</f>
        <v>-1245.2483878125411</v>
      </c>
      <c r="K1702" t="s">
        <v>18831</v>
      </c>
      <c r="L1702" t="s">
        <v>18832</v>
      </c>
      <c r="M1702" t="s">
        <v>18833</v>
      </c>
      <c r="N1702">
        <f>-640.860100222166 -91.2061351993964 -559.23694856187</f>
        <v>-1291.3031839834325</v>
      </c>
      <c r="O1702">
        <f>-621.27821318674 -224.013776705617 -529.631695264765</f>
        <v>-1374.923685157122</v>
      </c>
      <c r="P1702">
        <f>-625.614545400542 -280.361300206779 -240.845704668778</f>
        <v>-1146.8215502760991</v>
      </c>
      <c r="Q1702">
        <f>-454.994756005868 -124.868633231028 -309.851467751493</f>
        <v>-889.71485698838887</v>
      </c>
      <c r="R1702" t="s">
        <v>18834</v>
      </c>
      <c r="S1702" t="s">
        <v>18835</v>
      </c>
      <c r="T1702" t="s">
        <v>18836</v>
      </c>
      <c r="U1702" t="s">
        <v>18837</v>
      </c>
      <c r="V1702">
        <f>-591.809995262326 -141.75769222329 -97.2286189714868</f>
        <v>-830.79630645710279</v>
      </c>
      <c r="W1702" t="s">
        <v>18838</v>
      </c>
      <c r="X1702" t="s">
        <v>18839</v>
      </c>
      <c r="Y1702" t="s">
        <v>18840</v>
      </c>
    </row>
    <row r="1703" spans="1:25" x14ac:dyDescent="0.3">
      <c r="A1703">
        <v>85100</v>
      </c>
      <c r="B1703" t="s">
        <v>18841</v>
      </c>
      <c r="C1703">
        <f>-616.897604034845 -50.1660440737412 -99.1896922063166</f>
        <v>-766.25334031490286</v>
      </c>
      <c r="D1703">
        <f>-636.205400656695 -59.1482386776669 -213.043778503775</f>
        <v>-908.3974178381369</v>
      </c>
      <c r="E1703">
        <f>-643.712837652983 -62.7371431570854 -311.315902657943</f>
        <v>-1017.7658834680115</v>
      </c>
      <c r="F1703">
        <f>-647.40111253509 -64.5784907449179 -400.317336679143</f>
        <v>-1112.2969399591509</v>
      </c>
      <c r="G1703">
        <f>-647.614447057074 -65.0112876519117 -489.412755896909</f>
        <v>-1202.0384906058948</v>
      </c>
      <c r="H1703">
        <f>-644.242045362674 -64.203580099181 -613.947105979546</f>
        <v>-1322.3927314414009</v>
      </c>
      <c r="I1703">
        <f>-618.628294114378 -60.2848800470931 -692.900353784598</f>
        <v>-1371.8135279460691</v>
      </c>
      <c r="J1703">
        <f>-650.13056230025 -37.2024023065717 -559.087628112512</f>
        <v>-1246.4205927193336</v>
      </c>
      <c r="K1703" t="s">
        <v>18842</v>
      </c>
      <c r="L1703" t="s">
        <v>18843</v>
      </c>
      <c r="M1703" t="s">
        <v>18844</v>
      </c>
      <c r="N1703">
        <f>-641.321518022754 -91.9156816696714 -559.203870427974</f>
        <v>-1292.4410701203994</v>
      </c>
      <c r="O1703">
        <f>-621.765495231058 -224.694260151959 -529.466955935598</f>
        <v>-1375.9267113186152</v>
      </c>
      <c r="P1703">
        <f>-625.726907501228 -280.541070201044 -240.578243637936</f>
        <v>-1146.8462213402081</v>
      </c>
      <c r="Q1703">
        <f>-454.646975803892 -125.960826599102 -310.488793686359</f>
        <v>-891.09659608935294</v>
      </c>
      <c r="R1703" t="s">
        <v>18845</v>
      </c>
      <c r="S1703" t="s">
        <v>18846</v>
      </c>
      <c r="T1703" t="s">
        <v>18847</v>
      </c>
      <c r="U1703" t="s">
        <v>18848</v>
      </c>
      <c r="V1703">
        <f>-592.15287683625 -142.227416007888 -97.2186107723257</f>
        <v>-831.59890361646376</v>
      </c>
      <c r="W1703" t="s">
        <v>18849</v>
      </c>
      <c r="X1703" t="s">
        <v>18850</v>
      </c>
      <c r="Y1703" t="s">
        <v>18851</v>
      </c>
    </row>
    <row r="1704" spans="1:25" x14ac:dyDescent="0.3">
      <c r="A1704">
        <v>85150</v>
      </c>
      <c r="B1704" t="s">
        <v>18852</v>
      </c>
      <c r="C1704">
        <f>-617.04368581392 -50.3490612481218 -99.1986914297551</f>
        <v>-766.59143849179679</v>
      </c>
      <c r="D1704">
        <f>-636.360034119688 -59.3487349952675 -213.049975126008</f>
        <v>-908.75874424096344</v>
      </c>
      <c r="E1704">
        <f>-643.880329455732 -62.9746520015434 -311.319768971162</f>
        <v>-1018.1747504284374</v>
      </c>
      <c r="F1704">
        <f>-647.582816609962 -64.8583806144036 -400.319671765977</f>
        <v>-1112.7608689903427</v>
      </c>
      <c r="G1704">
        <f>-647.813269160211 -65.3422716509378 -489.414956053147</f>
        <v>-1202.5704968642958</v>
      </c>
      <c r="H1704">
        <f>-644.467760527003 -64.614818922867 -613.950439206393</f>
        <v>-1323.0330186562628</v>
      </c>
      <c r="I1704">
        <f>-618.938875981204 -60.7043947452253 -692.931553540449</f>
        <v>-1372.5748242668783</v>
      </c>
      <c r="J1704">
        <f>-650.349503125033 -37.5790008906417 -559.107194159991</f>
        <v>-1247.0356981756659</v>
      </c>
      <c r="K1704" t="s">
        <v>18853</v>
      </c>
      <c r="L1704" t="s">
        <v>18854</v>
      </c>
      <c r="M1704" t="s">
        <v>18855</v>
      </c>
      <c r="N1704">
        <f>-641.530355192256 -92.2908331994834 -559.189858485821</f>
        <v>-1293.0110468775604</v>
      </c>
      <c r="O1704">
        <f>-621.942747579974 -225.051826651209 -529.375914449594</f>
        <v>-1376.370488680777</v>
      </c>
      <c r="P1704">
        <f>-625.745868458847 -280.559338665268 -240.41976578881</f>
        <v>-1146.7249729129251</v>
      </c>
      <c r="Q1704">
        <f>-454.422339945805 -126.434178839697 -310.737391540518</f>
        <v>-891.59391032602002</v>
      </c>
      <c r="R1704" t="s">
        <v>18856</v>
      </c>
      <c r="S1704" t="s">
        <v>18857</v>
      </c>
      <c r="T1704" t="s">
        <v>18858</v>
      </c>
      <c r="U1704" t="s">
        <v>18859</v>
      </c>
      <c r="V1704">
        <f>-592.265002279404 -142.381010807964 -97.2125315983347</f>
        <v>-831.85854468570278</v>
      </c>
      <c r="W1704" t="s">
        <v>18860</v>
      </c>
      <c r="X1704" t="s">
        <v>18861</v>
      </c>
      <c r="Y1704" t="s">
        <v>18862</v>
      </c>
    </row>
    <row r="1705" spans="1:25" x14ac:dyDescent="0.3">
      <c r="A1705">
        <v>85200</v>
      </c>
      <c r="B1705" t="s">
        <v>18863</v>
      </c>
      <c r="C1705">
        <f>-617.205277948168 -50.8504588438891 -99.1992541329927</f>
        <v>-767.25499092504981</v>
      </c>
      <c r="D1705">
        <f>-636.528288200247 -59.9145206668536 -213.044334667562</f>
        <v>-909.48714353466255</v>
      </c>
      <c r="E1705">
        <f>-644.055801174549 -63.632713878477 -311.31003528964</f>
        <v>-1018.998550342666</v>
      </c>
      <c r="F1705">
        <f>-647.765811294297 -65.6151665435488 -400.307509503699</f>
        <v>-1113.6884873415447</v>
      </c>
      <c r="G1705">
        <f>-648.00499174731 -66.2127619123817 -489.402034484621</f>
        <v>-1203.6197881443127</v>
      </c>
      <c r="H1705">
        <f>-644.673322747582 -65.6600362563859 -613.938877631241</f>
        <v>-1324.2722366352089</v>
      </c>
      <c r="I1705">
        <f>-619.399840965523 -61.7784488038945 -693.003343453327</f>
        <v>-1374.1816332227445</v>
      </c>
      <c r="J1705">
        <f>-650.563459148394 -38.5495302654713 -559.133328205519</f>
        <v>-1248.2463176193842</v>
      </c>
      <c r="K1705" t="s">
        <v>18864</v>
      </c>
      <c r="L1705" t="s">
        <v>18865</v>
      </c>
      <c r="M1705" t="s">
        <v>18866</v>
      </c>
      <c r="N1705">
        <f>-641.715440264991 -93.2568669549214 -559.139403884851</f>
        <v>-1294.1117111047633</v>
      </c>
      <c r="O1705">
        <f>-622.041608531955 -225.96351565576 -529.117692916573</f>
        <v>-1377.1228171042881</v>
      </c>
      <c r="P1705">
        <f>-625.613300364866 -280.972388687683 -240.063165933221</f>
        <v>-1146.64885498577</v>
      </c>
      <c r="Q1705">
        <f>-454.383381647204 -127.063781332195 -311.07966311313</f>
        <v>-892.52682609252895</v>
      </c>
      <c r="R1705" t="s">
        <v>18867</v>
      </c>
      <c r="S1705" t="s">
        <v>18868</v>
      </c>
      <c r="T1705" t="s">
        <v>18869</v>
      </c>
      <c r="U1705" t="s">
        <v>18870</v>
      </c>
      <c r="V1705">
        <f>-592.373514956913 -142.968419490978 -97.1821818380306</f>
        <v>-832.52411628592165</v>
      </c>
      <c r="W1705" t="s">
        <v>18871</v>
      </c>
      <c r="X1705" t="s">
        <v>18872</v>
      </c>
      <c r="Y1705" t="s">
        <v>18873</v>
      </c>
    </row>
    <row r="1706" spans="1:25" x14ac:dyDescent="0.3">
      <c r="A1706">
        <v>85250</v>
      </c>
      <c r="B1706" t="s">
        <v>18874</v>
      </c>
      <c r="C1706">
        <f>-617.236061117672 -51.0385919777934 -99.1901646752524</f>
        <v>-767.46481777071779</v>
      </c>
      <c r="D1706">
        <f>-636.556551907406 -60.1231227099418 -213.033856105562</f>
        <v>-909.7135307229097</v>
      </c>
      <c r="E1706">
        <f>-644.080811428822 -63.8696961921002 -311.298977586309</f>
        <v>-1019.2494852072311</v>
      </c>
      <c r="F1706">
        <f>-647.787296144114 -65.8823042331029 -400.295838827459</f>
        <v>-1113.9654392046759</v>
      </c>
      <c r="G1706">
        <f>-648.022569058888 -66.5148348263083 -489.39013622616</f>
        <v>-1203.9275401113564</v>
      </c>
      <c r="H1706">
        <f>-644.685227321971 -66.0157685750347 -613.926967278214</f>
        <v>-1324.6279631752195</v>
      </c>
      <c r="I1706">
        <f>-619.562515632984 -62.1660815751072 -693.041222848606</f>
        <v>-1374.7698200566972</v>
      </c>
      <c r="J1706">
        <f>-650.58788281467 -38.8833544686352 -559.133733345728</f>
        <v>-1248.6049706290332</v>
      </c>
      <c r="K1706" t="s">
        <v>18875</v>
      </c>
      <c r="L1706" t="s">
        <v>18876</v>
      </c>
      <c r="M1706" t="s">
        <v>18877</v>
      </c>
      <c r="N1706">
        <f>-641.719834738771 -93.5873359781675 -559.115299302151</f>
        <v>-1294.4224700190896</v>
      </c>
      <c r="O1706">
        <f>-621.996952793279 -226.265349453559 -529.015850478699</f>
        <v>-1377.278152725537</v>
      </c>
      <c r="P1706">
        <f>-625.61435279172 -280.931686978785 -239.896978951926</f>
        <v>-1146.4430187224309</v>
      </c>
      <c r="Q1706">
        <f>-454.387404867126 -127.141746196516 -311.17707470082</f>
        <v>-892.70622576446203</v>
      </c>
      <c r="R1706" t="s">
        <v>18878</v>
      </c>
      <c r="S1706" t="s">
        <v>18879</v>
      </c>
      <c r="T1706" t="s">
        <v>18880</v>
      </c>
      <c r="U1706" t="s">
        <v>18881</v>
      </c>
      <c r="V1706">
        <f>-592.368586766389 -143.131164583995 -97.1544335671624</f>
        <v>-832.65418491754633</v>
      </c>
      <c r="W1706" t="s">
        <v>18882</v>
      </c>
      <c r="X1706" t="s">
        <v>18883</v>
      </c>
      <c r="Y1706" t="s">
        <v>18884</v>
      </c>
    </row>
    <row r="1707" spans="1:25" x14ac:dyDescent="0.3">
      <c r="A1707">
        <v>85300</v>
      </c>
      <c r="B1707" t="s">
        <v>18885</v>
      </c>
      <c r="C1707">
        <f>-617.20107818149 -51.1672781037632 -99.2064505461091</f>
        <v>-767.57480683136225</v>
      </c>
      <c r="D1707">
        <f>-636.463440189436 -60.305671034899 -213.055745491384</f>
        <v>-909.82485671571897</v>
      </c>
      <c r="E1707">
        <f>-643.92052972406 -64.1279262851281 -311.322954854087</f>
        <v>-1019.3714108632751</v>
      </c>
      <c r="F1707">
        <f>-647.559669915775 -66.2217485261328 -400.320797567794</f>
        <v>-1114.1022160097018</v>
      </c>
      <c r="G1707">
        <f>-647.72154484338 -66.9472919844677 -489.414533756716</f>
        <v>-1204.0833705845637</v>
      </c>
      <c r="H1707">
        <f>-644.275368498281 -66.5911912348193 -613.948867489743</f>
        <v>-1324.8154272228433</v>
      </c>
      <c r="I1707">
        <f>-619.476550191234 -62.8741728268564 -693.171480935055</f>
        <v>-1375.5222039531454</v>
      </c>
      <c r="J1707">
        <f>-650.256852324778 -39.4010205005372 -559.192776131651</f>
        <v>-1248.8506489569663</v>
      </c>
      <c r="K1707" t="s">
        <v>18886</v>
      </c>
      <c r="L1707" t="s">
        <v>18887</v>
      </c>
      <c r="M1707" t="s">
        <v>18888</v>
      </c>
      <c r="N1707">
        <f>-641.326925117043 -94.094757914744 -559.102101691227</f>
        <v>-1294.5237847230139</v>
      </c>
      <c r="O1707">
        <f>-621.458379951023 -226.707331193648 -528.829367394365</f>
        <v>-1376.9950785390361</v>
      </c>
      <c r="P1707">
        <f>-625.241258653329 -281.086795578288 -239.658568033754</f>
        <v>-1145.9866222653709</v>
      </c>
      <c r="Q1707">
        <f>-454.298536564403 -127.005058053861 -310.990592788929</f>
        <v>-892.29418740719302</v>
      </c>
      <c r="R1707" t="s">
        <v>18889</v>
      </c>
      <c r="S1707" t="s">
        <v>18890</v>
      </c>
      <c r="T1707" t="s">
        <v>18891</v>
      </c>
      <c r="U1707" t="s">
        <v>18892</v>
      </c>
      <c r="V1707">
        <f>-592.225681279481 -143.250298470229 -97.1356868305005</f>
        <v>-832.61166658021057</v>
      </c>
      <c r="W1707" t="s">
        <v>18893</v>
      </c>
      <c r="X1707" t="s">
        <v>18894</v>
      </c>
      <c r="Y1707" t="s">
        <v>18895</v>
      </c>
    </row>
    <row r="1708" spans="1:25" x14ac:dyDescent="0.3">
      <c r="A1708">
        <v>85350</v>
      </c>
      <c r="B1708" t="s">
        <v>18896</v>
      </c>
      <c r="C1708">
        <f>-617.178065367312 -51.3203086214068 -99.2088948292037</f>
        <v>-767.70726881792245</v>
      </c>
      <c r="D1708">
        <f>-636.406224797561 -60.4798376974135 -213.062289989852</f>
        <v>-909.9483524848265</v>
      </c>
      <c r="E1708">
        <f>-643.815216412113 -64.3474930108705 -311.331415690141</f>
        <v>-1019.4941251131245</v>
      </c>
      <c r="F1708">
        <f>-647.403666552217 -66.4936954845701 -400.329995285166</f>
        <v>-1114.2273573219531</v>
      </c>
      <c r="G1708">
        <f>-647.508004552909 -67.2829512191083 -489.423209150422</f>
        <v>-1204.2141649224393</v>
      </c>
      <c r="H1708">
        <f>-643.974299560384 -67.02778257093 -613.955449390554</f>
        <v>-1324.9575315218681</v>
      </c>
      <c r="I1708">
        <f>-619.316388448475 -63.389018183896 -693.225599451465</f>
        <v>-1375.9310060838361</v>
      </c>
      <c r="J1708">
        <f>-650.006327569285 -39.7951412745545 -559.225997273168</f>
        <v>-1249.0274661170074</v>
      </c>
      <c r="K1708" t="s">
        <v>18897</v>
      </c>
      <c r="L1708" t="s">
        <v>18898</v>
      </c>
      <c r="M1708" t="s">
        <v>18899</v>
      </c>
      <c r="N1708">
        <f>-641.052258020186 -94.4849273929258 -559.083969349835</f>
        <v>-1294.6211547629468</v>
      </c>
      <c r="O1708">
        <f>-621.133397311117 -227.066651359071 -528.70512725231</f>
        <v>-1376.9051759224981</v>
      </c>
      <c r="P1708">
        <f>-624.958115703714 -281.25042022799 -239.497934391978</f>
        <v>-1145.706470323682</v>
      </c>
      <c r="Q1708">
        <f>-454.037337245317 -127.140986984408 -310.823026351024</f>
        <v>-892.00135058074898</v>
      </c>
      <c r="R1708" t="s">
        <v>18900</v>
      </c>
      <c r="S1708" t="s">
        <v>18901</v>
      </c>
      <c r="T1708" t="s">
        <v>18902</v>
      </c>
      <c r="U1708" t="s">
        <v>18903</v>
      </c>
      <c r="V1708">
        <f>-592.215064911551 -143.392085435297 -97.1178125397348</f>
        <v>-832.72496288658283</v>
      </c>
      <c r="W1708" t="s">
        <v>18904</v>
      </c>
      <c r="X1708" t="s">
        <v>18905</v>
      </c>
      <c r="Y1708" t="s">
        <v>18906</v>
      </c>
    </row>
    <row r="1709" spans="1:25" x14ac:dyDescent="0.3">
      <c r="A1709">
        <v>85400</v>
      </c>
      <c r="B1709" t="s">
        <v>18907</v>
      </c>
      <c r="C1709">
        <f>-617.161376179608 -51.4547064156837 -99.2157271744156</f>
        <v>-767.83180976970743</v>
      </c>
      <c r="D1709">
        <f>-636.331263448662 -60.6450626639213 -213.076515007494</f>
        <v>-910.05284112007723</v>
      </c>
      <c r="E1709">
        <f>-643.683205595835 -64.5956934012434 -311.346585993667</f>
        <v>-1019.6254849907455</v>
      </c>
      <c r="F1709">
        <f>-647.217975408591 -66.8400441065718 -400.34488965979</f>
        <v>-1114.4029091749528</v>
      </c>
      <c r="G1709">
        <f>-647.266985483208 -67.7507866325082 -489.437071059257</f>
        <v>-1204.4548431749731</v>
      </c>
      <c r="H1709">
        <f>-643.654898931776 -67.6897470917701 -613.967188844271</f>
        <v>-1325.3118348678172</v>
      </c>
      <c r="I1709">
        <f>-619.193013435115 -64.1838355455275 -693.304220183227</f>
        <v>-1376.6810691638693</v>
      </c>
      <c r="J1709">
        <f>-649.738061202905 -40.3746459802703 -559.284636197777</f>
        <v>-1249.3973433809524</v>
      </c>
      <c r="K1709" t="s">
        <v>18908</v>
      </c>
      <c r="L1709" t="s">
        <v>18909</v>
      </c>
      <c r="M1709" t="s">
        <v>18910</v>
      </c>
      <c r="N1709">
        <f>-640.750780069694 -95.0586560410267 -559.050685551579</f>
        <v>-1294.8601216622997</v>
      </c>
      <c r="O1709">
        <f>-620.741650014497 -227.587189091237 -528.475430371173</f>
        <v>-1376.8042694769069</v>
      </c>
      <c r="P1709">
        <f>-624.508136169876 -281.43207936742 -239.204258919332</f>
        <v>-1145.1444744566279</v>
      </c>
      <c r="Q1709">
        <f>-453.681153604771 -127.346810419583 -310.805522729817</f>
        <v>-891.83348675417096</v>
      </c>
      <c r="R1709" t="s">
        <v>18911</v>
      </c>
      <c r="S1709" t="s">
        <v>18912</v>
      </c>
      <c r="T1709" t="s">
        <v>18913</v>
      </c>
      <c r="U1709" t="s">
        <v>18914</v>
      </c>
      <c r="V1709">
        <f>-592.130358255913 -143.464401573003 -97.1163190182829</f>
        <v>-832.71107884719891</v>
      </c>
      <c r="W1709" t="s">
        <v>18915</v>
      </c>
      <c r="X1709" t="s">
        <v>18916</v>
      </c>
      <c r="Y1709" t="s">
        <v>18917</v>
      </c>
    </row>
    <row r="1710" spans="1:25" x14ac:dyDescent="0.3">
      <c r="A1710">
        <v>85450</v>
      </c>
      <c r="B1710" t="s">
        <v>18918</v>
      </c>
      <c r="C1710">
        <f>-617.148819373731 -51.5556233216649 -99.2249430025637</f>
        <v>-767.92938569795967</v>
      </c>
      <c r="D1710">
        <f>-636.300888636796 -60.7552861658861 -213.088081144944</f>
        <v>-910.14425594762611</v>
      </c>
      <c r="E1710">
        <f>-643.654460339498 -64.74254127045 -311.356345840657</f>
        <v>-1019.753347450605</v>
      </c>
      <c r="F1710">
        <f>-647.197870260831 -67.031456642897 -400.353259678082</f>
        <v>-1114.5825865818099</v>
      </c>
      <c r="G1710">
        <f>-647.262859100471 -67.9983106044946 -489.444856928643</f>
        <v>-1204.7060266336086</v>
      </c>
      <c r="H1710">
        <f>-643.680905775846 -68.027474262773 -613.97587388423</f>
        <v>-1325.6842539228492</v>
      </c>
      <c r="I1710">
        <f>-619.269590568206 -64.5859901938024 -693.331191420118</f>
        <v>-1377.1867721821263</v>
      </c>
      <c r="J1710">
        <f>-649.755268553368 -40.6734884274845 -559.311683338042</f>
        <v>-1249.7404403188943</v>
      </c>
      <c r="K1710" t="s">
        <v>18919</v>
      </c>
      <c r="L1710" t="s">
        <v>18920</v>
      </c>
      <c r="M1710" t="s">
        <v>18921</v>
      </c>
      <c r="N1710">
        <f>-640.758964866722 -95.3558103541814 -559.040213014036</f>
        <v>-1295.1549882349393</v>
      </c>
      <c r="O1710">
        <f>-620.703110268472 -227.850227749489 -528.379819452484</f>
        <v>-1376.9331574704449</v>
      </c>
      <c r="P1710">
        <f>-624.396271282957 -281.52560731038 -239.076250322692</f>
        <v>-1144.9981289160289</v>
      </c>
      <c r="Q1710">
        <f>-453.620040839025 -127.513334541866 -310.954975395955</f>
        <v>-892.08835077684603</v>
      </c>
      <c r="R1710" t="s">
        <v>18922</v>
      </c>
      <c r="S1710" t="s">
        <v>18923</v>
      </c>
      <c r="T1710" t="s">
        <v>18924</v>
      </c>
      <c r="U1710" t="s">
        <v>18925</v>
      </c>
      <c r="V1710">
        <f>-592.123361471068 -143.544652533568 -97.1213243639683</f>
        <v>-832.78933836860426</v>
      </c>
      <c r="W1710" t="s">
        <v>18926</v>
      </c>
      <c r="X1710" t="s">
        <v>18927</v>
      </c>
      <c r="Y1710" t="s">
        <v>18928</v>
      </c>
    </row>
    <row r="1711" spans="1:25" x14ac:dyDescent="0.3">
      <c r="A1711">
        <v>85500</v>
      </c>
      <c r="B1711" t="s">
        <v>18929</v>
      </c>
      <c r="C1711">
        <f>-617.226492686862 -51.6780538207095 -99.2435541563518</f>
        <v>-768.14810066392329</v>
      </c>
      <c r="D1711">
        <f>-636.341969924852 -60.9015846380121 -213.110809317366</f>
        <v>-910.35436388023015</v>
      </c>
      <c r="E1711">
        <f>-643.69955602426 -64.9591566601634 -311.375995337362</f>
        <v>-1020.0347080217855</v>
      </c>
      <c r="F1711">
        <f>-647.26141941839 -67.3318629574551 -400.369974480967</f>
        <v>-1114.9632568568122</v>
      </c>
      <c r="G1711">
        <f>-647.359910221594 -68.4026037880795 -489.460308605274</f>
        <v>-1205.2228226149475</v>
      </c>
      <c r="H1711">
        <f>-643.840999464143 -68.5981351878459 -613.99300306883</f>
        <v>-1326.4321377208189</v>
      </c>
      <c r="I1711">
        <f>-619.435131154538 -65.2476138654949 -693.35385145052</f>
        <v>-1378.0365964705529</v>
      </c>
      <c r="J1711">
        <f>-649.889385056674 -41.171403953151 -559.362407938862</f>
        <v>-1250.4231969486868</v>
      </c>
      <c r="K1711" t="s">
        <v>18930</v>
      </c>
      <c r="L1711" t="s">
        <v>18931</v>
      </c>
      <c r="M1711" t="s">
        <v>18932</v>
      </c>
      <c r="N1711">
        <f>-640.889593721555 -95.8528001619949 -559.022171907112</f>
        <v>-1295.7645657906619</v>
      </c>
      <c r="O1711">
        <f>-620.793628103464 -228.306122270354 -528.190685904998</f>
        <v>-1377.2904362788158</v>
      </c>
      <c r="P1711">
        <f>-624.37161413735 -281.507435900179 -238.798249379375</f>
        <v>-1144.6772994169039</v>
      </c>
      <c r="Q1711">
        <f>-453.680638516877 -127.682944269919 -311.279095268828</f>
        <v>-892.64267805562406</v>
      </c>
      <c r="R1711" t="s">
        <v>18933</v>
      </c>
      <c r="S1711" t="s">
        <v>18934</v>
      </c>
      <c r="T1711" t="s">
        <v>18935</v>
      </c>
      <c r="U1711" t="s">
        <v>18936</v>
      </c>
      <c r="V1711">
        <f>-592.140074259638 -143.709415481424 -97.1195283171518</f>
        <v>-832.96901805821381</v>
      </c>
      <c r="W1711" t="s">
        <v>18937</v>
      </c>
      <c r="X1711" t="s">
        <v>18938</v>
      </c>
      <c r="Y1711" t="s">
        <v>18939</v>
      </c>
    </row>
    <row r="1712" spans="1:25" x14ac:dyDescent="0.3">
      <c r="A1712">
        <v>85550</v>
      </c>
      <c r="B1712" t="s">
        <v>18940</v>
      </c>
      <c r="C1712">
        <f>-617.238725698306 -51.6540082130832 -99.2629572434873</f>
        <v>-768.15569115487654</v>
      </c>
      <c r="D1712">
        <f>-636.371041943397 -60.8894051528544 -213.126463072368</f>
        <v>-910.38691016861935</v>
      </c>
      <c r="E1712">
        <f>-643.740290775003 -64.9719936518868 -311.389775592057</f>
        <v>-1020.1020600189468</v>
      </c>
      <c r="F1712">
        <f>-647.311773034656 -67.3734942837256 -400.382471333076</f>
        <v>-1115.0677386514576</v>
      </c>
      <c r="G1712">
        <f>-647.419234290116 -68.478986257956 -489.47237674238</f>
        <v>-1205.370597290452</v>
      </c>
      <c r="H1712">
        <f>-643.912036004523 -68.7295101328904 -614.005396535139</f>
        <v>-1326.6469426725523</v>
      </c>
      <c r="I1712">
        <f>-619.473738508184 -65.4013526701435 -693.357301991451</f>
        <v>-1378.2323931697786</v>
      </c>
      <c r="J1712">
        <f>-649.954539038387 -41.2785047702425 -559.386229302222</f>
        <v>-1250.6192731108515</v>
      </c>
      <c r="K1712" t="s">
        <v>18941</v>
      </c>
      <c r="L1712" t="s">
        <v>18942</v>
      </c>
      <c r="M1712" t="s">
        <v>18943</v>
      </c>
      <c r="N1712">
        <f>-640.956212447425 -95.9600263123889 -559.022846789977</f>
        <v>-1295.9390855497909</v>
      </c>
      <c r="O1712">
        <f>-620.857872439121 -228.398224221947 -528.122169709418</f>
        <v>-1377.378266370486</v>
      </c>
      <c r="P1712">
        <f>-624.420581016167 -281.379824933235 -238.689079671722</f>
        <v>-1144.489485621124</v>
      </c>
      <c r="Q1712">
        <f>-453.761737330716 -127.592497192998 -311.324409603727</f>
        <v>-892.67864412744098</v>
      </c>
      <c r="R1712" t="s">
        <v>18944</v>
      </c>
      <c r="S1712" t="s">
        <v>18945</v>
      </c>
      <c r="T1712" t="s">
        <v>18946</v>
      </c>
      <c r="U1712" t="s">
        <v>18947</v>
      </c>
      <c r="V1712">
        <f>-592.115108846109 -143.72724965434 -97.1205762048734</f>
        <v>-832.96293470532237</v>
      </c>
      <c r="W1712" t="s">
        <v>18948</v>
      </c>
      <c r="X1712" t="s">
        <v>18949</v>
      </c>
      <c r="Y1712" t="s">
        <v>18950</v>
      </c>
    </row>
    <row r="1713" spans="1:25" x14ac:dyDescent="0.3">
      <c r="A1713">
        <v>85600</v>
      </c>
      <c r="B1713" t="s">
        <v>18951</v>
      </c>
      <c r="C1713">
        <f>-617.200204182978 -51.6721332399279 -99.3118169137223</f>
        <v>-768.18415433662824</v>
      </c>
      <c r="D1713">
        <f>-636.379052573581 -60.9228018294671 -213.166298562749</f>
        <v>-910.46815296579712</v>
      </c>
      <c r="E1713">
        <f>-643.779829015362 -65.0444522069815 -311.4254787632</f>
        <v>-1020.2497599855435</v>
      </c>
      <c r="F1713">
        <f>-647.376745940144 -67.4916514723687 -400.416047968291</f>
        <v>-1115.2844453808038</v>
      </c>
      <c r="G1713">
        <f>-647.506605267685 -68.6537429880483 -489.505255187603</f>
        <v>-1205.6656034433363</v>
      </c>
      <c r="H1713">
        <f>-644.027698091928 -68.9947378673855 -614.038743256713</f>
        <v>-1327.0611792160266</v>
      </c>
      <c r="I1713">
        <f>-619.517064741729 -65.723119267097 -693.370658728196</f>
        <v>-1378.6108427370218</v>
      </c>
      <c r="J1713">
        <f>-650.048163547631 -41.5025306345974 -559.437968537621</f>
        <v>-1250.9886627198493</v>
      </c>
      <c r="K1713" t="s">
        <v>18952</v>
      </c>
      <c r="L1713" t="s">
        <v>18953</v>
      </c>
      <c r="M1713" t="s">
        <v>18954</v>
      </c>
      <c r="N1713">
        <f>-641.068950864694 -96.1867951047 -559.037441191745</f>
        <v>-1296.293187161139</v>
      </c>
      <c r="O1713">
        <f>-620.999211005888 -228.607633719438 -528.047729370675</f>
        <v>-1377.6545740960009</v>
      </c>
      <c r="P1713">
        <f>-624.643199040226 -281.449529311869 -238.590284781079</f>
        <v>-1144.683013133174</v>
      </c>
      <c r="Q1713">
        <f>-453.955667809906 -127.731850428969 -311.305556409606</f>
        <v>-892.99307464848107</v>
      </c>
      <c r="R1713" t="s">
        <v>18955</v>
      </c>
      <c r="S1713" t="s">
        <v>18956</v>
      </c>
      <c r="T1713" t="s">
        <v>18957</v>
      </c>
      <c r="U1713" t="s">
        <v>18958</v>
      </c>
      <c r="V1713">
        <f>-592.089875897736 -143.733571946364 -97.1469616089297</f>
        <v>-832.97040945302967</v>
      </c>
      <c r="W1713" t="s">
        <v>18959</v>
      </c>
      <c r="X1713" t="s">
        <v>18960</v>
      </c>
      <c r="Y1713" t="s">
        <v>18961</v>
      </c>
    </row>
    <row r="1714" spans="1:25" x14ac:dyDescent="0.3">
      <c r="A1714">
        <v>85650</v>
      </c>
      <c r="B1714" t="s">
        <v>18962</v>
      </c>
      <c r="C1714">
        <f>-617.247101072178 -51.5475490190693 -99.3340514835334</f>
        <v>-768.12870157478062</v>
      </c>
      <c r="D1714">
        <f>-636.432444750001 -60.8090986337626 -213.186513276794</f>
        <v>-910.42805666055756</v>
      </c>
      <c r="E1714">
        <f>-643.839835445842 -64.9458676933129 -311.444726734935</f>
        <v>-1020.23042987409</v>
      </c>
      <c r="F1714">
        <f>-647.443208109656 -67.4090492402225 -400.434558016572</f>
        <v>-1115.2868153664506</v>
      </c>
      <c r="G1714">
        <f>-647.58001149328 -68.5895058288161 -489.523440804861</f>
        <v>-1205.6929581269571</v>
      </c>
      <c r="H1714">
        <f>-644.111372821146 -68.9587088186729 -614.057103256349</f>
        <v>-1327.1271848961678</v>
      </c>
      <c r="I1714">
        <f>-619.572384746319 -65.7125847515134 -693.381323177902</f>
        <v>-1378.6662926757344</v>
      </c>
      <c r="J1714">
        <f>-650.122490417583 -41.4532613012964 -559.461987826723</f>
        <v>-1251.0377395456023</v>
      </c>
      <c r="K1714" t="s">
        <v>18963</v>
      </c>
      <c r="L1714" t="s">
        <v>18964</v>
      </c>
      <c r="M1714" t="s">
        <v>18965</v>
      </c>
      <c r="N1714">
        <f>-641.152991516099 -96.1391327089534 -559.049963342883</f>
        <v>-1296.3420875679353</v>
      </c>
      <c r="O1714">
        <f>-621.111474413779 -228.55400223379 -528.028254871851</f>
        <v>-1377.69373151942</v>
      </c>
      <c r="P1714">
        <f>-624.805114260553 -281.375842683847 -238.567732197724</f>
        <v>-1144.748689142124</v>
      </c>
      <c r="Q1714">
        <f>-454.05608498531 -127.69442789737 -311.214990716669</f>
        <v>-892.96550359934895</v>
      </c>
      <c r="R1714" t="s">
        <v>18966</v>
      </c>
      <c r="S1714" t="s">
        <v>18967</v>
      </c>
      <c r="T1714" t="s">
        <v>18968</v>
      </c>
      <c r="U1714" t="s">
        <v>18969</v>
      </c>
      <c r="V1714">
        <f>-592.131020938259 -143.620258077516 -97.1589809922353</f>
        <v>-832.91026000801037</v>
      </c>
      <c r="W1714" t="s">
        <v>18970</v>
      </c>
      <c r="X1714" t="s">
        <v>18971</v>
      </c>
      <c r="Y1714" t="s">
        <v>18972</v>
      </c>
    </row>
    <row r="1715" spans="1:25" x14ac:dyDescent="0.3">
      <c r="A1715">
        <v>85700</v>
      </c>
      <c r="B1715" t="s">
        <v>18973</v>
      </c>
      <c r="C1715">
        <f>-617.422690232261 -51.2242661847683 -99.3621380501638</f>
        <v>-768.00909446719311</v>
      </c>
      <c r="D1715">
        <f>-636.617500914688 -60.4854769233892 -213.212994413354</f>
        <v>-910.31597225143128</v>
      </c>
      <c r="E1715">
        <f>-644.033244796804 -64.639460585859 -311.46988483821</f>
        <v>-1020.142590220873</v>
      </c>
      <c r="F1715">
        <f>-647.644478200719 -67.1254900619423 -400.458639315402</f>
        <v>-1115.2286075780635</v>
      </c>
      <c r="G1715">
        <f>-647.789670869453 -68.3357048695814 -489.547235584417</f>
        <v>-1205.6726113234513</v>
      </c>
      <c r="H1715">
        <f>-644.333301226847 -68.7542077904882 -614.081098522851</f>
        <v>-1327.1686075401863</v>
      </c>
      <c r="I1715">
        <f>-619.744032480162 -65.5538639030585 -693.391540403763</f>
        <v>-1378.6894367869836</v>
      </c>
      <c r="J1715">
        <f>-650.331308243226 -41.2258689460718 -559.496041442977</f>
        <v>-1251.0532186322748</v>
      </c>
      <c r="K1715" t="s">
        <v>18974</v>
      </c>
      <c r="L1715" t="s">
        <v>18975</v>
      </c>
      <c r="M1715" t="s">
        <v>18976</v>
      </c>
      <c r="N1715">
        <f>-641.377218922592 -95.9141784082677 -559.063625644133</f>
        <v>-1296.3550229749926</v>
      </c>
      <c r="O1715">
        <f>-621.363562506569 -228.321134453573 -527.988110214162</f>
        <v>-1377.6728071743041</v>
      </c>
      <c r="P1715">
        <f>-625.231379397908 -280.992047190622 -238.502215782937</f>
        <v>-1144.7256423714668</v>
      </c>
      <c r="Q1715">
        <f>-454.319526284808 -127.460212010519 -311.083212934314</f>
        <v>-892.862951229641</v>
      </c>
      <c r="R1715" t="s">
        <v>18977</v>
      </c>
      <c r="S1715" t="s">
        <v>18978</v>
      </c>
      <c r="T1715" t="s">
        <v>18979</v>
      </c>
      <c r="U1715" t="s">
        <v>18980</v>
      </c>
      <c r="V1715">
        <f>-592.31032977381 -143.274865054541 -97.1799021108319</f>
        <v>-832.76509693918297</v>
      </c>
      <c r="W1715" t="s">
        <v>18981</v>
      </c>
      <c r="X1715" t="s">
        <v>18982</v>
      </c>
      <c r="Y1715" t="s">
        <v>18983</v>
      </c>
    </row>
    <row r="1716" spans="1:25" x14ac:dyDescent="0.3">
      <c r="A1716">
        <v>85750</v>
      </c>
      <c r="B1716" t="s">
        <v>18984</v>
      </c>
      <c r="C1716">
        <f>-617.535352420741 -51.1076426833027 -99.3757101300997</f>
        <v>-768.01870523414345</v>
      </c>
      <c r="D1716">
        <f>-636.715285976336 -60.369009535399 -213.229037424457</f>
        <v>-910.31333293619196</v>
      </c>
      <c r="E1716">
        <f>-644.127688932643 -64.530320657016 -311.485865710094</f>
        <v>-1020.1438752997529</v>
      </c>
      <c r="F1716">
        <f>-647.739831334006 -67.0256116538051 -400.474484511659</f>
        <v>-1115.23992749947</v>
      </c>
      <c r="G1716">
        <f>-647.889891923855 -68.2480011016189 -489.562735654763</f>
        <v>-1205.7006286802368</v>
      </c>
      <c r="H1716">
        <f>-644.444486506432 -68.6862157258914 -614.096956081389</f>
        <v>-1327.2276583137123</v>
      </c>
      <c r="I1716">
        <f>-619.839997652363 -65.4989964315456 -693.403210868585</f>
        <v>-1378.7422049524935</v>
      </c>
      <c r="J1716">
        <f>-650.434317844079 -41.1487176988992 -559.515584985995</f>
        <v>-1251.0986205289732</v>
      </c>
      <c r="K1716" t="s">
        <v>18985</v>
      </c>
      <c r="L1716" t="s">
        <v>18986</v>
      </c>
      <c r="M1716" t="s">
        <v>18987</v>
      </c>
      <c r="N1716">
        <f>-641.486949272477 -95.8379940029349 -559.075579875236</f>
        <v>-1296.400523150648</v>
      </c>
      <c r="O1716">
        <f>-621.491522078183 -228.242679697166 -527.979078641796</f>
        <v>-1377.7132804171451</v>
      </c>
      <c r="P1716">
        <f>-625.387047746704 -280.888423915827 -238.48904280035</f>
        <v>-1144.7645144628809</v>
      </c>
      <c r="Q1716">
        <f>-454.443079900711 -127.416733188297 -311.121498672683</f>
        <v>-892.9813117616909</v>
      </c>
      <c r="R1716" t="s">
        <v>18988</v>
      </c>
      <c r="S1716" t="s">
        <v>18989</v>
      </c>
      <c r="T1716" t="s">
        <v>18990</v>
      </c>
      <c r="U1716" t="s">
        <v>18991</v>
      </c>
      <c r="V1716">
        <f>-592.411475288597 -143.229522230406 -97.1929306707793</f>
        <v>-832.83392818978234</v>
      </c>
      <c r="W1716" t="s">
        <v>18992</v>
      </c>
      <c r="X1716" t="s">
        <v>18993</v>
      </c>
      <c r="Y1716" t="s">
        <v>18994</v>
      </c>
    </row>
    <row r="1717" spans="1:25" x14ac:dyDescent="0.3">
      <c r="A1717">
        <v>85800</v>
      </c>
      <c r="B1717" t="s">
        <v>18995</v>
      </c>
      <c r="C1717">
        <f>-617.589872721576 -51.0282649377899 -99.3897325842684</f>
        <v>-768.00787024363422</v>
      </c>
      <c r="D1717">
        <f>-636.774509269088 -60.2841589026744 -213.242601515627</f>
        <v>-910.30126968738944</v>
      </c>
      <c r="E1717">
        <f>-644.188305834991 -64.4449546164682 -311.499393687332</f>
        <v>-1020.1326541387912</v>
      </c>
      <c r="F1717">
        <f>-647.800767110221 -66.941212773501 -400.487855554978</f>
        <v>-1115.2298354387001</v>
      </c>
      <c r="G1717">
        <f>-647.950085760337 -68.166121886931 -489.576193293856</f>
        <v>-1205.6924009411241</v>
      </c>
      <c r="H1717">
        <f>-644.502700329649 -68.6096204502574 -614.110231733281</f>
        <v>-1327.2225525131873</v>
      </c>
      <c r="I1717">
        <f>-619.876897093625 -65.4247113379091 -693.409966212811</f>
        <v>-1378.7115746443451</v>
      </c>
      <c r="J1717">
        <f>-650.490749067112 -41.0693774738779 -559.530089567061</f>
        <v>-1251.090216108051</v>
      </c>
      <c r="K1717" t="s">
        <v>18996</v>
      </c>
      <c r="L1717" t="s">
        <v>18997</v>
      </c>
      <c r="M1717" t="s">
        <v>18998</v>
      </c>
      <c r="N1717">
        <f>-641.548755258719 -95.7595343663197 -559.087798071941</f>
        <v>-1296.3960876969797</v>
      </c>
      <c r="O1717">
        <f>-621.571452454865 -228.167957847627 -527.983363591351</f>
        <v>-1377.7227738938432</v>
      </c>
      <c r="P1717">
        <f>-625.50369544346 -280.772969490805 -238.486441345187</f>
        <v>-1144.7631062794519</v>
      </c>
      <c r="Q1717">
        <f>-454.528378250139 -127.350555984812 -311.149090603126</f>
        <v>-893.02802483807704</v>
      </c>
      <c r="R1717" t="s">
        <v>18999</v>
      </c>
      <c r="S1717" t="s">
        <v>19000</v>
      </c>
      <c r="T1717" t="s">
        <v>19001</v>
      </c>
      <c r="U1717" t="s">
        <v>19002</v>
      </c>
      <c r="V1717">
        <f>-592.491120496725 -143.124725645253 -97.2006477610005</f>
        <v>-832.81649390297844</v>
      </c>
      <c r="W1717" t="s">
        <v>19003</v>
      </c>
      <c r="X1717" t="s">
        <v>19004</v>
      </c>
      <c r="Y1717" t="s">
        <v>19005</v>
      </c>
    </row>
    <row r="1718" spans="1:25" x14ac:dyDescent="0.3">
      <c r="A1718">
        <v>85850</v>
      </c>
      <c r="B1718" t="s">
        <v>19006</v>
      </c>
      <c r="C1718">
        <f>-617.553161412516 -50.7652212312498 -99.3950543132644</f>
        <v>-767.71343695703024</v>
      </c>
      <c r="D1718">
        <f>-636.757476728869 -60.0137816193544 -213.245276478161</f>
        <v>-910.01653482638449</v>
      </c>
      <c r="E1718">
        <f>-644.182475645258 -64.1742244960727 -311.50119710086</f>
        <v>-1019.8578972421908</v>
      </c>
      <c r="F1718">
        <f>-647.802846372593 -66.6725863729562 -400.489331236194</f>
        <v>-1114.9647639817431</v>
      </c>
      <c r="G1718">
        <f>-647.958050375295 -67.9018418072616 -489.577601585293</f>
        <v>-1205.4374937678494</v>
      </c>
      <c r="H1718">
        <f>-644.51687215229 -68.3534092163223 -614.111714875794</f>
        <v>-1326.9819962444062</v>
      </c>
      <c r="I1718">
        <f>-619.838497311537 -65.161248974917 -693.394891817446</f>
        <v>-1378.3946381039</v>
      </c>
      <c r="J1718">
        <f>-650.502462302874 -40.8097082678089 -559.533087028176</f>
        <v>-1250.845257598859</v>
      </c>
      <c r="K1718" t="s">
        <v>19007</v>
      </c>
      <c r="L1718" t="s">
        <v>19008</v>
      </c>
      <c r="M1718" t="s">
        <v>19009</v>
      </c>
      <c r="N1718">
        <f>-641.559867520066 -95.4996752577301 -559.087644458399</f>
        <v>-1296.1471872361951</v>
      </c>
      <c r="O1718">
        <f>-621.569147049209 -227.90405238364 -527.989642300457</f>
        <v>-1377.462841733306</v>
      </c>
      <c r="P1718">
        <f>-625.578161539322 -280.495324274545 -238.491350334629</f>
        <v>-1144.5648361484959</v>
      </c>
      <c r="Q1718">
        <f>-454.612027588145 -127.061639718018 -311.152121141154</f>
        <v>-892.825788447317</v>
      </c>
      <c r="R1718" t="s">
        <v>19010</v>
      </c>
      <c r="S1718" t="s">
        <v>19011</v>
      </c>
      <c r="T1718" t="s">
        <v>19012</v>
      </c>
      <c r="U1718" t="s">
        <v>19013</v>
      </c>
      <c r="V1718">
        <f>-592.464953007851 -142.77952420829 -97.2127994135594</f>
        <v>-832.45727662970046</v>
      </c>
      <c r="W1718" t="s">
        <v>19014</v>
      </c>
      <c r="X1718" t="s">
        <v>19015</v>
      </c>
      <c r="Y1718" t="s">
        <v>19016</v>
      </c>
    </row>
    <row r="1719" spans="1:25" x14ac:dyDescent="0.3">
      <c r="A1719">
        <v>85900</v>
      </c>
      <c r="B1719" t="s">
        <v>19017</v>
      </c>
      <c r="C1719">
        <f>-617.52787393251 -50.6918571149564 -99.3728039440886</f>
        <v>-767.592534991555</v>
      </c>
      <c r="D1719">
        <f>-636.76467881645 -59.9327926919318 -213.218289365478</f>
        <v>-909.91576087385977</v>
      </c>
      <c r="E1719">
        <f>-644.253145702845 -64.0823548688287 -311.469814258658</f>
        <v>-1019.8053148303318</v>
      </c>
      <c r="F1719">
        <f>-647.945444953197 -66.5684383815511 -400.455246050389</f>
        <v>-1114.9691293851372</v>
      </c>
      <c r="G1719">
        <f>-648.186903873176 -67.7824662359055 -489.543439981986</f>
        <v>-1205.5128100910674</v>
      </c>
      <c r="H1719">
        <f>-644.881349587193 -68.2093147557534 -614.081481634989</f>
        <v>-1327.1721459779355</v>
      </c>
      <c r="I1719">
        <f>-620.173598165439 -65.0004773147422 -693.354729346687</f>
        <v>-1378.5288048268681</v>
      </c>
      <c r="J1719">
        <f>-650.814908530198 -40.6776463973717 -559.491060398364</f>
        <v>-1250.9836153259337</v>
      </c>
      <c r="K1719" t="s">
        <v>19018</v>
      </c>
      <c r="L1719" t="s">
        <v>19019</v>
      </c>
      <c r="M1719" t="s">
        <v>19020</v>
      </c>
      <c r="N1719">
        <f>-641.857085141846 -95.3652907969489 -559.06587781997</f>
        <v>-1296.2882537587648</v>
      </c>
      <c r="O1719">
        <f>-621.764437583402 -227.766591995013 -528.025149866156</f>
        <v>-1377.5561794445709</v>
      </c>
      <c r="P1719">
        <f>-625.839327875396 -280.390944130829 -238.53376732972</f>
        <v>-1144.764039335945</v>
      </c>
      <c r="Q1719">
        <f>-454.874475600694 -126.851750169177 -310.97421063482</f>
        <v>-892.700436404691</v>
      </c>
      <c r="R1719" t="s">
        <v>19021</v>
      </c>
      <c r="S1719" t="s">
        <v>19022</v>
      </c>
      <c r="T1719" t="s">
        <v>19023</v>
      </c>
      <c r="U1719" t="s">
        <v>19024</v>
      </c>
      <c r="V1719">
        <f>-592.462803274533 -142.760802226808 -97.2000138291355</f>
        <v>-832.42361933047653</v>
      </c>
      <c r="W1719" t="s">
        <v>19025</v>
      </c>
      <c r="X1719" t="s">
        <v>19026</v>
      </c>
      <c r="Y1719" t="s">
        <v>19027</v>
      </c>
    </row>
    <row r="1720" spans="1:25" x14ac:dyDescent="0.3">
      <c r="A1720">
        <v>85950</v>
      </c>
      <c r="B1720" t="s">
        <v>19028</v>
      </c>
      <c r="C1720">
        <f>-617.580987295238 -50.6314482216877 -99.3653973292755</f>
        <v>-767.5778328462012</v>
      </c>
      <c r="D1720">
        <f>-636.846476646663 -59.8664855545533 -213.206420089218</f>
        <v>-909.91938229043421</v>
      </c>
      <c r="E1720">
        <f>-644.379817334606 -64.0148182095785 -311.454452097309</f>
        <v>-1019.8490876414935</v>
      </c>
      <c r="F1720">
        <f>-648.120859411288 -66.5009242078008 -400.438057963752</f>
        <v>-1115.0598415828408</v>
      </c>
      <c r="G1720">
        <f>-648.419442957849 -67.7158974680003 -489.526065457201</f>
        <v>-1205.6614058830503</v>
      </c>
      <c r="H1720">
        <f>-645.202333265346 -68.144877915847 -614.06634056274</f>
        <v>-1327.4135517439331</v>
      </c>
      <c r="I1720">
        <f>-620.483175176301 -64.9220462709509 -693.335563415879</f>
        <v>-1378.740784863131</v>
      </c>
      <c r="J1720">
        <f>-651.101188121464 -40.6129708031353 -559.47225055512</f>
        <v>-1251.1864094797193</v>
      </c>
      <c r="K1720" t="s">
        <v>19029</v>
      </c>
      <c r="L1720" t="s">
        <v>19030</v>
      </c>
      <c r="M1720" t="s">
        <v>19031</v>
      </c>
      <c r="N1720">
        <f>-642.134844282492 -95.2992560959033 -559.052286127552</f>
        <v>-1296.4863865059474</v>
      </c>
      <c r="O1720">
        <f>-621.95514772336 -227.697927939435 -528.046553352487</f>
        <v>-1377.699629015282</v>
      </c>
      <c r="P1720">
        <f>-626.004771922129 -280.32838751487 -238.555904579913</f>
        <v>-1144.889064016912</v>
      </c>
      <c r="Q1720">
        <f>-455.085773189985 -126.7050643805 -310.926423079778</f>
        <v>-892.71726065026292</v>
      </c>
      <c r="R1720" t="s">
        <v>19032</v>
      </c>
      <c r="S1720" t="s">
        <v>19033</v>
      </c>
      <c r="T1720" t="s">
        <v>19034</v>
      </c>
      <c r="U1720" t="s">
        <v>19035</v>
      </c>
      <c r="V1720">
        <f>-592.508780690565 -142.726357301527 -97.2048073836015</f>
        <v>-832.43994537569347</v>
      </c>
      <c r="W1720" t="s">
        <v>19036</v>
      </c>
      <c r="X1720" t="s">
        <v>19037</v>
      </c>
      <c r="Y1720" t="s">
        <v>19038</v>
      </c>
    </row>
    <row r="1721" spans="1:25" x14ac:dyDescent="0.3">
      <c r="A1721">
        <v>86000</v>
      </c>
      <c r="B1721" t="s">
        <v>19039</v>
      </c>
      <c r="C1721">
        <f>-617.781961023457 -50.5971521925367 -99.3744846955424</f>
        <v>-767.75359791153608</v>
      </c>
      <c r="D1721">
        <f>-637.126582864823 -59.8470186259264 -213.200895330068</f>
        <v>-910.17449682081735</v>
      </c>
      <c r="E1721">
        <f>-644.750192889098 -63.9944718367436 -311.442006956977</f>
        <v>-1020.1866716828187</v>
      </c>
      <c r="F1721">
        <f>-648.581686597871 -66.4737937022416 -400.422006928984</f>
        <v>-1115.4774872290966</v>
      </c>
      <c r="G1721">
        <f>-648.979510385634 -67.6756142890113 -489.509800155946</f>
        <v>-1206.1649248305912</v>
      </c>
      <c r="H1721">
        <f>-645.910220385652 -68.0790948003254 -614.053840903457</f>
        <v>-1328.0431560894344</v>
      </c>
      <c r="I1721">
        <f>-621.157135432182 -64.7936687422805 -693.309893762472</f>
        <v>-1379.2606979369345</v>
      </c>
      <c r="J1721">
        <f>-651.753130910412 -40.5598915902888 -559.447466947064</f>
        <v>-1251.7604894477647</v>
      </c>
      <c r="K1721" t="s">
        <v>19040</v>
      </c>
      <c r="L1721" t="s">
        <v>19041</v>
      </c>
      <c r="M1721" t="s">
        <v>19042</v>
      </c>
      <c r="N1721">
        <f>-642.768531816977 -95.2433275454773 -559.048858577829</f>
        <v>-1297.0607179402832</v>
      </c>
      <c r="O1721">
        <f>-622.452861613385 -227.65210608245 -528.164924244935</f>
        <v>-1378.2698919407701</v>
      </c>
      <c r="P1721">
        <f>-626.469411163679 -280.466900528647 -238.707341146915</f>
        <v>-1145.643652839241</v>
      </c>
      <c r="Q1721">
        <f>-455.793320637418 -126.397843567527 -310.702224672491</f>
        <v>-892.89338887743611</v>
      </c>
      <c r="R1721" t="s">
        <v>19043</v>
      </c>
      <c r="S1721" t="s">
        <v>19044</v>
      </c>
      <c r="T1721" t="s">
        <v>19045</v>
      </c>
      <c r="U1721" t="s">
        <v>19046</v>
      </c>
      <c r="V1721">
        <f>-592.689781696608 -142.730794777661 -97.2168237860833</f>
        <v>-832.63740026035225</v>
      </c>
      <c r="W1721" t="s">
        <v>19047</v>
      </c>
      <c r="X1721" t="s">
        <v>19048</v>
      </c>
      <c r="Y1721" t="s">
        <v>19049</v>
      </c>
    </row>
    <row r="1722" spans="1:25" x14ac:dyDescent="0.3">
      <c r="A1722">
        <v>86050</v>
      </c>
      <c r="B1722" t="s">
        <v>19050</v>
      </c>
      <c r="C1722">
        <f>-617.924325267385 -50.5993921199566 -99.3797186716548</f>
        <v>-767.90343605899648</v>
      </c>
      <c r="D1722">
        <f>-637.300717500001 -59.8462766875793 -213.200937804458</f>
        <v>-910.34793199203841</v>
      </c>
      <c r="E1722">
        <f>-644.965601053409 -63.9850154329947 -311.43935379735</f>
        <v>-1020.3899702837538</v>
      </c>
      <c r="F1722">
        <f>-648.84013348206 -66.4535989701172 -400.417623311433</f>
        <v>-1115.7113557636103</v>
      </c>
      <c r="G1722">
        <f>-649.286551753319 -67.6415063439422 -489.505402171638</f>
        <v>-1206.4334602688991</v>
      </c>
      <c r="H1722">
        <f>-646.291096239549 -68.0221016566663 -614.051331434426</f>
        <v>-1328.3645293306413</v>
      </c>
      <c r="I1722">
        <f>-621.518938620842 -64.7020385390016 -693.299977082122</f>
        <v>-1379.5209542419657</v>
      </c>
      <c r="J1722">
        <f>-652.098709727255 -40.5123773443729 -559.436307131653</f>
        <v>-1252.0473942032809</v>
      </c>
      <c r="K1722" t="s">
        <v>19051</v>
      </c>
      <c r="L1722" t="s">
        <v>19052</v>
      </c>
      <c r="M1722" t="s">
        <v>19053</v>
      </c>
      <c r="N1722">
        <f>-643.119863348707 -95.1968922888623 -559.053354958449</f>
        <v>-1297.3701105960181</v>
      </c>
      <c r="O1722">
        <f>-622.762447798625 -227.619945891076 -528.266931760026</f>
        <v>-1378.6493254497268</v>
      </c>
      <c r="P1722">
        <f>-626.744963470273 -280.515482748265 -238.823595072205</f>
        <v>-1146.084041290743</v>
      </c>
      <c r="Q1722">
        <f>-456.166053792082 -126.08267442575 -310.267549833715</f>
        <v>-892.51627805154703</v>
      </c>
      <c r="R1722" t="s">
        <v>19054</v>
      </c>
      <c r="S1722" t="s">
        <v>19055</v>
      </c>
      <c r="T1722" t="s">
        <v>19056</v>
      </c>
      <c r="U1722" t="s">
        <v>19057</v>
      </c>
      <c r="V1722">
        <f>-592.88158997256 -142.724066516045 -97.2226260781131</f>
        <v>-832.82828256671814</v>
      </c>
      <c r="W1722" t="s">
        <v>19058</v>
      </c>
      <c r="X1722" t="s">
        <v>19059</v>
      </c>
      <c r="Y1722" t="s">
        <v>19060</v>
      </c>
    </row>
    <row r="1723" spans="1:25" x14ac:dyDescent="0.3">
      <c r="A1723">
        <v>86100</v>
      </c>
      <c r="B1723" t="s">
        <v>19061</v>
      </c>
      <c r="C1723">
        <f>-618.328766930768 -50.3744611806219 -99.3797524000996</f>
        <v>-768.0829805114895</v>
      </c>
      <c r="D1723">
        <f>-637.782416215787 -59.6258551082688 -213.187409954519</f>
        <v>-910.59568127857472</v>
      </c>
      <c r="E1723">
        <f>-645.603815210382 -63.75221802259 -311.413939067435</f>
        <v>-1020.7699723004071</v>
      </c>
      <c r="F1723">
        <f>-649.65626024617 -66.2013017523176 -400.38487955217</f>
        <v>-1116.2424415506575</v>
      </c>
      <c r="G1723">
        <f>-650.316917187524 -67.3605824515557 -489.471735917986</f>
        <v>-1207.1492355570658</v>
      </c>
      <c r="H1723">
        <f>-647.658602976222 -67.6911198730336 -614.025433825192</f>
        <v>-1329.3751566744477</v>
      </c>
      <c r="I1723">
        <f>-622.930997114002 -64.3433120859473 -693.28688432247</f>
        <v>-1380.5611935224192</v>
      </c>
      <c r="J1723">
        <f>-653.300739215844 -40.2004183687466 -559.383593674227</f>
        <v>-1252.8847512588177</v>
      </c>
      <c r="K1723" t="s">
        <v>19062</v>
      </c>
      <c r="L1723" t="s">
        <v>19063</v>
      </c>
      <c r="M1723" t="s">
        <v>19064</v>
      </c>
      <c r="N1723">
        <f>-644.356061668175 -94.8909070619811 -559.047563282746</f>
        <v>-1298.294532012902</v>
      </c>
      <c r="O1723">
        <f>-624.040388869545 -227.35715360097 -528.426992691198</f>
        <v>-1379.8245351617131</v>
      </c>
      <c r="P1723">
        <f>-628.115862247168 -279.99946725814 -238.938816734694</f>
        <v>-1147.054146240002</v>
      </c>
      <c r="Q1723">
        <f>-456.522050776017 -126.410378448807 -309.768526838363</f>
        <v>-892.70095606318705</v>
      </c>
      <c r="R1723" t="s">
        <v>19065</v>
      </c>
      <c r="S1723" t="s">
        <v>19066</v>
      </c>
      <c r="T1723" t="s">
        <v>19067</v>
      </c>
      <c r="U1723" t="s">
        <v>19068</v>
      </c>
      <c r="V1723">
        <f>-593.355902843222 -142.396154820816 -97.2346449838686</f>
        <v>-832.98670264790667</v>
      </c>
      <c r="W1723" t="s">
        <v>19069</v>
      </c>
      <c r="X1723" t="s">
        <v>19070</v>
      </c>
      <c r="Y1723" t="s">
        <v>19071</v>
      </c>
    </row>
    <row r="1724" spans="1:25" x14ac:dyDescent="0.3">
      <c r="A1724">
        <v>86150</v>
      </c>
      <c r="B1724" t="s">
        <v>19072</v>
      </c>
      <c r="C1724">
        <f>-618.604886183101 -50.3086112312186 -99.3893668288695</f>
        <v>-768.30286424318911</v>
      </c>
      <c r="D1724">
        <f>-638.115689964413 -59.5717983959396 -213.186247773985</f>
        <v>-910.87373613433761</v>
      </c>
      <c r="E1724">
        <f>-646.048368842791 -63.7042836844003 -311.403607422508</f>
        <v>-1021.1562599496992</v>
      </c>
      <c r="F1724">
        <f>-650.226205188915 -66.1567462115529 -400.368739947308</f>
        <v>-1116.7516913477757</v>
      </c>
      <c r="G1724">
        <f>-651.036859628556 -67.3172874792097 -489.454234052454</f>
        <v>-1207.8083811602196</v>
      </c>
      <c r="H1724">
        <f>-648.613866381516 -67.646979172633 -614.012803291799</f>
        <v>-1330.2736488459479</v>
      </c>
      <c r="I1724">
        <f>-623.91984035027 -64.2900037629568 -693.28430053273</f>
        <v>-1381.4941446459566</v>
      </c>
      <c r="J1724">
        <f>-654.139651959263 -40.1545063361095 -559.359921499865</f>
        <v>-1253.6540797952375</v>
      </c>
      <c r="K1724" t="s">
        <v>19073</v>
      </c>
      <c r="L1724" t="s">
        <v>19074</v>
      </c>
      <c r="M1724" t="s">
        <v>19075</v>
      </c>
      <c r="N1724">
        <f>-645.220588888133 -94.8492355096841 -559.041586272898</f>
        <v>-1299.111410670715</v>
      </c>
      <c r="O1724">
        <f>-624.934843713752 -227.343032146716 -528.504579826201</f>
        <v>-1380.782455686669</v>
      </c>
      <c r="P1724">
        <f>-628.95249335651 -279.529461604247 -238.93303039828</f>
        <v>-1147.414985359037</v>
      </c>
      <c r="Q1724">
        <f>-456.676885993699 -126.745866592563 -309.84949472294</f>
        <v>-893.27224730920204</v>
      </c>
      <c r="R1724" t="s">
        <v>19076</v>
      </c>
      <c r="S1724" t="s">
        <v>19077</v>
      </c>
      <c r="T1724" t="s">
        <v>19078</v>
      </c>
      <c r="U1724" t="s">
        <v>19079</v>
      </c>
      <c r="V1724">
        <f>-593.650531299399 -142.348258545749 -97.2483059750238</f>
        <v>-833.24709582017169</v>
      </c>
      <c r="W1724" t="s">
        <v>19080</v>
      </c>
      <c r="X1724" t="s">
        <v>19081</v>
      </c>
      <c r="Y1724" t="s">
        <v>19082</v>
      </c>
    </row>
    <row r="1725" spans="1:25" x14ac:dyDescent="0.3">
      <c r="A1725">
        <v>86200</v>
      </c>
      <c r="B1725" t="s">
        <v>19083</v>
      </c>
      <c r="C1725">
        <f>-619.131940084861 -50.4405812281601 -99.3846506703632</f>
        <v>-768.95717198338423</v>
      </c>
      <c r="D1725">
        <f>-638.751511761622 -59.7555767902713 -213.158688879576</f>
        <v>-911.66577743146945</v>
      </c>
      <c r="E1725">
        <f>-646.906337270818 -63.8914628259621 -311.357817755763</f>
        <v>-1022.1556178525431</v>
      </c>
      <c r="F1725">
        <f>-651.335943530443 -66.329953912054 -400.310950635639</f>
        <v>-1117.9768480781361</v>
      </c>
      <c r="G1725">
        <f>-652.448797135796 -67.4590205547158 -489.393617843772</f>
        <v>-1209.3014355342839</v>
      </c>
      <c r="H1725">
        <f>-650.500278867997 -67.7259731528367 -613.960598133212</f>
        <v>-1332.1868501540457</v>
      </c>
      <c r="I1725">
        <f>-625.850189890203 -64.3240795881422 -693.243874771752</f>
        <v>-1383.4181442500972</v>
      </c>
      <c r="J1725">
        <f>-655.811538708026 -40.2600214517204 -559.273145550127</f>
        <v>-1255.3447057098733</v>
      </c>
      <c r="K1725" t="s">
        <v>19084</v>
      </c>
      <c r="L1725" t="s">
        <v>19085</v>
      </c>
      <c r="M1725" t="s">
        <v>19086</v>
      </c>
      <c r="N1725">
        <f>-646.903874050483 -94.9569434702274 -559.016670893205</f>
        <v>-1300.8774884139152</v>
      </c>
      <c r="O1725">
        <f>-626.549497659709 -227.482701612644 -528.673228941191</f>
        <v>-1382.7054282135441</v>
      </c>
      <c r="P1725">
        <f>-630.264987834339 -279.575438405222 -239.080802959142</f>
        <v>-1148.9212291987028</v>
      </c>
      <c r="Q1725">
        <f>-457.708389460052 -126.810705655901 -309.351856506202</f>
        <v>-893.87095162215496</v>
      </c>
      <c r="R1725" t="s">
        <v>19087</v>
      </c>
      <c r="S1725" t="s">
        <v>19088</v>
      </c>
      <c r="T1725" t="s">
        <v>19089</v>
      </c>
      <c r="U1725" t="s">
        <v>19090</v>
      </c>
      <c r="V1725">
        <f>-594.069225305275 -142.618861992663 -97.2342784293276</f>
        <v>-833.92236572726563</v>
      </c>
      <c r="W1725" t="s">
        <v>19091</v>
      </c>
      <c r="X1725" t="s">
        <v>19092</v>
      </c>
      <c r="Y1725" t="s">
        <v>19093</v>
      </c>
    </row>
    <row r="1726" spans="1:25" x14ac:dyDescent="0.3">
      <c r="A1726">
        <v>86250</v>
      </c>
      <c r="B1726" t="s">
        <v>19094</v>
      </c>
      <c r="C1726">
        <f>-619.302539173907 -50.5123212711652 -99.3722342077965</f>
        <v>-769.18709465286872</v>
      </c>
      <c r="D1726">
        <f>-638.976029128304 -59.8673983726986 -213.133696497725</f>
        <v>-911.97712399872762</v>
      </c>
      <c r="E1726">
        <f>-647.234770127015 -64.0105848587727 -311.323762299114</f>
        <v>-1022.5691172849017</v>
      </c>
      <c r="F1726">
        <f>-651.781063132271 -66.4443766488923 -400.271222038741</f>
        <v>-1118.4966618199044</v>
      </c>
      <c r="G1726">
        <f>-653.033232344258 -67.5568205368041 -489.35223717894</f>
        <v>-1209.9422900600021</v>
      </c>
      <c r="H1726">
        <f>-651.302795390452 -67.787425047676 -613.922503358616</f>
        <v>-1333.012723796744</v>
      </c>
      <c r="I1726">
        <f>-626.681258740585 -64.3577720137312 -693.213401753267</f>
        <v>-1384.2524325075833</v>
      </c>
      <c r="J1726">
        <f>-656.534910704473 -40.3401676942874 -559.217933106943</f>
        <v>-1256.0930115057033</v>
      </c>
      <c r="K1726" t="s">
        <v>19095</v>
      </c>
      <c r="L1726" t="s">
        <v>19096</v>
      </c>
      <c r="M1726" t="s">
        <v>19097</v>
      </c>
      <c r="N1726">
        <f>-647.593640778735 -95.0317179832143 -558.992576039972</f>
        <v>-1301.6179348019214</v>
      </c>
      <c r="O1726">
        <f>-627.106085378816 -227.562544917457 -528.764482263515</f>
        <v>-1383.433112559788</v>
      </c>
      <c r="P1726">
        <f>-630.829448878154 -279.78082551509 -239.194740953469</f>
        <v>-1149.8050153467129</v>
      </c>
      <c r="Q1726">
        <f>-458.403263128886 -126.735476007325 -309.17448670953</f>
        <v>-894.31322584574104</v>
      </c>
      <c r="R1726" t="s">
        <v>19098</v>
      </c>
      <c r="S1726" t="s">
        <v>19099</v>
      </c>
      <c r="T1726" t="s">
        <v>19100</v>
      </c>
      <c r="U1726" t="s">
        <v>19101</v>
      </c>
      <c r="V1726">
        <f>-594.168585826407 -142.740786132719 -97.2195828607773</f>
        <v>-834.12895481990336</v>
      </c>
      <c r="W1726" t="s">
        <v>19102</v>
      </c>
      <c r="X1726" t="s">
        <v>19103</v>
      </c>
      <c r="Y1726" t="s">
        <v>19104</v>
      </c>
    </row>
    <row r="1727" spans="1:25" x14ac:dyDescent="0.3">
      <c r="A1727">
        <v>86300</v>
      </c>
      <c r="B1727" t="s">
        <v>19105</v>
      </c>
      <c r="C1727">
        <f>-619.654616276413 -50.646037976251 -99.4045013647134</f>
        <v>-769.70515561737739</v>
      </c>
      <c r="D1727">
        <f>-639.443296041295 -60.0564841513684 -213.141343423233</f>
        <v>-912.64112361589639</v>
      </c>
      <c r="E1727">
        <f>-647.906077790645 -64.2477122679927 -311.311988247191</f>
        <v>-1023.4657783058287</v>
      </c>
      <c r="F1727">
        <f>-652.679023578856 -66.725071165541 -400.246432629115</f>
        <v>-1119.650527373512</v>
      </c>
      <c r="G1727">
        <f>-654.199835169367 -67.8802027074211 -489.322761153148</f>
        <v>-1211.402799029936</v>
      </c>
      <c r="H1727">
        <f>-652.88875246245 -68.1688183601252 -613.897973035003</f>
        <v>-1334.9555438575783</v>
      </c>
      <c r="I1727">
        <f>-628.351541613251 -64.6919101644731 -693.212980885588</f>
        <v>-1386.2564326633121</v>
      </c>
      <c r="J1727">
        <f>-657.957876123848 -40.6995813229782 -559.189249289883</f>
        <v>-1257.8467067367092</v>
      </c>
      <c r="K1727" t="s">
        <v>19106</v>
      </c>
      <c r="L1727" t="s">
        <v>19107</v>
      </c>
      <c r="M1727" t="s">
        <v>19108</v>
      </c>
      <c r="N1727">
        <f>-648.973482237384 -95.3840974540906 -558.96789224236</f>
        <v>-1303.3254719338347</v>
      </c>
      <c r="O1727">
        <f>-628.270641970812 -227.908046267529 -528.850976404666</f>
        <v>-1385.029664643007</v>
      </c>
      <c r="P1727">
        <f>-631.498433524315 -280.179015173362 -239.284925072207</f>
        <v>-1150.9623737698839</v>
      </c>
      <c r="Q1727">
        <f>-459.554285749999 -126.495643766323 -309.052518068619</f>
        <v>-895.10244758494105</v>
      </c>
      <c r="R1727" t="s">
        <v>19109</v>
      </c>
      <c r="S1727" t="s">
        <v>19110</v>
      </c>
      <c r="T1727" t="s">
        <v>19111</v>
      </c>
      <c r="U1727" t="s">
        <v>19112</v>
      </c>
      <c r="V1727">
        <f>-594.442085059347 -142.896844363429 -97.2296140855472</f>
        <v>-834.56854350832327</v>
      </c>
      <c r="W1727" t="s">
        <v>19113</v>
      </c>
      <c r="X1727" t="s">
        <v>19114</v>
      </c>
      <c r="Y1727" t="s">
        <v>19115</v>
      </c>
    </row>
    <row r="1728" spans="1:25" x14ac:dyDescent="0.3">
      <c r="A1728">
        <v>86350</v>
      </c>
      <c r="B1728" t="s">
        <v>19116</v>
      </c>
      <c r="C1728">
        <f>-619.85161330848 -50.6307824547825 -99.4150344925921</f>
        <v>-769.8974302558546</v>
      </c>
      <c r="D1728">
        <f>-639.670003115246 -60.0789388017837 -213.143625490374</f>
        <v>-912.8925674074037</v>
      </c>
      <c r="E1728">
        <f>-648.222507001948 -64.3083160197787 -311.304827925635</f>
        <v>-1023.8356509473616</v>
      </c>
      <c r="F1728">
        <f>-653.102454875007 -66.8222208182771 -400.232319781288</f>
        <v>-1120.1569954745721</v>
      </c>
      <c r="G1728">
        <f>-654.756158468815 -68.0154135833877 -489.30588573742</f>
        <v>-1212.0774577896227</v>
      </c>
      <c r="H1728">
        <f>-653.657855893346 -68.3583068421094 -613.883089459736</f>
        <v>-1335.8992521951914</v>
      </c>
      <c r="I1728">
        <f>-629.182159814563 -64.8825588740852 -693.2170568485</f>
        <v>-1387.2817755371482</v>
      </c>
      <c r="J1728">
        <f>-658.638439250661 -40.8660107042656 -559.177655912436</f>
        <v>-1258.6821058673627</v>
      </c>
      <c r="K1728" t="s">
        <v>19117</v>
      </c>
      <c r="L1728" t="s">
        <v>19118</v>
      </c>
      <c r="M1728" t="s">
        <v>19119</v>
      </c>
      <c r="N1728">
        <f>-649.643949845555 -95.5488556865233 -558.947895380353</f>
        <v>-1304.1407009124314</v>
      </c>
      <c r="O1728">
        <f>-628.869272747208 -228.063366952255 -528.827366670781</f>
        <v>-1385.7600063702439</v>
      </c>
      <c r="P1728">
        <f>-631.81640749998 -280.308353008444 -239.253551488834</f>
        <v>-1151.3783119972579</v>
      </c>
      <c r="Q1728">
        <f>-460.057036681192 -126.402001421743 -308.984332279025</f>
        <v>-895.44337038195999</v>
      </c>
      <c r="R1728" t="s">
        <v>19120</v>
      </c>
      <c r="S1728" t="s">
        <v>19121</v>
      </c>
      <c r="T1728" t="s">
        <v>19122</v>
      </c>
      <c r="U1728" t="s">
        <v>19123</v>
      </c>
      <c r="V1728">
        <f>-594.544873799873 -142.930151681329 -97.2316237977974</f>
        <v>-834.70664927899941</v>
      </c>
      <c r="W1728" t="s">
        <v>19124</v>
      </c>
      <c r="X1728" t="s">
        <v>19125</v>
      </c>
      <c r="Y1728" t="s">
        <v>19126</v>
      </c>
    </row>
    <row r="1729" spans="1:25" x14ac:dyDescent="0.3">
      <c r="A1729">
        <v>86400</v>
      </c>
      <c r="B1729" t="s">
        <v>19127</v>
      </c>
      <c r="C1729">
        <f>-620.107778653446 -50.5388977349018 -99.4381998424625</f>
        <v>-770.08487623081021</v>
      </c>
      <c r="D1729">
        <f>-639.994126748176 -60.0064540250356 -213.153251762328</f>
        <v>-913.15383253553955</v>
      </c>
      <c r="E1729">
        <f>-648.758902806867 -64.3194926395571 -311.292165500558</f>
        <v>-1024.3705609469821</v>
      </c>
      <c r="F1729">
        <f>-653.893356794584 -66.9344735281832 -400.202432095459</f>
        <v>-1121.0302624182261</v>
      </c>
      <c r="G1729">
        <f>-655.864905797327 -68.2537342005005 -489.267556663537</f>
        <v>-1213.3861966613645</v>
      </c>
      <c r="H1729">
        <f>-655.277140692485 -68.7984658269078 -613.847651664133</f>
        <v>-1337.9232581835258</v>
      </c>
      <c r="I1729">
        <f>-630.974507067748 -65.3696696714393 -693.236982377664</f>
        <v>-1389.5811591168513</v>
      </c>
      <c r="J1729">
        <f>-660.025250939035 -41.2161650439111 -559.166833711358</f>
        <v>-1260.4082496943042</v>
      </c>
      <c r="K1729" t="s">
        <v>19128</v>
      </c>
      <c r="L1729" t="s">
        <v>19129</v>
      </c>
      <c r="M1729" t="s">
        <v>19130</v>
      </c>
      <c r="N1729">
        <f>-651.0463722614 -95.9012709602332 -558.885400782922</f>
        <v>-1305.8330440045552</v>
      </c>
      <c r="O1729">
        <f>-630.176368392417 -228.38558492071 -528.697586413117</f>
        <v>-1387.2595397262439</v>
      </c>
      <c r="P1729">
        <f>-632.727857574712 -280.029016174676 -239.012017378313</f>
        <v>-1151.768891127701</v>
      </c>
      <c r="Q1729">
        <f>-461.23246142178 -126.108129329801 -309.358152617953</f>
        <v>-896.69874336953399</v>
      </c>
      <c r="R1729" t="s">
        <v>19131</v>
      </c>
      <c r="S1729" t="s">
        <v>19132</v>
      </c>
      <c r="T1729" t="s">
        <v>19133</v>
      </c>
      <c r="U1729" t="s">
        <v>19134</v>
      </c>
      <c r="V1729">
        <f>-594.762406023507 -142.958798156793 -97.23535820301</f>
        <v>-834.95656238331003</v>
      </c>
      <c r="W1729" t="s">
        <v>19135</v>
      </c>
      <c r="X1729" t="s">
        <v>19136</v>
      </c>
      <c r="Y1729" t="s">
        <v>19137</v>
      </c>
    </row>
    <row r="1730" spans="1:25" x14ac:dyDescent="0.3">
      <c r="A1730">
        <v>86450</v>
      </c>
      <c r="B1730" t="s">
        <v>19138</v>
      </c>
      <c r="C1730">
        <f>-620.218731836355 -50.3086120092142 -99.4594325408228</f>
        <v>-769.98677638639208</v>
      </c>
      <c r="D1730">
        <f>-640.118368342255 -59.7608733235296 -213.173477156079</f>
        <v>-913.05271882186366</v>
      </c>
      <c r="E1730">
        <f>-648.975564349673 -64.1104094503462 -311.302405831693</f>
        <v>-1024.3883796317123</v>
      </c>
      <c r="F1730">
        <f>-654.226814844531 -66.7781432247598 -400.2042489237</f>
        <v>-1121.2092069929909</v>
      </c>
      <c r="G1730">
        <f>-656.348603626189 -68.1695431918068 -489.265050647487</f>
        <v>-1213.7831974654828</v>
      </c>
      <c r="H1730">
        <f>-656.006374514344 -68.8351292670206 -613.845345079124</f>
        <v>-1338.6868488604887</v>
      </c>
      <c r="I1730">
        <f>-631.7854282294 -65.4450443865097 -693.261177334222</f>
        <v>-1390.4916499501319</v>
      </c>
      <c r="J1730">
        <f>-660.628653640919 -41.1968685127038 -559.182019475338</f>
        <v>-1261.0075416289608</v>
      </c>
      <c r="K1730" t="s">
        <v>19139</v>
      </c>
      <c r="L1730" t="s">
        <v>19140</v>
      </c>
      <c r="M1730" t="s">
        <v>19141</v>
      </c>
      <c r="N1730">
        <f>-651.685260144023 -95.8876356831244 -558.865364221968</f>
        <v>-1306.4382600491153</v>
      </c>
      <c r="O1730">
        <f>-630.880985398039 -228.365072969305 -528.61775148141</f>
        <v>-1387.863809848754</v>
      </c>
      <c r="P1730">
        <f>-633.159907334155 -279.553153252024 -238.849213121416</f>
        <v>-1151.5622737075951</v>
      </c>
      <c r="Q1730">
        <f>-461.520484418861 -125.992382436327 -309.629731422143</f>
        <v>-897.14259827733099</v>
      </c>
      <c r="R1730" t="s">
        <v>19142</v>
      </c>
      <c r="S1730" t="s">
        <v>19143</v>
      </c>
      <c r="T1730" t="s">
        <v>19144</v>
      </c>
      <c r="U1730" t="s">
        <v>19145</v>
      </c>
      <c r="V1730">
        <f>-594.851603116001 -142.709391016282 -97.2547022894976</f>
        <v>-834.81569642178056</v>
      </c>
      <c r="W1730" t="s">
        <v>19146</v>
      </c>
      <c r="X1730" t="s">
        <v>19147</v>
      </c>
      <c r="Y1730" t="s">
        <v>19148</v>
      </c>
    </row>
    <row r="1731" spans="1:25" x14ac:dyDescent="0.3">
      <c r="A1731">
        <v>86500</v>
      </c>
      <c r="B1731" t="s">
        <v>19149</v>
      </c>
      <c r="C1731">
        <f>-620.30842927036 -50.0553229873109 -99.4387784892958</f>
        <v>-769.80253074696668</v>
      </c>
      <c r="D1731">
        <f>-640.227028636968 -59.5049561642581 -213.149781030636</f>
        <v>-912.88176583186214</v>
      </c>
      <c r="E1731">
        <f>-649.187839585481 -63.9553475949626 -311.264685267407</f>
        <v>-1024.4078724478507</v>
      </c>
      <c r="F1731">
        <f>-654.569058620954 -66.7556240619521 -400.154841479611</f>
        <v>-1121.479524162517</v>
      </c>
      <c r="G1731">
        <f>-656.857583682088 -68.3214349993262 -489.208491615472</f>
        <v>-1214.3875102968864</v>
      </c>
      <c r="H1731">
        <f>-656.787239770711 -69.2748427975928 -613.787287623128</f>
        <v>-1339.8493701914317</v>
      </c>
      <c r="I1731">
        <f>-632.670594586857 -66.0350880136773 -693.241256840825</f>
        <v>-1391.9469394413593</v>
      </c>
      <c r="J1731">
        <f>-661.232513225868 -41.5009718346137 -559.178053703887</f>
        <v>-1261.9115387643687</v>
      </c>
      <c r="K1731" t="s">
        <v>19150</v>
      </c>
      <c r="L1731" t="s">
        <v>19151</v>
      </c>
      <c r="M1731" t="s">
        <v>19152</v>
      </c>
      <c r="N1731">
        <f>-652.403855931187 -96.2096352378207 -558.754442404234</f>
        <v>-1307.3679335732418</v>
      </c>
      <c r="O1731">
        <f>-631.778159867092 -228.674419579405 -528.339497257091</f>
        <v>-1388.792076703588</v>
      </c>
      <c r="P1731">
        <f>-633.566722293038 -279.617111967428 -238.524196111383</f>
        <v>-1151.708030371849</v>
      </c>
      <c r="Q1731">
        <f>-461.985130880719 -126.434677731039 -310.258077854963</f>
        <v>-898.67788646672102</v>
      </c>
      <c r="R1731" t="s">
        <v>19153</v>
      </c>
      <c r="S1731" t="s">
        <v>19154</v>
      </c>
      <c r="T1731" t="s">
        <v>19155</v>
      </c>
      <c r="U1731" t="s">
        <v>19156</v>
      </c>
      <c r="V1731">
        <f>-594.98102594437 -142.455545936567 -97.2633411796885</f>
        <v>-834.69991306062548</v>
      </c>
      <c r="W1731" t="s">
        <v>19157</v>
      </c>
      <c r="X1731" t="s">
        <v>19158</v>
      </c>
      <c r="Y1731" t="s">
        <v>19159</v>
      </c>
    </row>
    <row r="1732" spans="1:25" x14ac:dyDescent="0.3">
      <c r="A1732">
        <v>86550</v>
      </c>
      <c r="B1732" t="s">
        <v>19160</v>
      </c>
      <c r="C1732">
        <f>-620.354023575177 -49.9261777264979 -99.4169403401485</f>
        <v>-769.69714164182346</v>
      </c>
      <c r="D1732">
        <f>-640.28310089102 -59.3819638947213 -213.125410558743</f>
        <v>-912.79047534448432</v>
      </c>
      <c r="E1732">
        <f>-649.265869852706 -63.8784389814654 -311.236345444634</f>
        <v>-1024.3806542788054</v>
      </c>
      <c r="F1732">
        <f>-654.672541944504 -66.7370219504186 -400.123089243111</f>
        <v>-1121.5326531380335</v>
      </c>
      <c r="G1732">
        <f>-656.992332899618 -68.3785227267833 -489.174410020886</f>
        <v>-1214.5452656472874</v>
      </c>
      <c r="H1732">
        <f>-656.971851909405 -69.4563484108612 -613.752458357497</f>
        <v>-1340.1806586777632</v>
      </c>
      <c r="I1732">
        <f>-632.872469720454 -66.3123670288618 -693.215337895647</f>
        <v>-1392.4001746449628</v>
      </c>
      <c r="J1732">
        <f>-661.366658947762 -41.6233118198879 -559.169280100273</f>
        <v>-1262.1592508679228</v>
      </c>
      <c r="K1732" t="s">
        <v>19161</v>
      </c>
      <c r="L1732" t="s">
        <v>19162</v>
      </c>
      <c r="M1732" t="s">
        <v>19163</v>
      </c>
      <c r="N1732">
        <f>-652.595048763224 -96.3408031368662 -558.69446527955</f>
        <v>-1307.6303171796401</v>
      </c>
      <c r="O1732">
        <f>-632.075288963205 -228.803652751246 -528.203167898066</f>
        <v>-1389.0821096125169</v>
      </c>
      <c r="P1732">
        <f>-633.83315728005 -279.623449645679 -238.366159206336</f>
        <v>-1151.822766132065</v>
      </c>
      <c r="Q1732">
        <f>-462.231620956588 -126.554146134099 -310.293832501672</f>
        <v>-899.07959959235905</v>
      </c>
      <c r="R1732" t="s">
        <v>19164</v>
      </c>
      <c r="S1732" t="s">
        <v>19165</v>
      </c>
      <c r="T1732" t="s">
        <v>19166</v>
      </c>
      <c r="U1732" t="s">
        <v>19167</v>
      </c>
      <c r="V1732">
        <f>-595.045543004811 -142.278071852043 -97.247214335049</f>
        <v>-834.57082919190293</v>
      </c>
      <c r="W1732" t="s">
        <v>19168</v>
      </c>
      <c r="X1732" t="s">
        <v>19169</v>
      </c>
      <c r="Y1732" t="s">
        <v>19170</v>
      </c>
    </row>
    <row r="1733" spans="1:25" x14ac:dyDescent="0.3">
      <c r="A1733">
        <v>86600</v>
      </c>
      <c r="B1733" t="s">
        <v>19171</v>
      </c>
      <c r="C1733">
        <f>-620.294827209398 -49.9669891306224 -99.3883224898707</f>
        <v>-769.65013882989115</v>
      </c>
      <c r="D1733">
        <f>-640.24774241515 -59.4211932189054 -213.092821665418</f>
        <v>-912.7617572994734</v>
      </c>
      <c r="E1733">
        <f>-649.304048230642 -63.9985320277489 -311.193226052589</f>
        <v>-1024.4958063109798</v>
      </c>
      <c r="F1733">
        <f>-654.799098548343 -66.9633270761054 -400.070989934156</f>
        <v>-1121.8334155586044</v>
      </c>
      <c r="G1733">
        <f>-657.229501602604 -68.7455204477255 -489.116843751546</f>
        <v>-1215.0918658018757</v>
      </c>
      <c r="H1733">
        <f>-657.387453612416 -70.0566468312662 -613.692491942134</f>
        <v>-1341.1365923858161</v>
      </c>
      <c r="I1733">
        <f>-633.317217367492 -67.1389290329739 -693.172899143588</f>
        <v>-1393.629045544054</v>
      </c>
      <c r="J1733">
        <f>-661.641907451367 -42.1116040406957 -559.155439357301</f>
        <v>-1262.9089508493639</v>
      </c>
      <c r="K1733" t="s">
        <v>19172</v>
      </c>
      <c r="L1733" t="s">
        <v>19173</v>
      </c>
      <c r="M1733" t="s">
        <v>19174</v>
      </c>
      <c r="N1733">
        <f>-652.994053455121 -96.8478513016505 -558.590315503263</f>
        <v>-1308.4322202600347</v>
      </c>
      <c r="O1733">
        <f>-632.681091831059 -229.318805101771 -527.96953526192</f>
        <v>-1389.96943219475</v>
      </c>
      <c r="P1733">
        <f>-634.670294292515 -279.833161252139 -238.080705758691</f>
        <v>-1152.5841613033449</v>
      </c>
      <c r="Q1733">
        <f>-462.846646876994 -127.089912815977 -310.170803564833</f>
        <v>-900.10736325780397</v>
      </c>
      <c r="R1733" t="s">
        <v>19175</v>
      </c>
      <c r="S1733" t="s">
        <v>19176</v>
      </c>
      <c r="T1733" t="s">
        <v>19177</v>
      </c>
      <c r="U1733" t="s">
        <v>19178</v>
      </c>
      <c r="V1733">
        <f>-595.033809839625 -142.340328354493 -97.2348638356798</f>
        <v>-834.60900202979769</v>
      </c>
      <c r="W1733" t="s">
        <v>19179</v>
      </c>
      <c r="X1733" t="s">
        <v>19180</v>
      </c>
      <c r="Y1733" t="s">
        <v>19181</v>
      </c>
    </row>
    <row r="1734" spans="1:25" x14ac:dyDescent="0.3">
      <c r="A1734">
        <v>86650</v>
      </c>
      <c r="B1734" t="s">
        <v>19182</v>
      </c>
      <c r="C1734">
        <f>-620.294461079722 -49.9458784728373 -99.3790150578036</f>
        <v>-769.61935461036296</v>
      </c>
      <c r="D1734">
        <f>-640.256110144313 -59.395739348073 -213.082398719392</f>
        <v>-912.73424821177798</v>
      </c>
      <c r="E1734">
        <f>-649.345823810745 -64.0094028388108 -311.178061002266</f>
        <v>-1024.5332876518219</v>
      </c>
      <c r="F1734">
        <f>-654.881944347484 -67.0235215637356 -400.051597333676</f>
        <v>-1121.9570632448956</v>
      </c>
      <c r="G1734">
        <f>-657.364302917998 -68.8722101194254 -489.09450112694</f>
        <v>-1215.3310141643633</v>
      </c>
      <c r="H1734">
        <f>-657.606351051463 -70.2945820184727 -613.668771382458</f>
        <v>-1341.5697044523936</v>
      </c>
      <c r="I1734">
        <f>-633.544748959947 -67.4794516621745 -693.155536086229</f>
        <v>-1394.1797367083504</v>
      </c>
      <c r="J1734">
        <f>-661.78494810349 -42.2946645157183 -559.15415838968</f>
        <v>-1263.2337710088882</v>
      </c>
      <c r="K1734" t="s">
        <v>19183</v>
      </c>
      <c r="L1734" t="s">
        <v>19184</v>
      </c>
      <c r="M1734" t="s">
        <v>19185</v>
      </c>
      <c r="N1734">
        <f>-653.214807459172 -97.0427241900263 -558.545588707749</f>
        <v>-1308.8031203569471</v>
      </c>
      <c r="O1734">
        <f>-633.051433943056 -229.520251959192 -527.869571089076</f>
        <v>-1390.4412569913241</v>
      </c>
      <c r="P1734">
        <f>-635.13015079837 -279.862443081517 -237.951393550718</f>
        <v>-1152.9439874306049</v>
      </c>
      <c r="Q1734">
        <f>-463.299977314165 -127.116464273085 -310.020282164319</f>
        <v>-900.43672375156893</v>
      </c>
      <c r="R1734" t="s">
        <v>19186</v>
      </c>
      <c r="S1734" t="s">
        <v>19187</v>
      </c>
      <c r="T1734" t="s">
        <v>19188</v>
      </c>
      <c r="U1734" t="s">
        <v>19189</v>
      </c>
      <c r="V1734">
        <f>-595.075097003054 -142.27399600971 -97.2137809571005</f>
        <v>-834.56287396986454</v>
      </c>
      <c r="W1734" t="s">
        <v>19190</v>
      </c>
      <c r="X1734" t="s">
        <v>19191</v>
      </c>
      <c r="Y1734" t="s">
        <v>19192</v>
      </c>
    </row>
    <row r="1735" spans="1:25" x14ac:dyDescent="0.3">
      <c r="A1735">
        <v>86700</v>
      </c>
      <c r="B1735" t="s">
        <v>19193</v>
      </c>
      <c r="C1735">
        <f>-620.325732369935 -49.9698344498548 -99.3689070431492</f>
        <v>-769.66447386293908</v>
      </c>
      <c r="D1735">
        <f>-640.29403594203 -59.4294121897184 -213.070232614568</f>
        <v>-912.79368074631634</v>
      </c>
      <c r="E1735">
        <f>-649.382486649939 -64.098665847025 -311.163360138097</f>
        <v>-1024.6445126350609</v>
      </c>
      <c r="F1735">
        <f>-654.915069086177 -67.1826538531295 -400.034703530357</f>
        <v>-1122.1324264696636</v>
      </c>
      <c r="G1735">
        <f>-657.391387528386 -69.1222784743729 -489.075964974094</f>
        <v>-1215.589630976853</v>
      </c>
      <c r="H1735">
        <f>-657.622317612535 -70.6949708330411 -613.648420241542</f>
        <v>-1341.965708687118</v>
      </c>
      <c r="I1735">
        <f>-633.518417904383 -68.014950269827 -693.1270111804</f>
        <v>-1394.6603793546101</v>
      </c>
      <c r="J1735">
        <f>-661.734019244938 -42.6181445836805 -559.168200999096</f>
        <v>-1263.5203648277147</v>
      </c>
      <c r="K1735" t="s">
        <v>19194</v>
      </c>
      <c r="L1735" t="s">
        <v>19195</v>
      </c>
      <c r="M1735" t="s">
        <v>19196</v>
      </c>
      <c r="N1735">
        <f>-653.307357518996 -97.3876743593363 -558.492392190181</f>
        <v>-1309.1874240685133</v>
      </c>
      <c r="O1735">
        <f>-633.41121562829 -229.890280291678 -527.729328311324</f>
        <v>-1391.0308242312922</v>
      </c>
      <c r="P1735">
        <f>-635.728586777655 -280.280425936836 -237.821312091051</f>
        <v>-1153.830324805542</v>
      </c>
      <c r="Q1735">
        <f>-464.142194404357 -127.325549269248 -310.027901284573</f>
        <v>-901.49564495817799</v>
      </c>
      <c r="R1735" t="s">
        <v>19197</v>
      </c>
      <c r="S1735" t="s">
        <v>19198</v>
      </c>
      <c r="T1735" t="s">
        <v>19199</v>
      </c>
      <c r="U1735" t="s">
        <v>19200</v>
      </c>
      <c r="V1735">
        <f>-595.161470928023 -142.328208919506 -97.1849420588543</f>
        <v>-834.67462190638332</v>
      </c>
      <c r="W1735" t="s">
        <v>19201</v>
      </c>
      <c r="X1735" t="s">
        <v>19202</v>
      </c>
      <c r="Y1735" t="s">
        <v>19203</v>
      </c>
    </row>
    <row r="1736" spans="1:25" x14ac:dyDescent="0.3">
      <c r="A1736">
        <v>86750</v>
      </c>
      <c r="B1736" t="s">
        <v>19204</v>
      </c>
      <c r="C1736">
        <f>-620.382864024863 -50.0121168187078 -99.3685665010242</f>
        <v>-769.76354734459505</v>
      </c>
      <c r="D1736">
        <f>-640.339488243572 -59.4666619711544 -213.072377933118</f>
        <v>-912.87852814784435</v>
      </c>
      <c r="E1736">
        <f>-649.407527260517 -64.1556169087041 -311.16647082696</f>
        <v>-1024.7296149961812</v>
      </c>
      <c r="F1736">
        <f>-654.9175765538 -67.2672719863441 -400.038292712301</f>
        <v>-1122.2231412524452</v>
      </c>
      <c r="G1736">
        <f>-657.367394440804 -69.2451866080251 -489.079423226566</f>
        <v>-1215.692004275395</v>
      </c>
      <c r="H1736">
        <f>-657.557297676401 -70.8829260835651 -613.651113224344</f>
        <v>-1342.0913369843101</v>
      </c>
      <c r="I1736">
        <f>-633.412746384695 -68.2485804836381 -693.118891118199</f>
        <v>-1394.7802179865321</v>
      </c>
      <c r="J1736">
        <f>-661.656509796269 -42.7729686022224 -559.187045304321</f>
        <v>-1263.6165237028124</v>
      </c>
      <c r="K1736" t="s">
        <v>19205</v>
      </c>
      <c r="L1736" t="s">
        <v>19206</v>
      </c>
      <c r="M1736" t="s">
        <v>19207</v>
      </c>
      <c r="N1736">
        <f>-653.290929910098 -97.5514351731417 -558.479560499432</f>
        <v>-1309.3219255826716</v>
      </c>
      <c r="O1736">
        <f>-633.499961572865 -230.058963393932 -527.693885533441</f>
        <v>-1391.252810500238</v>
      </c>
      <c r="P1736">
        <f>-635.943900223539 -280.407023640182 -237.779663961673</f>
        <v>-1154.1305878253938</v>
      </c>
      <c r="Q1736">
        <f>-464.329257355964 -127.46956383744 -309.956025461345</f>
        <v>-901.75484665474903</v>
      </c>
      <c r="R1736" t="s">
        <v>19208</v>
      </c>
      <c r="S1736" t="s">
        <v>19209</v>
      </c>
      <c r="T1736" t="s">
        <v>19210</v>
      </c>
      <c r="U1736" t="s">
        <v>19211</v>
      </c>
      <c r="V1736">
        <f>-595.268594388246 -142.411546840606 -97.1762931797255</f>
        <v>-834.85643440857746</v>
      </c>
      <c r="W1736" t="s">
        <v>19212</v>
      </c>
      <c r="X1736" t="s">
        <v>19213</v>
      </c>
      <c r="Y1736" t="s">
        <v>19214</v>
      </c>
    </row>
    <row r="1737" spans="1:25" x14ac:dyDescent="0.3">
      <c r="A1737">
        <v>86800</v>
      </c>
      <c r="B1737" t="s">
        <v>19215</v>
      </c>
      <c r="C1737">
        <f>-620.463253485904 -49.9215079475682 -99.3703519890587</f>
        <v>-769.75511342253094</v>
      </c>
      <c r="D1737">
        <f>-640.403966019309 -59.3648401904319 -213.077864403995</f>
        <v>-912.84667061373591</v>
      </c>
      <c r="E1737">
        <f>-649.453463767567 -64.0726024725731 -311.172756952741</f>
        <v>-1024.698823192881</v>
      </c>
      <c r="F1737">
        <f>-654.945139857118 -67.2127558212931 -400.044769499999</f>
        <v>-1122.2026651784099</v>
      </c>
      <c r="G1737">
        <f>-657.375029469095 -69.2313343597241 -489.085481480489</f>
        <v>-1215.6918453093081</v>
      </c>
      <c r="H1737">
        <f>-657.535726029276 -70.9391479131291 -613.656237006705</f>
        <v>-1342.1311109491103</v>
      </c>
      <c r="I1737">
        <f>-633.336729619573 -68.346348957392 -693.108775189715</f>
        <v>-1394.7918537666801</v>
      </c>
      <c r="J1737">
        <f>-661.614298920476 -42.7934811277373 -559.209034660298</f>
        <v>-1263.6168147085114</v>
      </c>
      <c r="K1737" t="s">
        <v>19216</v>
      </c>
      <c r="L1737" t="s">
        <v>19217</v>
      </c>
      <c r="M1737" t="s">
        <v>19218</v>
      </c>
      <c r="N1737">
        <f>-653.315757478534 -97.5817171874448 -558.468545762589</f>
        <v>-1309.3660204285679</v>
      </c>
      <c r="O1737">
        <f>-633.655056533237 -230.105559810223 -527.653484428586</f>
        <v>-1391.4141007720459</v>
      </c>
      <c r="P1737">
        <f>-636.221051870996 -280.421674026985 -237.734678136194</f>
        <v>-1154.377404034175</v>
      </c>
      <c r="Q1737">
        <f>-464.432655340955 -127.661645544471 -309.873437196335</f>
        <v>-901.96773808176101</v>
      </c>
      <c r="R1737" t="s">
        <v>19219</v>
      </c>
      <c r="S1737" t="s">
        <v>19220</v>
      </c>
      <c r="T1737" t="s">
        <v>19221</v>
      </c>
      <c r="U1737" t="s">
        <v>19222</v>
      </c>
      <c r="V1737">
        <f>-595.385561239534 -142.302484180061 -97.1633834992411</f>
        <v>-834.85142891883618</v>
      </c>
      <c r="W1737" t="s">
        <v>19223</v>
      </c>
      <c r="X1737" t="s">
        <v>19224</v>
      </c>
      <c r="Y1737" t="s">
        <v>19225</v>
      </c>
    </row>
    <row r="1738" spans="1:25" x14ac:dyDescent="0.3">
      <c r="A1738">
        <v>86850</v>
      </c>
      <c r="B1738" t="s">
        <v>19226</v>
      </c>
      <c r="C1738">
        <f>-620.62667304373 -49.8374650007838 -99.3742686101934</f>
        <v>-769.83840665470723</v>
      </c>
      <c r="D1738">
        <f>-640.502179680527 -59.2588368839472 -213.095103161349</f>
        <v>-912.85611972582319</v>
      </c>
      <c r="E1738">
        <f>-649.498079046364 -63.986322469319 -311.193952885446</f>
        <v>-1024.6783544011289</v>
      </c>
      <c r="F1738">
        <f>-654.942872120435 -67.1596313606137 -400.067527328492</f>
        <v>-1122.1700308095408</v>
      </c>
      <c r="G1738">
        <f>-657.327373749331 -69.2279112963176 -489.108367594527</f>
        <v>-1215.6636526401755</v>
      </c>
      <c r="H1738">
        <f>-657.426391839109 -71.0229494542289 -613.67804934389</f>
        <v>-1342.127390637228</v>
      </c>
      <c r="I1738">
        <f>-633.063629288952 -68.4750384756283 -693.082065303162</f>
        <v>-1394.6207330677423</v>
      </c>
      <c r="J1738">
        <f>-661.467464566579 -42.8294346667653 -559.25275222579</f>
        <v>-1263.5496514591343</v>
      </c>
      <c r="K1738" t="s">
        <v>19227</v>
      </c>
      <c r="L1738" t="s">
        <v>19228</v>
      </c>
      <c r="M1738" t="s">
        <v>19229</v>
      </c>
      <c r="N1738">
        <f>-653.298227453926 -97.6365965922577 -558.469406932786</f>
        <v>-1309.4042309789697</v>
      </c>
      <c r="O1738">
        <f>-633.911713338649 -230.1854330156 -527.60078036585</f>
        <v>-1391.6979267200991</v>
      </c>
      <c r="P1738">
        <f>-636.573214508015 -280.575954696845 -237.695758492107</f>
        <v>-1154.844927696967</v>
      </c>
      <c r="Q1738">
        <f>-464.649813776264 -127.932401190828 -309.759417392409</f>
        <v>-902.34163235950098</v>
      </c>
      <c r="R1738" t="s">
        <v>19230</v>
      </c>
      <c r="S1738" t="s">
        <v>19231</v>
      </c>
      <c r="T1738" t="s">
        <v>19232</v>
      </c>
      <c r="U1738" t="s">
        <v>19233</v>
      </c>
      <c r="V1738">
        <f>-595.655141655028 -142.151986278694 -97.1676565320804</f>
        <v>-834.97478446580249</v>
      </c>
      <c r="W1738" t="s">
        <v>19234</v>
      </c>
      <c r="X1738" t="s">
        <v>19235</v>
      </c>
      <c r="Y1738" t="s">
        <v>19236</v>
      </c>
    </row>
    <row r="1739" spans="1:25" x14ac:dyDescent="0.3">
      <c r="A1739">
        <v>86900</v>
      </c>
      <c r="B1739" t="s">
        <v>19237</v>
      </c>
      <c r="C1739">
        <f>-620.87207922491 -49.8079423541827 -99.3778381610759</f>
        <v>-770.05785974016862</v>
      </c>
      <c r="D1739">
        <f>-640.710579096764 -59.2018282067595 -213.107417869347</f>
        <v>-913.01982517287047</v>
      </c>
      <c r="E1739">
        <f>-649.612495753739 -63.9038927602363 -311.21603686144</f>
        <v>-1024.7324253754155</v>
      </c>
      <c r="F1739">
        <f>-654.946976514732 -67.0545950134373 -400.09719447828</f>
        <v>-1122.0987660064493</v>
      </c>
      <c r="G1739">
        <f>-657.195543589357 -69.101939564013 -489.142073902052</f>
        <v>-1215.439557055422</v>
      </c>
      <c r="H1739">
        <f>-657.077576814413 -70.87049803104 -613.712042292955</f>
        <v>-1341.6601171384079</v>
      </c>
      <c r="I1739">
        <f>-632.465613731651 -68.3216415379976 -693.039140026388</f>
        <v>-1393.8263952960367</v>
      </c>
      <c r="J1739">
        <f>-661.175003765497 -42.6829846662422 -559.287928401874</f>
        <v>-1263.1459168336132</v>
      </c>
      <c r="K1739" t="s">
        <v>19238</v>
      </c>
      <c r="L1739" t="s">
        <v>19239</v>
      </c>
      <c r="M1739" t="s">
        <v>19240</v>
      </c>
      <c r="N1739">
        <f>-653.083905672431 -97.5015723134195 -558.502062535336</f>
        <v>-1309.0875405211864</v>
      </c>
      <c r="O1739">
        <f>-633.879636658975 -230.078234026146 -527.629320943765</f>
        <v>-1391.5871916288861</v>
      </c>
      <c r="P1739">
        <f>-636.979668204851 -280.633428316637 -237.757371426707</f>
        <v>-1155.370467948195</v>
      </c>
      <c r="Q1739">
        <f>-465.141343175885 -127.812665487955 -309.648031127878</f>
        <v>-902.60203979171797</v>
      </c>
      <c r="R1739" t="s">
        <v>19241</v>
      </c>
      <c r="S1739" t="s">
        <v>19242</v>
      </c>
      <c r="T1739" t="s">
        <v>19243</v>
      </c>
      <c r="U1739" t="s">
        <v>19244</v>
      </c>
      <c r="V1739">
        <f>-595.946240853523 -142.072991756678 -97.1780458616895</f>
        <v>-835.19727847189051</v>
      </c>
      <c r="W1739" t="s">
        <v>19245</v>
      </c>
      <c r="X1739" t="s">
        <v>19246</v>
      </c>
      <c r="Y1739" t="s">
        <v>19247</v>
      </c>
    </row>
    <row r="1740" spans="1:25" x14ac:dyDescent="0.3">
      <c r="A1740">
        <v>86950</v>
      </c>
      <c r="B1740" t="s">
        <v>19248</v>
      </c>
      <c r="C1740">
        <f>-620.984891165303 -49.839153642316 -99.3865131326436</f>
        <v>-770.21055794026256</v>
      </c>
      <c r="D1740">
        <f>-640.810063118182 -59.2129302402986 -213.12004290113</f>
        <v>-913.14303625961065</v>
      </c>
      <c r="E1740">
        <f>-649.641839445839 -63.8846230164479 -311.236497096396</f>
        <v>-1024.762959558683</v>
      </c>
      <c r="F1740">
        <f>-654.888877439719 -67.0037712855161 -400.123924105903</f>
        <v>-1122.0165728311381</v>
      </c>
      <c r="G1740">
        <f>-657.025771803006 -69.0157959111552 -489.172468257985</f>
        <v>-1215.2140359721461</v>
      </c>
      <c r="H1740">
        <f>-656.726475088245 -70.7319289968691 -613.742721716311</f>
        <v>-1341.2011258014252</v>
      </c>
      <c r="I1740">
        <f>-631.961020635783 -68.1598026662068 -693.021258089979</f>
        <v>-1393.142081391969</v>
      </c>
      <c r="J1740">
        <f>-660.895651286913 -42.5660749834497 -559.312761809394</f>
        <v>-1262.7744880797568</v>
      </c>
      <c r="K1740" t="s">
        <v>19249</v>
      </c>
      <c r="L1740" t="s">
        <v>19250</v>
      </c>
      <c r="M1740" t="s">
        <v>19251</v>
      </c>
      <c r="N1740">
        <f>-652.820694621958 -97.3873328737484 -558.538240488385</f>
        <v>-1308.7462679840914</v>
      </c>
      <c r="O1740">
        <f>-633.656743110528 -229.971504404631 -527.700316757457</f>
        <v>-1391.3285642726159</v>
      </c>
      <c r="P1740">
        <f>-636.978959200376 -280.801973042529 -237.878883883727</f>
        <v>-1155.659816126632</v>
      </c>
      <c r="Q1740">
        <f>-465.252036777152 -127.720551287303 -309.480734278403</f>
        <v>-902.45332234285797</v>
      </c>
      <c r="R1740" t="s">
        <v>19252</v>
      </c>
      <c r="S1740" t="s">
        <v>19253</v>
      </c>
      <c r="T1740" t="s">
        <v>19254</v>
      </c>
      <c r="U1740" t="s">
        <v>19255</v>
      </c>
      <c r="V1740">
        <f>-596.045647452957 -142.138278798576 -97.1914279028471</f>
        <v>-835.37535415438015</v>
      </c>
      <c r="W1740" t="s">
        <v>19256</v>
      </c>
      <c r="X1740" t="s">
        <v>19257</v>
      </c>
      <c r="Y1740" t="s">
        <v>19258</v>
      </c>
    </row>
    <row r="1741" spans="1:25" x14ac:dyDescent="0.3">
      <c r="A1741">
        <v>87000</v>
      </c>
      <c r="B1741" t="s">
        <v>19259</v>
      </c>
      <c r="C1741">
        <f>-621.257427113761 -49.8614017554445 -99.4000278889989</f>
        <v>-770.51885675820438</v>
      </c>
      <c r="D1741">
        <f>-641.031766840678 -59.1942966278642 -213.145739823885</f>
        <v>-913.37180329242722</v>
      </c>
      <c r="E1741">
        <f>-649.694937309042 -63.7950942990178 -311.280568173894</f>
        <v>-1024.7705997819537</v>
      </c>
      <c r="F1741">
        <f>-654.73812329288 -66.8376176193362 -400.182487014339</f>
        <v>-1121.7582279265553</v>
      </c>
      <c r="G1741">
        <f>-656.619537870723 -68.7625719842806 -489.238662768356</f>
        <v>-1214.6207726233597</v>
      </c>
      <c r="H1741">
        <f>-655.908303231597 -70.3470417895168 -613.809174825832</f>
        <v>-1340.0645198469456</v>
      </c>
      <c r="I1741">
        <f>-630.801810971866 -67.6785386373964 -692.977111532551</f>
        <v>-1391.4574611418134</v>
      </c>
      <c r="J1741">
        <f>-660.241654168486 -42.2365952297594 -559.363328584824</f>
        <v>-1261.8415779830693</v>
      </c>
      <c r="K1741" t="s">
        <v>19260</v>
      </c>
      <c r="L1741" t="s">
        <v>19261</v>
      </c>
      <c r="M1741" t="s">
        <v>19262</v>
      </c>
      <c r="N1741">
        <f>-652.200868314077 -97.063133016531 -558.620228907641</f>
        <v>-1307.8842302382491</v>
      </c>
      <c r="O1741">
        <f>-633.162714346102 -229.689688658508 -527.876085910005</f>
        <v>-1390.7284889146149</v>
      </c>
      <c r="P1741">
        <f>-636.858699057632 -281.213245159115 -238.181675618715</f>
        <v>-1156.2536198354619</v>
      </c>
      <c r="Q1741">
        <f>-465.345131526045 -127.614545260721 -309.184635115795</f>
        <v>-902.14431190256107</v>
      </c>
      <c r="R1741" t="s">
        <v>19263</v>
      </c>
      <c r="S1741" t="s">
        <v>19264</v>
      </c>
      <c r="T1741" t="s">
        <v>19265</v>
      </c>
      <c r="U1741" t="s">
        <v>19266</v>
      </c>
      <c r="V1741">
        <f>-596.358063578657 -142.156520933592 -97.2087785503718</f>
        <v>-835.72336306262082</v>
      </c>
      <c r="W1741" t="s">
        <v>19267</v>
      </c>
      <c r="X1741" t="s">
        <v>19268</v>
      </c>
      <c r="Y1741" t="s">
        <v>19269</v>
      </c>
    </row>
    <row r="1742" spans="1:25" x14ac:dyDescent="0.3">
      <c r="A1742">
        <v>87050</v>
      </c>
      <c r="B1742" t="s">
        <v>19270</v>
      </c>
      <c r="C1742">
        <f>-621.385047557021 -49.9059235803444 -99.400163062166</f>
        <v>-770.69113419953146</v>
      </c>
      <c r="D1742">
        <f>-641.123268447134 -59.2063749259175 -213.154832332341</f>
        <v>-913.48447570539258</v>
      </c>
      <c r="E1742">
        <f>-649.709104898156 -63.7698711383346 -311.298282963112</f>
        <v>-1024.7772589996025</v>
      </c>
      <c r="F1742">
        <f>-654.663642864043 -66.7755484660288 -400.206398137965</f>
        <v>-1121.6455894680369</v>
      </c>
      <c r="G1742">
        <f>-656.437257080172 -68.6613083499714 -489.265586991466</f>
        <v>-1214.3641524216093</v>
      </c>
      <c r="H1742">
        <f>-655.555388609053 -70.1889789315688 -613.835506237187</f>
        <v>-1339.5798737778089</v>
      </c>
      <c r="I1742">
        <f>-630.290528884918 -67.4545752719054 -692.950961067046</f>
        <v>-1390.6960652238695</v>
      </c>
      <c r="J1742">
        <f>-659.951322811096 -42.1014414896488 -559.383004122508</f>
        <v>-1261.4357684232527</v>
      </c>
      <c r="K1742" t="s">
        <v>19271</v>
      </c>
      <c r="L1742" t="s">
        <v>19272</v>
      </c>
      <c r="M1742" t="s">
        <v>19273</v>
      </c>
      <c r="N1742">
        <f>-651.935528013544 -96.9319539623298 -558.65384026637</f>
        <v>-1307.5213222422437</v>
      </c>
      <c r="O1742">
        <f>-632.96987441347 -229.583474476677 -527.948584797162</f>
        <v>-1390.501933687309</v>
      </c>
      <c r="P1742">
        <f>-636.794356561166 -281.496867718666 -238.325327979381</f>
        <v>-1156.616552259213</v>
      </c>
      <c r="Q1742">
        <f>-465.551371545422 -127.462711517376 -309.037327950862</f>
        <v>-902.05141101366007</v>
      </c>
      <c r="R1742" t="s">
        <v>19274</v>
      </c>
      <c r="S1742" t="s">
        <v>19275</v>
      </c>
      <c r="T1742" t="s">
        <v>19276</v>
      </c>
      <c r="U1742" t="s">
        <v>19277</v>
      </c>
      <c r="V1742">
        <f>-596.518879847658 -142.229501453963 -97.2166502604907</f>
        <v>-835.96503156211179</v>
      </c>
      <c r="W1742" t="s">
        <v>19278</v>
      </c>
      <c r="X1742" t="s">
        <v>19279</v>
      </c>
      <c r="Y1742" t="s">
        <v>19280</v>
      </c>
    </row>
    <row r="1743" spans="1:25" x14ac:dyDescent="0.3">
      <c r="A1743">
        <v>87100</v>
      </c>
      <c r="B1743" t="s">
        <v>19281</v>
      </c>
      <c r="C1743">
        <f>-621.683060858346 -49.9436467845994 -99.3873626579298</f>
        <v>-771.01407030087523</v>
      </c>
      <c r="D1743">
        <f>-641.381939345147 -59.2004533999673 -213.152413888746</f>
        <v>-913.73480663386022</v>
      </c>
      <c r="E1743">
        <f>-649.842944858805 -63.6935917394622 -311.309763607116</f>
        <v>-1024.8463002053832</v>
      </c>
      <c r="F1743">
        <f>-654.64740293865 -66.6237492563179 -400.228754166489</f>
        <v>-1121.4999063614569</v>
      </c>
      <c r="G1743">
        <f>-656.233091308086 -68.4233180022048 -489.293192658485</f>
        <v>-1213.9496019687758</v>
      </c>
      <c r="H1743">
        <f>-655.048674960278 -69.8206792114793 -613.862325258633</f>
        <v>-1338.7316794303902</v>
      </c>
      <c r="I1743">
        <f>-629.484453187804 -66.949055389679 -692.876617917157</f>
        <v>-1389.3101264946399</v>
      </c>
      <c r="J1743">
        <f>-659.553124756673 -41.7867663861039 -559.391037954984</f>
        <v>-1260.730929097761</v>
      </c>
      <c r="K1743" t="s">
        <v>19282</v>
      </c>
      <c r="L1743" t="s">
        <v>19283</v>
      </c>
      <c r="M1743" t="s">
        <v>19284</v>
      </c>
      <c r="N1743">
        <f>-651.586625009767 -96.6248304679378 -558.7001648574</f>
        <v>-1306.9116203351048</v>
      </c>
      <c r="O1743">
        <f>-632.795122942407 -229.31312163295 -528.066366753144</f>
        <v>-1390.1746113285012</v>
      </c>
      <c r="P1743">
        <f>-636.988172867086 -281.732255334292 -238.539455275724</f>
        <v>-1157.259883477102</v>
      </c>
      <c r="Q1743">
        <f>-465.702269121972 -127.48018823119 -308.67009452092</f>
        <v>-901.852551874082</v>
      </c>
      <c r="R1743" t="s">
        <v>19285</v>
      </c>
      <c r="S1743" t="s">
        <v>19286</v>
      </c>
      <c r="T1743" t="s">
        <v>19287</v>
      </c>
      <c r="U1743" t="s">
        <v>19288</v>
      </c>
      <c r="V1743">
        <f>-596.860892627136 -142.297876526663 -97.2242898211978</f>
        <v>-836.38305897499674</v>
      </c>
      <c r="W1743" t="s">
        <v>19289</v>
      </c>
      <c r="X1743" t="s">
        <v>19290</v>
      </c>
      <c r="Y1743" t="s">
        <v>19291</v>
      </c>
    </row>
    <row r="1744" spans="1:25" x14ac:dyDescent="0.3">
      <c r="A1744">
        <v>87150</v>
      </c>
      <c r="B1744" t="s">
        <v>19292</v>
      </c>
      <c r="C1744">
        <f>-621.788167007988 -50.0445967639475 -99.3757885150835</f>
        <v>-771.20855228701907</v>
      </c>
      <c r="D1744">
        <f>-641.480349430552 -59.2784001436313 -213.14389563418</f>
        <v>-913.90264520836331</v>
      </c>
      <c r="E1744">
        <f>-649.881425675005 -63.7374064809892 -311.307960283239</f>
        <v>-1024.9267924392332</v>
      </c>
      <c r="F1744">
        <f>-654.609504445162 -66.6319310824782 -400.232200139405</f>
        <v>-1121.4736356670451</v>
      </c>
      <c r="G1744">
        <f>-656.096465069047 -68.3915760462377 -489.299230333872</f>
        <v>-1213.7872714491566</v>
      </c>
      <c r="H1744">
        <f>-654.750563134016 -69.7291461741598 -613.867279135442</f>
        <v>-1338.3469884436179</v>
      </c>
      <c r="I1744">
        <f>-629.0514663485 -66.7976971001442 -692.835573772912</f>
        <v>-1388.6847372215561</v>
      </c>
      <c r="J1744">
        <f>-659.314292960254 -41.71970505327 -559.388313604734</f>
        <v>-1260.4223116182579</v>
      </c>
      <c r="K1744" t="s">
        <v>19293</v>
      </c>
      <c r="L1744" t="s">
        <v>19294</v>
      </c>
      <c r="M1744" t="s">
        <v>19295</v>
      </c>
      <c r="N1744">
        <f>-651.371451444993 -96.5614587446945 -558.713629120616</f>
        <v>-1306.6465393103035</v>
      </c>
      <c r="O1744">
        <f>-632.662983119142 -229.273801626253 -528.121793847198</f>
        <v>-1390.058578592593</v>
      </c>
      <c r="P1744">
        <f>-637.108514596428 -282.032565491915 -238.660363379863</f>
        <v>-1157.8014434682059</v>
      </c>
      <c r="Q1744">
        <f>-465.960053215163 -127.476437872653 -308.456402837679</f>
        <v>-901.89289392549495</v>
      </c>
      <c r="R1744" t="s">
        <v>19296</v>
      </c>
      <c r="S1744" t="s">
        <v>19297</v>
      </c>
      <c r="T1744" t="s">
        <v>19298</v>
      </c>
      <c r="U1744" t="s">
        <v>19299</v>
      </c>
      <c r="V1744">
        <f>-596.967599287559 -142.437286233876 -97.2232058946369</f>
        <v>-836.62809141607181</v>
      </c>
      <c r="W1744" t="s">
        <v>19300</v>
      </c>
      <c r="X1744" t="s">
        <v>19301</v>
      </c>
      <c r="Y1744" t="s">
        <v>19302</v>
      </c>
    </row>
    <row r="1745" spans="1:25" x14ac:dyDescent="0.3">
      <c r="A1745">
        <v>87200</v>
      </c>
      <c r="B1745" t="s">
        <v>19303</v>
      </c>
      <c r="C1745">
        <f>-621.901826476737 -50.1300423260549 -99.3464555458986</f>
        <v>-771.37832434869051</v>
      </c>
      <c r="D1745">
        <f>-641.590128838907 -59.3166450929497 -213.119088315772</f>
        <v>-914.02586224762877</v>
      </c>
      <c r="E1745">
        <f>-649.891032761707 -63.6779999725979 -311.296001447787</f>
        <v>-1024.8650341820919</v>
      </c>
      <c r="F1745">
        <f>-654.488435945064 -66.4623134094255 -400.230674640864</f>
        <v>-1121.1814239953535</v>
      </c>
      <c r="G1745">
        <f>-655.804008453784 -68.0913063618482 -489.302851086732</f>
        <v>-1213.1981659023643</v>
      </c>
      <c r="H1745">
        <f>-654.175380133527 -69.2258839816432 -613.869606631368</f>
        <v>-1337.2708707465381</v>
      </c>
      <c r="I1745">
        <f>-628.246975092287 -66.1661513392339 -692.758020589471</f>
        <v>-1387.1711470209921</v>
      </c>
      <c r="J1745">
        <f>-658.836730076246 -41.3014242554743 -559.3552210444</f>
        <v>-1259.4933753761202</v>
      </c>
      <c r="K1745" t="s">
        <v>19304</v>
      </c>
      <c r="L1745" t="s">
        <v>19305</v>
      </c>
      <c r="M1745" t="s">
        <v>19306</v>
      </c>
      <c r="N1745">
        <f>-650.947483232299 -96.1517405895561 -558.752618760055</f>
        <v>-1305.8518425819102</v>
      </c>
      <c r="O1745">
        <f>-632.474754081465 -228.934179902216 -528.323721306676</f>
        <v>-1389.7326552903569</v>
      </c>
      <c r="P1745">
        <f>-637.23161936583 -282.716407275738 -239.055516734125</f>
        <v>-1159.003543375693</v>
      </c>
      <c r="Q1745">
        <f>-466.684440258782 -126.991323760304 -307.715589225262</f>
        <v>-901.39135324434801</v>
      </c>
      <c r="R1745" t="s">
        <v>19307</v>
      </c>
      <c r="S1745" t="s">
        <v>19308</v>
      </c>
      <c r="T1745" t="s">
        <v>19309</v>
      </c>
      <c r="U1745" t="s">
        <v>19310</v>
      </c>
      <c r="V1745">
        <f>-597.1681415066 -142.465472228588 -97.205674786636</f>
        <v>-836.83928852182396</v>
      </c>
      <c r="W1745" t="s">
        <v>19311</v>
      </c>
      <c r="X1745" t="s">
        <v>19312</v>
      </c>
      <c r="Y1745" t="s">
        <v>19313</v>
      </c>
    </row>
    <row r="1746" spans="1:25" x14ac:dyDescent="0.3">
      <c r="A1746">
        <v>87250</v>
      </c>
      <c r="B1746" t="s">
        <v>19314</v>
      </c>
      <c r="C1746">
        <f>-621.941463332515 -50.1751351620824 -99.3136687928112</f>
        <v>-771.43026728740858</v>
      </c>
      <c r="D1746">
        <f>-641.646784552301 -59.3372145096336 -213.085328103121</f>
        <v>-914.0693271650556</v>
      </c>
      <c r="E1746">
        <f>-649.916362246931 -63.6395048959363 -311.267587912518</f>
        <v>-1024.8234550553852</v>
      </c>
      <c r="F1746">
        <f>-654.466529780426 -66.3558031347171 -400.20654948669</f>
        <v>-1121.028882401833</v>
      </c>
      <c r="G1746">
        <f>-655.715352152422 -67.9025696902893 -489.28135513944</f>
        <v>-1212.8992769821514</v>
      </c>
      <c r="H1746">
        <f>-653.972823146156 -68.9076010450869 -613.847555753689</f>
        <v>-1336.727979944932</v>
      </c>
      <c r="I1746">
        <f>-627.945430894322 -65.7741436204797 -692.700542029083</f>
        <v>-1386.4201165438847</v>
      </c>
      <c r="J1746">
        <f>-658.677903281458 -41.0389263038412 -559.30853204447</f>
        <v>-1259.0253616297691</v>
      </c>
      <c r="K1746" t="s">
        <v>19315</v>
      </c>
      <c r="L1746" t="s">
        <v>19316</v>
      </c>
      <c r="M1746" t="s">
        <v>19317</v>
      </c>
      <c r="N1746">
        <f>-650.801294112379 -95.8916606321287 -558.75576777734</f>
        <v>-1305.4487225218477</v>
      </c>
      <c r="O1746">
        <f>-632.421602164139 -228.711160454972 -528.417771586234</f>
        <v>-1389.550534205345</v>
      </c>
      <c r="P1746">
        <f>-637.124836084005 -283.343621721124 -239.308091983475</f>
        <v>-1159.7765497886039</v>
      </c>
      <c r="Q1746">
        <f>-467.212044056493 -126.674371585967 -307.39076318287</f>
        <v>-901.27717882533011</v>
      </c>
      <c r="R1746" t="s">
        <v>19318</v>
      </c>
      <c r="S1746" t="s">
        <v>19319</v>
      </c>
      <c r="T1746" t="s">
        <v>19320</v>
      </c>
      <c r="U1746" t="s">
        <v>19321</v>
      </c>
      <c r="V1746">
        <f>-597.247933080364 -142.524119064897 -97.1977895377295</f>
        <v>-836.96984168299048</v>
      </c>
      <c r="W1746" t="s">
        <v>19322</v>
      </c>
      <c r="X1746" t="s">
        <v>19323</v>
      </c>
      <c r="Y1746" t="s">
        <v>19324</v>
      </c>
    </row>
    <row r="1747" spans="1:25" x14ac:dyDescent="0.3">
      <c r="A1747">
        <v>87300</v>
      </c>
      <c r="B1747" t="s">
        <v>19325</v>
      </c>
      <c r="C1747">
        <f>-622.204174202687 -50.3082379177929 -99.2647075250717</f>
        <v>-771.77711964555158</v>
      </c>
      <c r="D1747">
        <f>-641.960581394262 -59.4278856246551 -213.030852549663</f>
        <v>-914.41931956858014</v>
      </c>
      <c r="E1747">
        <f>-650.231144940083 -63.6051114320146 -311.218574636552</f>
        <v>-1025.0548310086497</v>
      </c>
      <c r="F1747">
        <f>-654.763560126019 -66.1722049168831 -400.162898569543</f>
        <v>-1121.0986636124451</v>
      </c>
      <c r="G1747">
        <f>-655.975701772349 -67.5329424550681 -489.241083693511</f>
        <v>-1212.7497279209281</v>
      </c>
      <c r="H1747">
        <f>-654.161659381674 -68.2390820422083 -613.808527089322</f>
        <v>-1336.2092685132043</v>
      </c>
      <c r="I1747">
        <f>-627.97257144706 -64.9162713548144 -692.600065603549</f>
        <v>-1385.4889084054234</v>
      </c>
      <c r="J1747">
        <f>-658.930660790468 -40.5061171591115 -559.205920784661</f>
        <v>-1258.6426987342404</v>
      </c>
      <c r="K1747" t="s">
        <v>19326</v>
      </c>
      <c r="L1747" t="s">
        <v>19327</v>
      </c>
      <c r="M1747" t="s">
        <v>19328</v>
      </c>
      <c r="N1747">
        <f>-650.989336295587 -95.3506394619009 -558.779265637992</f>
        <v>-1305.11924139548</v>
      </c>
      <c r="O1747">
        <f>-632.520729679125 -228.20616051861 -528.708630102944</f>
        <v>-1389.4355203006789</v>
      </c>
      <c r="P1747">
        <f>-637.244209480565 -284.030517527777 -239.827192860888</f>
        <v>-1161.1019198692302</v>
      </c>
      <c r="Q1747">
        <f>-468.276110478863 -125.836097536038 -306.723920236723</f>
        <v>-900.83612825162413</v>
      </c>
      <c r="R1747" t="s">
        <v>19329</v>
      </c>
      <c r="S1747" t="s">
        <v>19330</v>
      </c>
      <c r="T1747" t="s">
        <v>19331</v>
      </c>
      <c r="U1747" t="s">
        <v>19332</v>
      </c>
      <c r="V1747">
        <f>-597.533868919901 -142.663761822711 -97.2004560650158</f>
        <v>-837.39808680762781</v>
      </c>
      <c r="W1747" t="s">
        <v>19333</v>
      </c>
      <c r="X1747" t="s">
        <v>19334</v>
      </c>
      <c r="Y1747" t="s">
        <v>19335</v>
      </c>
    </row>
    <row r="1748" spans="1:25" x14ac:dyDescent="0.3">
      <c r="A1748">
        <v>87350</v>
      </c>
      <c r="B1748" t="s">
        <v>19336</v>
      </c>
      <c r="C1748">
        <f>-622.39392732818 -50.4045345184796 -99.2571313511564</f>
        <v>-772.05559319781605</v>
      </c>
      <c r="D1748">
        <f>-642.185650714069 -59.5191065646258 -213.017584454974</f>
        <v>-914.72234173366871</v>
      </c>
      <c r="E1748">
        <f>-650.474722796969 -63.662454912148 -311.204998106616</f>
        <v>-1025.3421758157328</v>
      </c>
      <c r="F1748">
        <f>-655.018982655037 -66.1870313286128 -400.15019045519</f>
        <v>-1121.3562044388398</v>
      </c>
      <c r="G1748">
        <f>-656.237778220066 -67.493251236738 -489.228985245779</f>
        <v>-1212.9600147025831</v>
      </c>
      <c r="H1748">
        <f>-654.427151833229 -68.1106723396231 -613.796886736889</f>
        <v>-1336.334710909741</v>
      </c>
      <c r="I1748">
        <f>-628.160845413307 -64.6869977776603 -692.558397592467</f>
        <v>-1385.4062407834344</v>
      </c>
      <c r="J1748">
        <f>-659.215164950441 -40.4196639623926 -559.174509053563</f>
        <v>-1258.8093379663967</v>
      </c>
      <c r="K1748" t="s">
        <v>19337</v>
      </c>
      <c r="L1748" t="s">
        <v>19338</v>
      </c>
      <c r="M1748" t="s">
        <v>19339</v>
      </c>
      <c r="N1748">
        <f>-651.232675113837 -95.2584163763859 -558.786698435201</f>
        <v>-1305.2777899254238</v>
      </c>
      <c r="O1748">
        <f>-632.708039402342 -228.132997830691 -528.811146157033</f>
        <v>-1389.6521833900661</v>
      </c>
      <c r="P1748">
        <f>-637.249945061363 -284.365799666442 -240.005866822822</f>
        <v>-1161.6216115506268</v>
      </c>
      <c r="Q1748">
        <f>-468.890456215101 -125.342663164348 -306.470747883427</f>
        <v>-900.70386726287597</v>
      </c>
      <c r="R1748" t="s">
        <v>19340</v>
      </c>
      <c r="S1748" t="s">
        <v>19341</v>
      </c>
      <c r="T1748" t="s">
        <v>19342</v>
      </c>
      <c r="U1748" t="s">
        <v>19343</v>
      </c>
      <c r="V1748">
        <f>-597.692693046087 -142.801747057206 -97.2129806255289</f>
        <v>-837.70742072882194</v>
      </c>
      <c r="W1748" t="s">
        <v>19344</v>
      </c>
      <c r="X1748" t="s">
        <v>19345</v>
      </c>
      <c r="Y1748" t="s">
        <v>19346</v>
      </c>
    </row>
    <row r="1749" spans="1:25" x14ac:dyDescent="0.3">
      <c r="A1749">
        <v>87400</v>
      </c>
      <c r="B1749" t="s">
        <v>19347</v>
      </c>
      <c r="C1749">
        <f>-622.57891991015 -50.4534533453547 -99.2463574155794</f>
        <v>-772.27873067108408</v>
      </c>
      <c r="D1749">
        <f>-642.39728609108 -59.5783209253693 -213.001290786232</f>
        <v>-914.97689780268138</v>
      </c>
      <c r="E1749">
        <f>-650.687233250562 -63.6954866684894 -311.189923941483</f>
        <v>-1025.5726438605343</v>
      </c>
      <c r="F1749">
        <f>-655.222446291351 -66.1831348005746 -400.136333909209</f>
        <v>-1121.5419150011346</v>
      </c>
      <c r="G1749">
        <f>-656.422222249482 -67.4391765456929 -489.216285164773</f>
        <v>-1213.077683959948</v>
      </c>
      <c r="H1749">
        <f>-654.574228453561 -67.9732028863002 -613.783984962403</f>
        <v>-1336.3314163022642</v>
      </c>
      <c r="I1749">
        <f>-628.201493316382 -64.4352672529504 -692.504964319987</f>
        <v>-1385.1417248893194</v>
      </c>
      <c r="J1749">
        <f>-659.39013246356 -40.3202705966016 -559.144674898246</f>
        <v>-1258.8550779584075</v>
      </c>
      <c r="K1749" t="s">
        <v>19348</v>
      </c>
      <c r="L1749" t="s">
        <v>19349</v>
      </c>
      <c r="M1749" t="s">
        <v>19350</v>
      </c>
      <c r="N1749">
        <f>-651.384755265122 -95.1560910425862 -558.790968872097</f>
        <v>-1305.3318151798053</v>
      </c>
      <c r="O1749">
        <f>-632.834530731383 -228.043769148998 -528.875493237047</f>
        <v>-1389.7537931174279</v>
      </c>
      <c r="P1749">
        <f>-637.039537397484 -284.629101035424 -240.133981807212</f>
        <v>-1161.8026202401199</v>
      </c>
      <c r="Q1749">
        <f>-469.148603920047 -125.010941158359 -306.357541143784</f>
        <v>-900.51708622218985</v>
      </c>
      <c r="R1749" t="s">
        <v>19351</v>
      </c>
      <c r="S1749" t="s">
        <v>19352</v>
      </c>
      <c r="T1749" t="s">
        <v>19353</v>
      </c>
      <c r="U1749" t="s">
        <v>19354</v>
      </c>
      <c r="V1749">
        <f>-597.838152462106 -142.813489209019 -97.2122541450733</f>
        <v>-837.86389581619824</v>
      </c>
      <c r="W1749" t="s">
        <v>19355</v>
      </c>
      <c r="X1749" t="s">
        <v>19356</v>
      </c>
      <c r="Y1749" t="s">
        <v>19357</v>
      </c>
    </row>
    <row r="1750" spans="1:25" x14ac:dyDescent="0.3">
      <c r="A1750">
        <v>87450</v>
      </c>
      <c r="B1750" t="s">
        <v>19358</v>
      </c>
      <c r="C1750">
        <f>-622.913040053707 -50.5599900548083 -99.2284772889308</f>
        <v>-772.70150739744611</v>
      </c>
      <c r="D1750">
        <f>-642.788386018935 -59.6973225232809 -212.972501577498</f>
        <v>-915.45821011971384</v>
      </c>
      <c r="E1750">
        <f>-651.05767615179 -63.7904528543806 -311.163787290681</f>
        <v>-1026.0119162968517</v>
      </c>
      <c r="F1750">
        <f>-655.545497662019 -66.2442642786627 -400.113656713979</f>
        <v>-1121.9034186546608</v>
      </c>
      <c r="G1750">
        <f>-656.668634953763 -67.4549348146792 -489.195072083899</f>
        <v>-1213.3186418523412</v>
      </c>
      <c r="H1750">
        <f>-654.682715569332 -67.9138136032731 -613.760995361204</f>
        <v>-1336.3575245338091</v>
      </c>
      <c r="I1750">
        <f>-627.985300794806 -64.1599576971427 -692.362481109687</f>
        <v>-1384.5077396016356</v>
      </c>
      <c r="J1750">
        <f>-659.568608739227 -40.2953294049933 -559.110701335311</f>
        <v>-1258.9746394795311</v>
      </c>
      <c r="K1750" t="s">
        <v>19359</v>
      </c>
      <c r="L1750" t="s">
        <v>19360</v>
      </c>
      <c r="M1750" t="s">
        <v>19361</v>
      </c>
      <c r="N1750">
        <f>-651.544574756373 -95.1284305829741 -558.780805845843</f>
        <v>-1305.4538111851903</v>
      </c>
      <c r="O1750">
        <f>-632.933192460087 -228.020491261857 -528.91916503778</f>
        <v>-1389.8728487597239</v>
      </c>
      <c r="P1750">
        <f>-636.616042426797 -284.839787516182 -240.216578601414</f>
        <v>-1161.672408544393</v>
      </c>
      <c r="Q1750">
        <f>-469.409470173477 -124.48989443814 -306.403786954987</f>
        <v>-900.30315156660401</v>
      </c>
      <c r="R1750" t="s">
        <v>19362</v>
      </c>
      <c r="S1750" t="s">
        <v>19363</v>
      </c>
      <c r="T1750" t="s">
        <v>19364</v>
      </c>
      <c r="U1750" t="s">
        <v>19365</v>
      </c>
      <c r="V1750">
        <f>-598.155457196754 -142.934920829031 -97.1889776395524</f>
        <v>-838.27935566533733</v>
      </c>
      <c r="W1750" t="s">
        <v>19366</v>
      </c>
      <c r="X1750" t="s">
        <v>19367</v>
      </c>
      <c r="Y1750" t="s">
        <v>19368</v>
      </c>
    </row>
    <row r="1751" spans="1:25" x14ac:dyDescent="0.3">
      <c r="A1751">
        <v>87500</v>
      </c>
      <c r="B1751" t="s">
        <v>19369</v>
      </c>
      <c r="C1751">
        <f>-623.239691881572 -50.3303799259777 -99.1983545035316</f>
        <v>-772.76842631108127</v>
      </c>
      <c r="D1751">
        <f>-643.199406371624 -59.4953892574301 -212.92531516586</f>
        <v>-915.62011079491413</v>
      </c>
      <c r="E1751">
        <f>-651.476789366926 -63.5948183921491 -311.11567560203</f>
        <v>-1026.1872833611051</v>
      </c>
      <c r="F1751">
        <f>-655.945688299913 -66.0476624799346 -400.066474204231</f>
        <v>-1122.0598249840787</v>
      </c>
      <c r="G1751">
        <f>-657.023457410441 -67.251324095512 -489.148790685995</f>
        <v>-1213.4235721919481</v>
      </c>
      <c r="H1751">
        <f>-654.946348967418 -67.6945824926318 -613.713150054661</f>
        <v>-1336.3540815147107</v>
      </c>
      <c r="I1751">
        <f>-627.803763751638 -63.6820567668201 -692.149202146674</f>
        <v>-1383.6350226651321</v>
      </c>
      <c r="J1751">
        <f>-659.872267576001 -40.0829277283808 -559.063001255367</f>
        <v>-1259.018196559749</v>
      </c>
      <c r="K1751" t="s">
        <v>19370</v>
      </c>
      <c r="L1751" t="s">
        <v>19371</v>
      </c>
      <c r="M1751" t="s">
        <v>19372</v>
      </c>
      <c r="N1751">
        <f>-651.848512772506 -94.9161089711112 -558.734071505393</f>
        <v>-1305.4986932490101</v>
      </c>
      <c r="O1751">
        <f>-633.193419999957 -227.781129483513 -528.789213529789</f>
        <v>-1389.763763013259</v>
      </c>
      <c r="P1751">
        <f>-636.358120880545 -284.367516535188 -240.034666016352</f>
        <v>-1160.760303432085</v>
      </c>
      <c r="Q1751">
        <f>-469.477905062835 -123.789631154512 -306.49241024372</f>
        <v>-899.75994646106699</v>
      </c>
      <c r="R1751" t="s">
        <v>19373</v>
      </c>
      <c r="S1751" t="s">
        <v>19374</v>
      </c>
      <c r="T1751" t="s">
        <v>19375</v>
      </c>
      <c r="U1751" t="s">
        <v>19376</v>
      </c>
      <c r="V1751">
        <f>-598.462176291139 -142.674096185145 -97.1777241836381</f>
        <v>-838.31399665992217</v>
      </c>
      <c r="W1751" t="s">
        <v>19377</v>
      </c>
      <c r="X1751" t="s">
        <v>19378</v>
      </c>
      <c r="Y1751" t="s">
        <v>19379</v>
      </c>
    </row>
    <row r="1752" spans="1:25" x14ac:dyDescent="0.3">
      <c r="A1752">
        <v>87550</v>
      </c>
      <c r="B1752" t="s">
        <v>19380</v>
      </c>
      <c r="C1752">
        <f>-623.414449898624 -50.2388429704656 -99.2040738652034</f>
        <v>-772.85736673429301</v>
      </c>
      <c r="D1752">
        <f>-643.42961630412 -59.4413377033582 -212.918346215439</f>
        <v>-915.78930022291718</v>
      </c>
      <c r="E1752">
        <f>-651.739454755773 -63.5606510135668 -311.10513226234</f>
        <v>-1026.4052380316798</v>
      </c>
      <c r="F1752">
        <f>-656.231647765213 -66.0266406415527 -400.054429456627</f>
        <v>-1122.3127178633927</v>
      </c>
      <c r="G1752">
        <f>-657.326352745381 -67.2383387655207 -489.136202330525</f>
        <v>-1213.7008938414267</v>
      </c>
      <c r="H1752">
        <f>-655.266408455597 -67.6872095371314 -613.700924561101</f>
        <v>-1336.6545425538293</v>
      </c>
      <c r="I1752">
        <f>-627.910012043678 -63.5360526701081 -692.055340901245</f>
        <v>-1383.5014056150312</v>
      </c>
      <c r="J1752">
        <f>-660.187541888832 -40.0734603122341 -559.051360641583</f>
        <v>-1259.3123628426492</v>
      </c>
      <c r="K1752" t="s">
        <v>19381</v>
      </c>
      <c r="L1752" t="s">
        <v>19382</v>
      </c>
      <c r="M1752" t="s">
        <v>19383</v>
      </c>
      <c r="N1752">
        <f>-652.158161651036 -94.9058540659199 -558.720936146352</f>
        <v>-1305.7849518633079</v>
      </c>
      <c r="O1752">
        <f>-633.434803302398 -227.74881832988 -528.707770365276</f>
        <v>-1389.8913919975539</v>
      </c>
      <c r="P1752">
        <f>-636.416564413937 -284.21898679717 -239.928730373237</f>
        <v>-1160.5642815843439</v>
      </c>
      <c r="Q1752">
        <f>-469.812829417909 -123.384017194214 -306.45810890004</f>
        <v>-899.65495551216293</v>
      </c>
      <c r="R1752" t="s">
        <v>19384</v>
      </c>
      <c r="S1752" t="s">
        <v>19385</v>
      </c>
      <c r="T1752" t="s">
        <v>19386</v>
      </c>
      <c r="U1752" t="s">
        <v>19387</v>
      </c>
      <c r="V1752">
        <f>-598.62511641731 -142.652458075196 -97.1713981646398</f>
        <v>-838.44897265714576</v>
      </c>
      <c r="W1752" t="s">
        <v>19388</v>
      </c>
      <c r="X1752" t="s">
        <v>19389</v>
      </c>
      <c r="Y1752" t="s">
        <v>19390</v>
      </c>
    </row>
    <row r="1753" spans="1:25" x14ac:dyDescent="0.3">
      <c r="A1753">
        <v>87600</v>
      </c>
      <c r="B1753" t="s">
        <v>19391</v>
      </c>
      <c r="C1753">
        <f>-623.768598613111 -50.1711178722437 -99.2456458861782</f>
        <v>-773.18536237153285</v>
      </c>
      <c r="D1753">
        <f>-643.982014072411 -59.462712042946 -212.917582533768</f>
        <v>-916.362308649125</v>
      </c>
      <c r="E1753">
        <f>-652.444546116166 -63.6265558856921 -311.089393318258</f>
        <v>-1027.1604953201161</v>
      </c>
      <c r="F1753">
        <f>-657.067003099223 -66.119974754909 -400.031269897146</f>
        <v>-1123.2182477512779</v>
      </c>
      <c r="G1753">
        <f>-658.283989513044 -67.3468757297329 -489.111331167235</f>
        <v>-1214.742196410012</v>
      </c>
      <c r="H1753">
        <f>-656.386043048047 -67.8040264263897 -613.678621160871</f>
        <v>-1337.8686906353078</v>
      </c>
      <c r="I1753">
        <f>-628.747788656498 -63.4201039773803 -691.921378052799</f>
        <v>-1384.0892706866773</v>
      </c>
      <c r="J1753">
        <f>-661.243507997644 -40.1876892935297 -559.024625188836</f>
        <v>-1260.4558224800098</v>
      </c>
      <c r="K1753" t="s">
        <v>19392</v>
      </c>
      <c r="L1753" t="s">
        <v>19393</v>
      </c>
      <c r="M1753" t="s">
        <v>19394</v>
      </c>
      <c r="N1753">
        <f>-653.199040831315 -95.0179031445482 -558.700767961319</f>
        <v>-1306.917711937182</v>
      </c>
      <c r="O1753">
        <f>-634.296710082704 -227.82292994404 -528.648841941125</f>
        <v>-1390.7684819678689</v>
      </c>
      <c r="P1753">
        <f>-637.037073199139 -284.180345242535 -239.845068286542</f>
        <v>-1161.0624867282161</v>
      </c>
      <c r="Q1753">
        <f>-470.922919608348 -122.901747043217 -306.524561461765</f>
        <v>-900.34922811333013</v>
      </c>
      <c r="R1753" t="s">
        <v>19395</v>
      </c>
      <c r="S1753" t="s">
        <v>19396</v>
      </c>
      <c r="T1753" t="s">
        <v>19397</v>
      </c>
      <c r="U1753" t="s">
        <v>19398</v>
      </c>
      <c r="V1753">
        <f>-598.9048208135 -142.618566514343 -97.1942801592327</f>
        <v>-838.71766748707569</v>
      </c>
      <c r="W1753" t="s">
        <v>19399</v>
      </c>
      <c r="X1753" t="s">
        <v>19400</v>
      </c>
      <c r="Y1753" t="s">
        <v>19401</v>
      </c>
    </row>
    <row r="1754" spans="1:25" x14ac:dyDescent="0.3">
      <c r="A1754">
        <v>87650</v>
      </c>
      <c r="B1754" t="s">
        <v>19402</v>
      </c>
      <c r="C1754">
        <f>-623.986050296415 -50.2403779964293 -99.2860845244019</f>
        <v>-773.51251281724615</v>
      </c>
      <c r="D1754">
        <f>-644.291435460978 -59.5719593711741 -212.938314339364</f>
        <v>-916.80170917151622</v>
      </c>
      <c r="E1754">
        <f>-652.828295708615 -63.7440196682277 -311.103417533248</f>
        <v>-1027.6757329100906</v>
      </c>
      <c r="F1754">
        <f>-657.515213076728 -66.2349908886999 -400.041879647376</f>
        <v>-1123.7920836128039</v>
      </c>
      <c r="G1754">
        <f>-658.793871714769 -67.4493682089728 -489.121313478675</f>
        <v>-1215.3645534024167</v>
      </c>
      <c r="H1754">
        <f>-656.978624797913 -67.8789935080233 -613.689806773207</f>
        <v>-1338.5474250791433</v>
      </c>
      <c r="I1754">
        <f>-629.255949736624 -63.411755490066 -691.898082935233</f>
        <v>-1384.5657881619229</v>
      </c>
      <c r="J1754">
        <f>-661.808733160987 -40.2761271828144 -559.026663363273</f>
        <v>-1261.1115237070744</v>
      </c>
      <c r="K1754" t="s">
        <v>19403</v>
      </c>
      <c r="L1754" t="s">
        <v>19404</v>
      </c>
      <c r="M1754" t="s">
        <v>19405</v>
      </c>
      <c r="N1754">
        <f>-653.74618186964 -95.10375352884 -558.720117844247</f>
        <v>-1307.5700532427272</v>
      </c>
      <c r="O1754">
        <f>-634.798202356619 -227.908625662718 -528.688973122748</f>
        <v>-1391.395801142085</v>
      </c>
      <c r="P1754">
        <f>-637.266858371828 -284.406076598638 -239.910213088622</f>
        <v>-1161.583148059088</v>
      </c>
      <c r="Q1754">
        <f>-471.443182542394 -122.797884006796 -306.514782406469</f>
        <v>-900.75584895565908</v>
      </c>
      <c r="R1754" t="s">
        <v>19406</v>
      </c>
      <c r="S1754" t="s">
        <v>19407</v>
      </c>
      <c r="T1754" t="s">
        <v>19408</v>
      </c>
      <c r="U1754" t="s">
        <v>19409</v>
      </c>
      <c r="V1754">
        <f>-599.051312551706 -142.761517834601 -97.2130401970541</f>
        <v>-839.0258705833611</v>
      </c>
      <c r="W1754" t="s">
        <v>19410</v>
      </c>
      <c r="X1754" t="s">
        <v>19411</v>
      </c>
      <c r="Y1754" t="s">
        <v>19412</v>
      </c>
    </row>
    <row r="1755" spans="1:25" x14ac:dyDescent="0.3">
      <c r="A1755">
        <v>87700</v>
      </c>
      <c r="B1755" t="s">
        <v>19413</v>
      </c>
      <c r="C1755">
        <f>-624.449499350087 -50.3816828406466 -99.3482411881675</f>
        <v>-774.17942337890111</v>
      </c>
      <c r="D1755">
        <f>-644.862468962715 -59.7725714889013 -212.976264744107</f>
        <v>-917.61130519572328</v>
      </c>
      <c r="E1755">
        <f>-653.458431112425 -63.9293110383899 -311.136866617599</f>
        <v>-1028.5246087684141</v>
      </c>
      <c r="F1755">
        <f>-658.184090445944 -66.3817412061132 -400.074549320081</f>
        <v>-1124.6403809721382</v>
      </c>
      <c r="G1755">
        <f>-659.486011871786 -67.5325499384739 -489.154233416791</f>
        <v>-1216.172795227051</v>
      </c>
      <c r="H1755">
        <f>-657.68646295884 -67.8480768450678 -613.72349740382</f>
        <v>-1339.2580372077277</v>
      </c>
      <c r="I1755">
        <f>-629.813433794593 -63.2438488469713 -691.870239553525</f>
        <v>-1384.9275221950893</v>
      </c>
      <c r="J1755">
        <f>-662.542538172882 -40.3001427296153 -559.034769029892</f>
        <v>-1261.8774499323895</v>
      </c>
      <c r="K1755" t="s">
        <v>19414</v>
      </c>
      <c r="L1755" t="s">
        <v>19415</v>
      </c>
      <c r="M1755" t="s">
        <v>19416</v>
      </c>
      <c r="N1755">
        <f>-654.414164302966 -95.1182304272035 -558.778651388732</f>
        <v>-1308.3110461189015</v>
      </c>
      <c r="O1755">
        <f>-635.345290590173 -227.91757768436 -528.812345558436</f>
        <v>-1392.075213832969</v>
      </c>
      <c r="P1755">
        <f>-637.352300859745 -284.75981867592 -240.097747180484</f>
        <v>-1162.209866716149</v>
      </c>
      <c r="Q1755">
        <f>-472.090630948939 -122.476868648706 -306.45808750971</f>
        <v>-901.02558710735502</v>
      </c>
      <c r="R1755" t="s">
        <v>19417</v>
      </c>
      <c r="S1755" t="s">
        <v>19418</v>
      </c>
      <c r="T1755" t="s">
        <v>19419</v>
      </c>
      <c r="U1755" t="s">
        <v>19420</v>
      </c>
      <c r="V1755">
        <f>-599.380146780411 -142.908989831067 -97.2578796553249</f>
        <v>-839.54701626680287</v>
      </c>
      <c r="W1755" t="s">
        <v>19421</v>
      </c>
      <c r="X1755" t="s">
        <v>19422</v>
      </c>
      <c r="Y1755" t="s">
        <v>19423</v>
      </c>
    </row>
    <row r="1756" spans="1:25" x14ac:dyDescent="0.3">
      <c r="A1756">
        <v>87750</v>
      </c>
      <c r="B1756" t="s">
        <v>19424</v>
      </c>
      <c r="C1756">
        <f>-624.687180827494 -50.3379737363691 -99.3696545255066</f>
        <v>-774.39480908936969</v>
      </c>
      <c r="D1756">
        <f>-645.112668174207 -59.7478309809117 -212.993906358245</f>
        <v>-917.85440551336364</v>
      </c>
      <c r="E1756">
        <f>-653.699197692037 -63.8846368651771 -311.156179724158</f>
        <v>-1028.7400142813722</v>
      </c>
      <c r="F1756">
        <f>-658.407432483912 -66.3051905125898 -400.09549382186</f>
        <v>-1124.8081168183617</v>
      </c>
      <c r="G1756">
        <f>-659.682726680607 -67.4105404428441 -489.176240640397</f>
        <v>-1216.269507763848</v>
      </c>
      <c r="H1756">
        <f>-657.836071030284 -67.6480376892769 -613.745023551605</f>
        <v>-1339.2291322711658</v>
      </c>
      <c r="I1756">
        <f>-629.89387769743 -62.9777576787151 -691.863050393658</f>
        <v>-1384.734685769803</v>
      </c>
      <c r="J1756">
        <f>-662.735185954779 -40.1377042907384 -559.041410868779</f>
        <v>-1261.9143011142964</v>
      </c>
      <c r="K1756" t="s">
        <v>19425</v>
      </c>
      <c r="L1756" t="s">
        <v>19426</v>
      </c>
      <c r="M1756" t="s">
        <v>19427</v>
      </c>
      <c r="N1756">
        <f>-654.562224717711 -94.9493833459856 -558.815598061076</f>
        <v>-1308.3272061247726</v>
      </c>
      <c r="O1756">
        <f>-635.374358903108 -227.744780525318 -528.883358742752</f>
        <v>-1392.0024981711781</v>
      </c>
      <c r="P1756">
        <f>-637.362804699202 -284.668798811479 -240.184640232695</f>
        <v>-1162.216243743376</v>
      </c>
      <c r="Q1756">
        <f>-472.332511222379 -122.094241894417 -306.406805021916</f>
        <v>-900.83355813871208</v>
      </c>
      <c r="R1756" t="s">
        <v>19428</v>
      </c>
      <c r="S1756" t="s">
        <v>19429</v>
      </c>
      <c r="T1756" t="s">
        <v>19430</v>
      </c>
      <c r="U1756" t="s">
        <v>19431</v>
      </c>
      <c r="V1756">
        <f>-599.568665316717 -142.838214745557 -97.2860090392039</f>
        <v>-839.69288910147793</v>
      </c>
      <c r="W1756" t="s">
        <v>19432</v>
      </c>
      <c r="X1756" t="s">
        <v>19433</v>
      </c>
      <c r="Y1756" t="s">
        <v>19434</v>
      </c>
    </row>
    <row r="1757" spans="1:25" x14ac:dyDescent="0.3">
      <c r="A1757">
        <v>87800</v>
      </c>
      <c r="B1757" t="s">
        <v>19435</v>
      </c>
      <c r="C1757">
        <f>-625.114981099075 -50.2524631840403 -99.4385939105357</f>
        <v>-774.80603819365092</v>
      </c>
      <c r="D1757">
        <f>-645.573413555148 -59.7051913784709 -213.053378206004</f>
        <v>-918.33198313962293</v>
      </c>
      <c r="E1757">
        <f>-654.172455353855 -63.803241699479 -311.216038289476</f>
        <v>-1029.19173534281</v>
      </c>
      <c r="F1757">
        <f>-658.884374266926 -66.1591624083283 -400.157045849847</f>
        <v>-1125.2005825251013</v>
      </c>
      <c r="G1757">
        <f>-660.154932043192 -67.1697982901663 -489.23904853803</f>
        <v>-1216.5637788713884</v>
      </c>
      <c r="H1757">
        <f>-658.292308728226 -67.2435675821176 -613.807621294562</f>
        <v>-1339.3434976049057</v>
      </c>
      <c r="I1757">
        <f>-630.345804272779 -62.4266786288024 -691.915449173677</f>
        <v>-1384.6879320752582</v>
      </c>
      <c r="J1757">
        <f>-663.230681755933 -39.8100289685069 -559.068872823595</f>
        <v>-1262.1095835480351</v>
      </c>
      <c r="K1757" t="s">
        <v>19436</v>
      </c>
      <c r="L1757" t="s">
        <v>19437</v>
      </c>
      <c r="M1757" t="s">
        <v>19438</v>
      </c>
      <c r="N1757">
        <f>-654.99319448767 -94.6122157401163 -558.913356986218</f>
        <v>-1308.5187672140044</v>
      </c>
      <c r="O1757">
        <f>-635.700002035722 -227.400022094795 -529.023836959083</f>
        <v>-1392.1238610896</v>
      </c>
      <c r="P1757">
        <f>-637.292779004017 -284.574169853373 -240.372180219612</f>
        <v>-1162.239129077002</v>
      </c>
      <c r="Q1757">
        <f>-472.970444717293 -121.040473346415 -305.990790941226</f>
        <v>-900.00170900493401</v>
      </c>
      <c r="R1757" t="s">
        <v>19439</v>
      </c>
      <c r="S1757" t="s">
        <v>19440</v>
      </c>
      <c r="T1757" t="s">
        <v>19441</v>
      </c>
      <c r="U1757" t="s">
        <v>19442</v>
      </c>
      <c r="V1757">
        <f>-599.898650352839 -142.785528555019 -97.3517003203407</f>
        <v>-840.03587922819872</v>
      </c>
      <c r="W1757" t="s">
        <v>19443</v>
      </c>
      <c r="X1757" t="s">
        <v>19444</v>
      </c>
      <c r="Y1757" t="s">
        <v>19445</v>
      </c>
    </row>
    <row r="1758" spans="1:25" x14ac:dyDescent="0.3">
      <c r="A1758">
        <v>87850</v>
      </c>
      <c r="B1758" t="s">
        <v>19446</v>
      </c>
      <c r="C1758">
        <f>-625.337533463013 -50.2412097770369 -99.467013360366</f>
        <v>-775.04575660041587</v>
      </c>
      <c r="D1758">
        <f>-645.807780928484 -59.707374417395 -213.078490992473</f>
        <v>-918.59364633835207</v>
      </c>
      <c r="E1758">
        <f>-654.413915837186 -63.7833774589653 -311.241441447846</f>
        <v>-1029.4387347439974</v>
      </c>
      <c r="F1758">
        <f>-659.130342343464 -66.1061943067118 -400.183099640046</f>
        <v>-1125.4196362902219</v>
      </c>
      <c r="G1758">
        <f>-660.403197089398 -67.0709993851398 -489.265529991682</f>
        <v>-1216.7397264662197</v>
      </c>
      <c r="H1758">
        <f>-658.541142022306 -67.0671486810345 -613.834267231416</f>
        <v>-1339.4425579347565</v>
      </c>
      <c r="I1758">
        <f>-630.62839351494 -62.1879120359927 -691.950135051784</f>
        <v>-1384.7664406027166</v>
      </c>
      <c r="J1758">
        <f>-663.484493200386 -39.6683859799555 -559.078490122932</f>
        <v>-1262.2313693032734</v>
      </c>
      <c r="K1758" t="s">
        <v>19447</v>
      </c>
      <c r="L1758" t="s">
        <v>19448</v>
      </c>
      <c r="M1758" t="s">
        <v>19449</v>
      </c>
      <c r="N1758">
        <f>-655.236605758674 -94.4691761596225 -558.956971606004</f>
        <v>-1308.6627535243006</v>
      </c>
      <c r="O1758">
        <f>-635.94720080351 -227.252950108398 -529.05556610185</f>
        <v>-1392.2557170137579</v>
      </c>
      <c r="P1758">
        <f>-637.153062234056 -284.424297563015 -240.401491780381</f>
        <v>-1161.9788515774521</v>
      </c>
      <c r="Q1758">
        <f>-473.313121944811 -120.370825373333 -305.928575802608</f>
        <v>-899.61252312075203</v>
      </c>
      <c r="R1758" t="s">
        <v>19450</v>
      </c>
      <c r="S1758" t="s">
        <v>19451</v>
      </c>
      <c r="T1758" t="s">
        <v>19452</v>
      </c>
      <c r="U1758" t="s">
        <v>19453</v>
      </c>
      <c r="V1758">
        <f>-600.103371076128 -142.806539900076 -97.3726243285624</f>
        <v>-840.2825353047665</v>
      </c>
      <c r="W1758" t="s">
        <v>19454</v>
      </c>
      <c r="X1758" t="s">
        <v>19455</v>
      </c>
      <c r="Y1758" t="s">
        <v>19456</v>
      </c>
    </row>
    <row r="1759" spans="1:25" x14ac:dyDescent="0.3">
      <c r="A1759">
        <v>87900</v>
      </c>
      <c r="B1759" t="s">
        <v>19457</v>
      </c>
      <c r="C1759">
        <f>-625.655514373955 -50.3321271165155 -99.4717656375282</f>
        <v>-775.4594071279987</v>
      </c>
      <c r="D1759">
        <f>-646.157030427061 -59.8020204734228 -213.077416757414</f>
        <v>-919.03646765789779</v>
      </c>
      <c r="E1759">
        <f>-654.759096719703 -63.8447422197155 -311.242177118305</f>
        <v>-1029.8460160577235</v>
      </c>
      <c r="F1759">
        <f>-659.45836706118 -66.1238989870674 -400.185744990682</f>
        <v>-1125.7680110389292</v>
      </c>
      <c r="G1759">
        <f>-660.700459081215 -67.0315384345993 -489.269301814706</f>
        <v>-1217.0012993305202</v>
      </c>
      <c r="H1759">
        <f>-658.780609281982 -66.9349452403615 -613.837068804718</f>
        <v>-1339.5526233270616</v>
      </c>
      <c r="I1759">
        <f>-630.9031433922 -61.9530404896907 -691.9589751832</f>
        <v>-1384.8151590650907</v>
      </c>
      <c r="J1759">
        <f>-663.75138197092 -39.5772916191638 -559.063202044303</f>
        <v>-1262.3918756343869</v>
      </c>
      <c r="K1759" t="s">
        <v>19458</v>
      </c>
      <c r="L1759" t="s">
        <v>19459</v>
      </c>
      <c r="M1759" t="s">
        <v>19460</v>
      </c>
      <c r="N1759">
        <f>-655.499503914463 -94.3775551517584 -558.97861235481</f>
        <v>-1308.8556714210315</v>
      </c>
      <c r="O1759">
        <f>-636.180711873231 -227.138623120534 -528.992405932018</f>
        <v>-1392.3117409257829</v>
      </c>
      <c r="P1759">
        <f>-636.310669256872 -284.207081289235 -240.315392642128</f>
        <v>-1160.833143188235</v>
      </c>
      <c r="Q1759">
        <f>-474.438266507053 -118.141709757613 -305.664249783365</f>
        <v>-898.24422604803101</v>
      </c>
      <c r="R1759" t="s">
        <v>19461</v>
      </c>
      <c r="S1759" t="s">
        <v>19462</v>
      </c>
      <c r="T1759" t="s">
        <v>19463</v>
      </c>
      <c r="U1759" t="s">
        <v>19464</v>
      </c>
      <c r="V1759">
        <f>-600.388413066695 -142.939537195661 -97.3726130623128</f>
        <v>-840.70056332466868</v>
      </c>
      <c r="W1759" t="s">
        <v>19465</v>
      </c>
      <c r="X1759" t="s">
        <v>19466</v>
      </c>
      <c r="Y1759" t="s">
        <v>19467</v>
      </c>
    </row>
    <row r="1760" spans="1:25" x14ac:dyDescent="0.3">
      <c r="A1760">
        <v>87950</v>
      </c>
      <c r="B1760" t="s">
        <v>19468</v>
      </c>
      <c r="C1760">
        <f>-625.804755759373 -50.2975594292504 -99.4510223717269</f>
        <v>-775.55333756035043</v>
      </c>
      <c r="D1760">
        <f>-646.333531016251 -59.774927495601 -213.051139991569</f>
        <v>-919.15959850342097</v>
      </c>
      <c r="E1760">
        <f>-654.942388079664 -63.8095129693547 -311.215495146985</f>
        <v>-1029.9673961960038</v>
      </c>
      <c r="F1760">
        <f>-659.640984689739 -66.0754398935537 -400.159409530878</f>
        <v>-1125.8758341141706</v>
      </c>
      <c r="G1760">
        <f>-660.875094731395 -66.9646734888064 -489.243328049018</f>
        <v>-1217.0830962692194</v>
      </c>
      <c r="H1760">
        <f>-658.936654721288 -66.8364185975162 -613.810684841612</f>
        <v>-1339.5837581604162</v>
      </c>
      <c r="I1760">
        <f>-631.088994134582 -61.826031267801 -691.941530839601</f>
        <v>-1384.856556241984</v>
      </c>
      <c r="J1760">
        <f>-663.905070982946 -39.4910495853494 -559.030613649401</f>
        <v>-1262.4267342176963</v>
      </c>
      <c r="K1760" t="s">
        <v>19469</v>
      </c>
      <c r="L1760" t="s">
        <v>19470</v>
      </c>
      <c r="M1760" t="s">
        <v>19471</v>
      </c>
      <c r="N1760">
        <f>-655.674284378422 -94.294539915949 -558.958892488823</f>
        <v>-1308.9277167831942</v>
      </c>
      <c r="O1760">
        <f>-636.390615595069 -227.05697672426 -528.936481544462</f>
        <v>-1392.3840738637909</v>
      </c>
      <c r="P1760">
        <f>-635.727510412913 -284.348542137159 -240.304458982293</f>
        <v>-1160.3805115323651</v>
      </c>
      <c r="Q1760">
        <f>-475.404782879451 -116.741290351805 -305.537107503476</f>
        <v>-897.68318073473199</v>
      </c>
      <c r="R1760" t="s">
        <v>19472</v>
      </c>
      <c r="S1760" t="s">
        <v>19473</v>
      </c>
      <c r="T1760" t="s">
        <v>19474</v>
      </c>
      <c r="U1760" t="s">
        <v>19475</v>
      </c>
      <c r="V1760">
        <f>-600.5325071604 -142.915496278958 -97.348982507288</f>
        <v>-840.79698594664603</v>
      </c>
      <c r="W1760" t="s">
        <v>19476</v>
      </c>
      <c r="X1760" t="s">
        <v>19477</v>
      </c>
      <c r="Y1760" t="s">
        <v>19478</v>
      </c>
    </row>
    <row r="1761" spans="1:25" x14ac:dyDescent="0.3">
      <c r="A1761">
        <v>88000</v>
      </c>
      <c r="B1761" t="s">
        <v>19479</v>
      </c>
      <c r="C1761">
        <f>-625.941345296266 -50.2571320155675 -99.420967567863</f>
        <v>-775.61944487969663</v>
      </c>
      <c r="D1761">
        <f>-646.538395101325 -59.7371250405989 -213.008494388481</f>
        <v>-919.28401453040499</v>
      </c>
      <c r="E1761">
        <f>-655.188802480958 -63.7558381797261 -311.169830253003</f>
        <v>-1030.114470913687</v>
      </c>
      <c r="F1761">
        <f>-659.918081519093 -65.9992484528755 -400.112855654456</f>
        <v>-1126.0301856264246</v>
      </c>
      <c r="G1761">
        <f>-661.175781801931 -66.8579352389596 -489.19669558611</f>
        <v>-1217.2304126270005</v>
      </c>
      <c r="H1761">
        <f>-659.262690104322 -66.6788991096942 -613.764406327911</f>
        <v>-1339.7059955419272</v>
      </c>
      <c r="I1761">
        <f>-631.463917122404 -61.6503587299223 -691.911459133522</f>
        <v>-1385.0257349858484</v>
      </c>
      <c r="J1761">
        <f>-664.193585902379 -39.3520475473749 -558.971632033266</f>
        <v>-1262.5172654830199</v>
      </c>
      <c r="K1761" t="s">
        <v>19480</v>
      </c>
      <c r="L1761" t="s">
        <v>19481</v>
      </c>
      <c r="M1761" t="s">
        <v>19482</v>
      </c>
      <c r="N1761">
        <f>-656.015483414378 -94.1633000598746 -558.924760322005</f>
        <v>-1309.1035437962576</v>
      </c>
      <c r="O1761">
        <f>-636.809195793451 -226.921771945749 -528.872373700871</f>
        <v>-1392.6033414400708</v>
      </c>
      <c r="P1761">
        <f>-634.132569807079 -284.768296794683 -240.362772045694</f>
        <v>-1159.263638647456</v>
      </c>
      <c r="Q1761">
        <f>-477.041561528469 -113.996490157969 -305.249287726697</f>
        <v>-896.28733941313499</v>
      </c>
      <c r="R1761" t="s">
        <v>19483</v>
      </c>
      <c r="S1761" t="s">
        <v>19484</v>
      </c>
      <c r="T1761" t="s">
        <v>19485</v>
      </c>
      <c r="U1761" t="s">
        <v>19486</v>
      </c>
      <c r="V1761">
        <f>-600.754496665272 -142.894894463957 -97.3256006663707</f>
        <v>-840.97499179559975</v>
      </c>
      <c r="W1761" t="s">
        <v>19487</v>
      </c>
      <c r="X1761" t="s">
        <v>19488</v>
      </c>
      <c r="Y1761" t="s">
        <v>19489</v>
      </c>
    </row>
    <row r="1762" spans="1:25" x14ac:dyDescent="0.3">
      <c r="A1762">
        <v>88050</v>
      </c>
      <c r="B1762" t="s">
        <v>19490</v>
      </c>
      <c r="C1762">
        <f>-626.036141720138 -50.1648288087017 -99.3951056955042</f>
        <v>-775.59607622434385</v>
      </c>
      <c r="D1762">
        <f>-646.665509552241 -59.6463879909226 -212.976577764415</f>
        <v>-919.28847530757855</v>
      </c>
      <c r="E1762">
        <f>-655.343442489799 -63.6816731164528 -311.134958903865</f>
        <v>-1030.1600745101168</v>
      </c>
      <c r="F1762">
        <f>-660.097917891684 -65.9458141468032 -400.075986892564</f>
        <v>-1126.1197189310512</v>
      </c>
      <c r="G1762">
        <f>-661.381396942991 -66.8306305417364 -489.159265617979</f>
        <v>-1217.3712931027064</v>
      </c>
      <c r="H1762">
        <f>-659.504939176962 -66.6937304716421 -613.727477811834</f>
        <v>-1339.9261474604382</v>
      </c>
      <c r="I1762">
        <f>-631.724238152424 -61.6938843327306 -691.882850960253</f>
        <v>-1385.3009734454076</v>
      </c>
      <c r="J1762">
        <f>-664.413858556506 -39.3474558493365 -558.942543370086</f>
        <v>-1262.7038577759286</v>
      </c>
      <c r="K1762" t="s">
        <v>19491</v>
      </c>
      <c r="L1762" t="s">
        <v>19492</v>
      </c>
      <c r="M1762" t="s">
        <v>19493</v>
      </c>
      <c r="N1762">
        <f>-656.247584051326 -94.1605331048386 -558.879818987748</f>
        <v>-1309.2879361439127</v>
      </c>
      <c r="O1762">
        <f>-637.033252650807 -226.914075904287 -528.795333577815</f>
        <v>-1392.7426621329089</v>
      </c>
      <c r="P1762">
        <f>-633.568828659434 -284.705242237636 -240.283088222771</f>
        <v>-1158.5571591198411</v>
      </c>
      <c r="Q1762">
        <f>-477.311634751468 -113.085969750391 -304.946606758992</f>
        <v>-895.3442112608509</v>
      </c>
      <c r="R1762" t="s">
        <v>19494</v>
      </c>
      <c r="S1762" t="s">
        <v>19495</v>
      </c>
      <c r="T1762" t="s">
        <v>19496</v>
      </c>
      <c r="U1762" t="s">
        <v>19497</v>
      </c>
      <c r="V1762">
        <f>-600.927273647845 -142.740865005731 -97.3021251781615</f>
        <v>-840.97026383173761</v>
      </c>
      <c r="W1762" t="s">
        <v>19498</v>
      </c>
      <c r="X1762" t="s">
        <v>19499</v>
      </c>
      <c r="Y1762" t="s">
        <v>19500</v>
      </c>
    </row>
    <row r="1763" spans="1:25" x14ac:dyDescent="0.3">
      <c r="A1763">
        <v>88100</v>
      </c>
      <c r="B1763" t="s">
        <v>19501</v>
      </c>
      <c r="C1763">
        <f>-626.167606382408 -49.9129517662947 -99.3838929376519</f>
        <v>-775.46445108635464</v>
      </c>
      <c r="D1763">
        <f>-646.830894940407 -59.3863531646343 -212.959919269504</f>
        <v>-919.17716737454532</v>
      </c>
      <c r="E1763">
        <f>-655.519824153849 -63.4438574390696 -311.116396304074</f>
        <v>-1030.0800778969924</v>
      </c>
      <c r="F1763">
        <f>-660.277272083185 -65.7400379309379 -400.056416090165</f>
        <v>-1126.073726104288</v>
      </c>
      <c r="G1763">
        <f>-661.556849445818 -66.6699200157294 -489.13921972194</f>
        <v>-1217.3659891834873</v>
      </c>
      <c r="H1763">
        <f>-659.667776515873 -66.6095872577505 -613.70746971773</f>
        <v>-1339.9848334913536</v>
      </c>
      <c r="I1763">
        <f>-631.933436887069 -61.668004649107 -691.883014962864</f>
        <v>-1385.4844564990399</v>
      </c>
      <c r="J1763">
        <f>-664.556076995109 -39.2256469915681 -558.939325716689</f>
        <v>-1262.7210497033661</v>
      </c>
      <c r="K1763" t="s">
        <v>19502</v>
      </c>
      <c r="L1763" t="s">
        <v>19503</v>
      </c>
      <c r="M1763" t="s">
        <v>19504</v>
      </c>
      <c r="N1763">
        <f>-656.441993034725 -94.0464917093187 -558.842820945089</f>
        <v>-1309.3313056891327</v>
      </c>
      <c r="O1763">
        <f>-637.327232128015 -226.799345860655 -528.668491027269</f>
        <v>-1392.7950690159391</v>
      </c>
      <c r="P1763">
        <f>-632.820195924484 -284.655761549969 -240.183509015372</f>
        <v>-1157.659466489825</v>
      </c>
      <c r="Q1763">
        <f>-477.303223871163 -112.379452869168 -304.884486176777</f>
        <v>-894.56716291710813</v>
      </c>
      <c r="R1763" t="s">
        <v>19505</v>
      </c>
      <c r="S1763" t="s">
        <v>19506</v>
      </c>
      <c r="T1763" t="s">
        <v>19507</v>
      </c>
      <c r="U1763" t="s">
        <v>19508</v>
      </c>
      <c r="V1763">
        <f>-601.068330941227 -142.446080165653 -97.294007236635</f>
        <v>-840.80841834351509</v>
      </c>
      <c r="W1763" t="s">
        <v>19509</v>
      </c>
      <c r="X1763" t="s">
        <v>19510</v>
      </c>
      <c r="Y1763" t="s">
        <v>19511</v>
      </c>
    </row>
    <row r="1764" spans="1:25" x14ac:dyDescent="0.3">
      <c r="A1764">
        <v>88150</v>
      </c>
      <c r="B1764" t="s">
        <v>19512</v>
      </c>
      <c r="C1764">
        <f>-626.181336273094 -49.9024974448629 -99.3911825355636</f>
        <v>-775.47501625352049</v>
      </c>
      <c r="D1764">
        <f>-646.844008582561 -59.3826772764039 -212.966759471254</f>
        <v>-919.19344533021888</v>
      </c>
      <c r="E1764">
        <f>-655.523150717916 -63.46149108713 -311.123180458947</f>
        <v>-1030.1078222639931</v>
      </c>
      <c r="F1764">
        <f>-660.268033594516 -65.78355441113 -400.063251804395</f>
        <v>-1126.1148398100411</v>
      </c>
      <c r="G1764">
        <f>-661.53115410576 -66.7467765285955 -489.145938756738</f>
        <v>-1217.4238693910936</v>
      </c>
      <c r="H1764">
        <f>-659.615278987777 -66.741278131771 -613.713664478494</f>
        <v>-1340.0702215980418</v>
      </c>
      <c r="I1764">
        <f>-631.912147060544 -61.8269133170014 -691.901994360653</f>
        <v>-1385.6410547381984</v>
      </c>
      <c r="J1764">
        <f>-664.490660008972 -39.3296920207008 -558.958498383858</f>
        <v>-1262.7788504135308</v>
      </c>
      <c r="K1764" t="s">
        <v>19513</v>
      </c>
      <c r="L1764" t="s">
        <v>19514</v>
      </c>
      <c r="M1764" t="s">
        <v>19515</v>
      </c>
      <c r="N1764">
        <f>-656.426057475302 -94.1577748629358 -558.83675130857</f>
        <v>-1309.4205836468077</v>
      </c>
      <c r="O1764">
        <f>-637.410392137172 -226.910457321366 -528.629395096821</f>
        <v>-1392.9502445553589</v>
      </c>
      <c r="P1764">
        <f>-632.749094373673 -284.670155398333 -240.127483862584</f>
        <v>-1157.5467336345901</v>
      </c>
      <c r="Q1764">
        <f>-477.290508463129 -112.378907768932 -304.928806827822</f>
        <v>-894.59822305988303</v>
      </c>
      <c r="R1764" t="s">
        <v>19516</v>
      </c>
      <c r="S1764" t="s">
        <v>19517</v>
      </c>
      <c r="T1764" t="s">
        <v>19518</v>
      </c>
      <c r="U1764" t="s">
        <v>19519</v>
      </c>
      <c r="V1764">
        <f>-601.075805068232 -142.534961185147 -97.2886439424383</f>
        <v>-840.89941019581727</v>
      </c>
      <c r="W1764" t="s">
        <v>19520</v>
      </c>
      <c r="X1764" t="s">
        <v>19521</v>
      </c>
      <c r="Y1764" t="s">
        <v>19522</v>
      </c>
    </row>
    <row r="1765" spans="1:25" x14ac:dyDescent="0.3">
      <c r="A1765">
        <v>88200</v>
      </c>
      <c r="B1765" t="s">
        <v>19523</v>
      </c>
      <c r="C1765">
        <f>-626.043946853597 -49.8370296718427 -99.3764441348641</f>
        <v>-775.25742066030386</v>
      </c>
      <c r="D1765">
        <f>-646.684440731206 -59.3196715633022 -212.955790464611</f>
        <v>-918.95990275911925</v>
      </c>
      <c r="E1765">
        <f>-655.338569031404 -63.4431726302765 -311.112605488966</f>
        <v>-1029.8943471506464</v>
      </c>
      <c r="F1765">
        <f>-660.058808581154 -65.8237020964954 -400.052477189262</f>
        <v>-1125.9349878669113</v>
      </c>
      <c r="G1765">
        <f>-661.295317434132 -66.864164224717 -489.134574963267</f>
        <v>-1217.2940566221159</v>
      </c>
      <c r="H1765">
        <f>-659.340158167893 -66.9876207386118 -613.701747108172</f>
        <v>-1340.0295260146768</v>
      </c>
      <c r="I1765">
        <f>-631.715841238716 -62.1425130876726 -691.92228662634</f>
        <v>-1385.7806409527286</v>
      </c>
      <c r="J1765">
        <f>-664.17421822113 -39.5109084488245 -558.975517150067</f>
        <v>-1262.6606438200215</v>
      </c>
      <c r="K1765" t="s">
        <v>19524</v>
      </c>
      <c r="L1765" t="s">
        <v>19525</v>
      </c>
      <c r="M1765" t="s">
        <v>19526</v>
      </c>
      <c r="N1765">
        <f>-656.226832837934 -94.3558236418178 -558.796358860252</f>
        <v>-1309.3790153400037</v>
      </c>
      <c r="O1765">
        <f>-637.475674628454 -227.119003920903 -528.473694954979</f>
        <v>-1393.068373504336</v>
      </c>
      <c r="P1765">
        <f>-632.555883766747 -284.910414026606 -239.98248557308</f>
        <v>-1157.448783366433</v>
      </c>
      <c r="Q1765">
        <f>-477.607999088507 -112.27539076949 -305.09141580028</f>
        <v>-894.97480565827686</v>
      </c>
      <c r="R1765" t="s">
        <v>19527</v>
      </c>
      <c r="S1765" t="s">
        <v>19528</v>
      </c>
      <c r="T1765" t="s">
        <v>19529</v>
      </c>
      <c r="U1765" t="s">
        <v>19530</v>
      </c>
      <c r="V1765">
        <f>-601.032942658108 -142.415225111365 -97.2718662520733</f>
        <v>-840.72003402154633</v>
      </c>
      <c r="W1765" t="s">
        <v>19531</v>
      </c>
      <c r="X1765" t="s">
        <v>19532</v>
      </c>
      <c r="Y1765" t="s">
        <v>19533</v>
      </c>
    </row>
    <row r="1766" spans="1:25" x14ac:dyDescent="0.3">
      <c r="A1766">
        <v>88250</v>
      </c>
      <c r="B1766" t="s">
        <v>19534</v>
      </c>
      <c r="C1766">
        <f>-625.925429396608 -49.8101093642078 -99.3787989896141</f>
        <v>-775.11433775042997</v>
      </c>
      <c r="D1766">
        <f>-646.547325469744 -59.254368034319 -212.964863800585</f>
        <v>-918.76655730464802</v>
      </c>
      <c r="E1766">
        <f>-655.174717000243 -63.3914171135773 -311.123381967514</f>
        <v>-1029.6895160813342</v>
      </c>
      <c r="F1766">
        <f>-659.867400129602 -65.8017865855223 -400.063854640542</f>
        <v>-1125.7330413556663</v>
      </c>
      <c r="G1766">
        <f>-661.07332897409 -66.8905688551409 -489.145841354568</f>
        <v>-1217.1097391837989</v>
      </c>
      <c r="H1766">
        <f>-659.072856865828 -67.1007049582904 -613.712114258964</f>
        <v>-1339.8856760830824</v>
      </c>
      <c r="I1766">
        <f>-631.466825560452 -62.3085032717688 -691.94233049084</f>
        <v>-1385.7176593230608</v>
      </c>
      <c r="J1766">
        <f>-663.89664827013 -39.5814598293262 -559.006219513027</f>
        <v>-1262.484327612483</v>
      </c>
      <c r="K1766" t="s">
        <v>19535</v>
      </c>
      <c r="L1766" t="s">
        <v>19536</v>
      </c>
      <c r="M1766" t="s">
        <v>19537</v>
      </c>
      <c r="N1766">
        <f>-656.009686741056 -94.4349944888365 -558.787107646776</f>
        <v>-1309.2317888766686</v>
      </c>
      <c r="O1766">
        <f>-637.370919848479 -227.199440750538 -528.396340496345</f>
        <v>-1392.9667010953622</v>
      </c>
      <c r="P1766">
        <f>-632.096230958286 -285.102608959452 -239.933864130349</f>
        <v>-1157.1327040480871</v>
      </c>
      <c r="Q1766">
        <f>-477.712160757454 -111.970570976798 -305.062350725447</f>
        <v>-894.74508245969901</v>
      </c>
      <c r="R1766" t="s">
        <v>19538</v>
      </c>
      <c r="S1766" t="s">
        <v>19539</v>
      </c>
      <c r="T1766" t="s">
        <v>19540</v>
      </c>
      <c r="U1766" t="s">
        <v>19541</v>
      </c>
      <c r="V1766">
        <f>-601.024857322413 -142.394431655806 -97.2670360545809</f>
        <v>-840.68632503279991</v>
      </c>
      <c r="W1766" t="s">
        <v>19542</v>
      </c>
      <c r="X1766" t="s">
        <v>19543</v>
      </c>
      <c r="Y1766" t="s">
        <v>19544</v>
      </c>
    </row>
    <row r="1767" spans="1:25" x14ac:dyDescent="0.3">
      <c r="A1767">
        <v>88300</v>
      </c>
      <c r="B1767" t="s">
        <v>19545</v>
      </c>
      <c r="C1767">
        <f>-625.755352657633 -49.7426751568598 -99.3684885706175</f>
        <v>-774.86651638511034</v>
      </c>
      <c r="D1767">
        <f>-646.345000796018 -59.0688483481193 -212.970109051068</f>
        <v>-918.38395819520531</v>
      </c>
      <c r="E1767">
        <f>-654.93292148614 -63.1951913752717 -311.132589227407</f>
        <v>-1029.2607020888188</v>
      </c>
      <c r="F1767">
        <f>-659.587456565121 -65.6296939237412 -400.074416652033</f>
        <v>-1125.2915671408953</v>
      </c>
      <c r="G1767">
        <f>-660.753953587218 -66.7765472905207 -489.156241386895</f>
        <v>-1216.6867422646337</v>
      </c>
      <c r="H1767">
        <f>-658.697800987461 -67.1028005144443 -613.721380868206</f>
        <v>-1339.5219823701113</v>
      </c>
      <c r="I1767">
        <f>-631.121680012665 -62.4313977673529 -691.969473417697</f>
        <v>-1385.5225511977151</v>
      </c>
      <c r="J1767">
        <f>-663.488808143795 -39.5243866695353 -559.042390174756</f>
        <v>-1262.0555849880861</v>
      </c>
      <c r="K1767" t="s">
        <v>19546</v>
      </c>
      <c r="L1767" t="s">
        <v>19547</v>
      </c>
      <c r="M1767" t="s">
        <v>19548</v>
      </c>
      <c r="N1767">
        <f>-655.716459951429 -94.3940022985053 -558.770497123443</f>
        <v>-1308.8809593733772</v>
      </c>
      <c r="O1767">
        <f>-637.348474286712 -227.179267995753 -528.293518913972</f>
        <v>-1392.8212611964368</v>
      </c>
      <c r="P1767">
        <f>-631.51792189832 -285.195429431365 -239.864324020402</f>
        <v>-1156.577675350087</v>
      </c>
      <c r="Q1767">
        <f>-477.574468559496 -111.644938719007 -304.922018442192</f>
        <v>-894.141425720695</v>
      </c>
      <c r="R1767" t="s">
        <v>19549</v>
      </c>
      <c r="S1767" t="s">
        <v>19550</v>
      </c>
      <c r="T1767" t="s">
        <v>19551</v>
      </c>
      <c r="U1767" t="s">
        <v>19552</v>
      </c>
      <c r="V1767">
        <f>-601.170460073368 -142.272036520596 -97.2843630731066</f>
        <v>-840.72685966707058</v>
      </c>
      <c r="W1767" t="s">
        <v>19553</v>
      </c>
      <c r="X1767" t="s">
        <v>19554</v>
      </c>
      <c r="Y1767" t="s">
        <v>19555</v>
      </c>
    </row>
    <row r="1768" spans="1:25" x14ac:dyDescent="0.3">
      <c r="A1768">
        <v>88350</v>
      </c>
      <c r="B1768" t="s">
        <v>19556</v>
      </c>
      <c r="C1768">
        <f>-625.756703226044 -49.7876708607472 -99.332582394248</f>
        <v>-774.8769564810392</v>
      </c>
      <c r="D1768">
        <f>-646.341637279391 -59.0383857550476 -212.941158037026</f>
        <v>-918.32118107146448</v>
      </c>
      <c r="E1768">
        <f>-654.916018118433 -63.1365236440945 -311.106021690594</f>
        <v>-1029.1585634531216</v>
      </c>
      <c r="F1768">
        <f>-659.555510899442 -65.5589371645336 -400.048914212582</f>
        <v>-1125.1633622765576</v>
      </c>
      <c r="G1768">
        <f>-660.704397941306 -66.707409532652 -489.131070398102</f>
        <v>-1216.54287787206</v>
      </c>
      <c r="H1768">
        <f>-658.621363347611 -67.0500268106927 -613.695650089825</f>
        <v>-1339.3670402481287</v>
      </c>
      <c r="I1768">
        <f>-631.056832679382 -62.4336133447003 -691.951158822472</f>
        <v>-1385.4416048465544</v>
      </c>
      <c r="J1768">
        <f>-663.391266500163 -39.4597125821385 -559.020741866197</f>
        <v>-1261.8717209484985</v>
      </c>
      <c r="K1768" t="s">
        <v>19557</v>
      </c>
      <c r="L1768" t="s">
        <v>19558</v>
      </c>
      <c r="M1768" t="s">
        <v>19559</v>
      </c>
      <c r="N1768">
        <f>-655.684737467922 -94.3387114071359 -558.740943894717</f>
        <v>-1308.764392769775</v>
      </c>
      <c r="O1768">
        <f>-637.525182682542 -227.160060093292 -528.284758662802</f>
        <v>-1392.970001438636</v>
      </c>
      <c r="P1768">
        <f>-631.698520313674 -285.233106709341 -239.867112533508</f>
        <v>-1156.7987395565228</v>
      </c>
      <c r="Q1768">
        <f>-477.589169144508 -111.750498156284 -304.71280821332</f>
        <v>-894.05247551411207</v>
      </c>
      <c r="R1768" t="s">
        <v>19560</v>
      </c>
      <c r="S1768" t="s">
        <v>19561</v>
      </c>
      <c r="T1768" t="s">
        <v>19562</v>
      </c>
      <c r="U1768" t="s">
        <v>19563</v>
      </c>
      <c r="V1768">
        <f>-601.285335419374 -142.370023401264 -97.2885256379179</f>
        <v>-840.94388445855589</v>
      </c>
      <c r="W1768" t="s">
        <v>19564</v>
      </c>
      <c r="X1768" t="s">
        <v>19565</v>
      </c>
      <c r="Y1768" t="s">
        <v>19566</v>
      </c>
    </row>
    <row r="1769" spans="1:25" x14ac:dyDescent="0.3">
      <c r="A1769">
        <v>88400</v>
      </c>
      <c r="B1769" t="s">
        <v>19567</v>
      </c>
      <c r="C1769">
        <f>-625.717336218804 -49.7561001471661 -99.291110012143</f>
        <v>-774.7645463781131</v>
      </c>
      <c r="D1769">
        <f>-646.308836611604 -58.8905091400934 -212.9079158278</f>
        <v>-918.10726157949739</v>
      </c>
      <c r="E1769">
        <f>-654.836838835186 -62.9258667258961 -311.079475924557</f>
        <v>-1028.842181485639</v>
      </c>
      <c r="F1769">
        <f>-659.414672857744 -65.3046584384526 -400.026809672641</f>
        <v>-1124.7461409688376</v>
      </c>
      <c r="G1769">
        <f>-660.482335987848 -66.423835215963 -489.110075569873</f>
        <v>-1216.0162467736841</v>
      </c>
      <c r="H1769">
        <f>-658.265928323793 -66.7406119317292 -613.672493421827</f>
        <v>-1338.6790336773493</v>
      </c>
      <c r="I1769">
        <f>-630.64803909893 -62.2151107148719 -691.914573882084</f>
        <v>-1384.7777236958859</v>
      </c>
      <c r="J1769">
        <f>-663.007160110944 -39.1495599734521 -558.995550527432</f>
        <v>-1261.152270611828</v>
      </c>
      <c r="K1769" t="s">
        <v>19568</v>
      </c>
      <c r="L1769" t="s">
        <v>19569</v>
      </c>
      <c r="M1769" t="s">
        <v>19570</v>
      </c>
      <c r="N1769">
        <f>-655.475345316736 -94.0528151658332 -558.722006658666</f>
        <v>-1308.2501671412351</v>
      </c>
      <c r="O1769">
        <f>-637.87929380761 -226.978641714099 -528.375414160402</f>
        <v>-1393.2333496821111</v>
      </c>
      <c r="P1769">
        <f>-633.249544399461 -285.305882416656 -239.987324521838</f>
        <v>-1158.542751337955</v>
      </c>
      <c r="Q1769">
        <f>-477.72800199864 -112.983171150756 -304.553606542126</f>
        <v>-895.26477969152199</v>
      </c>
      <c r="R1769" t="s">
        <v>19571</v>
      </c>
      <c r="S1769" t="s">
        <v>19572</v>
      </c>
      <c r="T1769" t="s">
        <v>19573</v>
      </c>
      <c r="U1769" t="s">
        <v>19574</v>
      </c>
      <c r="V1769">
        <f>-601.515086803726 -142.367088065441 -97.276537234674</f>
        <v>-841.15871210384114</v>
      </c>
      <c r="W1769" t="s">
        <v>19575</v>
      </c>
      <c r="X1769" t="s">
        <v>19576</v>
      </c>
      <c r="Y1769" t="s">
        <v>19577</v>
      </c>
    </row>
    <row r="1770" spans="1:25" x14ac:dyDescent="0.3">
      <c r="A1770">
        <v>88450</v>
      </c>
      <c r="B1770" t="s">
        <v>19578</v>
      </c>
      <c r="C1770">
        <f>-625.681656112871 -49.7938842314162 -99.2712744793963</f>
        <v>-774.74681482368351</v>
      </c>
      <c r="D1770">
        <f>-646.277015220026 -58.8901765177433 -212.890464330007</f>
        <v>-918.05765606777629</v>
      </c>
      <c r="E1770">
        <f>-654.788029027904 -62.8953853915193 -311.06469803348</f>
        <v>-1028.7481124529033</v>
      </c>
      <c r="F1770">
        <f>-659.342433891942 -65.2472419642338 -400.013874544142</f>
        <v>-1124.603550400318</v>
      </c>
      <c r="G1770">
        <f>-660.37859539175 -66.3407089752586 -489.098013550474</f>
        <v>-1215.8173179174826</v>
      </c>
      <c r="H1770">
        <f>-658.109627319938 -66.6230873353197 -613.659564479569</f>
        <v>-1338.3922791348268</v>
      </c>
      <c r="I1770">
        <f>-630.456981357662 -62.126113264704 -691.890800168024</f>
        <v>-1384.4738947903902</v>
      </c>
      <c r="J1770">
        <f>-662.824532117767 -39.0403630231162 -558.976129530858</f>
        <v>-1260.8410246717413</v>
      </c>
      <c r="K1770" t="s">
        <v>19579</v>
      </c>
      <c r="L1770" t="s">
        <v>19580</v>
      </c>
      <c r="M1770" t="s">
        <v>19581</v>
      </c>
      <c r="N1770">
        <f>-655.391553347728 -93.9572015379047 -558.7162723932</f>
        <v>-1308.0650272788325</v>
      </c>
      <c r="O1770">
        <f>-638.113175322281 -226.938425473577 -528.433468266452</f>
        <v>-1393.48506906231</v>
      </c>
      <c r="P1770">
        <f>-635.129683477693 -284.797893572839 -239.929386045553</f>
        <v>-1159.8569630960849</v>
      </c>
      <c r="Q1770">
        <f>-477.245170312388 -114.695638241651 -304.648532494094</f>
        <v>-896.58934104813306</v>
      </c>
      <c r="R1770" t="s">
        <v>19582</v>
      </c>
      <c r="S1770" t="s">
        <v>19583</v>
      </c>
      <c r="T1770" t="s">
        <v>19584</v>
      </c>
      <c r="U1770" t="s">
        <v>19585</v>
      </c>
      <c r="V1770">
        <f>-601.628363740477 -142.413293605916 -97.2600882306363</f>
        <v>-841.30174557702924</v>
      </c>
      <c r="W1770" t="s">
        <v>19586</v>
      </c>
      <c r="X1770" t="s">
        <v>19587</v>
      </c>
      <c r="Y1770" t="s">
        <v>19588</v>
      </c>
    </row>
    <row r="1771" spans="1:25" x14ac:dyDescent="0.3">
      <c r="A1771">
        <v>88500</v>
      </c>
      <c r="B1771" t="s">
        <v>19589</v>
      </c>
      <c r="C1771">
        <f>-625.500636273732 -49.8557804063519 -99.2282548154374</f>
        <v>-774.58467149552121</v>
      </c>
      <c r="D1771">
        <f>-646.101486794505 -58.8629647497173 -212.853398991661</f>
        <v>-917.81785053588339</v>
      </c>
      <c r="E1771">
        <f>-654.576757557977 -62.8110871504751 -311.033085419186</f>
        <v>-1028.4209301276383</v>
      </c>
      <c r="F1771">
        <f>-659.0827915192 -65.1191175969652 -399.985999470865</f>
        <v>-1124.1879085870303</v>
      </c>
      <c r="G1771">
        <f>-660.05407241827 -66.1789515457369 -489.071149543832</f>
        <v>-1215.3041735078391</v>
      </c>
      <c r="H1771">
        <f>-657.677155278114 -66.4262298722886 -613.630853748891</f>
        <v>-1337.7342388992936</v>
      </c>
      <c r="I1771">
        <f>-629.879191202043 -61.9805763118752 -691.813498648441</f>
        <v>-1383.6732661623591</v>
      </c>
      <c r="J1771">
        <f>-662.32259016567 -38.8435542017737 -558.941536744833</f>
        <v>-1260.1076811122766</v>
      </c>
      <c r="K1771" t="s">
        <v>19590</v>
      </c>
      <c r="L1771" t="s">
        <v>19591</v>
      </c>
      <c r="M1771" t="s">
        <v>19592</v>
      </c>
      <c r="N1771">
        <f>-655.123712002693 -93.7914767072384 -558.695099874794</f>
        <v>-1307.6102885847254</v>
      </c>
      <c r="O1771">
        <f>-638.569399322867 -226.88610879555 -528.563955051095</f>
        <v>-1394.0194631695119</v>
      </c>
      <c r="P1771">
        <f>-640.292925239542 -282.57339036108 -239.622324313075</f>
        <v>-1162.4886399136969</v>
      </c>
      <c r="Q1771">
        <f>-474.911237388264 -119.928821225473 -304.787558987622</f>
        <v>-899.62761760135902</v>
      </c>
      <c r="R1771" t="s">
        <v>19593</v>
      </c>
      <c r="S1771" t="s">
        <v>19594</v>
      </c>
      <c r="T1771" t="s">
        <v>19595</v>
      </c>
      <c r="U1771" t="s">
        <v>19596</v>
      </c>
      <c r="V1771">
        <f>-601.656543012399 -142.415045001694 -97.2437270861224</f>
        <v>-841.31531510021534</v>
      </c>
      <c r="W1771" t="s">
        <v>19597</v>
      </c>
      <c r="X1771" t="s">
        <v>19598</v>
      </c>
      <c r="Y1771" t="s">
        <v>19599</v>
      </c>
    </row>
    <row r="1772" spans="1:25" x14ac:dyDescent="0.3">
      <c r="A1772">
        <v>88550</v>
      </c>
      <c r="B1772" t="s">
        <v>19600</v>
      </c>
      <c r="C1772">
        <f>-625.407561603217 -49.9704474919677 -99.2169784073012</f>
        <v>-774.59498750248588</v>
      </c>
      <c r="D1772">
        <f>-646.022644835254 -58.9388518905155 -212.842816323666</f>
        <v>-917.80431304943545</v>
      </c>
      <c r="E1772">
        <f>-654.472103627124 -62.8573730597141 -311.025837853096</f>
        <v>-1028.3553145399342</v>
      </c>
      <c r="F1772">
        <f>-658.939083302912 -65.1411563242506 -399.981197210204</f>
        <v>-1124.0614368373665</v>
      </c>
      <c r="G1772">
        <f>-659.855214155117 -66.1811549424471 -489.067170231682</f>
        <v>-1215.1035393292459</v>
      </c>
      <c r="H1772">
        <f>-657.384230462769 -66.406631957148 -613.625073240134</f>
        <v>-1337.415935660051</v>
      </c>
      <c r="I1772">
        <f>-629.496522522061 -61.9772664891581 -691.776856565834</f>
        <v>-1383.2506455770531</v>
      </c>
      <c r="J1772">
        <f>-662.003385018028 -38.8247463871676 -558.93311199434</f>
        <v>-1259.7612433995355</v>
      </c>
      <c r="K1772" t="s">
        <v>19601</v>
      </c>
      <c r="L1772" t="s">
        <v>19602</v>
      </c>
      <c r="M1772" t="s">
        <v>19603</v>
      </c>
      <c r="N1772">
        <f>-654.939712534837 -93.790287187863 -558.69349435472</f>
        <v>-1307.4234940774199</v>
      </c>
      <c r="O1772">
        <f>-638.786397143951 -226.958013315695 -528.634035014472</f>
        <v>-1394.3784454741181</v>
      </c>
      <c r="P1772">
        <f>-642.832472777374 -281.285333720205 -239.457022386372</f>
        <v>-1163.5748288839511</v>
      </c>
      <c r="Q1772">
        <f>-473.16883890876 -123.254676858388 -304.96603997987</f>
        <v>-901.38955574701799</v>
      </c>
      <c r="R1772" t="s">
        <v>19604</v>
      </c>
      <c r="S1772" t="s">
        <v>19605</v>
      </c>
      <c r="T1772" t="s">
        <v>19606</v>
      </c>
      <c r="U1772" t="s">
        <v>19607</v>
      </c>
      <c r="V1772">
        <f>-601.688091747725 -142.574850003802 -97.2427554805291</f>
        <v>-841.50569723205615</v>
      </c>
      <c r="W1772" t="s">
        <v>19608</v>
      </c>
      <c r="X1772" t="s">
        <v>19609</v>
      </c>
      <c r="Y1772" t="s">
        <v>19610</v>
      </c>
    </row>
    <row r="1773" spans="1:25" x14ac:dyDescent="0.3">
      <c r="A1773">
        <v>88600</v>
      </c>
      <c r="B1773" t="s">
        <v>19611</v>
      </c>
      <c r="C1773">
        <f>-625.368619816088 -50.2750522900217 -99.2031445508987</f>
        <v>-774.84681665700839</v>
      </c>
      <c r="D1773">
        <f>-645.999949951642 -59.1330752238443 -212.834713759534</f>
        <v>-917.96773893502029</v>
      </c>
      <c r="E1773">
        <f>-654.395189937571 -62.9430366888548 -311.026678532177</f>
        <v>-1028.3649051586028</v>
      </c>
      <c r="F1773">
        <f>-658.784719556566 -65.1246176468266 -399.988583162922</f>
        <v>-1123.8979203663146</v>
      </c>
      <c r="G1773">
        <f>-659.59404753076 -66.0623606451428 -489.076630267732</f>
        <v>-1214.7330384436348</v>
      </c>
      <c r="H1773">
        <f>-656.942560116249 -66.1465761739674 -613.631093463264</f>
        <v>-1336.7202297534805</v>
      </c>
      <c r="I1773">
        <f>-628.877684954839 -61.7357967269294 -691.72019227613</f>
        <v>-1382.3336739578983</v>
      </c>
      <c r="J1773">
        <f>-661.507959224557 -38.6097075812484 -558.911809935741</f>
        <v>-1259.0294767415462</v>
      </c>
      <c r="K1773" t="s">
        <v>19612</v>
      </c>
      <c r="L1773" t="s">
        <v>19613</v>
      </c>
      <c r="M1773" t="s">
        <v>19614</v>
      </c>
      <c r="N1773">
        <f>-654.710749234919 -93.6091555144787 -558.729742050033</f>
        <v>-1307.0496467994308</v>
      </c>
      <c r="O1773">
        <f>-639.415856925792 -226.926468783008 -528.923028163211</f>
        <v>-1395.265353872011</v>
      </c>
      <c r="P1773">
        <f>-646.917049577731 -278.145322606861 -239.248121972198</f>
        <v>-1164.3104941567899</v>
      </c>
      <c r="Q1773">
        <f>-469.669437529579 -129.492774274621 -306.60258302277</f>
        <v>-905.76479482697005</v>
      </c>
      <c r="R1773" t="s">
        <v>19615</v>
      </c>
      <c r="S1773" t="s">
        <v>19616</v>
      </c>
      <c r="T1773" t="s">
        <v>19617</v>
      </c>
      <c r="U1773" t="s">
        <v>19618</v>
      </c>
      <c r="V1773">
        <f>-601.85688111326 -142.89381104256 -97.2594330366651</f>
        <v>-842.01012519248502</v>
      </c>
      <c r="W1773" t="s">
        <v>19619</v>
      </c>
      <c r="X1773" t="s">
        <v>19620</v>
      </c>
      <c r="Y1773" t="s">
        <v>19621</v>
      </c>
    </row>
    <row r="1774" spans="1:25" x14ac:dyDescent="0.3">
      <c r="A1774">
        <v>88650</v>
      </c>
      <c r="B1774" t="s">
        <v>19622</v>
      </c>
      <c r="C1774">
        <f>-625.445435024226 -50.4731813697882 -99.17882375959</f>
        <v>-775.09744015360423</v>
      </c>
      <c r="D1774">
        <f>-646.06463055046 -59.2700491697539 -212.81725825029</f>
        <v>-918.15193797050392</v>
      </c>
      <c r="E1774">
        <f>-654.417299294737 -63.0126918604404 -311.015530677661</f>
        <v>-1028.4455218328385</v>
      </c>
      <c r="F1774">
        <f>-658.754802288527 -65.1284778689809 -399.981470353413</f>
        <v>-1123.8647505109209</v>
      </c>
      <c r="G1774">
        <f>-659.498202438773 -65.9969558815898 -489.070946246691</f>
        <v>-1214.5661045670538</v>
      </c>
      <c r="H1774">
        <f>-656.739637476453 -65.9823475127782 -613.622888644404</f>
        <v>-1336.3448736336354</v>
      </c>
      <c r="I1774">
        <f>-628.574986927713 -61.5906360767027 -691.677376567503</f>
        <v>-1381.8429995719187</v>
      </c>
      <c r="J1774">
        <f>-661.287290990004 -38.4811098466639 -558.884295101608</f>
        <v>-1258.6526959382759</v>
      </c>
      <c r="K1774" t="s">
        <v>19623</v>
      </c>
      <c r="L1774" t="s">
        <v>19624</v>
      </c>
      <c r="M1774" t="s">
        <v>19625</v>
      </c>
      <c r="N1774">
        <f>-654.619770605238 -93.4965072402566 -558.743124112623</f>
        <v>-1306.8594019581178</v>
      </c>
      <c r="O1774">
        <f>-639.658709120412 -226.883821168338 -529.044240188163</f>
        <v>-1395.586770476913</v>
      </c>
      <c r="P1774">
        <f>-648.286977600672 -276.855749975911 -239.182862140943</f>
        <v>-1164.3255897175259</v>
      </c>
      <c r="Q1774">
        <f>-468.736945488216 -131.45124237186 -307.521553219316</f>
        <v>-907.70974107939196</v>
      </c>
      <c r="R1774" t="s">
        <v>19626</v>
      </c>
      <c r="S1774" t="s">
        <v>19627</v>
      </c>
      <c r="T1774" t="s">
        <v>19628</v>
      </c>
      <c r="U1774" t="s">
        <v>19629</v>
      </c>
      <c r="V1774">
        <f>-602.055632915173 -143.111002008868 -97.2531118312775</f>
        <v>-842.41974675531844</v>
      </c>
      <c r="W1774" t="s">
        <v>19630</v>
      </c>
      <c r="X1774" t="s">
        <v>19631</v>
      </c>
      <c r="Y1774" t="s">
        <v>19632</v>
      </c>
    </row>
    <row r="1775" spans="1:25" x14ac:dyDescent="0.3">
      <c r="A1775">
        <v>88700</v>
      </c>
      <c r="B1775" t="s">
        <v>19633</v>
      </c>
      <c r="C1775">
        <f>-625.686461381212 -50.8294137376777 -99.1063572177324</f>
        <v>-775.62223233662201</v>
      </c>
      <c r="D1775">
        <f>-646.251909307087 -59.4475440625077 -212.768138521361</f>
        <v>-918.46759189095576</v>
      </c>
      <c r="E1775">
        <f>-654.510073724735 -63.0270000871319 -310.980539055806</f>
        <v>-1028.5176128676728</v>
      </c>
      <c r="F1775">
        <f>-658.742769972175 -64.9906415387438 -399.954954753997</f>
        <v>-1123.6883662649159</v>
      </c>
      <c r="G1775">
        <f>-659.361372356812 -65.7043253063987 -489.046827745326</f>
        <v>-1214.1125254085368</v>
      </c>
      <c r="H1775">
        <f>-656.407691096868 -65.4715128960487 -613.594176013729</f>
        <v>-1335.4733800066456</v>
      </c>
      <c r="I1775">
        <f>-628.073422326849 -61.1049687299382 -691.588609509396</f>
        <v>-1380.767000566183</v>
      </c>
      <c r="J1775">
        <f>-660.947077209014 -38.0548986758831 -558.812386096467</f>
        <v>-1257.8143619813641</v>
      </c>
      <c r="K1775" t="s">
        <v>19634</v>
      </c>
      <c r="L1775" t="s">
        <v>19635</v>
      </c>
      <c r="M1775" t="s">
        <v>19636</v>
      </c>
      <c r="N1775">
        <f>-654.467767033727 -93.0929284028499 -558.761586635737</f>
        <v>-1306.322282072314</v>
      </c>
      <c r="O1775">
        <f>-640.008300799034 -226.581282494031 -529.281451100755</f>
        <v>-1395.8710343938201</v>
      </c>
      <c r="P1775">
        <f>-650.01995044652 -275.121123008904 -239.221468084526</f>
        <v>-1164.3625415399501</v>
      </c>
      <c r="Q1775">
        <f>-468.443845718655 -133.043140830195 -309.184286880465</f>
        <v>-910.67127342931485</v>
      </c>
      <c r="R1775" t="s">
        <v>19637</v>
      </c>
      <c r="S1775" t="s">
        <v>19638</v>
      </c>
      <c r="T1775" t="s">
        <v>19639</v>
      </c>
      <c r="U1775" t="s">
        <v>19640</v>
      </c>
      <c r="V1775">
        <f>-602.595223552914 -143.488965375495 -97.2318724214393</f>
        <v>-843.31606134984838</v>
      </c>
      <c r="W1775" t="s">
        <v>19641</v>
      </c>
      <c r="X1775" t="s">
        <v>19642</v>
      </c>
      <c r="Y1775" t="s">
        <v>19643</v>
      </c>
    </row>
    <row r="1776" spans="1:25" x14ac:dyDescent="0.3">
      <c r="A1776">
        <v>88750</v>
      </c>
      <c r="B1776" t="s">
        <v>19644</v>
      </c>
      <c r="C1776">
        <f>-625.82739750526 -51.046927962988 -99.0528704275387</f>
        <v>-775.92719589578667</v>
      </c>
      <c r="D1776">
        <f>-646.36654823865 -59.5741190376142 -212.726221148049</f>
        <v>-918.66688842431324</v>
      </c>
      <c r="E1776">
        <f>-654.579268327803 -63.0831327818445 -310.944861619359</f>
        <v>-1028.6072627290064</v>
      </c>
      <c r="F1776">
        <f>-658.762152126486 -64.9852080201013 -399.92313176096</f>
        <v>-1123.6704919075473</v>
      </c>
      <c r="G1776">
        <f>-659.322212293671 -65.6398543500587 -489.015803611177</f>
        <v>-1213.9778702549067</v>
      </c>
      <c r="H1776">
        <f>-656.277649261906 -65.3273364050115 -613.560698070186</f>
        <v>-1335.1656837371036</v>
      </c>
      <c r="I1776">
        <f>-627.85728007203 -60.9724383052578 -691.524500365429</f>
        <v>-1380.354218742717</v>
      </c>
      <c r="J1776">
        <f>-660.822439238383 -37.9418160765249 -558.763909424706</f>
        <v>-1257.5281647396139</v>
      </c>
      <c r="K1776" t="s">
        <v>19645</v>
      </c>
      <c r="L1776" t="s">
        <v>19646</v>
      </c>
      <c r="M1776" t="s">
        <v>19647</v>
      </c>
      <c r="N1776">
        <f>-654.412381764875 -92.9879108801217 -558.745314846845</f>
        <v>-1306.1456074918417</v>
      </c>
      <c r="O1776">
        <f>-640.153953552006 -226.516911236006 -529.377266359132</f>
        <v>-1396.048131147144</v>
      </c>
      <c r="P1776">
        <f>-650.676427752834 -274.39537119381 -239.225165567942</f>
        <v>-1164.2969645145861</v>
      </c>
      <c r="Q1776">
        <f>-468.42662652579 -133.278887436347 -309.382442915277</f>
        <v>-911.08795687741406</v>
      </c>
      <c r="R1776" t="s">
        <v>19648</v>
      </c>
      <c r="S1776" t="s">
        <v>19649</v>
      </c>
      <c r="T1776" t="s">
        <v>19650</v>
      </c>
      <c r="U1776" t="s">
        <v>19651</v>
      </c>
      <c r="V1776">
        <f>-602.882329109903 -143.749896179001 -97.214004170702</f>
        <v>-843.84622945960598</v>
      </c>
      <c r="W1776" t="s">
        <v>19652</v>
      </c>
      <c r="X1776" t="s">
        <v>19653</v>
      </c>
      <c r="Y1776" t="s">
        <v>19654</v>
      </c>
    </row>
    <row r="1777" spans="1:25" x14ac:dyDescent="0.3">
      <c r="A1777">
        <v>88800</v>
      </c>
      <c r="B1777" t="s">
        <v>19655</v>
      </c>
      <c r="C1777">
        <f>-626.066562584375 -51.3668337230113 -98.9451901129705</f>
        <v>-776.37858642035678</v>
      </c>
      <c r="D1777">
        <f>-646.584506342201 -59.7485375763204 -212.633218920472</f>
        <v>-918.96626283899343</v>
      </c>
      <c r="E1777">
        <f>-654.681280394607 -63.1452527635922 -310.865494434316</f>
        <v>-1028.6920275925154</v>
      </c>
      <c r="F1777">
        <f>-658.720254286882 -64.950572097844 -399.852499162775</f>
        <v>-1123.5233255475009</v>
      </c>
      <c r="G1777">
        <f>-659.097500977147 -65.515537192146 -488.946539597668</f>
        <v>-1213.559577766961</v>
      </c>
      <c r="H1777">
        <f>-655.756881371223 -65.0859691610051 -613.483621299036</f>
        <v>-1334.3264718312641</v>
      </c>
      <c r="I1777">
        <f>-627.138371539582 -60.7542306939167 -691.376196705901</f>
        <v>-1379.2687989393996</v>
      </c>
      <c r="J1777">
        <f>-660.352001021273 -37.7428077222621 -558.669866921545</f>
        <v>-1256.7646756650802</v>
      </c>
      <c r="K1777" t="s">
        <v>19656</v>
      </c>
      <c r="L1777" t="s">
        <v>19657</v>
      </c>
      <c r="M1777" t="s">
        <v>19658</v>
      </c>
      <c r="N1777">
        <f>-654.101920237986 -92.8072820892736 -558.692273421962</f>
        <v>-1305.6014757492217</v>
      </c>
      <c r="O1777">
        <f>-640.24304985624 -226.427124391609 -529.48410879058</f>
        <v>-1396.154283038429</v>
      </c>
      <c r="P1777">
        <f>-651.64084619734 -274.761400788078 -239.44094395719</f>
        <v>-1165.8431909426081</v>
      </c>
      <c r="Q1777">
        <f>-469.304193437412 -133.932698426888 -309.949533543603</f>
        <v>-913.18642540790302</v>
      </c>
      <c r="R1777" t="s">
        <v>19659</v>
      </c>
      <c r="S1777" t="s">
        <v>19660</v>
      </c>
      <c r="T1777" t="s">
        <v>19661</v>
      </c>
      <c r="U1777" t="s">
        <v>19662</v>
      </c>
      <c r="V1777">
        <f>-603.405048006408 -144.112084148569 -97.1818267505977</f>
        <v>-844.69895890557473</v>
      </c>
      <c r="W1777" t="s">
        <v>19663</v>
      </c>
      <c r="X1777" t="s">
        <v>19664</v>
      </c>
      <c r="Y1777" t="s">
        <v>19665</v>
      </c>
    </row>
    <row r="1778" spans="1:25" x14ac:dyDescent="0.3">
      <c r="A1778">
        <v>88850</v>
      </c>
      <c r="B1778" t="s">
        <v>19666</v>
      </c>
      <c r="C1778">
        <f>-626.237593221417 -51.478176379619 -98.9051562911928</f>
        <v>-776.6209258922288</v>
      </c>
      <c r="D1778">
        <f>-646.758266296031 -59.8020355738797 -212.597006559152</f>
        <v>-919.15730842906271</v>
      </c>
      <c r="E1778">
        <f>-654.79946874513 -63.1477327985222 -310.835523872643</f>
        <v>-1028.7827254162951</v>
      </c>
      <c r="F1778">
        <f>-658.76475730628 -64.9073244728941 -399.82658620585</f>
        <v>-1123.498667985024</v>
      </c>
      <c r="G1778">
        <f>-659.044602091492 -65.4283272202194 -488.921437887958</f>
        <v>-1213.3943671996694</v>
      </c>
      <c r="H1778">
        <f>-655.543187471178 -64.9397843572783 -613.453970661516</f>
        <v>-1333.9369424899724</v>
      </c>
      <c r="I1778">
        <f>-626.830194051674 -60.6162118438826 -691.312138594459</f>
        <v>-1378.7585444900155</v>
      </c>
      <c r="J1778">
        <f>-660.15973466864 -37.6169598581939 -558.631884575589</f>
        <v>-1256.4085791024229</v>
      </c>
      <c r="K1778" t="s">
        <v>19667</v>
      </c>
      <c r="L1778" t="s">
        <v>19668</v>
      </c>
      <c r="M1778" t="s">
        <v>19669</v>
      </c>
      <c r="N1778">
        <f>-654.008252736972 -92.6925693727582 -558.674888004762</f>
        <v>-1305.3757101144922</v>
      </c>
      <c r="O1778">
        <f>-640.475749359898 -226.378967058866 -529.624015072789</f>
        <v>-1396.4787314915529</v>
      </c>
      <c r="P1778">
        <f>-652.454408581782 -274.919539217542 -239.638478322186</f>
        <v>-1167.0124261215101</v>
      </c>
      <c r="Q1778">
        <f>-469.736827509456 -134.688575880569 -310.352394699266</f>
        <v>-914.77779808929108</v>
      </c>
      <c r="R1778" t="s">
        <v>19670</v>
      </c>
      <c r="S1778" t="s">
        <v>19671</v>
      </c>
      <c r="T1778" t="s">
        <v>19672</v>
      </c>
      <c r="U1778" t="s">
        <v>19673</v>
      </c>
      <c r="V1778">
        <f>-603.687332358862 -144.310985438491 -97.1584325536533</f>
        <v>-845.15675035100628</v>
      </c>
      <c r="W1778" t="s">
        <v>19674</v>
      </c>
      <c r="X1778" t="s">
        <v>19675</v>
      </c>
      <c r="Y1778" t="s">
        <v>19676</v>
      </c>
    </row>
    <row r="1779" spans="1:25" x14ac:dyDescent="0.3">
      <c r="A1779">
        <v>88900</v>
      </c>
      <c r="B1779" t="s">
        <v>19677</v>
      </c>
      <c r="C1779">
        <f>-626.483254045946 -51.6651416678949 -98.8290236701126</f>
        <v>-776.97741938395347</v>
      </c>
      <c r="D1779">
        <f>-646.971513763389 -59.8778390301973 -212.534800192412</f>
        <v>-919.3841529859983</v>
      </c>
      <c r="E1779">
        <f>-654.926835409204 -63.1041363418117 -310.784242637024</f>
        <v>-1028.8152143880397</v>
      </c>
      <c r="F1779">
        <f>-658.790214425967 -64.747029693425 -399.782203530647</f>
        <v>-1123.3194476500389</v>
      </c>
      <c r="G1779">
        <f>-658.943158677418 -65.1457885592295 -488.877998073572</f>
        <v>-1212.9669453102194</v>
      </c>
      <c r="H1779">
        <f>-655.237502251602 -64.4826315359043 -613.40360310542</f>
        <v>-1333.1237368929262</v>
      </c>
      <c r="I1779">
        <f>-626.385325275472 -60.1774268336923 -691.211326717753</f>
        <v>-1377.7740788269173</v>
      </c>
      <c r="J1779">
        <f>-659.816340984052 -37.2227272448795 -558.547087901104</f>
        <v>-1255.5861561300353</v>
      </c>
      <c r="K1779" t="s">
        <v>19678</v>
      </c>
      <c r="L1779" t="s">
        <v>19679</v>
      </c>
      <c r="M1779" t="s">
        <v>19680</v>
      </c>
      <c r="N1779">
        <f>-653.920012831295 -92.326112785394 -558.665046912496</f>
        <v>-1304.911172529185</v>
      </c>
      <c r="O1779">
        <f>-641.13409799069 -226.150617805116 -529.905562544498</f>
        <v>-1397.1902783403038</v>
      </c>
      <c r="P1779">
        <f>-653.453632571437 -275.863291427108 -240.133027084854</f>
        <v>-1169.4499510833989</v>
      </c>
      <c r="Q1779">
        <f>-470.430710500856 -136.261639354335 -311.301040208433</f>
        <v>-917.99339006362402</v>
      </c>
      <c r="R1779" t="s">
        <v>19681</v>
      </c>
      <c r="S1779" t="s">
        <v>19682</v>
      </c>
      <c r="T1779" t="s">
        <v>19683</v>
      </c>
      <c r="U1779" t="s">
        <v>19684</v>
      </c>
      <c r="V1779">
        <f>-604.182843780789 -144.626948050358 -97.1304113728764</f>
        <v>-845.94020320402342</v>
      </c>
      <c r="W1779" t="s">
        <v>19685</v>
      </c>
      <c r="X1779" t="s">
        <v>19686</v>
      </c>
      <c r="Y1779" t="s">
        <v>19687</v>
      </c>
    </row>
    <row r="1780" spans="1:25" x14ac:dyDescent="0.3">
      <c r="A1780">
        <v>88950</v>
      </c>
      <c r="B1780" t="s">
        <v>19688</v>
      </c>
      <c r="C1780">
        <f>-626.63466095064 -51.7704074094834 -98.7901904445838</f>
        <v>-777.19525880470712</v>
      </c>
      <c r="D1780">
        <f>-647.111910294746 -59.9244755623635 -212.50212039617</f>
        <v>-919.53850625327948</v>
      </c>
      <c r="E1780">
        <f>-655.046978301461 -63.0957916658473 -310.755078939697</f>
        <v>-1028.8978489070053</v>
      </c>
      <c r="F1780">
        <f>-658.887783368975 -64.6867576081687 -399.754851923427</f>
        <v>-1123.3293929005706</v>
      </c>
      <c r="G1780">
        <f>-659.013491810904 -65.0323525242765 -488.850818922713</f>
        <v>-1212.8966632578936</v>
      </c>
      <c r="H1780">
        <f>-655.265023664466 -64.2940509805439 -613.374867099463</f>
        <v>-1332.933941744473</v>
      </c>
      <c r="I1780">
        <f>-626.368209552999 -60.0076091349887 -691.167075763622</f>
        <v>-1377.5428944516098</v>
      </c>
      <c r="J1780">
        <f>-659.801776540625 -37.0608878724188 -558.501453399975</f>
        <v>-1255.3641178130188</v>
      </c>
      <c r="K1780" t="s">
        <v>19689</v>
      </c>
      <c r="L1780" t="s">
        <v>19690</v>
      </c>
      <c r="M1780" t="s">
        <v>19691</v>
      </c>
      <c r="N1780">
        <f>-654.027242350246 -92.1770504482879 -558.654553589364</f>
        <v>-1304.8588463878978</v>
      </c>
      <c r="O1780">
        <f>-641.603211277012 -226.05968853293 -530.047293506171</f>
        <v>-1397.710193316113</v>
      </c>
      <c r="P1780">
        <f>-653.998348952981 -276.522578534122 -240.407872290757</f>
        <v>-1170.9287997778599</v>
      </c>
      <c r="Q1780">
        <f>-470.880200824674 -136.470932840938 -310.437663314012</f>
        <v>-917.78879697962407</v>
      </c>
      <c r="R1780" t="s">
        <v>19692</v>
      </c>
      <c r="S1780" t="s">
        <v>19693</v>
      </c>
      <c r="T1780" t="s">
        <v>19694</v>
      </c>
      <c r="U1780" t="s">
        <v>19695</v>
      </c>
      <c r="V1780">
        <f>-604.549871344865 -144.730788105303 -97.1171286345419</f>
        <v>-846.39778808470987</v>
      </c>
      <c r="W1780" t="s">
        <v>19696</v>
      </c>
      <c r="X1780" t="s">
        <v>19697</v>
      </c>
      <c r="Y1780" t="s">
        <v>19698</v>
      </c>
    </row>
    <row r="1781" spans="1:25" x14ac:dyDescent="0.3">
      <c r="A1781">
        <v>89000</v>
      </c>
      <c r="B1781" t="s">
        <v>19699</v>
      </c>
      <c r="C1781">
        <f>-627.198604434512 -51.6151794727683 -98.7564969588998</f>
        <v>-777.57028086618016</v>
      </c>
      <c r="D1781">
        <f>-647.683467584624 -59.6488674553248 -212.475681404333</f>
        <v>-919.80801644428175</v>
      </c>
      <c r="E1781">
        <f>-655.589301974138 -62.7442711717334 -310.733347349224</f>
        <v>-1029.0669204950955</v>
      </c>
      <c r="F1781">
        <f>-659.389902045131 -64.276577518852 -399.735835024245</f>
        <v>-1123.4023145882279</v>
      </c>
      <c r="G1781">
        <f>-659.46168911719 -64.5753724246003 -488.832140675936</f>
        <v>-1212.8692022177263</v>
      </c>
      <c r="H1781">
        <f>-655.623406460125 -63.7849320557891 -613.353146967476</f>
        <v>-1332.7614854833901</v>
      </c>
      <c r="I1781">
        <f>-626.690710287411 -59.5388756013897 -691.13413851435</f>
        <v>-1377.3637244031506</v>
      </c>
      <c r="J1781">
        <f>-660.087780973459 -36.5632677626081 -558.468052983871</f>
        <v>-1255.119101719938</v>
      </c>
      <c r="K1781" t="s">
        <v>19700</v>
      </c>
      <c r="L1781" t="s">
        <v>19701</v>
      </c>
      <c r="M1781" t="s">
        <v>19702</v>
      </c>
      <c r="N1781">
        <f>-654.537109425405 -91.7023450007188 -558.646982184508</f>
        <v>-1304.8864366106318</v>
      </c>
      <c r="O1781">
        <f>-642.676595570614 -225.668112375238 -530.179525535181</f>
        <v>-1398.5242334810332</v>
      </c>
      <c r="P1781">
        <f>-656.027474370484 -277.100075336259 -240.752949325539</f>
        <v>-1173.8804990322819</v>
      </c>
      <c r="Q1781">
        <f>-472.305572748143 -136.993183859548 -309.069846663853</f>
        <v>-918.36860327154398</v>
      </c>
      <c r="R1781" t="s">
        <v>19703</v>
      </c>
      <c r="S1781" t="s">
        <v>19704</v>
      </c>
      <c r="T1781" t="s">
        <v>19705</v>
      </c>
      <c r="U1781" t="s">
        <v>19706</v>
      </c>
      <c r="V1781">
        <f>-605.438976419008 -144.562588189139 -97.1001249944035</f>
        <v>-847.10168960255044</v>
      </c>
      <c r="W1781" t="s">
        <v>19707</v>
      </c>
      <c r="X1781" t="s">
        <v>19708</v>
      </c>
      <c r="Y1781" t="s">
        <v>19709</v>
      </c>
    </row>
    <row r="1782" spans="1:25" x14ac:dyDescent="0.3">
      <c r="A1782">
        <v>89050</v>
      </c>
      <c r="B1782" t="s">
        <v>19710</v>
      </c>
      <c r="C1782">
        <f>-627.562113564406 -51.5779235235664 -98.7440325521736</f>
        <v>-777.88406964014598</v>
      </c>
      <c r="D1782">
        <f>-648.068500187512 -59.5600306056357 -212.462929940184</f>
        <v>-920.0914607333317</v>
      </c>
      <c r="E1782">
        <f>-655.970480785751 -62.6247607804024 -310.721845898425</f>
        <v>-1029.3170874645784</v>
      </c>
      <c r="F1782">
        <f>-659.758648916772 -64.1349125302308 -399.725308818869</f>
        <v>-1123.6188702658719</v>
      </c>
      <c r="G1782">
        <f>-659.808832108504 -64.4190275353495 -488.821628102049</f>
        <v>-1213.0494877459025</v>
      </c>
      <c r="H1782">
        <f>-655.930932465107 -63.6164707872986 -613.341382149063</f>
        <v>-1332.8887854014686</v>
      </c>
      <c r="I1782">
        <f>-627.00123060704 -59.3799282497342 -691.124113891153</f>
        <v>-1377.5052727479274</v>
      </c>
      <c r="J1782">
        <f>-660.346913578751 -36.3935501568483 -558.453000393281</f>
        <v>-1255.1934641288804</v>
      </c>
      <c r="K1782" t="s">
        <v>19711</v>
      </c>
      <c r="L1782" t="s">
        <v>19712</v>
      </c>
      <c r="M1782" t="s">
        <v>19713</v>
      </c>
      <c r="N1782">
        <f>-654.927849569987 -91.5456961501686 -558.639718703554</f>
        <v>-1305.1132644237096</v>
      </c>
      <c r="O1782">
        <f>-643.401623809199 -225.543877713392 -530.20120931037</f>
        <v>-1399.1467108329612</v>
      </c>
      <c r="P1782">
        <f>-657.10462577878 -277.379039127209 -240.863060028833</f>
        <v>-1175.3467249348221</v>
      </c>
      <c r="Q1782">
        <f>-473.468642619178 -136.687358924219 -308.202296846005</f>
        <v>-918.35829838940208</v>
      </c>
      <c r="R1782" t="s">
        <v>19714</v>
      </c>
      <c r="S1782" t="s">
        <v>19715</v>
      </c>
      <c r="T1782" t="s">
        <v>19716</v>
      </c>
      <c r="U1782" t="s">
        <v>19717</v>
      </c>
      <c r="V1782">
        <f>-605.866899372079 -144.76560069315 -97.1103339778064</f>
        <v>-847.74283404303537</v>
      </c>
      <c r="W1782" t="s">
        <v>19718</v>
      </c>
      <c r="X1782" t="s">
        <v>19719</v>
      </c>
      <c r="Y1782" t="s">
        <v>19720</v>
      </c>
    </row>
    <row r="1783" spans="1:25" x14ac:dyDescent="0.3">
      <c r="A1783">
        <v>89100</v>
      </c>
      <c r="B1783" t="s">
        <v>19721</v>
      </c>
      <c r="C1783">
        <f>-628.081718311945 -51.9200154226053 -98.7409838382046</f>
        <v>-778.74271757275483</v>
      </c>
      <c r="D1783">
        <f>-648.759191875952 -59.9393082547857 -212.426237564259</f>
        <v>-921.12473769499661</v>
      </c>
      <c r="E1783">
        <f>-656.766852753446 -63.0136937089248 -310.676337838477</f>
        <v>-1030.4568843008478</v>
      </c>
      <c r="F1783">
        <f>-660.632162651218 -64.5263530634741 -399.676433112362</f>
        <v>-1124.8349488270542</v>
      </c>
      <c r="G1783">
        <f>-660.740067255162 -64.8102484287995 -488.772817907875</f>
        <v>-1214.3231335918365</v>
      </c>
      <c r="H1783">
        <f>-656.921770632495 -64.0072920366875 -613.294164468526</f>
        <v>-1334.2232271377086</v>
      </c>
      <c r="I1783">
        <f>-628.020984134349 -59.8258803787709 -691.090667882777</f>
        <v>-1378.9375323958968</v>
      </c>
      <c r="J1783">
        <f>-661.190913682564 -36.773040134261 -558.399949553496</f>
        <v>-1256.3639033703209</v>
      </c>
      <c r="K1783" t="s">
        <v>19722</v>
      </c>
      <c r="L1783" t="s">
        <v>19723</v>
      </c>
      <c r="M1783" t="s">
        <v>19724</v>
      </c>
      <c r="N1783">
        <f>-656.013079895619 -91.9483650436971 -558.596977456316</f>
        <v>-1306.5584223956321</v>
      </c>
      <c r="O1783">
        <f>-645.014676113015 -226.005366407091 -530.261747341585</f>
        <v>-1401.2817898616909</v>
      </c>
      <c r="P1783">
        <f>-659.174570284594 -279.301538003158 -241.211141527799</f>
        <v>-1179.6872498155508</v>
      </c>
      <c r="Q1783">
        <f>-476.870833959287 -135.534861995507 -305.611113420901</f>
        <v>-918.01680937569495</v>
      </c>
      <c r="R1783" t="s">
        <v>19725</v>
      </c>
      <c r="S1783" t="s">
        <v>19726</v>
      </c>
      <c r="T1783" t="s">
        <v>19727</v>
      </c>
      <c r="U1783" t="s">
        <v>19728</v>
      </c>
      <c r="V1783">
        <f>-606.401424934842 -145.493064537457 -97.0863598095245</f>
        <v>-848.98084928182357</v>
      </c>
      <c r="W1783" t="s">
        <v>19729</v>
      </c>
      <c r="X1783" t="s">
        <v>19730</v>
      </c>
      <c r="Y1783" t="s">
        <v>19731</v>
      </c>
    </row>
    <row r="1784" spans="1:25" x14ac:dyDescent="0.3">
      <c r="A1784">
        <v>89150</v>
      </c>
      <c r="B1784" t="s">
        <v>19732</v>
      </c>
      <c r="C1784">
        <f>-628.467279481327 -52.0546568048344 -98.7765791082738</f>
        <v>-779.29851539443519</v>
      </c>
      <c r="D1784">
        <f>-649.221336109461 -60.2014041173697 -212.438878934186</f>
        <v>-921.86161916101673</v>
      </c>
      <c r="E1784">
        <f>-657.317197569352 -63.3256460483819 -310.680159451848</f>
        <v>-1031.3230030695818</v>
      </c>
      <c r="F1784">
        <f>-661.268798093954 -64.8635809009312 -399.676011580793</f>
        <v>-1125.8083905756782</v>
      </c>
      <c r="G1784">
        <f>-661.468208957219 -65.1544945798742 -488.77208211717</f>
        <v>-1215.3947856542632</v>
      </c>
      <c r="H1784">
        <f>-657.781854592371 -64.3444182817883 -613.297544781934</f>
        <v>-1335.4238176560934</v>
      </c>
      <c r="I1784">
        <f>-628.905967720956 -60.1814829946775 -691.10421212144</f>
        <v>-1380.1916628370736</v>
      </c>
      <c r="J1784">
        <f>-661.962128545206 -37.1104255067578 -558.396287811444</f>
        <v>-1257.4688418634078</v>
      </c>
      <c r="K1784" t="s">
        <v>19733</v>
      </c>
      <c r="L1784" t="s">
        <v>19734</v>
      </c>
      <c r="M1784" t="s">
        <v>19735</v>
      </c>
      <c r="N1784">
        <f>-656.845973247298 -92.2913984643729 -558.603851655295</f>
        <v>-1307.7412233669661</v>
      </c>
      <c r="O1784">
        <f>-645.935644429054 -226.367526984815 -530.324945814698</f>
        <v>-1402.6281172285671</v>
      </c>
      <c r="P1784">
        <f>-660.175560068329 -280.339914811914 -241.403852573359</f>
        <v>-1181.9193274536019</v>
      </c>
      <c r="Q1784">
        <f>-478.689269218179 -134.868955395961 -304.266998213002</f>
        <v>-917.82522282714206</v>
      </c>
      <c r="R1784" t="s">
        <v>19736</v>
      </c>
      <c r="S1784" t="s">
        <v>19737</v>
      </c>
      <c r="T1784" t="s">
        <v>19738</v>
      </c>
      <c r="U1784" t="s">
        <v>19739</v>
      </c>
      <c r="V1784">
        <f>-606.612555089786 -145.598403281784 -97.0558844124835</f>
        <v>-849.26684278405355</v>
      </c>
      <c r="W1784" t="s">
        <v>19740</v>
      </c>
      <c r="X1784" t="s">
        <v>19741</v>
      </c>
      <c r="Y1784" t="s">
        <v>19742</v>
      </c>
    </row>
    <row r="1785" spans="1:25" x14ac:dyDescent="0.3">
      <c r="A1785">
        <v>89200</v>
      </c>
      <c r="B1785" t="s">
        <v>19743</v>
      </c>
      <c r="C1785">
        <f>-629.349600777146 -52.1481459818282 -98.7141428592381</f>
        <v>-780.21188961821224</v>
      </c>
      <c r="D1785">
        <f>-650.132821754513 -60.5227952440417 -212.35458737602</f>
        <v>-923.01020437457464</v>
      </c>
      <c r="E1785">
        <f>-658.441455754007 -63.7345184272338 -310.575301178843</f>
        <v>-1032.7512753600838</v>
      </c>
      <c r="F1785">
        <f>-662.655269622031 -65.3161567408131 -399.558358221148</f>
        <v>-1127.5297845839921</v>
      </c>
      <c r="G1785">
        <f>-663.184384225639 -65.6175621503555 -488.653159544725</f>
        <v>-1217.4551059207195</v>
      </c>
      <c r="H1785">
        <f>-660.026966540202 -64.7896143102799 -613.192831960187</f>
        <v>-1338.0094128106689</v>
      </c>
      <c r="I1785">
        <f>-631.301844293907 -60.5627144230342 -691.051996060059</f>
        <v>-1382.9165547770003</v>
      </c>
      <c r="J1785">
        <f>-664.005112824252 -37.5662696472159 -558.271253670408</f>
        <v>-1259.842636141876</v>
      </c>
      <c r="K1785" t="s">
        <v>19744</v>
      </c>
      <c r="L1785" t="s">
        <v>19745</v>
      </c>
      <c r="M1785" t="s">
        <v>19746</v>
      </c>
      <c r="N1785">
        <f>-658.827688422852 -92.7415741669639 -558.506754831106</f>
        <v>-1310.076017420922</v>
      </c>
      <c r="O1785">
        <f>-647.544987788657 -226.841307948008 -530.373706154092</f>
        <v>-1404.7600018907569</v>
      </c>
      <c r="P1785">
        <f>-661.675474963069 -281.106850620984 -241.502062318499</f>
        <v>-1184.284387902552</v>
      </c>
      <c r="Q1785">
        <f>-481.316836954365 -133.392114664478 -302.345897669528</f>
        <v>-917.05484928837097</v>
      </c>
      <c r="R1785" t="s">
        <v>19747</v>
      </c>
      <c r="S1785" t="s">
        <v>19748</v>
      </c>
      <c r="T1785" t="s">
        <v>19749</v>
      </c>
      <c r="U1785" t="s">
        <v>19750</v>
      </c>
      <c r="V1785">
        <f>-606.746246283795 -145.794047053078 -96.9942043689786</f>
        <v>-849.53449770585155</v>
      </c>
      <c r="W1785" t="s">
        <v>19751</v>
      </c>
      <c r="X1785" t="s">
        <v>19752</v>
      </c>
      <c r="Y1785" t="s">
        <v>19753</v>
      </c>
    </row>
    <row r="1786" spans="1:25" x14ac:dyDescent="0.3">
      <c r="A1786">
        <v>89250</v>
      </c>
      <c r="B1786" t="s">
        <v>19754</v>
      </c>
      <c r="C1786">
        <f>-629.753780101313 -51.9765045333318 -98.7083030469199</f>
        <v>-780.43858768156474</v>
      </c>
      <c r="D1786">
        <f>-650.508937242365 -60.4291529368353 -212.348129505434</f>
        <v>-923.28621968463437</v>
      </c>
      <c r="E1786">
        <f>-658.916962675061 -63.6306370359911 -310.560733037427</f>
        <v>-1033.1083327484789</v>
      </c>
      <c r="F1786">
        <f>-663.267935644359 -65.1740905363207 -399.537852496522</f>
        <v>-1127.9798786772017</v>
      </c>
      <c r="G1786">
        <f>-663.980151090395 -65.4073844750213 -488.631461827616</f>
        <v>-1218.0189973930324</v>
      </c>
      <c r="H1786">
        <f>-661.125544474411 -64.4531686512537 -613.177686586952</f>
        <v>-1338.7563997126167</v>
      </c>
      <c r="I1786">
        <f>-632.508812218619 -60.0894901385371 -691.069024709375</f>
        <v>-1383.667327066531</v>
      </c>
      <c r="J1786">
        <f>-665.023745288559 -37.2906264262663 -558.220274396083</f>
        <v>-1260.5346461109084</v>
      </c>
      <c r="K1786" t="s">
        <v>19755</v>
      </c>
      <c r="L1786" t="s">
        <v>19756</v>
      </c>
      <c r="M1786" t="s">
        <v>19757</v>
      </c>
      <c r="N1786">
        <f>-659.739722271171 -92.4554647860485 -558.521701726379</f>
        <v>-1310.7168887835985</v>
      </c>
      <c r="O1786">
        <f>-648.124772084176 -226.547340760098 -530.468753766795</f>
        <v>-1405.140866611069</v>
      </c>
      <c r="P1786">
        <f>-661.925156875429 -280.793634359538 -241.577591700301</f>
        <v>-1184.296382935268</v>
      </c>
      <c r="Q1786">
        <f>-482.153798373879 -132.202675537314 -302.024963454374</f>
        <v>-916.38143736556708</v>
      </c>
      <c r="R1786" t="s">
        <v>19758</v>
      </c>
      <c r="S1786" t="s">
        <v>19759</v>
      </c>
      <c r="T1786" t="s">
        <v>19760</v>
      </c>
      <c r="U1786" t="s">
        <v>19761</v>
      </c>
      <c r="V1786">
        <f>-606.750158795666 -145.776417734116 -96.9954143853901</f>
        <v>-849.52199091517207</v>
      </c>
      <c r="W1786" t="s">
        <v>19762</v>
      </c>
      <c r="X1786" t="s">
        <v>19763</v>
      </c>
      <c r="Y1786" t="s">
        <v>19764</v>
      </c>
    </row>
    <row r="1787" spans="1:25" x14ac:dyDescent="0.3">
      <c r="A1787">
        <v>89300</v>
      </c>
      <c r="B1787" t="s">
        <v>19765</v>
      </c>
      <c r="C1787">
        <f>-630.457150318358 -52.0262261730381 -98.8130623009388</f>
        <v>-781.29643879233492</v>
      </c>
      <c r="D1787">
        <f>-651.096632938967 -60.5704810888891 -212.46709578449</f>
        <v>-924.13420981234606</v>
      </c>
      <c r="E1787">
        <f>-659.670508476946 -63.7594864614489 -310.665778235879</f>
        <v>-1034.0957731742737</v>
      </c>
      <c r="F1787">
        <f>-664.276580165875 -65.2531199913579 -399.630801606919</f>
        <v>-1129.1605017641518</v>
      </c>
      <c r="G1787">
        <f>-665.348634373119 -65.3919939010929 -488.721106606856</f>
        <v>-1219.461734881068</v>
      </c>
      <c r="H1787">
        <f>-663.1057864534 -64.2560944197697 -613.278369784993</f>
        <v>-1340.6402506581626</v>
      </c>
      <c r="I1787">
        <f>-634.842582578037 -59.6050572717562 -691.282152444983</f>
        <v>-1385.7297922947762</v>
      </c>
      <c r="J1787">
        <f>-666.917344703191 -37.1919884369302 -558.266233989219</f>
        <v>-1262.3755671293402</v>
      </c>
      <c r="K1787" t="s">
        <v>19766</v>
      </c>
      <c r="L1787" t="s">
        <v>19767</v>
      </c>
      <c r="M1787" t="s">
        <v>19768</v>
      </c>
      <c r="N1787">
        <f>-661.268135158891 -92.3199687007456 -558.667337165593</f>
        <v>-1312.2554410252296</v>
      </c>
      <c r="O1787">
        <f>-648.604815806666 -226.312359347153 -530.737999842422</f>
        <v>-1405.6551749962409</v>
      </c>
      <c r="P1787">
        <f>-661.573571463691 -280.424662393172 -241.78313357406</f>
        <v>-1183.781367430923</v>
      </c>
      <c r="Q1787">
        <f>-483.069863088315 -130.485625969166 -302.656650769408</f>
        <v>-916.21213982688903</v>
      </c>
      <c r="R1787" t="s">
        <v>19769</v>
      </c>
      <c r="S1787" t="s">
        <v>19770</v>
      </c>
      <c r="T1787" t="s">
        <v>19771</v>
      </c>
      <c r="U1787" t="s">
        <v>19772</v>
      </c>
      <c r="V1787">
        <f>-607.075871040397 -145.827999078875 -97.0712942271609</f>
        <v>-849.97516434643296</v>
      </c>
      <c r="W1787" t="s">
        <v>19773</v>
      </c>
      <c r="X1787" t="s">
        <v>19774</v>
      </c>
      <c r="Y1787" t="s">
        <v>19775</v>
      </c>
    </row>
    <row r="1788" spans="1:25" x14ac:dyDescent="0.3">
      <c r="A1788">
        <v>89350</v>
      </c>
      <c r="B1788" t="s">
        <v>19776</v>
      </c>
      <c r="C1788">
        <f>-630.76098602806 -52.119579126355 -98.8703596520854</f>
        <v>-781.75092480650039</v>
      </c>
      <c r="D1788">
        <f>-651.309744166501 -60.6725788167664 -212.540239907011</f>
        <v>-924.52256289027844</v>
      </c>
      <c r="E1788">
        <f>-659.925488658295 -63.8667509751145 -310.735011778678</f>
        <v>-1034.5272514120875</v>
      </c>
      <c r="F1788">
        <f>-664.618463947577 -65.3612155866242 -399.695512060006</f>
        <v>-1129.6751915942073</v>
      </c>
      <c r="G1788">
        <f>-665.82751185511 -65.49309336964 -488.784011117936</f>
        <v>-1220.1046163426859</v>
      </c>
      <c r="H1788">
        <f>-663.828597324323 -64.3360134975004 -613.345241472308</f>
        <v>-1341.5098522941314</v>
      </c>
      <c r="I1788">
        <f>-635.746195159939 -59.5496676172793 -691.406000606061</f>
        <v>-1386.7018633832793</v>
      </c>
      <c r="J1788">
        <f>-667.661643865796 -37.2947117355757 -558.323367621013</f>
        <v>-1263.2797232223847</v>
      </c>
      <c r="K1788" t="s">
        <v>19777</v>
      </c>
      <c r="L1788" t="s">
        <v>19778</v>
      </c>
      <c r="M1788" t="s">
        <v>19779</v>
      </c>
      <c r="N1788">
        <f>-661.754752878507 -92.3955975661122 -558.740611862251</f>
        <v>-1312.8909623068703</v>
      </c>
      <c r="O1788">
        <f>-648.420665990681 -226.337005107863 -530.80956629968</f>
        <v>-1405.5672373982238</v>
      </c>
      <c r="P1788">
        <f>-660.682198859592 -280.583998610912 -241.849244202757</f>
        <v>-1183.1154416732609</v>
      </c>
      <c r="Q1788">
        <f>-483.616056711259 -129.048771667185 -302.96807623705</f>
        <v>-915.632904615494</v>
      </c>
      <c r="R1788" t="s">
        <v>19780</v>
      </c>
      <c r="S1788" t="s">
        <v>19781</v>
      </c>
      <c r="T1788" t="s">
        <v>19782</v>
      </c>
      <c r="U1788" t="s">
        <v>19783</v>
      </c>
      <c r="V1788">
        <f>-607.249660807314 -145.818395457797 -97.1390090850746</f>
        <v>-850.20706535018553</v>
      </c>
      <c r="W1788" t="s">
        <v>19784</v>
      </c>
      <c r="X1788" t="s">
        <v>19785</v>
      </c>
      <c r="Y1788" t="s">
        <v>19786</v>
      </c>
    </row>
    <row r="1789" spans="1:25" x14ac:dyDescent="0.3">
      <c r="A1789">
        <v>89400</v>
      </c>
      <c r="B1789" t="s">
        <v>19787</v>
      </c>
      <c r="C1789">
        <f>-630.962331681049 -52.0363234603249 -98.9339002204724</f>
        <v>-781.93255536184631</v>
      </c>
      <c r="D1789">
        <f>-651.374737209802 -60.6287993805811 -212.625297539809</f>
        <v>-924.6288341301921</v>
      </c>
      <c r="E1789">
        <f>-660.022313733648 -63.6991785111809 -310.821246095424</f>
        <v>-1034.542738340253</v>
      </c>
      <c r="F1789">
        <f>-664.804347463145 -65.012160942982 -399.779888124454</f>
        <v>-1129.5963965305809</v>
      </c>
      <c r="G1789">
        <f>-666.163440144935 -64.8830043159645 -488.866217780724</f>
        <v>-1219.9126622416234</v>
      </c>
      <c r="H1789">
        <f>-664.438434988327 -63.2712925608563 -613.426409825751</f>
        <v>-1341.1361373749342</v>
      </c>
      <c r="I1789">
        <f>-636.656778712787 -58.0820890627634 -691.569089259501</f>
        <v>-1386.3079570350515</v>
      </c>
      <c r="J1789">
        <f>-668.508373442096 -36.4717588061617 -558.303485489014</f>
        <v>-1263.2836177372715</v>
      </c>
      <c r="K1789" t="s">
        <v>19788</v>
      </c>
      <c r="L1789" t="s">
        <v>19789</v>
      </c>
      <c r="M1789" t="s">
        <v>19790</v>
      </c>
      <c r="N1789">
        <f>-661.88662124437 -91.4892644911315 -558.923685115663</f>
        <v>-1312.2995708511644</v>
      </c>
      <c r="O1789">
        <f>-646.908228869847 -225.321822472271 -531.266569949927</f>
        <v>-1403.4966212920449</v>
      </c>
      <c r="P1789">
        <f>-657.891050106826 -280.081083115321 -242.351252658106</f>
        <v>-1180.323385880253</v>
      </c>
      <c r="Q1789">
        <f>-484.171308452179 -124.725395760371 -303.48185156871</f>
        <v>-912.37855578126005</v>
      </c>
      <c r="R1789" t="s">
        <v>19791</v>
      </c>
      <c r="S1789" t="s">
        <v>19792</v>
      </c>
      <c r="T1789" t="s">
        <v>19793</v>
      </c>
      <c r="U1789" t="s">
        <v>19794</v>
      </c>
      <c r="V1789">
        <f>-607.167551161781 -145.406536505265 -97.2494331505484</f>
        <v>-849.82352081759439</v>
      </c>
      <c r="W1789" t="s">
        <v>19795</v>
      </c>
      <c r="X1789" t="s">
        <v>19796</v>
      </c>
      <c r="Y1789" t="s">
        <v>19797</v>
      </c>
    </row>
    <row r="1790" spans="1:25" x14ac:dyDescent="0.3">
      <c r="A1790">
        <v>89450</v>
      </c>
      <c r="B1790" t="s">
        <v>19798</v>
      </c>
      <c r="C1790">
        <f>-630.961860968859 -51.953434688258 -98.9618425718877</f>
        <v>-781.87713822900469</v>
      </c>
      <c r="D1790">
        <f>-651.306246604688 -60.5950806811496 -212.661625013317</f>
        <v>-924.56295229915463</v>
      </c>
      <c r="E1790">
        <f>-659.959566936601 -63.5572770821747 -310.86038038871</f>
        <v>-1034.3772244074858</v>
      </c>
      <c r="F1790">
        <f>-664.771308622302 -64.7102848991026 -399.819812601814</f>
        <v>-1129.3014061232186</v>
      </c>
      <c r="G1790">
        <f>-666.184491631979 -64.3536542207349 -488.904673742883</f>
        <v>-1219.442819595597</v>
      </c>
      <c r="H1790">
        <f>-664.560183307702 -62.3504839363524 -613.460518159083</f>
        <v>-1340.3711854031374</v>
      </c>
      <c r="I1790">
        <f>-636.892562606493 -56.9265027005438 -691.627792226593</f>
        <v>-1385.4468575336298</v>
      </c>
      <c r="J1790">
        <f>-668.801554315693 -35.7510724671654 -558.253653784121</f>
        <v>-1262.8062805669792</v>
      </c>
      <c r="K1790" t="s">
        <v>19799</v>
      </c>
      <c r="L1790" t="s">
        <v>19800</v>
      </c>
      <c r="M1790" t="s">
        <v>19801</v>
      </c>
      <c r="N1790">
        <f>-661.74838298929 -90.712841574593 -559.045703351857</f>
        <v>-1311.5069279157401</v>
      </c>
      <c r="O1790">
        <f>-645.841251312402 -224.506580820106 -531.733916789901</f>
        <v>-1402.0817489224091</v>
      </c>
      <c r="P1790">
        <f>-656.330854466383 -279.913914240346 -242.923989040233</f>
        <v>-1179.168757746962</v>
      </c>
      <c r="Q1790">
        <f>-484.2225713544 -122.618385184745 -303.650501543094</f>
        <v>-910.49145808223898</v>
      </c>
      <c r="R1790" t="s">
        <v>19802</v>
      </c>
      <c r="S1790" t="s">
        <v>19803</v>
      </c>
      <c r="T1790" t="s">
        <v>19804</v>
      </c>
      <c r="U1790" t="s">
        <v>19805</v>
      </c>
      <c r="V1790">
        <f>-606.925043470559 -145.214668612326 -97.2833616863174</f>
        <v>-849.42307376920246</v>
      </c>
      <c r="W1790" t="s">
        <v>19806</v>
      </c>
      <c r="X1790" t="s">
        <v>19807</v>
      </c>
      <c r="Y1790" t="s">
        <v>19808</v>
      </c>
    </row>
    <row r="1791" spans="1:25" x14ac:dyDescent="0.3">
      <c r="A1791">
        <v>89500</v>
      </c>
      <c r="B1791" t="s">
        <v>19809</v>
      </c>
      <c r="C1791">
        <f>-631.022642537079 -52.0591564237491 -99.0102255258524</f>
        <v>-782.09202448668054</v>
      </c>
      <c r="D1791">
        <f>-651.165651651622 -60.8853664129022 -212.731782480276</f>
        <v>-924.78280054480024</v>
      </c>
      <c r="E1791">
        <f>-659.813641193986 -63.7169091717124 -310.934891119713</f>
        <v>-1034.4654414854112</v>
      </c>
      <c r="F1791">
        <f>-664.684433047616 -64.6352884015207 -399.893711434629</f>
        <v>-1129.2134328837658</v>
      </c>
      <c r="G1791">
        <f>-666.22000350646 -63.9184922085346 -488.97441362761</f>
        <v>-1219.1129093426046</v>
      </c>
      <c r="H1791">
        <f>-664.831755430881 -61.2757387431286 -613.521128694022</f>
        <v>-1339.6286228680315</v>
      </c>
      <c r="I1791">
        <f>-637.341047474131 -55.3965848856255 -691.717891172838</f>
        <v>-1384.4555235325945</v>
      </c>
      <c r="J1791">
        <f>-669.397082322439 -35.0185668693464 -558.176440492686</f>
        <v>-1262.5920896844714</v>
      </c>
      <c r="K1791" t="s">
        <v>19810</v>
      </c>
      <c r="L1791" t="s">
        <v>19811</v>
      </c>
      <c r="M1791" t="s">
        <v>19812</v>
      </c>
      <c r="N1791">
        <f>-661.488206872217 -89.8587930426173 -559.25195117245</f>
        <v>-1310.5989510872844</v>
      </c>
      <c r="O1791">
        <f>-643.707607783673 -223.547853084379 -532.699729017042</f>
        <v>-1399.9551898850941</v>
      </c>
      <c r="P1791">
        <f>-653.43163169556 -280.761569290697 -244.215295045677</f>
        <v>-1178.408496031934</v>
      </c>
      <c r="Q1791">
        <f>-483.691186676917 -120.737792046753 -304.476778396394</f>
        <v>-908.9057571200641</v>
      </c>
      <c r="R1791" t="s">
        <v>19813</v>
      </c>
      <c r="S1791" t="s">
        <v>19814</v>
      </c>
      <c r="T1791" t="s">
        <v>19815</v>
      </c>
      <c r="U1791" t="s">
        <v>19816</v>
      </c>
      <c r="V1791">
        <f>-606.151190589691 -145.245278064392 -97.3247441535464</f>
        <v>-848.7212128076294</v>
      </c>
      <c r="W1791" t="s">
        <v>19817</v>
      </c>
      <c r="X1791" t="s">
        <v>19818</v>
      </c>
      <c r="Y1791" t="s">
        <v>19819</v>
      </c>
    </row>
    <row r="1792" spans="1:25" x14ac:dyDescent="0.3">
      <c r="A1792">
        <v>89550</v>
      </c>
      <c r="B1792" t="s">
        <v>19820</v>
      </c>
      <c r="C1792">
        <f>-631.101043887396 -52.4437173581731 -99.0309647388734</f>
        <v>-782.57572598444256</v>
      </c>
      <c r="D1792">
        <f>-651.172265353644 -61.3485525554831 -212.758975412488</f>
        <v>-925.2797933216151</v>
      </c>
      <c r="E1792">
        <f>-659.807936648396 -64.1495960821262 -310.963992122565</f>
        <v>-1034.9215248530872</v>
      </c>
      <c r="F1792">
        <f>-664.685592388179 -65.0029415384194 -399.923060583795</f>
        <v>-1129.6115945103934</v>
      </c>
      <c r="G1792">
        <f>-666.246354177514 -64.1800027247085 -489.00254135705</f>
        <v>-1219.4288982592725</v>
      </c>
      <c r="H1792">
        <f>-664.911576997212 -61.3444783248268 -613.545618380348</f>
        <v>-1339.8016737023868</v>
      </c>
      <c r="I1792">
        <f>-637.456596613959 -55.2166929061176 -691.735839246538</f>
        <v>-1384.4091287666147</v>
      </c>
      <c r="J1792">
        <f>-669.644144212161 -35.2011687448548 -558.161150562025</f>
        <v>-1263.0064635190408</v>
      </c>
      <c r="K1792" t="s">
        <v>19821</v>
      </c>
      <c r="L1792" t="s">
        <v>19822</v>
      </c>
      <c r="M1792" t="s">
        <v>19823</v>
      </c>
      <c r="N1792">
        <f>-661.353756688293 -89.983411933017 -559.319462617752</f>
        <v>-1310.6566312390619</v>
      </c>
      <c r="O1792">
        <f>-642.640679895961 -223.610701272654 -533.041906206474</f>
        <v>-1399.2932873750888</v>
      </c>
      <c r="P1792">
        <f>-652.076559706505 -281.690079892437 -244.721004850486</f>
        <v>-1178.487644449428</v>
      </c>
      <c r="Q1792">
        <f>-483.403025852349 -120.496553770141 -304.860501897271</f>
        <v>-908.760081519761</v>
      </c>
      <c r="R1792" t="s">
        <v>19824</v>
      </c>
      <c r="S1792" t="s">
        <v>19825</v>
      </c>
      <c r="T1792" t="s">
        <v>19826</v>
      </c>
      <c r="U1792" t="s">
        <v>19827</v>
      </c>
      <c r="V1792">
        <f>-605.807147705259 -145.738402364475 -97.3426882428015</f>
        <v>-848.88823831253546</v>
      </c>
      <c r="W1792" t="s">
        <v>19828</v>
      </c>
      <c r="X1792" t="s">
        <v>19829</v>
      </c>
      <c r="Y1792" t="s">
        <v>19830</v>
      </c>
    </row>
    <row r="1793" spans="1:25" x14ac:dyDescent="0.3">
      <c r="A1793">
        <v>89600</v>
      </c>
      <c r="B1793" t="s">
        <v>19831</v>
      </c>
      <c r="C1793">
        <f>-631.105900798189 -53.2734827754147 -99.0230010993923</f>
        <v>-783.40238467299605</v>
      </c>
      <c r="D1793">
        <f>-651.09861020645 -62.3380302475716 -212.752177691874</f>
        <v>-926.18881814589554</v>
      </c>
      <c r="E1793">
        <f>-659.722310257552 -65.104054791479 -310.959322865656</f>
        <v>-1035.7856879146871</v>
      </c>
      <c r="F1793">
        <f>-664.608289261842 -65.8602862786582 -399.918882902645</f>
        <v>-1130.3874584431451</v>
      </c>
      <c r="G1793">
        <f>-666.195819749908 -64.8700211875021 -488.996014962776</f>
        <v>-1220.0618559001859</v>
      </c>
      <c r="H1793">
        <f>-664.91690937555 -61.7258239048865 -613.532334950634</f>
        <v>-1340.1750682310703</v>
      </c>
      <c r="I1793">
        <f>-637.479942626637 -55.1172746348886 -691.689677665246</f>
        <v>-1384.2868949267718</v>
      </c>
      <c r="J1793">
        <f>-669.918501146277 -35.7657217700046 -558.085366147953</f>
        <v>-1263.7695890642344</v>
      </c>
      <c r="K1793" t="s">
        <v>19832</v>
      </c>
      <c r="L1793" t="s">
        <v>19833</v>
      </c>
      <c r="M1793" t="s">
        <v>19834</v>
      </c>
      <c r="N1793">
        <f>-661.040900870313 -90.4530147718456 -559.374767323635</f>
        <v>-1310.8686829657936</v>
      </c>
      <c r="O1793">
        <f>-640.927799852522 -223.953550137206 -533.491455000548</f>
        <v>-1398.3728049902759</v>
      </c>
      <c r="P1793">
        <f>-650.178120209344 -282.916894817461 -245.343983517696</f>
        <v>-1178.4389985445009</v>
      </c>
      <c r="Q1793">
        <f>-482.221011138165 -120.940700360101 -305.385428973849</f>
        <v>-908.54714047211496</v>
      </c>
      <c r="R1793" t="s">
        <v>19835</v>
      </c>
      <c r="S1793" t="s">
        <v>19836</v>
      </c>
      <c r="T1793" t="s">
        <v>19837</v>
      </c>
      <c r="U1793" t="s">
        <v>19838</v>
      </c>
      <c r="V1793">
        <f>-605.146514059901 -146.524029271859 -97.3883183994079</f>
        <v>-849.05886173116801</v>
      </c>
      <c r="W1793" t="s">
        <v>19839</v>
      </c>
      <c r="X1793" t="s">
        <v>19840</v>
      </c>
      <c r="Y1793" t="s">
        <v>19841</v>
      </c>
    </row>
    <row r="1794" spans="1:25" x14ac:dyDescent="0.3">
      <c r="A1794">
        <v>89650</v>
      </c>
      <c r="B1794" t="s">
        <v>19842</v>
      </c>
      <c r="C1794">
        <f>-630.871216377115 -53.6647100285234 -99.035396214617</f>
        <v>-783.57132262025539</v>
      </c>
      <c r="D1794">
        <f>-650.872818072928 -62.8218714300828 -212.755708848415</f>
        <v>-926.45039835142575</v>
      </c>
      <c r="E1794">
        <f>-659.524076504647 -65.5964116784631 -310.960094821842</f>
        <v>-1036.0805830049521</v>
      </c>
      <c r="F1794">
        <f>-664.441505060156 -66.3329065765246 -399.918182479121</f>
        <v>-1130.6925941158015</v>
      </c>
      <c r="G1794">
        <f>-666.066829297731 -65.2940889833156 -488.993957394082</f>
        <v>-1220.3548756751286</v>
      </c>
      <c r="H1794">
        <f>-664.84683582726 -62.0515313171368 -613.528420612427</f>
        <v>-1340.4267877568236</v>
      </c>
      <c r="I1794">
        <f>-637.383960542463 -55.2717628562743 -691.661891539194</f>
        <v>-1384.3176149379315</v>
      </c>
      <c r="J1794">
        <f>-669.918664725122 -36.15113101202 -558.059823828898</f>
        <v>-1264.1296195660398</v>
      </c>
      <c r="K1794" t="s">
        <v>19843</v>
      </c>
      <c r="L1794" t="s">
        <v>19844</v>
      </c>
      <c r="M1794" t="s">
        <v>19845</v>
      </c>
      <c r="N1794">
        <f>-660.848703028183 -90.8057002033966 -559.394010703493</f>
        <v>-1311.0484139350724</v>
      </c>
      <c r="O1794">
        <f>-640.220139936067 -224.25625273459 -533.615701268219</f>
        <v>-1398.0920939388761</v>
      </c>
      <c r="P1794">
        <f>-649.405007752817 -283.395766773093 -245.502259618438</f>
        <v>-1178.303034144348</v>
      </c>
      <c r="Q1794">
        <f>-481.384184369384 -121.580229184148 -305.798223312207</f>
        <v>-908.76263686573907</v>
      </c>
      <c r="R1794" t="s">
        <v>19846</v>
      </c>
      <c r="S1794" t="s">
        <v>19847</v>
      </c>
      <c r="T1794" t="s">
        <v>19848</v>
      </c>
      <c r="U1794" t="s">
        <v>19849</v>
      </c>
      <c r="V1794">
        <f>-604.67567059804 -146.774568625698 -97.4055578542892</f>
        <v>-848.85579707802719</v>
      </c>
      <c r="W1794" t="s">
        <v>19850</v>
      </c>
      <c r="X1794" t="s">
        <v>19851</v>
      </c>
      <c r="Y1794" t="s">
        <v>19852</v>
      </c>
    </row>
    <row r="1795" spans="1:25" x14ac:dyDescent="0.3">
      <c r="A1795">
        <v>89700</v>
      </c>
      <c r="B1795" t="s">
        <v>19853</v>
      </c>
      <c r="C1795">
        <f>-630.183721840717 -54.0503243662422 -99.0668662811936</f>
        <v>-783.30091248815279</v>
      </c>
      <c r="D1795">
        <f>-650.21648292042 -63.2447358815406 -212.778705169947</f>
        <v>-926.23992397190761</v>
      </c>
      <c r="E1795">
        <f>-658.927738167066 -66.0033215272648 -310.978329663991</f>
        <v>-1035.9093893583217</v>
      </c>
      <c r="F1795">
        <f>-663.912189672205 -66.706234319656 -399.932818106847</f>
        <v>-1130.5512420987079</v>
      </c>
      <c r="G1795">
        <f>-665.617611667223 -65.6125007317806 -489.006523922403</f>
        <v>-1220.2366363214066</v>
      </c>
      <c r="H1795">
        <f>-664.523032988522 -62.2699835170777 -613.539411613639</f>
        <v>-1340.3324281192386</v>
      </c>
      <c r="I1795">
        <f>-636.953049466839 -55.2702141630778 -691.615773686984</f>
        <v>-1383.8390373169009</v>
      </c>
      <c r="J1795">
        <f>-669.63214292818 -36.4298239079251 -558.046171102278</f>
        <v>-1264.1081379383832</v>
      </c>
      <c r="K1795" t="s">
        <v>19854</v>
      </c>
      <c r="L1795" t="s">
        <v>19855</v>
      </c>
      <c r="M1795" t="s">
        <v>19856</v>
      </c>
      <c r="N1795">
        <f>-660.377236220053 -91.0520437938711 -559.430984443493</f>
        <v>-1310.8602644574171</v>
      </c>
      <c r="O1795">
        <f>-639.195369362241 -224.418884062327 -533.687247979937</f>
        <v>-1397.301501404505</v>
      </c>
      <c r="P1795">
        <f>-648.148113809895 -283.342331321743 -245.522191586602</f>
        <v>-1177.0126367182399</v>
      </c>
      <c r="Q1795">
        <f>-480.023999365726 -122.00237666942 -306.796645174333</f>
        <v>-908.82302120947895</v>
      </c>
      <c r="R1795" t="s">
        <v>19857</v>
      </c>
      <c r="S1795" t="s">
        <v>19858</v>
      </c>
      <c r="T1795" t="s">
        <v>19859</v>
      </c>
      <c r="U1795" t="s">
        <v>19860</v>
      </c>
      <c r="V1795">
        <f>-603.74831749299 -147.03138884981 -97.4288210653718</f>
        <v>-848.2085274081719</v>
      </c>
      <c r="W1795" t="s">
        <v>19861</v>
      </c>
      <c r="X1795" t="s">
        <v>19862</v>
      </c>
      <c r="Y1795" t="s">
        <v>19863</v>
      </c>
    </row>
    <row r="1796" spans="1:25" x14ac:dyDescent="0.3">
      <c r="A1796">
        <v>89750</v>
      </c>
      <c r="B1796" t="s">
        <v>19864</v>
      </c>
      <c r="C1796">
        <f>-629.830618800398 -54.197979372512 -99.0795097894189</f>
        <v>-783.10810796232897</v>
      </c>
      <c r="D1796">
        <f>-649.862226309756 -63.3740746925548 -212.793057937121</f>
        <v>-926.02935893943186</v>
      </c>
      <c r="E1796">
        <f>-658.589196030224 -66.086808830492 -310.992519578036</f>
        <v>-1035.668524438752</v>
      </c>
      <c r="F1796">
        <f>-663.595256599508 -66.7341554270181 -399.946143266184</f>
        <v>-1130.2755552927101</v>
      </c>
      <c r="G1796">
        <f>-665.32991035094 -65.5694347374208 -489.018483523818</f>
        <v>-1219.9178286121789</v>
      </c>
      <c r="H1796">
        <f>-664.284511786696 -62.1099108057256 -613.548721516193</f>
        <v>-1339.9431441086147</v>
      </c>
      <c r="I1796">
        <f>-636.662491347548 -55.0115023240284 -691.597787148258</f>
        <v>-1383.2717808198345</v>
      </c>
      <c r="J1796">
        <f>-669.401052715828 -36.3268544162465 -558.02963546254</f>
        <v>-1263.7575425946145</v>
      </c>
      <c r="K1796" t="s">
        <v>19865</v>
      </c>
      <c r="L1796" t="s">
        <v>19866</v>
      </c>
      <c r="M1796" t="s">
        <v>19867</v>
      </c>
      <c r="N1796">
        <f>-660.087991519904 -90.9378362505917 -559.468560022785</f>
        <v>-1310.4943877932806</v>
      </c>
      <c r="O1796">
        <f>-638.73645192013 -224.286103756338 -533.712756392655</f>
        <v>-1396.735312069123</v>
      </c>
      <c r="P1796">
        <f>-647.453216075329 -283.255039679247 -245.549825829649</f>
        <v>-1176.258081584225</v>
      </c>
      <c r="Q1796">
        <f>-479.886152624217 -121.634662965472 -307.606082291402</f>
        <v>-909.12689788109105</v>
      </c>
      <c r="R1796" t="s">
        <v>19868</v>
      </c>
      <c r="S1796" t="s">
        <v>19869</v>
      </c>
      <c r="T1796" t="s">
        <v>19870</v>
      </c>
      <c r="U1796" t="s">
        <v>19871</v>
      </c>
      <c r="V1796">
        <f>-603.403241364073 -147.251889950171 -97.459443469544</f>
        <v>-848.11457478378804</v>
      </c>
      <c r="W1796" t="s">
        <v>19872</v>
      </c>
      <c r="X1796" t="s">
        <v>19873</v>
      </c>
      <c r="Y1796" t="s">
        <v>19874</v>
      </c>
    </row>
    <row r="1797" spans="1:25" x14ac:dyDescent="0.3">
      <c r="A1797">
        <v>89800</v>
      </c>
      <c r="B1797" t="s">
        <v>19875</v>
      </c>
      <c r="C1797">
        <f>-629.351864819832 -54.3017000724368 -99.0974331146864</f>
        <v>-782.75099800695523</v>
      </c>
      <c r="D1797">
        <f>-649.37239624714 -63.4543436579191 -212.814812053993</f>
        <v>-925.64155195905221</v>
      </c>
      <c r="E1797">
        <f>-658.118903379615 -66.0843490126116 -311.014755333366</f>
        <v>-1035.2180077255925</v>
      </c>
      <c r="F1797">
        <f>-663.155040372425 -66.628155143597 -399.96741210481</f>
        <v>-1129.7506076208319</v>
      </c>
      <c r="G1797">
        <f>-664.932313743809 -65.3294526950593 -489.03713539597</f>
        <v>-1219.2989018348383</v>
      </c>
      <c r="H1797">
        <f>-663.960045326675 -61.6492568054924 -613.561530266929</f>
        <v>-1339.1708323990965</v>
      </c>
      <c r="I1797">
        <f>-636.286785950127 -54.4253870342748 -691.58087183351</f>
        <v>-1382.2930448179118</v>
      </c>
      <c r="J1797">
        <f>-669.070945308195 -35.9691507469222 -557.994187961412</f>
        <v>-1263.034284016529</v>
      </c>
      <c r="K1797" t="s">
        <v>19876</v>
      </c>
      <c r="L1797" t="s">
        <v>19877</v>
      </c>
      <c r="M1797" t="s">
        <v>19878</v>
      </c>
      <c r="N1797">
        <f>-659.704837205018 -90.5683407150569 -559.534709440985</f>
        <v>-1309.8078873610598</v>
      </c>
      <c r="O1797">
        <f>-638.338903529671 -223.916434328828 -533.861152215966</f>
        <v>-1396.116490074465</v>
      </c>
      <c r="P1797">
        <f>-646.089490135207 -282.782230599918 -245.649462072039</f>
        <v>-1174.5211828071642</v>
      </c>
      <c r="Q1797">
        <f>-479.182100288754 -121.025167780796 -309.111614474505</f>
        <v>-909.31888254405499</v>
      </c>
      <c r="R1797" t="s">
        <v>19879</v>
      </c>
      <c r="S1797" t="s">
        <v>19880</v>
      </c>
      <c r="T1797" t="s">
        <v>19881</v>
      </c>
      <c r="U1797" t="s">
        <v>19882</v>
      </c>
      <c r="V1797">
        <f>-603.155844278496 -147.114704616115 -97.4446183695148</f>
        <v>-847.71516726412585</v>
      </c>
      <c r="W1797" t="s">
        <v>19883</v>
      </c>
      <c r="X1797" t="s">
        <v>19884</v>
      </c>
      <c r="Y1797" t="s">
        <v>19885</v>
      </c>
    </row>
    <row r="1798" spans="1:25" x14ac:dyDescent="0.3">
      <c r="A1798">
        <v>89850</v>
      </c>
      <c r="B1798" t="s">
        <v>19886</v>
      </c>
      <c r="C1798">
        <f>-629.018081794086 -54.3427621659498 -99.0840853071394</f>
        <v>-782.44492926717521</v>
      </c>
      <c r="D1798">
        <f>-648.984514128649 -63.459166356591 -212.813708326311</f>
        <v>-925.2573888115511</v>
      </c>
      <c r="E1798">
        <f>-657.675937684491 -66.034427666037 -311.020211676688</f>
        <v>-1034.730577027216</v>
      </c>
      <c r="F1798">
        <f>-662.659755225973 -66.5174945477735 -399.976179398615</f>
        <v>-1129.1534291723615</v>
      </c>
      <c r="G1798">
        <f>-664.382342658205 -65.1461037631709 -489.045800418865</f>
        <v>-1218.5742468402409</v>
      </c>
      <c r="H1798">
        <f>-663.331509624627 -61.3506330169444 -613.565980153274</f>
        <v>-1338.2481227948454</v>
      </c>
      <c r="I1798">
        <f>-635.609584180228 -54.0780343753024 -691.563775580416</f>
        <v>-1381.2513941359464</v>
      </c>
      <c r="J1798">
        <f>-668.492611437167 -35.7245321884836 -557.978459922196</f>
        <v>-1262.1956035478465</v>
      </c>
      <c r="K1798" t="s">
        <v>19887</v>
      </c>
      <c r="L1798" t="s">
        <v>19888</v>
      </c>
      <c r="M1798" t="s">
        <v>19889</v>
      </c>
      <c r="N1798">
        <f>-659.095277213327 -90.3171057908713 -559.563119626729</f>
        <v>-1308.9755026309272</v>
      </c>
      <c r="O1798">
        <f>-637.756895781928 -223.675216273554 -533.924765109479</f>
        <v>-1395.3568771649611</v>
      </c>
      <c r="P1798">
        <f>-645.16922348066 -282.583037140529 -245.712872353008</f>
        <v>-1173.4651329741969</v>
      </c>
      <c r="Q1798">
        <f>-478.07564086807 -121.164721552565 -309.546524665402</f>
        <v>-908.78688708603704</v>
      </c>
      <c r="R1798" t="s">
        <v>19890</v>
      </c>
      <c r="S1798" t="s">
        <v>19891</v>
      </c>
      <c r="T1798" t="s">
        <v>19892</v>
      </c>
      <c r="U1798" t="s">
        <v>19893</v>
      </c>
      <c r="V1798">
        <f>-602.841269934918 -147.117709345496 -97.4571864706185</f>
        <v>-847.41616575103251</v>
      </c>
      <c r="W1798" t="s">
        <v>19894</v>
      </c>
      <c r="X1798" t="s">
        <v>19895</v>
      </c>
      <c r="Y1798" t="s">
        <v>19896</v>
      </c>
    </row>
    <row r="1799" spans="1:25" x14ac:dyDescent="0.3">
      <c r="A1799">
        <v>89900</v>
      </c>
      <c r="B1799" t="s">
        <v>19897</v>
      </c>
      <c r="C1799">
        <f>-628.520551675657 -54.4069677007783 -99.0634317683181</f>
        <v>-781.99095114475335</v>
      </c>
      <c r="D1799">
        <f>-648.439115782899 -63.4998540984808 -212.803426590341</f>
        <v>-924.74239647172078</v>
      </c>
      <c r="E1799">
        <f>-657.037378652279 -66.0565469131661 -311.018403569227</f>
        <v>-1034.1123291346721</v>
      </c>
      <c r="F1799">
        <f>-661.916207880576 -66.5234026415141 -399.980390491705</f>
        <v>-1128.4200010137952</v>
      </c>
      <c r="G1799">
        <f>-663.513465073076 -65.1364474112028 -489.052082838255</f>
        <v>-1217.7019953225338</v>
      </c>
      <c r="H1799">
        <f>-662.266254278327 -61.3203959246537 -613.569852427126</f>
        <v>-1337.1565026301066</v>
      </c>
      <c r="I1799">
        <f>-634.510911830521 -54.0362456516414 -691.554557970125</f>
        <v>-1380.1017154522874</v>
      </c>
      <c r="J1799">
        <f>-667.516799332687 -35.703840847304 -557.986304664093</f>
        <v>-1261.2069448440841</v>
      </c>
      <c r="K1799" t="s">
        <v>19898</v>
      </c>
      <c r="L1799" t="s">
        <v>19899</v>
      </c>
      <c r="M1799" t="s">
        <v>19900</v>
      </c>
      <c r="N1799">
        <f>-658.113385582881 -90.2955287039035 -559.565211548558</f>
        <v>-1307.9741258353424</v>
      </c>
      <c r="O1799">
        <f>-636.863015341289 -223.657761587604 -533.86931044948</f>
        <v>-1394.3900873783732</v>
      </c>
      <c r="P1799">
        <f>-644.541543555917 -282.568253949266 -245.664789588648</f>
        <v>-1172.7745870938311</v>
      </c>
      <c r="Q1799">
        <f>-476.906507478119 -121.460928607664 -308.861232077646</f>
        <v>-907.22866816342889</v>
      </c>
      <c r="R1799" t="s">
        <v>19901</v>
      </c>
      <c r="S1799" t="s">
        <v>19902</v>
      </c>
      <c r="T1799" t="s">
        <v>19903</v>
      </c>
      <c r="U1799" t="s">
        <v>19904</v>
      </c>
      <c r="V1799">
        <f>-602.417558034759 -147.040140163548 -97.4556195666494</f>
        <v>-846.91331776495645</v>
      </c>
      <c r="W1799" t="s">
        <v>19905</v>
      </c>
      <c r="X1799" t="s">
        <v>19906</v>
      </c>
      <c r="Y1799" t="s">
        <v>19907</v>
      </c>
    </row>
    <row r="1800" spans="1:25" x14ac:dyDescent="0.3">
      <c r="A1800">
        <v>89950</v>
      </c>
      <c r="B1800" t="s">
        <v>19908</v>
      </c>
      <c r="C1800">
        <f>-628.234941898264 -54.3508243963742 -99.0619532423769</f>
        <v>-781.64771953701506</v>
      </c>
      <c r="D1800">
        <f>-648.076485501755 -63.4383485540083 -212.815766560188</f>
        <v>-924.3306006159512</v>
      </c>
      <c r="E1800">
        <f>-656.557170873683 -66.0057909540886 -311.040820806364</f>
        <v>-1033.6037826341358</v>
      </c>
      <c r="F1800">
        <f>-661.308965409454 -66.4898999067675 -400.009513432186</f>
        <v>-1127.8083787484074</v>
      </c>
      <c r="G1800">
        <f>-662.758382260295 -65.128244113982 -489.084043535503</f>
        <v>-1216.9706699097799</v>
      </c>
      <c r="H1800">
        <f>-661.282829450536 -61.356973669417 -613.600879162296</f>
        <v>-1336.2406822822491</v>
      </c>
      <c r="I1800">
        <f>-633.481357720604 -54.0891865007228 -691.570669204316</f>
        <v>-1379.1412134256429</v>
      </c>
      <c r="J1800">
        <f>-666.626138485074 -35.7188833310609 -558.03599742186</f>
        <v>-1260.3810192379947</v>
      </c>
      <c r="K1800" t="s">
        <v>19909</v>
      </c>
      <c r="L1800" t="s">
        <v>19910</v>
      </c>
      <c r="M1800" t="s">
        <v>19911</v>
      </c>
      <c r="N1800">
        <f>-657.238150247936 -90.3141916707759 -559.578355655952</f>
        <v>-1307.1306975746638</v>
      </c>
      <c r="O1800">
        <f>-636.074833598597 -223.675537233641 -533.787554118449</f>
        <v>-1393.5379249506868</v>
      </c>
      <c r="P1800">
        <f>-644.409731031864 -282.333339455332 -245.549772357253</f>
        <v>-1172.2928428444491</v>
      </c>
      <c r="Q1800">
        <f>-476.105720276873 -121.689540230807 -308.145536272491</f>
        <v>-905.94079678017101</v>
      </c>
      <c r="R1800" t="s">
        <v>19912</v>
      </c>
      <c r="S1800" t="s">
        <v>19913</v>
      </c>
      <c r="T1800" t="s">
        <v>19914</v>
      </c>
      <c r="U1800" t="s">
        <v>19915</v>
      </c>
      <c r="V1800">
        <f>-602.115808411091 -146.930854514958 -97.4341929919938</f>
        <v>-846.48085591804283</v>
      </c>
      <c r="W1800" t="s">
        <v>19916</v>
      </c>
      <c r="X1800" t="s">
        <v>19917</v>
      </c>
      <c r="Y1800" t="s">
        <v>19918</v>
      </c>
    </row>
    <row r="1801" spans="1:25" x14ac:dyDescent="0.3">
      <c r="A1801">
        <v>90000</v>
      </c>
      <c r="B1801" t="s">
        <v>19919</v>
      </c>
      <c r="C1801">
        <f>-627.570782250455 -54.3824355495343 -99.0616632336366</f>
        <v>-781.0148810336259</v>
      </c>
      <c r="D1801">
        <f>-647.278531338515 -63.4313502914555 -212.841987182784</f>
        <v>-923.55186881275449</v>
      </c>
      <c r="E1801">
        <f>-655.494665457703 -65.9935402796209 -311.089487112645</f>
        <v>-1032.577692849969</v>
      </c>
      <c r="F1801">
        <f>-659.947596845908 -66.4857440837442 -400.073556753343</f>
        <v>-1126.5068976829953</v>
      </c>
      <c r="G1801">
        <f>-661.038841331158 -65.1464175319931 -489.15370376086</f>
        <v>-1215.3389626240109</v>
      </c>
      <c r="H1801">
        <f>-659.001035698654 -61.4219828586263 -613.663995393225</f>
        <v>-1334.0870139505055</v>
      </c>
      <c r="I1801">
        <f>-631.049228056604 -54.1495291925527 -691.57940587754</f>
        <v>-1376.7781631266967</v>
      </c>
      <c r="J1801">
        <f>-664.586423665596 -35.7615482920685 -558.133230605273</f>
        <v>-1258.4812025629376</v>
      </c>
      <c r="K1801" t="s">
        <v>19920</v>
      </c>
      <c r="L1801" t="s">
        <v>19921</v>
      </c>
      <c r="M1801" t="s">
        <v>19922</v>
      </c>
      <c r="N1801">
        <f>-655.209112737647 -90.360460998817 -559.61293754725</f>
        <v>-1305.1825112837141</v>
      </c>
      <c r="O1801">
        <f>-634.227836717209 -223.694586300767 -533.536644711476</f>
        <v>-1391.459067729452</v>
      </c>
      <c r="P1801">
        <f>-644.11005123087 -281.745294245523 -245.224916917067</f>
        <v>-1171.0802623934601</v>
      </c>
      <c r="Q1801">
        <f>-474.995881369215 -121.889600205718 -307.654176087865</f>
        <v>-904.53965766279794</v>
      </c>
      <c r="R1801" t="s">
        <v>19923</v>
      </c>
      <c r="S1801" t="s">
        <v>19924</v>
      </c>
      <c r="T1801" t="s">
        <v>19925</v>
      </c>
      <c r="U1801" t="s">
        <v>19926</v>
      </c>
      <c r="V1801">
        <f>-601.432395503178 -146.939241048942 -97.4236576751704</f>
        <v>-845.79529422729036</v>
      </c>
      <c r="W1801" t="s">
        <v>19927</v>
      </c>
      <c r="X1801" t="s">
        <v>19928</v>
      </c>
      <c r="Y1801" t="s">
        <v>19929</v>
      </c>
    </row>
    <row r="1802" spans="1:25" x14ac:dyDescent="0.3">
      <c r="A1802">
        <v>90050</v>
      </c>
      <c r="B1802" t="s">
        <v>19930</v>
      </c>
      <c r="C1802">
        <f>-627.326561486217 -54.4492576787086 -99.0731474304764</f>
        <v>-780.84896659540198</v>
      </c>
      <c r="D1802">
        <f>-646.996055004674 -63.4945388743145 -212.860333888537</f>
        <v>-923.35092776752549</v>
      </c>
      <c r="E1802">
        <f>-655.086168471113 -66.0500641547128 -311.118509050638</f>
        <v>-1032.2547416764637</v>
      </c>
      <c r="F1802">
        <f>-659.388044363547 -66.5353803709148 -400.110102165817</f>
        <v>-1126.033526900279</v>
      </c>
      <c r="G1802">
        <f>-660.291312025582 -65.1883694560202 -489.192117895521</f>
        <v>-1214.6717993771231</v>
      </c>
      <c r="H1802">
        <f>-657.952687074546 -61.4528516563379 -613.696697007857</f>
        <v>-1333.102235738741</v>
      </c>
      <c r="I1802">
        <f>-629.876630488746 -54.1644610235719 -691.566010752744</f>
        <v>-1375.6071022650617</v>
      </c>
      <c r="J1802">
        <f>-663.690862822311 -35.8004928848031 -558.177868193763</f>
        <v>-1257.6692239008771</v>
      </c>
      <c r="K1802" t="s">
        <v>19931</v>
      </c>
      <c r="L1802" t="s">
        <v>19932</v>
      </c>
      <c r="M1802" t="s">
        <v>19933</v>
      </c>
      <c r="N1802">
        <f>-654.272832496193 -90.3929178675392 -559.638874279751</f>
        <v>-1304.3046246434833</v>
      </c>
      <c r="O1802">
        <f>-633.303605126007 -223.711883502467 -533.475904073501</f>
        <v>-1390.4913927019752</v>
      </c>
      <c r="P1802">
        <f>-643.817232891033 -281.497663997215 -245.133307953438</f>
        <v>-1170.448204841686</v>
      </c>
      <c r="Q1802">
        <f>-474.48067282126 -121.990147007444 -307.849697029743</f>
        <v>-904.32051685844704</v>
      </c>
      <c r="R1802" t="s">
        <v>19934</v>
      </c>
      <c r="S1802" t="s">
        <v>19935</v>
      </c>
      <c r="T1802" t="s">
        <v>19936</v>
      </c>
      <c r="U1802" t="s">
        <v>19937</v>
      </c>
      <c r="V1802">
        <f>-601.180421969288 -146.978052254467 -97.4227788351478</f>
        <v>-845.5812530589028</v>
      </c>
      <c r="W1802" t="s">
        <v>19938</v>
      </c>
      <c r="X1802" t="s">
        <v>19939</v>
      </c>
      <c r="Y1802" t="s">
        <v>19940</v>
      </c>
    </row>
    <row r="1803" spans="1:25" x14ac:dyDescent="0.3">
      <c r="A1803">
        <v>90100</v>
      </c>
      <c r="B1803" t="s">
        <v>19941</v>
      </c>
      <c r="C1803">
        <f>-627.029897271516 -54.436298604753 -99.1199345057653</f>
        <v>-780.5861303820343</v>
      </c>
      <c r="D1803">
        <f>-646.583259369115 -63.4434082715227 -212.930132455822</f>
        <v>-922.95680009645969</v>
      </c>
      <c r="E1803">
        <f>-654.45374912664 -65.9838242567348 -311.206613883452</f>
        <v>-1031.6441872668267</v>
      </c>
      <c r="F1803">
        <f>-658.509800284 -66.463021549072 -400.209756267474</f>
        <v>-1125.1825781005459</v>
      </c>
      <c r="G1803">
        <f>-659.121132523634 -65.116874928333 -489.294254432333</f>
        <v>-1213.5322618842999</v>
      </c>
      <c r="H1803">
        <f>-656.326807949306 -61.3901140593916 -613.789740268116</f>
        <v>-1331.5066622768136</v>
      </c>
      <c r="I1803">
        <f>-627.946828928362 -54.0979034829212 -691.548563360028</f>
        <v>-1373.5932957713112</v>
      </c>
      <c r="J1803">
        <f>-662.327400686996 -35.7441116704579 -558.295797504922</f>
        <v>-1256.3673098623758</v>
      </c>
      <c r="K1803" t="s">
        <v>19942</v>
      </c>
      <c r="L1803" t="s">
        <v>19943</v>
      </c>
      <c r="M1803" t="s">
        <v>19944</v>
      </c>
      <c r="N1803">
        <f>-652.785493326499 -90.3160645102456 -559.715203091431</f>
        <v>-1302.8167609281757</v>
      </c>
      <c r="O1803">
        <f>-631.614725841756 -223.589829592623 -533.49195719273</f>
        <v>-1388.6965126271089</v>
      </c>
      <c r="P1803">
        <f>-642.628506354402 -281.617296324821 -245.216520639868</f>
        <v>-1169.462323319091</v>
      </c>
      <c r="Q1803">
        <f>-473.499179267477 -121.974317610922 -308.147190951467</f>
        <v>-903.62068782986603</v>
      </c>
      <c r="R1803" t="s">
        <v>19945</v>
      </c>
      <c r="S1803" t="s">
        <v>19946</v>
      </c>
      <c r="T1803" t="s">
        <v>19947</v>
      </c>
      <c r="U1803" t="s">
        <v>19948</v>
      </c>
      <c r="V1803">
        <f>-600.882844933589 -146.801946352475 -97.476940562686</f>
        <v>-845.16173184874992</v>
      </c>
      <c r="W1803" t="s">
        <v>19949</v>
      </c>
      <c r="X1803" t="s">
        <v>19950</v>
      </c>
      <c r="Y1803" t="s">
        <v>19951</v>
      </c>
    </row>
    <row r="1804" spans="1:25" x14ac:dyDescent="0.3">
      <c r="A1804">
        <v>90150</v>
      </c>
      <c r="B1804" t="s">
        <v>19952</v>
      </c>
      <c r="C1804">
        <f>-626.944010560223 -54.4320068246675 -99.1187029410906</f>
        <v>-780.49472032598112</v>
      </c>
      <c r="D1804">
        <f>-646.423785992171 -63.4070380995296 -212.944045777883</f>
        <v>-922.77486986958365</v>
      </c>
      <c r="E1804">
        <f>-654.200085135162 -65.9369460216665 -311.228229143541</f>
        <v>-1031.3652603003695</v>
      </c>
      <c r="F1804">
        <f>-658.159353461305 -66.4131736704787 -400.235803304478</f>
        <v>-1124.8083304362617</v>
      </c>
      <c r="G1804">
        <f>-658.662712732647 -65.0699143673252 -489.321071478952</f>
        <v>-1213.0536985789242</v>
      </c>
      <c r="H1804">
        <f>-655.706466013976 -61.3529240212138 -613.813057531305</f>
        <v>-1330.8724475664949</v>
      </c>
      <c r="I1804">
        <f>-627.165842233146 -54.0506086727104 -691.512129346871</f>
        <v>-1372.7285802527274</v>
      </c>
      <c r="J1804">
        <f>-661.813932792275 -35.7087404810438 -558.329875479947</f>
        <v>-1255.8525487532656</v>
      </c>
      <c r="K1804" t="s">
        <v>19953</v>
      </c>
      <c r="L1804" t="s">
        <v>19954</v>
      </c>
      <c r="M1804" t="s">
        <v>19955</v>
      </c>
      <c r="N1804">
        <f>-652.200715853075 -90.2686079721004 -559.730563946005</f>
        <v>-1302.1998877711803</v>
      </c>
      <c r="O1804">
        <f>-630.858473483447 -223.507236831013 -533.466516905718</f>
        <v>-1387.8322272201781</v>
      </c>
      <c r="P1804">
        <f>-641.850415308284 -281.746898774229 -245.233092137724</f>
        <v>-1168.8304062202371</v>
      </c>
      <c r="Q1804">
        <f>-472.900917357311 -122.010677139915 -308.40973769012</f>
        <v>-903.321332187346</v>
      </c>
      <c r="R1804" t="s">
        <v>19956</v>
      </c>
      <c r="S1804" t="s">
        <v>19957</v>
      </c>
      <c r="T1804" t="s">
        <v>19958</v>
      </c>
      <c r="U1804" t="s">
        <v>19959</v>
      </c>
      <c r="V1804">
        <f>-600.802125069394 -146.724084210565 -97.4776299233675</f>
        <v>-845.00383920332661</v>
      </c>
      <c r="W1804" t="s">
        <v>19960</v>
      </c>
      <c r="X1804" t="s">
        <v>19961</v>
      </c>
      <c r="Y1804" t="s">
        <v>19962</v>
      </c>
    </row>
    <row r="1805" spans="1:25" x14ac:dyDescent="0.3">
      <c r="A1805">
        <v>90200</v>
      </c>
      <c r="B1805" t="s">
        <v>19963</v>
      </c>
      <c r="C1805">
        <f>-626.947166409768 -54.6748413611782 -99.1153525263896</f>
        <v>-780.73736029733584</v>
      </c>
      <c r="D1805">
        <f>-646.382600163191 -63.6453433043818 -212.94870876262</f>
        <v>-922.97665223019271</v>
      </c>
      <c r="E1805">
        <f>-654.011005068623 -66.1598652204877 -311.244788946264</f>
        <v>-1031.4156592353747</v>
      </c>
      <c r="F1805">
        <f>-657.793107636682 -66.6177928485872 -400.260222273545</f>
        <v>-1124.6711227588141</v>
      </c>
      <c r="G1805">
        <f>-658.076615495137 -65.2509231662951 -489.346051569946</f>
        <v>-1212.6735902313781</v>
      </c>
      <c r="H1805">
        <f>-654.768836398116 -61.4952318453593 -613.828051391215</f>
        <v>-1330.0921196346903</v>
      </c>
      <c r="I1805">
        <f>-625.89326348908 -54.0894345752506 -691.393391998423</f>
        <v>-1371.3760900627535</v>
      </c>
      <c r="J1805">
        <f>-661.104580888796 -35.8807963502304 -558.356692969851</f>
        <v>-1255.3420702088774</v>
      </c>
      <c r="K1805" t="s">
        <v>19964</v>
      </c>
      <c r="L1805" t="s">
        <v>19965</v>
      </c>
      <c r="M1805" t="s">
        <v>19966</v>
      </c>
      <c r="N1805">
        <f>-651.344311723357 -90.4151318967417 -559.742738842875</f>
        <v>-1301.5021824629739</v>
      </c>
      <c r="O1805">
        <f>-629.719950467941 -223.580869852621 -533.345177946947</f>
        <v>-1386.6459982675092</v>
      </c>
      <c r="P1805">
        <f>-640.633505823223 -281.883852058871 -245.121499090307</f>
        <v>-1167.6388569724011</v>
      </c>
      <c r="Q1805">
        <f>-472.236266718285 -121.796681134262 -308.881581772027</f>
        <v>-902.91452962457402</v>
      </c>
      <c r="R1805" t="s">
        <v>19967</v>
      </c>
      <c r="S1805" t="s">
        <v>19968</v>
      </c>
      <c r="T1805" t="s">
        <v>19969</v>
      </c>
      <c r="U1805" t="s">
        <v>19970</v>
      </c>
      <c r="V1805">
        <f>-600.715318357698 -147.038984763717 -97.4905698344835</f>
        <v>-845.24487295589847</v>
      </c>
      <c r="W1805" t="s">
        <v>19971</v>
      </c>
      <c r="X1805" t="s">
        <v>19972</v>
      </c>
      <c r="Y1805" t="s">
        <v>19973</v>
      </c>
    </row>
    <row r="1806" spans="1:25" x14ac:dyDescent="0.3">
      <c r="A1806">
        <v>90250</v>
      </c>
      <c r="B1806" t="s">
        <v>19974</v>
      </c>
      <c r="C1806">
        <f>-627.104095741225 -54.7916553960508 -99.1345080988057</f>
        <v>-781.03025923608152</v>
      </c>
      <c r="D1806">
        <f>-646.517634420842 -63.7711285210233 -212.970854020034</f>
        <v>-923.25961696189938</v>
      </c>
      <c r="E1806">
        <f>-654.085758750022 -66.293606780182 -311.271534310077</f>
        <v>-1031.650899840281</v>
      </c>
      <c r="F1806">
        <f>-657.797063823274 -66.7590305560095 -400.289747204491</f>
        <v>-1124.8458415837745</v>
      </c>
      <c r="G1806">
        <f>-657.993748524933 -65.3995910683028 -489.375985306635</f>
        <v>-1212.7693248998708</v>
      </c>
      <c r="H1806">
        <f>-654.5483600268 -61.6535255884696 -613.854616778215</f>
        <v>-1330.0565023934846</v>
      </c>
      <c r="I1806">
        <f>-625.509569354481 -54.1871758388074 -691.353097056111</f>
        <v>-1371.0498422493993</v>
      </c>
      <c r="J1806">
        <f>-660.990270322649 -36.0428664601563 -558.393629485376</f>
        <v>-1255.4267662681814</v>
      </c>
      <c r="K1806" t="s">
        <v>19975</v>
      </c>
      <c r="L1806" t="s">
        <v>19976</v>
      </c>
      <c r="M1806" t="s">
        <v>19977</v>
      </c>
      <c r="N1806">
        <f>-651.138666822285 -90.5611133229338 -559.761755682825</f>
        <v>-1301.4615358280439</v>
      </c>
      <c r="O1806">
        <f>-629.255512813524 -223.670681111862 -533.306065254939</f>
        <v>-1386.2322591803249</v>
      </c>
      <c r="P1806">
        <f>-640.328939268575 -281.802408427435 -245.053978779409</f>
        <v>-1167.1853264754191</v>
      </c>
      <c r="Q1806">
        <f>-472.340618072004 -121.384934345161 -309.062095276369</f>
        <v>-902.78764769353393</v>
      </c>
      <c r="R1806" t="s">
        <v>19978</v>
      </c>
      <c r="S1806" t="s">
        <v>19979</v>
      </c>
      <c r="T1806" t="s">
        <v>19980</v>
      </c>
      <c r="U1806" t="s">
        <v>19981</v>
      </c>
      <c r="V1806">
        <f>-600.758091472788 -147.122000985151 -97.5113626772309</f>
        <v>-845.39145513516985</v>
      </c>
      <c r="W1806" t="s">
        <v>19982</v>
      </c>
      <c r="X1806" t="s">
        <v>19983</v>
      </c>
      <c r="Y1806" t="s">
        <v>19984</v>
      </c>
    </row>
    <row r="1807" spans="1:25" x14ac:dyDescent="0.3">
      <c r="A1807">
        <v>90300</v>
      </c>
      <c r="B1807" t="s">
        <v>19985</v>
      </c>
      <c r="C1807">
        <f>-627.487757332153 -55.0512268046715 -99.1878296336233</f>
        <v>-781.72681377044785</v>
      </c>
      <c r="D1807">
        <f>-646.788217693234 -64.0379143186026 -213.042734592748</f>
        <v>-923.86886660458458</v>
      </c>
      <c r="E1807">
        <f>-654.27726422116 -66.6227372820504 -311.347832795538</f>
        <v>-1032.2478342987483</v>
      </c>
      <c r="F1807">
        <f>-657.925199428152 -67.1673785006116 -400.368281016127</f>
        <v>-1125.4608589448906</v>
      </c>
      <c r="G1807">
        <f>-658.067823898486 -65.9082795884567 -489.456157842746</f>
        <v>-1213.4322613296888</v>
      </c>
      <c r="H1807">
        <f>-654.557154702561 -62.3242224191185 -613.937513925066</f>
        <v>-1330.8188910467456</v>
      </c>
      <c r="I1807">
        <f>-625.231212590443 -54.7589093767889 -691.318320964359</f>
        <v>-1371.3084429315909</v>
      </c>
      <c r="J1807">
        <f>-661.104841689264 -36.6553025473447 -558.516038762074</f>
        <v>-1256.2761829986828</v>
      </c>
      <c r="K1807" t="s">
        <v>19986</v>
      </c>
      <c r="L1807" t="s">
        <v>19987</v>
      </c>
      <c r="M1807" t="s">
        <v>19988</v>
      </c>
      <c r="N1807">
        <f>-651.099229521362 -91.1474494353189 -559.802701852407</f>
        <v>-1302.0493808090878</v>
      </c>
      <c r="O1807">
        <f>-628.769830536372 -224.16685528869 -533.203892795939</f>
        <v>-1386.1405786210009</v>
      </c>
      <c r="P1807">
        <f>-639.793880203848 -282.055434227454 -244.900942681183</f>
        <v>-1166.7502571124851</v>
      </c>
      <c r="Q1807">
        <f>-472.596470887606 -120.988044908941 -309.346304380475</f>
        <v>-902.93082017702204</v>
      </c>
      <c r="R1807" t="s">
        <v>19989</v>
      </c>
      <c r="S1807" t="s">
        <v>19990</v>
      </c>
      <c r="T1807" t="s">
        <v>19991</v>
      </c>
      <c r="U1807" t="s">
        <v>19992</v>
      </c>
      <c r="V1807">
        <f>-600.991061345524 -147.224466204518 -97.5384136176236</f>
        <v>-845.75394116766563</v>
      </c>
      <c r="W1807" t="s">
        <v>19993</v>
      </c>
      <c r="X1807" t="s">
        <v>19994</v>
      </c>
      <c r="Y1807" t="s">
        <v>19995</v>
      </c>
    </row>
    <row r="1808" spans="1:25" x14ac:dyDescent="0.3">
      <c r="A1808">
        <v>90350</v>
      </c>
      <c r="B1808" t="s">
        <v>19996</v>
      </c>
      <c r="C1808">
        <f>-627.615801162889 -55.2347866854971 -99.1782634570843</f>
        <v>-782.02885130547043</v>
      </c>
      <c r="D1808">
        <f>-646.836760291191 -64.2137223113809 -213.047254112561</f>
        <v>-924.0977367151329</v>
      </c>
      <c r="E1808">
        <f>-654.286525868966 -66.8288276947422 -311.354573983504</f>
        <v>-1032.4699275472121</v>
      </c>
      <c r="F1808">
        <f>-657.911284101702 -67.4150109887527 -400.375551018246</f>
        <v>-1125.7018461087007</v>
      </c>
      <c r="G1808">
        <f>-658.043475251697 -66.2113914878647 -489.464270753455</f>
        <v>-1213.7191374930167</v>
      </c>
      <c r="H1808">
        <f>-654.53211549186 -62.7187064518846 -613.948307616707</f>
        <v>-1331.1991295604516</v>
      </c>
      <c r="I1808">
        <f>-625.098310328154 -55.1196067412642 -691.284713820869</f>
        <v>-1371.502630890287</v>
      </c>
      <c r="J1808">
        <f>-661.097513950743 -37.0123254915447 -558.54618833961</f>
        <v>-1256.6560277818976</v>
      </c>
      <c r="K1808" t="s">
        <v>19997</v>
      </c>
      <c r="L1808" t="s">
        <v>19998</v>
      </c>
      <c r="M1808" t="s">
        <v>19999</v>
      </c>
      <c r="N1808">
        <f>-651.057090508982 -91.4990242304049 -559.791803961354</f>
        <v>-1302.347918700741</v>
      </c>
      <c r="O1808">
        <f>-628.659997160465 -224.483208800669 -533.091999614468</f>
        <v>-1386.2352055756019</v>
      </c>
      <c r="P1808">
        <f>-639.423827968669 -282.229548976995 -244.750665010695</f>
        <v>-1166.4040419563589</v>
      </c>
      <c r="Q1808">
        <f>-472.345424584259 -121.14041068793 -309.449834989931</f>
        <v>-902.93567026211997</v>
      </c>
      <c r="R1808" t="s">
        <v>20000</v>
      </c>
      <c r="S1808" t="s">
        <v>20001</v>
      </c>
      <c r="T1808" t="s">
        <v>20002</v>
      </c>
      <c r="U1808" t="s">
        <v>20003</v>
      </c>
      <c r="V1808">
        <f>-601.150276867438 -147.379255363906 -97.5297434838848</f>
        <v>-846.05927571522886</v>
      </c>
      <c r="W1808" t="s">
        <v>20004</v>
      </c>
      <c r="X1808" t="s">
        <v>20005</v>
      </c>
      <c r="Y1808" t="s">
        <v>20006</v>
      </c>
    </row>
    <row r="1809" spans="1:25" x14ac:dyDescent="0.3">
      <c r="A1809">
        <v>90400</v>
      </c>
      <c r="B1809" t="s">
        <v>20007</v>
      </c>
      <c r="C1809">
        <f>-628.075162362314 -55.5672735423714 -99.1394337607438</f>
        <v>-782.78186966542921</v>
      </c>
      <c r="D1809">
        <f>-647.168076985349 -64.4938539433116 -213.034092244215</f>
        <v>-924.69602317287558</v>
      </c>
      <c r="E1809">
        <f>-654.513535486615 -67.187623782582 -311.347168468293</f>
        <v>-1033.0483277374899</v>
      </c>
      <c r="F1809">
        <f>-658.048493226656 -67.8937115941264 -400.370922025331</f>
        <v>-1126.3131268461134</v>
      </c>
      <c r="G1809">
        <f>-658.096455564487 -66.8587893766836 -489.461765542353</f>
        <v>-1214.4170104835237</v>
      </c>
      <c r="H1809">
        <f>-654.474001552206 -63.6531581193766 -613.950374110965</f>
        <v>-1332.0775337825476</v>
      </c>
      <c r="I1809">
        <f>-624.895903164679 -56.0961435780079 -691.235935545901</f>
        <v>-1372.227982288588</v>
      </c>
      <c r="J1809">
        <f>-661.059604791679 -37.8137898789121 -558.612496827024</f>
        <v>-1257.4858914976151</v>
      </c>
      <c r="K1809" t="s">
        <v>20008</v>
      </c>
      <c r="L1809" t="s">
        <v>20009</v>
      </c>
      <c r="M1809" t="s">
        <v>20010</v>
      </c>
      <c r="N1809">
        <f>-651.076505737463 -92.313866910077 -559.725537683458</f>
        <v>-1303.1159103309978</v>
      </c>
      <c r="O1809">
        <f>-628.84958126993 -225.262363598512 -532.744406833532</f>
        <v>-1386.8563517019741</v>
      </c>
      <c r="P1809">
        <f>-639.432958911975 -282.699839170764 -244.33468985751</f>
        <v>-1166.4674879402489</v>
      </c>
      <c r="Q1809">
        <f>-472.161682187564 -122.055045385228 -309.637358782868</f>
        <v>-903.85408635566</v>
      </c>
      <c r="R1809" t="s">
        <v>20011</v>
      </c>
      <c r="S1809" t="s">
        <v>20012</v>
      </c>
      <c r="T1809" t="s">
        <v>20013</v>
      </c>
      <c r="U1809" t="s">
        <v>20014</v>
      </c>
      <c r="V1809">
        <f>-601.799557268605 -147.694755874654 -97.5026528443057</f>
        <v>-846.99696598756464</v>
      </c>
      <c r="W1809" t="s">
        <v>20015</v>
      </c>
      <c r="X1809" t="s">
        <v>20016</v>
      </c>
      <c r="Y1809" t="s">
        <v>20017</v>
      </c>
    </row>
    <row r="1810" spans="1:25" x14ac:dyDescent="0.3">
      <c r="A1810">
        <v>90450</v>
      </c>
      <c r="B1810" t="s">
        <v>20018</v>
      </c>
      <c r="C1810">
        <f>-628.506438025406 -55.6105674167266 -99.1264226402795</f>
        <v>-783.24342808241215</v>
      </c>
      <c r="D1810">
        <f>-647.556967974324 -64.4903325658503 -213.031830060046</f>
        <v>-925.07913060022031</v>
      </c>
      <c r="E1810">
        <f>-654.84440818734 -67.2194037597513 -311.34827106385</f>
        <v>-1033.4120830109414</v>
      </c>
      <c r="F1810">
        <f>-658.319550366644 -67.9870484276223 -400.373955978915</f>
        <v>-1126.6805547731813</v>
      </c>
      <c r="G1810">
        <f>-658.300922363683 -67.0438895908626 -489.465741449012</f>
        <v>-1214.8105534035576</v>
      </c>
      <c r="H1810">
        <f>-654.57894340326 -63.9981760308291 -613.955389896045</f>
        <v>-1332.532509330134</v>
      </c>
      <c r="I1810">
        <f>-624.958811897231 -56.5131634154674 -691.231865302989</f>
        <v>-1372.7038406156876</v>
      </c>
      <c r="J1810">
        <f>-661.161889813293 -38.0791815506991 -558.654615293182</f>
        <v>-1257.8956866571741</v>
      </c>
      <c r="K1810" t="s">
        <v>20019</v>
      </c>
      <c r="L1810" t="s">
        <v>20020</v>
      </c>
      <c r="M1810" t="s">
        <v>20021</v>
      </c>
      <c r="N1810">
        <f>-651.271736294304 -92.5977531125303 -559.692725294184</f>
        <v>-1303.5622147010183</v>
      </c>
      <c r="O1810">
        <f>-629.306235841473 -225.553920344854 -532.503117097012</f>
        <v>-1387.3632732833389</v>
      </c>
      <c r="P1810">
        <f>-640.049012686034 -282.653536078604 -244.032177475843</f>
        <v>-1166.734726240481</v>
      </c>
      <c r="Q1810">
        <f>-472.333397939635 -122.590636594952 -309.623415253888</f>
        <v>-904.54744978847498</v>
      </c>
      <c r="R1810" t="s">
        <v>20022</v>
      </c>
      <c r="S1810" t="s">
        <v>20023</v>
      </c>
      <c r="T1810" t="s">
        <v>20024</v>
      </c>
      <c r="U1810" t="s">
        <v>20025</v>
      </c>
      <c r="V1810">
        <f>-602.324074664657 -147.810054601186 -97.4887188979671</f>
        <v>-847.6228481638102</v>
      </c>
      <c r="W1810" t="s">
        <v>20026</v>
      </c>
      <c r="X1810" t="s">
        <v>20027</v>
      </c>
      <c r="Y1810" t="s">
        <v>20028</v>
      </c>
    </row>
    <row r="1811" spans="1:25" x14ac:dyDescent="0.3">
      <c r="A1811">
        <v>90500</v>
      </c>
      <c r="B1811" t="s">
        <v>20029</v>
      </c>
      <c r="C1811">
        <f>-629.269872647547 -55.4984901073192 -99.1159834142384</f>
        <v>-783.88434616910456</v>
      </c>
      <c r="D1811">
        <f>-648.222549570265 -64.3050328706806 -213.04339749076</f>
        <v>-925.57097993170555</v>
      </c>
      <c r="E1811">
        <f>-655.374219723245 -67.0990622534496 -311.367884110696</f>
        <v>-1033.8411660873905</v>
      </c>
      <c r="F1811">
        <f>-658.708439496292 -67.9744176062378 -400.398063009361</f>
        <v>-1127.0809201118909</v>
      </c>
      <c r="G1811">
        <f>-658.531391010743 -67.1901435533428 -489.491138812193</f>
        <v>-1215.2126733762789</v>
      </c>
      <c r="H1811">
        <f>-654.570627313063 -64.4206639516391 -613.980066067388</f>
        <v>-1332.9713573320901</v>
      </c>
      <c r="I1811">
        <f>-624.873679616089 -57.19049359777 -691.251293824221</f>
        <v>-1373.31546703808</v>
      </c>
      <c r="J1811">
        <f>-661.10928504152 -38.3523154445018 -558.744231669029</f>
        <v>-1258.2058321550508</v>
      </c>
      <c r="K1811" t="s">
        <v>20030</v>
      </c>
      <c r="L1811" t="s">
        <v>20031</v>
      </c>
      <c r="M1811" t="s">
        <v>20032</v>
      </c>
      <c r="N1811">
        <f>-651.517757568429 -92.9265043080969 -559.653133100726</f>
        <v>-1304.097394977252</v>
      </c>
      <c r="O1811">
        <f>-630.334211916911 -225.924504456368 -532.056174275129</f>
        <v>-1388.314890648408</v>
      </c>
      <c r="P1811">
        <f>-641.925637080577 -282.039948339748 -243.425169599616</f>
        <v>-1167.390755019941</v>
      </c>
      <c r="Q1811">
        <f>-472.99329788095 -123.465059079401 -309.50655670374</f>
        <v>-905.964913664091</v>
      </c>
      <c r="R1811" t="s">
        <v>20033</v>
      </c>
      <c r="S1811" t="s">
        <v>20034</v>
      </c>
      <c r="T1811" t="s">
        <v>20035</v>
      </c>
      <c r="U1811" t="s">
        <v>20036</v>
      </c>
      <c r="V1811">
        <f>-603.362194563291 -147.733921951215 -97.4453837561632</f>
        <v>-848.5415002706693</v>
      </c>
      <c r="W1811" t="s">
        <v>20037</v>
      </c>
      <c r="X1811" t="s">
        <v>20038</v>
      </c>
      <c r="Y1811" t="s">
        <v>20039</v>
      </c>
    </row>
    <row r="1812" spans="1:25" x14ac:dyDescent="0.3">
      <c r="A1812">
        <v>90550</v>
      </c>
      <c r="B1812" t="s">
        <v>20040</v>
      </c>
      <c r="C1812">
        <f>-629.540026195973 -55.3594219765143 -99.0967429742666</f>
        <v>-783.99619114675397</v>
      </c>
      <c r="D1812">
        <f>-648.467779065773 -64.1136930719101 -213.032413083724</f>
        <v>-925.61388522140714</v>
      </c>
      <c r="E1812">
        <f>-655.57986277067 -66.9384319066123 -311.358877259558</f>
        <v>-1033.8771719368403</v>
      </c>
      <c r="F1812">
        <f>-658.872402121449 -67.8705230721755 -400.389982797224</f>
        <v>-1127.1329079908485</v>
      </c>
      <c r="G1812">
        <f>-658.647846775115 -67.173618411516 -489.483685358297</f>
        <v>-1215.305150544928</v>
      </c>
      <c r="H1812">
        <f>-654.615177547845 -64.5584707687334 -613.973556848104</f>
        <v>-1333.1472051646824</v>
      </c>
      <c r="I1812">
        <f>-624.903527606508 -57.5100325198403 -691.25589013858</f>
        <v>-1373.6694502649282</v>
      </c>
      <c r="J1812">
        <f>-661.094069571589 -38.4056533621181 -558.77058545627</f>
        <v>-1258.2703083899771</v>
      </c>
      <c r="K1812" t="s">
        <v>20041</v>
      </c>
      <c r="L1812" t="s">
        <v>20042</v>
      </c>
      <c r="M1812" t="s">
        <v>20043</v>
      </c>
      <c r="N1812">
        <f>-651.685484483894 -93.0128671507349 -559.612908172871</f>
        <v>-1304.3112598074999</v>
      </c>
      <c r="O1812">
        <f>-630.966723337224 -226.036770790599 -531.818859053423</f>
        <v>-1388.8223531812459</v>
      </c>
      <c r="P1812">
        <f>-642.88772003548 -281.743715491961 -243.122165589512</f>
        <v>-1167.753601116953</v>
      </c>
      <c r="Q1812">
        <f>-473.27756470467 -123.996056137406 -309.4466400148</f>
        <v>-906.72026085687594</v>
      </c>
      <c r="R1812" t="s">
        <v>20044</v>
      </c>
      <c r="S1812" t="s">
        <v>20045</v>
      </c>
      <c r="T1812" t="s">
        <v>20046</v>
      </c>
      <c r="U1812" t="s">
        <v>20047</v>
      </c>
      <c r="V1812">
        <f>-603.838384687009 -147.537130538315 -97.4057523916163</f>
        <v>-848.78126761694034</v>
      </c>
      <c r="W1812" t="s">
        <v>20048</v>
      </c>
      <c r="X1812" t="s">
        <v>20049</v>
      </c>
      <c r="Y1812" t="s">
        <v>20050</v>
      </c>
    </row>
    <row r="1813" spans="1:25" x14ac:dyDescent="0.3">
      <c r="A1813">
        <v>90600</v>
      </c>
      <c r="B1813" t="s">
        <v>20051</v>
      </c>
      <c r="C1813">
        <f>-629.80133555434 -55.3411606083179 -99.0059522388742</f>
        <v>-784.14844840153205</v>
      </c>
      <c r="D1813">
        <f>-648.744740582977 -64.0437564279752 -212.94294783642</f>
        <v>-925.73144484737213</v>
      </c>
      <c r="E1813">
        <f>-655.846484766079 -66.9552951177144 -311.267654324746</f>
        <v>-1034.0694342085394</v>
      </c>
      <c r="F1813">
        <f>-659.122447719727 -68.0160935261969 -400.297907591187</f>
        <v>-1127.4364488371109</v>
      </c>
      <c r="G1813">
        <f>-658.874713727583 -67.500222039413 -489.392887898646</f>
        <v>-1215.767823665642</v>
      </c>
      <c r="H1813">
        <f>-654.803633335998 -65.1935531048965 -613.887445046813</f>
        <v>-1333.8846314877076</v>
      </c>
      <c r="I1813">
        <f>-625.084372913398 -58.5213884293454 -691.200323112325</f>
        <v>-1374.8060844550685</v>
      </c>
      <c r="J1813">
        <f>-661.136793425324 -38.8767545003734 -558.745740387932</f>
        <v>-1258.7592883136294</v>
      </c>
      <c r="K1813" t="s">
        <v>20052</v>
      </c>
      <c r="L1813" t="s">
        <v>20053</v>
      </c>
      <c r="M1813" t="s">
        <v>20054</v>
      </c>
      <c r="N1813">
        <f>-652.053452637711 -93.5405586979491 -559.461443925345</f>
        <v>-1305.0554552610051</v>
      </c>
      <c r="O1813">
        <f>-632.229223798859 -226.626433912946 -531.321352274659</f>
        <v>-1390.1770099864641</v>
      </c>
      <c r="P1813">
        <f>-644.418842384256 -281.524756582994 -242.480942303021</f>
        <v>-1168.424541270271</v>
      </c>
      <c r="Q1813">
        <f>-473.499735590368 -125.431606462976 -309.357525202141</f>
        <v>-908.288867255485</v>
      </c>
      <c r="R1813" t="s">
        <v>20055</v>
      </c>
      <c r="S1813" t="s">
        <v>20056</v>
      </c>
      <c r="T1813" t="s">
        <v>20057</v>
      </c>
      <c r="U1813" t="s">
        <v>20058</v>
      </c>
      <c r="V1813">
        <f>-604.479226377682 -147.659376255989 -97.2999192130745</f>
        <v>-849.43852184674563</v>
      </c>
      <c r="W1813" t="s">
        <v>20059</v>
      </c>
      <c r="X1813" t="s">
        <v>20060</v>
      </c>
      <c r="Y1813" t="s">
        <v>20061</v>
      </c>
    </row>
    <row r="1814" spans="1:25" x14ac:dyDescent="0.3">
      <c r="A1814">
        <v>90650</v>
      </c>
      <c r="B1814" t="s">
        <v>20062</v>
      </c>
      <c r="C1814">
        <f>-629.901405576216 -55.1851814131286 -98.9724191595761</f>
        <v>-784.05900614892073</v>
      </c>
      <c r="D1814">
        <f>-648.884509381062 -63.8864470408939 -212.902928447695</f>
        <v>-925.67388486965092</v>
      </c>
      <c r="E1814">
        <f>-656.010833587163 -66.8456874033528 -311.224389734371</f>
        <v>-1034.080910724887</v>
      </c>
      <c r="F1814">
        <f>-659.305847308605 -67.9683776033924 -400.253077310313</f>
        <v>-1127.5273022223105</v>
      </c>
      <c r="G1814">
        <f>-659.074327935086 -67.5344704669873 -489.348544637073</f>
        <v>-1215.9573430391463</v>
      </c>
      <c r="H1814">
        <f>-655.022981941263 -65.3632614394933 -613.84631402953</f>
        <v>-1334.2325574102863</v>
      </c>
      <c r="I1814">
        <f>-625.334112061925 -58.862594864643 -691.185344084811</f>
        <v>-1375.3820510113792</v>
      </c>
      <c r="J1814">
        <f>-661.286008141067 -38.9761648555923 -558.729913491968</f>
        <v>-1258.9920864886271</v>
      </c>
      <c r="K1814" t="s">
        <v>20063</v>
      </c>
      <c r="L1814" t="s">
        <v>20064</v>
      </c>
      <c r="M1814" t="s">
        <v>20065</v>
      </c>
      <c r="N1814">
        <f>-652.325536890411 -93.6610671208762 -559.392058330295</f>
        <v>-1305.3786623415822</v>
      </c>
      <c r="O1814">
        <f>-632.798752399302 -226.755180080888 -531.090478403768</f>
        <v>-1390.644410883958</v>
      </c>
      <c r="P1814">
        <f>-644.996002771896 -281.34560521137 -242.192073478179</f>
        <v>-1168.533681461445</v>
      </c>
      <c r="Q1814">
        <f>-473.746769672109 -125.748371841352 -309.378914254922</f>
        <v>-908.87405576838296</v>
      </c>
      <c r="R1814" t="s">
        <v>20066</v>
      </c>
      <c r="S1814" t="s">
        <v>20067</v>
      </c>
      <c r="T1814" t="s">
        <v>20068</v>
      </c>
      <c r="U1814" t="s">
        <v>20069</v>
      </c>
      <c r="V1814">
        <f>-604.7245435317 -147.411220116808 -97.2562913025344</f>
        <v>-849.39205495104227</v>
      </c>
      <c r="W1814" t="s">
        <v>20070</v>
      </c>
      <c r="X1814" t="s">
        <v>20071</v>
      </c>
      <c r="Y1814" t="s">
        <v>20072</v>
      </c>
    </row>
    <row r="1815" spans="1:25" x14ac:dyDescent="0.3">
      <c r="A1815">
        <v>90700</v>
      </c>
      <c r="B1815" t="s">
        <v>20073</v>
      </c>
      <c r="C1815">
        <f>-630.076079481591 -54.8607611381154 -98.9958615002942</f>
        <v>-783.93270212000061</v>
      </c>
      <c r="D1815">
        <f>-649.097978033159 -63.5540713844032 -212.920444346994</f>
        <v>-925.57249376455627</v>
      </c>
      <c r="E1815">
        <f>-656.270283126537 -66.6114043593821 -311.235582848272</f>
        <v>-1034.1172703341913</v>
      </c>
      <c r="F1815">
        <f>-659.613707810199 -67.8639079567723 -400.260875967533</f>
        <v>-1127.7384917345044</v>
      </c>
      <c r="G1815">
        <f>-659.437795560675 -67.601859559826 -489.357169118431</f>
        <v>-1216.3968242389319</v>
      </c>
      <c r="H1815">
        <f>-655.472443130746 -65.7146474018558 -613.862228235574</f>
        <v>-1335.0493187681759</v>
      </c>
      <c r="I1815">
        <f>-625.939078058778 -59.5069625254586 -691.284950990677</f>
        <v>-1376.7309915749136</v>
      </c>
      <c r="J1815">
        <f>-661.634134960195 -39.1917461423943 -558.79972361022</f>
        <v>-1259.6256047128093</v>
      </c>
      <c r="K1815" t="s">
        <v>20074</v>
      </c>
      <c r="L1815" t="s">
        <v>20075</v>
      </c>
      <c r="M1815" t="s">
        <v>20076</v>
      </c>
      <c r="N1815">
        <f>-652.800688838129 -93.8985305651486 -559.347665727745</f>
        <v>-1306.0468851310225</v>
      </c>
      <c r="O1815">
        <f>-633.520599315243 -226.975087710419 -530.782535621352</f>
        <v>-1391.278222647014</v>
      </c>
      <c r="P1815">
        <f>-645.629143420218 -280.82212703644 -241.740922160949</f>
        <v>-1168.1921926176069</v>
      </c>
      <c r="Q1815">
        <f>-474.268576682523 -125.663082691105 -309.653309916556</f>
        <v>-909.58496929018406</v>
      </c>
      <c r="R1815" t="s">
        <v>20077</v>
      </c>
      <c r="S1815" t="s">
        <v>20078</v>
      </c>
      <c r="T1815" t="s">
        <v>20079</v>
      </c>
      <c r="U1815" t="s">
        <v>20080</v>
      </c>
      <c r="V1815">
        <f>-604.979675029188 -147.161511827373 -97.2360004001687</f>
        <v>-849.37718725672971</v>
      </c>
      <c r="W1815" t="s">
        <v>20081</v>
      </c>
      <c r="X1815" t="s">
        <v>20082</v>
      </c>
      <c r="Y1815" t="s">
        <v>20083</v>
      </c>
    </row>
    <row r="1816" spans="1:25" x14ac:dyDescent="0.3">
      <c r="A1816">
        <v>90750</v>
      </c>
      <c r="B1816" t="s">
        <v>20084</v>
      </c>
      <c r="C1816">
        <f>-630.105145244305 -54.7424145707276 -99.027119540114</f>
        <v>-783.87467935514667</v>
      </c>
      <c r="D1816">
        <f>-649.091717059399 -63.4332393833629 -212.957823621276</f>
        <v>-925.48278006403791</v>
      </c>
      <c r="E1816">
        <f>-656.248023213504 -66.5316600824226 -311.272884666609</f>
        <v>-1034.0525679625357</v>
      </c>
      <c r="F1816">
        <f>-659.583499883285 -67.8382152744812 -400.297502533937</f>
        <v>-1127.7192176917031</v>
      </c>
      <c r="G1816">
        <f>-659.406463657981 -67.6466605476116 -489.393946770648</f>
        <v>-1216.4470709762406</v>
      </c>
      <c r="H1816">
        <f>-655.447295788223 -65.8755307493769 -613.901087565996</f>
        <v>-1335.2239141035959</v>
      </c>
      <c r="I1816">
        <f>-625.99467983849 -59.7629872713522 -691.362040446464</f>
        <v>-1377.1197075563064</v>
      </c>
      <c r="J1816">
        <f>-661.599571965099 -39.3002212660128 -558.86267268055</f>
        <v>-1259.7624659116618</v>
      </c>
      <c r="K1816" t="s">
        <v>20085</v>
      </c>
      <c r="L1816" t="s">
        <v>20086</v>
      </c>
      <c r="M1816" t="s">
        <v>20087</v>
      </c>
      <c r="N1816">
        <f>-652.779541126216 -94.0096543761202 -559.360598005141</f>
        <v>-1306.1497935074772</v>
      </c>
      <c r="O1816">
        <f>-633.520631878308 -227.070768749965 -530.692106082567</f>
        <v>-1391.2835067108399</v>
      </c>
      <c r="P1816">
        <f>-645.452676695508 -280.598836571685 -241.583807178409</f>
        <v>-1167.635320445602</v>
      </c>
      <c r="Q1816">
        <f>-474.157167933329 -125.534303779775 -309.87526325052</f>
        <v>-909.56673496362396</v>
      </c>
      <c r="R1816" t="s">
        <v>20088</v>
      </c>
      <c r="S1816" t="s">
        <v>20089</v>
      </c>
      <c r="T1816" t="s">
        <v>20090</v>
      </c>
      <c r="U1816" t="s">
        <v>20091</v>
      </c>
      <c r="V1816">
        <f>-605.014988507686 -147.115452600186 -97.244565729349</f>
        <v>-849.37500683722101</v>
      </c>
      <c r="W1816" t="s">
        <v>20092</v>
      </c>
      <c r="X1816" t="s">
        <v>20093</v>
      </c>
      <c r="Y1816" t="s">
        <v>20094</v>
      </c>
    </row>
    <row r="1817" spans="1:25" x14ac:dyDescent="0.3">
      <c r="A1817">
        <v>90800</v>
      </c>
      <c r="B1817" t="s">
        <v>20095</v>
      </c>
      <c r="C1817">
        <f>-630.07312390746 -54.448386907063 -99.0495893236667</f>
        <v>-783.57110013818965</v>
      </c>
      <c r="D1817">
        <f>-648.979557251407 -63.1087914235135 -212.995810021856</f>
        <v>-925.0841586967764</v>
      </c>
      <c r="E1817">
        <f>-656.058993276588 -66.2813347480985 -311.314191226385</f>
        <v>-1033.6545192510716</v>
      </c>
      <c r="F1817">
        <f>-659.323109396425 -67.6949483703575 -400.339788706125</f>
        <v>-1127.3578464729076</v>
      </c>
      <c r="G1817">
        <f>-659.074125857868 -67.6507447890052 -489.436371605263</f>
        <v>-1216.1612422521362</v>
      </c>
      <c r="H1817">
        <f>-655.014056786421 -66.1275247743348 -613.943429736984</f>
        <v>-1335.0850112977396</v>
      </c>
      <c r="I1817">
        <f>-625.640002787363 -60.1698568272154 -691.446362534675</f>
        <v>-1377.2562221492535</v>
      </c>
      <c r="J1817">
        <f>-661.197601243056 -39.4405361930178 -558.962729745536</f>
        <v>-1259.6008671816098</v>
      </c>
      <c r="K1817" t="s">
        <v>20096</v>
      </c>
      <c r="L1817" t="s">
        <v>20097</v>
      </c>
      <c r="M1817" t="s">
        <v>20098</v>
      </c>
      <c r="N1817">
        <f>-652.403749711901 -94.1550799107871 -559.345376155379</f>
        <v>-1305.9042057780671</v>
      </c>
      <c r="O1817">
        <f>-633.13171067385 -227.175225396205 -530.50166920538</f>
        <v>-1390.808605275435</v>
      </c>
      <c r="P1817">
        <f>-644.421287192828 -280.466155648769 -241.323863860811</f>
        <v>-1166.2113067024079</v>
      </c>
      <c r="Q1817">
        <f>-473.758914694939 -125.089444330996 -310.485286958446</f>
        <v>-909.33364598438106</v>
      </c>
      <c r="R1817" t="s">
        <v>20099</v>
      </c>
      <c r="S1817" t="s">
        <v>20100</v>
      </c>
      <c r="T1817" t="s">
        <v>20101</v>
      </c>
      <c r="U1817" t="s">
        <v>20102</v>
      </c>
      <c r="V1817">
        <f>-605.114583470799 -146.828631892676 -97.2553573398599</f>
        <v>-849.19857270333478</v>
      </c>
      <c r="W1817" t="s">
        <v>20103</v>
      </c>
      <c r="X1817" t="s">
        <v>20104</v>
      </c>
      <c r="Y1817" t="s">
        <v>20105</v>
      </c>
    </row>
    <row r="1818" spans="1:25" x14ac:dyDescent="0.3">
      <c r="A1818">
        <v>90850</v>
      </c>
      <c r="B1818" t="s">
        <v>20106</v>
      </c>
      <c r="C1818">
        <f>-630.109171426442 -54.0710345517577 -99.0702485783435</f>
        <v>-783.25045455654322</v>
      </c>
      <c r="D1818">
        <f>-649.0055846803 -62.7097868490177 -213.019791604962</f>
        <v>-924.73516313427967</v>
      </c>
      <c r="E1818">
        <f>-656.065754014424 -65.9117643494657 -311.338494025728</f>
        <v>-1033.3160123896178</v>
      </c>
      <c r="F1818">
        <f>-659.309203461935 -67.3708958355196 -400.364313364519</f>
        <v>-1127.0444126619736</v>
      </c>
      <c r="G1818">
        <f>-659.036373134655 -67.3914348196238 -489.460759926462</f>
        <v>-1215.8885678807408</v>
      </c>
      <c r="H1818">
        <f>-654.940225327668 -65.9786250053032 -613.967971737051</f>
        <v>-1334.8868220700224</v>
      </c>
      <c r="I1818">
        <f>-625.61054797572 -60.090232213023 -691.49283206398</f>
        <v>-1377.1936122527231</v>
      </c>
      <c r="J1818">
        <f>-661.129697315648 -39.2411656576953 -559.01236641407</f>
        <v>-1259.3832293874134</v>
      </c>
      <c r="K1818" t="s">
        <v>20107</v>
      </c>
      <c r="L1818" t="s">
        <v>20108</v>
      </c>
      <c r="M1818" t="s">
        <v>20109</v>
      </c>
      <c r="N1818">
        <f>-652.35579980149 -93.9593839057545 -559.344498145999</f>
        <v>-1305.6596818532435</v>
      </c>
      <c r="O1818">
        <f>-633.11846505406 -226.968201834097 -530.401132696279</f>
        <v>-1390.4877995844358</v>
      </c>
      <c r="P1818">
        <f>-644.176136439311 -280.137606656323 -241.191878352736</f>
        <v>-1165.50562144837</v>
      </c>
      <c r="Q1818">
        <f>-473.617054100372 -124.85739886685 -310.823231986091</f>
        <v>-909.29768495331291</v>
      </c>
      <c r="R1818" t="s">
        <v>20110</v>
      </c>
      <c r="S1818" t="s">
        <v>20111</v>
      </c>
      <c r="T1818" t="s">
        <v>20112</v>
      </c>
      <c r="U1818" t="s">
        <v>20113</v>
      </c>
      <c r="V1818">
        <f>-605.208296767622 -146.376764575825 -97.2793028469811</f>
        <v>-848.86436419042809</v>
      </c>
      <c r="W1818" t="s">
        <v>20114</v>
      </c>
      <c r="X1818" t="s">
        <v>20115</v>
      </c>
      <c r="Y1818" t="s">
        <v>20116</v>
      </c>
    </row>
    <row r="1819" spans="1:25" x14ac:dyDescent="0.3">
      <c r="A1819">
        <v>90900</v>
      </c>
      <c r="B1819" t="s">
        <v>20117</v>
      </c>
      <c r="C1819">
        <f>-630.253699509037 -53.232725592494 -99.1213402791057</f>
        <v>-782.60776538063669</v>
      </c>
      <c r="D1819">
        <f>-649.064710775539 -61.7698681743263 -213.092720255624</f>
        <v>-923.92729920548936</v>
      </c>
      <c r="E1819">
        <f>-656.036086759979 -64.9943427559106 -311.417030661756</f>
        <v>-1032.4474601776456</v>
      </c>
      <c r="F1819">
        <f>-659.194952701808 -66.5167134104221 -400.444750474916</f>
        <v>-1126.1564165871462</v>
      </c>
      <c r="G1819">
        <f>-658.834099394353 -66.644281777435 -489.540804686464</f>
        <v>-1215.0191858582521</v>
      </c>
      <c r="H1819">
        <f>-654.612200110114 -65.4273367228493 -614.045796357004</f>
        <v>-1334.0853331899673</v>
      </c>
      <c r="I1819">
        <f>-625.328936344964 -59.7182679016671 -691.601800256534</f>
        <v>-1376.6490045031651</v>
      </c>
      <c r="J1819">
        <f>-660.78528760463 -38.5922875375452 -559.136153700124</f>
        <v>-1258.5137288422993</v>
      </c>
      <c r="K1819" t="s">
        <v>20118</v>
      </c>
      <c r="L1819" t="s">
        <v>20119</v>
      </c>
      <c r="M1819" t="s">
        <v>20120</v>
      </c>
      <c r="N1819">
        <f>-652.154734563164 -93.333551354636 -559.378531209046</f>
        <v>-1304.8668171268459</v>
      </c>
      <c r="O1819">
        <f>-633.265108214397 -226.347351321033 -530.246953474328</f>
        <v>-1389.8594130097581</v>
      </c>
      <c r="P1819">
        <f>-644.367555754453 -279.147700817985 -240.97195748173</f>
        <v>-1164.4872140541679</v>
      </c>
      <c r="Q1819">
        <f>-473.500351668732 -124.501584582783 -311.255810532529</f>
        <v>-909.257746784044</v>
      </c>
      <c r="R1819" t="s">
        <v>20121</v>
      </c>
      <c r="S1819" t="s">
        <v>20122</v>
      </c>
      <c r="T1819" t="s">
        <v>20123</v>
      </c>
      <c r="U1819" t="s">
        <v>20124</v>
      </c>
      <c r="V1819">
        <f>-605.485297585901 -145.574904818113 -97.3287856135302</f>
        <v>-848.38898801754419</v>
      </c>
      <c r="W1819" t="s">
        <v>20125</v>
      </c>
      <c r="X1819" t="s">
        <v>20126</v>
      </c>
      <c r="Y1819" t="s">
        <v>20127</v>
      </c>
    </row>
    <row r="1820" spans="1:25" x14ac:dyDescent="0.3">
      <c r="A1820">
        <v>90950</v>
      </c>
      <c r="B1820" t="s">
        <v>20128</v>
      </c>
      <c r="C1820">
        <f>-630.297946719906 -53.0165597671174 -99.1203061915418</f>
        <v>-782.43481267856521</v>
      </c>
      <c r="D1820">
        <f>-649.067522659937 -61.502289977546 -213.102453067051</f>
        <v>-923.67226570453397</v>
      </c>
      <c r="E1820">
        <f>-655.975581769121 -64.7232947072839 -311.431259889398</f>
        <v>-1032.1301363658031</v>
      </c>
      <c r="F1820">
        <f>-659.066724766849 -66.2584017487372 -400.461157367984</f>
        <v>-1125.7862838835704</v>
      </c>
      <c r="G1820">
        <f>-658.627706989074 -66.4160557109507 -489.556764760969</f>
        <v>-1214.6005274609936</v>
      </c>
      <c r="H1820">
        <f>-654.285980368275 -65.2594515071818 -614.058239203302</f>
        <v>-1333.6036710787589</v>
      </c>
      <c r="I1820">
        <f>-624.997168035343 -59.6623856464587 -691.620255425211</f>
        <v>-1376.2798091070126</v>
      </c>
      <c r="J1820">
        <f>-660.451361924867 -38.3882027203017 -559.165266530356</f>
        <v>-1258.0048311755247</v>
      </c>
      <c r="K1820" t="s">
        <v>20129</v>
      </c>
      <c r="L1820" t="s">
        <v>20130</v>
      </c>
      <c r="M1820" t="s">
        <v>20131</v>
      </c>
      <c r="N1820">
        <f>-651.941753779621 -93.1486784436026 -559.377290876317</f>
        <v>-1304.4677230995408</v>
      </c>
      <c r="O1820">
        <f>-633.385572062297 -226.190427523418 -530.164102742753</f>
        <v>-1389.7401023284679</v>
      </c>
      <c r="P1820">
        <f>-644.759988573275 -278.85215593574 -240.874434845476</f>
        <v>-1164.4865793544909</v>
      </c>
      <c r="Q1820">
        <f>-473.555236848109 -124.619367694747 -311.245030485769</f>
        <v>-909.41963502862507</v>
      </c>
      <c r="R1820" t="s">
        <v>20132</v>
      </c>
      <c r="S1820" t="s">
        <v>20133</v>
      </c>
      <c r="T1820" t="s">
        <v>20134</v>
      </c>
      <c r="U1820" t="s">
        <v>20135</v>
      </c>
      <c r="V1820">
        <f>-605.679044345039 -145.442414438646 -97.3397284712956</f>
        <v>-848.46118725498059</v>
      </c>
      <c r="W1820" t="s">
        <v>20136</v>
      </c>
      <c r="X1820" t="s">
        <v>20137</v>
      </c>
      <c r="Y1820" t="s">
        <v>20138</v>
      </c>
    </row>
    <row r="1821" spans="1:25" x14ac:dyDescent="0.3">
      <c r="A1821">
        <v>91000</v>
      </c>
      <c r="B1821" t="s">
        <v>20139</v>
      </c>
      <c r="C1821">
        <f>-630.670470964868 -52.4276702395246 -99.1180610196724</f>
        <v>-782.21620222406489</v>
      </c>
      <c r="D1821">
        <f>-649.299035631449 -60.7241163630719 -213.137307872372</f>
        <v>-923.16045986689278</v>
      </c>
      <c r="E1821">
        <f>-656.00562267394 -63.8980909414308 -311.481511426439</f>
        <v>-1031.3852250418099</v>
      </c>
      <c r="F1821">
        <f>-658.88430751324 -65.4356888398599 -400.518527550225</f>
        <v>-1124.8385239033248</v>
      </c>
      <c r="G1821">
        <f>-658.203224044264 -65.6436123998967 -489.612446902214</f>
        <v>-1213.4592833463746</v>
      </c>
      <c r="H1821">
        <f>-653.49298072579 -64.6086194105103 -614.101714643763</f>
        <v>-1332.2033147800632</v>
      </c>
      <c r="I1821">
        <f>-624.142544154097 -59.262929066179 -691.658159183142</f>
        <v>-1375.0636324034181</v>
      </c>
      <c r="J1821">
        <f>-659.658282096174 -37.6590734499291 -559.247188346064</f>
        <v>-1256.5645438921672</v>
      </c>
      <c r="K1821" t="s">
        <v>20140</v>
      </c>
      <c r="L1821" t="s">
        <v>20141</v>
      </c>
      <c r="M1821" t="s">
        <v>20142</v>
      </c>
      <c r="N1821">
        <f>-651.47318078451 -92.469121963388 -559.393148089827</f>
        <v>-1303.3354508377251</v>
      </c>
      <c r="O1821">
        <f>-633.757222423622 -225.598600733925 -530.051324772166</f>
        <v>-1389.4071479297131</v>
      </c>
      <c r="P1821">
        <f>-646.080810202823 -278.111512314195 -240.773298475246</f>
        <v>-1164.9656209922641</v>
      </c>
      <c r="Q1821">
        <f>-473.973965731697 -124.826592397232 -311.014455567675</f>
        <v>-909.81501369660396</v>
      </c>
      <c r="R1821" t="s">
        <v>20143</v>
      </c>
      <c r="S1821" t="s">
        <v>20144</v>
      </c>
      <c r="T1821" t="s">
        <v>20145</v>
      </c>
      <c r="U1821" t="s">
        <v>20146</v>
      </c>
      <c r="V1821">
        <f>-606.421254747518 -144.920906107583 -97.352855008686</f>
        <v>-848.69501586378692</v>
      </c>
      <c r="W1821" t="s">
        <v>20147</v>
      </c>
      <c r="X1821" t="s">
        <v>20148</v>
      </c>
      <c r="Y1821" t="s">
        <v>20149</v>
      </c>
    </row>
    <row r="1822" spans="1:25" x14ac:dyDescent="0.3">
      <c r="A1822">
        <v>91050</v>
      </c>
      <c r="B1822" t="s">
        <v>20150</v>
      </c>
      <c r="C1822">
        <f>-630.886473065725 -52.2074690347561 -99.115461334056</f>
        <v>-782.20940343453708</v>
      </c>
      <c r="D1822">
        <f>-649.423423763947 -60.377620535109 -213.158647713923</f>
        <v>-922.95969201297896</v>
      </c>
      <c r="E1822">
        <f>-656.02023794244 -63.5138035052443 -311.511641558845</f>
        <v>-1031.0456830065291</v>
      </c>
      <c r="F1822">
        <f>-658.788707126465 -65.0440189913562 -400.552200387241</f>
        <v>-1124.3849265050621</v>
      </c>
      <c r="G1822">
        <f>-657.986743062471 -65.2724927203813 -489.645199047916</f>
        <v>-1212.9044348307682</v>
      </c>
      <c r="H1822">
        <f>-653.097157138664 -64.296062762689 -614.127818782968</f>
        <v>-1331.521038684321</v>
      </c>
      <c r="I1822">
        <f>-623.692797068779 -59.0725938411028 -691.672167544088</f>
        <v>-1374.4375584539698</v>
      </c>
      <c r="J1822">
        <f>-659.249179656155 -37.3071579734897 -559.291333954804</f>
        <v>-1255.8476715844486</v>
      </c>
      <c r="K1822" t="s">
        <v>20151</v>
      </c>
      <c r="L1822" t="s">
        <v>20152</v>
      </c>
      <c r="M1822" t="s">
        <v>20153</v>
      </c>
      <c r="N1822">
        <f>-651.248529498863 -92.1445199490614 -559.407089496963</f>
        <v>-1302.8001389448873</v>
      </c>
      <c r="O1822">
        <f>-633.990819169446 -225.31657510856 -530.002274357495</f>
        <v>-1389.3096686355011</v>
      </c>
      <c r="P1822">
        <f>-646.895853535275 -277.79298169498 -240.743064745394</f>
        <v>-1165.4318999756492</v>
      </c>
      <c r="Q1822">
        <f>-474.204054935309 -125.08661969851 -310.808487782858</f>
        <v>-910.09916241667702</v>
      </c>
      <c r="R1822" t="s">
        <v>20154</v>
      </c>
      <c r="S1822" t="s">
        <v>20155</v>
      </c>
      <c r="T1822" t="s">
        <v>20156</v>
      </c>
      <c r="U1822" t="s">
        <v>20157</v>
      </c>
      <c r="V1822">
        <f>-606.893357708785 -144.772351698627 -97.3587399095583</f>
        <v>-849.02444931697016</v>
      </c>
      <c r="W1822" t="s">
        <v>20158</v>
      </c>
      <c r="X1822" t="s">
        <v>20159</v>
      </c>
      <c r="Y1822" t="s">
        <v>20160</v>
      </c>
    </row>
    <row r="1823" spans="1:25" x14ac:dyDescent="0.3">
      <c r="A1823">
        <v>91100</v>
      </c>
      <c r="B1823" t="s">
        <v>20161</v>
      </c>
      <c r="C1823">
        <f>-631.184398083625 -51.6816271810562 -99.015011519631</f>
        <v>-781.88103678431219</v>
      </c>
      <c r="D1823">
        <f>-649.55922281613 -59.6370447646516 -213.0996504013</f>
        <v>-922.29591798208162</v>
      </c>
      <c r="E1823">
        <f>-655.949840375902 -62.6791733936032 -311.469231848604</f>
        <v>-1030.09824561811</v>
      </c>
      <c r="F1823">
        <f>-658.507056426692 -64.1576941536472 -400.516968193716</f>
        <v>-1123.1817187740553</v>
      </c>
      <c r="G1823">
        <f>-657.469299905155 -64.3712046029643 -489.607452828711</f>
        <v>-1211.4479573368303</v>
      </c>
      <c r="H1823">
        <f>-652.225423433577 -63.4129347998614 -614.075984437635</f>
        <v>-1329.7143426710736</v>
      </c>
      <c r="I1823">
        <f>-622.691104399001 -58.3951288715173 -691.584421063534</f>
        <v>-1372.6706543340524</v>
      </c>
      <c r="J1823">
        <f>-658.344295896204 -36.3890130268649 -559.252753463064</f>
        <v>-1253.9860623861327</v>
      </c>
      <c r="K1823" t="s">
        <v>20162</v>
      </c>
      <c r="L1823" t="s">
        <v>20163</v>
      </c>
      <c r="M1823" t="s">
        <v>20164</v>
      </c>
      <c r="N1823">
        <f>-650.721637039903 -91.280278809031 -559.354229503388</f>
        <v>-1301.3561453523221</v>
      </c>
      <c r="O1823">
        <f>-634.496889480679 -224.582439627773 -529.925050018654</f>
        <v>-1389.0043791271059</v>
      </c>
      <c r="P1823">
        <f>-648.501705356523 -277.039414528266 -240.713534676509</f>
        <v>-1166.2546545612979</v>
      </c>
      <c r="Q1823">
        <f>-474.3875787866 -125.786906976933 -310.411227281191</f>
        <v>-910.58571304472389</v>
      </c>
      <c r="R1823" t="s">
        <v>20165</v>
      </c>
      <c r="S1823" t="s">
        <v>20166</v>
      </c>
      <c r="T1823" t="s">
        <v>20167</v>
      </c>
      <c r="U1823" t="s">
        <v>20168</v>
      </c>
      <c r="V1823">
        <f>-607.783429003047 -144.208124371203 -97.3440395409269</f>
        <v>-849.3355929151769</v>
      </c>
      <c r="W1823" t="s">
        <v>20169</v>
      </c>
      <c r="X1823" t="s">
        <v>20170</v>
      </c>
      <c r="Y1823" t="s">
        <v>20171</v>
      </c>
    </row>
    <row r="1824" spans="1:25" x14ac:dyDescent="0.3">
      <c r="A1824">
        <v>91150</v>
      </c>
      <c r="B1824" t="s">
        <v>20172</v>
      </c>
      <c r="C1824">
        <f>-631.262204093881 -51.4410290320214 -98.9753418203425</f>
        <v>-781.67857494624491</v>
      </c>
      <c r="D1824">
        <f>-649.586539333629 -59.2960915006547 -213.075007852488</f>
        <v>-921.95763868677182</v>
      </c>
      <c r="E1824">
        <f>-655.884941969651 -62.2786408268477 -311.45232050912</f>
        <v>-1029.6159033056188</v>
      </c>
      <c r="F1824">
        <f>-658.339900795567 -63.7128730684743 -400.503733706421</f>
        <v>-1122.5565075704624</v>
      </c>
      <c r="G1824">
        <f>-657.18093067465 -63.8931899991831 -489.592788570745</f>
        <v>-1210.6669092445779</v>
      </c>
      <c r="H1824">
        <f>-651.74802832267 -62.900864111694 -614.05299522729</f>
        <v>-1328.7018876616539</v>
      </c>
      <c r="I1824">
        <f>-622.123803826511 -57.9715850317198 -691.532844396714</f>
        <v>-1371.6282332549449</v>
      </c>
      <c r="J1824">
        <f>-657.857897897594 -35.879378870809 -559.227697912791</f>
        <v>-1252.9649746811938</v>
      </c>
      <c r="K1824" t="s">
        <v>20173</v>
      </c>
      <c r="L1824" t="s">
        <v>20174</v>
      </c>
      <c r="M1824" t="s">
        <v>20175</v>
      </c>
      <c r="N1824">
        <f>-650.419620548817 -90.7958296488032 -559.340687920905</f>
        <v>-1300.5561381185253</v>
      </c>
      <c r="O1824">
        <f>-634.678645987094 -224.155851330731 -529.938887450223</f>
        <v>-1388.7733847680479</v>
      </c>
      <c r="P1824">
        <f>-649.216581380002 -276.766861274216 -240.781590841605</f>
        <v>-1166.765033495823</v>
      </c>
      <c r="Q1824">
        <f>-474.476345185111 -126.143593310236 -310.275282005018</f>
        <v>-910.89522050036499</v>
      </c>
      <c r="R1824" t="s">
        <v>20176</v>
      </c>
      <c r="S1824" t="s">
        <v>20177</v>
      </c>
      <c r="T1824" t="s">
        <v>20178</v>
      </c>
      <c r="U1824" t="s">
        <v>20179</v>
      </c>
      <c r="V1824">
        <f>-608.150808950646 -143.974071555933 -97.3301961567107</f>
        <v>-849.45507666328979</v>
      </c>
      <c r="W1824" t="s">
        <v>20180</v>
      </c>
      <c r="X1824" t="s">
        <v>20181</v>
      </c>
      <c r="Y1824" t="s">
        <v>20182</v>
      </c>
    </row>
    <row r="1825" spans="1:25" x14ac:dyDescent="0.3">
      <c r="A1825">
        <v>91200</v>
      </c>
      <c r="B1825" t="s">
        <v>20183</v>
      </c>
      <c r="C1825">
        <f>-631.347094675207 -50.8964919254882 -98.9109551068583</f>
        <v>-781.15454170755356</v>
      </c>
      <c r="D1825">
        <f>-649.558861862069 -58.5451247400015 -213.042625097802</f>
        <v>-921.14661169987244</v>
      </c>
      <c r="E1825">
        <f>-655.680256039197 -61.3949354304527 -311.435105826402</f>
        <v>-1028.5102972960517</v>
      </c>
      <c r="F1825">
        <f>-657.943750981398 -62.725063840154 -400.493184846488</f>
        <v>-1121.1619996680402</v>
      </c>
      <c r="G1825">
        <f>-656.56226563369 -62.8203610941965 -489.579261440814</f>
        <v>-1208.9618881687006</v>
      </c>
      <c r="H1825">
        <f>-650.78628803909 -61.730087876958 -614.023057455412</f>
        <v>-1326.5394333714598</v>
      </c>
      <c r="I1825">
        <f>-620.994748092899 -56.924890890803 -691.446588242812</f>
        <v>-1369.3662272265142</v>
      </c>
      <c r="J1825">
        <f>-656.881307065852 -34.7295828536146 -559.185670947737</f>
        <v>-1250.7965608672034</v>
      </c>
      <c r="K1825" t="s">
        <v>20184</v>
      </c>
      <c r="L1825" t="s">
        <v>20185</v>
      </c>
      <c r="M1825" t="s">
        <v>20186</v>
      </c>
      <c r="N1825">
        <f>-649.774761928737 -89.6899746532545 -559.337312799302</f>
        <v>-1298.8020493812935</v>
      </c>
      <c r="O1825">
        <f>-634.902833518081 -223.175293857779 -530.052980643582</f>
        <v>-1388.1311080194421</v>
      </c>
      <c r="P1825">
        <f>-650.299535275908 -275.996844424489 -240.978563847161</f>
        <v>-1167.274943547558</v>
      </c>
      <c r="Q1825">
        <f>-474.495838588747 -126.362822706209 -309.924575934366</f>
        <v>-910.78323722932203</v>
      </c>
      <c r="R1825" t="s">
        <v>20187</v>
      </c>
      <c r="S1825" t="s">
        <v>20188</v>
      </c>
      <c r="T1825" t="s">
        <v>20189</v>
      </c>
      <c r="U1825" t="s">
        <v>20190</v>
      </c>
      <c r="V1825">
        <f>-608.695526611723 -143.490637150912 -97.3072637929138</f>
        <v>-849.49342755554881</v>
      </c>
      <c r="W1825" t="s">
        <v>20191</v>
      </c>
      <c r="X1825" t="s">
        <v>20192</v>
      </c>
      <c r="Y1825" t="s">
        <v>20193</v>
      </c>
    </row>
    <row r="1826" spans="1:25" x14ac:dyDescent="0.3">
      <c r="A1826">
        <v>91250</v>
      </c>
      <c r="B1826" t="s">
        <v>20194</v>
      </c>
      <c r="C1826">
        <f>-631.301091108537 -50.8323531219581 -98.8637286272292</f>
        <v>-780.99717285772431</v>
      </c>
      <c r="D1826">
        <f>-649.457273198225 -58.395736894455 -213.009990686803</f>
        <v>-920.86300077948306</v>
      </c>
      <c r="E1826">
        <f>-655.476451807254 -61.1834110165698 -311.41037013822</f>
        <v>-1028.0702329620437</v>
      </c>
      <c r="F1826">
        <f>-657.626173293674 -62.4613435999172 -400.4721105452</f>
        <v>-1120.5596274387913</v>
      </c>
      <c r="G1826">
        <f>-656.10938528571 -62.5100152856838 -489.556111407647</f>
        <v>-1208.1755119790409</v>
      </c>
      <c r="H1826">
        <f>-650.121828765015 -61.3608297513315 -613.989311889933</f>
        <v>-1325.4719704062795</v>
      </c>
      <c r="I1826">
        <f>-620.245217256467 -56.5803735706845 -691.381611492274</f>
        <v>-1368.2072023194255</v>
      </c>
      <c r="J1826">
        <f>-656.239212822707 -34.377348070261 -559.146085431227</f>
        <v>-1249.762646324195</v>
      </c>
      <c r="K1826" t="s">
        <v>20195</v>
      </c>
      <c r="L1826" t="s">
        <v>20196</v>
      </c>
      <c r="M1826" t="s">
        <v>20197</v>
      </c>
      <c r="N1826">
        <f>-649.27410591694 -89.3556556768195 -559.318616665086</f>
        <v>-1297.9483782588454</v>
      </c>
      <c r="O1826">
        <f>-634.765109472468 -222.901339539191 -530.105778124492</f>
        <v>-1387.7722271361508</v>
      </c>
      <c r="P1826">
        <f>-650.571891969791 -275.900538376807 -241.085881818094</f>
        <v>-1167.5583121646921</v>
      </c>
      <c r="Q1826">
        <f>-474.342580625781 -126.657694816669 -309.793098458925</f>
        <v>-910.79337390137493</v>
      </c>
      <c r="R1826" t="s">
        <v>20198</v>
      </c>
      <c r="S1826" t="s">
        <v>20199</v>
      </c>
      <c r="T1826" t="s">
        <v>20200</v>
      </c>
      <c r="U1826" t="s">
        <v>20201</v>
      </c>
      <c r="V1826">
        <f>-608.874307365444 -143.524012238737 -97.2881060558113</f>
        <v>-849.68642565999232</v>
      </c>
      <c r="W1826" t="s">
        <v>20202</v>
      </c>
      <c r="X1826" t="s">
        <v>20203</v>
      </c>
      <c r="Y1826" t="s">
        <v>20204</v>
      </c>
    </row>
    <row r="1827" spans="1:25" x14ac:dyDescent="0.3">
      <c r="A1827">
        <v>91300</v>
      </c>
      <c r="B1827" t="s">
        <v>20205</v>
      </c>
      <c r="C1827">
        <f>-631.168046888251 -50.7003494506998 -98.8337238638456</f>
        <v>-780.70212020279644</v>
      </c>
      <c r="D1827">
        <f>-649.268765633062 -58.1965230187316 -212.993217011193</f>
        <v>-920.45850566298657</v>
      </c>
      <c r="E1827">
        <f>-655.183427819675 -60.9391352160194 -311.401280934407</f>
        <v>-1027.5238439701013</v>
      </c>
      <c r="F1827">
        <f>-657.216075888878 -62.1811666280014 -400.466278067466</f>
        <v>-1119.8635205843455</v>
      </c>
      <c r="G1827">
        <f>-655.55947603719 -62.2003212886949 -489.547698740466</f>
        <v>-1207.307496066351</v>
      </c>
      <c r="H1827">
        <f>-649.353302076531 -61.0171989758046 -613.969939925547</f>
        <v>-1324.3404409778827</v>
      </c>
      <c r="I1827">
        <f>-619.401753034436 -56.2496451158665 -691.333997767252</f>
        <v>-1366.9853959175543</v>
      </c>
      <c r="J1827">
        <f>-655.506514532144 -34.0409978323582 -559.127116517175</f>
        <v>-1248.6746288816771</v>
      </c>
      <c r="K1827" t="s">
        <v>20206</v>
      </c>
      <c r="L1827" t="s">
        <v>20207</v>
      </c>
      <c r="M1827" t="s">
        <v>20208</v>
      </c>
      <c r="N1827">
        <f>-648.662164659197 -89.0345601762361 -559.308617907734</f>
        <v>-1297.0053427431671</v>
      </c>
      <c r="O1827">
        <f>-634.477169454127 -222.620262876655 -530.14273887442</f>
        <v>-1387.2401712052019</v>
      </c>
      <c r="P1827">
        <f>-650.67607444963 -275.790203978793 -241.17595989352</f>
        <v>-1167.6422383219431</v>
      </c>
      <c r="Q1827">
        <f>-474.068109407162 -126.923610620468 -309.726920855051</f>
        <v>-910.71864088268103</v>
      </c>
      <c r="R1827" t="s">
        <v>20209</v>
      </c>
      <c r="S1827" t="s">
        <v>20210</v>
      </c>
      <c r="T1827" t="s">
        <v>20211</v>
      </c>
      <c r="U1827" t="s">
        <v>20212</v>
      </c>
      <c r="V1827">
        <f>-608.934975874537 -143.314904901354 -97.2739244664685</f>
        <v>-849.52380524235957</v>
      </c>
      <c r="W1827" t="s">
        <v>20213</v>
      </c>
      <c r="X1827" t="s">
        <v>20214</v>
      </c>
      <c r="Y1827" t="s">
        <v>20215</v>
      </c>
    </row>
    <row r="1828" spans="1:25" x14ac:dyDescent="0.3">
      <c r="A1828">
        <v>91350</v>
      </c>
      <c r="B1828" t="s">
        <v>20216</v>
      </c>
      <c r="C1828">
        <f>-630.795664075789 -50.409086762481 -98.7693579362617</f>
        <v>-779.97410877453171</v>
      </c>
      <c r="D1828">
        <f>-648.74554025161 -57.7606386044674 -212.962027573709</f>
        <v>-919.46820642978651</v>
      </c>
      <c r="E1828">
        <f>-654.457069058325 -60.4233071626021 -311.384272690222</f>
        <v>-1026.2646489111492</v>
      </c>
      <c r="F1828">
        <f>-656.277591166197 -61.6097061433635 -400.454619068304</f>
        <v>-1118.3419163778644</v>
      </c>
      <c r="G1828">
        <f>-654.380900205826 -61.5916328641019 -489.531287102835</f>
        <v>-1205.503820172763</v>
      </c>
      <c r="H1828">
        <f>-647.810056975114 -60.3762991269176 -613.93443471891</f>
        <v>-1322.1207908209417</v>
      </c>
      <c r="I1828">
        <f>-617.739688160653 -55.5967210252279 -691.251744050749</f>
        <v>-1364.58815323663</v>
      </c>
      <c r="J1828">
        <f>-654.025398544431 -33.4022674871071 -559.097695721696</f>
        <v>-1246.5253617532342</v>
      </c>
      <c r="K1828" t="s">
        <v>20217</v>
      </c>
      <c r="L1828" t="s">
        <v>20218</v>
      </c>
      <c r="M1828" t="s">
        <v>20219</v>
      </c>
      <c r="N1828">
        <f>-647.377760596402 -88.4200048611763 -559.283951459914</f>
        <v>-1295.0817169174923</v>
      </c>
      <c r="O1828">
        <f>-633.702473516947 -222.079155592932 -530.187294634902</f>
        <v>-1385.968923744781</v>
      </c>
      <c r="P1828">
        <f>-650.436123010519 -275.426654350509 -241.283755679334</f>
        <v>-1167.1465330403621</v>
      </c>
      <c r="Q1828">
        <f>-473.417417899621 -126.847232939264 -309.396952454186</f>
        <v>-909.66160329307104</v>
      </c>
      <c r="R1828" t="s">
        <v>20220</v>
      </c>
      <c r="S1828" t="s">
        <v>20221</v>
      </c>
      <c r="T1828" t="s">
        <v>20222</v>
      </c>
      <c r="U1828" t="s">
        <v>20223</v>
      </c>
      <c r="V1828">
        <f>-608.968807297808 -142.991650275303 -97.2634672186931</f>
        <v>-849.22392479180405</v>
      </c>
      <c r="W1828" t="s">
        <v>20224</v>
      </c>
      <c r="X1828" t="s">
        <v>20225</v>
      </c>
      <c r="Y1828" t="s">
        <v>20226</v>
      </c>
    </row>
    <row r="1829" spans="1:25" x14ac:dyDescent="0.3">
      <c r="A1829">
        <v>91400</v>
      </c>
      <c r="B1829" t="s">
        <v>20227</v>
      </c>
      <c r="C1829">
        <f>-630.297053301541 -49.8270872775363 -98.71802751801</f>
        <v>-778.84216809708732</v>
      </c>
      <c r="D1829">
        <f>-648.080227030451 -57.0346091604534 -212.945940647163</f>
        <v>-918.06077683806757</v>
      </c>
      <c r="E1829">
        <f>-653.554806781004 -59.6356368636064 -311.38334611151</f>
        <v>-1024.5737897561203</v>
      </c>
      <c r="F1829">
        <f>-655.124981278052 -60.7895216983645 -400.45883547618</f>
        <v>-1116.3733384525965</v>
      </c>
      <c r="G1829">
        <f>-652.942529058524 -60.7634829579071 -489.528944353347</f>
        <v>-1203.234956369778</v>
      </c>
      <c r="H1829">
        <f>-645.936258833762 -59.563250156033 -613.908573337142</f>
        <v>-1319.4080823269369</v>
      </c>
      <c r="I1829">
        <f>-615.753322027024 -54.777821054309 -691.181575170619</f>
        <v>-1361.7127182519521</v>
      </c>
      <c r="J1829">
        <f>-652.273159712348 -32.5741674016258 -559.092879143614</f>
        <v>-1243.9402062575878</v>
      </c>
      <c r="K1829" t="s">
        <v>20228</v>
      </c>
      <c r="L1829" t="s">
        <v>20229</v>
      </c>
      <c r="M1829" t="s">
        <v>20230</v>
      </c>
      <c r="N1829">
        <f>-645.765592407712 -87.6086571138167 -559.257459229408</f>
        <v>-1292.6317087509367</v>
      </c>
      <c r="O1829">
        <f>-632.502144565237 -221.295417752471 -530.11910220891</f>
        <v>-1383.9166645266182</v>
      </c>
      <c r="P1829">
        <f>-649.752870170333 -274.697306198012 -241.255914146344</f>
        <v>-1165.7060905146889</v>
      </c>
      <c r="Q1829">
        <f>-472.376851198233 -126.42078219876 -309.099049989157</f>
        <v>-907.89668338615002</v>
      </c>
      <c r="R1829" t="s">
        <v>20231</v>
      </c>
      <c r="S1829" t="s">
        <v>20232</v>
      </c>
      <c r="T1829" t="s">
        <v>20233</v>
      </c>
      <c r="U1829" t="s">
        <v>20234</v>
      </c>
      <c r="V1829">
        <f>-608.751381259345 -142.25702836948 -97.2547876411534</f>
        <v>-848.26319726997826</v>
      </c>
      <c r="W1829" t="s">
        <v>20235</v>
      </c>
      <c r="X1829" t="s">
        <v>20236</v>
      </c>
      <c r="Y1829" t="s">
        <v>20237</v>
      </c>
    </row>
    <row r="1830" spans="1:25" x14ac:dyDescent="0.3">
      <c r="A1830">
        <v>91450</v>
      </c>
      <c r="B1830" t="s">
        <v>20238</v>
      </c>
      <c r="C1830">
        <f>-629.948337035372 -49.4755432718116 -98.6903496645133</f>
        <v>-778.11422997169689</v>
      </c>
      <c r="D1830">
        <f>-647.658431259872 -56.6131946710827 -212.934068184982</f>
        <v>-917.20569411593681</v>
      </c>
      <c r="E1830">
        <f>-653.018811606302 -59.1974067373392 -311.37819600849</f>
        <v>-1023.5944143521313</v>
      </c>
      <c r="F1830">
        <f>-654.466001694863 -60.352659274138 -400.455750103839</f>
        <v>-1115.2744110728399</v>
      </c>
      <c r="G1830">
        <f>-652.141401588682 -60.3452388204242 -489.522185329492</f>
        <v>-1202.0088257385983</v>
      </c>
      <c r="H1830">
        <f>-644.916839754632 -59.189138591643 -613.889793053684</f>
        <v>-1317.9957713999588</v>
      </c>
      <c r="I1830">
        <f>-614.675911746177 -54.4217162738139 -691.141289419158</f>
        <v>-1360.238917439149</v>
      </c>
      <c r="J1830">
        <f>-651.310533769504 -32.1760121506773 -559.092616855523</f>
        <v>-1242.5791627757044</v>
      </c>
      <c r="K1830" t="s">
        <v>20239</v>
      </c>
      <c r="L1830" t="s">
        <v>20240</v>
      </c>
      <c r="M1830" t="s">
        <v>20241</v>
      </c>
      <c r="N1830">
        <f>-644.881403665039 -87.2197382646921 -559.23089406875</f>
        <v>-1291.3320359984809</v>
      </c>
      <c r="O1830">
        <f>-631.811242662626 -220.916293744239 -530.032639571309</f>
        <v>-1382.7601759781742</v>
      </c>
      <c r="P1830">
        <f>-649.277512877953 -274.290549869473 -241.177500512948</f>
        <v>-1164.745563260374</v>
      </c>
      <c r="Q1830">
        <f>-471.852620673273 -126.035954579086 -308.940680489964</f>
        <v>-906.82925574232308</v>
      </c>
      <c r="R1830" t="s">
        <v>20242</v>
      </c>
      <c r="S1830" t="s">
        <v>20243</v>
      </c>
      <c r="T1830" t="s">
        <v>20244</v>
      </c>
      <c r="U1830" t="s">
        <v>20245</v>
      </c>
      <c r="V1830">
        <f>-608.513209796174 -141.916764147225 -97.2379999962909</f>
        <v>-847.66797393968989</v>
      </c>
      <c r="W1830" t="s">
        <v>20246</v>
      </c>
      <c r="X1830" t="s">
        <v>20247</v>
      </c>
      <c r="Y1830" t="s">
        <v>20248</v>
      </c>
    </row>
    <row r="1831" spans="1:25" x14ac:dyDescent="0.3">
      <c r="A1831">
        <v>91500</v>
      </c>
      <c r="B1831" t="s">
        <v>20249</v>
      </c>
      <c r="C1831">
        <f>-628.989671781359 -48.9258830067419 -98.6320071572235</f>
        <v>-776.54756194532433</v>
      </c>
      <c r="D1831">
        <f>-646.581170978475 -55.9302385054131 -212.902367261661</f>
        <v>-915.41377674554906</v>
      </c>
      <c r="E1831">
        <f>-651.76167247339 -58.4842330717487 -311.356817065396</f>
        <v>-1021.6027226105348</v>
      </c>
      <c r="F1831">
        <f>-653.016761337143 -59.6439347451728 -400.437309605831</f>
        <v>-1113.0980056881467</v>
      </c>
      <c r="G1831">
        <f>-650.471265905794 -59.6743725752259 -489.497710235891</f>
        <v>-1199.6433487169109</v>
      </c>
      <c r="H1831">
        <f>-642.909047939508 -58.6061552379281 -613.846014152527</f>
        <v>-1315.361217329963</v>
      </c>
      <c r="I1831">
        <f>-612.584171156804 -53.9216663821948 -691.0694623728</f>
        <v>-1357.5752999117988</v>
      </c>
      <c r="J1831">
        <f>-649.362108550344 -31.5439724682883 -559.079972575204</f>
        <v>-1239.9860535938365</v>
      </c>
      <c r="K1831" t="s">
        <v>20250</v>
      </c>
      <c r="L1831" t="s">
        <v>20251</v>
      </c>
      <c r="M1831" t="s">
        <v>20252</v>
      </c>
      <c r="N1831">
        <f>-643.111530576563 -86.6084556682068 -559.173016942929</f>
        <v>-1288.8930031876989</v>
      </c>
      <c r="O1831">
        <f>-630.502738299971 -220.319382469522 -529.853458808211</f>
        <v>-1380.675579577704</v>
      </c>
      <c r="P1831">
        <f>-648.345285977401 -273.493245970286 -240.98432119414</f>
        <v>-1162.822853141827</v>
      </c>
      <c r="Q1831">
        <f>-470.666446773883 -125.509175928156 -308.673407366223</f>
        <v>-904.84903006826198</v>
      </c>
      <c r="R1831" t="s">
        <v>20253</v>
      </c>
      <c r="S1831" t="s">
        <v>20254</v>
      </c>
      <c r="T1831" t="s">
        <v>20255</v>
      </c>
      <c r="U1831" t="s">
        <v>20256</v>
      </c>
      <c r="V1831">
        <f>-607.843390771672 -141.463703588101 -97.2042882552796</f>
        <v>-846.51138261505264</v>
      </c>
      <c r="W1831" t="s">
        <v>20257</v>
      </c>
      <c r="X1831" t="s">
        <v>20258</v>
      </c>
      <c r="Y1831" t="s">
        <v>20259</v>
      </c>
    </row>
    <row r="1832" spans="1:25" x14ac:dyDescent="0.3">
      <c r="A1832">
        <v>91550</v>
      </c>
      <c r="B1832" t="s">
        <v>20260</v>
      </c>
      <c r="C1832">
        <f>-628.460039471375 -48.8572271140234 -98.5881058473303</f>
        <v>-775.90537243272877</v>
      </c>
      <c r="D1832">
        <f>-646.003199131303 -55.8104162751653 -212.869040460713</f>
        <v>-914.68265586718121</v>
      </c>
      <c r="E1832">
        <f>-651.114247782409 -58.354323174514 -311.32738519282</f>
        <v>-1020.795956149743</v>
      </c>
      <c r="F1832">
        <f>-652.296141927724 -59.5178540789732 -400.408753503153</f>
        <v>-1112.22274950985</v>
      </c>
      <c r="G1832">
        <f>-649.667280935691 -59.5654829722935 -489.466882395608</f>
        <v>-1198.6996463035925</v>
      </c>
      <c r="H1832">
        <f>-641.978135740228 -58.5359577822177 -613.807558418166</f>
        <v>-1314.3216519406117</v>
      </c>
      <c r="I1832">
        <f>-611.639336215529 -53.9082276001076 -691.029130079799</f>
        <v>-1356.5766938954357</v>
      </c>
      <c r="J1832">
        <f>-648.433961614046 -31.4508121436031 -559.053221456633</f>
        <v>-1238.9379952142822</v>
      </c>
      <c r="K1832" t="s">
        <v>20261</v>
      </c>
      <c r="L1832" t="s">
        <v>20262</v>
      </c>
      <c r="M1832" t="s">
        <v>20263</v>
      </c>
      <c r="N1832">
        <f>-642.289497876077 -86.5271202440655 -559.129318055085</f>
        <v>-1287.9459361752274</v>
      </c>
      <c r="O1832">
        <f>-629.94178967565 -220.255235059836 -529.76148597065</f>
        <v>-1379.9585107061362</v>
      </c>
      <c r="P1832">
        <f>-648.006325261674 -273.283393825417 -240.879473660528</f>
        <v>-1162.169192747619</v>
      </c>
      <c r="Q1832">
        <f>-470.073054855952 -125.645990381843 -308.657080008474</f>
        <v>-904.37612524626911</v>
      </c>
      <c r="R1832" t="s">
        <v>20264</v>
      </c>
      <c r="S1832" t="s">
        <v>20265</v>
      </c>
      <c r="T1832" t="s">
        <v>20266</v>
      </c>
      <c r="U1832" t="s">
        <v>20267</v>
      </c>
      <c r="V1832">
        <f>-607.520361330509 -141.339395068673 -97.1694324337285</f>
        <v>-846.02918883291056</v>
      </c>
      <c r="W1832" t="s">
        <v>20268</v>
      </c>
      <c r="X1832" t="s">
        <v>20269</v>
      </c>
      <c r="Y1832" t="s">
        <v>20270</v>
      </c>
    </row>
    <row r="1833" spans="1:25" x14ac:dyDescent="0.3">
      <c r="A1833">
        <v>91600</v>
      </c>
      <c r="B1833" t="s">
        <v>20271</v>
      </c>
      <c r="C1833">
        <f>-627.590572163028 -48.5449763985882 -98.5323358805118</f>
        <v>-774.66788444212807</v>
      </c>
      <c r="D1833">
        <f>-645.140968189025 -55.4144091242534 -212.81720048705</f>
        <v>-913.37257780032837</v>
      </c>
      <c r="E1833">
        <f>-650.168887143293 -57.9275688285984 -311.280666757679</f>
        <v>-1019.3771227295704</v>
      </c>
      <c r="F1833">
        <f>-651.240527580055 -59.0789669113693 -400.363617990573</f>
        <v>-1110.6831124819973</v>
      </c>
      <c r="G1833">
        <f>-648.466307848301 -59.1325493269783 -489.417150608786</f>
        <v>-1197.0160077840653</v>
      </c>
      <c r="H1833">
        <f>-640.538060920812 -58.1309293326481 -613.743141059197</f>
        <v>-1312.412131312657</v>
      </c>
      <c r="I1833">
        <f>-610.230528475556 -53.6164286845461 -690.983703865441</f>
        <v>-1354.8306610255431</v>
      </c>
      <c r="J1833">
        <f>-646.983582451765 -31.0208512552888 -558.999913849003</f>
        <v>-1237.0043475560567</v>
      </c>
      <c r="K1833" t="s">
        <v>20272</v>
      </c>
      <c r="L1833" t="s">
        <v>20273</v>
      </c>
      <c r="M1833" t="s">
        <v>20274</v>
      </c>
      <c r="N1833">
        <f>-641.070192307015 -86.122603779259 -559.066826284003</f>
        <v>-1286.2596223702769</v>
      </c>
      <c r="O1833">
        <f>-629.35590300524 -219.887523877075 -529.614016626971</f>
        <v>-1378.857443509286</v>
      </c>
      <c r="P1833">
        <f>-647.811818486722 -272.727448444345 -240.722190658171</f>
        <v>-1161.261457589238</v>
      </c>
      <c r="Q1833">
        <f>-469.120691075951 -126.037295880575 -308.562656148714</f>
        <v>-903.72064310524001</v>
      </c>
      <c r="R1833" t="s">
        <v>20275</v>
      </c>
      <c r="S1833" t="s">
        <v>20276</v>
      </c>
      <c r="T1833" t="s">
        <v>20277</v>
      </c>
      <c r="U1833" t="s">
        <v>20278</v>
      </c>
      <c r="V1833">
        <f>-606.980420860702 -141.006148131676 -97.1179942816848</f>
        <v>-845.1045632740628</v>
      </c>
      <c r="W1833" t="s">
        <v>20279</v>
      </c>
      <c r="X1833" t="s">
        <v>20280</v>
      </c>
      <c r="Y1833" t="s">
        <v>20281</v>
      </c>
    </row>
    <row r="1834" spans="1:25" x14ac:dyDescent="0.3">
      <c r="A1834">
        <v>91650</v>
      </c>
      <c r="B1834" t="s">
        <v>20282</v>
      </c>
      <c r="C1834">
        <f>-627.140124162195 -48.5782234464908 -98.4809807379752</f>
        <v>-774.19932834666099</v>
      </c>
      <c r="D1834">
        <f>-644.73263964988 -55.4342121265147 -212.760242172613</f>
        <v>-912.92709394900771</v>
      </c>
      <c r="E1834">
        <f>-649.743366529331 -57.9312358931832 -311.224947453133</f>
        <v>-1018.8995498756472</v>
      </c>
      <c r="F1834">
        <f>-650.777934615057 -59.0661809027382 -400.308496111292</f>
        <v>-1110.1526116290872</v>
      </c>
      <c r="G1834">
        <f>-647.945293060603 -59.1026127596031 -489.360334656431</f>
        <v>-1196.408240476637</v>
      </c>
      <c r="H1834">
        <f>-639.912621826392 -58.0769977763402 -613.679441236206</f>
        <v>-1311.6690608389381</v>
      </c>
      <c r="I1834">
        <f>-609.636202521244 -53.5924295246749 -690.933825344677</f>
        <v>-1354.1624573905958</v>
      </c>
      <c r="J1834">
        <f>-646.356625300175 -30.9724934618785 -558.933320836184</f>
        <v>-1236.2624395982375</v>
      </c>
      <c r="K1834" t="s">
        <v>20283</v>
      </c>
      <c r="L1834" t="s">
        <v>20284</v>
      </c>
      <c r="M1834" t="s">
        <v>20285</v>
      </c>
      <c r="N1834">
        <f>-640.538149272321 -86.0841921357303 -559.012068755162</f>
        <v>-1285.6344101632133</v>
      </c>
      <c r="O1834">
        <f>-629.081996847725 -219.871762761407 -529.565936300369</f>
        <v>-1378.519695909501</v>
      </c>
      <c r="P1834">
        <f>-647.734727576504 -272.73046633789 -240.690233464293</f>
        <v>-1161.1554273786869</v>
      </c>
      <c r="Q1834">
        <f>-468.813858137453 -126.328556867503 -308.548062336152</f>
        <v>-903.69047734110791</v>
      </c>
      <c r="R1834" t="s">
        <v>20286</v>
      </c>
      <c r="S1834" t="s">
        <v>20287</v>
      </c>
      <c r="T1834" t="s">
        <v>20288</v>
      </c>
      <c r="U1834" t="s">
        <v>20289</v>
      </c>
      <c r="V1834">
        <f>-606.58975888117 -141.199372224423 -97.1227737939057</f>
        <v>-844.91190489949872</v>
      </c>
      <c r="W1834" t="s">
        <v>20290</v>
      </c>
      <c r="X1834" t="s">
        <v>20291</v>
      </c>
      <c r="Y1834" t="s">
        <v>20292</v>
      </c>
    </row>
    <row r="1835" spans="1:25" x14ac:dyDescent="0.3">
      <c r="A1835">
        <v>91700</v>
      </c>
      <c r="B1835" t="s">
        <v>20293</v>
      </c>
      <c r="C1835">
        <f>-626.296694568323 -48.5778253139355 -98.4370311019886</f>
        <v>-773.31155098424711</v>
      </c>
      <c r="D1835">
        <f>-643.977288096086 -55.4607320656869 -212.700950531881</f>
        <v>-912.13897069365385</v>
      </c>
      <c r="E1835">
        <f>-648.990495074245 -57.9334825575693 -311.166283896972</f>
        <v>-1018.0902615287863</v>
      </c>
      <c r="F1835">
        <f>-649.996830940987 -59.0287336086615 -400.250688445565</f>
        <v>-1109.2762529952136</v>
      </c>
      <c r="G1835">
        <f>-647.104832524578 -59.0101623785587 -489.300445661229</f>
        <v>-1195.4154405643658</v>
      </c>
      <c r="H1835">
        <f>-638.956165976 -57.8929487630679 -613.611179790597</f>
        <v>-1310.4602945296649</v>
      </c>
      <c r="I1835">
        <f>-608.777862236437 -53.4581510600739 -690.906982785916</f>
        <v>-1353.1429960824269</v>
      </c>
      <c r="J1835">
        <f>-645.388968792107 -30.8222756466389 -558.847030788225</f>
        <v>-1235.0582752269709</v>
      </c>
      <c r="K1835" t="s">
        <v>20294</v>
      </c>
      <c r="L1835" t="s">
        <v>20295</v>
      </c>
      <c r="M1835" t="s">
        <v>20296</v>
      </c>
      <c r="N1835">
        <f>-639.695020268765 -85.9469091990297 -558.969251015128</f>
        <v>-1284.6111804829227</v>
      </c>
      <c r="O1835">
        <f>-628.535985857614 -219.773647021408 -529.57213785506</f>
        <v>-1377.881770734082</v>
      </c>
      <c r="P1835">
        <f>-647.31175672005 -272.759807643833 -240.727633430072</f>
        <v>-1160.799197793955</v>
      </c>
      <c r="Q1835">
        <f>-467.924899330814 -126.955890889981 -308.642617000437</f>
        <v>-903.52340722123199</v>
      </c>
      <c r="R1835" t="s">
        <v>20297</v>
      </c>
      <c r="S1835" t="s">
        <v>20298</v>
      </c>
      <c r="T1835" t="s">
        <v>20299</v>
      </c>
      <c r="U1835" t="s">
        <v>20300</v>
      </c>
      <c r="V1835">
        <f>-605.799812973796 -141.141040655528 -97.0559493456811</f>
        <v>-843.99680297500515</v>
      </c>
      <c r="W1835" t="s">
        <v>20301</v>
      </c>
      <c r="X1835" t="s">
        <v>20302</v>
      </c>
      <c r="Y1835" t="s">
        <v>20303</v>
      </c>
    </row>
    <row r="1836" spans="1:25" x14ac:dyDescent="0.3">
      <c r="A1836">
        <v>91750</v>
      </c>
      <c r="B1836" t="s">
        <v>20304</v>
      </c>
      <c r="C1836">
        <f>-626.049489178566 -48.4596475312709 -98.4790382508971</f>
        <v>-772.988174960734</v>
      </c>
      <c r="D1836">
        <f>-643.735821744441 -55.3267536426994 -212.742959601334</f>
        <v>-911.80553498847439</v>
      </c>
      <c r="E1836">
        <f>-648.742207059494 -57.7835289916596 -311.209043501903</f>
        <v>-1017.7347795530567</v>
      </c>
      <c r="F1836">
        <f>-649.73751201387 -58.8637291601036 -400.293834379712</f>
        <v>-1108.8950755536855</v>
      </c>
      <c r="G1836">
        <f>-646.82950094371 -58.829993606538 -489.343055137897</f>
        <v>-1195.0025496881449</v>
      </c>
      <c r="H1836">
        <f>-638.653177605611 -57.6918741832101 -613.651844948524</f>
        <v>-1309.996896737345</v>
      </c>
      <c r="I1836">
        <f>-608.54761160719 -53.2794209921015 -690.977183197406</f>
        <v>-1352.8042157966975</v>
      </c>
      <c r="J1836">
        <f>-645.077531894167 -30.6282067325521 -558.883177250849</f>
        <v>-1234.5889158775681</v>
      </c>
      <c r="K1836" t="s">
        <v>20305</v>
      </c>
      <c r="L1836" t="s">
        <v>20306</v>
      </c>
      <c r="M1836" t="s">
        <v>20307</v>
      </c>
      <c r="N1836">
        <f>-639.424782205044 -85.7571668445873 -559.016192564518</f>
        <v>-1284.1981416141493</v>
      </c>
      <c r="O1836">
        <f>-628.334122631749 -219.592724958895 -529.646653641551</f>
        <v>-1377.573501232195</v>
      </c>
      <c r="P1836">
        <f>-647.059253300689 -272.639812307671 -240.810128767636</f>
        <v>-1160.5091943759958</v>
      </c>
      <c r="Q1836">
        <f>-467.599331318804 -126.955295027284 -308.788406975168</f>
        <v>-903.34303332125592</v>
      </c>
      <c r="R1836" t="s">
        <v>20308</v>
      </c>
      <c r="S1836" t="s">
        <v>20309</v>
      </c>
      <c r="T1836" t="s">
        <v>20310</v>
      </c>
      <c r="U1836" t="s">
        <v>20311</v>
      </c>
      <c r="V1836">
        <f>-605.628299134493 -141.041451803446 -97.0699939814758</f>
        <v>-843.73974491941476</v>
      </c>
      <c r="W1836" t="s">
        <v>20312</v>
      </c>
      <c r="X1836" t="s">
        <v>20313</v>
      </c>
      <c r="Y1836" t="s">
        <v>20314</v>
      </c>
    </row>
    <row r="1837" spans="1:25" x14ac:dyDescent="0.3">
      <c r="A1837">
        <v>91800</v>
      </c>
      <c r="B1837" t="s">
        <v>20315</v>
      </c>
      <c r="C1837">
        <f>-625.830617403721 -48.4222490409913 -98.5051932399673</f>
        <v>-772.75805968467967</v>
      </c>
      <c r="D1837">
        <f>-643.488545719867 -55.2979834598472 -212.773073179421</f>
        <v>-911.55960235913517</v>
      </c>
      <c r="E1837">
        <f>-648.47654642017 -57.7632371932086 -311.239714689097</f>
        <v>-1017.4794983024757</v>
      </c>
      <c r="F1837">
        <f>-649.45778606336 -58.8517033072175 -400.324673072619</f>
        <v>-1108.6341624431966</v>
      </c>
      <c r="G1837">
        <f>-646.537965091396 -58.8270318442227 -489.373474317805</f>
        <v>-1194.7384712534238</v>
      </c>
      <c r="H1837">
        <f>-638.347586854095 -57.7025881955966 -613.681443936342</f>
        <v>-1309.7316189860335</v>
      </c>
      <c r="I1837">
        <f>-608.343852639057 -53.3206612116903 -691.048174471581</f>
        <v>-1352.7126883223282</v>
      </c>
      <c r="J1837">
        <f>-644.766470533105 -30.6317714869763 -558.915829909991</f>
        <v>-1234.3140719300723</v>
      </c>
      <c r="K1837" t="s">
        <v>20316</v>
      </c>
      <c r="L1837" t="s">
        <v>20317</v>
      </c>
      <c r="M1837" t="s">
        <v>20318</v>
      </c>
      <c r="N1837">
        <f>-639.136977902153 -85.7629749838346 -559.043579276686</f>
        <v>-1283.9435321626738</v>
      </c>
      <c r="O1837">
        <f>-628.090493805281 -219.603192780798 -529.693031615766</f>
        <v>-1377.3867182018448</v>
      </c>
      <c r="P1837">
        <f>-646.788071917576 -272.610135812799 -240.847208841246</f>
        <v>-1160.2454165716208</v>
      </c>
      <c r="Q1837">
        <f>-467.30871282258 -126.969296903722 -308.867741168731</f>
        <v>-903.14575089503296</v>
      </c>
      <c r="R1837" t="s">
        <v>20319</v>
      </c>
      <c r="S1837" t="s">
        <v>20320</v>
      </c>
      <c r="T1837" t="s">
        <v>20321</v>
      </c>
      <c r="U1837" t="s">
        <v>20322</v>
      </c>
      <c r="V1837">
        <f>-605.405209352227 -141.059456836529 -97.0912784011304</f>
        <v>-843.55594458988628</v>
      </c>
      <c r="W1837" t="s">
        <v>20323</v>
      </c>
      <c r="X1837" t="s">
        <v>20324</v>
      </c>
      <c r="Y1837" t="s">
        <v>20325</v>
      </c>
    </row>
    <row r="1838" spans="1:25" x14ac:dyDescent="0.3">
      <c r="A1838">
        <v>91850</v>
      </c>
      <c r="B1838" t="s">
        <v>20326</v>
      </c>
      <c r="C1838">
        <f>-625.562236051376 -48.4070958446553 -98.5000960620094</f>
        <v>-772.46942795804068</v>
      </c>
      <c r="D1838">
        <f>-643.268829629596 -55.2968550499821 -212.759518629707</f>
        <v>-911.32520330928514</v>
      </c>
      <c r="E1838">
        <f>-648.269403418223 -57.7754726543861 -311.225394562916</f>
        <v>-1017.2702706355251</v>
      </c>
      <c r="F1838">
        <f>-649.249454620583 -58.878730629283 -400.310033371536</f>
        <v>-1108.438218621402</v>
      </c>
      <c r="G1838">
        <f>-646.315638313503 -58.8732995312475 -489.358365224022</f>
        <v>-1194.5473030687726</v>
      </c>
      <c r="H1838">
        <f>-638.092478010076 -57.7812967219151 -613.664489115883</f>
        <v>-1309.5382638478741</v>
      </c>
      <c r="I1838">
        <f>-608.315918092484 -53.4551795846062 -691.122107726707</f>
        <v>-1352.8932054037973</v>
      </c>
      <c r="J1838">
        <f>-644.508742563241 -30.6943532201685 -558.906446806116</f>
        <v>-1234.1095425895255</v>
      </c>
      <c r="K1838" t="s">
        <v>20327</v>
      </c>
      <c r="L1838" t="s">
        <v>20328</v>
      </c>
      <c r="M1838" t="s">
        <v>20329</v>
      </c>
      <c r="N1838">
        <f>-638.913427919419 -85.82916098377 -559.020695805198</f>
        <v>-1283.7632847083869</v>
      </c>
      <c r="O1838">
        <f>-627.902524492638 -219.677373085795 -529.684226716</f>
        <v>-1377.264124294433</v>
      </c>
      <c r="P1838">
        <f>-646.408568593189 -272.800661147422 -240.847632346786</f>
        <v>-1160.0568620873969</v>
      </c>
      <c r="Q1838">
        <f>-467.027252277405 -127.133239048421 -309.06943030625</f>
        <v>-903.22992163207596</v>
      </c>
      <c r="R1838" t="s">
        <v>20330</v>
      </c>
      <c r="S1838" t="s">
        <v>20331</v>
      </c>
      <c r="T1838" t="s">
        <v>20332</v>
      </c>
      <c r="U1838" t="s">
        <v>20333</v>
      </c>
      <c r="V1838">
        <f>-605.105285151281 -141.028686015267 -97.0925519155627</f>
        <v>-843.2265230821107</v>
      </c>
      <c r="W1838" t="s">
        <v>20334</v>
      </c>
      <c r="X1838" t="s">
        <v>20335</v>
      </c>
      <c r="Y1838" t="s">
        <v>20336</v>
      </c>
    </row>
    <row r="1839" spans="1:25" x14ac:dyDescent="0.3">
      <c r="A1839">
        <v>91900</v>
      </c>
      <c r="B1839" t="s">
        <v>20337</v>
      </c>
      <c r="C1839">
        <f>-625.406280296752 -48.1967649875216 -98.5585751975042</f>
        <v>-772.16162048177785</v>
      </c>
      <c r="D1839">
        <f>-643.160458604724 -55.115148001222 -212.808916302682</f>
        <v>-911.08452290862806</v>
      </c>
      <c r="E1839">
        <f>-648.203385663001 -57.6056147359687 -311.272289957259</f>
        <v>-1017.0812903562287</v>
      </c>
      <c r="F1839">
        <f>-649.221691987412 -58.7169998976879 -400.356371083767</f>
        <v>-1108.2950629688669</v>
      </c>
      <c r="G1839">
        <f>-646.325660192972 -58.717248942794 -489.406054153522</f>
        <v>-1194.448963289288</v>
      </c>
      <c r="H1839">
        <f>-638.15419086974 -57.632309030348 -613.715697565622</f>
        <v>-1309.50219746571</v>
      </c>
      <c r="I1839">
        <f>-608.639875881037 -53.3769417167034 -691.277275818472</f>
        <v>-1353.2940934162125</v>
      </c>
      <c r="J1839">
        <f>-644.542842293148 -30.5418090666444 -558.956018962662</f>
        <v>-1234.0406703224544</v>
      </c>
      <c r="K1839" t="s">
        <v>20338</v>
      </c>
      <c r="L1839" t="s">
        <v>20339</v>
      </c>
      <c r="M1839" t="s">
        <v>20340</v>
      </c>
      <c r="N1839">
        <f>-638.957253633974 -85.6775317091249 -559.07015013983</f>
        <v>-1283.7049354829289</v>
      </c>
      <c r="O1839">
        <f>-627.908106861465 -219.536990952222 -529.751970343829</f>
        <v>-1377.197068157516</v>
      </c>
      <c r="P1839">
        <f>-646.333358353594 -272.523994171339 -240.884993915946</f>
        <v>-1159.7423464408791</v>
      </c>
      <c r="Q1839">
        <f>-467.001503241504 -126.815490815005 -309.149074230426</f>
        <v>-902.96606828693496</v>
      </c>
      <c r="R1839" t="s">
        <v>20341</v>
      </c>
      <c r="S1839" t="s">
        <v>20342</v>
      </c>
      <c r="T1839" t="s">
        <v>20343</v>
      </c>
      <c r="U1839" t="s">
        <v>20344</v>
      </c>
      <c r="V1839">
        <f>-604.899544553554 -140.951316712254 -97.1271045292557</f>
        <v>-842.97796579506371</v>
      </c>
      <c r="W1839" t="s">
        <v>20345</v>
      </c>
      <c r="X1839" t="s">
        <v>20346</v>
      </c>
      <c r="Y1839" t="s">
        <v>20347</v>
      </c>
    </row>
    <row r="1840" spans="1:25" x14ac:dyDescent="0.3">
      <c r="A1840">
        <v>91950</v>
      </c>
      <c r="B1840" t="s">
        <v>20348</v>
      </c>
      <c r="C1840">
        <f>-625.475957645091 -48.1681462733811 -98.5990527345837</f>
        <v>-772.24315665305573</v>
      </c>
      <c r="D1840">
        <f>-643.217253624811 -55.0792606168283 -212.851915232498</f>
        <v>-911.14842947413717</v>
      </c>
      <c r="E1840">
        <f>-648.269014404375 -57.5367770840287 -311.315540241388</f>
        <v>-1017.1213317297917</v>
      </c>
      <c r="F1840">
        <f>-649.302849391786 -58.6075780375941 -400.399947326843</f>
        <v>-1108.3103747562232</v>
      </c>
      <c r="G1840">
        <f>-646.429487577517 -58.5569211328675 -489.450325340188</f>
        <v>-1194.4367340505723</v>
      </c>
      <c r="H1840">
        <f>-638.297089051448 -57.3894695870295 -613.761717443272</f>
        <v>-1309.4482760817496</v>
      </c>
      <c r="I1840">
        <f>-608.969772119673 -53.1519631689523 -691.395376706318</f>
        <v>-1353.5171119949432</v>
      </c>
      <c r="J1840">
        <f>-644.671607070632 -30.3355034627737 -558.982458382891</f>
        <v>-1233.9895689162968</v>
      </c>
      <c r="K1840" t="s">
        <v>20349</v>
      </c>
      <c r="L1840" t="s">
        <v>20350</v>
      </c>
      <c r="M1840" t="s">
        <v>20351</v>
      </c>
      <c r="N1840">
        <f>-639.079916534194 -85.4706369530311 -559.134326773082</f>
        <v>-1283.6848802603072</v>
      </c>
      <c r="O1840">
        <f>-627.994718029197 -219.332868345254 -529.858514090288</f>
        <v>-1377.186100464739</v>
      </c>
      <c r="P1840">
        <f>-646.416058628328 -272.409815402312 -241.007927946107</f>
        <v>-1159.8338019767471</v>
      </c>
      <c r="Q1840">
        <f>-467.022195644961 -126.751763757275 -309.216617817457</f>
        <v>-902.99057721969302</v>
      </c>
      <c r="R1840" t="s">
        <v>20352</v>
      </c>
      <c r="S1840" t="s">
        <v>20353</v>
      </c>
      <c r="T1840" t="s">
        <v>20354</v>
      </c>
      <c r="U1840" t="s">
        <v>20355</v>
      </c>
      <c r="V1840">
        <f>-604.919672779601 -140.97905534401 -97.154864244317</f>
        <v>-843.05359236792799</v>
      </c>
      <c r="W1840" t="s">
        <v>20356</v>
      </c>
      <c r="X1840" t="s">
        <v>20357</v>
      </c>
      <c r="Y1840" t="s">
        <v>20358</v>
      </c>
    </row>
    <row r="1841" spans="1:25" x14ac:dyDescent="0.3">
      <c r="A1841">
        <v>92000</v>
      </c>
      <c r="B1841" t="s">
        <v>20359</v>
      </c>
      <c r="C1841">
        <f>-625.705861373523 -48.4075680872716 -98.6598882920756</f>
        <v>-772.77331775287018</v>
      </c>
      <c r="D1841">
        <f>-643.375524733952 -55.3259620151455 -212.923323328824</f>
        <v>-911.62481007792155</v>
      </c>
      <c r="E1841">
        <f>-648.327623300006 -57.7002069798659 -311.394051978788</f>
        <v>-1017.4218822586599</v>
      </c>
      <c r="F1841">
        <f>-649.254055467336 -58.6623012140259 -400.480955958934</f>
        <v>-1108.3973126402959</v>
      </c>
      <c r="G1841">
        <f>-646.255495331819 -58.4700027499167 -489.527070560388</f>
        <v>-1194.2525686421236</v>
      </c>
      <c r="H1841">
        <f>-637.928703242671 -57.0714249129429 -613.823162436352</f>
        <v>-1308.8232905919658</v>
      </c>
      <c r="I1841">
        <f>-609.047951653013 -52.8723368396119 -691.626117265281</f>
        <v>-1353.5464057579059</v>
      </c>
      <c r="J1841">
        <f>-644.4072602338 -30.1214072342175 -559.004985834758</f>
        <v>-1233.5336533027755</v>
      </c>
      <c r="K1841" t="s">
        <v>20360</v>
      </c>
      <c r="L1841" t="s">
        <v>20361</v>
      </c>
      <c r="M1841" t="s">
        <v>20362</v>
      </c>
      <c r="N1841">
        <f>-638.778630684724 -85.2523766617187 -559.248294133744</f>
        <v>-1283.2793014801869</v>
      </c>
      <c r="O1841">
        <f>-627.63981007268 -219.150578223483 -530.193403115198</f>
        <v>-1376.9837914113609</v>
      </c>
      <c r="P1841">
        <f>-646.148563023827 -272.763259244519 -241.447276922118</f>
        <v>-1160.3590991904639</v>
      </c>
      <c r="Q1841">
        <f>-466.670018162524 -127.069543164878 -309.356542799307</f>
        <v>-903.09610412670906</v>
      </c>
      <c r="R1841" t="s">
        <v>20363</v>
      </c>
      <c r="S1841" t="s">
        <v>20364</v>
      </c>
      <c r="T1841" t="s">
        <v>20365</v>
      </c>
      <c r="U1841" t="s">
        <v>20366</v>
      </c>
      <c r="V1841">
        <f>-605.116450114827 -141.182217536769 -97.184264859951</f>
        <v>-843.48293251154701</v>
      </c>
      <c r="W1841" t="s">
        <v>20367</v>
      </c>
      <c r="X1841" t="s">
        <v>20368</v>
      </c>
      <c r="Y1841" t="s">
        <v>20369</v>
      </c>
    </row>
    <row r="1842" spans="1:25" x14ac:dyDescent="0.3">
      <c r="A1842">
        <v>92050</v>
      </c>
      <c r="B1842" t="s">
        <v>20370</v>
      </c>
      <c r="C1842">
        <f>-625.926968219987 -48.6223110246474 -98.6797255627605</f>
        <v>-773.22900480739486</v>
      </c>
      <c r="D1842">
        <f>-643.499456541631 -55.4975251555887 -212.960744725034</f>
        <v>-911.95772642225381</v>
      </c>
      <c r="E1842">
        <f>-648.347256935057 -57.8245343073696 -311.437859297265</f>
        <v>-1017.6096505396915</v>
      </c>
      <c r="F1842">
        <f>-649.170898973045 -58.7409496639658 -400.526171250318</f>
        <v>-1108.4380198873289</v>
      </c>
      <c r="G1842">
        <f>-646.060943101608 -58.5003111495818 -489.56831697654</f>
        <v>-1194.1295712277297</v>
      </c>
      <c r="H1842">
        <f>-637.569412192105 -57.0319627826967 -613.852563864859</f>
        <v>-1308.4539388396606</v>
      </c>
      <c r="I1842">
        <f>-608.967151681125 -52.8822287761658 -691.760899146613</f>
        <v>-1353.6102796039038</v>
      </c>
      <c r="J1842">
        <f>-644.131584807118 -30.1137049861084 -559.028613117524</f>
        <v>-1233.2739029107502</v>
      </c>
      <c r="K1842" t="s">
        <v>20371</v>
      </c>
      <c r="L1842" t="s">
        <v>20372</v>
      </c>
      <c r="M1842" t="s">
        <v>20373</v>
      </c>
      <c r="N1842">
        <f>-638.480635735482 -85.2424017654939 -559.293771955663</f>
        <v>-1283.0168094566388</v>
      </c>
      <c r="O1842">
        <f>-627.28838055966 -219.154737929421 -530.346456262393</f>
        <v>-1376.789574751474</v>
      </c>
      <c r="P1842">
        <f>-645.774026525359 -273.147888198499 -241.669800970016</f>
        <v>-1160.591715693874</v>
      </c>
      <c r="Q1842">
        <f>-466.312825207972 -127.304142868511 -309.30232851192</f>
        <v>-902.91929658840297</v>
      </c>
      <c r="R1842" t="s">
        <v>20374</v>
      </c>
      <c r="S1842" t="s">
        <v>20375</v>
      </c>
      <c r="T1842" t="s">
        <v>20376</v>
      </c>
      <c r="U1842" t="s">
        <v>20377</v>
      </c>
      <c r="V1842">
        <f>-605.358884397383 -141.422433073383 -97.2129982721227</f>
        <v>-843.99431574288872</v>
      </c>
      <c r="W1842" t="s">
        <v>20378</v>
      </c>
      <c r="X1842" t="s">
        <v>20379</v>
      </c>
      <c r="Y1842" t="s">
        <v>20380</v>
      </c>
    </row>
    <row r="1843" spans="1:25" x14ac:dyDescent="0.3">
      <c r="A1843">
        <v>92100</v>
      </c>
      <c r="B1843" t="s">
        <v>20381</v>
      </c>
      <c r="C1843">
        <f>-626.488820254354 -48.9608404982148 -98.6390608768808</f>
        <v>-774.08872162944954</v>
      </c>
      <c r="D1843">
        <f>-643.906885358908 -55.8169018450261 -212.944942701192</f>
        <v>-912.66872990512604</v>
      </c>
      <c r="E1843">
        <f>-648.558562777007 -58.0915308186163 -311.432632635391</f>
        <v>-1018.0827262310142</v>
      </c>
      <c r="F1843">
        <f>-649.17839552055 -58.9487245915445 -400.523280680983</f>
        <v>-1108.6504007930776</v>
      </c>
      <c r="G1843">
        <f>-645.838019702289 -58.6379125932168 -489.55686376724</f>
        <v>-1194.0327960627458</v>
      </c>
      <c r="H1843">
        <f>-636.996591030304 -57.0610053524944 -613.81530078671</f>
        <v>-1307.8728971695084</v>
      </c>
      <c r="I1843">
        <f>-609.088484799507 -53.0897681487058 -691.984348080271</f>
        <v>-1354.162601028484</v>
      </c>
      <c r="J1843">
        <f>-643.725552970054 -30.1919350017868 -558.987497942843</f>
        <v>-1232.9049859146837</v>
      </c>
      <c r="K1843" t="s">
        <v>20382</v>
      </c>
      <c r="L1843" t="s">
        <v>20383</v>
      </c>
      <c r="M1843" t="s">
        <v>20384</v>
      </c>
      <c r="N1843">
        <f>-638.049029495815 -85.3177824750954 -559.283187812334</f>
        <v>-1282.6499997832443</v>
      </c>
      <c r="O1843">
        <f>-626.808901522533 -219.254591612102 -530.428827705545</f>
        <v>-1376.4923208401801</v>
      </c>
      <c r="P1843">
        <f>-645.364866650504 -273.498638160273 -241.803703485568</f>
        <v>-1160.6672082963451</v>
      </c>
      <c r="Q1843">
        <f>-465.849005914465 -127.474273280183 -308.898966308795</f>
        <v>-902.22224550344299</v>
      </c>
      <c r="R1843" t="s">
        <v>20385</v>
      </c>
      <c r="S1843" t="s">
        <v>20386</v>
      </c>
      <c r="T1843" t="s">
        <v>20387</v>
      </c>
      <c r="U1843" t="s">
        <v>20388</v>
      </c>
      <c r="V1843">
        <f>-605.929058291306 -141.608070677866 -97.232711647873</f>
        <v>-844.76984061704502</v>
      </c>
      <c r="W1843" t="s">
        <v>20389</v>
      </c>
      <c r="X1843" t="s">
        <v>20390</v>
      </c>
      <c r="Y1843" t="s">
        <v>20391</v>
      </c>
    </row>
    <row r="1844" spans="1:25" x14ac:dyDescent="0.3">
      <c r="A1844">
        <v>92150</v>
      </c>
      <c r="B1844" t="s">
        <v>20392</v>
      </c>
      <c r="C1844">
        <f>-626.939020208732 -48.9198990686332 -98.6414956977185</f>
        <v>-774.50041497508369</v>
      </c>
      <c r="D1844">
        <f>-644.278331768512 -55.7725404907201 -212.95943753156</f>
        <v>-913.01030979079201</v>
      </c>
      <c r="E1844">
        <f>-648.841763970747 -58.0241413321731 -311.451872770361</f>
        <v>-1018.3177780732811</v>
      </c>
      <c r="F1844">
        <f>-649.37287393697 -58.8534520826568 -400.54324716692</f>
        <v>-1108.7695731865467</v>
      </c>
      <c r="G1844">
        <f>-645.934884247108 -58.5085191935294 -489.573010133639</f>
        <v>-1194.0164135742764</v>
      </c>
      <c r="H1844">
        <f>-636.94750595991 -56.877998230543 -613.8203839181</f>
        <v>-1307.645888108553</v>
      </c>
      <c r="I1844">
        <f>-609.436902726924 -53.0310242444414 -692.136352866075</f>
        <v>-1354.6042798374403</v>
      </c>
      <c r="J1844">
        <f>-643.74480947194 -30.0330949942745 -558.989236534169</f>
        <v>-1232.7671410003836</v>
      </c>
      <c r="K1844" t="s">
        <v>20393</v>
      </c>
      <c r="L1844" t="s">
        <v>20394</v>
      </c>
      <c r="M1844" t="s">
        <v>20395</v>
      </c>
      <c r="N1844">
        <f>-638.060037911637 -85.1579816629068 -559.301365980581</f>
        <v>-1282.5193855551247</v>
      </c>
      <c r="O1844">
        <f>-626.769132069341 -219.093828513032 -530.448803669984</f>
        <v>-1376.3117642523571</v>
      </c>
      <c r="P1844">
        <f>-645.417240655357 -273.124260254195 -241.789508914973</f>
        <v>-1160.3310098245252</v>
      </c>
      <c r="Q1844">
        <f>-465.941387041044 -126.976776109947 -308.724000642904</f>
        <v>-901.64216379389495</v>
      </c>
      <c r="R1844" t="s">
        <v>20396</v>
      </c>
      <c r="S1844" t="s">
        <v>20397</v>
      </c>
      <c r="T1844" t="s">
        <v>20398</v>
      </c>
      <c r="U1844" t="s">
        <v>20399</v>
      </c>
      <c r="V1844">
        <f>-606.334991465111 -141.68203393533 -97.2184933567399</f>
        <v>-845.2355187571809</v>
      </c>
      <c r="W1844" t="s">
        <v>20400</v>
      </c>
      <c r="X1844" t="s">
        <v>20401</v>
      </c>
      <c r="Y1844" t="s">
        <v>20402</v>
      </c>
    </row>
    <row r="1845" spans="1:25" x14ac:dyDescent="0.3">
      <c r="A1845">
        <v>92200</v>
      </c>
      <c r="B1845" t="s">
        <v>20403</v>
      </c>
      <c r="C1845">
        <f>-627.588051566905 -49.262561452538 -98.6307949507201</f>
        <v>-775.4814079701631</v>
      </c>
      <c r="D1845">
        <f>-644.8005443449 -56.1292625258203 -212.967059025137</f>
        <v>-913.89686589585733</v>
      </c>
      <c r="E1845">
        <f>-649.260167588169 -58.3444076518632 -311.465111201258</f>
        <v>-1019.0696864412903</v>
      </c>
      <c r="F1845">
        <f>-649.698450820405 -59.12295682678 -400.557425142545</f>
        <v>-1109.37883278973</v>
      </c>
      <c r="G1845">
        <f>-646.168217644165 -58.7091193069738 -489.583418577219</f>
        <v>-1194.4607555283578</v>
      </c>
      <c r="H1845">
        <f>-637.052330744541 -56.9642025797463 -613.819626069311</f>
        <v>-1307.8361593935983</v>
      </c>
      <c r="I1845">
        <f>-610.369727672145 -53.4002088925431 -692.435019565188</f>
        <v>-1356.2049561298761</v>
      </c>
      <c r="J1845">
        <f>-643.923816781333 -30.1714883827301 -558.972150036188</f>
        <v>-1233.0674552002511</v>
      </c>
      <c r="K1845" t="s">
        <v>20404</v>
      </c>
      <c r="L1845" t="s">
        <v>20405</v>
      </c>
      <c r="M1845" t="s">
        <v>20406</v>
      </c>
      <c r="N1845">
        <f>-638.203719071111 -85.2924779779934 -559.326661871436</f>
        <v>-1282.8228589205405</v>
      </c>
      <c r="O1845">
        <f>-626.680157241245 -219.229871997881 -530.547924831585</f>
        <v>-1376.4579540707109</v>
      </c>
      <c r="P1845">
        <f>-645.347928703278 -273.538085362551 -241.942130142732</f>
        <v>-1160.8281442085608</v>
      </c>
      <c r="Q1845">
        <f>-467.27910350136 -125.273619481895 -307.972430625274</f>
        <v>-900.52515360852897</v>
      </c>
      <c r="R1845" t="s">
        <v>20407</v>
      </c>
      <c r="S1845" t="s">
        <v>20408</v>
      </c>
      <c r="T1845" t="s">
        <v>20409</v>
      </c>
      <c r="U1845" t="s">
        <v>20410</v>
      </c>
      <c r="V1845">
        <f>-606.915790802585 -142.128504718089 -97.2251756099021</f>
        <v>-846.26947113057611</v>
      </c>
      <c r="W1845" t="s">
        <v>20411</v>
      </c>
      <c r="X1845" t="s">
        <v>20412</v>
      </c>
      <c r="Y1845" t="s">
        <v>20413</v>
      </c>
    </row>
    <row r="1846" spans="1:25" x14ac:dyDescent="0.3">
      <c r="A1846">
        <v>92250</v>
      </c>
      <c r="B1846" t="s">
        <v>20414</v>
      </c>
      <c r="C1846">
        <f>-627.759434407064 -49.4348975638691 -98.6125353480245</f>
        <v>-775.80686731895753</v>
      </c>
      <c r="D1846">
        <f>-644.940880328585 -56.3229630546376 -212.952172890658</f>
        <v>-914.21601627388054</v>
      </c>
      <c r="E1846">
        <f>-649.400755754 -58.5320005022096 -311.450365356821</f>
        <v>-1019.3831216130307</v>
      </c>
      <c r="F1846">
        <f>-649.84962373987 -59.2955775694719 -400.542797123923</f>
        <v>-1109.687998433265</v>
      </c>
      <c r="G1846">
        <f>-646.340066199196 -58.8571271109207 -489.569402043737</f>
        <v>-1194.7665953538537</v>
      </c>
      <c r="H1846">
        <f>-637.263389737552 -57.0672036904012 -613.80790394296</f>
        <v>-1308.1384973709132</v>
      </c>
      <c r="I1846">
        <f>-611.019460753467 -53.62624644889 -692.576263472176</f>
        <v>-1357.2219706745332</v>
      </c>
      <c r="J1846">
        <f>-644.149050134222 -30.2976805078965 -558.950935978743</f>
        <v>-1233.3976666208614</v>
      </c>
      <c r="K1846" t="s">
        <v>20415</v>
      </c>
      <c r="L1846" t="s">
        <v>20416</v>
      </c>
      <c r="M1846" t="s">
        <v>20417</v>
      </c>
      <c r="N1846">
        <f>-638.366126233222 -85.4119632434789 -559.322468585191</f>
        <v>-1283.1005580618919</v>
      </c>
      <c r="O1846">
        <f>-626.650759443289 -219.339606782681 -530.604064883427</f>
        <v>-1376.594431109397</v>
      </c>
      <c r="P1846">
        <f>-645.134159686462 -274.148508467113 -242.081071015393</f>
        <v>-1161.3637391689681</v>
      </c>
      <c r="Q1846">
        <f>-467.971849491277 -124.68700505257 -307.850871336407</f>
        <v>-900.50972588025411</v>
      </c>
      <c r="R1846" t="s">
        <v>20418</v>
      </c>
      <c r="S1846" t="s">
        <v>20419</v>
      </c>
      <c r="T1846" t="s">
        <v>20420</v>
      </c>
      <c r="U1846" t="s">
        <v>20421</v>
      </c>
      <c r="V1846">
        <f>-606.992274627654 -142.282355394907 -97.2198468712664</f>
        <v>-846.49447689382737</v>
      </c>
      <c r="W1846" t="s">
        <v>20422</v>
      </c>
      <c r="X1846" t="s">
        <v>20423</v>
      </c>
      <c r="Y1846" t="s">
        <v>20424</v>
      </c>
    </row>
    <row r="1847" spans="1:25" x14ac:dyDescent="0.3">
      <c r="A1847">
        <v>92300</v>
      </c>
      <c r="B1847" t="s">
        <v>20425</v>
      </c>
      <c r="C1847">
        <f>-627.900707643855 -49.4911125590049 -98.6069596657038</f>
        <v>-775.9987798685637</v>
      </c>
      <c r="D1847">
        <f>-645.071921862293 -56.4231283138125 -212.945637444147</f>
        <v>-914.44068762025256</v>
      </c>
      <c r="E1847">
        <f>-649.579516163438 -58.6466625795721 -311.441319870512</f>
        <v>-1019.6674986135222</v>
      </c>
      <c r="F1847">
        <f>-650.093738800486 -59.4138958549856 -400.533333626493</f>
        <v>-1110.0409682819645</v>
      </c>
      <c r="G1847">
        <f>-646.671625561452 -58.9681589854824 -489.563292142073</f>
        <v>-1195.2030766890075</v>
      </c>
      <c r="H1847">
        <f>-637.740002159201 -57.1560031837163 -613.812052189477</f>
        <v>-1308.7080575323944</v>
      </c>
      <c r="I1847">
        <f>-611.941134453318 -53.809088493192 -692.731296568404</f>
        <v>-1358.481519514914</v>
      </c>
      <c r="J1847">
        <f>-644.612449764733 -30.4017620655243 -558.945887075945</f>
        <v>-1233.9600989062023</v>
      </c>
      <c r="K1847" t="s">
        <v>20426</v>
      </c>
      <c r="L1847" t="s">
        <v>20427</v>
      </c>
      <c r="M1847" t="s">
        <v>20428</v>
      </c>
      <c r="N1847">
        <f>-638.728232108679 -85.5051566651667 -559.326600911769</f>
        <v>-1283.5599896856147</v>
      </c>
      <c r="O1847">
        <f>-626.732123013638 -219.419539076158 -530.666958876898</f>
        <v>-1376.818620966694</v>
      </c>
      <c r="P1847">
        <f>-644.927031445881 -274.75155540223 -242.225458063596</f>
        <v>-1161.9040449117069</v>
      </c>
      <c r="Q1847">
        <f>-468.152517331916 -124.630592304731 -307.534984464265</f>
        <v>-900.31809410091194</v>
      </c>
      <c r="R1847" t="s">
        <v>20429</v>
      </c>
      <c r="S1847" t="s">
        <v>20430</v>
      </c>
      <c r="T1847" t="s">
        <v>20431</v>
      </c>
      <c r="U1847" t="s">
        <v>20432</v>
      </c>
      <c r="V1847">
        <f>-607.028122173391 -142.2561171784 -97.1936989396914</f>
        <v>-846.47793829148247</v>
      </c>
      <c r="W1847" t="s">
        <v>20433</v>
      </c>
      <c r="X1847" t="s">
        <v>20434</v>
      </c>
      <c r="Y1847" t="s">
        <v>20435</v>
      </c>
    </row>
    <row r="1848" spans="1:25" x14ac:dyDescent="0.3">
      <c r="A1848">
        <v>92350</v>
      </c>
      <c r="B1848" t="s">
        <v>20436</v>
      </c>
      <c r="C1848">
        <f>-627.96661354567 -49.8381260421988 -98.5894654213334</f>
        <v>-776.39420500920232</v>
      </c>
      <c r="D1848">
        <f>-645.128016264346 -56.849379051269 -212.924718964263</f>
        <v>-914.90211427987799</v>
      </c>
      <c r="E1848">
        <f>-649.752684523346 -59.1243000018102 -311.413712081124</f>
        <v>-1020.2906966062802</v>
      </c>
      <c r="F1848">
        <f>-650.423253361464 -59.9302295030334 -400.504327480427</f>
        <v>-1110.8578103449245</v>
      </c>
      <c r="G1848">
        <f>-647.2080389782 -59.5118531752798 -489.542149875285</f>
        <v>-1196.2620420287649</v>
      </c>
      <c r="H1848">
        <f>-638.618153468934 -57.7242276041324 -613.815390807481</f>
        <v>-1310.1577718805474</v>
      </c>
      <c r="I1848">
        <f>-613.58834253931 -54.5140362518387 -692.987518462644</f>
        <v>-1361.0898972537925</v>
      </c>
      <c r="J1848">
        <f>-645.454964023718 -30.9714990070463 -558.944080596617</f>
        <v>-1235.3705436273813</v>
      </c>
      <c r="K1848" t="s">
        <v>20437</v>
      </c>
      <c r="L1848" t="s">
        <v>20438</v>
      </c>
      <c r="M1848" t="s">
        <v>20439</v>
      </c>
      <c r="N1848">
        <f>-639.341370870318 -86.0501316353925 -559.313742708823</f>
        <v>-1284.7052452145335</v>
      </c>
      <c r="O1848">
        <f>-626.70049708102 -219.906104515945 -530.670236662406</f>
        <v>-1377.2768382593708</v>
      </c>
      <c r="P1848">
        <f>-643.912382270987 -276.436442781338 -242.400730898335</f>
        <v>-1162.7495559506599</v>
      </c>
      <c r="Q1848">
        <f>-467.820659095326 -125.459517881328 -307.581692576053</f>
        <v>-900.86186955270705</v>
      </c>
      <c r="R1848" t="s">
        <v>20440</v>
      </c>
      <c r="S1848" t="s">
        <v>20441</v>
      </c>
      <c r="T1848" t="s">
        <v>20442</v>
      </c>
      <c r="U1848" t="s">
        <v>20443</v>
      </c>
      <c r="V1848">
        <f>-606.774933253387 -142.767380767217 -97.1453466115505</f>
        <v>-846.68766063215446</v>
      </c>
      <c r="W1848" t="s">
        <v>20444</v>
      </c>
      <c r="X1848" t="s">
        <v>20445</v>
      </c>
      <c r="Y1848" t="s">
        <v>20446</v>
      </c>
    </row>
    <row r="1849" spans="1:25" x14ac:dyDescent="0.3">
      <c r="A1849">
        <v>92400</v>
      </c>
      <c r="B1849" t="s">
        <v>20447</v>
      </c>
      <c r="C1849">
        <f>-627.988798857246 -49.965341170421 -98.5798420950164</f>
        <v>-776.53398212268337</v>
      </c>
      <c r="D1849">
        <f>-645.270324895096 -57.1304768787302 -212.887470448426</f>
        <v>-915.2882722222522</v>
      </c>
      <c r="E1849">
        <f>-650.068487568887 -59.4707362313064 -311.366606924803</f>
        <v>-1020.9058307249965</v>
      </c>
      <c r="F1849">
        <f>-650.922937729693 -60.3089783849658 -400.455506383758</f>
        <v>-1111.6874224984167</v>
      </c>
      <c r="G1849">
        <f>-647.918053681448 -59.8946166012672 -489.500543050402</f>
        <v>-1197.3132133331171</v>
      </c>
      <c r="H1849">
        <f>-639.649219156097 -58.0813936244209 -613.795324199163</f>
        <v>-1311.5259369796809</v>
      </c>
      <c r="I1849">
        <f>-615.272551923765 -54.9352685710929 -693.173499060125</f>
        <v>-1363.3813195549828</v>
      </c>
      <c r="J1849">
        <f>-646.433879241662 -31.3500947698089 -558.906985933846</f>
        <v>-1236.690959945317</v>
      </c>
      <c r="K1849" t="s">
        <v>20448</v>
      </c>
      <c r="L1849" t="s">
        <v>20449</v>
      </c>
      <c r="M1849" t="s">
        <v>20450</v>
      </c>
      <c r="N1849">
        <f>-640.142046957285 -86.4084898571151 -559.291678525073</f>
        <v>-1285.8422153394731</v>
      </c>
      <c r="O1849">
        <f>-626.974829040818 -220.214897185385 -530.637473324607</f>
        <v>-1377.8271995508098</v>
      </c>
      <c r="P1849">
        <f>-643.255320842377 -276.909217988859 -242.346048760542</f>
        <v>-1162.5105875917782</v>
      </c>
      <c r="Q1849">
        <f>-467.75082470294 -125.523674662329 -308.159872530268</f>
        <v>-901.43437189553697</v>
      </c>
      <c r="R1849" t="s">
        <v>20451</v>
      </c>
      <c r="S1849" t="s">
        <v>20452</v>
      </c>
      <c r="T1849" t="s">
        <v>20453</v>
      </c>
      <c r="U1849" t="s">
        <v>20454</v>
      </c>
      <c r="V1849">
        <f>-606.59926161634 -142.758657655587 -97.0954335408297</f>
        <v>-846.45335281275663</v>
      </c>
      <c r="W1849" t="s">
        <v>20455</v>
      </c>
      <c r="X1849" t="s">
        <v>20456</v>
      </c>
      <c r="Y1849" t="s">
        <v>20457</v>
      </c>
    </row>
    <row r="1850" spans="1:25" x14ac:dyDescent="0.3">
      <c r="A1850">
        <v>92450</v>
      </c>
      <c r="B1850" t="s">
        <v>20458</v>
      </c>
      <c r="C1850">
        <f>-628.087510293377 -49.8237505995735 -98.5979933131272</f>
        <v>-776.50925420607769</v>
      </c>
      <c r="D1850">
        <f>-645.441380254833 -57.0506728349801 -212.890772412413</f>
        <v>-915.38282550222607</v>
      </c>
      <c r="E1850">
        <f>-650.358209904092 -59.4169552252023 -311.363538735589</f>
        <v>-1021.1387038648832</v>
      </c>
      <c r="F1850">
        <f>-651.34209761945 -60.2676425597095 -400.450788221256</f>
        <v>-1112.0605284004155</v>
      </c>
      <c r="G1850">
        <f>-648.488807505786 -59.8527225813552 -489.50104902639</f>
        <v>-1197.8425791135312</v>
      </c>
      <c r="H1850">
        <f>-640.454517454265 -58.0249965091563 -613.810714357826</f>
        <v>-1312.2902283212472</v>
      </c>
      <c r="I1850">
        <f>-616.37763811899 -54.9058910640547 -693.281486082032</f>
        <v>-1364.5650152650767</v>
      </c>
      <c r="J1850">
        <f>-647.184557019475 -31.3056403402659 -558.909942288323</f>
        <v>-1237.4001396480639</v>
      </c>
      <c r="K1850" t="s">
        <v>20459</v>
      </c>
      <c r="L1850" t="s">
        <v>20460</v>
      </c>
      <c r="M1850" t="s">
        <v>20461</v>
      </c>
      <c r="N1850">
        <f>-640.795422237602 -86.352831620219 -559.306372336224</f>
        <v>-1286.454626194045</v>
      </c>
      <c r="O1850">
        <f>-627.343029063516 -220.127740682157 -530.628079178236</f>
        <v>-1378.0988489239089</v>
      </c>
      <c r="P1850">
        <f>-643.267199862417 -276.772943492925 -242.307052301824</f>
        <v>-1162.3471956571661</v>
      </c>
      <c r="Q1850">
        <f>-468.299521540192 -124.992663872566 -308.63908859216</f>
        <v>-901.93127400491812</v>
      </c>
      <c r="R1850" t="s">
        <v>20462</v>
      </c>
      <c r="S1850" t="s">
        <v>20463</v>
      </c>
      <c r="T1850" t="s">
        <v>20464</v>
      </c>
      <c r="U1850" t="s">
        <v>20465</v>
      </c>
      <c r="V1850">
        <f>-606.509543510687 -142.491655101447 -97.0909747116748</f>
        <v>-846.09217332380877</v>
      </c>
      <c r="W1850" t="s">
        <v>20466</v>
      </c>
      <c r="X1850" t="s">
        <v>20467</v>
      </c>
      <c r="Y1850" t="s">
        <v>20468</v>
      </c>
    </row>
    <row r="1851" spans="1:25" x14ac:dyDescent="0.3">
      <c r="A1851">
        <v>92500</v>
      </c>
      <c r="B1851" t="s">
        <v>20469</v>
      </c>
      <c r="C1851">
        <f>-628.137205830587 -50.0229376732897 -98.6298202062382</f>
        <v>-776.78996371011488</v>
      </c>
      <c r="D1851">
        <f>-645.602123665855 -57.3221780638876 -212.901131111612</f>
        <v>-915.82543284135454</v>
      </c>
      <c r="E1851">
        <f>-650.752656330614 -59.7399517851376 -311.360686639012</f>
        <v>-1021.8532947547635</v>
      </c>
      <c r="F1851">
        <f>-652.003762362665 -60.6306297364201 -400.444220377506</f>
        <v>-1113.0786124765912</v>
      </c>
      <c r="G1851">
        <f>-649.473443945327 -60.2466344898475 -489.504311237276</f>
        <v>-1199.2243896724503</v>
      </c>
      <c r="H1851">
        <f>-641.948716807942 -58.449789730852 -613.846366839328</f>
        <v>-1314.2448733781221</v>
      </c>
      <c r="I1851">
        <f>-618.40319219532 -55.460207397014 -693.481125128644</f>
        <v>-1367.3445247209779</v>
      </c>
      <c r="J1851">
        <f>-648.545889199315 -31.727656773644 -558.930878461574</f>
        <v>-1239.2044244345329</v>
      </c>
      <c r="K1851" t="s">
        <v>20470</v>
      </c>
      <c r="L1851" t="s">
        <v>20471</v>
      </c>
      <c r="M1851" t="s">
        <v>20472</v>
      </c>
      <c r="N1851">
        <f>-641.974033169219 -86.7533024112569 -559.328232342829</f>
        <v>-1288.0555679233048</v>
      </c>
      <c r="O1851">
        <f>-627.993223040943 -220.45479954453 -530.631586284377</f>
        <v>-1379.0796088698501</v>
      </c>
      <c r="P1851">
        <f>-642.862858356396 -277.006472113867 -242.235940113061</f>
        <v>-1162.105270583324</v>
      </c>
      <c r="Q1851">
        <f>-469.064123306153 -124.088250810461 -309.025918662884</f>
        <v>-902.17829277949807</v>
      </c>
      <c r="R1851" t="s">
        <v>20473</v>
      </c>
      <c r="S1851" t="s">
        <v>20474</v>
      </c>
      <c r="T1851" t="s">
        <v>20475</v>
      </c>
      <c r="U1851" t="s">
        <v>20476</v>
      </c>
      <c r="V1851">
        <f>-606.413948261195 -142.693991230585 -97.0916359266724</f>
        <v>-846.19957541845235</v>
      </c>
      <c r="W1851" t="s">
        <v>20477</v>
      </c>
      <c r="X1851" t="s">
        <v>20478</v>
      </c>
      <c r="Y1851" t="s">
        <v>20479</v>
      </c>
    </row>
    <row r="1852" spans="1:25" x14ac:dyDescent="0.3">
      <c r="A1852">
        <v>92550</v>
      </c>
      <c r="B1852" t="s">
        <v>20480</v>
      </c>
      <c r="C1852">
        <f>-628.15571794189 -50.3256253180017 -98.635834906987</f>
        <v>-777.11717816687872</v>
      </c>
      <c r="D1852">
        <f>-645.658515654902 -57.6477287440574 -212.899765906203</f>
        <v>-916.20601030516241</v>
      </c>
      <c r="E1852">
        <f>-650.893437843915 -60.091831096737 -311.354263740477</f>
        <v>-1022.339532681129</v>
      </c>
      <c r="F1852">
        <f>-652.241928151721 -61.0083739080545 -400.436084654618</f>
        <v>-1113.6863867143936</v>
      </c>
      <c r="G1852">
        <f>-649.830250573929 -60.6505860165046 -489.499576267562</f>
        <v>-1199.9804128579956</v>
      </c>
      <c r="H1852">
        <f>-642.493498652323 -58.8903476949409 -613.853474528684</f>
        <v>-1315.2373208759479</v>
      </c>
      <c r="I1852">
        <f>-619.151768815351 -55.9874606554819 -693.551448727018</f>
        <v>-1368.690678197851</v>
      </c>
      <c r="J1852">
        <f>-649.047091405579 -32.1568226647075 -558.938320863278</f>
        <v>-1240.1422349335644</v>
      </c>
      <c r="K1852" t="s">
        <v>20481</v>
      </c>
      <c r="L1852" t="s">
        <v>20482</v>
      </c>
      <c r="M1852" t="s">
        <v>20483</v>
      </c>
      <c r="N1852">
        <f>-642.39691589197 -87.1730895288765 -559.324711725914</f>
        <v>-1288.8947171467605</v>
      </c>
      <c r="O1852">
        <f>-628.175181998225 -220.86334662402 -530.641157057045</f>
        <v>-1379.6796856792898</v>
      </c>
      <c r="P1852">
        <f>-642.393019295246 -277.781663080448 -242.284871600315</f>
        <v>-1162.4595539760089</v>
      </c>
      <c r="Q1852">
        <f>-469.520302761979 -123.727452104469 -308.867159696098</f>
        <v>-902.11491456254589</v>
      </c>
      <c r="R1852" t="s">
        <v>20484</v>
      </c>
      <c r="S1852" t="s">
        <v>20485</v>
      </c>
      <c r="T1852" t="s">
        <v>20486</v>
      </c>
      <c r="U1852" t="s">
        <v>20487</v>
      </c>
      <c r="V1852">
        <f>-606.410697277776 -143.081000445824 -97.1078987277912</f>
        <v>-846.59959645139111</v>
      </c>
      <c r="W1852" t="s">
        <v>20488</v>
      </c>
      <c r="X1852" t="s">
        <v>20489</v>
      </c>
      <c r="Y1852" t="s">
        <v>20490</v>
      </c>
    </row>
    <row r="1853" spans="1:25" x14ac:dyDescent="0.3">
      <c r="A1853">
        <v>92600</v>
      </c>
      <c r="B1853" t="s">
        <v>20491</v>
      </c>
      <c r="C1853">
        <f>-628.280153414023 -50.8490404700003 -98.6393577198459</f>
        <v>-777.76855160386913</v>
      </c>
      <c r="D1853">
        <f>-645.882209377717 -58.2046452845788 -212.886051343996</f>
        <v>-916.97290600629174</v>
      </c>
      <c r="E1853">
        <f>-651.302413608731 -60.6980711779288 -311.32908325191</f>
        <v>-1023.3295680385697</v>
      </c>
      <c r="F1853">
        <f>-652.859088258566 -61.6657799109554 -400.407145681083</f>
        <v>-1114.9320138506043</v>
      </c>
      <c r="G1853">
        <f>-650.696421123443 -61.3640287787382 -489.477184908397</f>
        <v>-1201.5376348105783</v>
      </c>
      <c r="H1853">
        <f>-643.750564804691 -59.6855760778252 -613.854647892466</f>
        <v>-1317.290788774982</v>
      </c>
      <c r="I1853">
        <f>-620.708129749753 -56.9410071520076 -693.645207608535</f>
        <v>-1371.2943445102956</v>
      </c>
      <c r="J1853">
        <f>-650.174043060427 -32.9211244720545 -558.93905322171</f>
        <v>-1242.0342207541917</v>
      </c>
      <c r="K1853" t="s">
        <v>20492</v>
      </c>
      <c r="L1853" t="s">
        <v>20493</v>
      </c>
      <c r="M1853" t="s">
        <v>20494</v>
      </c>
      <c r="N1853">
        <f>-643.440089872782 -87.9272761742272 -559.30540399723</f>
        <v>-1290.6727700442393</v>
      </c>
      <c r="O1853">
        <f>-628.985583979496 -221.607564877526 -530.711232417996</f>
        <v>-1381.3043812750179</v>
      </c>
      <c r="P1853">
        <f>-641.990309507613 -278.934658125606 -242.378682088342</f>
        <v>-1163.303649721561</v>
      </c>
      <c r="Q1853">
        <f>-469.997494540263 -123.837248162258 -308.817748502996</f>
        <v>-902.65249120551698</v>
      </c>
      <c r="R1853" t="s">
        <v>20495</v>
      </c>
      <c r="S1853" t="s">
        <v>20496</v>
      </c>
      <c r="T1853" t="s">
        <v>20497</v>
      </c>
      <c r="U1853" t="s">
        <v>20498</v>
      </c>
      <c r="V1853">
        <f>-606.518046357427 -143.662434755582 -97.1038822421326</f>
        <v>-847.28436335514164</v>
      </c>
      <c r="W1853" t="s">
        <v>20499</v>
      </c>
      <c r="X1853" t="s">
        <v>20500</v>
      </c>
      <c r="Y1853" t="s">
        <v>20501</v>
      </c>
    </row>
    <row r="1854" spans="1:25" x14ac:dyDescent="0.3">
      <c r="A1854">
        <v>92650</v>
      </c>
      <c r="B1854" t="s">
        <v>20502</v>
      </c>
      <c r="C1854">
        <f>-628.31303764749 -51.0420021376458 -98.6441888944138</f>
        <v>-777.99922867954956</v>
      </c>
      <c r="D1854">
        <f>-645.965686326696 -58.4177456817554 -212.881719817327</f>
        <v>-917.26515182577828</v>
      </c>
      <c r="E1854">
        <f>-651.492169859206 -60.9346777934701 -311.31838714456</f>
        <v>-1023.7452347972361</v>
      </c>
      <c r="F1854">
        <f>-653.170102839138 -61.9260158414302 -400.393957105317</f>
        <v>-1115.4900757858852</v>
      </c>
      <c r="G1854">
        <f>-651.153790929119 -61.6495286907898 -489.467429155558</f>
        <v>-1202.2707487754669</v>
      </c>
      <c r="H1854">
        <f>-644.438542182823 -60.0083247620539 -613.858039604297</f>
        <v>-1318.3049065491739</v>
      </c>
      <c r="I1854">
        <f>-621.508115641533 -57.339115388189 -693.683409916963</f>
        <v>-1372.530640946685</v>
      </c>
      <c r="J1854">
        <f>-650.758760219878 -33.2271393450571 -558.938642016702</f>
        <v>-1242.9245415816372</v>
      </c>
      <c r="K1854" t="s">
        <v>20503</v>
      </c>
      <c r="L1854" t="s">
        <v>20504</v>
      </c>
      <c r="M1854" t="s">
        <v>20505</v>
      </c>
      <c r="N1854">
        <f>-644.028407663272 -88.2337972344799 -559.30106700417</f>
        <v>-1291.5632719019218</v>
      </c>
      <c r="O1854">
        <f>-629.545506131572 -221.916513022008 -530.702208055153</f>
        <v>-1382.1642272087329</v>
      </c>
      <c r="P1854">
        <f>-642.09905226768 -279.370923098876 -242.374984097805</f>
        <v>-1163.844959464361</v>
      </c>
      <c r="Q1854">
        <f>-470.358370748599 -124.035833437444 -308.910864637491</f>
        <v>-903.30506882353393</v>
      </c>
      <c r="R1854" t="s">
        <v>20506</v>
      </c>
      <c r="S1854" t="s">
        <v>20507</v>
      </c>
      <c r="T1854" t="s">
        <v>20508</v>
      </c>
      <c r="U1854" t="s">
        <v>20509</v>
      </c>
      <c r="V1854">
        <f>-606.508126526669 -143.842383958876 -97.1058838757692</f>
        <v>-847.45639436131421</v>
      </c>
      <c r="W1854" t="s">
        <v>20510</v>
      </c>
      <c r="X1854" t="s">
        <v>20511</v>
      </c>
      <c r="Y1854" t="s">
        <v>20512</v>
      </c>
    </row>
    <row r="1855" spans="1:25" x14ac:dyDescent="0.3">
      <c r="A1855">
        <v>92700</v>
      </c>
      <c r="B1855" t="s">
        <v>20513</v>
      </c>
      <c r="C1855">
        <f>-628.523634964556 -51.1648351667662 -98.6681032917334</f>
        <v>-778.35657342305558</v>
      </c>
      <c r="D1855">
        <f>-646.263492165311 -58.5947670636244 -212.888618325436</f>
        <v>-917.74687755437151</v>
      </c>
      <c r="E1855">
        <f>-651.960480512378 -61.1834609503418 -311.313666131294</f>
        <v>-1024.4576075940138</v>
      </c>
      <c r="F1855">
        <f>-653.830897576689 -62.2495592623034 -400.384472773771</f>
        <v>-1116.4649296127634</v>
      </c>
      <c r="G1855">
        <f>-652.045475566082 -62.0575044602175 -489.463210604499</f>
        <v>-1203.5661906307985</v>
      </c>
      <c r="H1855">
        <f>-645.692538008052 -60.5440999793913 -613.874451120769</f>
        <v>-1320.1110891082121</v>
      </c>
      <c r="I1855">
        <f>-622.924950469017 -58.0008740217268 -693.750558126109</f>
        <v>-1374.6763826168526</v>
      </c>
      <c r="J1855">
        <f>-651.827955578899 -33.7034233222064 -558.963207594458</f>
        <v>-1244.4945864955635</v>
      </c>
      <c r="K1855" t="s">
        <v>20514</v>
      </c>
      <c r="L1855" t="s">
        <v>20515</v>
      </c>
      <c r="M1855" t="s">
        <v>20516</v>
      </c>
      <c r="N1855">
        <f>-645.148402390263 -88.7165758715589 -559.291198788792</f>
        <v>-1293.1561770506139</v>
      </c>
      <c r="O1855">
        <f>-630.779815749794 -222.401523758511 -530.661777592075</f>
        <v>-1383.8431171003799</v>
      </c>
      <c r="P1855">
        <f>-643.099989496169 -279.392414265383 -242.232575708391</f>
        <v>-1164.724979469943</v>
      </c>
      <c r="Q1855">
        <f>-471.066200996299 -124.565459590135 -309.19417185485</f>
        <v>-904.82583244128409</v>
      </c>
      <c r="R1855" t="s">
        <v>20517</v>
      </c>
      <c r="S1855" t="s">
        <v>20518</v>
      </c>
      <c r="T1855" t="s">
        <v>20519</v>
      </c>
      <c r="U1855" t="s">
        <v>20520</v>
      </c>
      <c r="V1855">
        <f>-606.666493074337 -144.10148943223 -97.1021498665334</f>
        <v>-847.87013237310043</v>
      </c>
      <c r="W1855" t="s">
        <v>20521</v>
      </c>
      <c r="X1855" t="s">
        <v>20522</v>
      </c>
      <c r="Y1855" t="s">
        <v>20523</v>
      </c>
    </row>
    <row r="1856" spans="1:25" x14ac:dyDescent="0.3">
      <c r="A1856">
        <v>92750</v>
      </c>
      <c r="B1856" t="s">
        <v>20524</v>
      </c>
      <c r="C1856">
        <f>-628.56765574119 -51.2892556799392 -98.6679873296206</f>
        <v>-778.5248987507498</v>
      </c>
      <c r="D1856">
        <f>-646.368205843974 -58.7368406425189 -212.877825605476</f>
        <v>-917.98287209196894</v>
      </c>
      <c r="E1856">
        <f>-652.139042291957 -61.3527980777841 -311.298039057127</f>
        <v>-1024.7898794268681</v>
      </c>
      <c r="F1856">
        <f>-654.085204816631 -62.4478410587752 -400.366714173748</f>
        <v>-1116.8997600491541</v>
      </c>
      <c r="G1856">
        <f>-652.384247642646 -62.2894311521284 -489.447299580815</f>
        <v>-1204.1209783755894</v>
      </c>
      <c r="H1856">
        <f>-646.158693085634 -60.8275641934009 -613.86553771506</f>
        <v>-1320.8517949940949</v>
      </c>
      <c r="I1856">
        <f>-623.443827189115 -58.3336009622586 -693.758271050199</f>
        <v>-1375.5356992015727</v>
      </c>
      <c r="J1856">
        <f>-652.219053075446 -33.962003175134 -558.958135274701</f>
        <v>-1245.1391915252811</v>
      </c>
      <c r="K1856" t="s">
        <v>20525</v>
      </c>
      <c r="L1856" t="s">
        <v>20526</v>
      </c>
      <c r="M1856" t="s">
        <v>20527</v>
      </c>
      <c r="N1856">
        <f>-645.577472177198 -88.9798393736664 -559.272222806634</f>
        <v>-1293.8295343574985</v>
      </c>
      <c r="O1856">
        <f>-631.299521294391 -222.664913452693 -530.591003389929</f>
        <v>-1384.555438137013</v>
      </c>
      <c r="P1856">
        <f>-643.670131330612 -279.473568433712 -242.127955742093</f>
        <v>-1165.2716555064169</v>
      </c>
      <c r="Q1856">
        <f>-471.417489240733 -124.924930457781 -309.169700422882</f>
        <v>-905.51212012139604</v>
      </c>
      <c r="R1856" t="s">
        <v>20528</v>
      </c>
      <c r="S1856" t="s">
        <v>20529</v>
      </c>
      <c r="T1856" t="s">
        <v>20530</v>
      </c>
      <c r="U1856" t="s">
        <v>20531</v>
      </c>
      <c r="V1856">
        <f>-606.754934054191 -144.231490335172 -97.0921593851027</f>
        <v>-848.07858377446576</v>
      </c>
      <c r="W1856" t="s">
        <v>20532</v>
      </c>
      <c r="X1856" t="s">
        <v>20533</v>
      </c>
      <c r="Y1856" t="s">
        <v>20534</v>
      </c>
    </row>
    <row r="1857" spans="1:25" x14ac:dyDescent="0.3">
      <c r="A1857">
        <v>92800</v>
      </c>
      <c r="B1857" t="s">
        <v>20535</v>
      </c>
      <c r="C1857">
        <f>-628.641502193423 -51.3457751533159 -98.6731296827352</f>
        <v>-778.66040702947407</v>
      </c>
      <c r="D1857">
        <f>-646.499500342293 -58.8095020080935 -212.872930199772</f>
        <v>-918.18193255015854</v>
      </c>
      <c r="E1857">
        <f>-652.329963465457 -61.4523901535556 -311.288814354411</f>
        <v>-1025.0711679734236</v>
      </c>
      <c r="F1857">
        <f>-654.334422245117 -62.5763520444542 -400.355968292513</f>
        <v>-1117.2667425820841</v>
      </c>
      <c r="G1857">
        <f>-652.696046436587 -62.4520382474907 -489.437688749619</f>
        <v>-1204.5857734336967</v>
      </c>
      <c r="H1857">
        <f>-646.562529029747 -61.0429321174345 -613.861075180917</f>
        <v>-1321.4665363280985</v>
      </c>
      <c r="I1857">
        <f>-623.86888003567 -58.5962700952857 -693.761320367209</f>
        <v>-1376.2264704981649</v>
      </c>
      <c r="J1857">
        <f>-652.557702086207 -34.1510066583182 -558.959404314483</f>
        <v>-1245.6681130590082</v>
      </c>
      <c r="K1857" t="s">
        <v>20536</v>
      </c>
      <c r="L1857" t="s">
        <v>20537</v>
      </c>
      <c r="M1857" t="s">
        <v>20538</v>
      </c>
      <c r="N1857">
        <f>-645.965411297138 -89.1748526448662 -559.25757198232</f>
        <v>-1294.3978359243242</v>
      </c>
      <c r="O1857">
        <f>-631.803763205832 -222.864056354847 -530.52795826477</f>
        <v>-1385.1957778254489</v>
      </c>
      <c r="P1857">
        <f>-644.201607348572 -279.312865228731 -241.995402953796</f>
        <v>-1165.5098755310989</v>
      </c>
      <c r="Q1857">
        <f>-471.721072137314 -125.080293520581 -309.179247235652</f>
        <v>-905.980612893547</v>
      </c>
      <c r="R1857" t="s">
        <v>20539</v>
      </c>
      <c r="S1857" t="s">
        <v>20540</v>
      </c>
      <c r="T1857" t="s">
        <v>20541</v>
      </c>
      <c r="U1857" t="s">
        <v>20542</v>
      </c>
      <c r="V1857">
        <f>-606.897297877539 -144.30545747905 -97.0745050157528</f>
        <v>-848.27726037234186</v>
      </c>
      <c r="W1857" t="s">
        <v>20543</v>
      </c>
      <c r="X1857" t="s">
        <v>20544</v>
      </c>
      <c r="Y1857" t="s">
        <v>20545</v>
      </c>
    </row>
    <row r="1858" spans="1:25" x14ac:dyDescent="0.3">
      <c r="A1858">
        <v>92850</v>
      </c>
      <c r="B1858" t="s">
        <v>20546</v>
      </c>
      <c r="C1858">
        <f>-628.810980789144 -51.3065466983288 -98.6910132102773</f>
        <v>-778.80854069775012</v>
      </c>
      <c r="D1858">
        <f>-646.760231907533 -58.8021735537108 -212.87438389467</f>
        <v>-918.43678935591379</v>
      </c>
      <c r="E1858">
        <f>-652.710028162879 -61.5130189359683 -311.281262557521</f>
        <v>-1025.5043096563682</v>
      </c>
      <c r="F1858">
        <f>-654.839594408139 -62.7132628872514 -400.344504159144</f>
        <v>-1117.8973614545343</v>
      </c>
      <c r="G1858">
        <f>-653.343633933903 -62.6799098921554 -489.428802210144</f>
        <v>-1205.4523460362025</v>
      </c>
      <c r="H1858">
        <f>-647.42754177698 -61.4135518665752 -613.86444306919</f>
        <v>-1322.705536712745</v>
      </c>
      <c r="I1858">
        <f>-624.731998846523 -59.0692063314848 -693.767021728244</f>
        <v>-1377.5682269062518</v>
      </c>
      <c r="J1858">
        <f>-653.29047275207 -34.454455674691 -558.981373151856</f>
        <v>-1246.726301578617</v>
      </c>
      <c r="K1858" t="s">
        <v>20547</v>
      </c>
      <c r="L1858" t="s">
        <v>20548</v>
      </c>
      <c r="M1858" t="s">
        <v>20549</v>
      </c>
      <c r="N1858">
        <f>-646.771342429314 -89.4872732075979 -559.231436186387</f>
        <v>-1295.4900518232989</v>
      </c>
      <c r="O1858">
        <f>-632.79357588046 -223.169581002575 -530.40001987003</f>
        <v>-1386.3631767530651</v>
      </c>
      <c r="P1858">
        <f>-645.099566395089 -279.037050166891 -241.750344481939</f>
        <v>-1165.886961043919</v>
      </c>
      <c r="Q1858">
        <f>-472.480462036842 -125.270525654494 -309.642413252546</f>
        <v>-907.39340094388206</v>
      </c>
      <c r="R1858" t="s">
        <v>20550</v>
      </c>
      <c r="S1858" t="s">
        <v>20551</v>
      </c>
      <c r="T1858" t="s">
        <v>20552</v>
      </c>
      <c r="U1858" t="s">
        <v>20553</v>
      </c>
      <c r="V1858">
        <f>-607.109954086324 -144.2704870815 -97.0702494271554</f>
        <v>-848.45069059497951</v>
      </c>
      <c r="W1858" t="s">
        <v>20554</v>
      </c>
      <c r="X1858" t="s">
        <v>20555</v>
      </c>
      <c r="Y1858" t="s">
        <v>20556</v>
      </c>
    </row>
    <row r="1859" spans="1:25" x14ac:dyDescent="0.3">
      <c r="A1859">
        <v>92900</v>
      </c>
      <c r="B1859" t="s">
        <v>20557</v>
      </c>
      <c r="C1859">
        <f>-629.038150803889 -51.2200146025591 -98.7063861972244</f>
        <v>-778.96455160367259</v>
      </c>
      <c r="D1859">
        <f>-647.129596580725 -58.7562704025245 -212.864797235263</f>
        <v>-918.7506642185125</v>
      </c>
      <c r="E1859">
        <f>-653.213900059403 -61.545316409138 -311.261157035307</f>
        <v>-1026.0203735038481</v>
      </c>
      <c r="F1859">
        <f>-655.470559938479 -62.8337009930176 -400.320005223729</f>
        <v>-1118.6242661552255</v>
      </c>
      <c r="G1859">
        <f>-654.107334345217 -62.9063761398339 -489.406362576004</f>
        <v>-1206.4200730610551</v>
      </c>
      <c r="H1859">
        <f>-648.382687213932 -61.8065366234069 -613.852630489665</f>
        <v>-1324.0418543270039</v>
      </c>
      <c r="I1859">
        <f>-625.580638456381 -59.5471360179395 -693.727289192717</f>
        <v>-1378.8550636670375</v>
      </c>
      <c r="J1859">
        <f>-654.131447618127 -34.7704614800223 -558.995222549011</f>
        <v>-1247.8971316471602</v>
      </c>
      <c r="K1859" t="s">
        <v>20558</v>
      </c>
      <c r="L1859" t="s">
        <v>20559</v>
      </c>
      <c r="M1859" t="s">
        <v>20560</v>
      </c>
      <c r="N1859">
        <f>-647.672305695511 -89.8105323136576 -559.184609777048</f>
        <v>-1296.6674477862166</v>
      </c>
      <c r="O1859">
        <f>-633.81057004728 -223.478721634639 -530.222170948821</f>
        <v>-1387.51146263074</v>
      </c>
      <c r="P1859">
        <f>-645.701999029229 -278.960684445831 -241.480809053122</f>
        <v>-1166.1434925281819</v>
      </c>
      <c r="Q1859">
        <f>-473.400837886041 -125.042786278047 -309.83622746991</f>
        <v>-908.27985163399808</v>
      </c>
      <c r="R1859" t="s">
        <v>20561</v>
      </c>
      <c r="S1859" t="s">
        <v>20562</v>
      </c>
      <c r="T1859" t="s">
        <v>20563</v>
      </c>
      <c r="U1859" t="s">
        <v>20564</v>
      </c>
      <c r="V1859">
        <f>-607.278932594077 -144.2614088029 -97.0725082952706</f>
        <v>-848.61284969224766</v>
      </c>
      <c r="W1859" t="s">
        <v>20565</v>
      </c>
      <c r="X1859" t="s">
        <v>20566</v>
      </c>
      <c r="Y1859" t="s">
        <v>20567</v>
      </c>
    </row>
    <row r="1860" spans="1:25" x14ac:dyDescent="0.3">
      <c r="A1860">
        <v>92950</v>
      </c>
      <c r="B1860" t="s">
        <v>20568</v>
      </c>
      <c r="C1860">
        <f>-629.163506705523 -51.1781667083819 -98.7038828187796</f>
        <v>-779.04555623268448</v>
      </c>
      <c r="D1860">
        <f>-647.327472423668 -58.7313763381954 -212.849571457139</f>
        <v>-918.90842021900335</v>
      </c>
      <c r="E1860">
        <f>-653.471527964477 -61.5475336916687 -311.241593169101</f>
        <v>-1026.2606548252468</v>
      </c>
      <c r="F1860">
        <f>-655.781292227232 -62.8654144496046 -400.298598778933</f>
        <v>-1118.9453054557696</v>
      </c>
      <c r="G1860">
        <f>-654.470260268341 -62.9726751296199 -489.385709119463</f>
        <v>-1206.828644517424</v>
      </c>
      <c r="H1860">
        <f>-648.817650053068 -61.9269689959075 -613.835591420015</f>
        <v>-1324.5802104689906</v>
      </c>
      <c r="I1860">
        <f>-625.906346751346 -59.6880177553852 -693.67984653373</f>
        <v>-1379.2742110404611</v>
      </c>
      <c r="J1860">
        <f>-654.527795577199 -34.866296778818 -558.986486668136</f>
        <v>-1248.3805790241529</v>
      </c>
      <c r="K1860" t="s">
        <v>20569</v>
      </c>
      <c r="L1860" t="s">
        <v>20570</v>
      </c>
      <c r="M1860" t="s">
        <v>20571</v>
      </c>
      <c r="N1860">
        <f>-648.082366372721 -89.9080637740896 -559.156293071956</f>
        <v>-1297.1467232187665</v>
      </c>
      <c r="O1860">
        <f>-634.246604762904 -223.573349555043 -530.17285763702</f>
        <v>-1387.992811954967</v>
      </c>
      <c r="P1860">
        <f>-645.971610025699 -278.969410670613 -241.408251853156</f>
        <v>-1166.349272549468</v>
      </c>
      <c r="Q1860">
        <f>-474.062382126388 -124.483168828724 -309.467560363647</f>
        <v>-908.013111318759</v>
      </c>
      <c r="R1860" t="s">
        <v>20572</v>
      </c>
      <c r="S1860" t="s">
        <v>20573</v>
      </c>
      <c r="T1860" t="s">
        <v>20574</v>
      </c>
      <c r="U1860" t="s">
        <v>20575</v>
      </c>
      <c r="V1860">
        <f>-607.39661637699 -144.201075923414 -97.0723126140316</f>
        <v>-848.67000491443559</v>
      </c>
      <c r="W1860" t="s">
        <v>20576</v>
      </c>
      <c r="X1860" t="s">
        <v>20577</v>
      </c>
      <c r="Y1860" t="s">
        <v>20578</v>
      </c>
    </row>
    <row r="1861" spans="1:25" x14ac:dyDescent="0.3">
      <c r="A1861">
        <v>93000</v>
      </c>
      <c r="B1861" t="s">
        <v>20579</v>
      </c>
      <c r="C1861">
        <f>-629.387834885601 -50.8879758161486 -98.7095429469554</f>
        <v>-778.98535364870497</v>
      </c>
      <c r="D1861">
        <f>-647.814975318741 -58.5485025573845 -212.805967235483</f>
        <v>-919.16944511160841</v>
      </c>
      <c r="E1861">
        <f>-654.127228943875 -61.4131235435322 -311.185796976429</f>
        <v>-1026.7261494638362</v>
      </c>
      <c r="F1861">
        <f>-656.564523171768 -62.7588228023938 -400.239133435978</f>
        <v>-1119.5624794101398</v>
      </c>
      <c r="G1861">
        <f>-655.356103519834 -62.8789819537026 -489.327597157764</f>
        <v>-1207.5626826313005</v>
      </c>
      <c r="H1861">
        <f>-649.820339556689 -61.8362362503614 -613.782732239153</f>
        <v>-1325.4393080462032</v>
      </c>
      <c r="I1861">
        <f>-626.562126157941 -59.5535743463228 -693.525326036162</f>
        <v>-1379.6410265404256</v>
      </c>
      <c r="J1861">
        <f>-655.474085753616 -34.773685641354 -558.928801930396</f>
        <v>-1249.176573325366</v>
      </c>
      <c r="K1861" t="s">
        <v>20580</v>
      </c>
      <c r="L1861" t="s">
        <v>20581</v>
      </c>
      <c r="M1861" t="s">
        <v>20582</v>
      </c>
      <c r="N1861">
        <f>-649.038629043466 -89.8166163605297 -559.103729613622</f>
        <v>-1297.9589750176178</v>
      </c>
      <c r="O1861">
        <f>-635.227794498093 -223.481288745214 -530.092436103479</f>
        <v>-1388.8015193467859</v>
      </c>
      <c r="P1861">
        <f>-646.391374800335 -278.768390513429 -241.284618736714</f>
        <v>-1166.444384050478</v>
      </c>
      <c r="Q1861">
        <f>-475.239936337876 -123.037437446791 -308.410704864439</f>
        <v>-906.68807864910605</v>
      </c>
      <c r="R1861" t="s">
        <v>20583</v>
      </c>
      <c r="S1861" t="s">
        <v>20584</v>
      </c>
      <c r="T1861" t="s">
        <v>20585</v>
      </c>
      <c r="U1861" t="s">
        <v>20586</v>
      </c>
      <c r="V1861">
        <f>-607.541157562667 -143.739641481007 -97.0788320726787</f>
        <v>-848.3596311163526</v>
      </c>
      <c r="W1861" t="s">
        <v>20587</v>
      </c>
      <c r="X1861" t="s">
        <v>20588</v>
      </c>
      <c r="Y1861" t="s">
        <v>20589</v>
      </c>
    </row>
    <row r="1862" spans="1:25" x14ac:dyDescent="0.3">
      <c r="A1862">
        <v>93050</v>
      </c>
      <c r="B1862" t="s">
        <v>20590</v>
      </c>
      <c r="C1862">
        <f>-629.642942957931 -50.6823968892066 -98.727395720009</f>
        <v>-779.05273556714667</v>
      </c>
      <c r="D1862">
        <f>-648.213217079781 -58.3907003163646 -212.797247974667</f>
        <v>-919.40116537081258</v>
      </c>
      <c r="E1862">
        <f>-654.618020736476 -61.2667524822629 -311.170876742214</f>
        <v>-1027.0556499609529</v>
      </c>
      <c r="F1862">
        <f>-657.126102354849 -62.6124256397563 -400.222229076654</f>
        <v>-1119.9607570712592</v>
      </c>
      <c r="G1862">
        <f>-655.975119186361 -62.7224995427255 -489.311620013966</f>
        <v>-1208.0092387430525</v>
      </c>
      <c r="H1862">
        <f>-650.504948728925 -61.6559400940262 -613.769320782275</f>
        <v>-1325.9302096052261</v>
      </c>
      <c r="I1862">
        <f>-627.07783425778 -59.339989006873 -693.46144828158</f>
        <v>-1379.879271546233</v>
      </c>
      <c r="J1862">
        <f>-656.130951911688 -34.6039629905497 -558.907304717171</f>
        <v>-1249.6422196194087</v>
      </c>
      <c r="K1862" t="s">
        <v>20591</v>
      </c>
      <c r="L1862" t="s">
        <v>20592</v>
      </c>
      <c r="M1862" t="s">
        <v>20593</v>
      </c>
      <c r="N1862">
        <f>-649.693214417751 -89.6465486422873 -559.096004810297</f>
        <v>-1298.4357678703354</v>
      </c>
      <c r="O1862">
        <f>-635.812923831635 -223.302543358938 -530.091259904545</f>
        <v>-1389.2067270951179</v>
      </c>
      <c r="P1862">
        <f>-646.611130426045 -278.45667396474 -241.244229836763</f>
        <v>-1166.3120342275479</v>
      </c>
      <c r="Q1862">
        <f>-475.764680006529 -122.316426870625 -308.196153450917</f>
        <v>-906.27726032807095</v>
      </c>
      <c r="R1862" t="s">
        <v>20594</v>
      </c>
      <c r="S1862" t="s">
        <v>20595</v>
      </c>
      <c r="T1862" t="s">
        <v>20596</v>
      </c>
      <c r="U1862" t="s">
        <v>20597</v>
      </c>
      <c r="V1862">
        <f>-607.726454187742 -143.542635969106 -97.0725238044773</f>
        <v>-848.34161396132527</v>
      </c>
      <c r="W1862" t="s">
        <v>20598</v>
      </c>
      <c r="X1862" t="s">
        <v>20599</v>
      </c>
      <c r="Y1862" t="s">
        <v>20600</v>
      </c>
    </row>
    <row r="1863" spans="1:25" x14ac:dyDescent="0.3">
      <c r="A1863">
        <v>93100</v>
      </c>
      <c r="B1863" t="s">
        <v>20601</v>
      </c>
      <c r="C1863">
        <f>-630.17505408951 -50.8870380587719 -98.7485249992994</f>
        <v>-779.8106171475813</v>
      </c>
      <c r="D1863">
        <f>-648.975035838414 -58.6548086892357 -212.776887510597</f>
        <v>-920.40673203824667</v>
      </c>
      <c r="E1863">
        <f>-655.571403436826 -61.512144080166 -311.138292600046</f>
        <v>-1028.221840117038</v>
      </c>
      <c r="F1863">
        <f>-658.248782698955 -62.813946464526 -400.185411143243</f>
        <v>-1121.2481403067241</v>
      </c>
      <c r="G1863">
        <f>-657.262388868347 -62.8535209061251 -489.276636664078</f>
        <v>-1209.3925464385502</v>
      </c>
      <c r="H1863">
        <f>-652.016800496293 -61.6608037212384 -613.743131874908</f>
        <v>-1327.4207360924393</v>
      </c>
      <c r="I1863">
        <f>-628.218192013414 -59.2241093191714 -693.321431516087</f>
        <v>-1380.7637328486724</v>
      </c>
      <c r="J1863">
        <f>-657.56319870673 -34.6667906607136 -558.844361853102</f>
        <v>-1251.0743512205454</v>
      </c>
      <c r="K1863" t="s">
        <v>20602</v>
      </c>
      <c r="L1863" t="s">
        <v>20603</v>
      </c>
      <c r="M1863" t="s">
        <v>20604</v>
      </c>
      <c r="N1863">
        <f>-651.087014272922 -89.7046569419974 -559.098787877489</f>
        <v>-1299.8904590924085</v>
      </c>
      <c r="O1863">
        <f>-637.037090745036 -223.367768095116 -530.210370588242</f>
        <v>-1390.6152294283938</v>
      </c>
      <c r="P1863">
        <f>-646.7552529468 -278.681247972517 -241.355403925673</f>
        <v>-1166.7919048449901</v>
      </c>
      <c r="Q1863">
        <f>-476.692152879388 -121.537354134368 -307.952697011792</f>
        <v>-906.182204025548</v>
      </c>
      <c r="R1863" t="s">
        <v>20605</v>
      </c>
      <c r="S1863" t="s">
        <v>20606</v>
      </c>
      <c r="T1863" t="s">
        <v>20607</v>
      </c>
      <c r="U1863" t="s">
        <v>20608</v>
      </c>
      <c r="V1863">
        <f>-608.09503398255 -143.915373100458 -97.0956302241906</f>
        <v>-849.10603730719856</v>
      </c>
      <c r="W1863" t="s">
        <v>20609</v>
      </c>
      <c r="X1863" t="s">
        <v>20610</v>
      </c>
      <c r="Y1863" t="s">
        <v>20611</v>
      </c>
    </row>
    <row r="1864" spans="1:25" x14ac:dyDescent="0.3">
      <c r="A1864">
        <v>93150</v>
      </c>
      <c r="B1864" t="s">
        <v>20612</v>
      </c>
      <c r="C1864">
        <f>-630.439460822365 -50.9548307219501 -98.716615844602</f>
        <v>-780.1109073889171</v>
      </c>
      <c r="D1864">
        <f>-649.381582712045 -58.7736196412926 -212.71787317974</f>
        <v>-920.87307553307755</v>
      </c>
      <c r="E1864">
        <f>-656.089839121517 -61.6142230278099 -311.072355989414</f>
        <v>-1028.7764181387408</v>
      </c>
      <c r="F1864">
        <f>-658.863080037693 -62.8775997776895 -400.117062943281</f>
        <v>-1121.8577427586633</v>
      </c>
      <c r="G1864">
        <f>-657.966470049439 -62.8556188839156 -489.209219699982</f>
        <v>-1210.0313086333365</v>
      </c>
      <c r="H1864">
        <f>-652.839315614267 -61.5527619755126 -613.679396897821</f>
        <v>-1328.0714744876004</v>
      </c>
      <c r="I1864">
        <f>-628.796188814453 -59.0014520731221 -693.180701654673</f>
        <v>-1380.9783425422481</v>
      </c>
      <c r="J1864">
        <f>-658.352258931098 -34.6094726193489 -558.752455928815</f>
        <v>-1251.7141874792619</v>
      </c>
      <c r="K1864" t="s">
        <v>20613</v>
      </c>
      <c r="L1864" t="s">
        <v>20614</v>
      </c>
      <c r="M1864" t="s">
        <v>20615</v>
      </c>
      <c r="N1864">
        <f>-651.838847497582 -89.6427107594459 -559.060100551408</f>
        <v>-1300.5416588084358</v>
      </c>
      <c r="O1864">
        <f>-637.691116072521 -223.319592435223 -530.280451446235</f>
        <v>-1391.2911599539791</v>
      </c>
      <c r="P1864">
        <f>-646.645783225581 -279.183601925183 -241.50677845634</f>
        <v>-1167.336163607104</v>
      </c>
      <c r="Q1864">
        <f>-477.541008570338 -120.872455853707 -307.779210205553</f>
        <v>-906.19267462959806</v>
      </c>
      <c r="R1864" t="s">
        <v>20616</v>
      </c>
      <c r="S1864" t="s">
        <v>20617</v>
      </c>
      <c r="T1864" t="s">
        <v>20618</v>
      </c>
      <c r="U1864" t="s">
        <v>20619</v>
      </c>
      <c r="V1864">
        <f>-608.304694277849 -143.857143113255 -97.0796457505247</f>
        <v>-849.24148314162869</v>
      </c>
      <c r="W1864" t="s">
        <v>20620</v>
      </c>
      <c r="X1864" t="s">
        <v>20621</v>
      </c>
      <c r="Y1864" t="s">
        <v>20622</v>
      </c>
    </row>
    <row r="1865" spans="1:25" x14ac:dyDescent="0.3">
      <c r="A1865">
        <v>93200</v>
      </c>
      <c r="B1865" t="s">
        <v>20623</v>
      </c>
      <c r="C1865">
        <f>-631.328014047207 -50.7791403931227 -98.6878405913747</f>
        <v>-780.79499503170439</v>
      </c>
      <c r="D1865">
        <f>-650.635748822166 -58.7591143546092 -212.616489742941</f>
        <v>-922.01135291971616</v>
      </c>
      <c r="E1865">
        <f>-657.645463197441 -61.5637951726721 -310.950930414512</f>
        <v>-1030.1601887846252</v>
      </c>
      <c r="F1865">
        <f>-660.682595181969 -62.727968070276 -399.988349420497</f>
        <v>-1123.398912672742</v>
      </c>
      <c r="G1865">
        <f>-660.039238819219 -62.5394979356272 -489.082685563478</f>
        <v>-1211.6614223183242</v>
      </c>
      <c r="H1865">
        <f>-655.253361176048 -60.9343636472405 -613.562856519937</f>
        <v>-1329.7505813432253</v>
      </c>
      <c r="I1865">
        <f>-630.674850945661 -58.0219807187506 -692.887763136507</f>
        <v>-1381.5845948009187</v>
      </c>
      <c r="J1865">
        <f>-660.694540364439 -34.1339824741572 -558.558815601333</f>
        <v>-1253.3873384399292</v>
      </c>
      <c r="K1865" t="s">
        <v>20624</v>
      </c>
      <c r="L1865" t="s">
        <v>20625</v>
      </c>
      <c r="M1865" t="s">
        <v>20626</v>
      </c>
      <c r="N1865">
        <f>-654.02430932474 -89.1473469317522 -559.0118337526</f>
        <v>-1302.1834900090921</v>
      </c>
      <c r="O1865">
        <f>-639.396870598762 -222.843826925935 -530.530584667725</f>
        <v>-1392.7712821924219</v>
      </c>
      <c r="P1865">
        <f>-646.442017304583 -280.607736498863 -242.077942134724</f>
        <v>-1169.1276959381701</v>
      </c>
      <c r="Q1865">
        <f>-480.160106116928 -118.726102421384 -306.850855193011</f>
        <v>-905.73706373132291</v>
      </c>
      <c r="R1865" t="s">
        <v>20627</v>
      </c>
      <c r="S1865" t="s">
        <v>20628</v>
      </c>
      <c r="T1865" t="s">
        <v>20629</v>
      </c>
      <c r="U1865" t="s">
        <v>20630</v>
      </c>
      <c r="V1865">
        <f>-608.883173328869 -143.692023641279 -97.0568043157555</f>
        <v>-849.63200128590347</v>
      </c>
      <c r="W1865" t="s">
        <v>20631</v>
      </c>
      <c r="X1865" t="s">
        <v>20632</v>
      </c>
      <c r="Y1865" t="s">
        <v>20633</v>
      </c>
    </row>
    <row r="1866" spans="1:25" x14ac:dyDescent="0.3">
      <c r="A1866">
        <v>93250</v>
      </c>
      <c r="B1866" t="s">
        <v>20634</v>
      </c>
      <c r="C1866">
        <f>-631.809608567871 -50.8096326430792 -98.7082664420485</f>
        <v>-781.32750765299875</v>
      </c>
      <c r="D1866">
        <f>-651.311288798966 -58.8780700906456 -212.597678142142</f>
        <v>-922.78703703175347</v>
      </c>
      <c r="E1866">
        <f>-658.507807931983 -61.6359138696247 -310.920014824061</f>
        <v>-1031.0637366256688</v>
      </c>
      <c r="F1866">
        <f>-661.719943169717 -62.7089454821909 -399.952321930801</f>
        <v>-1124.3812105827089</v>
      </c>
      <c r="G1866">
        <f>-661.25697306272 -62.3787565353259 -489.047357853349</f>
        <v>-1212.6830874513948</v>
      </c>
      <c r="H1866">
        <f>-656.727473242373 -60.5221736829317 -613.533750153178</f>
        <v>-1330.7833970784827</v>
      </c>
      <c r="I1866">
        <f>-631.905824827353 -57.3381020170983 -692.772374780558</f>
        <v>-1382.0163016250094</v>
      </c>
      <c r="J1866">
        <f>-662.138892614845 -33.8432886824185 -558.467669996406</f>
        <v>-1254.4498512936693</v>
      </c>
      <c r="K1866" t="s">
        <v>20635</v>
      </c>
      <c r="L1866" t="s">
        <v>20636</v>
      </c>
      <c r="M1866" t="s">
        <v>20637</v>
      </c>
      <c r="N1866">
        <f>-655.302448375273 -88.8350566216468 -559.039063390424</f>
        <v>-1303.1765683873437</v>
      </c>
      <c r="O1866">
        <f>-640.188220368899 -222.518211583727 -530.777481222629</f>
        <v>-1393.4839131752551</v>
      </c>
      <c r="P1866">
        <f>-646.147931811186 -281.456085913238 -242.537905591397</f>
        <v>-1170.141923315821</v>
      </c>
      <c r="Q1866">
        <f>-481.707455538183 -117.221644014912 -306.077090562789</f>
        <v>-905.00619011588401</v>
      </c>
      <c r="R1866" t="s">
        <v>20638</v>
      </c>
      <c r="S1866" t="s">
        <v>20639</v>
      </c>
      <c r="T1866" t="s">
        <v>20640</v>
      </c>
      <c r="U1866" t="s">
        <v>20641</v>
      </c>
      <c r="V1866">
        <f>-609.109470846573 -143.7820007133 -97.072786057916</f>
        <v>-849.96425761778903</v>
      </c>
      <c r="W1866" t="s">
        <v>20642</v>
      </c>
      <c r="X1866" t="s">
        <v>20643</v>
      </c>
      <c r="Y1866" t="s">
        <v>20644</v>
      </c>
    </row>
    <row r="1867" spans="1:25" x14ac:dyDescent="0.3">
      <c r="A1867">
        <v>93300</v>
      </c>
      <c r="B1867" t="s">
        <v>20645</v>
      </c>
      <c r="C1867">
        <f>-632.748006405107 -51.2388256014536 -98.8032469288843</f>
        <v>-782.79007893544497</v>
      </c>
      <c r="D1867">
        <f>-652.534043609074 -59.4970202447216 -212.630011813298</f>
        <v>-924.66107566709366</v>
      </c>
      <c r="E1867">
        <f>-660.119692964425 -62.1663276165428 -310.925395682342</f>
        <v>-1033.2114162633097</v>
      </c>
      <c r="F1867">
        <f>-663.73800466017 -63.058269316051 -399.944265346236</f>
        <v>-1126.7405393224569</v>
      </c>
      <c r="G1867">
        <f>-663.734202068492 -62.4409931994653 -489.03894011104</f>
        <v>-1215.2141353789973</v>
      </c>
      <c r="H1867">
        <f>-659.899876493886 -60.069676735277 -613.53987603177</f>
        <v>-1333.5094292609328</v>
      </c>
      <c r="I1867">
        <f>-634.6601326226 -56.2835418287 -692.620015202241</f>
        <v>-1383.5636896535411</v>
      </c>
      <c r="J1867">
        <f>-665.232808833972 -33.6481227571046 -558.342454896053</f>
        <v>-1257.2233864871296</v>
      </c>
      <c r="K1867" t="s">
        <v>20646</v>
      </c>
      <c r="L1867" t="s">
        <v>20647</v>
      </c>
      <c r="M1867" t="s">
        <v>20648</v>
      </c>
      <c r="N1867">
        <f>-657.941447891107 -88.578311052627 -559.164002610428</f>
        <v>-1305.6837615541622</v>
      </c>
      <c r="O1867">
        <f>-641.494228337264 -222.215970797605 -531.487095304604</f>
        <v>-1395.1972944394729</v>
      </c>
      <c r="P1867">
        <f>-644.904519656375 -283.704116431936 -243.739366473376</f>
        <v>-1172.3480025616871</v>
      </c>
      <c r="Q1867">
        <f>-484.473545304 -114.635408771903 -304.801234214146</f>
        <v>-903.91018829004906</v>
      </c>
      <c r="R1867" t="s">
        <v>20649</v>
      </c>
      <c r="S1867" t="s">
        <v>20650</v>
      </c>
      <c r="T1867" t="s">
        <v>20651</v>
      </c>
      <c r="U1867" t="s">
        <v>20652</v>
      </c>
      <c r="V1867">
        <f>-609.575285404281 -144.316575006688 -97.1103533884855</f>
        <v>-851.00221379945447</v>
      </c>
      <c r="W1867" t="s">
        <v>20653</v>
      </c>
      <c r="X1867" t="s">
        <v>20654</v>
      </c>
      <c r="Y1867" t="s">
        <v>20655</v>
      </c>
    </row>
    <row r="1868" spans="1:25" x14ac:dyDescent="0.3">
      <c r="A1868">
        <v>93350</v>
      </c>
      <c r="B1868" t="s">
        <v>20656</v>
      </c>
      <c r="C1868">
        <f>-633.22967642768 -51.7576591373464 -98.8117486527394</f>
        <v>-783.79908421776588</v>
      </c>
      <c r="D1868">
        <f>-653.102141155326 -60.1072488218218 -212.616767934055</f>
        <v>-925.82615791120281</v>
      </c>
      <c r="E1868">
        <f>-660.863406360715 -62.7526823601335 -310.89914511214</f>
        <v>-1034.5152338329885</v>
      </c>
      <c r="F1868">
        <f>-664.679440534121 -63.5827355102863 -399.910417437645</f>
        <v>-1128.1725934820522</v>
      </c>
      <c r="G1868">
        <f>-664.91159566414 -62.8607621684513 -489.003923847832</f>
        <v>-1216.7762816804234</v>
      </c>
      <c r="H1868">
        <f>-661.446370114559 -60.2972258890137 -613.511927653328</f>
        <v>-1335.2555236569008</v>
      </c>
      <c r="I1868">
        <f>-636.119342933048 -56.26023959648 -692.551635004519</f>
        <v>-1384.9312175340469</v>
      </c>
      <c r="J1868">
        <f>-666.733209996144 -33.9766952061368 -558.261601727079</f>
        <v>-1258.9715069293597</v>
      </c>
      <c r="K1868" t="s">
        <v>20657</v>
      </c>
      <c r="L1868" t="s">
        <v>20658</v>
      </c>
      <c r="M1868" t="s">
        <v>20659</v>
      </c>
      <c r="N1868">
        <f>-659.209398749274 -88.8738929768089 -559.182491260568</f>
        <v>-1307.2657829866507</v>
      </c>
      <c r="O1868">
        <f>-642.106921294431 -222.486063131409 -531.787026974172</f>
        <v>-1396.3800114000119</v>
      </c>
      <c r="P1868">
        <f>-644.109908445519 -284.956812567274 -244.237738195815</f>
        <v>-1173.304459208608</v>
      </c>
      <c r="Q1868">
        <f>-485.283448514877 -114.088157775542 -304.478397271952</f>
        <v>-903.85000356237106</v>
      </c>
      <c r="R1868" t="s">
        <v>20660</v>
      </c>
      <c r="S1868" t="s">
        <v>20661</v>
      </c>
      <c r="T1868" t="s">
        <v>20662</v>
      </c>
      <c r="U1868" t="s">
        <v>20663</v>
      </c>
      <c r="V1868">
        <f>-609.830348235083 -144.980349811921 -97.122196453349</f>
        <v>-851.93289450035297</v>
      </c>
      <c r="W1868" t="s">
        <v>20664</v>
      </c>
      <c r="X1868" t="s">
        <v>20665</v>
      </c>
      <c r="Y1868" t="s">
        <v>20666</v>
      </c>
    </row>
    <row r="1869" spans="1:25" x14ac:dyDescent="0.3">
      <c r="A1869">
        <v>93400</v>
      </c>
      <c r="B1869" t="s">
        <v>20667</v>
      </c>
      <c r="C1869">
        <f>-634.38325974561 -52.4090189616127 -98.8285417029276</f>
        <v>-785.62082041015026</v>
      </c>
      <c r="D1869">
        <f>-654.423163150085 -60.941332022099 -212.590688301969</f>
        <v>-927.95518347415305</v>
      </c>
      <c r="E1869">
        <f>-662.446659912128 -63.5864182646346 -310.852059365115</f>
        <v>-1036.8851375418776</v>
      </c>
      <c r="F1869">
        <f>-666.54326585913 -64.3572018125641 -399.851309284223</f>
        <v>-1130.7517769559172</v>
      </c>
      <c r="G1869">
        <f>-667.098309211544 -63.514527550522 -488.942344450825</f>
        <v>-1219.5551812128911</v>
      </c>
      <c r="H1869">
        <f>-664.126741554452 -60.7175648893013 -613.457979520683</f>
        <v>-1338.3022859644364</v>
      </c>
      <c r="I1869">
        <f>-638.743024130562 -56.2777330032709 -692.457941670475</f>
        <v>-1387.4786988043079</v>
      </c>
      <c r="J1869">
        <f>-669.367536678371 -34.5248681994094 -558.142729781032</f>
        <v>-1262.0351346588125</v>
      </c>
      <c r="K1869" t="s">
        <v>20668</v>
      </c>
      <c r="L1869" t="s">
        <v>20669</v>
      </c>
      <c r="M1869" t="s">
        <v>20670</v>
      </c>
      <c r="N1869">
        <f>-661.501265470628 -89.3718803242274 -559.186896081252</f>
        <v>-1310.0600418761073</v>
      </c>
      <c r="O1869">
        <f>-643.371904275121 -222.93695407379 -532.172036805001</f>
        <v>-1398.4808951539119</v>
      </c>
      <c r="P1869">
        <f>-642.908920547166 -286.797020060867 -244.921316096487</f>
        <v>-1174.6272567045201</v>
      </c>
      <c r="Q1869">
        <f>-487.95298422041 -111.902735977133 -303.67092600443</f>
        <v>-903.52664620197288</v>
      </c>
      <c r="R1869" t="s">
        <v>20671</v>
      </c>
      <c r="S1869" t="s">
        <v>20672</v>
      </c>
      <c r="T1869" t="s">
        <v>20673</v>
      </c>
      <c r="U1869" t="s">
        <v>20674</v>
      </c>
      <c r="V1869">
        <f>-610.522900155986 -145.585032154 -97.1483578992593</f>
        <v>-853.25629020924532</v>
      </c>
      <c r="W1869" t="s">
        <v>20675</v>
      </c>
      <c r="X1869" t="s">
        <v>20676</v>
      </c>
      <c r="Y1869" t="s">
        <v>20677</v>
      </c>
    </row>
    <row r="1870" spans="1:25" x14ac:dyDescent="0.3">
      <c r="A1870">
        <v>93450</v>
      </c>
      <c r="B1870" t="s">
        <v>20678</v>
      </c>
      <c r="C1870">
        <f>-635.059478316008 -52.7009202273408 -98.8325475350088</f>
        <v>-786.59294607835761</v>
      </c>
      <c r="D1870">
        <f>-655.141379741161 -61.2863907100339 -212.583315157372</f>
        <v>-929.01108560856687</v>
      </c>
      <c r="E1870">
        <f>-663.236305410031 -63.9207216018887 -310.839031806807</f>
        <v>-1037.9960588187266</v>
      </c>
      <c r="F1870">
        <f>-667.410620583257 -64.6603571207036 -399.834982772263</f>
        <v>-1131.9059604762235</v>
      </c>
      <c r="G1870">
        <f>-668.055718093281 -63.7641930124837 -488.924910115469</f>
        <v>-1220.7448212212337</v>
      </c>
      <c r="H1870">
        <f>-665.222391257677 -60.8689279257857 -613.441535559881</f>
        <v>-1339.5328547433437</v>
      </c>
      <c r="I1870">
        <f>-639.812969998433 -56.2610741964006 -692.423527591563</f>
        <v>-1388.4975717863967</v>
      </c>
      <c r="J1870">
        <f>-670.467766714485 -34.7293836696347 -558.101491602465</f>
        <v>-1263.2986419865847</v>
      </c>
      <c r="K1870" t="s">
        <v>20679</v>
      </c>
      <c r="L1870" t="s">
        <v>20680</v>
      </c>
      <c r="M1870" t="s">
        <v>20681</v>
      </c>
      <c r="N1870">
        <f>-662.470663352 -89.5565450781617 -559.194332776103</f>
        <v>-1311.2215412062646</v>
      </c>
      <c r="O1870">
        <f>-643.958105615675 -223.102981483443 -532.32759540949</f>
        <v>-1399.3886825086079</v>
      </c>
      <c r="P1870">
        <f>-643.057826910082 -286.99510408627 -245.085263241054</f>
        <v>-1175.138194237406</v>
      </c>
      <c r="Q1870">
        <f>-488.949886434211 -111.212824214175 -303.413581147763</f>
        <v>-903.57629179614901</v>
      </c>
      <c r="R1870" t="s">
        <v>20682</v>
      </c>
      <c r="S1870" t="s">
        <v>20683</v>
      </c>
      <c r="T1870" t="s">
        <v>20684</v>
      </c>
      <c r="U1870" t="s">
        <v>20685</v>
      </c>
      <c r="V1870">
        <f>-610.965334457674 -146.020244278149 -97.1681526844561</f>
        <v>-854.15373142027909</v>
      </c>
      <c r="W1870" t="s">
        <v>20686</v>
      </c>
      <c r="X1870" t="s">
        <v>20687</v>
      </c>
      <c r="Y1870" t="s">
        <v>20688</v>
      </c>
    </row>
    <row r="1871" spans="1:25" x14ac:dyDescent="0.3">
      <c r="A1871">
        <v>93500</v>
      </c>
      <c r="B1871" t="s">
        <v>20689</v>
      </c>
      <c r="C1871">
        <f>-636.27264004004 -52.9595506126941 -98.8099896858976</f>
        <v>-788.04218033863162</v>
      </c>
      <c r="D1871">
        <f>-656.402993537888 -61.6066223041014 -212.54754159621</f>
        <v>-930.55715743819951</v>
      </c>
      <c r="E1871">
        <f>-664.572053455868 -64.2315456424099 -310.797354216706</f>
        <v>-1039.6009533149838</v>
      </c>
      <c r="F1871">
        <f>-668.824620205021 -64.9398974361105 -399.789868408947</f>
        <v>-1133.5543860500784</v>
      </c>
      <c r="G1871">
        <f>-669.558817829009 -63.9886082278432 -488.878516823245</f>
        <v>-1222.4259428800972</v>
      </c>
      <c r="H1871">
        <f>-666.860774719223 -60.9913604188698 -613.395714908839</f>
        <v>-1341.2478500469317</v>
      </c>
      <c r="I1871">
        <f>-641.425320264637 -56.124358176409 -692.353908977705</f>
        <v>-1389.9035874187512</v>
      </c>
      <c r="J1871">
        <f>-672.135270718727 -34.9102539929863 -558.030989840117</f>
        <v>-1265.0765145518303</v>
      </c>
      <c r="K1871" t="s">
        <v>20690</v>
      </c>
      <c r="L1871" t="s">
        <v>20691</v>
      </c>
      <c r="M1871" t="s">
        <v>20692</v>
      </c>
      <c r="N1871">
        <f>-663.960907502033 -89.7102590546143 -559.172962539925</f>
        <v>-1312.8441290965725</v>
      </c>
      <c r="O1871">
        <f>-645.07290151399 -223.253339769942 -532.521636003983</f>
        <v>-1400.8478772879148</v>
      </c>
      <c r="P1871">
        <f>-645.463438337331 -285.690414690012 -244.958280691643</f>
        <v>-1176.1121337189861</v>
      </c>
      <c r="Q1871">
        <f>-488.401226214305 -112.871431052205 -304.253761794359</f>
        <v>-905.52641906086899</v>
      </c>
      <c r="R1871" t="s">
        <v>20693</v>
      </c>
      <c r="S1871" t="s">
        <v>20694</v>
      </c>
      <c r="T1871" t="s">
        <v>20695</v>
      </c>
      <c r="U1871" t="s">
        <v>20696</v>
      </c>
      <c r="V1871">
        <f>-611.792033570974 -146.225906705305 -97.1616747641086</f>
        <v>-855.1796150403876</v>
      </c>
      <c r="W1871" t="s">
        <v>20697</v>
      </c>
      <c r="X1871" t="s">
        <v>20698</v>
      </c>
      <c r="Y1871" t="s">
        <v>20699</v>
      </c>
    </row>
    <row r="1872" spans="1:25" x14ac:dyDescent="0.3">
      <c r="A1872">
        <v>93550</v>
      </c>
      <c r="B1872" t="s">
        <v>20700</v>
      </c>
      <c r="C1872">
        <f>-636.743494162025 -53.0014904474435 -98.7870148793365</f>
        <v>-788.53199948880501</v>
      </c>
      <c r="D1872">
        <f>-656.929376502677 -61.6907375127362 -212.511455844048</f>
        <v>-931.13156985946114</v>
      </c>
      <c r="E1872">
        <f>-665.136581231718 -64.2903377091562 -310.758721066666</f>
        <v>-1040.1856400075403</v>
      </c>
      <c r="F1872">
        <f>-669.418850886952 -64.9513933369495 -399.750130157929</f>
        <v>-1134.1203743818305</v>
      </c>
      <c r="G1872">
        <f>-670.177446904381 -63.9279358597595 -488.837855101206</f>
        <v>-1222.9432378653464</v>
      </c>
      <c r="H1872">
        <f>-667.507631555667 -60.8038190836685 -613.352643287455</f>
        <v>-1341.6640939267904</v>
      </c>
      <c r="I1872">
        <f>-642.047984307144 -55.7856366780494 -692.293502926523</f>
        <v>-1390.1271239117164</v>
      </c>
      <c r="J1872">
        <f>-672.807332183078 -34.7848303883011 -557.960962662692</f>
        <v>-1265.5531252340711</v>
      </c>
      <c r="K1872" t="s">
        <v>20701</v>
      </c>
      <c r="L1872" t="s">
        <v>20702</v>
      </c>
      <c r="M1872" t="s">
        <v>20703</v>
      </c>
      <c r="N1872">
        <f>-664.557624828332 -89.5723735678851 -559.158776737363</f>
        <v>-1313.2887751335802</v>
      </c>
      <c r="O1872">
        <f>-645.520988353238 -223.109363182071 -532.577792792941</f>
        <v>-1401.20814432825</v>
      </c>
      <c r="P1872">
        <f>-647.638254439048 -284.178117757343 -244.728358760321</f>
        <v>-1176.5447309567119</v>
      </c>
      <c r="Q1872">
        <f>-487.647810871316 -114.409528268502 -304.998963201781</f>
        <v>-907.05630234159889</v>
      </c>
      <c r="R1872" t="s">
        <v>20704</v>
      </c>
      <c r="S1872" t="s">
        <v>20705</v>
      </c>
      <c r="T1872" t="s">
        <v>20706</v>
      </c>
      <c r="U1872" t="s">
        <v>20707</v>
      </c>
      <c r="V1872">
        <f>-612.084090079128 -146.274417850867 -97.1631143431348</f>
        <v>-855.52162227312988</v>
      </c>
      <c r="W1872" t="s">
        <v>20708</v>
      </c>
      <c r="X1872" t="s">
        <v>20709</v>
      </c>
      <c r="Y1872" t="s">
        <v>20710</v>
      </c>
    </row>
    <row r="1873" spans="1:25" x14ac:dyDescent="0.3">
      <c r="A1873">
        <v>93600</v>
      </c>
      <c r="B1873" t="s">
        <v>20711</v>
      </c>
      <c r="C1873">
        <f>-637.568729717907 -53.2183533408025 -98.7707234502365</f>
        <v>-789.55780650894599</v>
      </c>
      <c r="D1873">
        <f>-657.868259168823 -62.0159667498273 -212.466677414059</f>
        <v>-932.35090333270932</v>
      </c>
      <c r="E1873">
        <f>-666.168561179374 -64.5681109486425 -310.707327389592</f>
        <v>-1041.4439995176085</v>
      </c>
      <c r="F1873">
        <f>-670.530778439096 -65.1309908908436 -399.695529431839</f>
        <v>-1135.3572987617786</v>
      </c>
      <c r="G1873">
        <f>-671.364031141031 -63.9531690259356 -488.780626444923</f>
        <v>-1224.0978266118896</v>
      </c>
      <c r="H1873">
        <f>-668.791726544238 -60.5543285635724 -613.290283475277</f>
        <v>-1342.6363385830873</v>
      </c>
      <c r="I1873">
        <f>-643.331122927374 -55.2848911818129 -692.21446234401</f>
        <v>-1390.830476453197</v>
      </c>
      <c r="J1873">
        <f>-674.114734498237 -34.667750312592 -557.838841395068</f>
        <v>-1266.621326205897</v>
      </c>
      <c r="K1873" t="s">
        <v>20712</v>
      </c>
      <c r="L1873" t="s">
        <v>20713</v>
      </c>
      <c r="M1873" t="s">
        <v>20714</v>
      </c>
      <c r="N1873">
        <f>-665.732635296124 -89.4322900830093 -559.160603219627</f>
        <v>-1314.3255285987602</v>
      </c>
      <c r="O1873">
        <f>-646.509820762274 -222.964314133691 -532.766829771481</f>
        <v>-1402.240964667446</v>
      </c>
      <c r="P1873">
        <f>-651.99647366953 -280.484453478476 -244.231766070479</f>
        <v>-1176.7126932184851</v>
      </c>
      <c r="Q1873">
        <f>-485.035437434584 -118.329769525802 -306.52730690451</f>
        <v>-909.89251386489605</v>
      </c>
      <c r="R1873" t="s">
        <v>20715</v>
      </c>
      <c r="S1873" t="s">
        <v>20716</v>
      </c>
      <c r="T1873" t="s">
        <v>20717</v>
      </c>
      <c r="U1873" t="s">
        <v>20718</v>
      </c>
      <c r="V1873">
        <f>-612.595514787866 -146.555670191444 -97.1751544342276</f>
        <v>-856.32633941353765</v>
      </c>
      <c r="W1873" t="s">
        <v>20719</v>
      </c>
      <c r="X1873" t="s">
        <v>20720</v>
      </c>
      <c r="Y1873" t="s">
        <v>20721</v>
      </c>
    </row>
    <row r="1874" spans="1:25" x14ac:dyDescent="0.3">
      <c r="A1874">
        <v>93650</v>
      </c>
      <c r="B1874" t="s">
        <v>20722</v>
      </c>
      <c r="C1874">
        <f>-638.014769649531 -53.5782805053835 -98.7764687483021</f>
        <v>-790.36951890321666</v>
      </c>
      <c r="D1874">
        <f>-658.377309070018 -62.4119807140173 -212.458282634249</f>
        <v>-933.24757241828434</v>
      </c>
      <c r="E1874">
        <f>-666.751035309221 -64.9231799476871 -310.69382328854</f>
        <v>-1042.3680385454481</v>
      </c>
      <c r="F1874">
        <f>-671.186138770525 -65.420320857326 -399.678884080201</f>
        <v>-1136.2853437080521</v>
      </c>
      <c r="G1874">
        <f>-672.098457367088 -64.1473584033492 -488.761830390424</f>
        <v>-1225.0076461608612</v>
      </c>
      <c r="H1874">
        <f>-669.642475123775 -60.5844704798093 -613.269228329064</f>
        <v>-1343.4961739326482</v>
      </c>
      <c r="I1874">
        <f>-644.166611356915 -55.2030114065376 -692.1809137525</f>
        <v>-1391.5505365159527</v>
      </c>
      <c r="J1874">
        <f>-674.958836026222 -34.7779165389045 -557.77989932024</f>
        <v>-1267.5166518853666</v>
      </c>
      <c r="K1874" t="s">
        <v>20723</v>
      </c>
      <c r="L1874" t="s">
        <v>20724</v>
      </c>
      <c r="M1874" t="s">
        <v>20725</v>
      </c>
      <c r="N1874">
        <f>-666.487674639066 -89.5267728610862 -559.179564391754</f>
        <v>-1315.194011891906</v>
      </c>
      <c r="O1874">
        <f>-647.158403290848 -223.068283321432 -532.924289405093</f>
        <v>-1403.1509760173731</v>
      </c>
      <c r="P1874">
        <f>-654.013556688222 -278.579250677638 -244.02525574239</f>
        <v>-1176.61806310825</v>
      </c>
      <c r="Q1874">
        <f>-483.684514287446 -120.454484192349 -307.550308262286</f>
        <v>-911.68930674208104</v>
      </c>
      <c r="R1874" t="s">
        <v>20726</v>
      </c>
      <c r="S1874" t="s">
        <v>20727</v>
      </c>
      <c r="T1874" t="s">
        <v>20728</v>
      </c>
      <c r="U1874" t="s">
        <v>20729</v>
      </c>
      <c r="V1874">
        <f>-612.967528699525 -146.975476922456 -97.1613759767372</f>
        <v>-857.10438159871819</v>
      </c>
      <c r="W1874" t="s">
        <v>20730</v>
      </c>
      <c r="X1874" t="s">
        <v>20731</v>
      </c>
      <c r="Y1874" t="s">
        <v>20732</v>
      </c>
    </row>
    <row r="1875" spans="1:25" x14ac:dyDescent="0.3">
      <c r="A1875">
        <v>93700</v>
      </c>
      <c r="B1875" t="s">
        <v>20733</v>
      </c>
      <c r="C1875">
        <f>-639.157817665506 -54.2856176829512 -98.7749136727518</f>
        <v>-792.21834902120895</v>
      </c>
      <c r="D1875">
        <f>-659.6333696326 -63.1978252311561 -212.4302745574</f>
        <v>-935.26146942115611</v>
      </c>
      <c r="E1875">
        <f>-668.122959913259 -65.6447383257735 -310.657593486872</f>
        <v>-1044.4252917259046</v>
      </c>
      <c r="F1875">
        <f>-672.667789587393 -66.0329644927085 -399.637569224763</f>
        <v>-1138.3383233048646</v>
      </c>
      <c r="G1875">
        <f>-673.694049513041 -64.5983474386812 -488.716937234398</f>
        <v>-1227.0093341861202</v>
      </c>
      <c r="H1875">
        <f>-671.400680599044 -60.7541443198039 -613.219044983499</f>
        <v>-1345.373869902347</v>
      </c>
      <c r="I1875">
        <f>-645.787506590599 -55.1640691277561 -692.071710973473</f>
        <v>-1393.0232866918282</v>
      </c>
      <c r="J1875">
        <f>-676.764005301181 -35.0917081152295 -557.667375928661</f>
        <v>-1269.5230893450716</v>
      </c>
      <c r="K1875" t="s">
        <v>20734</v>
      </c>
      <c r="L1875" t="s">
        <v>20735</v>
      </c>
      <c r="M1875" t="s">
        <v>20736</v>
      </c>
      <c r="N1875">
        <f>-668.055774823335 -89.7999797763694 -559.196175260077</f>
        <v>-1317.0519298597815</v>
      </c>
      <c r="O1875">
        <f>-648.313721703493 -223.340558891289 -533.23257567783</f>
        <v>-1404.886856272612</v>
      </c>
      <c r="P1875">
        <f>-656.656636480909 -275.718029424601 -243.787954229355</f>
        <v>-1176.1626201348649</v>
      </c>
      <c r="Q1875">
        <f>-482.846475766056 -122.213604375362 -309.188781031177</f>
        <v>-914.24886117259496</v>
      </c>
      <c r="R1875" t="s">
        <v>20737</v>
      </c>
      <c r="S1875" t="s">
        <v>20738</v>
      </c>
      <c r="T1875" t="s">
        <v>20739</v>
      </c>
      <c r="U1875" t="s">
        <v>20740</v>
      </c>
      <c r="V1875">
        <f>-613.649881424779 -147.697283046147 -97.19218215562</f>
        <v>-858.53934662654592</v>
      </c>
      <c r="W1875" t="s">
        <v>20741</v>
      </c>
      <c r="X1875" t="s">
        <v>20742</v>
      </c>
      <c r="Y1875" t="s">
        <v>20743</v>
      </c>
    </row>
    <row r="1876" spans="1:25" x14ac:dyDescent="0.3">
      <c r="A1876">
        <v>93750</v>
      </c>
      <c r="B1876" t="s">
        <v>20744</v>
      </c>
      <c r="C1876">
        <f>-639.742499163316 -54.616907129645 -98.7644787564841</f>
        <v>-793.12388504944511</v>
      </c>
      <c r="D1876">
        <f>-660.293827233989 -63.5555189867798 -212.404084770521</f>
        <v>-936.25343099128975</v>
      </c>
      <c r="E1876">
        <f>-668.841047180006 -65.9803629321406 -310.626996385423</f>
        <v>-1045.4484064975695</v>
      </c>
      <c r="F1876">
        <f>-673.434311864067 -66.3319032839586 -399.604586910624</f>
        <v>-1139.3708020586496</v>
      </c>
      <c r="G1876">
        <f>-674.505080105172 -64.8423779233423 -488.682518310722</f>
        <v>-1228.0299763392363</v>
      </c>
      <c r="H1876">
        <f>-672.269636806957 -60.9022748628832 -613.182743863555</f>
        <v>-1346.3546555333951</v>
      </c>
      <c r="I1876">
        <f>-646.531176164734 -55.1899388624111 -691.9857137341</f>
        <v>-1393.7068287612451</v>
      </c>
      <c r="J1876">
        <f>-677.684885211041 -35.2950247283213 -557.610563527491</f>
        <v>-1270.5904734668534</v>
      </c>
      <c r="K1876" t="s">
        <v>20745</v>
      </c>
      <c r="L1876" t="s">
        <v>20746</v>
      </c>
      <c r="M1876" t="s">
        <v>20747</v>
      </c>
      <c r="N1876">
        <f>-668.821728488665 -89.9771472258204 -559.181946891344</f>
        <v>-1317.9808226058294</v>
      </c>
      <c r="O1876">
        <f>-648.815534437077 -223.524436772723 -533.408974433912</f>
        <v>-1405.748945643712</v>
      </c>
      <c r="P1876">
        <f>-657.537097388306 -274.988050454467 -243.811541306501</f>
        <v>-1176.3366891492742</v>
      </c>
      <c r="Q1876">
        <f>-483.357926512116 -122.373193824429 -310.303665064988</f>
        <v>-916.0347854015331</v>
      </c>
      <c r="R1876" t="s">
        <v>20748</v>
      </c>
      <c r="S1876" t="s">
        <v>20749</v>
      </c>
      <c r="T1876" t="s">
        <v>20750</v>
      </c>
      <c r="U1876" t="s">
        <v>20751</v>
      </c>
      <c r="V1876">
        <f>-614.039421615143 -148.053564883606 -97.2053666562072</f>
        <v>-859.2983531549562</v>
      </c>
      <c r="W1876" t="s">
        <v>20752</v>
      </c>
      <c r="X1876" t="s">
        <v>20753</v>
      </c>
      <c r="Y1876" t="s">
        <v>20754</v>
      </c>
    </row>
    <row r="1877" spans="1:25" x14ac:dyDescent="0.3">
      <c r="A1877">
        <v>93800</v>
      </c>
      <c r="B1877" t="s">
        <v>20755</v>
      </c>
      <c r="C1877">
        <f>-640.71959010532 -55.1755729260684 -98.7231741126463</f>
        <v>-794.61833714403474</v>
      </c>
      <c r="D1877">
        <f>-661.520419555405 -64.2388269278724 -212.307522647432</f>
        <v>-938.06676913070942</v>
      </c>
      <c r="E1877">
        <f>-670.21424232558 -66.6517660156151 -310.517782625841</f>
        <v>-1047.383790967036</v>
      </c>
      <c r="F1877">
        <f>-674.910521425567 -66.9479492446876 -399.490314794819</f>
        <v>-1141.3487854650737</v>
      </c>
      <c r="G1877">
        <f>-676.054515430122 -65.3561714878388 -488.565495726357</f>
        <v>-1229.9761826443178</v>
      </c>
      <c r="H1877">
        <f>-673.889668550931 -61.2236773694386 -613.060742467238</f>
        <v>-1348.1740883876078</v>
      </c>
      <c r="I1877">
        <f>-647.801300955892 -55.1837610853252 -691.724122956105</f>
        <v>-1394.7091849973222</v>
      </c>
      <c r="J1877">
        <f>-679.472743368481 -35.7352092690521 -557.450596831568</f>
        <v>-1272.6585494691012</v>
      </c>
      <c r="K1877" t="s">
        <v>20756</v>
      </c>
      <c r="L1877" t="s">
        <v>20757</v>
      </c>
      <c r="M1877" t="s">
        <v>20758</v>
      </c>
      <c r="N1877">
        <f>-670.211969288855 -90.3491446206738 -559.102294544719</f>
        <v>-1319.6634084542479</v>
      </c>
      <c r="O1877">
        <f>-649.424065327628 -223.842067416582 -533.653398224448</f>
        <v>-1406.9195309686579</v>
      </c>
      <c r="P1877">
        <f>-657.994920188068 -275.582394376992 -244.100904869941</f>
        <v>-1177.678219435001</v>
      </c>
      <c r="Q1877">
        <f>-484.501696714076 -122.602265982953 -311.540153642064</f>
        <v>-918.64411633909299</v>
      </c>
      <c r="R1877" t="s">
        <v>20759</v>
      </c>
      <c r="S1877" t="s">
        <v>20760</v>
      </c>
      <c r="T1877" t="s">
        <v>20761</v>
      </c>
      <c r="U1877" t="s">
        <v>20762</v>
      </c>
      <c r="V1877">
        <f>-614.4592109442 -148.663105360387 -97.2102730346901</f>
        <v>-860.33258933927709</v>
      </c>
      <c r="W1877" t="s">
        <v>20763</v>
      </c>
      <c r="X1877" t="s">
        <v>20764</v>
      </c>
      <c r="Y1877" t="s">
        <v>20765</v>
      </c>
    </row>
    <row r="1878" spans="1:25" x14ac:dyDescent="0.3">
      <c r="A1878">
        <v>93850</v>
      </c>
      <c r="B1878" t="s">
        <v>20766</v>
      </c>
      <c r="C1878">
        <f>-641.005296410088 -55.593886424184 -98.6855069644985</f>
        <v>-795.2846897987705</v>
      </c>
      <c r="D1878">
        <f>-661.92498810997 -64.734583038235 -212.241819003867</f>
        <v>-938.90139015207194</v>
      </c>
      <c r="E1878">
        <f>-670.738735304898 -67.1226202016073 -310.441898653881</f>
        <v>-1048.3032541603864</v>
      </c>
      <c r="F1878">
        <f>-675.548945137402 -67.3608410301737 -399.408565899412</f>
        <v>-1142.3183520669877</v>
      </c>
      <c r="G1878">
        <f>-676.812095894862 -65.6738790269364 -488.480440682187</f>
        <v>-1230.9664156039853</v>
      </c>
      <c r="H1878">
        <f>-674.818471883362 -61.3687814548889 -612.972574110037</f>
        <v>-1349.1598274482881</v>
      </c>
      <c r="I1878">
        <f>-648.626148454239 -55.1375809815555 -691.586709416873</f>
        <v>-1395.3504388526676</v>
      </c>
      <c r="J1878">
        <f>-680.441205724554 -35.9773672358151 -557.322141223776</f>
        <v>-1273.7407141841452</v>
      </c>
      <c r="K1878" t="s">
        <v>20767</v>
      </c>
      <c r="L1878" t="s">
        <v>20768</v>
      </c>
      <c r="M1878" t="s">
        <v>20769</v>
      </c>
      <c r="N1878">
        <f>-670.950431766317 -90.5491363961163 -559.057313398549</f>
        <v>-1320.5568815609822</v>
      </c>
      <c r="O1878">
        <f>-649.655032774721 -223.996103808644 -533.828870997539</f>
        <v>-1407.4800075809039</v>
      </c>
      <c r="P1878">
        <f>-658.069741442204 -276.219782816064 -244.358493246986</f>
        <v>-1178.6480175052541</v>
      </c>
      <c r="Q1878">
        <f>-484.622745915838 -123.176313432646 -311.772992399241</f>
        <v>-919.57205174772503</v>
      </c>
      <c r="R1878" t="s">
        <v>20770</v>
      </c>
      <c r="S1878" t="s">
        <v>20771</v>
      </c>
      <c r="T1878" t="s">
        <v>20772</v>
      </c>
      <c r="U1878" t="s">
        <v>20773</v>
      </c>
      <c r="V1878">
        <f>-614.415005766954 -149.033062766667 -97.2052298195556</f>
        <v>-860.65329835317652</v>
      </c>
      <c r="W1878" t="s">
        <v>20774</v>
      </c>
      <c r="X1878" t="s">
        <v>20775</v>
      </c>
      <c r="Y1878" t="s">
        <v>20776</v>
      </c>
    </row>
    <row r="1879" spans="1:25" x14ac:dyDescent="0.3">
      <c r="A1879">
        <v>93900</v>
      </c>
      <c r="B1879" t="s">
        <v>20777</v>
      </c>
      <c r="C1879">
        <f>-641.616378049591 -56.4747806180656 -98.6443602216267</f>
        <v>-796.7355188892833</v>
      </c>
      <c r="D1879">
        <f>-662.743812982916 -65.8155921753312 -212.145886725427</f>
        <v>-940.70529188367414</v>
      </c>
      <c r="E1879">
        <f>-671.770165475602 -68.1822802411026 -310.327207025368</f>
        <v>-1050.2796527420726</v>
      </c>
      <c r="F1879">
        <f>-676.782557870368 -68.3273584139286 -399.282729908408</f>
        <v>-1144.3926461927044</v>
      </c>
      <c r="G1879">
        <f>-678.257340005097 -66.4692137046522 -488.348089822509</f>
        <v>-1233.0746435322583</v>
      </c>
      <c r="H1879">
        <f>-676.568098321417 -61.8418260385188 -612.833178849078</f>
        <v>-1351.2431032090137</v>
      </c>
      <c r="I1879">
        <f>-650.091139015913 -55.197936067129 -691.317907143267</f>
        <v>-1396.6069822263089</v>
      </c>
      <c r="J1879">
        <f>-682.331283310605 -36.6440447255457 -557.109210498738</f>
        <v>-1276.0845385348887</v>
      </c>
      <c r="K1879" t="s">
        <v>20778</v>
      </c>
      <c r="L1879" t="s">
        <v>20779</v>
      </c>
      <c r="M1879" t="s">
        <v>20780</v>
      </c>
      <c r="N1879">
        <f>-672.291640651688 -91.1123363715118 -558.997554548333</f>
        <v>-1322.4015315715328</v>
      </c>
      <c r="O1879">
        <f>-649.864980347175 -224.463608419427 -534.269767609391</f>
        <v>-1408.598356375993</v>
      </c>
      <c r="P1879">
        <f>-657.958711989931 -277.510545734732 -244.939935597029</f>
        <v>-1180.4091933216919</v>
      </c>
      <c r="Q1879">
        <f>-483.876220225242 -124.84127707902 -311.559888037247</f>
        <v>-920.27738534150899</v>
      </c>
      <c r="R1879" t="s">
        <v>20781</v>
      </c>
      <c r="S1879" t="s">
        <v>20782</v>
      </c>
      <c r="T1879" t="s">
        <v>20783</v>
      </c>
      <c r="U1879" t="s">
        <v>20784</v>
      </c>
      <c r="V1879">
        <f>-614.28457117862 -149.841296535198 -97.2096668333668</f>
        <v>-861.33553454718481</v>
      </c>
      <c r="W1879" t="s">
        <v>20785</v>
      </c>
      <c r="X1879" t="s">
        <v>20786</v>
      </c>
      <c r="Y1879" t="s">
        <v>20787</v>
      </c>
    </row>
    <row r="1880" spans="1:25" x14ac:dyDescent="0.3">
      <c r="A1880">
        <v>93950</v>
      </c>
      <c r="B1880" t="s">
        <v>20788</v>
      </c>
      <c r="C1880">
        <f>-642.02849094063 -56.9476828171423 -98.6421185338295</f>
        <v>-797.61829229160185</v>
      </c>
      <c r="D1880">
        <f>-663.215538642631 -66.3734586256825 -212.12555920267</f>
        <v>-941.71455647098355</v>
      </c>
      <c r="E1880">
        <f>-672.272640103106 -68.7040469529665 -310.304975795503</f>
        <v>-1051.2816628515754</v>
      </c>
      <c r="F1880">
        <f>-677.302321675433 -68.7756857910301 -399.259610288357</f>
        <v>-1145.33761775482</v>
      </c>
      <c r="G1880">
        <f>-678.783418531703 -66.8012728479453 -488.322334124795</f>
        <v>-1233.9070255044433</v>
      </c>
      <c r="H1880">
        <f>-677.090722243814 -61.9669246683171 -612.799522842705</f>
        <v>-1351.8571697548359</v>
      </c>
      <c r="I1880">
        <f>-650.419040070101 -55.0550150664911 -691.195210376235</f>
        <v>-1396.6692655128272</v>
      </c>
      <c r="J1880">
        <f>-682.995560026355 -36.8877828734401 -557.036796706848</f>
        <v>-1276.920139606643</v>
      </c>
      <c r="K1880" t="s">
        <v>20789</v>
      </c>
      <c r="L1880" t="s">
        <v>20790</v>
      </c>
      <c r="M1880" t="s">
        <v>20791</v>
      </c>
      <c r="N1880">
        <f>-672.675609891547 -91.3007068658451 -559.009717917808</f>
        <v>-1322.9860346752</v>
      </c>
      <c r="O1880">
        <f>-649.641486618388 -224.60138206226 -534.537636254403</f>
        <v>-1408.7805049350509</v>
      </c>
      <c r="P1880">
        <f>-658.160622393168 -277.873782936134 -245.261599467303</f>
        <v>-1181.2960047966051</v>
      </c>
      <c r="Q1880">
        <f>-483.574635465845 -125.657116171051 -311.59913782491</f>
        <v>-920.83088946180601</v>
      </c>
      <c r="R1880" t="s">
        <v>20792</v>
      </c>
      <c r="S1880" t="s">
        <v>20793</v>
      </c>
      <c r="T1880" t="s">
        <v>20794</v>
      </c>
      <c r="U1880" t="s">
        <v>20795</v>
      </c>
      <c r="V1880">
        <f>-614.271968828508 -150.372399609064 -97.2328186909219</f>
        <v>-861.87718712849392</v>
      </c>
      <c r="W1880" t="s">
        <v>20796</v>
      </c>
      <c r="X1880" t="s">
        <v>20797</v>
      </c>
      <c r="Y1880" t="s">
        <v>20798</v>
      </c>
    </row>
    <row r="1881" spans="1:25" x14ac:dyDescent="0.3">
      <c r="A1881">
        <v>94000</v>
      </c>
      <c r="B1881" t="s">
        <v>20799</v>
      </c>
      <c r="C1881">
        <f>-642.963111264098 -57.9950877806097 -98.6267156117424</f>
        <v>-799.58491465645</v>
      </c>
      <c r="D1881">
        <f>-664.129691267438 -67.5669795668521 -212.101745216486</f>
        <v>-943.79841605077604</v>
      </c>
      <c r="E1881">
        <f>-673.152749054908 -69.8841225989781 -310.284634507536</f>
        <v>-1053.3215061614221</v>
      </c>
      <c r="F1881">
        <f>-678.141281966762 -69.8932022438461 -399.241623138796</f>
        <v>-1147.2761073494041</v>
      </c>
      <c r="G1881">
        <f>-679.570165201799 -67.8036932855756 -488.302505594953</f>
        <v>-1235.6763640823276</v>
      </c>
      <c r="H1881">
        <f>-677.791819116778 -62.7542233142526 -612.769978096498</f>
        <v>-1353.3160205275285</v>
      </c>
      <c r="I1881">
        <f>-650.805575737848 -55.3467202768455 -691.01244829569</f>
        <v>-1397.1647443103834</v>
      </c>
      <c r="J1881">
        <f>-683.96098745722 -37.8151780581468 -556.972969464708</f>
        <v>-1278.7491349800748</v>
      </c>
      <c r="K1881" t="s">
        <v>20800</v>
      </c>
      <c r="L1881" t="s">
        <v>20801</v>
      </c>
      <c r="M1881" t="s">
        <v>20802</v>
      </c>
      <c r="N1881">
        <f>-673.187710191826 -92.1373622522799 -559.022959708125</f>
        <v>-1324.3480321522309</v>
      </c>
      <c r="O1881">
        <f>-649.089939109999 -225.31363314211 -534.957747178097</f>
        <v>-1409.3613194302061</v>
      </c>
      <c r="P1881">
        <f>-658.506912214315 -278.236124754137 -245.645195496122</f>
        <v>-1182.388232464574</v>
      </c>
      <c r="Q1881">
        <f>-484.047251809562 -125.724218309355 -311.636089029424</f>
        <v>-921.40755914834108</v>
      </c>
      <c r="R1881" t="s">
        <v>20803</v>
      </c>
      <c r="S1881" t="s">
        <v>20804</v>
      </c>
      <c r="T1881" t="s">
        <v>20805</v>
      </c>
      <c r="U1881" t="s">
        <v>20806</v>
      </c>
      <c r="V1881">
        <f>-614.498379098275 -151.233582103569 -97.2568495217439</f>
        <v>-862.9888107235879</v>
      </c>
      <c r="W1881" t="s">
        <v>20807</v>
      </c>
      <c r="X1881" t="s">
        <v>20808</v>
      </c>
      <c r="Y1881" t="s">
        <v>20809</v>
      </c>
    </row>
    <row r="1882" spans="1:25" x14ac:dyDescent="0.3">
      <c r="A1882">
        <v>94050</v>
      </c>
      <c r="B1882" t="s">
        <v>20810</v>
      </c>
      <c r="C1882">
        <f>-643.437246454817 -58.6020670108408 -98.5917871963205</f>
        <v>-800.63110066197828</v>
      </c>
      <c r="D1882">
        <f>-664.572954974019 -68.2231208294942 -212.068405909774</f>
        <v>-944.8644817132872</v>
      </c>
      <c r="E1882">
        <f>-673.584932964178 -70.5469642374634 -310.252129691246</f>
        <v>-1054.3840268928875</v>
      </c>
      <c r="F1882">
        <f>-678.568290184413 -70.5500420930948 -399.209445690926</f>
        <v>-1148.3277779684338</v>
      </c>
      <c r="G1882">
        <f>-679.99660376488 -68.4416012121071 -488.269832772972</f>
        <v>-1236.7080377499592</v>
      </c>
      <c r="H1882">
        <f>-678.222186438532 -63.3519013232898 -612.735828653004</f>
        <v>-1354.3099164148257</v>
      </c>
      <c r="I1882">
        <f>-651.179643598951 -55.739103975206 -690.939093304085</f>
        <v>-1397.8578408782419</v>
      </c>
      <c r="J1882">
        <f>-684.478455364898 -38.4485116960011 -556.932706817326</f>
        <v>-1279.8596738782251</v>
      </c>
      <c r="K1882" t="s">
        <v>20811</v>
      </c>
      <c r="L1882" t="s">
        <v>20812</v>
      </c>
      <c r="M1882" t="s">
        <v>20813</v>
      </c>
      <c r="N1882">
        <f>-673.527623774673 -92.7347180533618 -558.996377330072</f>
        <v>-1325.2587191581069</v>
      </c>
      <c r="O1882">
        <f>-649.036619239818 -225.872362372872 -535.036873275141</f>
        <v>-1409.945854887831</v>
      </c>
      <c r="P1882">
        <f>-658.578272007848 -279.276473118914 -245.81707100317</f>
        <v>-1183.671816129932</v>
      </c>
      <c r="Q1882">
        <f>-485.041015530518 -125.520298764857 -311.351106146143</f>
        <v>-921.91242044151807</v>
      </c>
      <c r="R1882" t="s">
        <v>20814</v>
      </c>
      <c r="S1882" t="s">
        <v>20815</v>
      </c>
      <c r="T1882" t="s">
        <v>20816</v>
      </c>
      <c r="U1882" t="s">
        <v>20817</v>
      </c>
      <c r="V1882">
        <f>-614.742674043046 -151.761564285536 -97.2564391996397</f>
        <v>-863.76067752822166</v>
      </c>
      <c r="W1882" t="s">
        <v>20818</v>
      </c>
      <c r="X1882" t="s">
        <v>20819</v>
      </c>
      <c r="Y1882" t="s">
        <v>20820</v>
      </c>
    </row>
    <row r="1883" spans="1:25" x14ac:dyDescent="0.3">
      <c r="A1883">
        <v>94100</v>
      </c>
      <c r="B1883" t="s">
        <v>20821</v>
      </c>
      <c r="C1883">
        <f>-644.348669579602 -59.7359279308066 -98.5172314823982</f>
        <v>-802.60182899280676</v>
      </c>
      <c r="D1883">
        <f>-665.465687872052 -69.4677693939891 -211.98788891071</f>
        <v>-946.92134617675106</v>
      </c>
      <c r="E1883">
        <f>-674.462980915605 -71.7650655059761 -310.173506985667</f>
        <v>-1056.4015534072482</v>
      </c>
      <c r="F1883">
        <f>-679.431380773481 -71.6980977099405 -399.131711608878</f>
        <v>-1150.2611900922996</v>
      </c>
      <c r="G1883">
        <f>-680.843164994248 -69.4702732238756 -488.189481627077</f>
        <v>-1238.5029198452005</v>
      </c>
      <c r="H1883">
        <f>-679.043252656416 -64.1615838046125 -612.645830833125</f>
        <v>-1355.8506672941535</v>
      </c>
      <c r="I1883">
        <f>-651.906770016214 -56.150766096563 -690.776812080261</f>
        <v>-1398.8343481930378</v>
      </c>
      <c r="J1883">
        <f>-685.503016919202 -39.3957879534748 -556.80462645616</f>
        <v>-1281.7034313288368</v>
      </c>
      <c r="K1883" t="s">
        <v>20822</v>
      </c>
      <c r="L1883" t="s">
        <v>20823</v>
      </c>
      <c r="M1883" t="s">
        <v>20824</v>
      </c>
      <c r="N1883">
        <f>-674.167627649475 -93.5995621338309 -558.952779073896</f>
        <v>-1326.7199688572018</v>
      </c>
      <c r="O1883">
        <f>-648.802545636346 -226.617499019612 -535.23884626787</f>
        <v>-1410.658890923828</v>
      </c>
      <c r="P1883">
        <f>-658.547861552637 -281.307713879405 -246.2661904102</f>
        <v>-1186.121765842242</v>
      </c>
      <c r="Q1883">
        <f>-486.871128106845 -124.841886777796 -310.269577679662</f>
        <v>-921.98259256430299</v>
      </c>
      <c r="R1883" t="s">
        <v>20825</v>
      </c>
      <c r="S1883" t="s">
        <v>20826</v>
      </c>
      <c r="T1883" t="s">
        <v>20827</v>
      </c>
      <c r="U1883" t="s">
        <v>20828</v>
      </c>
      <c r="V1883">
        <f>-615.254667506821 -152.814394943358 -97.1991626687229</f>
        <v>-865.26822511890191</v>
      </c>
      <c r="W1883" t="s">
        <v>20829</v>
      </c>
      <c r="X1883" t="s">
        <v>20830</v>
      </c>
      <c r="Y1883" t="s">
        <v>20831</v>
      </c>
    </row>
    <row r="1884" spans="1:25" x14ac:dyDescent="0.3">
      <c r="A1884">
        <v>94150</v>
      </c>
      <c r="B1884" t="s">
        <v>20832</v>
      </c>
      <c r="C1884">
        <f>-644.804181436236 -60.106603875774 -98.508149301449</f>
        <v>-803.41893461345899</v>
      </c>
      <c r="D1884">
        <f>-665.899684313361 -69.9105418821557 -211.976576684387</f>
        <v>-947.78680287990369</v>
      </c>
      <c r="E1884">
        <f>-674.878621960111 -72.1964452983821 -310.164213893698</f>
        <v>-1057.2392811521911</v>
      </c>
      <c r="F1884">
        <f>-679.829022242329 -72.091243907822 -399.123369927344</f>
        <v>-1151.043636077495</v>
      </c>
      <c r="G1884">
        <f>-681.221117890175 -69.7960900736236 -488.179683955159</f>
        <v>-1239.1968919189576</v>
      </c>
      <c r="H1884">
        <f>-679.391579922722 -64.3628102959005 -612.630335387075</f>
        <v>-1356.3847256056974</v>
      </c>
      <c r="I1884">
        <f>-652.212845931601 -56.1921284880141 -690.730041288997</f>
        <v>-1399.1350157086122</v>
      </c>
      <c r="J1884">
        <f>-685.959298190898 -39.6727601853081 -556.768114882766</f>
        <v>-1282.4001732589722</v>
      </c>
      <c r="K1884" t="s">
        <v>20833</v>
      </c>
      <c r="L1884" t="s">
        <v>20834</v>
      </c>
      <c r="M1884" t="s">
        <v>20835</v>
      </c>
      <c r="N1884">
        <f>-674.434011939926 -93.8347213947287 -558.963266051951</f>
        <v>-1327.2319993866058</v>
      </c>
      <c r="O1884">
        <f>-648.626427677108 -226.791473506094 -535.407530446812</f>
        <v>-1410.825431630014</v>
      </c>
      <c r="P1884">
        <f>-658.309368942752 -282.3015664281 -246.589070152854</f>
        <v>-1187.2000055237061</v>
      </c>
      <c r="Q1884">
        <f>-487.447722034401 -124.7465096692 -310.099398518722</f>
        <v>-922.29363022232292</v>
      </c>
      <c r="R1884" t="s">
        <v>20836</v>
      </c>
      <c r="S1884" t="s">
        <v>20837</v>
      </c>
      <c r="T1884" t="s">
        <v>20838</v>
      </c>
      <c r="U1884" t="s">
        <v>20839</v>
      </c>
      <c r="V1884">
        <f>-615.461938734186 -153.07126037492 -97.1960348445267</f>
        <v>-865.72923395363273</v>
      </c>
      <c r="W1884" t="s">
        <v>20840</v>
      </c>
      <c r="X1884" t="s">
        <v>20841</v>
      </c>
      <c r="Y1884" t="s">
        <v>20842</v>
      </c>
    </row>
    <row r="1885" spans="1:25" x14ac:dyDescent="0.3">
      <c r="A1885">
        <v>94200</v>
      </c>
      <c r="B1885" t="s">
        <v>20843</v>
      </c>
      <c r="C1885">
        <f>-645.499439759981 -60.8475889051344 -98.4488440812751</f>
        <v>-804.7958727463905</v>
      </c>
      <c r="D1885">
        <f>-666.581393546214 -70.7946700446878 -211.907469408914</f>
        <v>-949.28353299981586</v>
      </c>
      <c r="E1885">
        <f>-675.577329756778 -73.0715483843742 -310.093633337865</f>
        <v>-1058.7425114790171</v>
      </c>
      <c r="F1885">
        <f>-680.55224589201 -72.9074743267387 -399.051292858858</f>
        <v>-1152.5110130776065</v>
      </c>
      <c r="G1885">
        <f>-681.977645510423 -70.5001089311339 -488.104173067722</f>
        <v>-1240.581927509279</v>
      </c>
      <c r="H1885">
        <f>-680.203074940337 -64.8534440023998 -612.546017070244</f>
        <v>-1357.6025360129809</v>
      </c>
      <c r="I1885">
        <f>-652.946367226901 -56.3870098239503 -690.587123905299</f>
        <v>-1399.9205009561501</v>
      </c>
      <c r="J1885">
        <f>-686.921401257593 -40.2968988564255 -556.643018970473</f>
        <v>-1283.8613190844915</v>
      </c>
      <c r="K1885" t="s">
        <v>20844</v>
      </c>
      <c r="L1885" t="s">
        <v>20845</v>
      </c>
      <c r="M1885" t="s">
        <v>20846</v>
      </c>
      <c r="N1885">
        <f>-675.046609960929 -94.3795648654706 -558.927704258452</f>
        <v>-1328.3538790848515</v>
      </c>
      <c r="O1885">
        <f>-648.431718636389 -227.213470895553 -535.585837740319</f>
        <v>-1411.2310272722609</v>
      </c>
      <c r="P1885">
        <f>-657.625791738806 -283.401846626572 -246.882629439967</f>
        <v>-1187.910267805345</v>
      </c>
      <c r="Q1885">
        <f>-487.941151734565 -124.381548161381 -309.894843436204</f>
        <v>-922.21754333214994</v>
      </c>
      <c r="R1885" t="s">
        <v>20847</v>
      </c>
      <c r="S1885" t="s">
        <v>20848</v>
      </c>
      <c r="T1885" t="s">
        <v>20849</v>
      </c>
      <c r="U1885" t="s">
        <v>20850</v>
      </c>
      <c r="V1885">
        <f>-615.624063195614 -153.762086380453 -97.1509017119625</f>
        <v>-866.5370512880296</v>
      </c>
      <c r="W1885" t="s">
        <v>20851</v>
      </c>
      <c r="X1885" t="s">
        <v>20852</v>
      </c>
      <c r="Y1885" t="s">
        <v>20853</v>
      </c>
    </row>
    <row r="1886" spans="1:25" x14ac:dyDescent="0.3">
      <c r="A1886">
        <v>94250</v>
      </c>
      <c r="B1886" t="s">
        <v>20854</v>
      </c>
      <c r="C1886">
        <f>-645.735369403238 -61.2696736287148 -98.4198496058012</f>
        <v>-805.42489263775406</v>
      </c>
      <c r="D1886">
        <f>-666.814101038246 -71.2796467875897 -211.873447846205</f>
        <v>-949.96719567204082</v>
      </c>
      <c r="E1886">
        <f>-675.827359021714 -73.5872898536653 -310.057400206479</f>
        <v>-1059.4720490818581</v>
      </c>
      <c r="F1886">
        <f>-680.825633635271 -73.4424109923759 -399.013774927215</f>
        <v>-1153.2818195548618</v>
      </c>
      <c r="G1886">
        <f>-682.282413578856 -71.043981263916 -488.066440120786</f>
        <v>-1241.392834963558</v>
      </c>
      <c r="H1886">
        <f>-680.559941491853 -65.3989274040628 -612.508990147724</f>
        <v>-1358.4678590436397</v>
      </c>
      <c r="I1886">
        <f>-653.273906423218 -56.8343849947903 -690.529202741102</f>
        <v>-1400.6374941591102</v>
      </c>
      <c r="J1886">
        <f>-687.333178872285 -40.8589908491344 -556.605378403118</f>
        <v>-1284.7975481245376</v>
      </c>
      <c r="K1886" t="s">
        <v>20855</v>
      </c>
      <c r="L1886" t="s">
        <v>20856</v>
      </c>
      <c r="M1886" t="s">
        <v>20857</v>
      </c>
      <c r="N1886">
        <f>-675.302704160518 -94.9071402434007 -558.890603767906</f>
        <v>-1329.1004481718246</v>
      </c>
      <c r="O1886">
        <f>-648.311923229299 -227.658006770361 -535.525289695946</f>
        <v>-1411.495219695606</v>
      </c>
      <c r="P1886">
        <f>-657.242125058594 -283.762137380727 -246.797314879572</f>
        <v>-1187.8015773188929</v>
      </c>
      <c r="Q1886">
        <f>-488.151220065505 -124.152839744183 -309.916300825308</f>
        <v>-922.22036063499604</v>
      </c>
      <c r="R1886" t="s">
        <v>20858</v>
      </c>
      <c r="S1886" t="s">
        <v>20859</v>
      </c>
      <c r="T1886" t="s">
        <v>20860</v>
      </c>
      <c r="U1886" t="s">
        <v>20861</v>
      </c>
      <c r="V1886">
        <f>-615.653005830129 -154.183575768441 -97.1317813041595</f>
        <v>-866.9683629027295</v>
      </c>
      <c r="W1886" t="s">
        <v>20862</v>
      </c>
      <c r="X1886" t="s">
        <v>20863</v>
      </c>
      <c r="Y1886" t="s">
        <v>20864</v>
      </c>
    </row>
    <row r="1887" spans="1:25" x14ac:dyDescent="0.3">
      <c r="A1887">
        <v>94300</v>
      </c>
      <c r="B1887" t="s">
        <v>20865</v>
      </c>
      <c r="C1887">
        <f>-646.208543619401 -62.0343089261803 -98.3812282178122</f>
        <v>-806.62408076339352</v>
      </c>
      <c r="D1887">
        <f>-667.330169727729 -72.1583805657926 -211.816735752264</f>
        <v>-951.30528604578558</v>
      </c>
      <c r="E1887">
        <f>-676.380816172692 -74.5511080309064 -309.995227489321</f>
        <v>-1060.9271516929193</v>
      </c>
      <c r="F1887">
        <f>-681.412652573386 -74.4798115231266 -398.94973280078</f>
        <v>-1154.8421968972925</v>
      </c>
      <c r="G1887">
        <f>-682.903474150876 -72.1491085616208 -488.003587113644</f>
        <v>-1243.0561698261408</v>
      </c>
      <c r="H1887">
        <f>-681.229362988489 -66.5916964951106 -612.450982622645</f>
        <v>-1360.2720421062445</v>
      </c>
      <c r="I1887">
        <f>-653.933354996815 -57.9140250823468 -690.455000800227</f>
        <v>-1402.3023808793887</v>
      </c>
      <c r="J1887">
        <f>-688.122668357878 -42.0441678012387 -556.565231173123</f>
        <v>-1286.7320673322397</v>
      </c>
      <c r="K1887" t="s">
        <v>20866</v>
      </c>
      <c r="L1887" t="s">
        <v>20867</v>
      </c>
      <c r="M1887" t="s">
        <v>20868</v>
      </c>
      <c r="N1887">
        <f>-675.809477458129 -96.0303291636751 -558.810410339251</f>
        <v>-1330.6502169610551</v>
      </c>
      <c r="O1887">
        <f>-648.133607845236 -228.613607669773 -535.265784731205</f>
        <v>-1412.013000246214</v>
      </c>
      <c r="P1887">
        <f>-656.765543621885 -284.433285429105 -246.473803540288</f>
        <v>-1187.672632591278</v>
      </c>
      <c r="Q1887">
        <f>-488.610584368723 -123.939565982977 -309.849741372329</f>
        <v>-922.39989172402898</v>
      </c>
      <c r="R1887" t="s">
        <v>20869</v>
      </c>
      <c r="S1887" t="s">
        <v>20870</v>
      </c>
      <c r="T1887" t="s">
        <v>20871</v>
      </c>
      <c r="U1887" t="s">
        <v>20872</v>
      </c>
      <c r="V1887">
        <f>-615.813684059223 -154.799425189486 -97.0835807135078</f>
        <v>-867.69668996221674</v>
      </c>
      <c r="W1887" t="s">
        <v>20873</v>
      </c>
      <c r="X1887" t="s">
        <v>20874</v>
      </c>
      <c r="Y1887" t="s">
        <v>20875</v>
      </c>
    </row>
    <row r="1888" spans="1:25" x14ac:dyDescent="0.3">
      <c r="A1888">
        <v>94350</v>
      </c>
      <c r="B1888" t="s">
        <v>20876</v>
      </c>
      <c r="C1888">
        <f>-646.490237811136 -62.3631492020527 -98.3717268167875</f>
        <v>-807.22511382997618</v>
      </c>
      <c r="D1888">
        <f>-667.610094794466 -72.5462397767009 -211.802251042201</f>
        <v>-951.95858561336786</v>
      </c>
      <c r="E1888">
        <f>-676.650776780308 -74.9828085998026 -309.980509422492</f>
        <v>-1061.6140948026027</v>
      </c>
      <c r="F1888">
        <f>-681.669820380386 -74.9493272907557 -398.93588258641</f>
        <v>-1155.5550302575516</v>
      </c>
      <c r="G1888">
        <f>-683.144505506038 -72.6535784935477 -487.990913612521</f>
        <v>-1243.7889976121066</v>
      </c>
      <c r="H1888">
        <f>-681.444404538021 -67.1418797687205 -612.439934023592</f>
        <v>-1361.0262183303334</v>
      </c>
      <c r="I1888">
        <f>-654.145024696295 -58.4339918476655 -690.439431702639</f>
        <v>-1403.0184482465995</v>
      </c>
      <c r="J1888">
        <f>-688.417928760318 -42.5894947896747 -556.566282001323</f>
        <v>-1287.5737055513157</v>
      </c>
      <c r="K1888" t="s">
        <v>20877</v>
      </c>
      <c r="L1888" t="s">
        <v>20878</v>
      </c>
      <c r="M1888" t="s">
        <v>20879</v>
      </c>
      <c r="N1888">
        <f>-675.967103273022 -96.5452130913627 -558.78573526681</f>
        <v>-1331.2980516311945</v>
      </c>
      <c r="O1888">
        <f>-647.960922774811 -229.041715126346 -535.163378438374</f>
        <v>-1412.1660163395309</v>
      </c>
      <c r="P1888">
        <f>-656.529528566731 -284.729128058871 -246.343850117573</f>
        <v>-1187.6025067431751</v>
      </c>
      <c r="Q1888">
        <f>-488.863478176945 -123.740628562351 -309.760600869356</f>
        <v>-922.364707608652</v>
      </c>
      <c r="R1888" t="s">
        <v>20880</v>
      </c>
      <c r="S1888" t="s">
        <v>20881</v>
      </c>
      <c r="T1888" t="s">
        <v>20882</v>
      </c>
      <c r="U1888" t="s">
        <v>20883</v>
      </c>
      <c r="V1888">
        <f>-615.863791332102 -155.085548631166 -97.071057320521</f>
        <v>-868.02039728378907</v>
      </c>
      <c r="W1888" t="s">
        <v>20884</v>
      </c>
      <c r="X1888" t="s">
        <v>20885</v>
      </c>
      <c r="Y1888" t="s">
        <v>20886</v>
      </c>
    </row>
    <row r="1889" spans="1:25" x14ac:dyDescent="0.3">
      <c r="A1889">
        <v>94400</v>
      </c>
      <c r="B1889" t="s">
        <v>20887</v>
      </c>
      <c r="C1889">
        <f>-647.136032584176 -62.8126477362773 -98.4086864236211</f>
        <v>-808.3573667440744</v>
      </c>
      <c r="D1889">
        <f>-668.228978755458 -73.1248572450942 -211.832478198493</f>
        <v>-953.18631419904523</v>
      </c>
      <c r="E1889">
        <f>-677.263815815816 -75.6595595810305 -310.008911702813</f>
        <v>-1062.9322870996596</v>
      </c>
      <c r="F1889">
        <f>-682.28414496457 -75.7110525624215 -398.964120435042</f>
        <v>-1156.9593179620335</v>
      </c>
      <c r="G1889">
        <f>-683.767224361441 -73.4946409531066 -488.021075508047</f>
        <v>-1245.2829408225946</v>
      </c>
      <c r="H1889">
        <f>-682.086359714441 -68.0870620344118 -612.474823735431</f>
        <v>-1362.6482454842837</v>
      </c>
      <c r="I1889">
        <f>-654.808269275609 -59.3380596916628 -690.477269189228</f>
        <v>-1404.6235981564996</v>
      </c>
      <c r="J1889">
        <f>-689.18472584984 -43.5188754778841 -556.62395285237</f>
        <v>-1289.327554180094</v>
      </c>
      <c r="K1889" t="s">
        <v>20888</v>
      </c>
      <c r="L1889" t="s">
        <v>20889</v>
      </c>
      <c r="M1889" t="s">
        <v>20890</v>
      </c>
      <c r="N1889">
        <f>-676.467323035315 -97.4144475679946 -558.793831799886</f>
        <v>-1332.6756024031956</v>
      </c>
      <c r="O1889">
        <f>-647.814599224379 -229.751171686394 -535.030334779377</f>
        <v>-1412.5961056901499</v>
      </c>
      <c r="P1889">
        <f>-656.300937103812 -285.201494230271 -246.162776945328</f>
        <v>-1187.665208279411</v>
      </c>
      <c r="Q1889">
        <f>-489.39104968811 -123.530984413008 -309.838431233631</f>
        <v>-922.76046533474903</v>
      </c>
      <c r="R1889" t="s">
        <v>20891</v>
      </c>
      <c r="S1889" t="s">
        <v>20892</v>
      </c>
      <c r="T1889" t="s">
        <v>20893</v>
      </c>
      <c r="U1889" t="s">
        <v>20894</v>
      </c>
      <c r="V1889">
        <f>-616.147458507461 -155.453760205176 -97.0770202947313</f>
        <v>-868.67823900736823</v>
      </c>
      <c r="W1889" t="s">
        <v>20895</v>
      </c>
      <c r="X1889" t="s">
        <v>20896</v>
      </c>
      <c r="Y1889" t="s">
        <v>20897</v>
      </c>
    </row>
    <row r="1890" spans="1:25" x14ac:dyDescent="0.3">
      <c r="A1890">
        <v>94450</v>
      </c>
      <c r="B1890" t="s">
        <v>20898</v>
      </c>
      <c r="C1890">
        <f>-647.448157826666 -62.9677266868979 -98.4181249531882</f>
        <v>-808.83400946675215</v>
      </c>
      <c r="D1890">
        <f>-668.543564096863 -73.3490305676432 -211.835195683052</f>
        <v>-953.7277903475582</v>
      </c>
      <c r="E1890">
        <f>-677.597278809219 -75.9397235173274 -310.008380889358</f>
        <v>-1063.5453832159044</v>
      </c>
      <c r="F1890">
        <f>-682.641194791282 -76.0409393968321 -398.962284680418</f>
        <v>-1157.6444188685321</v>
      </c>
      <c r="G1890">
        <f>-684.15473334054 -73.872520900135 -488.01981398397</f>
        <v>-1246.047068224645</v>
      </c>
      <c r="H1890">
        <f>-682.523755157046 -68.52980584463 -612.477077729469</f>
        <v>-1363.530638731145</v>
      </c>
      <c r="I1890">
        <f>-655.27406492914 -59.7685816723604 -690.488114939392</f>
        <v>-1405.5307615408924</v>
      </c>
      <c r="J1890">
        <f>-689.660401508494 -43.9468401227524 -556.637570329844</f>
        <v>-1290.2448119610904</v>
      </c>
      <c r="K1890" t="s">
        <v>20899</v>
      </c>
      <c r="L1890" t="s">
        <v>20900</v>
      </c>
      <c r="M1890" t="s">
        <v>20901</v>
      </c>
      <c r="N1890">
        <f>-676.82252101686 -97.814823184688 -558.78166510429</f>
        <v>-1333.419009305838</v>
      </c>
      <c r="O1890">
        <f>-647.89108952942 -230.072642652492 -534.925001623331</f>
        <v>-1412.8887338052432</v>
      </c>
      <c r="P1890">
        <f>-656.151583498074 -285.383510465602 -246.024143610242</f>
        <v>-1187.5592375739179</v>
      </c>
      <c r="Q1890">
        <f>-489.656010079838 -123.378847209643 -309.934663770904</f>
        <v>-922.96952106038498</v>
      </c>
      <c r="R1890" t="s">
        <v>20902</v>
      </c>
      <c r="S1890" t="s">
        <v>20903</v>
      </c>
      <c r="T1890" t="s">
        <v>20904</v>
      </c>
      <c r="U1890" t="s">
        <v>20905</v>
      </c>
      <c r="V1890">
        <f>-616.302231139192 -155.505545140068 -97.0704090612543</f>
        <v>-868.87818534051428</v>
      </c>
      <c r="W1890" t="s">
        <v>20906</v>
      </c>
      <c r="X1890" t="s">
        <v>20907</v>
      </c>
      <c r="Y1890" t="s">
        <v>20908</v>
      </c>
    </row>
    <row r="1891" spans="1:25" x14ac:dyDescent="0.3">
      <c r="A1891">
        <v>94500</v>
      </c>
      <c r="B1891" t="s">
        <v>20909</v>
      </c>
      <c r="C1891">
        <f>-647.937750881332 -63.261919188053 -98.4380650492209</f>
        <v>-809.63773511860586</v>
      </c>
      <c r="D1891">
        <f>-669.036662224416 -73.7693773801604 -211.842892192213</f>
        <v>-954.64893179678938</v>
      </c>
      <c r="E1891">
        <f>-678.114323107008 -76.4924784183636 -310.010297750057</f>
        <v>-1064.6170992754287</v>
      </c>
      <c r="F1891">
        <f>-683.188571478399 -76.7243669629257 -398.96215090493</f>
        <v>-1158.8750893462548</v>
      </c>
      <c r="G1891">
        <f>-684.741999679472 -74.6954152833247 -488.02233472302</f>
        <v>-1247.4597496858166</v>
      </c>
      <c r="H1891">
        <f>-683.177060531152 -69.55578232929 -612.488949856193</f>
        <v>-1365.221792716635</v>
      </c>
      <c r="I1891">
        <f>-655.964999137538 -60.7780157781701 -690.511171992061</f>
        <v>-1407.2541869077691</v>
      </c>
      <c r="J1891">
        <f>-690.403933526685 -44.9104376904946 -556.688498846877</f>
        <v>-1292.0028700640567</v>
      </c>
      <c r="K1891" t="s">
        <v>20910</v>
      </c>
      <c r="L1891" t="s">
        <v>20911</v>
      </c>
      <c r="M1891" t="s">
        <v>20912</v>
      </c>
      <c r="N1891">
        <f>-677.327525458124 -98.7244621349776 -558.746211224288</f>
        <v>-1334.7981988173897</v>
      </c>
      <c r="O1891">
        <f>-647.783562683565 -230.793663723202 -534.624397982205</f>
        <v>-1413.201624388972</v>
      </c>
      <c r="P1891">
        <f>-655.73799763122 -285.800863364127 -245.656976097317</f>
        <v>-1187.1958370926641</v>
      </c>
      <c r="Q1891">
        <f>-490.132855283899 -123.126655394301 -310.177561899635</f>
        <v>-923.43707257783512</v>
      </c>
      <c r="R1891" t="s">
        <v>20913</v>
      </c>
      <c r="S1891" t="s">
        <v>20914</v>
      </c>
      <c r="T1891" t="s">
        <v>20915</v>
      </c>
      <c r="U1891" t="s">
        <v>20916</v>
      </c>
      <c r="V1891">
        <f>-616.428298970267 -155.610895771859 -97.0867686985786</f>
        <v>-869.12596344070448</v>
      </c>
      <c r="W1891" t="s">
        <v>20917</v>
      </c>
      <c r="X1891" t="s">
        <v>20918</v>
      </c>
      <c r="Y1891" t="s">
        <v>20919</v>
      </c>
    </row>
    <row r="1892" spans="1:25" x14ac:dyDescent="0.3">
      <c r="A1892">
        <v>94550</v>
      </c>
      <c r="B1892" t="s">
        <v>20920</v>
      </c>
      <c r="C1892">
        <f>-648.127098952529 -63.5435687233485 -98.4626935929487</f>
        <v>-810.13336126882609</v>
      </c>
      <c r="D1892">
        <f>-669.210766545349 -74.1291189881902 -211.863092461547</f>
        <v>-955.20297799508614</v>
      </c>
      <c r="E1892">
        <f>-678.295878441132 -76.9292562050456 -310.027623952417</f>
        <v>-1065.2527585985945</v>
      </c>
      <c r="F1892">
        <f>-683.385040970229 -77.2356431976118 -398.97835910969</f>
        <v>-1159.5990432775309</v>
      </c>
      <c r="G1892">
        <f>-684.962024556476 -75.2846313795218 -488.039849138425</f>
        <v>-1248.2865050744226</v>
      </c>
      <c r="H1892">
        <f>-683.43910538654 -70.2576815391847 -612.511653095101</f>
        <v>-1366.2084400208255</v>
      </c>
      <c r="I1892">
        <f>-656.252558336836 -61.4762963799996 -690.54247998398</f>
        <v>-1408.2713347008157</v>
      </c>
      <c r="J1892">
        <f>-690.707669470616 -45.5766113026548 -556.732365682763</f>
        <v>-1293.0166464560339</v>
      </c>
      <c r="K1892" t="s">
        <v>20921</v>
      </c>
      <c r="L1892" t="s">
        <v>20922</v>
      </c>
      <c r="M1892" t="s">
        <v>20923</v>
      </c>
      <c r="N1892">
        <f>-677.510851532396 -99.3629461938091 -558.743278812444</f>
        <v>-1335.6170765386491</v>
      </c>
      <c r="O1892">
        <f>-647.667688495238 -231.342743978493 -534.496160385102</f>
        <v>-1413.5065928588331</v>
      </c>
      <c r="P1892">
        <f>-655.538073684722 -285.989396765074 -245.4581270505</f>
        <v>-1186.9855975002961</v>
      </c>
      <c r="Q1892">
        <f>-490.267509873136 -123.086103040732 -310.258029525385</f>
        <v>-923.61164243925305</v>
      </c>
      <c r="R1892" t="s">
        <v>20924</v>
      </c>
      <c r="S1892" t="s">
        <v>20925</v>
      </c>
      <c r="T1892" t="s">
        <v>20926</v>
      </c>
      <c r="U1892" t="s">
        <v>20927</v>
      </c>
      <c r="V1892">
        <f>-616.42312599222 -155.912299977486 -97.0921761727485</f>
        <v>-869.42760214245448</v>
      </c>
      <c r="W1892" t="s">
        <v>20928</v>
      </c>
      <c r="X1892" t="s">
        <v>20929</v>
      </c>
      <c r="Y1892" t="s">
        <v>20930</v>
      </c>
    </row>
    <row r="1893" spans="1:25" x14ac:dyDescent="0.3">
      <c r="A1893">
        <v>94600</v>
      </c>
      <c r="B1893" t="s">
        <v>20931</v>
      </c>
      <c r="C1893">
        <f>-648.598136837965 -63.8120466073813 -98.4905075857417</f>
        <v>-810.90069103108794</v>
      </c>
      <c r="D1893">
        <f>-669.688112918813 -74.5514577438473 -211.87520054541</f>
        <v>-956.11477120807035</v>
      </c>
      <c r="E1893">
        <f>-678.827755312513 -77.5021478065449 -310.030241481143</f>
        <v>-1066.3601446002008</v>
      </c>
      <c r="F1893">
        <f>-683.985514081358 -77.9540077296867 -398.97661675548</f>
        <v>-1160.9161385665248</v>
      </c>
      <c r="G1893">
        <f>-685.650980734612 -76.1555725163009 -488.039598553605</f>
        <v>-1249.8461518045178</v>
      </c>
      <c r="H1893">
        <f>-684.27277477099 -71.3487043552352 -612.521743989537</f>
        <v>-1368.1432231157623</v>
      </c>
      <c r="I1893">
        <f>-657.178176364435 -62.5653632398804 -690.584349525508</f>
        <v>-1410.3278891298232</v>
      </c>
      <c r="J1893">
        <f>-691.602477283896 -46.6002140684718 -556.780453186202</f>
        <v>-1294.9831445385698</v>
      </c>
      <c r="K1893" t="s">
        <v>20932</v>
      </c>
      <c r="L1893" t="s">
        <v>20933</v>
      </c>
      <c r="M1893" t="s">
        <v>20934</v>
      </c>
      <c r="N1893">
        <f>-678.156023085381 -100.327699100264 -558.706224576752</f>
        <v>-1337.1899467623971</v>
      </c>
      <c r="O1893">
        <f>-647.629157971502 -232.128189362609 -534.285896956435</f>
        <v>-1414.0432442905458</v>
      </c>
      <c r="P1893">
        <f>-655.311987323883 -286.270278919883 -245.147974703356</f>
        <v>-1186.7302409471222</v>
      </c>
      <c r="Q1893">
        <f>-490.892838369974 -122.712520741038 -310.463025790939</f>
        <v>-924.06838490195105</v>
      </c>
      <c r="R1893" t="s">
        <v>20935</v>
      </c>
      <c r="S1893" t="s">
        <v>20936</v>
      </c>
      <c r="T1893" t="s">
        <v>20937</v>
      </c>
      <c r="U1893" t="s">
        <v>20938</v>
      </c>
      <c r="V1893">
        <f>-616.536741807132 -155.978037097632 -97.0780486851559</f>
        <v>-869.59282758991981</v>
      </c>
      <c r="W1893" t="s">
        <v>20939</v>
      </c>
      <c r="X1893" t="s">
        <v>20940</v>
      </c>
      <c r="Y1893" t="s">
        <v>20941</v>
      </c>
    </row>
    <row r="1894" spans="1:25" x14ac:dyDescent="0.3">
      <c r="A1894">
        <v>94650</v>
      </c>
      <c r="B1894" t="s">
        <v>20942</v>
      </c>
      <c r="C1894">
        <f>-648.821406850817 -64.0674376249631 -98.5111096780626</f>
        <v>-811.3999541538426</v>
      </c>
      <c r="D1894">
        <f>-669.926665427162 -74.8926339934335 -211.88480501321</f>
        <v>-956.70410443380547</v>
      </c>
      <c r="E1894">
        <f>-679.114059286532 -77.9101176397985 -310.033492286567</f>
        <v>-1067.0576692128975</v>
      </c>
      <c r="F1894">
        <f>-684.328586889815 -78.4201156388992 -398.975975913689</f>
        <v>-1161.7246784424033</v>
      </c>
      <c r="G1894">
        <f>-686.064873089812 -76.6764139870455 -488.038812368988</f>
        <v>-1250.7800994458455</v>
      </c>
      <c r="H1894">
        <f>-684.800236258466 -71.9414795159012 -612.525007850432</f>
        <v>-1369.2667236247992</v>
      </c>
      <c r="I1894">
        <f>-657.800697850127 -63.1364280172945 -690.618055027974</f>
        <v>-1411.5551808953956</v>
      </c>
      <c r="J1894">
        <f>-692.149452307135 -47.1783806663425 -556.792799772273</f>
        <v>-1296.1206327457505</v>
      </c>
      <c r="K1894" t="s">
        <v>20943</v>
      </c>
      <c r="L1894" t="s">
        <v>20944</v>
      </c>
      <c r="M1894" t="s">
        <v>20945</v>
      </c>
      <c r="N1894">
        <f>-678.563964537591 -100.871703125338 -558.696894744718</f>
        <v>-1338.1325624076471</v>
      </c>
      <c r="O1894">
        <f>-647.686870383981 -232.573939860552 -534.215817805803</f>
        <v>-1414.4766280503361</v>
      </c>
      <c r="P1894">
        <f>-655.14212285178 -286.614183850932 -245.05277921115</f>
        <v>-1186.809085913862</v>
      </c>
      <c r="Q1894">
        <f>-491.200425226913 -122.63379461125 -310.508570437826</f>
        <v>-924.34279027598905</v>
      </c>
      <c r="R1894" t="s">
        <v>20946</v>
      </c>
      <c r="S1894" t="s">
        <v>20947</v>
      </c>
      <c r="T1894" t="s">
        <v>20948</v>
      </c>
      <c r="U1894" t="s">
        <v>20949</v>
      </c>
      <c r="V1894">
        <f>-616.518924981128 -156.173368906383 -97.0885645077426</f>
        <v>-869.78085839525352</v>
      </c>
      <c r="W1894" t="s">
        <v>20950</v>
      </c>
      <c r="X1894" t="s">
        <v>20951</v>
      </c>
      <c r="Y1894" t="s">
        <v>20952</v>
      </c>
    </row>
    <row r="1895" spans="1:25" x14ac:dyDescent="0.3">
      <c r="A1895">
        <v>94700</v>
      </c>
      <c r="B1895" t="s">
        <v>20953</v>
      </c>
      <c r="C1895">
        <f>-649.062505318978 -64.6565619814554 -98.5552585491146</f>
        <v>-812.27432584954795</v>
      </c>
      <c r="D1895">
        <f>-670.183109784546 -75.6357082683799 -211.91134165723</f>
        <v>-957.73015971015582</v>
      </c>
      <c r="E1895">
        <f>-679.433308051122 -78.7743938000224 -310.050232699318</f>
        <v>-1068.2579345504623</v>
      </c>
      <c r="F1895">
        <f>-684.724322958731 -79.3909246043262 -398.987687331798</f>
        <v>-1163.1029348948553</v>
      </c>
      <c r="G1895">
        <f>-686.557303728089 -77.7475795895955 -488.050437626559</f>
        <v>-1252.3553209442434</v>
      </c>
      <c r="H1895">
        <f>-685.449301325026 -73.1462435267405 -612.543048944414</f>
        <v>-1371.1385937961804</v>
      </c>
      <c r="I1895">
        <f>-658.693692306937 -64.2735810961484 -690.712306344407</f>
        <v>-1413.6795797474924</v>
      </c>
      <c r="J1895">
        <f>-692.877460232878 -48.3615343019342 -556.830846934904</f>
        <v>-1298.0698414697163</v>
      </c>
      <c r="K1895" t="s">
        <v>20954</v>
      </c>
      <c r="L1895" t="s">
        <v>20955</v>
      </c>
      <c r="M1895" t="s">
        <v>20956</v>
      </c>
      <c r="N1895">
        <f>-678.996300522442 -101.980753754511 -558.689168566663</f>
        <v>-1339.666222843616</v>
      </c>
      <c r="O1895">
        <f>-647.338336991094 -233.479464356893 -534.114621249472</f>
        <v>-1414.932422597459</v>
      </c>
      <c r="P1895">
        <f>-654.347290329199 -287.316799672992 -244.902609822118</f>
        <v>-1186.5666998243089</v>
      </c>
      <c r="Q1895">
        <f>-491.476197765207 -122.393726459425 -310.661675463096</f>
        <v>-924.53159968772798</v>
      </c>
      <c r="R1895" t="s">
        <v>20957</v>
      </c>
      <c r="S1895" t="s">
        <v>20958</v>
      </c>
      <c r="T1895" t="s">
        <v>20959</v>
      </c>
      <c r="U1895" t="s">
        <v>20960</v>
      </c>
      <c r="V1895">
        <f>-616.295329014875 -156.477350634924 -97.1122932416516</f>
        <v>-869.88497289145073</v>
      </c>
      <c r="W1895" t="s">
        <v>20961</v>
      </c>
      <c r="X1895" t="s">
        <v>20962</v>
      </c>
      <c r="Y1895" t="s">
        <v>20963</v>
      </c>
    </row>
    <row r="1896" spans="1:25" x14ac:dyDescent="0.3">
      <c r="A1896">
        <v>94750</v>
      </c>
      <c r="B1896" t="s">
        <v>20964</v>
      </c>
      <c r="C1896">
        <f>-649.183506911871 -64.9064379157015 -98.5696721150794</f>
        <v>-812.65961694265184</v>
      </c>
      <c r="D1896">
        <f>-670.303518664524 -75.9468808734329 -211.919942115891</f>
        <v>-958.1703416538478</v>
      </c>
      <c r="E1896">
        <f>-679.576297186422 -79.1351226155456 -310.055001654015</f>
        <v>-1068.7664214559827</v>
      </c>
      <c r="F1896">
        <f>-684.896810724139 -79.7956311478697 -398.990474118975</f>
        <v>-1163.6829159909837</v>
      </c>
      <c r="G1896">
        <f>-686.769090684587 -78.1942969279685 -488.053147068356</f>
        <v>-1253.0165346809115</v>
      </c>
      <c r="H1896">
        <f>-685.726345683522 -73.6487246511775 -612.548470233956</f>
        <v>-1371.9235405686554</v>
      </c>
      <c r="I1896">
        <f>-659.053387451008 -64.7033939296618 -690.737750944436</f>
        <v>-1414.4945323251059</v>
      </c>
      <c r="J1896">
        <f>-693.205478214577 -48.8597995159181 -556.844853216696</f>
        <v>-1298.9101309471912</v>
      </c>
      <c r="K1896" t="s">
        <v>20965</v>
      </c>
      <c r="L1896" t="s">
        <v>20966</v>
      </c>
      <c r="M1896" t="s">
        <v>20967</v>
      </c>
      <c r="N1896">
        <f>-679.164882560495 -102.438202757472 -558.68347340026</f>
        <v>-1340.2865587182271</v>
      </c>
      <c r="O1896">
        <f>-647.07665782389 -233.828495380263 -534.060629372726</f>
        <v>-1414.9657825768791</v>
      </c>
      <c r="P1896">
        <f>-653.813138065155 -287.578680762406 -244.825811266369</f>
        <v>-1186.21763009393</v>
      </c>
      <c r="Q1896">
        <f>-491.509360973595 -122.136319340786 -310.68317280955</f>
        <v>-924.32885312393103</v>
      </c>
      <c r="R1896" t="s">
        <v>20968</v>
      </c>
      <c r="S1896" t="s">
        <v>20969</v>
      </c>
      <c r="T1896" t="s">
        <v>20970</v>
      </c>
      <c r="U1896" t="s">
        <v>20971</v>
      </c>
      <c r="V1896">
        <f>-616.215069702494 -156.592654777561 -97.1091672528651</f>
        <v>-869.91689173292002</v>
      </c>
      <c r="W1896" t="s">
        <v>20972</v>
      </c>
      <c r="X1896" t="s">
        <v>20973</v>
      </c>
      <c r="Y1896" t="s">
        <v>20974</v>
      </c>
    </row>
    <row r="1897" spans="1:25" x14ac:dyDescent="0.3">
      <c r="A1897">
        <v>94800</v>
      </c>
      <c r="B1897" t="s">
        <v>20975</v>
      </c>
      <c r="C1897">
        <f>-649.334679200861 -65.4733904134829 -98.5515877585533</f>
        <v>-813.35965737289723</v>
      </c>
      <c r="D1897">
        <f>-670.502105807132 -76.6321840951362 -211.881367123195</f>
        <v>-959.01565702546316</v>
      </c>
      <c r="E1897">
        <f>-679.884757193823 -79.9152577455407 -310.00306368644</f>
        <v>-1069.8030786258037</v>
      </c>
      <c r="F1897">
        <f>-685.333389027264 -80.6580432123055 -398.929973739222</f>
        <v>-1164.9214059787917</v>
      </c>
      <c r="G1897">
        <f>-687.363919085887 -79.1316245843178 -487.990541972693</f>
        <v>-1254.4860856428977</v>
      </c>
      <c r="H1897">
        <f>-686.574670669779 -74.6805007760039 -612.490951737653</f>
        <v>-1373.7461231834359</v>
      </c>
      <c r="I1897">
        <f>-660.204955402348 -65.6476953511894 -690.773060018396</f>
        <v>-1416.6257107719334</v>
      </c>
      <c r="J1897">
        <f>-694.100020447333 -49.8915473077655 -556.793784423369</f>
        <v>-1300.7853521784673</v>
      </c>
      <c r="K1897" t="s">
        <v>20976</v>
      </c>
      <c r="L1897" t="s">
        <v>20977</v>
      </c>
      <c r="M1897" t="s">
        <v>20978</v>
      </c>
      <c r="N1897">
        <f>-679.743979818998 -103.386858451083 -558.61527675171</f>
        <v>-1341.746115021791</v>
      </c>
      <c r="O1897">
        <f>-646.727997315606 -234.543270452418 -533.950287401604</f>
        <v>-1415.2215551696281</v>
      </c>
      <c r="P1897">
        <f>-652.914999409306 -288.346078364747 -244.712980538474</f>
        <v>-1185.9740583125269</v>
      </c>
      <c r="Q1897">
        <f>-491.955529326842 -121.610874157866 -310.608933879667</f>
        <v>-924.17533736437497</v>
      </c>
      <c r="R1897" t="s">
        <v>20979</v>
      </c>
      <c r="S1897" t="s">
        <v>20980</v>
      </c>
      <c r="T1897" t="s">
        <v>20981</v>
      </c>
      <c r="U1897" t="s">
        <v>20982</v>
      </c>
      <c r="V1897">
        <f>-616.009325267353 -157.027568035896 -97.1123981542015</f>
        <v>-870.14929145745054</v>
      </c>
      <c r="W1897" t="s">
        <v>20983</v>
      </c>
      <c r="X1897" t="s">
        <v>20984</v>
      </c>
      <c r="Y1897" t="s">
        <v>20985</v>
      </c>
    </row>
    <row r="1898" spans="1:25" x14ac:dyDescent="0.3">
      <c r="A1898">
        <v>94850</v>
      </c>
      <c r="B1898" t="s">
        <v>20986</v>
      </c>
      <c r="C1898">
        <f>-649.425472984878 -65.8014591489024 -98.5349692551453</f>
        <v>-813.76190138892559</v>
      </c>
      <c r="D1898">
        <f>-670.63445906586 -77.0085059966767 -211.852282879118</f>
        <v>-959.49524794165472</v>
      </c>
      <c r="E1898">
        <f>-680.089731077601 -80.321045591091 -309.965957503739</f>
        <v>-1070.376734172431</v>
      </c>
      <c r="F1898">
        <f>-685.619461679309 -81.0847191620604 -398.88756894121</f>
        <v>-1165.5917497825794</v>
      </c>
      <c r="G1898">
        <f>-687.747242372158 -79.5715810159292 -487.946125326746</f>
        <v>-1255.2649487148333</v>
      </c>
      <c r="H1898">
        <f>-687.111294087948 -75.1296024166882 -612.447919476321</f>
        <v>-1374.6888159809571</v>
      </c>
      <c r="I1898">
        <f>-660.89013053161 -66.0418673159505 -690.773462055088</f>
        <v>-1417.7054599026485</v>
      </c>
      <c r="J1898">
        <f>-694.650278060452 -50.3586786391267 -556.744459633924</f>
        <v>-1301.7534163335026</v>
      </c>
      <c r="K1898" t="s">
        <v>20987</v>
      </c>
      <c r="L1898" t="s">
        <v>20988</v>
      </c>
      <c r="M1898" t="s">
        <v>20989</v>
      </c>
      <c r="N1898">
        <f>-680.132015706661 -103.809788244598 -558.577220151548</f>
        <v>-1342.5190241028072</v>
      </c>
      <c r="O1898">
        <f>-646.679142827437 -234.851838388889 -533.933709732204</f>
        <v>-1415.46469094853</v>
      </c>
      <c r="P1898">
        <f>-652.536763005825 -288.766476209656 -244.710436064832</f>
        <v>-1186.013675280313</v>
      </c>
      <c r="Q1898">
        <f>-492.184376668906 -121.434184439003 -310.573361489641</f>
        <v>-924.19192259755005</v>
      </c>
      <c r="R1898" t="s">
        <v>20990</v>
      </c>
      <c r="S1898" t="s">
        <v>20991</v>
      </c>
      <c r="T1898" t="s">
        <v>20992</v>
      </c>
      <c r="U1898" t="s">
        <v>20993</v>
      </c>
      <c r="V1898">
        <f>-615.958158827813 -157.337953129896 -97.105692492584</f>
        <v>-870.40180445029296</v>
      </c>
      <c r="W1898" t="s">
        <v>20994</v>
      </c>
      <c r="X1898" t="s">
        <v>20995</v>
      </c>
      <c r="Y1898" t="s">
        <v>20996</v>
      </c>
    </row>
    <row r="1899" spans="1:25" x14ac:dyDescent="0.3">
      <c r="A1899">
        <v>94900</v>
      </c>
      <c r="B1899" t="s">
        <v>20997</v>
      </c>
      <c r="C1899">
        <f>-649.665810877579 -66.5772422915413 -98.5364674280593</f>
        <v>-814.77952059717961</v>
      </c>
      <c r="D1899">
        <f>-670.934501006847 -77.9314657223921 -211.827942048103</f>
        <v>-960.69390877734213</v>
      </c>
      <c r="E1899">
        <f>-680.526085257733 -81.3174620601976 -309.925896756959</f>
        <v>-1071.7694440748896</v>
      </c>
      <c r="F1899">
        <f>-686.212955853041 -82.1260680045169 -398.837255000263</f>
        <v>-1167.1762788578208</v>
      </c>
      <c r="G1899">
        <f>-688.532648772396 -80.6328709604934 -487.891306675952</f>
        <v>-1257.0568264088415</v>
      </c>
      <c r="H1899">
        <f>-688.201425658055 -76.1909811108455 -612.394302378388</f>
        <v>-1376.7867091472885</v>
      </c>
      <c r="I1899">
        <f>-662.274447275698 -66.9966413255679 -690.805269896511</f>
        <v>-1420.0763584977769</v>
      </c>
      <c r="J1899">
        <f>-695.760838458476 -51.4629872994919 -556.674418947793</f>
        <v>-1303.898244705761</v>
      </c>
      <c r="K1899" t="s">
        <v>20998</v>
      </c>
      <c r="L1899" t="s">
        <v>20999</v>
      </c>
      <c r="M1899" t="s">
        <v>21000</v>
      </c>
      <c r="N1899">
        <f>-680.933523100571 -104.82814055219 -558.538892826421</f>
        <v>-1344.300556479182</v>
      </c>
      <c r="O1899">
        <f>-646.612131428307 -235.659007624601 -533.98183559531</f>
        <v>-1416.252974648218</v>
      </c>
      <c r="P1899">
        <f>-651.780654221861 -289.905685614686 -244.807523778686</f>
        <v>-1186.4938636152328</v>
      </c>
      <c r="Q1899">
        <f>-492.777978033631 -121.19656372854 -310.429519309458</f>
        <v>-924.40406107162892</v>
      </c>
      <c r="R1899" t="s">
        <v>21001</v>
      </c>
      <c r="S1899" t="s">
        <v>21002</v>
      </c>
      <c r="T1899" t="s">
        <v>21003</v>
      </c>
      <c r="U1899" t="s">
        <v>21004</v>
      </c>
      <c r="V1899">
        <f>-615.878619833926 -157.955634646837 -97.0712780233765</f>
        <v>-870.9055325041395</v>
      </c>
      <c r="W1899" t="s">
        <v>21005</v>
      </c>
      <c r="X1899" t="s">
        <v>21006</v>
      </c>
      <c r="Y1899" t="s">
        <v>21007</v>
      </c>
    </row>
    <row r="1900" spans="1:25" x14ac:dyDescent="0.3">
      <c r="A1900">
        <v>94950</v>
      </c>
      <c r="B1900" t="s">
        <v>21008</v>
      </c>
      <c r="C1900">
        <f>-649.749449213505 -66.9890200777269 -98.5360160614329</f>
        <v>-815.27448535266478</v>
      </c>
      <c r="D1900">
        <f>-671.005144559967 -78.4076840856171 -211.823378176303</f>
        <v>-961.23620682188709</v>
      </c>
      <c r="E1900">
        <f>-680.632155167567 -81.8101989098391 -309.917248124528</f>
        <v>-1072.3596022019342</v>
      </c>
      <c r="F1900">
        <f>-686.369362395068 -82.6182163943478 -398.825517853951</f>
        <v>-1167.8130966433669</v>
      </c>
      <c r="G1900">
        <f>-688.758141012612 -81.1070659727897 -487.877349423303</f>
        <v>-1257.7425564087046</v>
      </c>
      <c r="H1900">
        <f>-688.543166758047 -76.6210831520644 -612.378947864153</f>
        <v>-1377.5431977742646</v>
      </c>
      <c r="I1900">
        <f>-662.740821408958 -67.344115078083 -690.821421714995</f>
        <v>-1420.906358202036</v>
      </c>
      <c r="J1900">
        <f>-696.127311851225 -51.9343945424175 -556.6443628531</f>
        <v>-1304.7060692467426</v>
      </c>
      <c r="K1900" t="s">
        <v>21009</v>
      </c>
      <c r="L1900" t="s">
        <v>21010</v>
      </c>
      <c r="M1900" t="s">
        <v>21011</v>
      </c>
      <c r="N1900">
        <f>-681.148234203539 -105.25600722725 -558.539638835566</f>
        <v>-1344.9438802663549</v>
      </c>
      <c r="O1900">
        <f>-646.422914375041 -235.993752392634 -534.023283217659</f>
        <v>-1416.4399499853339</v>
      </c>
      <c r="P1900">
        <f>-651.375138445332 -290.261810479209 -244.849165334483</f>
        <v>-1186.4861142590239</v>
      </c>
      <c r="Q1900">
        <f>-492.926522830869 -120.950540684069 -310.26013639703</f>
        <v>-924.13719991196797</v>
      </c>
      <c r="R1900" t="s">
        <v>21012</v>
      </c>
      <c r="S1900" t="s">
        <v>21013</v>
      </c>
      <c r="T1900" t="s">
        <v>21014</v>
      </c>
      <c r="U1900" t="s">
        <v>21015</v>
      </c>
      <c r="V1900">
        <f>-615.755638794929 -158.312621293282 -97.0724196966002</f>
        <v>-871.14067978481125</v>
      </c>
      <c r="W1900" t="s">
        <v>21016</v>
      </c>
      <c r="X1900" t="s">
        <v>21017</v>
      </c>
      <c r="Y1900" t="s">
        <v>21018</v>
      </c>
    </row>
    <row r="1901" spans="1:25" x14ac:dyDescent="0.3">
      <c r="A1901">
        <v>95000</v>
      </c>
      <c r="B1901" t="s">
        <v>21019</v>
      </c>
      <c r="C1901">
        <f>-649.830848260425 -67.7911959878397 -98.575718011806</f>
        <v>-816.1977622600707</v>
      </c>
      <c r="D1901">
        <f>-671.07482842342 -79.3430410973152 -211.851868830216</f>
        <v>-962.26973835095123</v>
      </c>
      <c r="E1901">
        <f>-680.709031453717 -82.7561411620308 -309.944618142481</f>
        <v>-1073.4097907582286</v>
      </c>
      <c r="F1901">
        <f>-686.4587863973 -83.5321550311907 -398.852253253206</f>
        <v>-1168.8431946816966</v>
      </c>
      <c r="G1901">
        <f>-688.866481960647 -81.9448268827443 -487.902351136197</f>
        <v>-1258.7136599795883</v>
      </c>
      <c r="H1901">
        <f>-688.684536166767 -77.304998516568 -612.398365052401</f>
        <v>-1378.387899735736</v>
      </c>
      <c r="I1901">
        <f>-663.040194493688 -67.8276265999871 -690.868678373181</f>
        <v>-1421.736499466856</v>
      </c>
      <c r="J1901">
        <f>-696.382669905047 -52.7235539392382 -556.632791524561</f>
        <v>-1305.7390153688461</v>
      </c>
      <c r="K1901" t="s">
        <v>21020</v>
      </c>
      <c r="L1901" t="s">
        <v>21021</v>
      </c>
      <c r="M1901" t="s">
        <v>21022</v>
      </c>
      <c r="N1901">
        <f>-681.146415902725 -105.969933556761 -558.594971643687</f>
        <v>-1345.7113211031731</v>
      </c>
      <c r="O1901">
        <f>-645.7247394943 -236.530190307575 -534.12206525542</f>
        <v>-1416.3769950572951</v>
      </c>
      <c r="P1901">
        <f>-650.418954109686 -290.69824461429 -244.924949088477</f>
        <v>-1186.0421478124529</v>
      </c>
      <c r="Q1901">
        <f>-493.190281454104 -120.247252550337 -310.319771462546</f>
        <v>-923.75730546698696</v>
      </c>
      <c r="R1901" t="s">
        <v>21023</v>
      </c>
      <c r="S1901" t="s">
        <v>21024</v>
      </c>
      <c r="T1901" t="s">
        <v>21025</v>
      </c>
      <c r="U1901" t="s">
        <v>21026</v>
      </c>
      <c r="V1901">
        <f>-615.526389758615 -159.011721102665 -97.0540778889473</f>
        <v>-871.59218875022725</v>
      </c>
      <c r="W1901" t="s">
        <v>21027</v>
      </c>
      <c r="X1901" t="s">
        <v>21028</v>
      </c>
      <c r="Y1901" t="s">
        <v>21029</v>
      </c>
    </row>
    <row r="1902" spans="1:25" x14ac:dyDescent="0.3">
      <c r="A1902">
        <v>95050</v>
      </c>
      <c r="B1902" t="s">
        <v>21030</v>
      </c>
      <c r="C1902">
        <f>-649.83517880691 -68.3706581927937 -98.5576942150881</f>
        <v>-816.76353121479178</v>
      </c>
      <c r="D1902">
        <f>-671.058187852824 -79.909042683095 -211.839121669732</f>
        <v>-962.80635220565091</v>
      </c>
      <c r="E1902">
        <f>-680.684414544539 -83.2954645774935 -309.933534055015</f>
        <v>-1073.9134131770475</v>
      </c>
      <c r="F1902">
        <f>-686.431560624916 -84.0402130075096 -398.841657040787</f>
        <v>-1169.3134306732127</v>
      </c>
      <c r="G1902">
        <f>-688.841944568545 -82.4134908606655 -487.891034324485</f>
        <v>-1259.1464697536956</v>
      </c>
      <c r="H1902">
        <f>-688.669528972604 -77.7091227121141 -612.384625355708</f>
        <v>-1378.7632770404261</v>
      </c>
      <c r="I1902">
        <f>-663.099201923863 -68.1469961354774 -690.868716665906</f>
        <v>-1422.1149147252463</v>
      </c>
      <c r="J1902">
        <f>-696.405336629574 -53.1686028709651 -556.606106583776</f>
        <v>-1306.1800460843151</v>
      </c>
      <c r="K1902" t="s">
        <v>21031</v>
      </c>
      <c r="L1902" t="s">
        <v>21032</v>
      </c>
      <c r="M1902" t="s">
        <v>21033</v>
      </c>
      <c r="N1902">
        <f>-681.085498266563 -106.389878694652 -558.596012056191</f>
        <v>-1346.0713890174061</v>
      </c>
      <c r="O1902">
        <f>-645.434005888918 -236.872266079209 -534.063760253676</f>
        <v>-1416.3700322218031</v>
      </c>
      <c r="P1902">
        <f>-649.931269344416 -291.032087404602 -244.861875461416</f>
        <v>-1185.825232210434</v>
      </c>
      <c r="Q1902">
        <f>-493.798811458798 -119.744930995058 -310.69686315546</f>
        <v>-924.24060560931593</v>
      </c>
      <c r="R1902" t="s">
        <v>21034</v>
      </c>
      <c r="S1902" t="s">
        <v>21035</v>
      </c>
      <c r="T1902" t="s">
        <v>21036</v>
      </c>
      <c r="U1902" t="s">
        <v>21037</v>
      </c>
      <c r="V1902">
        <f>-615.517765616816 -159.600690360297 -97.0500200534011</f>
        <v>-872.16847603051406</v>
      </c>
      <c r="W1902" t="s">
        <v>21038</v>
      </c>
      <c r="X1902" t="s">
        <v>21039</v>
      </c>
      <c r="Y1902" t="s">
        <v>21040</v>
      </c>
    </row>
    <row r="1903" spans="1:25" x14ac:dyDescent="0.3">
      <c r="A1903">
        <v>95100</v>
      </c>
      <c r="B1903" t="s">
        <v>21041</v>
      </c>
      <c r="C1903">
        <f>-649.809923881585 -69.2040056244415 -98.5459913383245</f>
        <v>-817.55992084435093</v>
      </c>
      <c r="D1903">
        <f>-670.890373752845 -80.7010577356808 -211.858150863281</f>
        <v>-963.44958235180684</v>
      </c>
      <c r="E1903">
        <f>-680.44008007847 -84.0776826800249 -309.960363471415</f>
        <v>-1074.4781262299098</v>
      </c>
      <c r="F1903">
        <f>-686.138877647042 -84.8212171055928 -398.871793865661</f>
        <v>-1169.8318886182958</v>
      </c>
      <c r="G1903">
        <f>-688.522382816504 -83.1994102470263 -487.921868186178</f>
        <v>-1259.6436612497082</v>
      </c>
      <c r="H1903">
        <f>-688.336227176733 -78.5072135850946 -612.415764376907</f>
        <v>-1379.2592051387346</v>
      </c>
      <c r="I1903">
        <f>-662.891240395351 -68.9604287721654 -690.942507750748</f>
        <v>-1422.7941769182644</v>
      </c>
      <c r="J1903">
        <f>-696.081534962603 -53.9622672658677 -556.640687141784</f>
        <v>-1306.6844893702546</v>
      </c>
      <c r="K1903" t="s">
        <v>21042</v>
      </c>
      <c r="L1903" t="s">
        <v>21043</v>
      </c>
      <c r="M1903" t="s">
        <v>21044</v>
      </c>
      <c r="N1903">
        <f>-680.754826685911 -107.181787772363 -558.623666828806</f>
        <v>-1346.56028128708</v>
      </c>
      <c r="O1903">
        <f>-645.133245658391 -237.650304111224 -533.942747088911</f>
        <v>-1416.726296858526</v>
      </c>
      <c r="P1903">
        <f>-648.584676882002 -292.380074411984 -244.833868903059</f>
        <v>-1185.798620197045</v>
      </c>
      <c r="Q1903">
        <f>-495.383628924476 -118.401858739897 -310.498820917507</f>
        <v>-924.28430858187994</v>
      </c>
      <c r="R1903" t="s">
        <v>21045</v>
      </c>
      <c r="S1903" t="s">
        <v>21046</v>
      </c>
      <c r="T1903" t="s">
        <v>21047</v>
      </c>
      <c r="U1903" t="s">
        <v>21048</v>
      </c>
      <c r="V1903">
        <f>-615.724104707077 -160.143787585691 -97.0031607217219</f>
        <v>-872.87105301448992</v>
      </c>
      <c r="W1903" t="s">
        <v>21049</v>
      </c>
      <c r="X1903" t="s">
        <v>21050</v>
      </c>
      <c r="Y1903" t="s">
        <v>21051</v>
      </c>
    </row>
    <row r="1904" spans="1:25" x14ac:dyDescent="0.3">
      <c r="A1904">
        <v>95150</v>
      </c>
      <c r="B1904" t="s">
        <v>21052</v>
      </c>
      <c r="C1904">
        <f>-649.813754786755 -69.1452337054649 -98.5769822508793</f>
        <v>-817.53597074309914</v>
      </c>
      <c r="D1904">
        <f>-670.857817138866 -80.5831344614969 -211.901876116141</f>
        <v>-963.34282771650396</v>
      </c>
      <c r="E1904">
        <f>-680.357539807948 -83.9160930991305 -310.010566702856</f>
        <v>-1074.2841996099346</v>
      </c>
      <c r="F1904">
        <f>-686.003871527576 -84.6224051154325 -398.925472152066</f>
        <v>-1169.5517487950744</v>
      </c>
      <c r="G1904">
        <f>-688.328099531372 -82.9660076151007 -487.976629480252</f>
        <v>-1259.2707366267246</v>
      </c>
      <c r="H1904">
        <f>-688.05180665108 -78.2280589580137 -612.468683138887</f>
        <v>-1378.7485487479807</v>
      </c>
      <c r="I1904">
        <f>-662.655216008668 -68.710897283861 -691.014638330573</f>
        <v>-1422.380751623102</v>
      </c>
      <c r="J1904">
        <f>-695.814420021092 -53.6969850996973 -556.689852379702</f>
        <v>-1306.2012575004912</v>
      </c>
      <c r="K1904" t="s">
        <v>21053</v>
      </c>
      <c r="L1904" t="s">
        <v>21054</v>
      </c>
      <c r="M1904" t="s">
        <v>21055</v>
      </c>
      <c r="N1904">
        <f>-680.532369570237 -106.929088740666 -558.681838552625</f>
        <v>-1346.1432968635281</v>
      </c>
      <c r="O1904">
        <f>-645.059005891239 -237.434914364863 -533.938136871326</f>
        <v>-1416.4320571274279</v>
      </c>
      <c r="P1904">
        <f>-648.103050688935 -292.65735324053 -244.918337454028</f>
        <v>-1185.6787413834932</v>
      </c>
      <c r="Q1904">
        <f>-495.626078401492 -118.075971602972 -310.667647842208</f>
        <v>-924.36969784667201</v>
      </c>
      <c r="R1904" t="s">
        <v>21056</v>
      </c>
      <c r="S1904" t="s">
        <v>21057</v>
      </c>
      <c r="T1904" t="s">
        <v>21058</v>
      </c>
      <c r="U1904" t="s">
        <v>21059</v>
      </c>
      <c r="V1904">
        <f>-615.763646092855 -160.016670907254 -97.0065927825639</f>
        <v>-872.78690978267286</v>
      </c>
      <c r="W1904" t="s">
        <v>21060</v>
      </c>
      <c r="X1904" t="s">
        <v>21061</v>
      </c>
      <c r="Y1904" t="s">
        <v>21062</v>
      </c>
    </row>
    <row r="1905" spans="1:25" x14ac:dyDescent="0.3">
      <c r="A1905">
        <v>95200</v>
      </c>
      <c r="B1905" t="s">
        <v>21063</v>
      </c>
      <c r="C1905">
        <f>-649.808263328679 -69.3890288464326 -98.5543615586408</f>
        <v>-817.75165373375239</v>
      </c>
      <c r="D1905">
        <f>-670.734895378456 -80.7136819488197 -211.912392304173</f>
        <v>-963.36096963144882</v>
      </c>
      <c r="E1905">
        <f>-680.097389068003 -83.9366523229066 -310.037971017188</f>
        <v>-1074.0720124080976</v>
      </c>
      <c r="F1905">
        <f>-685.605345910939 -84.5376329229929 -398.96223789857</f>
        <v>-1169.105216732502</v>
      </c>
      <c r="G1905">
        <f>-687.77684646851 -82.7707885475755 -488.015074734126</f>
        <v>-1258.5627097502115</v>
      </c>
      <c r="H1905">
        <f>-687.272058477932 -77.8735193962895 -612.500308226032</f>
        <v>-1377.6458861002534</v>
      </c>
      <c r="I1905">
        <f>-662.064388677755 -68.4015180437993 -691.112601374268</f>
        <v>-1421.5785080958224</v>
      </c>
      <c r="J1905">
        <f>-695.09281120566 -53.4011905494647 -556.703838823712</f>
        <v>-1305.1978405788368</v>
      </c>
      <c r="K1905" t="s">
        <v>21064</v>
      </c>
      <c r="L1905" t="s">
        <v>21065</v>
      </c>
      <c r="M1905" t="s">
        <v>21066</v>
      </c>
      <c r="N1905">
        <f>-679.89546120991 -106.656019570932 -558.73727324252</f>
        <v>-1345.2887540233619</v>
      </c>
      <c r="O1905">
        <f>-644.724542588679 -237.219397292172 -534.007745175312</f>
        <v>-1415.9516850561631</v>
      </c>
      <c r="P1905">
        <f>-647.085591604917 -293.492897298603 -245.184452623064</f>
        <v>-1185.762941526584</v>
      </c>
      <c r="Q1905">
        <f>-494.213854576825 -119.192616445752 -310.76267683093</f>
        <v>-924.16914785350696</v>
      </c>
      <c r="R1905" t="s">
        <v>21067</v>
      </c>
      <c r="S1905" t="s">
        <v>21068</v>
      </c>
      <c r="T1905" t="s">
        <v>21069</v>
      </c>
      <c r="U1905" t="s">
        <v>21070</v>
      </c>
      <c r="V1905">
        <f>-615.799428789861 -160.490461091225 -97.018090232959</f>
        <v>-873.30798011404511</v>
      </c>
      <c r="W1905" t="s">
        <v>21071</v>
      </c>
      <c r="X1905" t="s">
        <v>21072</v>
      </c>
      <c r="Y1905" t="s">
        <v>21073</v>
      </c>
    </row>
    <row r="1906" spans="1:25" x14ac:dyDescent="0.3">
      <c r="A1906">
        <v>95250</v>
      </c>
      <c r="B1906" t="s">
        <v>21074</v>
      </c>
      <c r="C1906">
        <f>-649.823015481008 -69.5049102002639 -98.5109417421216</f>
        <v>-817.83886742339359</v>
      </c>
      <c r="D1906">
        <f>-670.714211478803 -80.8681529173022 -211.871712276686</f>
        <v>-963.45407667279119</v>
      </c>
      <c r="E1906">
        <f>-680.003490645549 -84.0828363250916 -310.004450111519</f>
        <v>-1074.0907770821598</v>
      </c>
      <c r="F1906">
        <f>-685.426481494217 -84.6616616575025 -398.934181672934</f>
        <v>-1169.0223248246534</v>
      </c>
      <c r="G1906">
        <f>-687.493085660179 -82.8593864037507 -487.98886080894</f>
        <v>-1258.3413328728698</v>
      </c>
      <c r="H1906">
        <f>-686.820327584179 -77.8995811351602 -612.47073829476</f>
        <v>-1377.1906470140993</v>
      </c>
      <c r="I1906">
        <f>-661.753183183184 -68.4565828070347 -691.131417181542</f>
        <v>-1421.3411831717608</v>
      </c>
      <c r="J1906">
        <f>-694.690214971671 -53.4478395478052 -556.672171606319</f>
        <v>-1304.8102261257952</v>
      </c>
      <c r="K1906" t="s">
        <v>21075</v>
      </c>
      <c r="L1906" t="s">
        <v>21076</v>
      </c>
      <c r="M1906" t="s">
        <v>21077</v>
      </c>
      <c r="N1906">
        <f>-679.542484863782 -106.716451602117 -558.712577114727</f>
        <v>-1344.9715135806259</v>
      </c>
      <c r="O1906">
        <f>-644.495057210162 -237.336711339644 -534.056640923516</f>
        <v>-1415.8884094733221</v>
      </c>
      <c r="P1906">
        <f>-646.207763747888 -294.510838872671 -245.405681287638</f>
        <v>-1186.124283908197</v>
      </c>
      <c r="Q1906">
        <f>-492.884290726651 -120.56905672129 -310.88121984589</f>
        <v>-924.33456729383101</v>
      </c>
      <c r="R1906" t="s">
        <v>21078</v>
      </c>
      <c r="S1906" t="s">
        <v>21079</v>
      </c>
      <c r="T1906" t="s">
        <v>21080</v>
      </c>
      <c r="U1906" t="s">
        <v>21081</v>
      </c>
      <c r="V1906">
        <f>-615.824607892922 -160.429353102586 -97.0034295486723</f>
        <v>-873.25739054418034</v>
      </c>
      <c r="W1906" t="s">
        <v>21082</v>
      </c>
      <c r="X1906" t="s">
        <v>21083</v>
      </c>
      <c r="Y1906" t="s">
        <v>21084</v>
      </c>
    </row>
    <row r="1907" spans="1:25" x14ac:dyDescent="0.3">
      <c r="A1907">
        <v>95300</v>
      </c>
      <c r="B1907" t="s">
        <v>21085</v>
      </c>
      <c r="C1907">
        <f>-649.99628560953 -69.8263497836351 -98.5445686753766</f>
        <v>-818.3672040685417</v>
      </c>
      <c r="D1907">
        <f>-670.826782320996 -81.2239517156688 -211.9129748295</f>
        <v>-963.96370886616478</v>
      </c>
      <c r="E1907">
        <f>-679.98340698547 -84.3829666836059 -310.060015249841</f>
        <v>-1074.4263889189169</v>
      </c>
      <c r="F1907">
        <f>-685.250380880461 -84.8814080680913 -398.999482222055</f>
        <v>-1169.1312711706073</v>
      </c>
      <c r="G1907">
        <f>-687.123026772288 -82.9711135488769 -488.056244860206</f>
        <v>-1258.1503851813709</v>
      </c>
      <c r="H1907">
        <f>-686.137728727922 -77.8343239255762 -612.529049795532</f>
        <v>-1376.5011024490302</v>
      </c>
      <c r="I1907">
        <f>-661.453970476788 -68.4021433395975 -691.312055764599</f>
        <v>-1421.1681695809843</v>
      </c>
      <c r="J1907">
        <f>-694.114172805926 -53.4524421453867 -556.714791102694</f>
        <v>-1304.2814060540068</v>
      </c>
      <c r="K1907" t="s">
        <v>21086</v>
      </c>
      <c r="L1907" t="s">
        <v>21087</v>
      </c>
      <c r="M1907" t="s">
        <v>21088</v>
      </c>
      <c r="N1907">
        <f>-679.028398355981 -106.737186578792 -558.794423856177</f>
        <v>-1344.5600087909502</v>
      </c>
      <c r="O1907">
        <f>-643.997104078587 -237.366389631017 -534.222254960739</f>
        <v>-1415.585748670343</v>
      </c>
      <c r="P1907">
        <f>-644.270052405164 -295.674838970404 -245.793190217973</f>
        <v>-1185.738081593541</v>
      </c>
      <c r="Q1907">
        <f>-490.695876369913 -121.9471973651 -311.249779984538</f>
        <v>-923.892853719551</v>
      </c>
      <c r="R1907" t="s">
        <v>21089</v>
      </c>
      <c r="S1907" t="s">
        <v>21090</v>
      </c>
      <c r="T1907" t="s">
        <v>21091</v>
      </c>
      <c r="U1907" t="s">
        <v>21092</v>
      </c>
      <c r="V1907">
        <f>-615.73333439549 -160.739480454804 -97.0028966843453</f>
        <v>-873.47571153463934</v>
      </c>
      <c r="W1907" t="s">
        <v>21093</v>
      </c>
      <c r="X1907" t="s">
        <v>21094</v>
      </c>
      <c r="Y1907" t="s">
        <v>21095</v>
      </c>
    </row>
    <row r="1908" spans="1:25" x14ac:dyDescent="0.3">
      <c r="A1908">
        <v>95350</v>
      </c>
      <c r="B1908" t="s">
        <v>21096</v>
      </c>
      <c r="C1908">
        <f>-650.100120462793 -70.023088748576 -98.5677214253869</f>
        <v>-818.69093063675598</v>
      </c>
      <c r="D1908">
        <f>-670.893318614749 -81.4835032663358 -211.936691667342</f>
        <v>-964.31351354842673</v>
      </c>
      <c r="E1908">
        <f>-679.970440109663 -84.6435721757507 -310.091005099395</f>
        <v>-1074.7050173848086</v>
      </c>
      <c r="F1908">
        <f>-685.143761087721 -85.1249130281615 -399.036239078165</f>
        <v>-1169.3049131940475</v>
      </c>
      <c r="G1908">
        <f>-686.899630020952 -83.1814149494592 -488.094471692512</f>
        <v>-1258.1755166629232</v>
      </c>
      <c r="H1908">
        <f>-685.725756030107 -77.9825734660944 -612.563040464775</f>
        <v>-1376.2713699609765</v>
      </c>
      <c r="I1908">
        <f>-661.241642053979 -68.5484103666099 -691.4081511202</f>
        <v>-1421.1982035407891</v>
      </c>
      <c r="J1908">
        <f>-693.770939219221 -53.6239541749882 -556.748622134914</f>
        <v>-1304.1435155291231</v>
      </c>
      <c r="K1908" t="s">
        <v>21097</v>
      </c>
      <c r="L1908" t="s">
        <v>21098</v>
      </c>
      <c r="M1908" t="s">
        <v>21099</v>
      </c>
      <c r="N1908">
        <f>-678.713687382632 -106.91657964901 -558.832563996124</f>
        <v>-1344.462831027766</v>
      </c>
      <c r="O1908">
        <f>-643.599834292978 -237.528286624324 -534.278124404894</f>
        <v>-1415.4062453221959</v>
      </c>
      <c r="P1908">
        <f>-642.994615804634 -296.221776681579 -245.927770438974</f>
        <v>-1185.1441629251869</v>
      </c>
      <c r="Q1908">
        <f>-489.478688592671 -122.543592353231 -311.651626571848</f>
        <v>-923.67390751774997</v>
      </c>
      <c r="R1908" t="s">
        <v>21100</v>
      </c>
      <c r="S1908" t="s">
        <v>21101</v>
      </c>
      <c r="T1908" t="s">
        <v>21102</v>
      </c>
      <c r="U1908" t="s">
        <v>21103</v>
      </c>
      <c r="V1908">
        <f>-615.713511185811 -160.920290294915 -97.0148145775294</f>
        <v>-873.64861605825524</v>
      </c>
      <c r="W1908" t="s">
        <v>21104</v>
      </c>
      <c r="X1908" t="s">
        <v>21105</v>
      </c>
      <c r="Y1908" t="s">
        <v>21106</v>
      </c>
    </row>
    <row r="1909" spans="1:25" x14ac:dyDescent="0.3">
      <c r="A1909">
        <v>95400</v>
      </c>
      <c r="B1909" t="s">
        <v>21107</v>
      </c>
      <c r="C1909">
        <f>-650.431479002374 -70.4345752555004 -98.5913046714243</f>
        <v>-819.45735892929861</v>
      </c>
      <c r="D1909">
        <f>-671.184097921309 -82.0265815311918 -211.954326247748</f>
        <v>-965.1650057002488</v>
      </c>
      <c r="E1909">
        <f>-680.041054486668 -85.2571552282413 -310.126585364426</f>
        <v>-1075.4247950793354</v>
      </c>
      <c r="F1909">
        <f>-684.934712293129 -85.7945961271694 -399.087186267929</f>
        <v>-1169.8164946882273</v>
      </c>
      <c r="G1909">
        <f>-686.327406614416 -83.9047132144905 -488.153012623224</f>
        <v>-1258.3851324521304</v>
      </c>
      <c r="H1909">
        <f>-684.556064659465 -78.7839633759252 -612.617704141414</f>
        <v>-1375.9577321768043</v>
      </c>
      <c r="I1909">
        <f>-660.376677692959 -69.3876265891219 -691.561450861161</f>
        <v>-1421.3257551432418</v>
      </c>
      <c r="J1909">
        <f>-692.807232559964 -54.3731243236509 -556.856254313246</f>
        <v>-1304.036611196861</v>
      </c>
      <c r="K1909" t="s">
        <v>21108</v>
      </c>
      <c r="L1909" t="s">
        <v>21109</v>
      </c>
      <c r="M1909" t="s">
        <v>21110</v>
      </c>
      <c r="N1909">
        <f>-677.86387893062 -107.701665879236 -558.837716751872</f>
        <v>-1344.403261561728</v>
      </c>
      <c r="O1909">
        <f>-642.553556366262 -238.24922250187 -534.18944271288</f>
        <v>-1414.992221581012</v>
      </c>
      <c r="P1909">
        <f>-638.102460743121 -298.396614257052 -246.172568105542</f>
        <v>-1182.671643105715</v>
      </c>
      <c r="Q1909">
        <f>-485.430616287522 -124.591047876741 -313.506167470522</f>
        <v>-923.527831634785</v>
      </c>
      <c r="R1909" t="s">
        <v>21111</v>
      </c>
      <c r="S1909" t="s">
        <v>21112</v>
      </c>
      <c r="T1909" t="s">
        <v>21113</v>
      </c>
      <c r="U1909" t="s">
        <v>21114</v>
      </c>
      <c r="V1909">
        <f>-615.778621829237 -161.180865609935 -96.9930437570747</f>
        <v>-873.9525311962467</v>
      </c>
      <c r="W1909" t="s">
        <v>21115</v>
      </c>
      <c r="X1909" t="s">
        <v>21116</v>
      </c>
      <c r="Y1909" t="s">
        <v>21117</v>
      </c>
    </row>
    <row r="1910" spans="1:25" x14ac:dyDescent="0.3">
      <c r="A1910">
        <v>95450</v>
      </c>
      <c r="B1910" t="s">
        <v>21118</v>
      </c>
      <c r="C1910">
        <f>-650.716953434234 -70.6988772219504 -98.6092712888657</f>
        <v>-820.0251019450501</v>
      </c>
      <c r="D1910">
        <f>-671.444154129065 -82.3145593200774 -211.974619051005</f>
        <v>-965.73333250014741</v>
      </c>
      <c r="E1910">
        <f>-680.181736667703 -85.6041812907279 -310.155472589105</f>
        <v>-1075.9413905475358</v>
      </c>
      <c r="F1910">
        <f>-684.926692854297 -86.2143847715222 -399.12376954125</f>
        <v>-1170.2648471670691</v>
      </c>
      <c r="G1910">
        <f>-686.129047838342 -84.4192774208977 -488.194299687755</f>
        <v>-1258.7426249469947</v>
      </c>
      <c r="H1910">
        <f>-684.0476695645 -79.4564609629863 -612.660593170259</f>
        <v>-1376.1647236977451</v>
      </c>
      <c r="I1910">
        <f>-659.977074312142 -70.0896659784163 -691.640870126583</f>
        <v>-1421.7076104171413</v>
      </c>
      <c r="J1910">
        <f>-692.391179561025 -54.9618733980153 -556.949643796566</f>
        <v>-1304.3026967556061</v>
      </c>
      <c r="K1910" t="s">
        <v>21119</v>
      </c>
      <c r="L1910" t="s">
        <v>21120</v>
      </c>
      <c r="M1910" t="s">
        <v>21121</v>
      </c>
      <c r="N1910">
        <f>-677.536047196536 -108.318751826588 -558.828731604579</f>
        <v>-1344.683530627703</v>
      </c>
      <c r="O1910">
        <f>-642.199193213802 -238.841272893157 -534.087671957601</f>
        <v>-1415.1281380645601</v>
      </c>
      <c r="P1910">
        <f>-634.043397920126 -300.755963430648 -246.526825265477</f>
        <v>-1181.3261866162511</v>
      </c>
      <c r="Q1910">
        <f>-482.127084480762 -126.915782697543 -315.460734198287</f>
        <v>-924.50360137659197</v>
      </c>
      <c r="R1910" t="s">
        <v>21122</v>
      </c>
      <c r="S1910" t="s">
        <v>21123</v>
      </c>
      <c r="T1910" t="s">
        <v>21124</v>
      </c>
      <c r="U1910" t="s">
        <v>21125</v>
      </c>
      <c r="V1910">
        <f>-616.038657383337 -161.41648913836 -96.9856584303996</f>
        <v>-874.44080495209653</v>
      </c>
      <c r="W1910" t="s">
        <v>21126</v>
      </c>
      <c r="X1910" t="s">
        <v>21127</v>
      </c>
      <c r="Y1910" t="s">
        <v>21128</v>
      </c>
    </row>
    <row r="1911" spans="1:25" x14ac:dyDescent="0.3">
      <c r="A1911">
        <v>95500</v>
      </c>
      <c r="B1911" t="s">
        <v>21129</v>
      </c>
      <c r="C1911">
        <f>-651.621782342505 -70.8999431404179 -98.6675584398438</f>
        <v>-821.18928392276666</v>
      </c>
      <c r="D1911">
        <f>-672.232348876102 -82.5792311579963 -212.047524862623</f>
        <v>-966.85910489672142</v>
      </c>
      <c r="E1911">
        <f>-680.679698395281 -85.9594604846118 -310.250725313259</f>
        <v>-1076.8898841931518</v>
      </c>
      <c r="F1911">
        <f>-685.083692667393 -86.6715222344365 -399.235902785632</f>
        <v>-1170.9911176874616</v>
      </c>
      <c r="G1911">
        <f>-685.865027349849 -85.0029086085829 -488.313535731486</f>
        <v>-1259.181471689918</v>
      </c>
      <c r="H1911">
        <f>-683.110772457519 -80.2468821177844 -612.774834209383</f>
        <v>-1376.1324887846863</v>
      </c>
      <c r="I1911">
        <f>-659.207163465041 -70.8699130616467 -691.804750507139</f>
        <v>-1421.8818270338268</v>
      </c>
      <c r="J1911">
        <f>-691.64975980654 -55.6308660363713 -557.147133876735</f>
        <v>-1304.4277597196465</v>
      </c>
      <c r="K1911" t="s">
        <v>21130</v>
      </c>
      <c r="L1911" t="s">
        <v>21131</v>
      </c>
      <c r="M1911" t="s">
        <v>21132</v>
      </c>
      <c r="N1911">
        <f>-676.995771814557 -109.048809543649 -558.863998570347</f>
        <v>-1344.9085799285531</v>
      </c>
      <c r="O1911">
        <f>-642.044299436322 -239.672078366816 -533.982877201992</f>
        <v>-1415.69925500513</v>
      </c>
      <c r="P1911">
        <f>-623.432407379767 -306.937739611984 -248.115484307745</f>
        <v>-1178.4856312994959</v>
      </c>
      <c r="Q1911">
        <f>-474.484602193371 -133.15544917951 -323.382466961414</f>
        <v>-931.022518334295</v>
      </c>
      <c r="R1911" t="s">
        <v>21133</v>
      </c>
      <c r="S1911" t="s">
        <v>21134</v>
      </c>
      <c r="T1911" t="s">
        <v>21135</v>
      </c>
      <c r="U1911" t="s">
        <v>21136</v>
      </c>
      <c r="V1911">
        <f>-616.993746922758 -161.486775295892 -96.9262553429402</f>
        <v>-875.40677756159016</v>
      </c>
      <c r="W1911" t="s">
        <v>21137</v>
      </c>
      <c r="X1911" t="s">
        <v>21138</v>
      </c>
      <c r="Y1911" t="s">
        <v>21139</v>
      </c>
    </row>
    <row r="1912" spans="1:25" x14ac:dyDescent="0.3">
      <c r="A1912">
        <v>95550</v>
      </c>
      <c r="B1912" t="s">
        <v>21140</v>
      </c>
      <c r="C1912">
        <f>-652.107557553602 -70.8634508633487 -98.7107329686293</f>
        <v>-821.68174138557993</v>
      </c>
      <c r="D1912">
        <f>-672.624144720946 -82.5648923020411 -212.105538384314</f>
        <v>-967.29457540730118</v>
      </c>
      <c r="E1912">
        <f>-680.860887381538 -85.918619594548 -310.327496875908</f>
        <v>-1077.107003851994</v>
      </c>
      <c r="F1912">
        <f>-685.021261072707 -86.5896634869047 -399.324632015031</f>
        <v>-1170.9355565746428</v>
      </c>
      <c r="G1912">
        <f>-685.505233415802 -84.8653129736197 -488.403386437925</f>
        <v>-1258.7739328273467</v>
      </c>
      <c r="H1912">
        <f>-682.278635637335 -80.0171470876445 -612.849839254696</f>
        <v>-1375.1456219796755</v>
      </c>
      <c r="I1912">
        <f>-658.416952193173 -70.540059063425 -691.880368151346</f>
        <v>-1420.8373794079439</v>
      </c>
      <c r="J1912">
        <f>-690.97986195601 -55.4288961752952 -557.234852341925</f>
        <v>-1303.6436104732302</v>
      </c>
      <c r="K1912" t="s">
        <v>21141</v>
      </c>
      <c r="L1912" t="s">
        <v>21142</v>
      </c>
      <c r="M1912" t="s">
        <v>21143</v>
      </c>
      <c r="N1912">
        <f>-676.417140462494 -108.872246373787 -558.939355043257</f>
        <v>-1344.2287418795381</v>
      </c>
      <c r="O1912">
        <f>-641.790751444339 -239.585082427251 -534.060693654323</f>
        <v>-1415.4365275259129</v>
      </c>
      <c r="P1912">
        <f>-617.2619577047 -310.647035170988 -249.561443536745</f>
        <v>-1177.4704364124329</v>
      </c>
      <c r="Q1912">
        <f>-470.925304510642 -136.574882945345 -329.156590424712</f>
        <v>-936.656777880699</v>
      </c>
      <c r="R1912" t="s">
        <v>21144</v>
      </c>
      <c r="S1912" t="s">
        <v>21145</v>
      </c>
      <c r="T1912" t="s">
        <v>21146</v>
      </c>
      <c r="U1912" t="s">
        <v>21147</v>
      </c>
      <c r="V1912">
        <f>-617.499880312513 -161.407045563596 -96.9430163543876</f>
        <v>-875.84994223049659</v>
      </c>
      <c r="W1912" t="s">
        <v>21148</v>
      </c>
      <c r="X1912" t="s">
        <v>21149</v>
      </c>
      <c r="Y1912" t="s">
        <v>21150</v>
      </c>
    </row>
    <row r="1913" spans="1:25" x14ac:dyDescent="0.3">
      <c r="A1913">
        <v>95600</v>
      </c>
      <c r="B1913" t="s">
        <v>21151</v>
      </c>
      <c r="C1913">
        <f>-653.27482531115 -70.6779358304816 -98.8432678414875</f>
        <v>-822.79602898311919</v>
      </c>
      <c r="D1913">
        <f>-673.600075222129 -82.4795426460589 -212.262168235726</f>
        <v>-968.34178610391393</v>
      </c>
      <c r="E1913">
        <f>-681.462054263513 -85.7045946050707 -310.519179044744</f>
        <v>-1077.6858279133278</v>
      </c>
      <c r="F1913">
        <f>-685.195827287179 -86.1743981857226 -399.536377751401</f>
        <v>-1170.9066032243027</v>
      </c>
      <c r="G1913">
        <f>-685.163460195176 -84.16675272794 -488.610522368774</f>
        <v>-1257.94073529189</v>
      </c>
      <c r="H1913">
        <f>-681.12063246623 -78.8391888312685 -613.01350535344</f>
        <v>-1372.9733266509384</v>
      </c>
      <c r="I1913">
        <f>-657.42044415279 -69.0770159837136 -692.058057600076</f>
        <v>-1418.5555177365795</v>
      </c>
      <c r="J1913">
        <f>-690.108361779761 -54.4441045593281 -557.35898891637</f>
        <v>-1301.9114552554593</v>
      </c>
      <c r="K1913" t="s">
        <v>21152</v>
      </c>
      <c r="L1913" t="s">
        <v>21153</v>
      </c>
      <c r="M1913" t="s">
        <v>21154</v>
      </c>
      <c r="N1913">
        <f>-675.691051495442 -107.922979943525 -559.1808241307</f>
        <v>-1342.7948555696671</v>
      </c>
      <c r="O1913">
        <f>-641.650585897483 -238.827283156963 -534.553999676073</f>
        <v>-1415.0318687305189</v>
      </c>
      <c r="P1913">
        <f>-605.311061275456 -317.351280175865 -253.29863473259</f>
        <v>-1175.960976183911</v>
      </c>
      <c r="Q1913">
        <f>-466.040627638917 -143.27897915632 -344.695769010721</f>
        <v>-954.015375805958</v>
      </c>
      <c r="R1913" t="s">
        <v>21155</v>
      </c>
      <c r="S1913" t="s">
        <v>21156</v>
      </c>
      <c r="T1913" t="s">
        <v>21157</v>
      </c>
      <c r="U1913" t="s">
        <v>21158</v>
      </c>
      <c r="V1913">
        <f>-618.89167401503 -160.957657960969 -96.949767026037</f>
        <v>-876.79909900203597</v>
      </c>
      <c r="W1913" t="s">
        <v>21159</v>
      </c>
      <c r="X1913" t="s">
        <v>21160</v>
      </c>
      <c r="Y1913" t="s">
        <v>21161</v>
      </c>
    </row>
    <row r="1914" spans="1:25" x14ac:dyDescent="0.3">
      <c r="A1914">
        <v>95650</v>
      </c>
      <c r="B1914" t="s">
        <v>21162</v>
      </c>
      <c r="C1914">
        <f>-653.783119143253 -70.6549890313195 -98.9100665234963</f>
        <v>-823.34817469806876</v>
      </c>
      <c r="D1914">
        <f>-674.012266904945 -82.4720883570111 -212.344470327537</f>
        <v>-968.82882558949314</v>
      </c>
      <c r="E1914">
        <f>-681.744643092118 -85.6189662515418 -310.614271603339</f>
        <v>-1077.9778809469988</v>
      </c>
      <c r="F1914">
        <f>-685.341294186868 -85.9810184136386 -399.63779250969</f>
        <v>-1170.9601051101965</v>
      </c>
      <c r="G1914">
        <f>-685.151338099578 -83.8294247817691 -488.708495291713</f>
        <v>-1257.6892581730601</v>
      </c>
      <c r="H1914">
        <f>-680.866144341811 -78.263056027324 -613.092787987082</f>
        <v>-1372.221988356217</v>
      </c>
      <c r="I1914">
        <f>-657.339626471126 -68.3878194068781 -692.175084763483</f>
        <v>-1417.9025306414871</v>
      </c>
      <c r="J1914">
        <f>-689.937124964065 -53.9681886446837 -557.407991070989</f>
        <v>-1301.3133046797377</v>
      </c>
      <c r="K1914" t="s">
        <v>21163</v>
      </c>
      <c r="L1914" t="s">
        <v>21164</v>
      </c>
      <c r="M1914" t="s">
        <v>21165</v>
      </c>
      <c r="N1914">
        <f>-675.566577082083 -107.456913723967 -559.306758685761</f>
        <v>-1342.3302494918109</v>
      </c>
      <c r="O1914">
        <f>-641.695250939881 -238.414143231197 -534.853804509092</f>
        <v>-1414.9631986801701</v>
      </c>
      <c r="P1914">
        <f>-599.477016092253 -320.878320198718 -255.55370291851</f>
        <v>-1175.9090392094811</v>
      </c>
      <c r="Q1914">
        <f>-464.348811848211 -146.988904411813 -353.296783208614</f>
        <v>-964.63449946863807</v>
      </c>
      <c r="R1914" t="s">
        <v>21166</v>
      </c>
      <c r="S1914" t="s">
        <v>21167</v>
      </c>
      <c r="T1914" t="s">
        <v>21168</v>
      </c>
      <c r="U1914" t="s">
        <v>21169</v>
      </c>
      <c r="V1914">
        <f>-619.507421969317 -160.96092608585 -96.9364187118899</f>
        <v>-877.40476676705691</v>
      </c>
      <c r="W1914" t="s">
        <v>21170</v>
      </c>
      <c r="X1914" t="s">
        <v>21171</v>
      </c>
      <c r="Y1914" t="s">
        <v>21172</v>
      </c>
    </row>
    <row r="1915" spans="1:25" x14ac:dyDescent="0.3">
      <c r="A1915">
        <v>95700</v>
      </c>
      <c r="B1915" t="s">
        <v>21173</v>
      </c>
      <c r="C1915">
        <f>-654.280725058245 -71.094637783573 -98.9773696277978</f>
        <v>-824.35273246961583</v>
      </c>
      <c r="D1915">
        <f>-674.416590968238 -82.8792300501711 -212.431710050745</f>
        <v>-969.72753106915411</v>
      </c>
      <c r="E1915">
        <f>-682.061087650335 -85.9443888032027 -310.711097701832</f>
        <v>-1078.7165741553697</v>
      </c>
      <c r="F1915">
        <f>-685.574384668127 -86.2106241950137 -399.738159768915</f>
        <v>-1171.5231686320558</v>
      </c>
      <c r="G1915">
        <f>-685.296343948253 -83.9424920670282 -488.80562182138</f>
        <v>-1258.0444578366612</v>
      </c>
      <c r="H1915">
        <f>-680.882875378614 -78.1920078775557 -613.177143174558</f>
        <v>-1372.2520264307277</v>
      </c>
      <c r="I1915">
        <f>-657.417743681659 -68.152031653575 -692.256918101439</f>
        <v>-1417.8266934366729</v>
      </c>
      <c r="J1915">
        <f>-689.965724229539 -53.9674640444966 -557.463701488584</f>
        <v>-1301.3968897626196</v>
      </c>
      <c r="K1915" t="s">
        <v>21174</v>
      </c>
      <c r="L1915" t="s">
        <v>21175</v>
      </c>
      <c r="M1915" t="s">
        <v>21176</v>
      </c>
      <c r="N1915">
        <f>-675.684267013979 -107.477558453208 -559.431043447017</f>
        <v>-1342.592868914204</v>
      </c>
      <c r="O1915">
        <f>-642.10943983789 -238.610395056797 -535.444102583811</f>
        <v>-1416.1639374784979</v>
      </c>
      <c r="P1915">
        <f>-588.802954284324 -329.89552447902 -260.823131638847</f>
        <v>-1179.5216104021908</v>
      </c>
      <c r="Q1915">
        <f>-462.89674047449 -155.446489161841 -369.294502715495</f>
        <v>-987.637732351826</v>
      </c>
      <c r="R1915" t="s">
        <v>21177</v>
      </c>
      <c r="S1915" t="s">
        <v>21178</v>
      </c>
      <c r="T1915" t="s">
        <v>21179</v>
      </c>
      <c r="U1915" t="s">
        <v>21180</v>
      </c>
      <c r="V1915">
        <f>-620.140542922666 -161.241115159823 -96.9478367353306</f>
        <v>-878.32949481781964</v>
      </c>
      <c r="W1915" t="s">
        <v>21181</v>
      </c>
      <c r="X1915" t="s">
        <v>21182</v>
      </c>
      <c r="Y1915" t="s">
        <v>21183</v>
      </c>
    </row>
    <row r="1916" spans="1:25" x14ac:dyDescent="0.3">
      <c r="A1916">
        <v>95750</v>
      </c>
      <c r="B1916" t="s">
        <v>21184</v>
      </c>
      <c r="C1916">
        <f>-654.314622907912 -71.5931388703953 -98.9769057533936</f>
        <v>-824.88466753170087</v>
      </c>
      <c r="D1916">
        <f>-674.451871134033 -83.3957911083322 -212.429229726541</f>
        <v>-970.27689196890628</v>
      </c>
      <c r="E1916">
        <f>-682.128473653735 -86.4646777278687 -310.705816159542</f>
        <v>-1079.2989675411457</v>
      </c>
      <c r="F1916">
        <f>-685.68185329477 -86.7311045520482 -399.731350785941</f>
        <v>-1172.1443086327592</v>
      </c>
      <c r="G1916">
        <f>-685.45380124874 -84.4607615513122 -488.798952799865</f>
        <v>-1258.7135155999172</v>
      </c>
      <c r="H1916">
        <f>-681.119982292816 -78.7058006828461 -613.172931892344</f>
        <v>-1372.9987148680061</v>
      </c>
      <c r="I1916">
        <f>-657.605916234043 -68.6224530687263 -692.23274980295</f>
        <v>-1418.4611191057193</v>
      </c>
      <c r="J1916">
        <f>-690.137450983569 -54.4754370861922 -557.451531426036</f>
        <v>-1302.0644194957972</v>
      </c>
      <c r="K1916" t="s">
        <v>21185</v>
      </c>
      <c r="L1916" t="s">
        <v>21186</v>
      </c>
      <c r="M1916" t="s">
        <v>21187</v>
      </c>
      <c r="N1916">
        <f>-675.916760357576 -108.001172554771 -559.432740491669</f>
        <v>-1343.3506734040161</v>
      </c>
      <c r="O1916">
        <f>-642.508811888763 -239.219682670247 -535.762390151311</f>
        <v>-1417.4908847103211</v>
      </c>
      <c r="P1916">
        <f>-583.863138231873 -335.222733545508 -263.8520440158</f>
        <v>-1182.937915793181</v>
      </c>
      <c r="Q1916">
        <f>-462.679138696788 -159.690933328208 -375.896216782307</f>
        <v>-998.266288807303</v>
      </c>
      <c r="R1916" t="s">
        <v>21188</v>
      </c>
      <c r="S1916" t="s">
        <v>21189</v>
      </c>
      <c r="T1916" t="s">
        <v>21190</v>
      </c>
      <c r="U1916" t="s">
        <v>21191</v>
      </c>
      <c r="V1916">
        <f>-620.141077099598 -161.723378141845 -96.9544332305045</f>
        <v>-878.8188884719475</v>
      </c>
      <c r="W1916" t="s">
        <v>21192</v>
      </c>
      <c r="X1916" t="s">
        <v>21193</v>
      </c>
      <c r="Y1916" t="s">
        <v>21194</v>
      </c>
    </row>
    <row r="1917" spans="1:25" x14ac:dyDescent="0.3">
      <c r="A1917">
        <v>95800</v>
      </c>
      <c r="B1917" t="s">
        <v>21195</v>
      </c>
      <c r="C1917">
        <f>-654.284700332988 -72.2296094614715 -98.9518450002385</f>
        <v>-825.46615479469801</v>
      </c>
      <c r="D1917">
        <f>-674.484178234819 -84.070841368914 -212.389017855185</f>
        <v>-970.94403745891793</v>
      </c>
      <c r="E1917">
        <f>-682.244554054594 -87.1599718223354 -310.658517409937</f>
        <v>-1080.0630432868663</v>
      </c>
      <c r="F1917">
        <f>-685.883631620923 -87.4421135571907 -399.680429540372</f>
        <v>-1173.0061747184857</v>
      </c>
      <c r="G1917">
        <f>-685.750010508198 -85.1861467568375 -488.748657289132</f>
        <v>-1259.6848145541676</v>
      </c>
      <c r="H1917">
        <f>-681.556054472524 -79.4512581242672 -613.12849988344</f>
        <v>-1374.1358124802312</v>
      </c>
      <c r="I1917">
        <f>-657.999915154749 -69.3202890595855 -692.16956877993</f>
        <v>-1419.4897729942645</v>
      </c>
      <c r="J1917">
        <f>-690.478292903482 -55.2033599426957 -557.399247846345</f>
        <v>-1303.0809006925228</v>
      </c>
      <c r="K1917" t="s">
        <v>21196</v>
      </c>
      <c r="L1917" t="s">
        <v>21197</v>
      </c>
      <c r="M1917" t="s">
        <v>21198</v>
      </c>
      <c r="N1917">
        <f>-676.325005346525 -108.746602370506 -559.390869863276</f>
        <v>-1344.462477580307</v>
      </c>
      <c r="O1917">
        <f>-643.003117645509 -240.048983580838 -535.983041605863</f>
        <v>-1419.0351428322101</v>
      </c>
      <c r="P1917">
        <f>-579.194560492024 -341.196011893693 -267.116929994327</f>
        <v>-1187.5075023800441</v>
      </c>
      <c r="Q1917">
        <f>-462.644325088158 -163.868508634514 -381.230433916037</f>
        <v>-1007.743267638709</v>
      </c>
      <c r="R1917" t="s">
        <v>21199</v>
      </c>
      <c r="S1917" t="s">
        <v>21200</v>
      </c>
      <c r="T1917" t="s">
        <v>21201</v>
      </c>
      <c r="U1917" t="s">
        <v>21202</v>
      </c>
      <c r="V1917">
        <f>-620.019090060401 -162.353475081727 -96.9379377321476</f>
        <v>-879.31050287427558</v>
      </c>
      <c r="W1917" t="s">
        <v>21203</v>
      </c>
      <c r="X1917" t="s">
        <v>21204</v>
      </c>
      <c r="Y1917" t="s">
        <v>21205</v>
      </c>
    </row>
    <row r="1918" spans="1:25" x14ac:dyDescent="0.3">
      <c r="A1918">
        <v>95850</v>
      </c>
      <c r="B1918" t="s">
        <v>21206</v>
      </c>
      <c r="C1918">
        <f>-654.112067435834 -73.4516894694008 -98.9544957723962</f>
        <v>-826.51825267763093</v>
      </c>
      <c r="D1918">
        <f>-674.482585597421 -85.413466588569 -212.348477466828</f>
        <v>-972.24452965281807</v>
      </c>
      <c r="E1918">
        <f>-682.450418482615 -88.4521224656919 -310.602796566224</f>
        <v>-1081.5053375145308</v>
      </c>
      <c r="F1918">
        <f>-686.296432680783 -88.6291377832761 -399.616500931912</f>
        <v>-1174.5420713959711</v>
      </c>
      <c r="G1918">
        <f>-686.386635809278 -86.2096292742973 -488.680289214987</f>
        <v>-1261.2765542985624</v>
      </c>
      <c r="H1918">
        <f>-682.520578968756 -80.1861249174185 -613.057063937983</f>
        <v>-1375.7637678241576</v>
      </c>
      <c r="I1918">
        <f>-658.898506148101 -69.7563735692393 -692.039675743984</f>
        <v>-1420.6945554613244</v>
      </c>
      <c r="J1918">
        <f>-691.289985852235 -56.0660981871588 -557.248291394411</f>
        <v>-1304.6043754338048</v>
      </c>
      <c r="K1918" t="s">
        <v>21207</v>
      </c>
      <c r="L1918" t="s">
        <v>21208</v>
      </c>
      <c r="M1918" t="s">
        <v>21209</v>
      </c>
      <c r="N1918">
        <f>-677.153728298743 -109.60752525947 -559.401863599028</f>
        <v>-1346.163117157241</v>
      </c>
      <c r="O1918">
        <f>-643.89097704807 -241.073358120293 -536.833961096415</f>
        <v>-1421.7982962647779</v>
      </c>
      <c r="P1918">
        <f>-570.8803710017 -352.491946777072 -274.447653123548</f>
        <v>-1197.8199709023199</v>
      </c>
      <c r="Q1918">
        <f>-460.965963878541 -169.674830405366 -386.463681476729</f>
        <v>-1017.104475760636</v>
      </c>
      <c r="R1918" t="s">
        <v>21210</v>
      </c>
      <c r="S1918" t="s">
        <v>21211</v>
      </c>
      <c r="T1918" t="s">
        <v>21212</v>
      </c>
      <c r="U1918" t="s">
        <v>21213</v>
      </c>
      <c r="V1918">
        <f>-619.647056966045 -163.53975893887 -96.9087210279851</f>
        <v>-880.09553693290013</v>
      </c>
      <c r="W1918" t="s">
        <v>21214</v>
      </c>
      <c r="X1918" t="s">
        <v>21215</v>
      </c>
      <c r="Y1918" t="s">
        <v>21216</v>
      </c>
    </row>
    <row r="1919" spans="1:25" x14ac:dyDescent="0.3">
      <c r="A1919">
        <v>95900</v>
      </c>
      <c r="B1919" t="s">
        <v>21217</v>
      </c>
      <c r="C1919">
        <f>-653.920158614026 -74.4422593911773 -98.9276726857465</f>
        <v>-827.29009069094991</v>
      </c>
      <c r="D1919">
        <f>-674.44480718776 -86.4695387046656 -212.286873414629</f>
        <v>-973.20121930705466</v>
      </c>
      <c r="E1919">
        <f>-682.576241927834 -89.3322547462881 -310.533295337846</f>
        <v>-1082.4417920119681</v>
      </c>
      <c r="F1919">
        <f>-686.578948656032 -89.2562345152177 -399.540004221223</f>
        <v>-1175.3751873924728</v>
      </c>
      <c r="G1919">
        <f>-686.832919932769 -86.4888250028205 -488.593489686473</f>
        <v>-1261.9152346220624</v>
      </c>
      <c r="H1919">
        <f>-683.201368105524 -79.8794101489912 -612.947661018889</f>
        <v>-1376.0284392734043</v>
      </c>
      <c r="I1919">
        <f>-659.560439345017 -69.0337093723798 -691.868510333347</f>
        <v>-1420.4626590507437</v>
      </c>
      <c r="J1919">
        <f>-691.904756447018 -56.0329337094674 -557.010992208828</f>
        <v>-1304.9486823653135</v>
      </c>
      <c r="K1919" t="s">
        <v>21218</v>
      </c>
      <c r="L1919" t="s">
        <v>21219</v>
      </c>
      <c r="M1919" t="s">
        <v>21220</v>
      </c>
      <c r="N1919">
        <f>-677.694124334456 -109.542959376591 -559.440027263523</f>
        <v>-1346.67711097457</v>
      </c>
      <c r="O1919">
        <f>-644.281673318262 -241.107250588156 -537.770295588995</f>
        <v>-1423.1592194954133</v>
      </c>
      <c r="P1919">
        <f>-564.656214650022 -361.240490712962 -281.218084076317</f>
        <v>-1207.1147894393009</v>
      </c>
      <c r="Q1919">
        <f>-460.526002913493 -171.2104786533 -386.557393979366</f>
        <v>-1018.293875546159</v>
      </c>
      <c r="R1919" t="s">
        <v>21221</v>
      </c>
      <c r="S1919" t="s">
        <v>21222</v>
      </c>
      <c r="T1919" t="s">
        <v>21223</v>
      </c>
      <c r="U1919" t="s">
        <v>21224</v>
      </c>
      <c r="V1919">
        <f>-619.424008715002 -164.345313191202 -96.8859754065491</f>
        <v>-880.65529731275296</v>
      </c>
      <c r="W1919" t="s">
        <v>21225</v>
      </c>
      <c r="X1919" t="s">
        <v>21226</v>
      </c>
      <c r="Y1919" t="s">
        <v>21227</v>
      </c>
    </row>
    <row r="1920" spans="1:25" x14ac:dyDescent="0.3">
      <c r="A1920">
        <v>95950</v>
      </c>
      <c r="B1920" t="s">
        <v>21228</v>
      </c>
      <c r="C1920">
        <f>-653.853760430357 -74.9068734644788 -98.9234156131467</f>
        <v>-827.68404950798265</v>
      </c>
      <c r="D1920">
        <f>-674.457180517353 -86.9675319448138 -212.264753815316</f>
        <v>-973.68946627748278</v>
      </c>
      <c r="E1920">
        <f>-682.701973477514 -89.7351460746821 -310.504404760146</f>
        <v>-1082.9415243123422</v>
      </c>
      <c r="F1920">
        <f>-686.824348885239 -89.522228163511 -399.505509032464</f>
        <v>-1175.8520860812141</v>
      </c>
      <c r="G1920">
        <f>-687.214342629239 -86.5656246109778 -488.552384578109</f>
        <v>-1262.3323518183258</v>
      </c>
      <c r="H1920">
        <f>-683.789506161267 -79.6359922281999 -612.894931864064</f>
        <v>-1376.320430253531</v>
      </c>
      <c r="I1920">
        <f>-660.176010130116 -68.587707429016 -691.795942808054</f>
        <v>-1420.5596603671859</v>
      </c>
      <c r="J1920">
        <f>-692.439917517679 -55.9441839540395 -556.884373707315</f>
        <v>-1305.2684751790334</v>
      </c>
      <c r="K1920" t="s">
        <v>21229</v>
      </c>
      <c r="L1920" t="s">
        <v>21230</v>
      </c>
      <c r="M1920" t="s">
        <v>21231</v>
      </c>
      <c r="N1920">
        <f>-678.153378950142 -109.426549026357 -559.471417725146</f>
        <v>-1347.051345701645</v>
      </c>
      <c r="O1920">
        <f>-644.514491363276 -240.991861732688 -538.224622765829</f>
        <v>-1423.730975861793</v>
      </c>
      <c r="P1920">
        <f>-563.285611634374 -362.725356219615 -282.932566312013</f>
        <v>-1208.9435341660021</v>
      </c>
      <c r="Q1920">
        <f>-460.190919422362 -170.227246440713 -384.750247075368</f>
        <v>-1015.168412938443</v>
      </c>
      <c r="R1920" t="s">
        <v>21232</v>
      </c>
      <c r="S1920" t="s">
        <v>21233</v>
      </c>
      <c r="T1920" t="s">
        <v>21234</v>
      </c>
      <c r="U1920" t="s">
        <v>21235</v>
      </c>
      <c r="V1920">
        <f>-619.263097113633 -164.76122798725 -96.885720999309</f>
        <v>-880.91004610019195</v>
      </c>
      <c r="W1920" t="s">
        <v>21236</v>
      </c>
      <c r="X1920" t="s">
        <v>21237</v>
      </c>
      <c r="Y1920" t="s">
        <v>21238</v>
      </c>
    </row>
    <row r="1921" spans="1:25" x14ac:dyDescent="0.3">
      <c r="A1921">
        <v>96000</v>
      </c>
      <c r="B1921" t="s">
        <v>21239</v>
      </c>
      <c r="C1921">
        <f>-653.599332293955 -76.173684659988 -98.8616103386081</f>
        <v>-828.63462729255104</v>
      </c>
      <c r="D1921">
        <f>-674.310234218205 -88.2906283989721 -212.177475648535</f>
        <v>-974.77833826571214</v>
      </c>
      <c r="E1921">
        <f>-682.76532265732 -90.9986498921771 -310.40084773719</f>
        <v>-1084.1648202866872</v>
      </c>
      <c r="F1921">
        <f>-687.123844155336 -90.68718190087 -399.390363790096</f>
        <v>-1177.2013898463019</v>
      </c>
      <c r="G1921">
        <f>-687.795595317984 -87.58483112817 -488.430585500774</f>
        <v>-1263.8110119469279</v>
      </c>
      <c r="H1921">
        <f>-684.811770752295 -80.4003799498526 -612.77005248455</f>
        <v>-1377.9822031866977</v>
      </c>
      <c r="I1921">
        <f>-661.30925267185 -69.1046172429909 -691.669072906304</f>
        <v>-1422.082942821145</v>
      </c>
      <c r="J1921">
        <f>-693.351543857652 -56.8469380125998 -556.6842301564</f>
        <v>-1306.8827120266519</v>
      </c>
      <c r="K1921" t="s">
        <v>21240</v>
      </c>
      <c r="L1921" t="s">
        <v>21241</v>
      </c>
      <c r="M1921" t="s">
        <v>21242</v>
      </c>
      <c r="N1921">
        <f>-678.898114274879 -110.276903394336 -559.424635799454</f>
        <v>-1348.5996534686692</v>
      </c>
      <c r="O1921">
        <f>-644.840808357926 -241.786305166288 -538.471788459943</f>
        <v>-1425.098901984157</v>
      </c>
      <c r="P1921">
        <f>-566.146750338733 -361.140094199017 -281.269251420273</f>
        <v>-1208.556095958023</v>
      </c>
      <c r="Q1921">
        <f>-461.385015002061 -167.207188316135 -378.562005897522</f>
        <v>-1007.154209215718</v>
      </c>
      <c r="R1921" t="s">
        <v>21243</v>
      </c>
      <c r="S1921" t="s">
        <v>21244</v>
      </c>
      <c r="T1921" t="s">
        <v>21245</v>
      </c>
      <c r="U1921" t="s">
        <v>21246</v>
      </c>
      <c r="V1921">
        <f>-618.751237684094 -166.066722031953 -96.845528787357</f>
        <v>-881.66348850340398</v>
      </c>
      <c r="W1921" t="s">
        <v>21247</v>
      </c>
      <c r="X1921" t="s">
        <v>21248</v>
      </c>
      <c r="Y1921" t="s">
        <v>21249</v>
      </c>
    </row>
    <row r="1922" spans="1:25" x14ac:dyDescent="0.3">
      <c r="A1922">
        <v>96050</v>
      </c>
      <c r="B1922" t="s">
        <v>21250</v>
      </c>
      <c r="C1922">
        <f>-653.381745125429 -76.8049713176762 -98.7946665922315</f>
        <v>-828.98138303533665</v>
      </c>
      <c r="D1922">
        <f>-674.153087986401 -88.9444443521423 -212.096873651838</f>
        <v>-975.19440599038137</v>
      </c>
      <c r="E1922">
        <f>-682.677877085057 -91.7130793394872 -310.312665082692</f>
        <v>-1084.7036215072362</v>
      </c>
      <c r="F1922">
        <f>-687.106654566864 -91.4736204092642 -399.298945766489</f>
        <v>-1177.8792207426172</v>
      </c>
      <c r="G1922">
        <f>-687.856451324523 -88.459946408975 -488.341606444374</f>
        <v>-1264.658004177872</v>
      </c>
      <c r="H1922">
        <f>-684.98973676693 -81.4168403867335 -612.691857940722</f>
        <v>-1379.0984350943854</v>
      </c>
      <c r="I1922">
        <f>-661.512479463218 -70.1142385564693 -691.597493515937</f>
        <v>-1423.2242115356244</v>
      </c>
      <c r="J1922">
        <f>-693.508478449291 -57.8082352980261 -556.626077787278</f>
        <v>-1307.942791534595</v>
      </c>
      <c r="K1922" t="s">
        <v>21251</v>
      </c>
      <c r="L1922" t="s">
        <v>21252</v>
      </c>
      <c r="M1922" t="s">
        <v>21253</v>
      </c>
      <c r="N1922">
        <f>-678.993999342989 -111.224173622501 -559.31690990977</f>
        <v>-1349.5350828752598</v>
      </c>
      <c r="O1922">
        <f>-644.6486709582 -242.623805547688 -538.119126449434</f>
        <v>-1425.391602955322</v>
      </c>
      <c r="P1922">
        <f>-568.922135131514 -359.611957621733 -278.946416173621</f>
        <v>-1207.480508926868</v>
      </c>
      <c r="Q1922">
        <f>-462.60587933497 -165.530121325393 -374.235195931812</f>
        <v>-1002.3711965921749</v>
      </c>
      <c r="R1922" t="s">
        <v>21254</v>
      </c>
      <c r="S1922" t="s">
        <v>21255</v>
      </c>
      <c r="T1922" t="s">
        <v>21256</v>
      </c>
      <c r="U1922" t="s">
        <v>21257</v>
      </c>
      <c r="V1922">
        <f>-618.419810193219 -166.668536967329 -96.811750583926</f>
        <v>-881.90009774447401</v>
      </c>
      <c r="W1922" t="s">
        <v>21258</v>
      </c>
      <c r="X1922" t="s">
        <v>21259</v>
      </c>
      <c r="Y1922" t="s">
        <v>21260</v>
      </c>
    </row>
    <row r="1923" spans="1:25" x14ac:dyDescent="0.3">
      <c r="A1923">
        <v>96100</v>
      </c>
      <c r="B1923" t="s">
        <v>21261</v>
      </c>
      <c r="C1923">
        <f>-652.934730193948 -77.9564175912524 -98.732815869207</f>
        <v>-829.62396365440736</v>
      </c>
      <c r="D1923">
        <f>-673.83239733174 -90.1776149544049 -212.003077911913</f>
        <v>-976.01309019805797</v>
      </c>
      <c r="E1923">
        <f>-682.447112037587 -93.1364697020654 -310.205463101596</f>
        <v>-1085.7890448412484</v>
      </c>
      <c r="F1923">
        <f>-686.951368735398 -93.1182801687983 -399.188225382983</f>
        <v>-1179.2578742871792</v>
      </c>
      <c r="G1923">
        <f>-687.771880065138 -90.3743124530425 -488.238936354973</f>
        <v>-1266.3851288731535</v>
      </c>
      <c r="H1923">
        <f>-684.999903274719 -83.7584552980006 -612.61491190536</f>
        <v>-1381.3732704780796</v>
      </c>
      <c r="I1923">
        <f>-661.509187267563 -72.5530805876409 -691.530495804877</f>
        <v>-1425.5927636600809</v>
      </c>
      <c r="J1923">
        <f>-693.532315875588 -59.9726638484849 -556.626043899308</f>
        <v>-1310.1310236233808</v>
      </c>
      <c r="K1923" t="s">
        <v>21262</v>
      </c>
      <c r="L1923" t="s">
        <v>21263</v>
      </c>
      <c r="M1923" t="s">
        <v>21264</v>
      </c>
      <c r="N1923">
        <f>-678.90712041101 -113.366883818974 -559.140324622429</f>
        <v>-1351.4143288524131</v>
      </c>
      <c r="O1923">
        <f>-644.030638708624 -244.533141097026 -537.245929328408</f>
        <v>-1425.809709134058</v>
      </c>
      <c r="P1923">
        <f>-574.620883972461 -355.728568853807 -273.789898927753</f>
        <v>-1204.1393517540209</v>
      </c>
      <c r="Q1923">
        <f>-464.152979257016 -162.292444884029 -365.605839401892</f>
        <v>-992.05126354293702</v>
      </c>
      <c r="R1923" t="s">
        <v>21265</v>
      </c>
      <c r="S1923" t="s">
        <v>21266</v>
      </c>
      <c r="T1923" t="s">
        <v>21267</v>
      </c>
      <c r="U1923" t="s">
        <v>21268</v>
      </c>
      <c r="V1923">
        <f>-617.752780959345 -167.822062271218 -96.7666394487628</f>
        <v>-882.34148267932585</v>
      </c>
      <c r="W1923" t="s">
        <v>21269</v>
      </c>
      <c r="X1923" t="s">
        <v>21270</v>
      </c>
      <c r="Y1923" t="s">
        <v>21271</v>
      </c>
    </row>
    <row r="1924" spans="1:25" x14ac:dyDescent="0.3">
      <c r="A1924">
        <v>96150</v>
      </c>
      <c r="B1924" t="s">
        <v>21272</v>
      </c>
      <c r="C1924">
        <f>-652.819996735716 -78.2411264698095 -98.7483239236144</f>
        <v>-829.80944712913993</v>
      </c>
      <c r="D1924">
        <f>-673.752633143565 -90.5094987837704 -212.006926640573</f>
        <v>-976.26905856790836</v>
      </c>
      <c r="E1924">
        <f>-682.385167753166 -93.5566391928895 -310.20494555572</f>
        <v>-1086.1467525017756</v>
      </c>
      <c r="F1924">
        <f>-686.901355651818 -93.6374448795304 -399.187195681579</f>
        <v>-1179.7259962129274</v>
      </c>
      <c r="G1924">
        <f>-687.730216909304 -91.0115099491304 -488.241453409334</f>
        <v>-1266.9831802677684</v>
      </c>
      <c r="H1924">
        <f>-684.966642001956 -84.580342537681 -612.627288431904</f>
        <v>-1382.1742729715411</v>
      </c>
      <c r="I1924">
        <f>-661.459684126616 -73.4549354076489 -691.549185090449</f>
        <v>-1426.4638046247139</v>
      </c>
      <c r="J1924">
        <f>-693.516613323402 -60.7172003867612 -556.674150268781</f>
        <v>-1310.9079639789443</v>
      </c>
      <c r="K1924" t="s">
        <v>21273</v>
      </c>
      <c r="L1924" t="s">
        <v>21274</v>
      </c>
      <c r="M1924" t="s">
        <v>21275</v>
      </c>
      <c r="N1924">
        <f>-678.848865226838 -114.103493084102 -559.108494394428</f>
        <v>-1352.060852705368</v>
      </c>
      <c r="O1924">
        <f>-643.742377013894 -245.154618323049 -536.869033009346</f>
        <v>-1425.7660283462892</v>
      </c>
      <c r="P1924">
        <f>-577.32622716497 -353.209491105402 -271.342686256889</f>
        <v>-1201.878404527261</v>
      </c>
      <c r="Q1924">
        <f>-464.626043911089 -160.43283031575 -361.82302103024</f>
        <v>-986.88189525707912</v>
      </c>
      <c r="R1924" t="s">
        <v>21276</v>
      </c>
      <c r="S1924" t="s">
        <v>21277</v>
      </c>
      <c r="T1924" t="s">
        <v>21278</v>
      </c>
      <c r="U1924" t="s">
        <v>21279</v>
      </c>
      <c r="V1924">
        <f>-617.563013976795 -168.119042657499 -96.7603390070719</f>
        <v>-882.44239564136592</v>
      </c>
      <c r="W1924" t="s">
        <v>21280</v>
      </c>
      <c r="X1924" t="s">
        <v>21281</v>
      </c>
      <c r="Y1924" t="s">
        <v>21282</v>
      </c>
    </row>
    <row r="1925" spans="1:25" x14ac:dyDescent="0.3">
      <c r="A1925">
        <v>96200</v>
      </c>
      <c r="B1925" t="s">
        <v>21283</v>
      </c>
      <c r="C1925">
        <f>-652.628495465967 -78.2502424286562 -98.7819782199862</f>
        <v>-829.66071611460939</v>
      </c>
      <c r="D1925">
        <f>-673.551197205684 -90.5972240497833 -212.033938534101</f>
        <v>-976.18235978956841</v>
      </c>
      <c r="E1925">
        <f>-682.224921417145 -93.7946466788723 -310.223672751626</f>
        <v>-1086.2432408476432</v>
      </c>
      <c r="F1925">
        <f>-686.800700342034 -94.0430984491791 -399.202435993863</f>
        <v>-1180.0462347850762</v>
      </c>
      <c r="G1925">
        <f>-687.713103815331 -91.6142496558906 -488.261547901241</f>
        <v>-1267.5889013724627</v>
      </c>
      <c r="H1925">
        <f>-685.09220271124 -85.4879778745384 -612.665744024169</f>
        <v>-1383.2459246099475</v>
      </c>
      <c r="I1925">
        <f>-661.544447151636 -74.5129216833261 -691.596636523329</f>
        <v>-1427.6540053582912</v>
      </c>
      <c r="J1925">
        <f>-693.624630622743 -61.5006332846228 -556.763046310824</f>
        <v>-1311.8883102181899</v>
      </c>
      <c r="K1925" t="s">
        <v>21284</v>
      </c>
      <c r="L1925" t="s">
        <v>21285</v>
      </c>
      <c r="M1925" t="s">
        <v>21286</v>
      </c>
      <c r="N1925">
        <f>-678.866390888286 -114.867112170137 -559.080198971348</f>
        <v>-1352.8137020297709</v>
      </c>
      <c r="O1925">
        <f>-643.389032187444 -245.707977819359 -536.262219022178</f>
        <v>-1425.359229028981</v>
      </c>
      <c r="P1925">
        <f>-582.111224139307 -348.187860957653 -267.312159725217</f>
        <v>-1197.611244822177</v>
      </c>
      <c r="Q1925">
        <f>-464.947585953738 -156.962731518481 -355.383142922208</f>
        <v>-977.29346039442703</v>
      </c>
      <c r="R1925" t="s">
        <v>21287</v>
      </c>
      <c r="S1925" t="s">
        <v>21288</v>
      </c>
      <c r="T1925" t="s">
        <v>21289</v>
      </c>
      <c r="U1925" t="s">
        <v>21290</v>
      </c>
      <c r="V1925">
        <f>-617.311917309355 -168.019258668601 -96.7463795758689</f>
        <v>-882.07755555382482</v>
      </c>
      <c r="W1925" t="s">
        <v>21291</v>
      </c>
      <c r="X1925" t="s">
        <v>21292</v>
      </c>
      <c r="Y1925" t="s">
        <v>21293</v>
      </c>
    </row>
    <row r="1926" spans="1:25" x14ac:dyDescent="0.3">
      <c r="A1926">
        <v>96250</v>
      </c>
      <c r="B1926" t="s">
        <v>21294</v>
      </c>
      <c r="C1926">
        <f>-652.551594854524 -78.0043063731962 -98.7918909715229</f>
        <v>-829.34779219924303</v>
      </c>
      <c r="D1926">
        <f>-673.48649160902 -90.3972902755385 -212.036681811058</f>
        <v>-975.92046369561649</v>
      </c>
      <c r="E1926">
        <f>-682.197357366374 -93.6779498698891 -310.220153865032</f>
        <v>-1086.0954611012951</v>
      </c>
      <c r="F1926">
        <f>-686.818879372383 -94.0180607531865 -399.1964251221</f>
        <v>-1180.0333652476695</v>
      </c>
      <c r="G1926">
        <f>-687.790003608805 -91.6961925378893 -488.257593512138</f>
        <v>-1267.7437896588322</v>
      </c>
      <c r="H1926">
        <f>-685.265505317612 -85.734411744487 -612.671877399429</f>
        <v>-1383.671794461528</v>
      </c>
      <c r="I1926">
        <f>-661.670707727586 -74.8318217231324 -691.598734807539</f>
        <v>-1428.1012642582573</v>
      </c>
      <c r="J1926">
        <f>-693.782758397907 -61.6808326907585 -556.79527436891</f>
        <v>-1312.2588654575754</v>
      </c>
      <c r="K1926" t="s">
        <v>21295</v>
      </c>
      <c r="L1926" t="s">
        <v>21296</v>
      </c>
      <c r="M1926" t="s">
        <v>21297</v>
      </c>
      <c r="N1926">
        <f>-678.970128155101 -115.034886962198 -559.051341040572</f>
        <v>-1353.0563561578711</v>
      </c>
      <c r="O1926">
        <f>-643.280472325944 -245.769000625298 -535.95076145536</f>
        <v>-1425.000234406602</v>
      </c>
      <c r="P1926">
        <f>-584.630006096528 -345.407857554766 -265.352509540093</f>
        <v>-1195.390373191387</v>
      </c>
      <c r="Q1926">
        <f>-464.870470355587 -155.411883557971 -352.587994635998</f>
        <v>-972.87034854955596</v>
      </c>
      <c r="R1926" t="s">
        <v>21298</v>
      </c>
      <c r="S1926" t="s">
        <v>21299</v>
      </c>
      <c r="T1926" t="s">
        <v>21300</v>
      </c>
      <c r="U1926" t="s">
        <v>21301</v>
      </c>
      <c r="V1926">
        <f>-617.203059711153 -167.676694706233 -96.7486493987669</f>
        <v>-881.62840381615285</v>
      </c>
      <c r="W1926" t="s">
        <v>21302</v>
      </c>
      <c r="X1926" t="s">
        <v>21303</v>
      </c>
      <c r="Y1926" t="s">
        <v>21304</v>
      </c>
    </row>
    <row r="1927" spans="1:25" x14ac:dyDescent="0.3">
      <c r="A1927">
        <v>96300</v>
      </c>
      <c r="B1927" t="s">
        <v>21305</v>
      </c>
      <c r="C1927">
        <f>-652.218965339643 -77.5339713599407 -98.8728485660068</f>
        <v>-828.62578526559048</v>
      </c>
      <c r="D1927">
        <f>-673.196146384194 -90.0537972781392 -212.095898941217</f>
        <v>-975.34584260355018</v>
      </c>
      <c r="E1927">
        <f>-681.986536710835 -93.5508558700093 -310.264833831002</f>
        <v>-1085.8022264118463</v>
      </c>
      <c r="F1927">
        <f>-686.698880808089 -94.1298391601845 -399.235032484167</f>
        <v>-1180.0637524524404</v>
      </c>
      <c r="G1927">
        <f>-687.780803554734 -92.0886582774521 -488.301971558712</f>
        <v>-1268.1714333908981</v>
      </c>
      <c r="H1927">
        <f>-685.432852793143 -86.5623741764373 -612.739652603437</f>
        <v>-1384.7348795730172</v>
      </c>
      <c r="I1927">
        <f>-661.704349424483 -75.8328505095956 -691.65021827251</f>
        <v>-1429.1874182065885</v>
      </c>
      <c r="J1927">
        <f>-693.91259758131 -62.3249142884811 -556.93690404818</f>
        <v>-1313.1744159179711</v>
      </c>
      <c r="K1927" t="s">
        <v>21306</v>
      </c>
      <c r="L1927" t="s">
        <v>21307</v>
      </c>
      <c r="M1927" t="s">
        <v>21308</v>
      </c>
      <c r="N1927">
        <f>-679.019464924481 -115.663548440524 -559.024617765777</f>
        <v>-1353.7076311307819</v>
      </c>
      <c r="O1927">
        <f>-643.002986523103 -246.191858005 -535.334341574321</f>
        <v>-1424.5291861024239</v>
      </c>
      <c r="P1927">
        <f>-589.811419104066 -340.634276278441 -261.760743899597</f>
        <v>-1192.2064392821039</v>
      </c>
      <c r="Q1927">
        <f>-464.389250802948 -153.418581805151 -347.027516890673</f>
        <v>-964.83534949877208</v>
      </c>
      <c r="R1927" t="s">
        <v>21309</v>
      </c>
      <c r="S1927" t="s">
        <v>21310</v>
      </c>
      <c r="T1927" t="s">
        <v>21311</v>
      </c>
      <c r="U1927" t="s">
        <v>21312</v>
      </c>
      <c r="V1927">
        <f>-616.637551762059 -167.235847563377 -96.7925505372966</f>
        <v>-880.66594986273265</v>
      </c>
      <c r="W1927" t="s">
        <v>21313</v>
      </c>
      <c r="X1927" t="s">
        <v>21314</v>
      </c>
      <c r="Y1927" t="s">
        <v>21315</v>
      </c>
    </row>
    <row r="1928" spans="1:25" x14ac:dyDescent="0.3">
      <c r="A1928">
        <v>96350</v>
      </c>
      <c r="B1928" t="s">
        <v>21316</v>
      </c>
      <c r="C1928">
        <f>-651.97828742758 -77.4005382403135 -98.9250189001385</f>
        <v>-828.30384456803199</v>
      </c>
      <c r="D1928">
        <f>-673.005545585502 -89.9946499944671 -212.130516232936</f>
        <v>-975.13071181290502</v>
      </c>
      <c r="E1928">
        <f>-681.850681705121 -93.5988574357569 -310.290646088512</f>
        <v>-1085.7401852293899</v>
      </c>
      <c r="F1928">
        <f>-686.617369721787 -94.2930015729803 -399.257111949216</f>
        <v>-1180.1674832439833</v>
      </c>
      <c r="G1928">
        <f>-687.75841472782 -92.3853008319272 -488.326301832424</f>
        <v>-1268.4700173921713</v>
      </c>
      <c r="H1928">
        <f>-685.498159714654 -87.0647187234188 -612.774590647945</f>
        <v>-1385.3374690860178</v>
      </c>
      <c r="I1928">
        <f>-661.701156023894 -76.4293354446461 -691.677187756976</f>
        <v>-1429.807679225516</v>
      </c>
      <c r="J1928">
        <f>-693.953314053342 -62.7391868210931 -557.006496296381</f>
        <v>-1313.698997170816</v>
      </c>
      <c r="K1928" t="s">
        <v>21317</v>
      </c>
      <c r="L1928" t="s">
        <v>21318</v>
      </c>
      <c r="M1928" t="s">
        <v>21319</v>
      </c>
      <c r="N1928">
        <f>-679.032277620121 -116.072955441184 -559.015763885012</f>
        <v>-1354.1209969463171</v>
      </c>
      <c r="O1928">
        <f>-642.899217114868 -246.528440515014 -535.02539754587</f>
        <v>-1424.4530551757521</v>
      </c>
      <c r="P1928">
        <f>-592.418814707023 -338.484239434674 -260.094424777516</f>
        <v>-1190.9974789192129</v>
      </c>
      <c r="Q1928">
        <f>-464.038665490927 -152.901525487604 -344.524461518044</f>
        <v>-961.4646524965749</v>
      </c>
      <c r="R1928" t="s">
        <v>21320</v>
      </c>
      <c r="S1928" t="s">
        <v>21321</v>
      </c>
      <c r="T1928" t="s">
        <v>21322</v>
      </c>
      <c r="U1928" t="s">
        <v>21323</v>
      </c>
      <c r="V1928">
        <f>-616.307953282914 -167.154063126662 -96.8195039914669</f>
        <v>-880.28152040104294</v>
      </c>
      <c r="W1928" t="s">
        <v>21324</v>
      </c>
      <c r="X1928" t="s">
        <v>21325</v>
      </c>
      <c r="Y1928" t="s">
        <v>21326</v>
      </c>
    </row>
    <row r="1929" spans="1:25" x14ac:dyDescent="0.3">
      <c r="A1929">
        <v>96400</v>
      </c>
      <c r="B1929" t="s">
        <v>21327</v>
      </c>
      <c r="C1929">
        <f>-651.511088088983 -77.0181410928534 -99.0376110563609</f>
        <v>-827.5668402381973</v>
      </c>
      <c r="D1929">
        <f>-672.649288869231 -89.7565479780893 -212.206202466353</f>
        <v>-974.61203931367334</v>
      </c>
      <c r="E1929">
        <f>-681.605603946381 -93.5344399147129 -310.349776931658</f>
        <v>-1085.489820792752</v>
      </c>
      <c r="F1929">
        <f>-686.478572220514 -94.4072927703362 -399.308899509365</f>
        <v>-1180.1947645002151</v>
      </c>
      <c r="G1929">
        <f>-687.731847986864 -92.6996885215571 -488.380645822315</f>
        <v>-1268.8121823307361</v>
      </c>
      <c r="H1929">
        <f>-685.634401470046 -87.6816012764101 -612.84445152925</f>
        <v>-1386.1604542757061</v>
      </c>
      <c r="I1929">
        <f>-661.689291892111 -77.2199706831719 -691.725500805415</f>
        <v>-1430.6347633806979</v>
      </c>
      <c r="J1929">
        <f>-694.045506989923 -63.2285970616267 -557.125237812659</f>
        <v>-1314.3993418642085</v>
      </c>
      <c r="K1929" t="s">
        <v>21328</v>
      </c>
      <c r="L1929" t="s">
        <v>21329</v>
      </c>
      <c r="M1929" t="s">
        <v>21330</v>
      </c>
      <c r="N1929">
        <f>-679.069213940709 -116.551071018352 -559.022839091982</f>
        <v>-1354.6431240510428</v>
      </c>
      <c r="O1929">
        <f>-642.738046161036 -246.867879458049 -534.600118176053</f>
        <v>-1424.2060437951379</v>
      </c>
      <c r="P1929">
        <f>-597.459344828545 -335.044322806042 -257.533479616767</f>
        <v>-1190.0371472513539</v>
      </c>
      <c r="Q1929">
        <f>-463.895361900644 -152.219406829598 -339.914477549427</f>
        <v>-956.029246279669</v>
      </c>
      <c r="R1929" t="s">
        <v>21331</v>
      </c>
      <c r="S1929" t="s">
        <v>21332</v>
      </c>
      <c r="T1929" t="s">
        <v>21333</v>
      </c>
      <c r="U1929" t="s">
        <v>21334</v>
      </c>
      <c r="V1929">
        <f>-615.646282946761 -166.622229937675 -96.8771725900777</f>
        <v>-879.1456854745137</v>
      </c>
      <c r="W1929" t="s">
        <v>21335</v>
      </c>
      <c r="X1929" t="s">
        <v>21336</v>
      </c>
      <c r="Y1929" t="s">
        <v>21337</v>
      </c>
    </row>
    <row r="1930" spans="1:25" x14ac:dyDescent="0.3">
      <c r="A1930">
        <v>96450</v>
      </c>
      <c r="B1930" t="s">
        <v>21338</v>
      </c>
      <c r="C1930">
        <f>-651.327392307849 -76.8445009737317 -99.0945754402015</f>
        <v>-827.26646872178219</v>
      </c>
      <c r="D1930">
        <f>-672.489719766317 -89.6241184846449 -212.253986892371</f>
        <v>-974.36782514333288</v>
      </c>
      <c r="E1930">
        <f>-681.482430133951 -93.4615832406647 -310.391902964169</f>
        <v>-1085.3359163387847</v>
      </c>
      <c r="F1930">
        <f>-686.394552411762 -94.3986727656425 -399.348333607352</f>
        <v>-1180.1415587847564</v>
      </c>
      <c r="G1930">
        <f>-687.693346536367 -92.7657116188639 -488.420699171387</f>
        <v>-1268.8797573266179</v>
      </c>
      <c r="H1930">
        <f>-685.665836811832 -87.8625489016788 -612.890251856325</f>
        <v>-1386.4186375698359</v>
      </c>
      <c r="I1930">
        <f>-661.643912991653 -77.4814129885018 -691.758458051129</f>
        <v>-1430.8837840312838</v>
      </c>
      <c r="J1930">
        <f>-694.06108265689 -63.3624277352118 -557.189481363652</f>
        <v>-1314.6129917557537</v>
      </c>
      <c r="K1930" t="s">
        <v>21339</v>
      </c>
      <c r="L1930" t="s">
        <v>21340</v>
      </c>
      <c r="M1930" t="s">
        <v>21341</v>
      </c>
      <c r="N1930">
        <f>-679.054992815017 -116.677936781507 -559.045286077677</f>
        <v>-1354.778215674201</v>
      </c>
      <c r="O1930">
        <f>-642.600194473972 -246.925115431874 -534.442258669542</f>
        <v>-1423.967568575388</v>
      </c>
      <c r="P1930">
        <f>-599.602090436095 -333.602471576297 -256.540548141122</f>
        <v>-1189.7451101535139</v>
      </c>
      <c r="Q1930">
        <f>-463.992750767342 -151.810422049598 -337.858640799095</f>
        <v>-953.66181361603503</v>
      </c>
      <c r="R1930" t="s">
        <v>21342</v>
      </c>
      <c r="S1930" t="s">
        <v>21343</v>
      </c>
      <c r="T1930" t="s">
        <v>21344</v>
      </c>
      <c r="U1930" t="s">
        <v>21345</v>
      </c>
      <c r="V1930">
        <f>-615.346648009753 -166.428484262571 -96.9081947973282</f>
        <v>-878.68332706965225</v>
      </c>
      <c r="W1930" t="s">
        <v>21346</v>
      </c>
      <c r="X1930" t="s">
        <v>21347</v>
      </c>
      <c r="Y1930" t="s">
        <v>21348</v>
      </c>
    </row>
    <row r="1931" spans="1:25" x14ac:dyDescent="0.3">
      <c r="A1931">
        <v>96500</v>
      </c>
      <c r="B1931" t="s">
        <v>21349</v>
      </c>
      <c r="C1931">
        <f>-651.059497687319 -76.5017631088044 -99.1738215437318</f>
        <v>-826.73508233985524</v>
      </c>
      <c r="D1931">
        <f>-672.246251570379 -89.3379901825266 -212.322261558828</f>
        <v>-973.90650331173356</v>
      </c>
      <c r="E1931">
        <f>-681.303273189796 -93.2601268091913 -310.450976162436</f>
        <v>-1085.0143761614233</v>
      </c>
      <c r="F1931">
        <f>-686.291452859734 -94.2883632719198 -399.402157530362</f>
        <v>-1179.9819736620159</v>
      </c>
      <c r="G1931">
        <f>-687.684657438009 -92.7599654394854 -488.474902776884</f>
        <v>-1268.9195256543785</v>
      </c>
      <c r="H1931">
        <f>-685.808688613754 -88.0165655793894 -612.953098532286</f>
        <v>-1386.7783527254296</v>
      </c>
      <c r="I1931">
        <f>-661.655903449624 -77.7223997254805 -691.792720201443</f>
        <v>-1431.1710233765475</v>
      </c>
      <c r="J1931">
        <f>-694.172474570692 -63.4552996760639 -557.274468989516</f>
        <v>-1314.9022432362717</v>
      </c>
      <c r="K1931" t="s">
        <v>21350</v>
      </c>
      <c r="L1931" t="s">
        <v>21351</v>
      </c>
      <c r="M1931" t="s">
        <v>21352</v>
      </c>
      <c r="N1931">
        <f>-679.095887493296 -116.752623653773 -559.078321649037</f>
        <v>-1354.9268327961058</v>
      </c>
      <c r="O1931">
        <f>-642.441900851378 -246.902240028665 -534.252369701327</f>
        <v>-1423.59651058137</v>
      </c>
      <c r="P1931">
        <f>-603.492205410428 -331.308847911089 -255.057604046295</f>
        <v>-1189.8586573678119</v>
      </c>
      <c r="Q1931">
        <f>-464.540611883242 -151.098175467323 -334.224805372399</f>
        <v>-949.86359272296386</v>
      </c>
      <c r="R1931" t="s">
        <v>21353</v>
      </c>
      <c r="S1931" t="s">
        <v>21354</v>
      </c>
      <c r="T1931" t="s">
        <v>21355</v>
      </c>
      <c r="U1931" t="s">
        <v>21356</v>
      </c>
      <c r="V1931">
        <f>-614.983014882118 -166.080325888572 -96.9703921335619</f>
        <v>-878.03373290425191</v>
      </c>
      <c r="W1931" t="s">
        <v>21357</v>
      </c>
      <c r="X1931" t="s">
        <v>21358</v>
      </c>
      <c r="Y1931" t="s">
        <v>21359</v>
      </c>
    </row>
    <row r="1932" spans="1:25" x14ac:dyDescent="0.3">
      <c r="A1932">
        <v>96550</v>
      </c>
      <c r="B1932" t="s">
        <v>21360</v>
      </c>
      <c r="C1932">
        <f>-651.000896070463 -76.2411912439826 -99.2054447840452</f>
        <v>-826.4475320984908</v>
      </c>
      <c r="D1932">
        <f>-672.195883770817 -89.0918400408472 -212.350679218721</f>
        <v>-973.63840303038512</v>
      </c>
      <c r="E1932">
        <f>-681.281244417399 -93.0355888929007 -310.475921085789</f>
        <v>-1084.7927543960886</v>
      </c>
      <c r="F1932">
        <f>-686.303752774254 -94.0865780092508 -399.424858757151</f>
        <v>-1179.8151895406559</v>
      </c>
      <c r="G1932">
        <f>-687.740151607072 -92.5839945205794 -488.49741940276</f>
        <v>-1268.8215655304114</v>
      </c>
      <c r="H1932">
        <f>-685.934050323234 -87.8794736815923 -612.978089385982</f>
        <v>-1386.7916133908084</v>
      </c>
      <c r="I1932">
        <f>-661.715551941943 -77.5969354851632 -691.799074765235</f>
        <v>-1431.1115621923411</v>
      </c>
      <c r="J1932">
        <f>-694.276525025273 -63.3035407127953 -557.30263964644</f>
        <v>-1314.8827053845084</v>
      </c>
      <c r="K1932" t="s">
        <v>21361</v>
      </c>
      <c r="L1932" t="s">
        <v>21362</v>
      </c>
      <c r="M1932" t="s">
        <v>21363</v>
      </c>
      <c r="N1932">
        <f>-679.181214935943 -116.595925942844 -559.097736969753</f>
        <v>-1354.8748778485401</v>
      </c>
      <c r="O1932">
        <f>-642.477322778459 -246.713227914241 -534.185492007851</f>
        <v>-1423.3760427005509</v>
      </c>
      <c r="P1932">
        <f>-605.141032427949 -330.179814445764 -254.488366686452</f>
        <v>-1189.8092135601651</v>
      </c>
      <c r="Q1932">
        <f>-464.875061851618 -150.474056073943 -332.476765898482</f>
        <v>-947.82588382404299</v>
      </c>
      <c r="R1932" t="s">
        <v>21364</v>
      </c>
      <c r="S1932" t="s">
        <v>21365</v>
      </c>
      <c r="T1932" t="s">
        <v>21366</v>
      </c>
      <c r="U1932" t="s">
        <v>21367</v>
      </c>
      <c r="V1932">
        <f>-614.910253957002 -165.755947496926 -96.994171119484</f>
        <v>-877.66037257341213</v>
      </c>
      <c r="W1932" t="s">
        <v>21368</v>
      </c>
      <c r="X1932" t="s">
        <v>21369</v>
      </c>
      <c r="Y1932" t="s">
        <v>21370</v>
      </c>
    </row>
    <row r="1933" spans="1:25" x14ac:dyDescent="0.3">
      <c r="A1933">
        <v>96600</v>
      </c>
      <c r="B1933" t="s">
        <v>21371</v>
      </c>
      <c r="C1933">
        <f>-650.976592864059 -75.8505575698506 -99.2530954819564</f>
        <v>-826.08024591586593</v>
      </c>
      <c r="D1933">
        <f>-672.195808920006 -88.7176318684243 -212.39195072639</f>
        <v>-973.30539151482026</v>
      </c>
      <c r="E1933">
        <f>-681.354893650957 -92.6911302756808 -310.509125173655</f>
        <v>-1084.555149100293</v>
      </c>
      <c r="F1933">
        <f>-686.465807614807 -93.7746524571579 -399.452591174923</f>
        <v>-1179.693051246888</v>
      </c>
      <c r="G1933">
        <f>-688.012361803266 -92.3096187294245 -488.524051481511</f>
        <v>-1268.8460320142015</v>
      </c>
      <c r="H1933">
        <f>-686.383081829795 -87.6623656213367 -613.009118611602</f>
        <v>-1387.0545660627336</v>
      </c>
      <c r="I1933">
        <f>-662.076333409352 -77.3912747393963 -691.804562182946</f>
        <v>-1431.2721703316943</v>
      </c>
      <c r="J1933">
        <f>-694.644036539625 -63.0600995249779 -557.333372616547</f>
        <v>-1315.0375086811498</v>
      </c>
      <c r="K1933" t="s">
        <v>21372</v>
      </c>
      <c r="L1933" t="s">
        <v>21373</v>
      </c>
      <c r="M1933" t="s">
        <v>21374</v>
      </c>
      <c r="N1933">
        <f>-679.556117511287 -116.354653313393 -559.125470753071</f>
        <v>-1355.0362415777508</v>
      </c>
      <c r="O1933">
        <f>-642.872253428962 -246.45213325308 -534.087774172188</f>
        <v>-1423.41216085423</v>
      </c>
      <c r="P1933">
        <f>-607.848901384204 -328.518089279158 -253.67788985495</f>
        <v>-1190.0448805183121</v>
      </c>
      <c r="Q1933">
        <f>-465.913562379078 -149.168159332351 -329.432979426897</f>
        <v>-944.51470113832602</v>
      </c>
      <c r="R1933" t="s">
        <v>21375</v>
      </c>
      <c r="S1933" t="s">
        <v>21376</v>
      </c>
      <c r="T1933" t="s">
        <v>21377</v>
      </c>
      <c r="U1933" t="s">
        <v>21378</v>
      </c>
      <c r="V1933">
        <f>-614.877076170279 -165.35838137552 -97.0363753673653</f>
        <v>-877.2718329131643</v>
      </c>
      <c r="W1933" t="s">
        <v>21379</v>
      </c>
      <c r="X1933" t="s">
        <v>21380</v>
      </c>
      <c r="Y1933" t="s">
        <v>21381</v>
      </c>
    </row>
    <row r="1934" spans="1:25" x14ac:dyDescent="0.3">
      <c r="A1934">
        <v>96650</v>
      </c>
      <c r="B1934" t="s">
        <v>21382</v>
      </c>
      <c r="C1934">
        <f>-650.93512292231 -75.7676198190125 -99.2753851365688</f>
        <v>-825.97812787789132</v>
      </c>
      <c r="D1934">
        <f>-672.17243582491 -88.639326795118 -212.410318228294</f>
        <v>-973.22208084832209</v>
      </c>
      <c r="E1934">
        <f>-681.37511692251 -92.6164234180549 -310.523193484531</f>
        <v>-1084.5147338250958</v>
      </c>
      <c r="F1934">
        <f>-686.53680082346 -93.7022871921658 -399.4638508456</f>
        <v>-1179.7029388612259</v>
      </c>
      <c r="G1934">
        <f>-688.145580706485 -92.2385051265516 -488.534083725571</f>
        <v>-1268.9181695586076</v>
      </c>
      <c r="H1934">
        <f>-686.615309368041 -87.5915178720866 -613.020572004752</f>
        <v>-1387.2273992448795</v>
      </c>
      <c r="I1934">
        <f>-662.27092843162 -77.309012503471 -691.802825282093</f>
        <v>-1431.3827662171839</v>
      </c>
      <c r="J1934">
        <f>-694.829347261992 -62.9884301886519 -557.338054956358</f>
        <v>-1315.155832407002</v>
      </c>
      <c r="K1934" t="s">
        <v>21383</v>
      </c>
      <c r="L1934" t="s">
        <v>21384</v>
      </c>
      <c r="M1934" t="s">
        <v>21385</v>
      </c>
      <c r="N1934">
        <f>-679.748104384671 -116.284505447159 -559.142222966223</f>
        <v>-1355.1748327980531</v>
      </c>
      <c r="O1934">
        <f>-643.061681696241 -246.371560502986 -534.071637008571</f>
        <v>-1423.5048792077978</v>
      </c>
      <c r="P1934">
        <f>-608.948209490389 -327.923081280416 -253.3996215896</f>
        <v>-1190.270912360405</v>
      </c>
      <c r="Q1934">
        <f>-466.599521896327 -148.430874636039 -328.033655110632</f>
        <v>-943.06405164299804</v>
      </c>
      <c r="R1934" t="s">
        <v>21386</v>
      </c>
      <c r="S1934" t="s">
        <v>21387</v>
      </c>
      <c r="T1934" t="s">
        <v>21388</v>
      </c>
      <c r="U1934" t="s">
        <v>21389</v>
      </c>
      <c r="V1934">
        <f>-614.827757714317 -165.290372882981 -97.0564366420974</f>
        <v>-877.1745672393954</v>
      </c>
      <c r="W1934" t="s">
        <v>21390</v>
      </c>
      <c r="X1934" t="s">
        <v>21391</v>
      </c>
      <c r="Y1934" t="s">
        <v>21392</v>
      </c>
    </row>
    <row r="1935" spans="1:25" x14ac:dyDescent="0.3">
      <c r="A1935">
        <v>96700</v>
      </c>
      <c r="B1935" t="s">
        <v>21393</v>
      </c>
      <c r="C1935">
        <f>-650.769329964536 -75.6708829749166 -99.2783472142021</f>
        <v>-825.71856015365472</v>
      </c>
      <c r="D1935">
        <f>-672.055816559296 -88.5554481739076 -212.402512204736</f>
        <v>-973.01377693793961</v>
      </c>
      <c r="E1935">
        <f>-681.364587363459 -92.5271486979124 -310.505703096319</f>
        <v>-1084.3974391576903</v>
      </c>
      <c r="F1935">
        <f>-686.648424854642 -93.5996900270056 -399.439362809385</f>
        <v>-1179.6874776910327</v>
      </c>
      <c r="G1935">
        <f>-688.405809639536 -92.1130255307073 -488.506305669012</f>
        <v>-1269.0251408392553</v>
      </c>
      <c r="H1935">
        <f>-687.111000329961 -87.4226562654997 -612.993933690528</f>
        <v>-1387.5275902859887</v>
      </c>
      <c r="I1935">
        <f>-662.702702697337 -77.0684917898583 -691.746936457438</f>
        <v>-1431.5181309446334</v>
      </c>
      <c r="J1935">
        <f>-695.242821344077 -62.8455480618899 -557.287875062789</f>
        <v>-1315.3762444687559</v>
      </c>
      <c r="K1935" t="s">
        <v>21394</v>
      </c>
      <c r="L1935" t="s">
        <v>21395</v>
      </c>
      <c r="M1935" t="s">
        <v>21396</v>
      </c>
      <c r="N1935">
        <f>-680.118738111445 -116.127824889536 -559.138228631737</f>
        <v>-1355.3847916327181</v>
      </c>
      <c r="O1935">
        <f>-643.239620244865 -246.156524536347 -534.025095324753</f>
        <v>-1423.4212401059649</v>
      </c>
      <c r="P1935">
        <f>-611.449684575959 -325.76613703722 -252.524018881494</f>
        <v>-1189.739840494673</v>
      </c>
      <c r="Q1935">
        <f>-467.988180723636 -146.465391324367 -325.468653368604</f>
        <v>-939.92222541660703</v>
      </c>
      <c r="R1935" t="s">
        <v>21397</v>
      </c>
      <c r="S1935" t="s">
        <v>21398</v>
      </c>
      <c r="T1935" t="s">
        <v>21399</v>
      </c>
      <c r="U1935" t="s">
        <v>21400</v>
      </c>
      <c r="V1935">
        <f>-614.678131233248 -165.156239742226 -97.0728812236753</f>
        <v>-876.9072521991493</v>
      </c>
      <c r="W1935" t="s">
        <v>21401</v>
      </c>
      <c r="X1935" t="s">
        <v>21402</v>
      </c>
      <c r="Y1935" t="s">
        <v>21403</v>
      </c>
    </row>
    <row r="1936" spans="1:25" x14ac:dyDescent="0.3">
      <c r="A1936">
        <v>96750</v>
      </c>
      <c r="B1936" t="s">
        <v>21404</v>
      </c>
      <c r="C1936">
        <f>-650.67856826847 -75.5908452950964 -99.2724762450094</f>
        <v>-825.54188980857589</v>
      </c>
      <c r="D1936">
        <f>-672.003051166951 -88.4834170708746 -212.388642490847</f>
        <v>-972.87511072867255</v>
      </c>
      <c r="E1936">
        <f>-681.389681478584 -92.4577543134889 -310.48440552603</f>
        <v>-1084.3318413181028</v>
      </c>
      <c r="F1936">
        <f>-686.76256042431 -93.5300200050847 -399.412394834484</f>
        <v>-1179.7049752638786</v>
      </c>
      <c r="G1936">
        <f>-688.628034638032 -92.0391537355058 -488.47737389225</f>
        <v>-1269.1445622657877</v>
      </c>
      <c r="H1936">
        <f>-687.504273878537 -87.3382346299742 -612.966124743108</f>
        <v>-1387.8086332516191</v>
      </c>
      <c r="I1936">
        <f>-663.094139653084 -76.9288875332627 -691.711253046618</f>
        <v>-1431.7342802329647</v>
      </c>
      <c r="J1936">
        <f>-695.5819988114 -62.7721983739993 -557.247390880302</f>
        <v>-1315.6015880657014</v>
      </c>
      <c r="K1936" t="s">
        <v>21405</v>
      </c>
      <c r="L1936" t="s">
        <v>21406</v>
      </c>
      <c r="M1936" t="s">
        <v>21407</v>
      </c>
      <c r="N1936">
        <f>-680.415560584886 -116.041645173327 -559.122018980307</f>
        <v>-1355.5792247385198</v>
      </c>
      <c r="O1936">
        <f>-643.392088407773 -246.020582144332 -533.967493935609</f>
        <v>-1423.380164487714</v>
      </c>
      <c r="P1936">
        <f>-612.839267400245 -324.473065469046 -252.00486557984</f>
        <v>-1189.317198449131</v>
      </c>
      <c r="Q1936">
        <f>-468.858398338975 -145.348310223427 -324.356111299399</f>
        <v>-938.56281986180102</v>
      </c>
      <c r="R1936" t="s">
        <v>21408</v>
      </c>
      <c r="S1936" t="s">
        <v>21409</v>
      </c>
      <c r="T1936" t="s">
        <v>21410</v>
      </c>
      <c r="U1936" t="s">
        <v>21411</v>
      </c>
      <c r="V1936">
        <f>-614.578859307076 -165.040075574891 -97.0762535068076</f>
        <v>-876.69518838877457</v>
      </c>
      <c r="W1936" t="s">
        <v>21412</v>
      </c>
      <c r="X1936" t="s">
        <v>21413</v>
      </c>
      <c r="Y1936" t="s">
        <v>21414</v>
      </c>
    </row>
    <row r="1937" spans="1:25" x14ac:dyDescent="0.3">
      <c r="A1937">
        <v>96800</v>
      </c>
      <c r="B1937" t="s">
        <v>21415</v>
      </c>
      <c r="C1937">
        <f>-650.47293061799 -75.4765619174506 -99.2936923104871</f>
        <v>-825.24318484592766</v>
      </c>
      <c r="D1937">
        <f>-671.901775945908 -88.4306350169624 -212.383084426096</f>
        <v>-972.71549538896625</v>
      </c>
      <c r="E1937">
        <f>-681.478054258624 -92.4291612287202 -310.459412067882</f>
        <v>-1084.3666275552262</v>
      </c>
      <c r="F1937">
        <f>-687.062618604744 -93.5104056001608 -399.374409403198</f>
        <v>-1179.9474336081028</v>
      </c>
      <c r="G1937">
        <f>-689.180471597801 -92.0134046304055 -488.433529648883</f>
        <v>-1269.6274058770896</v>
      </c>
      <c r="H1937">
        <f>-688.451845273203 -87.2864821293234 -612.924258786859</f>
        <v>-1388.6625861893854</v>
      </c>
      <c r="I1937">
        <f>-664.062948256294 -76.7376377681785 -691.657388706678</f>
        <v>-1432.4579747311504</v>
      </c>
      <c r="J1937">
        <f>-696.411950867425 -62.7490103712745 -557.175948600021</f>
        <v>-1316.3369098387207</v>
      </c>
      <c r="K1937" t="s">
        <v>21416</v>
      </c>
      <c r="L1937" t="s">
        <v>21417</v>
      </c>
      <c r="M1937" t="s">
        <v>21418</v>
      </c>
      <c r="N1937">
        <f>-681.132960640997 -115.984192793836 -559.107883913377</f>
        <v>-1356.22503734821</v>
      </c>
      <c r="O1937">
        <f>-643.734696501155 -245.849125687097 -533.901305395911</f>
        <v>-1423.4851275841629</v>
      </c>
      <c r="P1937">
        <f>-615.031455469319 -323.005256286581 -251.387158122468</f>
        <v>-1189.4238698783679</v>
      </c>
      <c r="Q1937">
        <f>-470.612330959866 -143.639803064297 -322.253466396544</f>
        <v>-936.50560042070697</v>
      </c>
      <c r="R1937" t="s">
        <v>21419</v>
      </c>
      <c r="S1937" t="s">
        <v>21420</v>
      </c>
      <c r="T1937" t="s">
        <v>21421</v>
      </c>
      <c r="U1937" t="s">
        <v>21422</v>
      </c>
      <c r="V1937">
        <f>-614.2333917088 -164.812257369145 -97.0976130718201</f>
        <v>-876.14326214976506</v>
      </c>
      <c r="W1937" t="s">
        <v>21423</v>
      </c>
      <c r="X1937" t="s">
        <v>21424</v>
      </c>
      <c r="Y1937" t="s">
        <v>21425</v>
      </c>
    </row>
    <row r="1938" spans="1:25" x14ac:dyDescent="0.3">
      <c r="A1938">
        <v>96850</v>
      </c>
      <c r="B1938" t="s">
        <v>21426</v>
      </c>
      <c r="C1938">
        <f>-650.399036960481 -75.5264132022071 -99.3102689124979</f>
        <v>-825.23571907518601</v>
      </c>
      <c r="D1938">
        <f>-671.840723636248 -88.506430032165 -212.394241544711</f>
        <v>-972.74139521312395</v>
      </c>
      <c r="E1938">
        <f>-681.48134700308 -92.5148259949302 -310.463925708957</f>
        <v>-1084.4600987069673</v>
      </c>
      <c r="F1938">
        <f>-687.145577382772 -93.5994653823418 -399.373857174839</f>
        <v>-1180.1188999399528</v>
      </c>
      <c r="G1938">
        <f>-689.364798426934 -92.0992877535061 -488.430368186854</f>
        <v>-1269.8944543672942</v>
      </c>
      <c r="H1938">
        <f>-688.800690053479 -87.3602095577867 -612.921510102668</f>
        <v>-1389.0824097139337</v>
      </c>
      <c r="I1938">
        <f>-664.429599041715 -76.7463496470978 -691.651573031331</f>
        <v>-1432.827521720144</v>
      </c>
      <c r="J1938">
        <f>-696.724283518484 -62.8388067168122 -557.161010078416</f>
        <v>-1316.7241003137121</v>
      </c>
      <c r="K1938" t="s">
        <v>21427</v>
      </c>
      <c r="L1938" t="s">
        <v>21428</v>
      </c>
      <c r="M1938" t="s">
        <v>21429</v>
      </c>
      <c r="N1938">
        <f>-681.373571980936 -116.0524862313 -559.117235967313</f>
        <v>-1356.5432941795491</v>
      </c>
      <c r="O1938">
        <f>-643.744676291139 -245.844815329576 -533.90973676493</f>
        <v>-1423.499228385645</v>
      </c>
      <c r="P1938">
        <f>-615.770370974373 -322.423204975441 -251.165273965213</f>
        <v>-1189.3588499150269</v>
      </c>
      <c r="Q1938">
        <f>-471.173131700038 -142.905680847853 -321.279474508887</f>
        <v>-935.35828705677807</v>
      </c>
      <c r="R1938" t="s">
        <v>21430</v>
      </c>
      <c r="S1938" t="s">
        <v>21431</v>
      </c>
      <c r="T1938" t="s">
        <v>21432</v>
      </c>
      <c r="U1938" t="s">
        <v>21433</v>
      </c>
      <c r="V1938">
        <f>-614.053227722338 -164.945937364779 -97.1150013106545</f>
        <v>-876.11416639777156</v>
      </c>
      <c r="W1938" t="s">
        <v>21434</v>
      </c>
      <c r="X1938" t="s">
        <v>21435</v>
      </c>
      <c r="Y1938" t="s">
        <v>21436</v>
      </c>
    </row>
    <row r="1939" spans="1:25" x14ac:dyDescent="0.3">
      <c r="A1939">
        <v>96900</v>
      </c>
      <c r="B1939" t="s">
        <v>21437</v>
      </c>
      <c r="C1939">
        <f>-650.182176635275 -75.5321294463247 -99.3331629204249</f>
        <v>-825.04746900202463</v>
      </c>
      <c r="D1939">
        <f>-671.63384605663 -88.5690286122999 -212.408739234227</f>
        <v>-972.61161390315692</v>
      </c>
      <c r="E1939">
        <f>-681.367928156539 -92.6088181698872 -310.467793549093</f>
        <v>-1084.4445398755192</v>
      </c>
      <c r="F1939">
        <f>-687.150619267824 -93.7146236532845 -399.369892282046</f>
        <v>-1180.2351352031546</v>
      </c>
      <c r="G1939">
        <f>-689.52282854237 -92.2261539936727 -488.422604405981</f>
        <v>-1270.1715869420236</v>
      </c>
      <c r="H1939">
        <f>-689.208629149263 -87.4924568888659 -612.914779191955</f>
        <v>-1389.6158652300837</v>
      </c>
      <c r="I1939">
        <f>-664.925036893134 -76.7855481059398 -691.659328870354</f>
        <v>-1433.3699138694278</v>
      </c>
      <c r="J1939">
        <f>-697.104021151248 -62.9929170571199 -557.140680039158</f>
        <v>-1317.2376182475259</v>
      </c>
      <c r="K1939" t="s">
        <v>21438</v>
      </c>
      <c r="L1939" t="s">
        <v>21439</v>
      </c>
      <c r="M1939" t="s">
        <v>21440</v>
      </c>
      <c r="N1939">
        <f>-681.589686336517 -116.158093564626 -559.123112019618</f>
        <v>-1356.8708919207611</v>
      </c>
      <c r="O1939">
        <f>-643.459345244275 -245.81945962594 -533.96980929723</f>
        <v>-1423.2486141674449</v>
      </c>
      <c r="P1939">
        <f>-616.547922628929 -321.697295455298 -250.933577907908</f>
        <v>-1189.1787959921348</v>
      </c>
      <c r="Q1939">
        <f>-471.83901228095 -141.825920474412 -319.90081959769</f>
        <v>-933.56575235305195</v>
      </c>
      <c r="R1939" t="s">
        <v>21441</v>
      </c>
      <c r="S1939" t="s">
        <v>21442</v>
      </c>
      <c r="T1939" t="s">
        <v>21443</v>
      </c>
      <c r="U1939" t="s">
        <v>21444</v>
      </c>
      <c r="V1939">
        <f>-613.688088482818 -164.827159390981 -97.1330423461167</f>
        <v>-875.64829021991568</v>
      </c>
      <c r="W1939" t="s">
        <v>21445</v>
      </c>
      <c r="X1939" t="s">
        <v>21446</v>
      </c>
      <c r="Y1939" t="s">
        <v>21447</v>
      </c>
    </row>
    <row r="1940" spans="1:25" x14ac:dyDescent="0.3">
      <c r="A1940">
        <v>96950</v>
      </c>
      <c r="B1940" t="s">
        <v>21448</v>
      </c>
      <c r="C1940">
        <f>-650.063137536248 -75.5119824846438 -99.3324993930818</f>
        <v>-824.90761941397352</v>
      </c>
      <c r="D1940">
        <f>-671.501862618734 -88.5713466860007 -212.407918502504</f>
        <v>-972.48112780723864</v>
      </c>
      <c r="E1940">
        <f>-681.277065627343 -92.6161253584735 -310.462726170061</f>
        <v>-1084.3559171558775</v>
      </c>
      <c r="F1940">
        <f>-687.117984205932 -93.7200777060065 -399.361002812686</f>
        <v>-1180.1990647246243</v>
      </c>
      <c r="G1940">
        <f>-689.569947561938 -92.2221247048166 -488.411404002885</f>
        <v>-1270.2034762696394</v>
      </c>
      <c r="H1940">
        <f>-689.389984589277 -87.4661277343653 -612.903098059204</f>
        <v>-1389.7592103828463</v>
      </c>
      <c r="I1940">
        <f>-665.161208759579 -76.7110676008604 -691.657904100795</f>
        <v>-1433.5301804612345</v>
      </c>
      <c r="J1940">
        <f>-697.279290024437 -62.9922885370959 -557.116854785674</f>
        <v>-1317.388433347207</v>
      </c>
      <c r="K1940" t="s">
        <v>21449</v>
      </c>
      <c r="L1940" t="s">
        <v>21450</v>
      </c>
      <c r="M1940" t="s">
        <v>21451</v>
      </c>
      <c r="N1940">
        <f>-681.659091505355 -116.125682839318 -559.124166033767</f>
        <v>-1356.9089403784401</v>
      </c>
      <c r="O1940">
        <f>-643.24582130268 -245.712224422664 -534.008112048874</f>
        <v>-1422.9661577742181</v>
      </c>
      <c r="P1940">
        <f>-616.744851779991 -321.088952669679 -250.799328836138</f>
        <v>-1188.6331332858081</v>
      </c>
      <c r="Q1940">
        <f>-472.020470449919 -141.077293891171 -319.366971389512</f>
        <v>-932.46473573060189</v>
      </c>
      <c r="R1940" t="s">
        <v>21452</v>
      </c>
      <c r="S1940" t="s">
        <v>21453</v>
      </c>
      <c r="T1940" t="s">
        <v>21454</v>
      </c>
      <c r="U1940" t="s">
        <v>21455</v>
      </c>
      <c r="V1940">
        <f>-613.442198266485 -164.795645992573 -97.1570654106271</f>
        <v>-875.39490966968503</v>
      </c>
      <c r="W1940" t="s">
        <v>21456</v>
      </c>
      <c r="X1940" t="s">
        <v>21457</v>
      </c>
      <c r="Y1940" t="s">
        <v>21458</v>
      </c>
    </row>
    <row r="1941" spans="1:25" x14ac:dyDescent="0.3">
      <c r="A1941">
        <v>97000</v>
      </c>
      <c r="B1941" t="s">
        <v>21459</v>
      </c>
      <c r="C1941">
        <f>-649.79324743838 -75.5101330372639 -99.338126464864</f>
        <v>-824.64150694050795</v>
      </c>
      <c r="D1941">
        <f>-671.220178290745 -88.6586089636436 -212.40548995036</f>
        <v>-972.28427720474861</v>
      </c>
      <c r="E1941">
        <f>-681.085752554097 -92.7323454525297 -310.45007947773</f>
        <v>-1084.2681774843568</v>
      </c>
      <c r="F1941">
        <f>-687.049040015559 -93.842420592953 -399.340143161366</f>
        <v>-1180.2316037698779</v>
      </c>
      <c r="G1941">
        <f>-689.664329435443 -92.3276203601241 -488.38561515552</f>
        <v>-1270.3775649510872</v>
      </c>
      <c r="H1941">
        <f>-689.755895508215 -87.5223655444978 -612.875499407891</f>
        <v>-1390.1537604606037</v>
      </c>
      <c r="I1941">
        <f>-665.611740085302 -76.6908238043652 -691.645832325093</f>
        <v>-1433.9483962147601</v>
      </c>
      <c r="J1941">
        <f>-697.630029238046 -63.1021463814758 -557.063552331558</f>
        <v>-1317.7957279510797</v>
      </c>
      <c r="K1941" t="s">
        <v>21460</v>
      </c>
      <c r="L1941" t="s">
        <v>21461</v>
      </c>
      <c r="M1941" t="s">
        <v>21462</v>
      </c>
      <c r="N1941">
        <f>-681.801257791259 -116.17168916766 -559.123695608542</f>
        <v>-1357.096642567461</v>
      </c>
      <c r="O1941">
        <f>-642.80988284778 -245.59173477282 -534.065995114312</f>
        <v>-1422.4676127349121</v>
      </c>
      <c r="P1941">
        <f>-616.986689120797 -319.940302592048 -250.522874575253</f>
        <v>-1187.4498662880978</v>
      </c>
      <c r="Q1941">
        <f>-472.567515127842 -139.473653305033 -318.535646382628</f>
        <v>-930.57681481550298</v>
      </c>
      <c r="R1941" t="s">
        <v>21463</v>
      </c>
      <c r="S1941" t="s">
        <v>21464</v>
      </c>
      <c r="T1941" t="s">
        <v>21465</v>
      </c>
      <c r="U1941" t="s">
        <v>21466</v>
      </c>
      <c r="V1941">
        <f>-613.007399061093 -164.643021969325 -97.161627976007</f>
        <v>-874.81204900642501</v>
      </c>
      <c r="W1941" t="s">
        <v>21467</v>
      </c>
      <c r="X1941" t="s">
        <v>21468</v>
      </c>
      <c r="Y1941" t="s">
        <v>21469</v>
      </c>
    </row>
    <row r="1942" spans="1:25" x14ac:dyDescent="0.3">
      <c r="A1942">
        <v>97050</v>
      </c>
      <c r="B1942" t="s">
        <v>21470</v>
      </c>
      <c r="C1942">
        <f>-649.702455122268 -75.537244029661 -99.3557875980522</f>
        <v>-824.59548674998121</v>
      </c>
      <c r="D1942">
        <f>-671.126398893563 -88.724210126305 -212.419261300587</f>
        <v>-972.26987032045497</v>
      </c>
      <c r="E1942">
        <f>-681.04467748158 -92.8248260451127 -310.457198862562</f>
        <v>-1084.3267023892547</v>
      </c>
      <c r="F1942">
        <f>-687.077611451247 -93.9565039863683 -399.342468835085</f>
        <v>-1180.3765842727003</v>
      </c>
      <c r="G1942">
        <f>-689.785095691068 -92.4595866660924 -488.385504563864</f>
        <v>-1270.6301869210245</v>
      </c>
      <c r="H1942">
        <f>-690.02886572652 -87.6745291352945 -612.875930792364</f>
        <v>-1390.5793256541785</v>
      </c>
      <c r="I1942">
        <f>-665.923793897308 -76.8357538572142 -691.657170553258</f>
        <v>-1434.4167183077802</v>
      </c>
      <c r="J1942">
        <f>-697.877422611773 -63.2580765194982 -557.058798607877</f>
        <v>-1318.1942977391482</v>
      </c>
      <c r="K1942" t="s">
        <v>21471</v>
      </c>
      <c r="L1942" t="s">
        <v>21472</v>
      </c>
      <c r="M1942" t="s">
        <v>21473</v>
      </c>
      <c r="N1942">
        <f>-681.965790886411 -116.302298672454 -559.128808781248</f>
        <v>-1357.396898340113</v>
      </c>
      <c r="O1942">
        <f>-642.707773779524 -245.641829102724 -534.073716116169</f>
        <v>-1422.423318998417</v>
      </c>
      <c r="P1942">
        <f>-617.196384783598 -319.180962120659 -250.291554865187</f>
        <v>-1186.6689017694439</v>
      </c>
      <c r="Q1942">
        <f>-472.708839201571 -138.72354669888 -318.18333171816</f>
        <v>-929.61571761861092</v>
      </c>
      <c r="R1942" t="s">
        <v>21474</v>
      </c>
      <c r="S1942" t="s">
        <v>21475</v>
      </c>
      <c r="T1942" t="s">
        <v>21476</v>
      </c>
      <c r="U1942" t="s">
        <v>21477</v>
      </c>
      <c r="V1942">
        <f>-612.798444709392 -164.634954653797 -97.1594128979868</f>
        <v>-874.59281226117582</v>
      </c>
      <c r="W1942" t="s">
        <v>21478</v>
      </c>
      <c r="X1942" t="s">
        <v>21479</v>
      </c>
      <c r="Y1942" t="s">
        <v>21480</v>
      </c>
    </row>
    <row r="1943" spans="1:25" x14ac:dyDescent="0.3">
      <c r="A1943">
        <v>97100</v>
      </c>
      <c r="B1943" t="s">
        <v>21481</v>
      </c>
      <c r="C1943">
        <f>-649.339525100341 -75.6956109867798 -99.3767602112468</f>
        <v>-824.41189629836765</v>
      </c>
      <c r="D1943">
        <f>-670.747721518862 -88.9359155519091 -212.436977341836</f>
        <v>-972.12061441260721</v>
      </c>
      <c r="E1943">
        <f>-680.740173917901 -93.0887089817627 -310.465428985429</f>
        <v>-1084.2943118850926</v>
      </c>
      <c r="F1943">
        <f>-686.876048459753 -94.2695043505581 -399.342848365339</f>
        <v>-1180.4884011756501</v>
      </c>
      <c r="G1943">
        <f>-689.722955925326 -92.8213135414428 -488.382266402416</f>
        <v>-1270.9265358691848</v>
      </c>
      <c r="H1943">
        <f>-690.200335190579 -88.1031506336337 -612.874626091076</f>
        <v>-1391.1781119152888</v>
      </c>
      <c r="I1943">
        <f>-666.17215789615 -77.263344055442 -691.679228729436</f>
        <v>-1435.114730681028</v>
      </c>
      <c r="J1943">
        <f>-698.003907065663 -63.6746253326667 -557.056428167459</f>
        <v>-1318.7349605657887</v>
      </c>
      <c r="K1943" t="s">
        <v>21482</v>
      </c>
      <c r="L1943" t="s">
        <v>21483</v>
      </c>
      <c r="M1943" t="s">
        <v>21484</v>
      </c>
      <c r="N1943">
        <f>-681.976660999568 -116.684135160117 -559.127049256469</f>
        <v>-1357.7878454161541</v>
      </c>
      <c r="O1943">
        <f>-642.364369609675 -245.902163843788 -533.979660338008</f>
        <v>-1422.2461937914709</v>
      </c>
      <c r="P1943">
        <f>-617.50000583661 -318.20279705896 -249.821964820669</f>
        <v>-1185.5247677162388</v>
      </c>
      <c r="Q1943">
        <f>-473.205781544022 -137.535353670011 -317.566596034383</f>
        <v>-928.30773124841596</v>
      </c>
      <c r="R1943" t="s">
        <v>21485</v>
      </c>
      <c r="S1943" t="s">
        <v>21486</v>
      </c>
      <c r="T1943" t="s">
        <v>21487</v>
      </c>
      <c r="U1943" t="s">
        <v>21488</v>
      </c>
      <c r="V1943">
        <f>-612.249763701456 -164.873528901687 -97.1651858170308</f>
        <v>-874.28847842017376</v>
      </c>
      <c r="W1943" t="s">
        <v>21489</v>
      </c>
      <c r="X1943" t="s">
        <v>21490</v>
      </c>
      <c r="Y1943" t="s">
        <v>21491</v>
      </c>
    </row>
    <row r="1944" spans="1:25" x14ac:dyDescent="0.3">
      <c r="A1944">
        <v>97150</v>
      </c>
      <c r="B1944" t="s">
        <v>21492</v>
      </c>
      <c r="C1944">
        <f>-649.088989576913 -75.6987144231085 -99.3775580971416</f>
        <v>-824.16526209716312</v>
      </c>
      <c r="D1944">
        <f>-670.486657119399 -88.9571008825753 -212.437518442078</f>
        <v>-971.88127644405222</v>
      </c>
      <c r="E1944">
        <f>-680.504785864048 -93.132898029021 -310.462434239297</f>
        <v>-1084.1001181323661</v>
      </c>
      <c r="F1944">
        <f>-686.678088376372 -94.3369195354147 -399.336879161407</f>
        <v>-1180.3518870731937</v>
      </c>
      <c r="G1944">
        <f>-689.577003142515 -92.9141086684859 -488.375082165639</f>
        <v>-1270.8661939766398</v>
      </c>
      <c r="H1944">
        <f>-690.142423485813 -88.2327400492695 -612.868476678464</f>
        <v>-1391.2436402135465</v>
      </c>
      <c r="I1944">
        <f>-666.148871740453 -77.4028442039593 -691.684945217749</f>
        <v>-1435.2366611621615</v>
      </c>
      <c r="J1944">
        <f>-697.925815469615 -63.7935838557225 -557.052098681946</f>
        <v>-1318.7714980072835</v>
      </c>
      <c r="K1944" t="s">
        <v>21493</v>
      </c>
      <c r="L1944" t="s">
        <v>21494</v>
      </c>
      <c r="M1944" t="s">
        <v>21495</v>
      </c>
      <c r="N1944">
        <f>-681.861419296873 -116.79194504375 -559.118058811583</f>
        <v>-1357.7714231522059</v>
      </c>
      <c r="O1944">
        <f>-642.147192167488 -245.969587924869 -533.935386629362</f>
        <v>-1422.052166721719</v>
      </c>
      <c r="P1944">
        <f>-617.6816874429 -317.487536808716 -249.545096504583</f>
        <v>-1184.714320756199</v>
      </c>
      <c r="Q1944">
        <f>-473.24992188408 -136.918096127744 -317.257808383099</f>
        <v>-927.42582639492298</v>
      </c>
      <c r="R1944" t="s">
        <v>21496</v>
      </c>
      <c r="S1944" t="s">
        <v>21497</v>
      </c>
      <c r="T1944" t="s">
        <v>21498</v>
      </c>
      <c r="U1944" t="s">
        <v>21499</v>
      </c>
      <c r="V1944">
        <f>-611.986295015991 -164.761692906912 -97.1606277731615</f>
        <v>-873.90861569606454</v>
      </c>
      <c r="W1944" t="s">
        <v>21500</v>
      </c>
      <c r="X1944" t="s">
        <v>21501</v>
      </c>
      <c r="Y1944" t="s">
        <v>21502</v>
      </c>
    </row>
    <row r="1945" spans="1:25" x14ac:dyDescent="0.3">
      <c r="A1945">
        <v>97200</v>
      </c>
      <c r="B1945" t="s">
        <v>21503</v>
      </c>
      <c r="C1945">
        <f>-648.708818086737 -75.5511157601132 -99.3869312994715</f>
        <v>-823.64686514632172</v>
      </c>
      <c r="D1945">
        <f>-670.054260008083 -88.8307536874605 -212.454367890393</f>
        <v>-971.33938158593651</v>
      </c>
      <c r="E1945">
        <f>-680.096460015156 -93.0525779616012 -310.47463096875</f>
        <v>-1083.6236689455072</v>
      </c>
      <c r="F1945">
        <f>-686.319754090452 -94.3088157848409 -399.345076896889</f>
        <v>-1179.9736467721818</v>
      </c>
      <c r="G1945">
        <f>-689.297337331413 -92.9479452139024 -488.381706915721</f>
        <v>-1270.6269894610364</v>
      </c>
      <c r="H1945">
        <f>-690.002899706302 -88.3627752109486 -612.877874952981</f>
        <v>-1391.2435498702316</v>
      </c>
      <c r="I1945">
        <f>-666.075207331729 -77.5804371606806 -691.720937776917</f>
        <v>-1435.3765822693267</v>
      </c>
      <c r="J1945">
        <f>-697.740769108611 -63.885767357942 -557.071831265053</f>
        <v>-1318.6983677316059</v>
      </c>
      <c r="K1945" t="s">
        <v>21504</v>
      </c>
      <c r="L1945" t="s">
        <v>21505</v>
      </c>
      <c r="M1945" t="s">
        <v>21506</v>
      </c>
      <c r="N1945">
        <f>-681.644063788827 -116.875233670323 -559.114579086993</f>
        <v>-1357.633876546143</v>
      </c>
      <c r="O1945">
        <f>-641.794714322233 -245.988646977355 -533.805018936675</f>
        <v>-1421.5883802362628</v>
      </c>
      <c r="P1945">
        <f>-617.90477937327 -316.788562695784 -249.186232788273</f>
        <v>-1183.879574857327</v>
      </c>
      <c r="Q1945">
        <f>-473.966450150497 -135.880812859253 -317.046353534371</f>
        <v>-926.89361654412096</v>
      </c>
      <c r="R1945" t="s">
        <v>21507</v>
      </c>
      <c r="S1945" t="s">
        <v>21508</v>
      </c>
      <c r="T1945" t="s">
        <v>21509</v>
      </c>
      <c r="U1945" t="s">
        <v>21510</v>
      </c>
      <c r="V1945">
        <f>-611.582251406146 -164.51273001472 -97.1621300750517</f>
        <v>-873.25711149591768</v>
      </c>
      <c r="W1945" t="s">
        <v>21511</v>
      </c>
      <c r="X1945" t="s">
        <v>21512</v>
      </c>
      <c r="Y1945" t="s">
        <v>21513</v>
      </c>
    </row>
    <row r="1946" spans="1:25" x14ac:dyDescent="0.3">
      <c r="A1946">
        <v>97250</v>
      </c>
      <c r="B1946" t="s">
        <v>21514</v>
      </c>
      <c r="C1946">
        <f>-648.592492492232 -75.5536425277462 -99.4060847839007</f>
        <v>-823.55221980387898</v>
      </c>
      <c r="D1946">
        <f>-669.909369694379 -88.8505655687622 -212.476785514658</f>
        <v>-971.23672077779929</v>
      </c>
      <c r="E1946">
        <f>-679.951930839578 -93.0922106428787 -310.496307742163</f>
        <v>-1083.5404492246198</v>
      </c>
      <c r="F1946">
        <f>-686.185831927073 -94.3680693852923 -399.365659682736</f>
        <v>-1179.9195609951012</v>
      </c>
      <c r="G1946">
        <f>-689.184335981334 -93.0282327888115 -488.401900458852</f>
        <v>-1270.6144692289975</v>
      </c>
      <c r="H1946">
        <f>-689.930046066783 -88.4736022035097 -612.898974629947</f>
        <v>-1391.3026229002398</v>
      </c>
      <c r="I1946">
        <f>-666.023146174794 -77.7059849100249 -691.750359496063</f>
        <v>-1435.4794905808817</v>
      </c>
      <c r="J1946">
        <f>-697.653439188656 -63.9839482736986 -557.096555664452</f>
        <v>-1318.7339431268065</v>
      </c>
      <c r="K1946" t="s">
        <v>21515</v>
      </c>
      <c r="L1946" t="s">
        <v>21516</v>
      </c>
      <c r="M1946" t="s">
        <v>21517</v>
      </c>
      <c r="N1946">
        <f>-681.55025904889 -116.971749132901 -559.131384252395</f>
        <v>-1357.6533924341861</v>
      </c>
      <c r="O1946">
        <f>-641.685286809066 -246.075322582323 -533.797685256726</f>
        <v>-1421.558294648115</v>
      </c>
      <c r="P1946">
        <f>-618.056132536444 -316.578230681206 -249.08344662866</f>
        <v>-1183.71780984631</v>
      </c>
      <c r="Q1946">
        <f>-474.47697880513 -135.341026212651 -316.825431129411</f>
        <v>-926.64343614719201</v>
      </c>
      <c r="R1946" t="s">
        <v>21518</v>
      </c>
      <c r="S1946" t="s">
        <v>21519</v>
      </c>
      <c r="T1946" t="s">
        <v>21520</v>
      </c>
      <c r="U1946" t="s">
        <v>21521</v>
      </c>
      <c r="V1946">
        <f>-611.465827644423 -164.514492963478 -97.1629173717701</f>
        <v>-873.14323797967108</v>
      </c>
      <c r="W1946" t="s">
        <v>21522</v>
      </c>
      <c r="X1946" t="s">
        <v>21523</v>
      </c>
      <c r="Y1946" t="s">
        <v>21524</v>
      </c>
    </row>
    <row r="1947" spans="1:25" x14ac:dyDescent="0.3">
      <c r="A1947">
        <v>97300</v>
      </c>
      <c r="B1947" t="s">
        <v>21525</v>
      </c>
      <c r="C1947">
        <f>-648.342598683061 -75.5497774877824 -99.4436236196987</f>
        <v>-823.33599979054213</v>
      </c>
      <c r="D1947">
        <f>-669.64141151106 -88.8872486935694 -212.513110426171</f>
        <v>-971.04177063080044</v>
      </c>
      <c r="E1947">
        <f>-679.695285403262 -93.1556746305208 -310.530239585528</f>
        <v>-1083.3811996193108</v>
      </c>
      <c r="F1947">
        <f>-685.949995177875 -94.4525328095325 -399.39774087059</f>
        <v>-1179.8002688579975</v>
      </c>
      <c r="G1947">
        <f>-688.979839637003 -93.1299842572132 -488.433197582894</f>
        <v>-1270.5430214771102</v>
      </c>
      <c r="H1947">
        <f>-689.78032116069 -88.5955321308691 -612.930675470071</f>
        <v>-1391.30652876163</v>
      </c>
      <c r="I1947">
        <f>-665.896664721729 -77.8494108088917 -691.792086235982</f>
        <v>-1435.5381617666026</v>
      </c>
      <c r="J1947">
        <f>-697.492890365494 -64.1010271292029 -557.128875325605</f>
        <v>-1318.7227928203019</v>
      </c>
      <c r="K1947" t="s">
        <v>21526</v>
      </c>
      <c r="L1947" t="s">
        <v>21527</v>
      </c>
      <c r="M1947" t="s">
        <v>21528</v>
      </c>
      <c r="N1947">
        <f>-681.363234948698 -117.080855342408 -559.16213566976</f>
        <v>-1357.6062259608661</v>
      </c>
      <c r="O1947">
        <f>-641.403232324331 -246.141252398938 -533.777096693914</f>
        <v>-1421.3215814171831</v>
      </c>
      <c r="P1947">
        <f>-618.391026683272 -316.458339799861 -248.966296709856</f>
        <v>-1183.8156631929892</v>
      </c>
      <c r="Q1947">
        <f>-475.255196842776 -134.431474046858 -315.518968732357</f>
        <v>-925.20563962199094</v>
      </c>
      <c r="R1947" t="s">
        <v>21529</v>
      </c>
      <c r="S1947" t="s">
        <v>21530</v>
      </c>
      <c r="T1947" t="s">
        <v>21531</v>
      </c>
      <c r="U1947" t="s">
        <v>21532</v>
      </c>
      <c r="V1947">
        <f>-611.140564729484 -164.50806115302 -97.1808543900222</f>
        <v>-872.82948027252621</v>
      </c>
      <c r="W1947" t="s">
        <v>21533</v>
      </c>
      <c r="X1947" t="s">
        <v>21534</v>
      </c>
      <c r="Y1947" t="s">
        <v>21535</v>
      </c>
    </row>
    <row r="1948" spans="1:25" x14ac:dyDescent="0.3">
      <c r="A1948">
        <v>97350</v>
      </c>
      <c r="B1948" t="s">
        <v>21536</v>
      </c>
      <c r="C1948">
        <f>-648.158910528286 -75.4962413858619 -99.4611846569719</f>
        <v>-823.11633657111986</v>
      </c>
      <c r="D1948">
        <f>-669.45263777899 -88.8624442723237 -212.528131773263</f>
        <v>-970.84321382457676</v>
      </c>
      <c r="E1948">
        <f>-679.506195828125 -93.1471035883942 -310.544631314031</f>
        <v>-1083.1979307305501</v>
      </c>
      <c r="F1948">
        <f>-685.761857822119 -94.4555414932624 -399.411938820679</f>
        <v>-1179.6293381360606</v>
      </c>
      <c r="G1948">
        <f>-688.79376491237 -93.1415057459019 -488.447482186656</f>
        <v>-1270.3827528449278</v>
      </c>
      <c r="H1948">
        <f>-689.598390310761 -88.6157119659476 -612.945092631868</f>
        <v>-1391.1591949085766</v>
      </c>
      <c r="I1948">
        <f>-665.711085734424 -77.8768020411535 -691.806454826623</f>
        <v>-1435.3943426022006</v>
      </c>
      <c r="J1948">
        <f>-697.315926167381 -64.1193831188486 -557.14487400059</f>
        <v>-1318.5801832868196</v>
      </c>
      <c r="K1948" t="s">
        <v>21537</v>
      </c>
      <c r="L1948" t="s">
        <v>21538</v>
      </c>
      <c r="M1948" t="s">
        <v>21539</v>
      </c>
      <c r="N1948">
        <f>-681.172709330282 -117.095234204778 -559.175039870082</f>
        <v>-1357.4429834051421</v>
      </c>
      <c r="O1948">
        <f>-641.163525231575 -246.1387333896 -533.783334887791</f>
        <v>-1421.0855935089662</v>
      </c>
      <c r="P1948">
        <f>-618.573865746467 -316.348056326115 -248.912261485162</f>
        <v>-1183.8341835577439</v>
      </c>
      <c r="Q1948">
        <f>-475.539139575847 -133.992178048111 -314.777765075857</f>
        <v>-924.30908269981501</v>
      </c>
      <c r="R1948" t="s">
        <v>21540</v>
      </c>
      <c r="S1948" t="s">
        <v>21541</v>
      </c>
      <c r="T1948" t="s">
        <v>21542</v>
      </c>
      <c r="U1948" t="s">
        <v>21543</v>
      </c>
      <c r="V1948">
        <f>-610.92846753152 -164.336280056657 -97.1836621042536</f>
        <v>-872.44840969243057</v>
      </c>
      <c r="W1948" t="s">
        <v>21544</v>
      </c>
      <c r="X1948" t="s">
        <v>21545</v>
      </c>
      <c r="Y1948" t="s">
        <v>21546</v>
      </c>
    </row>
    <row r="1949" spans="1:25" x14ac:dyDescent="0.3">
      <c r="A1949">
        <v>97400</v>
      </c>
      <c r="B1949" t="s">
        <v>21547</v>
      </c>
      <c r="C1949">
        <f>-647.769669229812 -75.4792982742154 -99.489677799127</f>
        <v>-822.73864530315439</v>
      </c>
      <c r="D1949">
        <f>-669.031236953605 -88.8736475748937 -212.559321884375</f>
        <v>-970.46420641287364</v>
      </c>
      <c r="E1949">
        <f>-679.079538591179 -93.1673835511109 -310.575905697047</f>
        <v>-1082.8228278393369</v>
      </c>
      <c r="F1949">
        <f>-685.338731460001 -94.4786818984167 -399.443019996461</f>
        <v>-1179.2604333548786</v>
      </c>
      <c r="G1949">
        <f>-688.382290688453 -93.1617885291047 -488.47798160638</f>
        <v>-1270.0220608239379</v>
      </c>
      <c r="H1949">
        <f>-689.21114779794 -88.626312981878 -612.97522605115</f>
        <v>-1390.812686830968</v>
      </c>
      <c r="I1949">
        <f>-665.319430929073 -77.8536243999364 -691.8304805267</f>
        <v>-1435.0035358557093</v>
      </c>
      <c r="J1949">
        <f>-696.931231436201 -64.1383376949085 -557.171537755093</f>
        <v>-1318.2411068862025</v>
      </c>
      <c r="K1949" t="s">
        <v>21548</v>
      </c>
      <c r="L1949" t="s">
        <v>21549</v>
      </c>
      <c r="M1949" t="s">
        <v>21550</v>
      </c>
      <c r="N1949">
        <f>-680.761649832126 -117.105943049406 -559.208813048204</f>
        <v>-1357.0764059297358</v>
      </c>
      <c r="O1949">
        <f>-640.651373974555 -246.121168268549 -533.810090025901</f>
        <v>-1420.582632269005</v>
      </c>
      <c r="P1949">
        <f>-619.090287428449 -315.985498227847 -248.774410514157</f>
        <v>-1183.8501961704528</v>
      </c>
      <c r="Q1949">
        <f>-476.098511746582 -133.180090466832 -313.476814732707</f>
        <v>-922.75541694612104</v>
      </c>
      <c r="R1949" t="s">
        <v>21551</v>
      </c>
      <c r="S1949" t="s">
        <v>21552</v>
      </c>
      <c r="T1949" t="s">
        <v>21553</v>
      </c>
      <c r="U1949" t="s">
        <v>21554</v>
      </c>
      <c r="V1949">
        <f>-610.467587600493 -164.231829265915 -97.1929083168628</f>
        <v>-871.89232518327083</v>
      </c>
      <c r="W1949" t="s">
        <v>21555</v>
      </c>
      <c r="X1949" t="s">
        <v>21556</v>
      </c>
      <c r="Y1949" t="s">
        <v>21557</v>
      </c>
    </row>
    <row r="1950" spans="1:25" x14ac:dyDescent="0.3">
      <c r="A1950">
        <v>97450</v>
      </c>
      <c r="B1950" t="s">
        <v>21558</v>
      </c>
      <c r="C1950">
        <f>-647.584453663563 -75.4784526572099 -99.5057615545979</f>
        <v>-822.56866787537081</v>
      </c>
      <c r="D1950">
        <f>-668.81478091594 -88.8656170736127 -212.582231900991</f>
        <v>-970.26262989054374</v>
      </c>
      <c r="E1950">
        <f>-678.845322100796 -93.1499687789312 -310.601009391429</f>
        <v>-1082.5963002711562</v>
      </c>
      <c r="F1950">
        <f>-685.091898949737 -94.4516939240517 -399.469042591171</f>
        <v>-1179.0126354649597</v>
      </c>
      <c r="G1950">
        <f>-688.126283192024 -93.1241715402659 -488.50433991324</f>
        <v>-1269.75479464553</v>
      </c>
      <c r="H1950">
        <f>-688.94588558083 -88.5725485071949 -613.000957943917</f>
        <v>-1390.5193920319421</v>
      </c>
      <c r="I1950">
        <f>-665.039998243813 -77.7655817873977 -691.847281158407</f>
        <v>-1434.6528611896176</v>
      </c>
      <c r="J1950">
        <f>-696.675276474495 -64.0934937611257 -557.194649579485</f>
        <v>-1317.9634198151057</v>
      </c>
      <c r="K1950" t="s">
        <v>21559</v>
      </c>
      <c r="L1950" t="s">
        <v>21560</v>
      </c>
      <c r="M1950" t="s">
        <v>21561</v>
      </c>
      <c r="N1950">
        <f>-680.495128276018 -117.057528025967 -559.237512882459</f>
        <v>-1356.790169184444</v>
      </c>
      <c r="O1950">
        <f>-640.366261698207 -246.061825635707 -533.837262609901</f>
        <v>-1420.2653499438152</v>
      </c>
      <c r="P1950">
        <f>-619.263367296449 -315.796024456753 -248.735478531566</f>
        <v>-1183.794870284768</v>
      </c>
      <c r="Q1950">
        <f>-476.504887012111 -132.62916275274 -312.928814923868</f>
        <v>-922.06286468871895</v>
      </c>
      <c r="R1950" t="s">
        <v>21562</v>
      </c>
      <c r="S1950" t="s">
        <v>21563</v>
      </c>
      <c r="T1950" t="s">
        <v>21564</v>
      </c>
      <c r="U1950" t="s">
        <v>21565</v>
      </c>
      <c r="V1950">
        <f>-610.242078926504 -164.204267322259 -97.2070202396758</f>
        <v>-871.65336648843868</v>
      </c>
      <c r="W1950" t="s">
        <v>21566</v>
      </c>
      <c r="X1950" t="s">
        <v>21567</v>
      </c>
      <c r="Y1950" t="s">
        <v>21568</v>
      </c>
    </row>
    <row r="1951" spans="1:25" x14ac:dyDescent="0.3">
      <c r="A1951">
        <v>97500</v>
      </c>
      <c r="B1951" t="s">
        <v>21569</v>
      </c>
      <c r="C1951">
        <f>-647.276606217046 -75.4504839078842 -99.5130471271652</f>
        <v>-822.24013725209545</v>
      </c>
      <c r="D1951">
        <f>-668.433488296492 -88.7975895716561 -212.607967853959</f>
        <v>-969.83904572210713</v>
      </c>
      <c r="E1951">
        <f>-678.383396506294 -93.0185631261544 -310.637707843596</f>
        <v>-1082.0396674760445</v>
      </c>
      <c r="F1951">
        <f>-684.549575906961 -94.2514859497549 -399.512429206903</f>
        <v>-1178.3134910636188</v>
      </c>
      <c r="G1951">
        <f>-687.495903013638 -92.8438828493237 -488.549459519367</f>
        <v>-1268.8892453823287</v>
      </c>
      <c r="H1951">
        <f>-688.184443218474 -88.1687510922018 -613.04218727932</f>
        <v>-1389.3953815899958</v>
      </c>
      <c r="I1951">
        <f>-664.208510568244 -77.2641520177501 -691.853876957646</f>
        <v>-1433.3265395436401</v>
      </c>
      <c r="J1951">
        <f>-695.978165267572 -63.7466576995591 -557.219900175403</f>
        <v>-1316.9447231425343</v>
      </c>
      <c r="K1951" t="s">
        <v>21570</v>
      </c>
      <c r="L1951" t="s">
        <v>21571</v>
      </c>
      <c r="M1951" t="s">
        <v>21572</v>
      </c>
      <c r="N1951">
        <f>-679.78478328534 -116.705356495735 -559.298299961619</f>
        <v>-1355.7884397426942</v>
      </c>
      <c r="O1951">
        <f>-639.636714553446 -245.713697229753 -533.950060226264</f>
        <v>-1419.300472009463</v>
      </c>
      <c r="P1951">
        <f>-619.122114078005 -315.588278515548 -248.839809660889</f>
        <v>-1183.550202254442</v>
      </c>
      <c r="Q1951">
        <f>-477.140313985124 -131.327524304618 -311.609178569089</f>
        <v>-920.07701685883103</v>
      </c>
      <c r="R1951" t="s">
        <v>21573</v>
      </c>
      <c r="S1951" t="s">
        <v>21574</v>
      </c>
      <c r="T1951" t="s">
        <v>21575</v>
      </c>
      <c r="U1951" t="s">
        <v>21576</v>
      </c>
      <c r="V1951">
        <f>-609.944885809208 -164.122413184883 -97.2260620173814</f>
        <v>-871.29336101147248</v>
      </c>
      <c r="W1951" t="s">
        <v>21577</v>
      </c>
      <c r="X1951" t="s">
        <v>21578</v>
      </c>
      <c r="Y1951" t="s">
        <v>21579</v>
      </c>
    </row>
    <row r="1952" spans="1:25" x14ac:dyDescent="0.3">
      <c r="A1952">
        <v>97550</v>
      </c>
      <c r="B1952" t="s">
        <v>21580</v>
      </c>
      <c r="C1952">
        <f>-647.169060004512 -75.4611409477589 -99.5147121792376</f>
        <v>-822.14491313150836</v>
      </c>
      <c r="D1952">
        <f>-668.286477326764 -88.7874896137415 -212.619460401958</f>
        <v>-969.69342734246356</v>
      </c>
      <c r="E1952">
        <f>-678.168551302623 -92.9629909510437 -310.658056736096</f>
        <v>-1081.7895989897627</v>
      </c>
      <c r="F1952">
        <f>-684.259280522385 -94.1442185986878 -399.538631407681</f>
        <v>-1177.9421305287538</v>
      </c>
      <c r="G1952">
        <f>-687.115764259751 -92.6745819479709 -488.577383098291</f>
        <v>-1268.367729306013</v>
      </c>
      <c r="H1952">
        <f>-687.663472236066 -87.9022275702417 -613.067386449207</f>
        <v>-1388.6330862555146</v>
      </c>
      <c r="I1952">
        <f>-663.621943237936 -76.9409326732784 -691.851107376564</f>
        <v>-1432.4139832877784</v>
      </c>
      <c r="J1952">
        <f>-695.518518551647 -63.5231884167187 -557.234818967149</f>
        <v>-1316.2765259355147</v>
      </c>
      <c r="K1952" t="s">
        <v>21581</v>
      </c>
      <c r="L1952" t="s">
        <v>21582</v>
      </c>
      <c r="M1952" t="s">
        <v>21583</v>
      </c>
      <c r="N1952">
        <f>-679.326409431297 -116.481342307699 -559.336279817794</f>
        <v>-1355.14403155679</v>
      </c>
      <c r="O1952">
        <f>-639.163003565237 -245.487295601316 -534.010504710075</f>
        <v>-1418.6608038766281</v>
      </c>
      <c r="P1952">
        <f>-618.933360549682 -315.502987467191 -248.914465145736</f>
        <v>-1183.350813162609</v>
      </c>
      <c r="Q1952">
        <f>-477.377154197736 -130.547105976845 -310.59118916033</f>
        <v>-918.51544933491095</v>
      </c>
      <c r="R1952" t="s">
        <v>21584</v>
      </c>
      <c r="S1952" t="s">
        <v>21585</v>
      </c>
      <c r="T1952" t="s">
        <v>21586</v>
      </c>
      <c r="U1952" t="s">
        <v>21587</v>
      </c>
      <c r="V1952">
        <f>-609.832964896106 -164.142045703239 -97.2268666435658</f>
        <v>-871.20187724291077</v>
      </c>
      <c r="W1952" t="s">
        <v>21588</v>
      </c>
      <c r="X1952" t="s">
        <v>21589</v>
      </c>
      <c r="Y1952" t="s">
        <v>21590</v>
      </c>
    </row>
    <row r="1953" spans="1:25" x14ac:dyDescent="0.3">
      <c r="A1953">
        <v>97600</v>
      </c>
      <c r="B1953" t="s">
        <v>21591</v>
      </c>
      <c r="C1953">
        <f>-646.895914528726 -75.440071014602 -99.5306967091901</f>
        <v>-821.86668225251822</v>
      </c>
      <c r="D1953">
        <f>-667.955011534102 -88.7113962915272 -212.652815773451</f>
        <v>-969.31922359908026</v>
      </c>
      <c r="E1953">
        <f>-677.719073913564 -92.8238155430005 -310.705872741756</f>
        <v>-1081.2487621983205</v>
      </c>
      <c r="F1953">
        <f>-683.675218329212 -93.9427661593473 -399.596335894644</f>
        <v>-1177.2143203832034</v>
      </c>
      <c r="G1953">
        <f>-686.368741403948 -92.4067796469773 -488.639224871288</f>
        <v>-1267.4147459222131</v>
      </c>
      <c r="H1953">
        <f>-686.658782143249 -87.5384593857417 -613.126279297759</f>
        <v>-1387.3235208267497</v>
      </c>
      <c r="I1953">
        <f>-662.475987275893 -76.5135210587968 -691.857965306304</f>
        <v>-1430.8474736409937</v>
      </c>
      <c r="J1953">
        <f>-694.611966371176 -63.1971585278928 -557.291194076013</f>
        <v>-1315.1003189750818</v>
      </c>
      <c r="K1953" t="s">
        <v>21592</v>
      </c>
      <c r="L1953" t="s">
        <v>21593</v>
      </c>
      <c r="M1953" t="s">
        <v>21594</v>
      </c>
      <c r="N1953">
        <f>-678.450284033133 -116.164337440593 -559.400168462187</f>
        <v>-1354.0147899359131</v>
      </c>
      <c r="O1953">
        <f>-638.314973288496 -245.189351786828 -534.127316934632</f>
        <v>-1417.6316420099561</v>
      </c>
      <c r="P1953">
        <f>-618.760627004482 -315.320769671908 -249.012553113604</f>
        <v>-1183.093949789994</v>
      </c>
      <c r="Q1953">
        <f>-477.79007325356 -129.028743603994 -307.948567520134</f>
        <v>-914.76738437768802</v>
      </c>
      <c r="R1953" t="s">
        <v>21595</v>
      </c>
      <c r="S1953" t="s">
        <v>21596</v>
      </c>
      <c r="T1953" t="s">
        <v>21597</v>
      </c>
      <c r="U1953" t="s">
        <v>21598</v>
      </c>
      <c r="V1953">
        <f>-609.578130371147 -164.033175562525 -97.2496085301783</f>
        <v>-870.86091446385035</v>
      </c>
      <c r="W1953" t="s">
        <v>21599</v>
      </c>
      <c r="X1953" t="s">
        <v>21600</v>
      </c>
      <c r="Y1953" t="s">
        <v>21601</v>
      </c>
    </row>
    <row r="1954" spans="1:25" x14ac:dyDescent="0.3">
      <c r="A1954">
        <v>97650</v>
      </c>
      <c r="B1954" t="s">
        <v>21602</v>
      </c>
      <c r="C1954">
        <f>-646.742134141001 -75.3891433373772 -99.5283942096261</f>
        <v>-821.65967168800421</v>
      </c>
      <c r="D1954">
        <f>-667.777720509305 -88.6314239442802 -212.658275077445</f>
        <v>-969.06741953103028</v>
      </c>
      <c r="E1954">
        <f>-677.495726758726 -92.7114483401331 -310.71727544466</f>
        <v>-1080.924450543519</v>
      </c>
      <c r="F1954">
        <f>-683.399289601308 -93.7989307002701 -399.611688130419</f>
        <v>-1176.8099084319972</v>
      </c>
      <c r="G1954">
        <f>-686.028869906975 -92.2298512596418 -488.655908761149</f>
        <v>-1266.9146299277659</v>
      </c>
      <c r="H1954">
        <f>-686.217324139666 -87.3142844065495 -613.141190664199</f>
        <v>-1386.6727992104145</v>
      </c>
      <c r="I1954">
        <f>-661.960115643165 -76.2633240017191 -691.846422104181</f>
        <v>-1430.069861749065</v>
      </c>
      <c r="J1954">
        <f>-694.201586539222 -62.9898585156326 -557.303263546144</f>
        <v>-1314.4947086009986</v>
      </c>
      <c r="K1954" t="s">
        <v>21603</v>
      </c>
      <c r="L1954" t="s">
        <v>21604</v>
      </c>
      <c r="M1954" t="s">
        <v>21605</v>
      </c>
      <c r="N1954">
        <f>-678.067186233183 -115.964955093671 -559.419521842757</f>
        <v>-1353.451663169611</v>
      </c>
      <c r="O1954">
        <f>-637.967256046753 -245.009017789808 -534.175269945931</f>
        <v>-1417.1515437824919</v>
      </c>
      <c r="P1954">
        <f>-618.927883428709 -315.108634175832 -249.017752150725</f>
        <v>-1183.054269755266</v>
      </c>
      <c r="Q1954">
        <f>-477.887689299458 -128.460247175887 -306.645343004999</f>
        <v>-912.99327948034397</v>
      </c>
      <c r="R1954" t="s">
        <v>21606</v>
      </c>
      <c r="S1954" t="s">
        <v>21607</v>
      </c>
      <c r="T1954" t="s">
        <v>21608</v>
      </c>
      <c r="U1954" t="s">
        <v>21609</v>
      </c>
      <c r="V1954">
        <f>-609.421926226905 -163.969158673433 -97.2641436251052</f>
        <v>-870.65522852544325</v>
      </c>
      <c r="W1954" t="s">
        <v>21610</v>
      </c>
      <c r="X1954" t="s">
        <v>21611</v>
      </c>
      <c r="Y1954" t="s">
        <v>21612</v>
      </c>
    </row>
    <row r="1955" spans="1:25" x14ac:dyDescent="0.3">
      <c r="A1955">
        <v>97700</v>
      </c>
      <c r="B1955" t="s">
        <v>21613</v>
      </c>
      <c r="C1955">
        <f>-646.442196615242 -75.2684026280284 -99.5288100242251</f>
        <v>-821.23940926749549</v>
      </c>
      <c r="D1955">
        <f>-667.443253024757 -88.4717246662555 -212.669584471929</f>
        <v>-968.58456216294144</v>
      </c>
      <c r="E1955">
        <f>-677.08386008626 -92.4962840766053 -310.738508077018</f>
        <v>-1080.3186522398832</v>
      </c>
      <c r="F1955">
        <f>-682.896862655383 -93.5263883916178 -399.639562967692</f>
        <v>-1176.0628140146928</v>
      </c>
      <c r="G1955">
        <f>-685.414534265933 -91.8939848461025 -488.685818774411</f>
        <v>-1265.9943378864464</v>
      </c>
      <c r="H1955">
        <f>-685.423602090908 -86.8850109434436 -613.167675401984</f>
        <v>-1385.4762884363356</v>
      </c>
      <c r="I1955">
        <f>-661.046053727322 -75.7788606609846 -691.827753941057</f>
        <v>-1428.6526683293637</v>
      </c>
      <c r="J1955">
        <f>-693.451463389019 -62.5912854075597 -557.322588120531</f>
        <v>-1313.3653369171097</v>
      </c>
      <c r="K1955" t="s">
        <v>21614</v>
      </c>
      <c r="L1955" t="s">
        <v>21615</v>
      </c>
      <c r="M1955" t="s">
        <v>21616</v>
      </c>
      <c r="N1955">
        <f>-677.387766247784 -115.587239593223 -559.456270946569</f>
        <v>-1352.4312767875761</v>
      </c>
      <c r="O1955">
        <f>-637.434345506338 -244.694448467411 -534.287097304233</f>
        <v>-1416.4158912779822</v>
      </c>
      <c r="P1955">
        <f>-619.530724640767 -314.475363144182 -248.97781402196</f>
        <v>-1182.983901806909</v>
      </c>
      <c r="Q1955">
        <f>-478.118490772536 -127.353469752317 -304.103868742059</f>
        <v>-909.57582926691202</v>
      </c>
      <c r="R1955" t="s">
        <v>21617</v>
      </c>
      <c r="S1955" t="s">
        <v>21618</v>
      </c>
      <c r="T1955" t="s">
        <v>21619</v>
      </c>
      <c r="U1955" t="s">
        <v>21620</v>
      </c>
      <c r="V1955">
        <f>-609.124718390043 -163.807531235398 -97.2871493486061</f>
        <v>-870.21939897404707</v>
      </c>
      <c r="W1955" t="s">
        <v>21621</v>
      </c>
      <c r="X1955" t="s">
        <v>21622</v>
      </c>
      <c r="Y1955" t="s">
        <v>21623</v>
      </c>
    </row>
    <row r="1956" spans="1:25" x14ac:dyDescent="0.3">
      <c r="A1956">
        <v>97750</v>
      </c>
      <c r="B1956" t="s">
        <v>21624</v>
      </c>
      <c r="C1956">
        <f>-646.319715873126 -75.2009835805513 -99.527710236147</f>
        <v>-821.04840968982433</v>
      </c>
      <c r="D1956">
        <f>-667.306360291063 -88.37084959171 -212.675119890445</f>
        <v>-968.352329773218</v>
      </c>
      <c r="E1956">
        <f>-676.905777841487 -92.3594345130078 -310.749659867146</f>
        <v>-1080.0148722216409</v>
      </c>
      <c r="F1956">
        <f>-682.669535373873 -93.3544566998447 -399.654269382953</f>
        <v>-1175.6782614566707</v>
      </c>
      <c r="G1956">
        <f>-685.125566241646 -91.6854885909363 -488.70149461205</f>
        <v>-1265.5125494446322</v>
      </c>
      <c r="H1956">
        <f>-685.035322288242 -86.6243323317167 -613.181253180991</f>
        <v>-1384.8409078009497</v>
      </c>
      <c r="I1956">
        <f>-660.597530983034 -75.4938367688517 -691.819228304573</f>
        <v>-1427.9105960564586</v>
      </c>
      <c r="J1956">
        <f>-693.086951138281 -62.3477066508685 -557.331985609326</f>
        <v>-1312.7666433984755</v>
      </c>
      <c r="K1956" t="s">
        <v>21625</v>
      </c>
      <c r="L1956" t="s">
        <v>21626</v>
      </c>
      <c r="M1956" t="s">
        <v>21627</v>
      </c>
      <c r="N1956">
        <f>-677.063100055865 -115.355318734609 -559.475598730351</f>
        <v>-1351.8940175208249</v>
      </c>
      <c r="O1956">
        <f>-637.208221300736 -244.505491111715 -534.344574177226</f>
        <v>-1416.0582865896772</v>
      </c>
      <c r="P1956">
        <f>-619.850126763729 -314.270718116197 -248.997918105818</f>
        <v>-1183.1187629857438</v>
      </c>
      <c r="Q1956">
        <f>-478.321196303434 -126.955457000906 -303.15862064682</f>
        <v>-908.43527395116007</v>
      </c>
      <c r="R1956" t="s">
        <v>21628</v>
      </c>
      <c r="S1956" t="s">
        <v>21629</v>
      </c>
      <c r="T1956" t="s">
        <v>21630</v>
      </c>
      <c r="U1956" t="s">
        <v>21631</v>
      </c>
      <c r="V1956">
        <f>-609.022200133549 -163.783997370388 -97.2927722781694</f>
        <v>-870.09896978210634</v>
      </c>
      <c r="W1956" t="s">
        <v>21632</v>
      </c>
      <c r="X1956" t="s">
        <v>21633</v>
      </c>
      <c r="Y1956" t="s">
        <v>21634</v>
      </c>
    </row>
    <row r="1957" spans="1:25" x14ac:dyDescent="0.3">
      <c r="A1957">
        <v>97800</v>
      </c>
      <c r="B1957" t="s">
        <v>21635</v>
      </c>
      <c r="C1957">
        <f>-646.009816006936 -75.0860542756857 -99.5211236020343</f>
        <v>-820.61699388465604</v>
      </c>
      <c r="D1957">
        <f>-666.969571839696 -88.1572988694072 -212.685014851219</f>
        <v>-967.81188556032214</v>
      </c>
      <c r="E1957">
        <f>-676.496405260525 -92.0441300473802 -310.770562007616</f>
        <v>-1079.3110973155212</v>
      </c>
      <c r="F1957">
        <f>-682.174595316032 -92.9402786598183 -399.681796996987</f>
        <v>-1174.7966709728373</v>
      </c>
      <c r="G1957">
        <f>-684.524711840168 -91.1663858668985 -488.730030789138</f>
        <v>-1264.4211284962046</v>
      </c>
      <c r="H1957">
        <f>-684.265362748365 -85.9529253265705 -613.203044119251</f>
        <v>-1383.4213321941866</v>
      </c>
      <c r="I1957">
        <f>-659.7190104112 -74.7693752357366 -691.799678972184</f>
        <v>-1426.2880646191206</v>
      </c>
      <c r="J1957">
        <f>-692.346526104963 -61.7306531559422 -557.334556649616</f>
        <v>-1311.4117359105212</v>
      </c>
      <c r="K1957" t="s">
        <v>21636</v>
      </c>
      <c r="L1957" t="s">
        <v>21637</v>
      </c>
      <c r="M1957" t="s">
        <v>21638</v>
      </c>
      <c r="N1957">
        <f>-676.412474025072 -114.763533885682 -559.522554484047</f>
        <v>-1350.698562394801</v>
      </c>
      <c r="O1957">
        <f>-636.799213530832 -243.997920357279 -534.481342069389</f>
        <v>-1415.2784759575002</v>
      </c>
      <c r="P1957">
        <f>-620.190008007804 -313.709145027659 -249.076969543412</f>
        <v>-1182.976122578875</v>
      </c>
      <c r="Q1957">
        <f>-478.818284242416 -125.865872721152 -301.800887512511</f>
        <v>-906.48504447607888</v>
      </c>
      <c r="R1957" t="s">
        <v>21639</v>
      </c>
      <c r="S1957" t="s">
        <v>21640</v>
      </c>
      <c r="T1957" t="s">
        <v>21641</v>
      </c>
      <c r="U1957" t="s">
        <v>21642</v>
      </c>
      <c r="V1957">
        <f>-608.832532593536 -163.669045900033 -97.2992125129908</f>
        <v>-869.80079100655985</v>
      </c>
      <c r="W1957" t="s">
        <v>21643</v>
      </c>
      <c r="X1957" t="s">
        <v>21644</v>
      </c>
      <c r="Y1957" t="s">
        <v>21645</v>
      </c>
    </row>
    <row r="1958" spans="1:25" x14ac:dyDescent="0.3">
      <c r="A1958">
        <v>97850</v>
      </c>
      <c r="B1958" t="s">
        <v>21646</v>
      </c>
      <c r="C1958">
        <f>-645.849632541534 -75.0537749056886 -99.4979409796811</f>
        <v>-820.40134842690361</v>
      </c>
      <c r="D1958">
        <f>-666.806425771042 -88.0746719302696 -212.668174272368</f>
        <v>-967.54927197367954</v>
      </c>
      <c r="E1958">
        <f>-676.312523055263 -91.9124632306625 -310.757598070982</f>
        <v>-1078.9825843569074</v>
      </c>
      <c r="F1958">
        <f>-681.964876412257 -92.761209219686 -399.670893061319</f>
        <v>-1174.3969786932621</v>
      </c>
      <c r="G1958">
        <f>-684.282311502704 -90.9374809329936 -488.718919613851</f>
        <v>-1263.9387120495487</v>
      </c>
      <c r="H1958">
        <f>-683.969645852307 -85.6516590847386 -613.188842492208</f>
        <v>-1382.8101474292537</v>
      </c>
      <c r="I1958">
        <f>-659.36446606718 -74.4437452807716 -691.763691462253</f>
        <v>-1425.5719028102046</v>
      </c>
      <c r="J1958">
        <f>-692.048466149735 -61.4540076540632 -557.309328268599</f>
        <v>-1310.8118020723971</v>
      </c>
      <c r="K1958" t="s">
        <v>21647</v>
      </c>
      <c r="L1958" t="s">
        <v>21648</v>
      </c>
      <c r="M1958" t="s">
        <v>21649</v>
      </c>
      <c r="N1958">
        <f>-676.166006679725 -114.501326926798 -559.522172888745</f>
        <v>-1350.189506495268</v>
      </c>
      <c r="O1958">
        <f>-636.687457185117 -243.784476588271 -534.514283072684</f>
        <v>-1414.9862168460718</v>
      </c>
      <c r="P1958">
        <f>-620.325719832653 -313.306373798955 -249.049315419803</f>
        <v>-1182.681409051411</v>
      </c>
      <c r="Q1958">
        <f>-478.807220869419 -125.505876949883 -301.531244980794</f>
        <v>-905.844342800096</v>
      </c>
      <c r="R1958" t="s">
        <v>21650</v>
      </c>
      <c r="S1958" t="s">
        <v>21651</v>
      </c>
      <c r="T1958" t="s">
        <v>21652</v>
      </c>
      <c r="U1958" t="s">
        <v>21653</v>
      </c>
      <c r="V1958">
        <f>-608.787280471965 -163.696580558526 -97.2945623098018</f>
        <v>-869.77842334029276</v>
      </c>
      <c r="W1958" t="s">
        <v>21654</v>
      </c>
      <c r="X1958" t="s">
        <v>21655</v>
      </c>
      <c r="Y1958" t="s">
        <v>21656</v>
      </c>
    </row>
    <row r="1959" spans="1:25" x14ac:dyDescent="0.3">
      <c r="A1959">
        <v>97900</v>
      </c>
      <c r="B1959" t="s">
        <v>21657</v>
      </c>
      <c r="C1959">
        <f>-645.574581674759 -74.6448744332185 -99.451311913797</f>
        <v>-819.67076802177451</v>
      </c>
      <c r="D1959">
        <f>-666.549530702756 -87.5645726911777 -212.629612522222</f>
        <v>-966.74371591615568</v>
      </c>
      <c r="E1959">
        <f>-676.044512271746 -91.3158546994149 -310.723735875101</f>
        <v>-1078.0841028462619</v>
      </c>
      <c r="F1959">
        <f>-681.676521723437 -92.0857074269087 -399.639056784773</f>
        <v>-1173.4012859351187</v>
      </c>
      <c r="G1959">
        <f>-683.962948172818 -90.1832723265617 -488.686178466054</f>
        <v>-1262.8323989654336</v>
      </c>
      <c r="H1959">
        <f>-683.595942396089 -84.7882421733767 -613.151258189674</f>
        <v>-1381.5354427591396</v>
      </c>
      <c r="I1959">
        <f>-658.88613457463 -73.5371478533772 -691.686954218365</f>
        <v>-1424.1102366463722</v>
      </c>
      <c r="J1959">
        <f>-691.641142894299 -60.6223204463652 -557.253083872316</f>
        <v>-1309.5165472129802</v>
      </c>
      <c r="K1959" t="s">
        <v>21658</v>
      </c>
      <c r="L1959" t="s">
        <v>21659</v>
      </c>
      <c r="M1959" t="s">
        <v>21660</v>
      </c>
      <c r="N1959">
        <f>-675.873753004118 -113.702242028362 -559.507418440951</f>
        <v>-1349.0834134734309</v>
      </c>
      <c r="O1959">
        <f>-636.655220032542 -243.07277383958 -534.541825159363</f>
        <v>-1414.269819031485</v>
      </c>
      <c r="P1959">
        <f>-620.693511345462 -312.252245430137 -248.971050327875</f>
        <v>-1181.916807103474</v>
      </c>
      <c r="Q1959">
        <f>-478.80676465043 -124.551151727583 -300.810728976383</f>
        <v>-904.16864535439595</v>
      </c>
      <c r="R1959" t="s">
        <v>21661</v>
      </c>
      <c r="S1959" t="s">
        <v>21662</v>
      </c>
      <c r="T1959" t="s">
        <v>21663</v>
      </c>
      <c r="U1959" t="s">
        <v>21664</v>
      </c>
      <c r="V1959">
        <f>-608.689085278349 -163.221463066879 -97.3054990911016</f>
        <v>-869.21604743632963</v>
      </c>
      <c r="W1959" t="s">
        <v>21665</v>
      </c>
      <c r="X1959" t="s">
        <v>21666</v>
      </c>
      <c r="Y1959" t="s">
        <v>21667</v>
      </c>
    </row>
    <row r="1960" spans="1:25" x14ac:dyDescent="0.3">
      <c r="A1960">
        <v>97950</v>
      </c>
      <c r="B1960" t="s">
        <v>21668</v>
      </c>
      <c r="C1960">
        <f>-645.443470431319 -74.3950636803003 -99.4465968715278</f>
        <v>-819.28513098314716</v>
      </c>
      <c r="D1960">
        <f>-666.422292754891 -87.2707711777508 -212.629257121407</f>
        <v>-966.32232105404887</v>
      </c>
      <c r="E1960">
        <f>-675.914938790471 -90.9807373461081 -310.725081600248</f>
        <v>-1077.620757736827</v>
      </c>
      <c r="F1960">
        <f>-681.54277914494 -91.7113543372566 -399.640895113639</f>
        <v>-1172.8950285958356</v>
      </c>
      <c r="G1960">
        <f>-683.822834301081 -89.7683532506044 -488.687397011577</f>
        <v>-1262.2785845632625</v>
      </c>
      <c r="H1960">
        <f>-683.444708634328 -84.314907456683 -613.15001500588</f>
        <v>-1380.9096310968912</v>
      </c>
      <c r="I1960">
        <f>-658.701491662167 -73.0288723025511 -691.670137329123</f>
        <v>-1423.400501293841</v>
      </c>
      <c r="J1960">
        <f>-691.473306694513 -60.1688681435911 -557.240939140961</f>
        <v>-1308.883113979065</v>
      </c>
      <c r="K1960" t="s">
        <v>21669</v>
      </c>
      <c r="L1960" t="s">
        <v>21670</v>
      </c>
      <c r="M1960" t="s">
        <v>21671</v>
      </c>
      <c r="N1960">
        <f>-675.748940360332 -113.260499596693 -559.519386901773</f>
        <v>-1348.5288268587979</v>
      </c>
      <c r="O1960">
        <f>-636.641390956819 -242.672060879483 -534.580070154714</f>
        <v>-1413.8935219910159</v>
      </c>
      <c r="P1960">
        <f>-621.056846956762 -311.608752257403 -248.929833989792</f>
        <v>-1181.5954332039571</v>
      </c>
      <c r="Q1960">
        <f>-478.861204563122 -124.089295283042 -300.579893487528</f>
        <v>-903.53039333369202</v>
      </c>
      <c r="R1960" t="s">
        <v>21672</v>
      </c>
      <c r="S1960" t="s">
        <v>21673</v>
      </c>
      <c r="T1960" t="s">
        <v>21674</v>
      </c>
      <c r="U1960" t="s">
        <v>21675</v>
      </c>
      <c r="V1960">
        <f>-608.607722694596 -163.00431115813 -97.3203021320371</f>
        <v>-868.93233598476309</v>
      </c>
      <c r="W1960" t="s">
        <v>21676</v>
      </c>
      <c r="X1960" t="s">
        <v>21677</v>
      </c>
      <c r="Y1960" t="s">
        <v>21678</v>
      </c>
    </row>
    <row r="1961" spans="1:25" x14ac:dyDescent="0.3">
      <c r="A1961">
        <v>98000</v>
      </c>
      <c r="B1961" t="s">
        <v>21679</v>
      </c>
      <c r="C1961">
        <f>-645.08162887622 -74.0131902955566 -99.4416219392252</f>
        <v>-818.53644111100175</v>
      </c>
      <c r="D1961">
        <f>-666.051478437643 -86.8147616716813 -212.634530593076</f>
        <v>-965.50077070240025</v>
      </c>
      <c r="E1961">
        <f>-675.528438244965 -90.4289064023803 -310.735319480106</f>
        <v>-1076.6926641274513</v>
      </c>
      <c r="F1961">
        <f>-681.138103768009 -91.0604364710159 -399.653087367211</f>
        <v>-1171.851627606236</v>
      </c>
      <c r="G1961">
        <f>-683.395221202827 -89.0066139056206 -488.69759801074</f>
        <v>-1261.0994331191876</v>
      </c>
      <c r="H1961">
        <f>-682.979564153845 -83.3867264576373 -613.152639449871</f>
        <v>-1379.5189300613533</v>
      </c>
      <c r="I1961">
        <f>-658.22326911997 -71.9937681189263 -691.653347650693</f>
        <v>-1421.8703848895893</v>
      </c>
      <c r="J1961">
        <f>-690.997365811083 -59.3073638156726 -557.213356178667</f>
        <v>-1307.5180858054227</v>
      </c>
      <c r="K1961" t="s">
        <v>21680</v>
      </c>
      <c r="L1961" t="s">
        <v>21681</v>
      </c>
      <c r="M1961" t="s">
        <v>21682</v>
      </c>
      <c r="N1961">
        <f>-675.327613300506 -112.412117796546 -559.558974145486</f>
        <v>-1347.2987052425378</v>
      </c>
      <c r="O1961">
        <f>-636.383926763442 -241.902182003756 -534.762420200601</f>
        <v>-1413.048528967799</v>
      </c>
      <c r="P1961">
        <f>-621.624144073212 -310.362207058861 -248.953637706641</f>
        <v>-1180.939988838714</v>
      </c>
      <c r="Q1961">
        <f>-478.534872660912 -123.393668491898 -300.131038511743</f>
        <v>-902.05957966455298</v>
      </c>
      <c r="R1961" t="s">
        <v>21683</v>
      </c>
      <c r="S1961" t="s">
        <v>21684</v>
      </c>
      <c r="T1961" t="s">
        <v>21685</v>
      </c>
      <c r="U1961" t="s">
        <v>21686</v>
      </c>
      <c r="V1961">
        <f>-608.257559316465 -162.674029137683 -97.3431664260928</f>
        <v>-868.27475488024072</v>
      </c>
      <c r="W1961" t="s">
        <v>21687</v>
      </c>
      <c r="X1961" t="s">
        <v>21688</v>
      </c>
      <c r="Y1961" t="s">
        <v>21689</v>
      </c>
    </row>
    <row r="1962" spans="1:25" x14ac:dyDescent="0.3">
      <c r="A1962">
        <v>98050</v>
      </c>
      <c r="B1962" t="s">
        <v>21690</v>
      </c>
      <c r="C1962">
        <f>-644.83767216602 -73.8895854340011 -99.4303159823091</f>
        <v>-818.1575735823302</v>
      </c>
      <c r="D1962">
        <f>-665.783277447981 -86.6738772328349 -212.629625232692</f>
        <v>-965.08677991350794</v>
      </c>
      <c r="E1962">
        <f>-675.245064631192 -90.2405090537425 -310.733570357727</f>
        <v>-1076.2191440426614</v>
      </c>
      <c r="F1962">
        <f>-680.84220902317 -90.8165529602838 -399.65264157924</f>
        <v>-1171.3114035626938</v>
      </c>
      <c r="G1962">
        <f>-683.087698436458 -88.6948898743699 -488.695915780215</f>
        <v>-1260.4785040910429</v>
      </c>
      <c r="H1962">
        <f>-682.656152688875 -82.9676377579829 -613.145947280739</f>
        <v>-1378.7697377275967</v>
      </c>
      <c r="I1962">
        <f>-657.913975049466 -71.5089484097381 -691.641535584705</f>
        <v>-1421.0644590439092</v>
      </c>
      <c r="J1962">
        <f>-690.676629856133 -58.9351761702142 -557.186854026175</f>
        <v>-1306.7986600525221</v>
      </c>
      <c r="K1962" t="s">
        <v>21691</v>
      </c>
      <c r="L1962" t="s">
        <v>21692</v>
      </c>
      <c r="M1962" t="s">
        <v>21693</v>
      </c>
      <c r="N1962">
        <f>-675.015427891425 -112.040566084321 -559.576387270725</f>
        <v>-1346.6323812464711</v>
      </c>
      <c r="O1962">
        <f>-636.097038722874 -241.549850179703 -534.880867984366</f>
        <v>-1412.5277568869428</v>
      </c>
      <c r="P1962">
        <f>-621.586695746677 -309.852955473067 -249.021993177235</f>
        <v>-1180.461644396979</v>
      </c>
      <c r="Q1962">
        <f>-478.246089465721 -122.914891583873 -299.603246460689</f>
        <v>-900.76422751028304</v>
      </c>
      <c r="R1962" t="s">
        <v>21694</v>
      </c>
      <c r="S1962" t="s">
        <v>21695</v>
      </c>
      <c r="T1962" t="s">
        <v>21696</v>
      </c>
      <c r="U1962" t="s">
        <v>21697</v>
      </c>
      <c r="V1962">
        <f>-608.005421928026 -162.559855933759 -97.3585515674288</f>
        <v>-867.9238294292137</v>
      </c>
      <c r="W1962" t="s">
        <v>21698</v>
      </c>
      <c r="X1962" t="s">
        <v>21699</v>
      </c>
      <c r="Y1962" t="s">
        <v>21700</v>
      </c>
    </row>
    <row r="1963" spans="1:25" x14ac:dyDescent="0.3">
      <c r="A1963">
        <v>98100</v>
      </c>
      <c r="B1963" t="s">
        <v>21701</v>
      </c>
      <c r="C1963">
        <f>-644.378140015896 -73.561560510304 -99.4350763642673</f>
        <v>-817.37477689046727</v>
      </c>
      <c r="D1963">
        <f>-665.26939819107 -86.3015027948647 -212.649341060414</f>
        <v>-964.22024204634874</v>
      </c>
      <c r="E1963">
        <f>-674.693474256695 -89.7595396479943 -310.76092038301</f>
        <v>-1075.2139342876994</v>
      </c>
      <c r="F1963">
        <f>-680.258567802946 -90.2097808954876 -399.682594306037</f>
        <v>-1170.1509430044707</v>
      </c>
      <c r="G1963">
        <f>-682.473288924876 -87.9348516552881 -488.722743417165</f>
        <v>-1259.130883997329</v>
      </c>
      <c r="H1963">
        <f>-681.99947966067 -81.9650629256433 -613.161356665298</f>
        <v>-1377.1258992516114</v>
      </c>
      <c r="I1963">
        <f>-657.309801524745 -70.3452245213027 -691.64975874249</f>
        <v>-1419.3047847885377</v>
      </c>
      <c r="J1963">
        <f>-690.050882417068 -58.0453019373321 -557.158478284624</f>
        <v>-1305.254662639024</v>
      </c>
      <c r="K1963" t="s">
        <v>21702</v>
      </c>
      <c r="L1963" t="s">
        <v>21703</v>
      </c>
      <c r="M1963" t="s">
        <v>21704</v>
      </c>
      <c r="N1963">
        <f>-674.365027993627 -111.138885940225 -559.645806452282</f>
        <v>-1345.149720386134</v>
      </c>
      <c r="O1963">
        <f>-635.330196189767 -240.647003120544 -535.124094077061</f>
        <v>-1411.1012933873722</v>
      </c>
      <c r="P1963">
        <f>-620.900990924502 -308.42686975863 -249.136604093291</f>
        <v>-1178.464464776423</v>
      </c>
      <c r="Q1963">
        <f>-477.231219587667 -121.078013296451 -297.20192926432</f>
        <v>-895.51116214843796</v>
      </c>
      <c r="R1963" t="s">
        <v>21705</v>
      </c>
      <c r="S1963" t="s">
        <v>21706</v>
      </c>
      <c r="T1963" t="s">
        <v>21707</v>
      </c>
      <c r="U1963" t="s">
        <v>21708</v>
      </c>
      <c r="V1963">
        <f>-607.539948587592 -162.178357502788 -97.3913382671309</f>
        <v>-867.10964435751089</v>
      </c>
      <c r="W1963" t="s">
        <v>21709</v>
      </c>
      <c r="X1963" t="s">
        <v>21710</v>
      </c>
      <c r="Y1963" t="s">
        <v>21711</v>
      </c>
    </row>
    <row r="1964" spans="1:25" x14ac:dyDescent="0.3">
      <c r="A1964">
        <v>98150</v>
      </c>
      <c r="B1964" t="s">
        <v>21712</v>
      </c>
      <c r="C1964">
        <f>-644.215574232443 -73.3819943333683 -99.4296845059018</f>
        <v>-817.02725307171318</v>
      </c>
      <c r="D1964">
        <f>-665.081396192074 -86.0942126224646 -212.651807140092</f>
        <v>-963.82741595463062</v>
      </c>
      <c r="E1964">
        <f>-674.476599891521 -89.4915381522394 -310.768198874166</f>
        <v>-1074.7363369179263</v>
      </c>
      <c r="F1964">
        <f>-680.012138042793 -89.8725281763737 -399.692107386544</f>
        <v>-1169.5767736057107</v>
      </c>
      <c r="G1964">
        <f>-682.193483677208 -87.5139217919838 -488.731066942007</f>
        <v>-1258.4384724111987</v>
      </c>
      <c r="H1964">
        <f>-681.669036048887 -81.4119700756495 -613.162946619077</f>
        <v>-1376.2439527436136</v>
      </c>
      <c r="I1964">
        <f>-657.01936402388 -69.7125066321373 -691.652016787664</f>
        <v>-1418.3838874436815</v>
      </c>
      <c r="J1964">
        <f>-689.758004670773 -57.5559931894461 -557.138138222417</f>
        <v>-1304.4521360826361</v>
      </c>
      <c r="K1964" t="s">
        <v>21713</v>
      </c>
      <c r="L1964" t="s">
        <v>21714</v>
      </c>
      <c r="M1964" t="s">
        <v>21715</v>
      </c>
      <c r="N1964">
        <f>-674.041627391498 -110.638257526422 -559.674948648989</f>
        <v>-1344.3548335669088</v>
      </c>
      <c r="O1964">
        <f>-634.90913215068 -240.127803166008 -535.211839407913</f>
        <v>-1410.2487747246009</v>
      </c>
      <c r="P1964">
        <f>-620.477385164188 -307.738480505422 -249.18433894284</f>
        <v>-1177.4002046124501</v>
      </c>
      <c r="Q1964">
        <f>-476.65707378223 -120.115648770753 -295.706002181694</f>
        <v>-892.47872473467692</v>
      </c>
      <c r="R1964" t="s">
        <v>21716</v>
      </c>
      <c r="S1964" t="s">
        <v>21717</v>
      </c>
      <c r="T1964" t="s">
        <v>21718</v>
      </c>
      <c r="U1964" t="s">
        <v>21719</v>
      </c>
      <c r="V1964">
        <f>-607.357601713604 -161.995007555269 -97.4078673198034</f>
        <v>-866.7604765886764</v>
      </c>
      <c r="W1964" t="s">
        <v>21720</v>
      </c>
      <c r="X1964" t="s">
        <v>21721</v>
      </c>
      <c r="Y1964" t="s">
        <v>21722</v>
      </c>
    </row>
    <row r="1965" spans="1:25" x14ac:dyDescent="0.3">
      <c r="A1965">
        <v>98200</v>
      </c>
      <c r="B1965" t="s">
        <v>21723</v>
      </c>
      <c r="C1965">
        <f>-643.796020192794 -73.0362489382976 -99.4223009733296</f>
        <v>-816.25457010442119</v>
      </c>
      <c r="D1965">
        <f>-664.604676796863 -85.698520080308 -212.660530539147</f>
        <v>-962.96372741631797</v>
      </c>
      <c r="E1965">
        <f>-673.918895153014 -88.98174816606 -310.788646530292</f>
        <v>-1073.6892898493661</v>
      </c>
      <c r="F1965">
        <f>-679.367352922632 -89.2316897451786 -399.718308304256</f>
        <v>-1168.3173509720666</v>
      </c>
      <c r="G1965">
        <f>-681.447428776658 -86.7140766536083 -488.755280232362</f>
        <v>-1256.9167856626282</v>
      </c>
      <c r="H1965">
        <f>-680.766316743542 -80.3608041718607 -613.173844490318</f>
        <v>-1374.3009654057205</v>
      </c>
      <c r="I1965">
        <f>-656.172902268513 -68.4906376595033 -691.654975083094</f>
        <v>-1416.3185150111103</v>
      </c>
      <c r="J1965">
        <f>-688.957919475557 -56.6275326676321 -557.111909004444</f>
        <v>-1302.697361147633</v>
      </c>
      <c r="K1965" t="s">
        <v>21724</v>
      </c>
      <c r="L1965" t="s">
        <v>21725</v>
      </c>
      <c r="M1965" t="s">
        <v>21726</v>
      </c>
      <c r="N1965">
        <f>-673.174095439337 -109.685609412732 -559.734749848519</f>
        <v>-1342.5944547005879</v>
      </c>
      <c r="O1965">
        <f>-633.882226820604 -239.156748858282 -535.400573090143</f>
        <v>-1408.439548769029</v>
      </c>
      <c r="P1965">
        <f>-619.69874326219 -306.644574320944 -249.331597691222</f>
        <v>-1175.674915274356</v>
      </c>
      <c r="Q1965">
        <f>-475.478940055601 -118.719513241011 -293.328465079043</f>
        <v>-887.52691837565499</v>
      </c>
      <c r="R1965" t="s">
        <v>21727</v>
      </c>
      <c r="S1965" t="s">
        <v>21728</v>
      </c>
      <c r="T1965" t="s">
        <v>21729</v>
      </c>
      <c r="U1965" t="s">
        <v>21730</v>
      </c>
      <c r="V1965">
        <f>-606.889270111272 -161.559046993196 -97.4364020111942</f>
        <v>-865.88471911566228</v>
      </c>
      <c r="W1965" t="s">
        <v>21731</v>
      </c>
      <c r="X1965" t="s">
        <v>21732</v>
      </c>
      <c r="Y1965" t="s">
        <v>21733</v>
      </c>
    </row>
    <row r="1966" spans="1:25" x14ac:dyDescent="0.3">
      <c r="A1966">
        <v>98250</v>
      </c>
      <c r="B1966" t="s">
        <v>21734</v>
      </c>
      <c r="C1966">
        <f>-643.541618225645 -72.8333248529757 -99.4204439547035</f>
        <v>-815.79538703332423</v>
      </c>
      <c r="D1966">
        <f>-664.317116099833 -85.4713944730964 -212.667326216802</f>
        <v>-962.45583678973139</v>
      </c>
      <c r="E1966">
        <f>-673.580115923864 -88.6837650988163 -310.802749313368</f>
        <v>-1073.0666303360483</v>
      </c>
      <c r="F1966">
        <f>-678.972335234256 -88.849966272768 -399.736053943172</f>
        <v>-1167.5583554501959</v>
      </c>
      <c r="G1966">
        <f>-680.985960425099 -86.228950127576 -488.771518698702</f>
        <v>-1255.9864292513771</v>
      </c>
      <c r="H1966">
        <f>-680.200844318038 -79.7111702263303 -613.180994287287</f>
        <v>-1373.0930088316554</v>
      </c>
      <c r="I1966">
        <f>-655.614224069716 -67.7496583217475 -691.650433125765</f>
        <v>-1415.0143155172284</v>
      </c>
      <c r="J1966">
        <f>-688.446424406121 -56.0542027577743 -557.094783514137</f>
        <v>-1301.5954106780323</v>
      </c>
      <c r="K1966" t="s">
        <v>21735</v>
      </c>
      <c r="L1966" t="s">
        <v>21736</v>
      </c>
      <c r="M1966" t="s">
        <v>21737</v>
      </c>
      <c r="N1966">
        <f>-672.646139515038 -109.104482005318 -559.774348866217</f>
        <v>-1341.5249703865729</v>
      </c>
      <c r="O1966">
        <f>-633.356947217294 -238.586396894672 -535.499317762591</f>
        <v>-1407.442661874557</v>
      </c>
      <c r="P1966">
        <f>-619.328011295506 -306.170034095967 -249.445450986773</f>
        <v>-1174.943496378246</v>
      </c>
      <c r="Q1966">
        <f>-474.857249561162 -118.232592726339 -292.557023634506</f>
        <v>-885.64686592200701</v>
      </c>
      <c r="R1966" t="s">
        <v>21738</v>
      </c>
      <c r="S1966" t="s">
        <v>21739</v>
      </c>
      <c r="T1966" t="s">
        <v>21740</v>
      </c>
      <c r="U1966" t="s">
        <v>21741</v>
      </c>
      <c r="V1966">
        <f>-606.617037816245 -161.344801432845 -97.4446690881266</f>
        <v>-865.40650833721656</v>
      </c>
      <c r="W1966" t="s">
        <v>21742</v>
      </c>
      <c r="X1966" t="s">
        <v>21743</v>
      </c>
      <c r="Y1966" t="s">
        <v>21744</v>
      </c>
    </row>
    <row r="1967" spans="1:25" x14ac:dyDescent="0.3">
      <c r="A1967">
        <v>98300</v>
      </c>
      <c r="B1967" t="s">
        <v>21745</v>
      </c>
      <c r="C1967">
        <f>-643.169452074939 -72.6105969925064 -99.4228188190234</f>
        <v>-815.20286788646888</v>
      </c>
      <c r="D1967">
        <f>-663.89370428897 -85.2124662442418 -212.683188495005</f>
        <v>-961.78935902821672</v>
      </c>
      <c r="E1967">
        <f>-673.067649030144 -88.3397567820255 -310.829665085326</f>
        <v>-1072.2370708974954</v>
      </c>
      <c r="F1967">
        <f>-678.359715818708 -88.4086870361689 -399.769088252719</f>
        <v>-1166.5374911075958</v>
      </c>
      <c r="G1967">
        <f>-680.252844337306 -85.6710660362742 -488.803790448429</f>
        <v>-1254.7277008220092</v>
      </c>
      <c r="H1967">
        <f>-679.27730164105 -78.9709812170261 -613.202133508673</f>
        <v>-1371.4504163667491</v>
      </c>
      <c r="I1967">
        <f>-654.659640338306 -66.9290100630325 -691.649451867672</f>
        <v>-1413.2381022690106</v>
      </c>
      <c r="J1967">
        <f>-687.593198510175 -55.3915279591205 -557.09361276952</f>
        <v>-1300.0783392388153</v>
      </c>
      <c r="K1967" t="s">
        <v>21746</v>
      </c>
      <c r="L1967" t="s">
        <v>21747</v>
      </c>
      <c r="M1967" t="s">
        <v>21748</v>
      </c>
      <c r="N1967">
        <f>-671.819992940821 -108.447120324559 -559.827450263025</f>
        <v>-1340.0945635284049</v>
      </c>
      <c r="O1967">
        <f>-632.650120267742 -237.989030394406 -535.691081169812</f>
        <v>-1406.33023183196</v>
      </c>
      <c r="P1967">
        <f>-619.1110109284 -305.619950323433 -249.624686877437</f>
        <v>-1174.3556481292699</v>
      </c>
      <c r="Q1967">
        <f>-473.737424870106 -118.079762810565 -291.410328237811</f>
        <v>-883.22751591848191</v>
      </c>
      <c r="R1967" t="s">
        <v>21749</v>
      </c>
      <c r="S1967" t="s">
        <v>21750</v>
      </c>
      <c r="T1967" t="s">
        <v>21751</v>
      </c>
      <c r="U1967" t="s">
        <v>21752</v>
      </c>
      <c r="V1967">
        <f>-606.256339419312 -161.164956935989 -97.448895254435</f>
        <v>-864.87019160973603</v>
      </c>
      <c r="W1967" t="s">
        <v>21753</v>
      </c>
      <c r="X1967" t="s">
        <v>21754</v>
      </c>
      <c r="Y1967" t="s">
        <v>21755</v>
      </c>
    </row>
    <row r="1968" spans="1:25" x14ac:dyDescent="0.3">
      <c r="A1968">
        <v>98350</v>
      </c>
      <c r="B1968" t="s">
        <v>21756</v>
      </c>
      <c r="C1968">
        <f>-642.712637496017 -72.3160481256973 -99.4130438186505</f>
        <v>-814.44172944036484</v>
      </c>
      <c r="D1968">
        <f>-663.408057139287 -84.8671303648367 -212.684396752075</f>
        <v>-960.95958425619881</v>
      </c>
      <c r="E1968">
        <f>-672.516384832101 -87.8831542358967 -310.840280951391</f>
        <v>-1071.2398200193886</v>
      </c>
      <c r="F1968">
        <f>-677.731064413708 -87.8250425478889 -399.784409963441</f>
        <v>-1165.3405169250379</v>
      </c>
      <c r="G1968">
        <f>-679.527609822362 -84.9352683145568 -488.816304734851</f>
        <v>-1253.2791828717698</v>
      </c>
      <c r="H1968">
        <f>-678.396608580655 -77.997311000232 -613.200351032511</f>
        <v>-1369.5942706133978</v>
      </c>
      <c r="I1968">
        <f>-653.728015899314 -65.9140821715442 -691.625286932314</f>
        <v>-1411.2673850031722</v>
      </c>
      <c r="J1968">
        <f>-686.748611583972 -54.5151613195912 -557.056426159104</f>
        <v>-1298.3201990626671</v>
      </c>
      <c r="K1968" t="s">
        <v>21757</v>
      </c>
      <c r="L1968" t="s">
        <v>21758</v>
      </c>
      <c r="M1968" t="s">
        <v>21759</v>
      </c>
      <c r="N1968">
        <f>-671.04002302256 -107.585565008703 -559.873781914093</f>
        <v>-1338.4993699453562</v>
      </c>
      <c r="O1968">
        <f>-632.110705691955 -237.229880686165 -535.906602302157</f>
        <v>-1405.2471886802768</v>
      </c>
      <c r="P1968">
        <f>-619.148622877824 -305.312244883914 -249.920698100593</f>
        <v>-1174.3815658623309</v>
      </c>
      <c r="Q1968">
        <f>-472.793199407072 -118.035206390792 -289.395553682833</f>
        <v>-880.22395948069698</v>
      </c>
      <c r="R1968" t="s">
        <v>21760</v>
      </c>
      <c r="S1968" t="s">
        <v>21761</v>
      </c>
      <c r="T1968" t="s">
        <v>21762</v>
      </c>
      <c r="U1968" t="s">
        <v>21763</v>
      </c>
      <c r="V1968">
        <f>-605.905909822759 -160.810919135441 -97.4739371369116</f>
        <v>-864.1907660951116</v>
      </c>
      <c r="W1968" t="s">
        <v>21764</v>
      </c>
      <c r="X1968" t="s">
        <v>21765</v>
      </c>
      <c r="Y1968" t="s">
        <v>21766</v>
      </c>
    </row>
    <row r="1969" spans="1:25" x14ac:dyDescent="0.3">
      <c r="A1969">
        <v>98400</v>
      </c>
      <c r="B1969" t="s">
        <v>21767</v>
      </c>
      <c r="C1969">
        <f>-642.069875993128 -72.04449530684 -99.4076776160746</f>
        <v>-813.52204891604254</v>
      </c>
      <c r="D1969">
        <f>-662.739546392918 -84.5052564258542 -212.693742439898</f>
        <v>-959.93854525867016</v>
      </c>
      <c r="E1969">
        <f>-671.784475367179 -87.3618836752094 -310.86025387385</f>
        <v>-1070.0066129162383</v>
      </c>
      <c r="F1969">
        <f>-676.923229676324 -87.1274094153946 -399.808531136139</f>
        <v>-1163.8591702278577</v>
      </c>
      <c r="G1969">
        <f>-678.623521208177 -84.0313742973016 -488.835262431447</f>
        <v>-1251.4901579369255</v>
      </c>
      <c r="H1969">
        <f>-677.33555425798 -76.7753800356925 -613.199568571049</f>
        <v>-1367.3105028647215</v>
      </c>
      <c r="I1969">
        <f>-652.605351647599 -64.7148884686748 -691.608752483221</f>
        <v>-1408.9289925994949</v>
      </c>
      <c r="J1969">
        <f>-685.672881066604 -53.4117753248422 -557.004023568868</f>
        <v>-1296.088679960314</v>
      </c>
      <c r="K1969" t="s">
        <v>21768</v>
      </c>
      <c r="L1969" t="s">
        <v>21769</v>
      </c>
      <c r="M1969" t="s">
        <v>21770</v>
      </c>
      <c r="N1969">
        <f>-670.131885242263 -106.525003976534 -559.941912715013</f>
        <v>-1336.5988019338101</v>
      </c>
      <c r="O1969">
        <f>-631.863117816695 -236.430966403779 -536.280285214792</f>
        <v>-1404.5743694352659</v>
      </c>
      <c r="P1969">
        <f>-619.592810016995 -304.189915067119 -250.187079002589</f>
        <v>-1173.9698040867029</v>
      </c>
      <c r="Q1969">
        <f>-469.437525068063 -119.904398801596 -289.469499594267</f>
        <v>-878.81142346392608</v>
      </c>
      <c r="R1969" t="s">
        <v>21771</v>
      </c>
      <c r="S1969" t="s">
        <v>21772</v>
      </c>
      <c r="T1969" t="s">
        <v>21773</v>
      </c>
      <c r="U1969" t="s">
        <v>21774</v>
      </c>
      <c r="V1969">
        <f>-605.381215282618 -160.575096814636 -97.5030987265185</f>
        <v>-863.45941082377249</v>
      </c>
      <c r="W1969" t="s">
        <v>21775</v>
      </c>
      <c r="X1969" t="s">
        <v>21776</v>
      </c>
      <c r="Y1969" t="s">
        <v>21777</v>
      </c>
    </row>
    <row r="1970" spans="1:25" x14ac:dyDescent="0.3">
      <c r="A1970">
        <v>98450</v>
      </c>
      <c r="B1970" t="s">
        <v>21778</v>
      </c>
      <c r="C1970">
        <f>-641.827849372993 -71.8861997531193 -99.4170666222948</f>
        <v>-813.13111574840707</v>
      </c>
      <c r="D1970">
        <f>-662.485894805525 -84.2634950750024 -212.714372279065</f>
        <v>-959.46376215959253</v>
      </c>
      <c r="E1970">
        <f>-671.515712052089 -87.027017557928 -310.885028639837</f>
        <v>-1069.4277582498542</v>
      </c>
      <c r="F1970">
        <f>-676.638075988815 -86.6997988559757 -399.833821276884</f>
        <v>-1163.1716961216748</v>
      </c>
      <c r="G1970">
        <f>-678.318951895217 -83.5032298759396 -488.857454016635</f>
        <v>-1250.6796357877915</v>
      </c>
      <c r="H1970">
        <f>-676.999934628166 -76.0992625766271 -613.212773189931</f>
        <v>-1366.3119703947241</v>
      </c>
      <c r="I1970">
        <f>-652.2131215828 -64.0642669751205 -691.607917972246</f>
        <v>-1407.8853065301664</v>
      </c>
      <c r="J1970">
        <f>-685.299777231966 -52.7877052108972 -556.990143170953</f>
        <v>-1295.0776256138163</v>
      </c>
      <c r="K1970" t="s">
        <v>21779</v>
      </c>
      <c r="L1970" t="s">
        <v>21780</v>
      </c>
      <c r="M1970" t="s">
        <v>21781</v>
      </c>
      <c r="N1970">
        <f>-669.860881877651 -105.927153923267 -559.990291134439</f>
        <v>-1335.778326935357</v>
      </c>
      <c r="O1970">
        <f>-631.928525011695 -235.960521408347 -536.521384165549</f>
        <v>-1404.4104305855908</v>
      </c>
      <c r="P1970">
        <f>-619.20614636826 -304.339007712807 -250.59513870565</f>
        <v>-1174.1402927867171</v>
      </c>
      <c r="Q1970">
        <f>-468.045710164885 -120.786956227686 -289.454435383434</f>
        <v>-878.28710177600499</v>
      </c>
      <c r="R1970" t="s">
        <v>21782</v>
      </c>
      <c r="S1970" t="s">
        <v>21783</v>
      </c>
      <c r="T1970" t="s">
        <v>21784</v>
      </c>
      <c r="U1970" t="s">
        <v>21785</v>
      </c>
      <c r="V1970">
        <f>-605.322990365697 -160.433573243789 -97.5314360289211</f>
        <v>-863.28799963840709</v>
      </c>
      <c r="W1970" t="s">
        <v>21786</v>
      </c>
      <c r="X1970" t="s">
        <v>21787</v>
      </c>
      <c r="Y1970" t="s">
        <v>21788</v>
      </c>
    </row>
    <row r="1971" spans="1:25" x14ac:dyDescent="0.3">
      <c r="A1971">
        <v>98500</v>
      </c>
      <c r="B1971" t="s">
        <v>21789</v>
      </c>
      <c r="C1971">
        <f>-641.375200463766 -71.6468291050583 -99.3923591135082</f>
        <v>-812.4143886823324</v>
      </c>
      <c r="D1971">
        <f>-662.006411279195 -83.9076361755936 -212.707191554029</f>
        <v>-958.62123900881761</v>
      </c>
      <c r="E1971">
        <f>-671.002313745615 -86.5033843206679 -310.885572346366</f>
        <v>-1068.391270412649</v>
      </c>
      <c r="F1971">
        <f>-676.089616810284 -85.9955485164436 -399.835600837594</f>
        <v>-1161.9207661643215</v>
      </c>
      <c r="G1971">
        <f>-677.730083912392 -82.5905917335899 -488.852170658709</f>
        <v>-1249.1728463046909</v>
      </c>
      <c r="H1971">
        <f>-676.349088150191 -74.866197611305 -613.187421275151</f>
        <v>-1364.4027070366469</v>
      </c>
      <c r="I1971">
        <f>-651.449970674443 -62.8030436169061 -691.54258153822</f>
        <v>-1405.795595829569</v>
      </c>
      <c r="J1971">
        <f>-684.620567989567 -51.6833687487795 -556.907291709608</f>
        <v>-1293.2112284479545</v>
      </c>
      <c r="K1971" t="s">
        <v>21790</v>
      </c>
      <c r="L1971" t="s">
        <v>21791</v>
      </c>
      <c r="M1971" t="s">
        <v>21792</v>
      </c>
      <c r="N1971">
        <f>-669.293063317805 -104.847387695427 -560.039912671989</f>
        <v>-1334.180363685221</v>
      </c>
      <c r="O1971">
        <f>-631.802823572404 -235.080432488989 -537.002019672044</f>
        <v>-1403.8852757334371</v>
      </c>
      <c r="P1971">
        <f>-619.015624718459 -305.243579081597 -251.511466939031</f>
        <v>-1175.7706707390869</v>
      </c>
      <c r="Q1971">
        <f>-466.137449871512 -122.874354832541 -289.202579984429</f>
        <v>-878.21438468848203</v>
      </c>
      <c r="R1971" t="s">
        <v>21793</v>
      </c>
      <c r="S1971" t="s">
        <v>21794</v>
      </c>
      <c r="T1971" t="s">
        <v>21795</v>
      </c>
      <c r="U1971" t="s">
        <v>21796</v>
      </c>
      <c r="V1971">
        <f>-605.083746792788 -160.153745557093 -97.5521251561344</f>
        <v>-862.78961750601536</v>
      </c>
      <c r="W1971" t="s">
        <v>21797</v>
      </c>
      <c r="X1971" t="s">
        <v>21798</v>
      </c>
      <c r="Y1971" t="s">
        <v>21799</v>
      </c>
    </row>
    <row r="1972" spans="1:25" x14ac:dyDescent="0.3">
      <c r="A1972">
        <v>98550</v>
      </c>
      <c r="B1972" t="s">
        <v>21800</v>
      </c>
      <c r="C1972">
        <f>-641.164610383678 -71.5808019076115 -99.3666300735285</f>
        <v>-812.11204236481808</v>
      </c>
      <c r="D1972">
        <f>-661.792938277517 -83.8050123037193 -212.685877728523</f>
        <v>-958.28382830975931</v>
      </c>
      <c r="E1972">
        <f>-670.764619948404 -86.3489690405984 -310.867835371998</f>
        <v>-1067.9814243610003</v>
      </c>
      <c r="F1972">
        <f>-675.820669682543 -85.7864274612327 -399.819313971525</f>
        <v>-1161.4264111153007</v>
      </c>
      <c r="G1972">
        <f>-677.420352164326 -82.3194777527658 -488.834301589654</f>
        <v>-1248.5741315067457</v>
      </c>
      <c r="H1972">
        <f>-675.972174329008 -74.5009676160702 -613.162834446156</f>
        <v>-1363.6359763912342</v>
      </c>
      <c r="I1972">
        <f>-651.023847055212 -62.3916279128709 -691.495183673289</f>
        <v>-1404.9106586413718</v>
      </c>
      <c r="J1972">
        <f>-684.25404147499 -51.3548538379664 -556.869105329068</f>
        <v>-1292.4780006420244</v>
      </c>
      <c r="K1972" t="s">
        <v>21801</v>
      </c>
      <c r="L1972" t="s">
        <v>21802</v>
      </c>
      <c r="M1972" t="s">
        <v>21803</v>
      </c>
      <c r="N1972">
        <f>-668.964874895957 -104.528087144237 -560.034861169717</f>
        <v>-1333.527823209911</v>
      </c>
      <c r="O1972">
        <f>-631.649188619005 -234.828518918009 -537.115925635701</f>
        <v>-1403.593633172715</v>
      </c>
      <c r="P1972">
        <f>-619.34743748398 -305.757343049384 -251.793394269083</f>
        <v>-1176.8981748024469</v>
      </c>
      <c r="Q1972">
        <f>-465.792231538489 -123.802626555993 -288.72744884109</f>
        <v>-878.32230693557199</v>
      </c>
      <c r="R1972" t="s">
        <v>21804</v>
      </c>
      <c r="S1972" t="s">
        <v>21805</v>
      </c>
      <c r="T1972" t="s">
        <v>21806</v>
      </c>
      <c r="U1972" t="s">
        <v>21807</v>
      </c>
      <c r="V1972">
        <f>-604.927644786453 -160.098234879899 -97.538225178987</f>
        <v>-862.56410484533899</v>
      </c>
      <c r="W1972" t="s">
        <v>21808</v>
      </c>
      <c r="X1972" t="s">
        <v>21809</v>
      </c>
      <c r="Y1972" t="s">
        <v>21810</v>
      </c>
    </row>
    <row r="1973" spans="1:25" x14ac:dyDescent="0.3">
      <c r="A1973">
        <v>98600</v>
      </c>
      <c r="B1973" t="s">
        <v>21811</v>
      </c>
      <c r="C1973">
        <f>-640.878648509189 -71.6418347365019 -99.3329187539765</f>
        <v>-811.85340199966743</v>
      </c>
      <c r="D1973">
        <f>-661.47901119124 -83.8205932643201 -212.662256029141</f>
        <v>-957.96186048470111</v>
      </c>
      <c r="E1973">
        <f>-670.414130167028 -86.3237555216234 -310.848564226823</f>
        <v>-1067.5864499154745</v>
      </c>
      <c r="F1973">
        <f>-675.432243999884 -85.723494389537 -399.801800493696</f>
        <v>-1160.957538883117</v>
      </c>
      <c r="G1973">
        <f>-676.989005326587 -82.2181837496496 -488.816047648273</f>
        <v>-1248.0232367245096</v>
      </c>
      <c r="H1973">
        <f>-675.475683858952 -74.3459488805889 -613.140470911085</f>
        <v>-1362.962103650626</v>
      </c>
      <c r="I1973">
        <f>-650.487785849563 -62.1806969405541 -691.451620271784</f>
        <v>-1404.1201030619011</v>
      </c>
      <c r="J1973">
        <f>-683.773932611671 -51.220566618277 -556.840653850467</f>
        <v>-1291.8351530804148</v>
      </c>
      <c r="K1973" t="s">
        <v>21812</v>
      </c>
      <c r="L1973" t="s">
        <v>21813</v>
      </c>
      <c r="M1973" t="s">
        <v>21814</v>
      </c>
      <c r="N1973">
        <f>-668.509309661765 -104.399843156047 -560.022143366017</f>
        <v>-1332.9312961838291</v>
      </c>
      <c r="O1973">
        <f>-631.288818670429 -234.750709663976 -537.14459036528</f>
        <v>-1403.1841186996851</v>
      </c>
      <c r="P1973">
        <f>-620.008941567605 -305.842842910895 -251.820485971945</f>
        <v>-1177.672270450445</v>
      </c>
      <c r="Q1973">
        <f>-465.291007467276 -124.881307559031 -288.782164071534</f>
        <v>-878.95447909784104</v>
      </c>
      <c r="R1973" t="s">
        <v>21815</v>
      </c>
      <c r="S1973" t="s">
        <v>21816</v>
      </c>
      <c r="T1973" t="s">
        <v>21817</v>
      </c>
      <c r="U1973" t="s">
        <v>21818</v>
      </c>
      <c r="V1973">
        <f>-604.660495410161 -160.198353884323 -97.5284381865121</f>
        <v>-862.38728748099618</v>
      </c>
      <c r="W1973" t="s">
        <v>21819</v>
      </c>
      <c r="X1973" t="s">
        <v>21820</v>
      </c>
      <c r="Y1973" t="s">
        <v>21821</v>
      </c>
    </row>
    <row r="1974" spans="1:25" x14ac:dyDescent="0.3">
      <c r="A1974">
        <v>98650</v>
      </c>
      <c r="B1974" t="s">
        <v>21822</v>
      </c>
      <c r="C1974">
        <f>-640.289544304211 -71.9951627828074 -99.2652769730644</f>
        <v>-811.54998406008269</v>
      </c>
      <c r="D1974">
        <f>-660.827838709941 -84.1142108864696 -212.612230473636</f>
        <v>-957.55428007004673</v>
      </c>
      <c r="E1974">
        <f>-669.700806583528 -86.5855974135495 -310.805029354244</f>
        <v>-1067.0914333513215</v>
      </c>
      <c r="F1974">
        <f>-674.660457513764 -85.9637288121347 -399.761446851701</f>
        <v>-1160.3856331775996</v>
      </c>
      <c r="G1974">
        <f>-676.156721403509 -82.4436822416942 -488.77621277477</f>
        <v>-1247.3766164199733</v>
      </c>
      <c r="H1974">
        <f>-674.557365100853 -74.5578562751086 -613.098598125731</f>
        <v>-1362.2138195016926</v>
      </c>
      <c r="I1974">
        <f>-649.494328611141 -62.3200255026549 -691.374435944062</f>
        <v>-1403.1887900578579</v>
      </c>
      <c r="J1974">
        <f>-682.883193825229 -51.4352683673593 -556.801658933244</f>
        <v>-1291.1201211258322</v>
      </c>
      <c r="K1974" t="s">
        <v>21823</v>
      </c>
      <c r="L1974" t="s">
        <v>21824</v>
      </c>
      <c r="M1974" t="s">
        <v>21825</v>
      </c>
      <c r="N1974">
        <f>-667.639136788704 -104.620716132361 -559.979102461379</f>
        <v>-1332.2389553824439</v>
      </c>
      <c r="O1974">
        <f>-630.525013156082 -234.988653149598 -537.113788267887</f>
        <v>-1402.6274545735669</v>
      </c>
      <c r="P1974">
        <f>-621.053219993985 -305.446041798102 -251.56667049211</f>
        <v>-1178.0659322841971</v>
      </c>
      <c r="Q1974">
        <f>-464.888499344686 -125.507848435548 -287.423500781832</f>
        <v>-877.819848562066</v>
      </c>
      <c r="R1974" t="s">
        <v>21826</v>
      </c>
      <c r="S1974" t="s">
        <v>21827</v>
      </c>
      <c r="T1974" t="s">
        <v>21828</v>
      </c>
      <c r="U1974" t="s">
        <v>21829</v>
      </c>
      <c r="V1974">
        <f>-604.212482437753 -160.542857047448 -97.4743478462443</f>
        <v>-862.22968733144535</v>
      </c>
      <c r="W1974" t="s">
        <v>21830</v>
      </c>
      <c r="X1974" t="s">
        <v>21831</v>
      </c>
      <c r="Y1974" t="s">
        <v>21832</v>
      </c>
    </row>
    <row r="1975" spans="1:25" x14ac:dyDescent="0.3">
      <c r="A1975">
        <v>98700</v>
      </c>
      <c r="B1975" t="s">
        <v>21833</v>
      </c>
      <c r="C1975">
        <f>-639.881492657217 -72.0343391692583 -99.2213370543267</f>
        <v>-811.13716888080194</v>
      </c>
      <c r="D1975">
        <f>-660.366869528744 -84.104245127428 -212.583129774819</f>
        <v>-957.05424443099105</v>
      </c>
      <c r="E1975">
        <f>-669.207864517141 -86.5886258138517 -310.778439187428</f>
        <v>-1066.5749295184207</v>
      </c>
      <c r="F1975">
        <f>-674.146684523357 -85.9983884739769 -399.736400735179</f>
        <v>-1159.8814737325129</v>
      </c>
      <c r="G1975">
        <f>-675.631846043482 -82.5288545881932 -488.753131643108</f>
        <v>-1246.9138322747833</v>
      </c>
      <c r="H1975">
        <f>-674.028242356767 -74.7317302035076 -613.081075238668</f>
        <v>-1361.8410477989426</v>
      </c>
      <c r="I1975">
        <f>-648.904377674682 -62.5212168740067 -691.341755028171</f>
        <v>-1402.7673495768595</v>
      </c>
      <c r="J1975">
        <f>-682.377287383334 -51.5751377190886 -556.801749024674</f>
        <v>-1290.7541741270966</v>
      </c>
      <c r="K1975" t="s">
        <v>21834</v>
      </c>
      <c r="L1975" t="s">
        <v>21835</v>
      </c>
      <c r="M1975" t="s">
        <v>21836</v>
      </c>
      <c r="N1975">
        <f>-667.090493955062 -104.750614240292 -559.939387694326</f>
        <v>-1331.78049588968</v>
      </c>
      <c r="O1975">
        <f>-629.890059934641 -235.094783452385 -537.036128030325</f>
        <v>-1402.0209714173511</v>
      </c>
      <c r="P1975">
        <f>-620.578255399465 -306.110165155165 -251.621913556142</f>
        <v>-1178.3103341107721</v>
      </c>
      <c r="Q1975">
        <f>-465.644547312244 -124.534995007757 -284.43741255147</f>
        <v>-874.61695487147108</v>
      </c>
      <c r="R1975" t="s">
        <v>21837</v>
      </c>
      <c r="S1975" t="s">
        <v>21838</v>
      </c>
      <c r="T1975" t="s">
        <v>21839</v>
      </c>
      <c r="U1975" t="s">
        <v>21840</v>
      </c>
      <c r="V1975">
        <f>-603.922661646516 -160.466535439087 -97.4418641403356</f>
        <v>-861.83106122593858</v>
      </c>
      <c r="W1975" t="s">
        <v>21841</v>
      </c>
      <c r="X1975" t="s">
        <v>21842</v>
      </c>
      <c r="Y1975" t="s">
        <v>21843</v>
      </c>
    </row>
    <row r="1976" spans="1:25" x14ac:dyDescent="0.3">
      <c r="A1976">
        <v>98750</v>
      </c>
      <c r="B1976" t="s">
        <v>21844</v>
      </c>
      <c r="C1976">
        <f>-639.820881692415 -71.96047340545 -99.2112684353408</f>
        <v>-810.9926235332058</v>
      </c>
      <c r="D1976">
        <f>-660.268157377974 -84.0280305057485 -212.580131270436</f>
        <v>-956.87631915415852</v>
      </c>
      <c r="E1976">
        <f>-669.102767762643 -86.5259709963625 -310.775699295659</f>
        <v>-1066.4044380546645</v>
      </c>
      <c r="F1976">
        <f>-674.04759540379 -85.9529574733264 -399.733396993843</f>
        <v>-1159.7339498709593</v>
      </c>
      <c r="G1976">
        <f>-675.551213623439 -82.5046521716495 -488.750797459721</f>
        <v>-1246.8066632548096</v>
      </c>
      <c r="H1976">
        <f>-673.986999034524 -74.7402577552325 -613.081208575818</f>
        <v>-1361.8084653655746</v>
      </c>
      <c r="I1976">
        <f>-648.845905047154 -62.5471527834844 -691.339010894559</f>
        <v>-1402.7320687251975</v>
      </c>
      <c r="J1976">
        <f>-682.337095367146 -51.5741583037842 -556.80586532856</f>
        <v>-1290.7171189994901</v>
      </c>
      <c r="K1976" t="s">
        <v>21845</v>
      </c>
      <c r="L1976" t="s">
        <v>21846</v>
      </c>
      <c r="M1976" t="s">
        <v>21847</v>
      </c>
      <c r="N1976">
        <f>-667.013530846777 -104.739741645934 -559.933178813259</f>
        <v>-1331.68645130597</v>
      </c>
      <c r="O1976">
        <f>-629.773150450607 -235.076479874155 -537.044814127714</f>
        <v>-1401.8944444524759</v>
      </c>
      <c r="P1976">
        <f>-619.960667747116 -306.693254835199 -251.797624731003</f>
        <v>-1178.4515473133179</v>
      </c>
      <c r="Q1976">
        <f>-466.141266126106 -123.935193938293 -283.261392763086</f>
        <v>-873.33785282748499</v>
      </c>
      <c r="R1976" t="s">
        <v>21848</v>
      </c>
      <c r="S1976" t="s">
        <v>21849</v>
      </c>
      <c r="T1976" t="s">
        <v>21850</v>
      </c>
      <c r="U1976" t="s">
        <v>21851</v>
      </c>
      <c r="V1976">
        <f>-603.856524779601 -160.423392708454 -97.420669922774</f>
        <v>-861.70058741082903</v>
      </c>
      <c r="W1976" t="s">
        <v>21852</v>
      </c>
      <c r="X1976" t="s">
        <v>21853</v>
      </c>
      <c r="Y1976" t="s">
        <v>21854</v>
      </c>
    </row>
    <row r="1977" spans="1:25" x14ac:dyDescent="0.3">
      <c r="A1977">
        <v>98800</v>
      </c>
      <c r="B1977" t="s">
        <v>21855</v>
      </c>
      <c r="C1977">
        <f>-639.759110176635 -72.0818546567886 -99.1987954003392</f>
        <v>-811.03976023376276</v>
      </c>
      <c r="D1977">
        <f>-660.147980591788 -84.1683610392671 -212.576139702075</f>
        <v>-956.89248133313015</v>
      </c>
      <c r="E1977">
        <f>-668.999071817324 -86.674868619507 -310.770067436176</f>
        <v>-1066.444007873007</v>
      </c>
      <c r="F1977">
        <f>-673.986693414213 -86.1048435690318 -399.725341584118</f>
        <v>-1159.8168785673629</v>
      </c>
      <c r="G1977">
        <f>-675.561777398773 -82.6527274632756 -488.741315338385</f>
        <v>-1246.9558202004337</v>
      </c>
      <c r="H1977">
        <f>-674.128160868654 -74.8745596318608 -613.072508701473</f>
        <v>-1362.0752292019879</v>
      </c>
      <c r="I1977">
        <f>-648.933797530037 -62.6977129455369 -691.315647569813</f>
        <v>-1402.9471580453869</v>
      </c>
      <c r="J1977">
        <f>-682.468294249052 -51.7287929211411 -556.787242724675</f>
        <v>-1290.9843298948681</v>
      </c>
      <c r="K1977" t="s">
        <v>21856</v>
      </c>
      <c r="L1977" t="s">
        <v>21857</v>
      </c>
      <c r="M1977" t="s">
        <v>21858</v>
      </c>
      <c r="N1977">
        <f>-667.049787456722 -104.865788999369 -559.933722069676</f>
        <v>-1331.8492985257672</v>
      </c>
      <c r="O1977">
        <f>-629.619983577731 -235.166748944602 -537.162934961348</f>
        <v>-1401.949667483681</v>
      </c>
      <c r="P1977">
        <f>-617.897361458368 -309.207999688819 -252.607762619458</f>
        <v>-1179.7131237666449</v>
      </c>
      <c r="Q1977">
        <f>-468.248148076751 -122.413561480499 -280.245165386126</f>
        <v>-870.90687494337601</v>
      </c>
      <c r="R1977" t="s">
        <v>21859</v>
      </c>
      <c r="S1977" t="s">
        <v>21860</v>
      </c>
      <c r="T1977" t="s">
        <v>21861</v>
      </c>
      <c r="U1977" t="s">
        <v>21862</v>
      </c>
      <c r="V1977">
        <f>-603.735610819187 -160.573591857268 -97.3932487782286</f>
        <v>-861.70245145468357</v>
      </c>
      <c r="W1977" t="s">
        <v>21863</v>
      </c>
      <c r="X1977" t="s">
        <v>21864</v>
      </c>
      <c r="Y1977" t="s">
        <v>21865</v>
      </c>
    </row>
    <row r="1978" spans="1:25" x14ac:dyDescent="0.3">
      <c r="A1978">
        <v>98850</v>
      </c>
      <c r="B1978" t="s">
        <v>21866</v>
      </c>
      <c r="C1978">
        <f>-639.729647024682 -72.2248347053267 -99.2023213341568</f>
        <v>-811.15680306416539</v>
      </c>
      <c r="D1978">
        <f>-660.101400603962 -84.3266604340831 -212.581233754274</f>
        <v>-957.00929479231911</v>
      </c>
      <c r="E1978">
        <f>-668.966315946735 -86.8369016649509 -310.773609843518</f>
        <v>-1066.5768274552038</v>
      </c>
      <c r="F1978">
        <f>-673.978427173531 -86.2658373704732 -399.727564908674</f>
        <v>-1159.9718294526783</v>
      </c>
      <c r="G1978">
        <f>-675.590425546231 -82.8071455353686 -488.742531491917</f>
        <v>-1247.1401025735167</v>
      </c>
      <c r="H1978">
        <f>-674.221617019192 -75.0133567981109 -613.073674360863</f>
        <v>-1362.3086481781659</v>
      </c>
      <c r="I1978">
        <f>-648.999170232546 -62.8250987227223 -691.305977176966</f>
        <v>-1403.1302461322343</v>
      </c>
      <c r="J1978">
        <f>-682.572534962476 -51.8863497337904 -556.782319790491</f>
        <v>-1291.2412044867574</v>
      </c>
      <c r="K1978" t="s">
        <v>21867</v>
      </c>
      <c r="L1978" t="s">
        <v>21868</v>
      </c>
      <c r="M1978" t="s">
        <v>21869</v>
      </c>
      <c r="N1978">
        <f>-667.075374247014 -104.999655133534 -559.941045064936</f>
        <v>-1332.016074445484</v>
      </c>
      <c r="O1978">
        <f>-629.428204008814 -235.2377918306 -537.213719835953</f>
        <v>-1401.8797156753672</v>
      </c>
      <c r="P1978">
        <f>-617.103135050492 -310.071141735545 -252.891183982021</f>
        <v>-1180.0654607680581</v>
      </c>
      <c r="Q1978">
        <f>-469.427642555414 -121.550582957791 -279.402128029452</f>
        <v>-870.38035354265696</v>
      </c>
      <c r="R1978" t="s">
        <v>21870</v>
      </c>
      <c r="S1978" t="s">
        <v>21871</v>
      </c>
      <c r="T1978" t="s">
        <v>21872</v>
      </c>
      <c r="U1978" t="s">
        <v>21873</v>
      </c>
      <c r="V1978">
        <f>-603.670249262086 -160.693576690386 -97.3979184589163</f>
        <v>-861.76174441138835</v>
      </c>
      <c r="W1978" t="s">
        <v>21874</v>
      </c>
      <c r="X1978" t="s">
        <v>21875</v>
      </c>
      <c r="Y1978" t="s">
        <v>21876</v>
      </c>
    </row>
    <row r="1979" spans="1:25" x14ac:dyDescent="0.3">
      <c r="A1979">
        <v>98900</v>
      </c>
      <c r="B1979" t="s">
        <v>21877</v>
      </c>
      <c r="C1979">
        <f>-639.757008799953 -72.4395943910142 -99.2419404225734</f>
        <v>-811.43854361354067</v>
      </c>
      <c r="D1979">
        <f>-660.097874231525 -84.6079659773288 -212.619207989471</f>
        <v>-957.32504819832479</v>
      </c>
      <c r="E1979">
        <f>-668.989480357404 -87.1355918988182 -310.808760864</f>
        <v>-1066.9338331202223</v>
      </c>
      <c r="F1979">
        <f>-674.04635035074 -86.5649145878551 -399.760287231643</f>
        <v>-1160.3715521702381</v>
      </c>
      <c r="G1979">
        <f>-675.724166689392 -83.0892546582015 -488.773368200602</f>
        <v>-1247.5867895481956</v>
      </c>
      <c r="H1979">
        <f>-674.469251840247 -75.2531215473266 -613.102909054414</f>
        <v>-1362.8252824419876</v>
      </c>
      <c r="I1979">
        <f>-649.221068521913 -63.0042022165998 -691.317554333806</f>
        <v>-1403.5428250723189</v>
      </c>
      <c r="J1979">
        <f>-682.858113957435 -52.1714920212945 -556.798613274995</f>
        <v>-1291.8282192537245</v>
      </c>
      <c r="K1979" t="s">
        <v>21878</v>
      </c>
      <c r="L1979" t="s">
        <v>21879</v>
      </c>
      <c r="M1979" t="s">
        <v>21880</v>
      </c>
      <c r="N1979">
        <f>-667.184815448321 -105.231488564878 -559.984710156418</f>
        <v>-1332.4010141696172</v>
      </c>
      <c r="O1979">
        <f>-629.068952789807 -235.35149614795 -537.324174465919</f>
        <v>-1401.7446234036761</v>
      </c>
      <c r="P1979">
        <f>-616.306148575335 -310.176029438282 -253.018615574105</f>
        <v>-1179.500793587722</v>
      </c>
      <c r="Q1979">
        <f>-469.853121859532 -120.612044145873 -278.862190033567</f>
        <v>-869.32735603897197</v>
      </c>
      <c r="R1979" t="s">
        <v>21881</v>
      </c>
      <c r="S1979" t="s">
        <v>21882</v>
      </c>
      <c r="T1979" t="s">
        <v>21883</v>
      </c>
      <c r="U1979" t="s">
        <v>21884</v>
      </c>
      <c r="V1979">
        <f>-603.529102123739 -160.829517109495 -97.4029529566859</f>
        <v>-861.76157218991989</v>
      </c>
      <c r="W1979" t="s">
        <v>21885</v>
      </c>
      <c r="X1979" t="s">
        <v>21886</v>
      </c>
      <c r="Y1979" t="s">
        <v>21887</v>
      </c>
    </row>
    <row r="1980" spans="1:25" x14ac:dyDescent="0.3">
      <c r="A1980">
        <v>98950</v>
      </c>
      <c r="B1980" t="s">
        <v>21888</v>
      </c>
      <c r="C1980">
        <f>-639.728283883699 -72.6080666902554 -99.2471396805221</f>
        <v>-811.58349025447649</v>
      </c>
      <c r="D1980">
        <f>-660.051799343004 -84.7927935190886 -212.625713861333</f>
        <v>-957.47030672342555</v>
      </c>
      <c r="E1980">
        <f>-668.95294581565 -87.3255945699224 -310.814440492685</f>
        <v>-1067.0929808782573</v>
      </c>
      <c r="F1980">
        <f>-674.02847596504 -86.7555753956224 -399.764687855845</f>
        <v>-1160.5487392165073</v>
      </c>
      <c r="G1980">
        <f>-675.735325820398 -83.2758155887419 -488.777098771113</f>
        <v>-1247.7882401802528</v>
      </c>
      <c r="H1980">
        <f>-674.53216016873 -75.4280877973714 -613.106458424146</f>
        <v>-1363.0667063902474</v>
      </c>
      <c r="I1980">
        <f>-649.28133015869 -63.1624585734252 -691.317572132637</f>
        <v>-1403.7613608647521</v>
      </c>
      <c r="J1980">
        <f>-682.942425556611 -52.3648186806456 -556.797789833134</f>
        <v>-1292.1050340703905</v>
      </c>
      <c r="K1980" t="s">
        <v>21889</v>
      </c>
      <c r="L1980" t="s">
        <v>21890</v>
      </c>
      <c r="M1980" t="s">
        <v>21891</v>
      </c>
      <c r="N1980">
        <f>-667.180893230928 -105.398226208908 -559.992750528102</f>
        <v>-1332.5718699679378</v>
      </c>
      <c r="O1980">
        <f>-628.812149961121 -235.437522152011 -537.317729962531</f>
        <v>-1401.5674020756628</v>
      </c>
      <c r="P1980">
        <f>-615.955008173189 -310.223796908762 -253.006504760809</f>
        <v>-1179.18530984276</v>
      </c>
      <c r="Q1980">
        <f>-470.240474627222 -120.037840214787 -278.450677684749</f>
        <v>-868.72899252675802</v>
      </c>
      <c r="R1980" t="s">
        <v>21892</v>
      </c>
      <c r="S1980" t="s">
        <v>21893</v>
      </c>
      <c r="T1980" t="s">
        <v>21894</v>
      </c>
      <c r="U1980" t="s">
        <v>21895</v>
      </c>
      <c r="V1980">
        <f>-603.385055308127 -160.997916504306 -97.4047305767947</f>
        <v>-861.78770238922766</v>
      </c>
      <c r="W1980" t="s">
        <v>21896</v>
      </c>
      <c r="X1980" t="s">
        <v>21897</v>
      </c>
      <c r="Y1980" t="s">
        <v>21898</v>
      </c>
    </row>
    <row r="1981" spans="1:25" x14ac:dyDescent="0.3">
      <c r="A1981">
        <v>99000</v>
      </c>
      <c r="B1981" t="s">
        <v>21899</v>
      </c>
      <c r="C1981">
        <f>-639.638102507696 -72.9915438241242 -99.2332319051857</f>
        <v>-811.86287823700582</v>
      </c>
      <c r="D1981">
        <f>-659.909970994977 -85.17338216296 -212.621378686684</f>
        <v>-957.70473184462105</v>
      </c>
      <c r="E1981">
        <f>-668.803071039922 -87.7418674243841 -310.80988189331</f>
        <v>-1067.3548203576161</v>
      </c>
      <c r="F1981">
        <f>-673.888235121188 -87.2183770164831 -399.759878564712</f>
        <v>-1160.8664907023831</v>
      </c>
      <c r="G1981">
        <f>-675.623755861199 -83.7961991770434 -488.774036104674</f>
        <v>-1248.1939911429163</v>
      </c>
      <c r="H1981">
        <f>-674.481934571495 -76.0386520407212 -613.109558304444</f>
        <v>-1363.6301449166604</v>
      </c>
      <c r="I1981">
        <f>-649.219117376019 -63.7531658060581 -691.313756034201</f>
        <v>-1404.2860392162779</v>
      </c>
      <c r="J1981">
        <f>-682.98132342315 -52.9694774770124 -556.816735582104</f>
        <v>-1292.7675364822665</v>
      </c>
      <c r="K1981" t="s">
        <v>21900</v>
      </c>
      <c r="L1981" t="s">
        <v>21901</v>
      </c>
      <c r="M1981" t="s">
        <v>21902</v>
      </c>
      <c r="N1981">
        <f>-666.987460703874 -105.935389165814 -559.974544634448</f>
        <v>-1332.8973945041359</v>
      </c>
      <c r="O1981">
        <f>-627.95437961454 -235.774425307159 -537.262259543192</f>
        <v>-1400.9910644648912</v>
      </c>
      <c r="P1981">
        <f>-615.930429372308 -310.087552177686 -252.790519191221</f>
        <v>-1178.8085007412151</v>
      </c>
      <c r="Q1981">
        <f>-471.086451056899 -119.217933931173 -278.086440988304</f>
        <v>-868.39082597637594</v>
      </c>
      <c r="R1981" t="s">
        <v>21903</v>
      </c>
      <c r="S1981" t="s">
        <v>21904</v>
      </c>
      <c r="T1981" t="s">
        <v>21905</v>
      </c>
      <c r="U1981" t="s">
        <v>21906</v>
      </c>
      <c r="V1981">
        <f>-603.172958438335 -161.295791758366 -97.4199593480528</f>
        <v>-861.88870954475374</v>
      </c>
      <c r="W1981" t="s">
        <v>21907</v>
      </c>
      <c r="X1981" t="s">
        <v>21908</v>
      </c>
      <c r="Y1981" t="s">
        <v>21909</v>
      </c>
    </row>
    <row r="1982" spans="1:25" x14ac:dyDescent="0.3">
      <c r="A1982">
        <v>99050</v>
      </c>
      <c r="B1982" t="s">
        <v>21910</v>
      </c>
      <c r="C1982">
        <f>-639.598230554594 -73.1121019856365 -99.2310100429098</f>
        <v>-811.94134258314034</v>
      </c>
      <c r="D1982">
        <f>-659.829642691306 -85.3001110655488 -212.625734708612</f>
        <v>-957.75548846546678</v>
      </c>
      <c r="E1982">
        <f>-668.714245240496 -87.9095377097522 -310.813901912771</f>
        <v>-1067.4376848630191</v>
      </c>
      <c r="F1982">
        <f>-673.803220173273 -87.4372118297271 -399.76398255843</f>
        <v>-1161.0044145614299</v>
      </c>
      <c r="G1982">
        <f>-675.554669433434 -84.0793975534616 -488.780288600335</f>
        <v>-1248.4143555872306</v>
      </c>
      <c r="H1982">
        <f>-674.44850036764 -76.4247378027684 -613.122560894511</f>
        <v>-1363.9957990649195</v>
      </c>
      <c r="I1982">
        <f>-649.169142309192 -64.1202369653768 -691.318392842212</f>
        <v>-1404.6077721167808</v>
      </c>
      <c r="J1982">
        <f>-682.979087032012 -53.3231270303963 -556.847644875366</f>
        <v>-1293.1498589377743</v>
      </c>
      <c r="K1982" t="s">
        <v>21911</v>
      </c>
      <c r="L1982" t="s">
        <v>21912</v>
      </c>
      <c r="M1982" t="s">
        <v>21913</v>
      </c>
      <c r="N1982">
        <f>-666.89147059034 -106.263115073659 -559.963667015185</f>
        <v>-1333.118252679184</v>
      </c>
      <c r="O1982">
        <f>-627.633817455312 -236.033396706916 -537.218510615154</f>
        <v>-1400.8857247773819</v>
      </c>
      <c r="P1982">
        <f>-616.124640444144 -309.944415941511 -252.620694326631</f>
        <v>-1178.689750712286</v>
      </c>
      <c r="Q1982">
        <f>-471.007356303699 -119.315298935033 -278.162702360161</f>
        <v>-868.48535759889296</v>
      </c>
      <c r="R1982" t="s">
        <v>21914</v>
      </c>
      <c r="S1982" t="s">
        <v>21915</v>
      </c>
      <c r="T1982" t="s">
        <v>21916</v>
      </c>
      <c r="U1982" t="s">
        <v>21917</v>
      </c>
      <c r="V1982">
        <f>-603.035096791596 -161.399307252989 -97.412841584881</f>
        <v>-861.84724562946587</v>
      </c>
      <c r="W1982" t="s">
        <v>21918</v>
      </c>
      <c r="X1982" t="s">
        <v>21919</v>
      </c>
      <c r="Y1982" t="s">
        <v>21920</v>
      </c>
    </row>
    <row r="1983" spans="1:25" x14ac:dyDescent="0.3">
      <c r="A1983">
        <v>99100</v>
      </c>
      <c r="B1983" t="s">
        <v>21921</v>
      </c>
      <c r="C1983">
        <f>-639.471311439911 -73.3494848611346 -99.2228077266524</f>
        <v>-812.04360402769794</v>
      </c>
      <c r="D1983">
        <f>-659.630150552358 -85.5861821667132 -212.625233106981</f>
        <v>-957.84156582605226</v>
      </c>
      <c r="E1983">
        <f>-668.494696359052 -88.27316344094 -310.813185313036</f>
        <v>-1067.581045113028</v>
      </c>
      <c r="F1983">
        <f>-673.582838192266 -87.8858043969966 -399.763664464442</f>
        <v>-1161.2323070537045</v>
      </c>
      <c r="G1983">
        <f>-675.351108624201 -84.6268047963122 -488.783201687682</f>
        <v>-1248.7611151081951</v>
      </c>
      <c r="H1983">
        <f>-674.287218631735 -77.1245677291108 -613.135181773486</f>
        <v>-1364.5469681343318</v>
      </c>
      <c r="I1983">
        <f>-648.93301470425 -64.7867693589269 -691.301452974778</f>
        <v>-1405.021237037955</v>
      </c>
      <c r="J1983">
        <f>-682.840286065433 -53.9666587194637 -556.886879171603</f>
        <v>-1293.6938239564997</v>
      </c>
      <c r="K1983" t="s">
        <v>21922</v>
      </c>
      <c r="L1983" t="s">
        <v>21923</v>
      </c>
      <c r="M1983" t="s">
        <v>21924</v>
      </c>
      <c r="N1983">
        <f>-666.670532461563 -106.885197231694 -559.941172460199</f>
        <v>-1333.4969021534559</v>
      </c>
      <c r="O1983">
        <f>-627.321581137384 -236.625851419069 -537.149590879124</f>
        <v>-1401.0970234355771</v>
      </c>
      <c r="P1983">
        <f>-615.393811143423 -310.241284214712 -252.492488895113</f>
        <v>-1178.127584253248</v>
      </c>
      <c r="Q1983">
        <f>-468.546828321241 -121.03111610651 -278.691362900893</f>
        <v>-868.26930732864389</v>
      </c>
      <c r="R1983" t="s">
        <v>21925</v>
      </c>
      <c r="S1983" t="s">
        <v>21926</v>
      </c>
      <c r="T1983" t="s">
        <v>21927</v>
      </c>
      <c r="U1983" t="s">
        <v>21928</v>
      </c>
      <c r="V1983">
        <f>-602.785642219198 -161.616317754308 -97.3948176474588</f>
        <v>-861.79677762096492</v>
      </c>
      <c r="W1983" t="s">
        <v>21929</v>
      </c>
      <c r="X1983" t="s">
        <v>21930</v>
      </c>
      <c r="Y1983" t="s">
        <v>21931</v>
      </c>
    </row>
    <row r="1984" spans="1:25" x14ac:dyDescent="0.3">
      <c r="A1984">
        <v>99150</v>
      </c>
      <c r="B1984" t="s">
        <v>21932</v>
      </c>
      <c r="C1984">
        <f>-639.462455798823 -73.4858676934729 -99.2342662260996</f>
        <v>-812.18258971839555</v>
      </c>
      <c r="D1984">
        <f>-659.584450462107 -85.7579430364848 -212.6393757383</f>
        <v>-957.98176923689186</v>
      </c>
      <c r="E1984">
        <f>-668.437007528146 -88.4685440000286 -310.827658976569</f>
        <v>-1067.7332105047435</v>
      </c>
      <c r="F1984">
        <f>-673.521380391249 -88.1001953976322 -399.778538825254</f>
        <v>-1161.4001146141352</v>
      </c>
      <c r="G1984">
        <f>-675.293056733885 -84.8580035716794 -488.798768534242</f>
        <v>-1248.9498288398065</v>
      </c>
      <c r="H1984">
        <f>-674.240985192714 -77.3769506888632 -613.152017762219</f>
        <v>-1364.7699536437963</v>
      </c>
      <c r="I1984">
        <f>-648.825251006508 -65.0463013264822 -691.299493663232</f>
        <v>-1405.1710459962223</v>
      </c>
      <c r="J1984">
        <f>-682.786939474916 -54.2088730852522 -556.906899934804</f>
        <v>-1293.9027124949721</v>
      </c>
      <c r="K1984" t="s">
        <v>21933</v>
      </c>
      <c r="L1984" t="s">
        <v>21934</v>
      </c>
      <c r="M1984" t="s">
        <v>21935</v>
      </c>
      <c r="N1984">
        <f>-666.620991739098 -107.129106607508 -559.953687988462</f>
        <v>-1333.7037863350679</v>
      </c>
      <c r="O1984">
        <f>-627.262864023537 -236.859951804487 -537.151303664576</f>
        <v>-1401.2741194925998</v>
      </c>
      <c r="P1984">
        <f>-614.85924223748 -310.598593819666 -252.546308378115</f>
        <v>-1178.004144435261</v>
      </c>
      <c r="Q1984">
        <f>-467.629224704987 -121.731539917277 -279.068961035033</f>
        <v>-868.42972565729701</v>
      </c>
      <c r="R1984" t="s">
        <v>21936</v>
      </c>
      <c r="S1984" t="s">
        <v>21937</v>
      </c>
      <c r="T1984" t="s">
        <v>21938</v>
      </c>
      <c r="U1984" t="s">
        <v>21939</v>
      </c>
      <c r="V1984">
        <f>-602.73696389245 -161.765526436672 -97.3743045394797</f>
        <v>-861.87679486860168</v>
      </c>
      <c r="W1984" t="s">
        <v>21940</v>
      </c>
      <c r="X1984" t="s">
        <v>21941</v>
      </c>
      <c r="Y1984" t="s">
        <v>21942</v>
      </c>
    </row>
    <row r="1985" spans="1:25" x14ac:dyDescent="0.3">
      <c r="A1985">
        <v>99200</v>
      </c>
      <c r="B1985" t="s">
        <v>21943</v>
      </c>
      <c r="C1985">
        <f>-639.662310849699 -73.9000294389475 -99.2618904969745</f>
        <v>-812.82423078562101</v>
      </c>
      <c r="D1985">
        <f>-659.655456406328 -86.2099636661505 -212.685606380065</f>
        <v>-958.55102645254351</v>
      </c>
      <c r="E1985">
        <f>-668.432694487328 -88.9569237640493 -310.879788003107</f>
        <v>-1068.2694062544842</v>
      </c>
      <c r="F1985">
        <f>-673.462636229491 -88.6234373103546 -399.833795827826</f>
        <v>-1161.9198693676715</v>
      </c>
      <c r="G1985">
        <f>-675.193085443182 -85.4184009610378 -488.856147422796</f>
        <v>-1249.4676338270158</v>
      </c>
      <c r="H1985">
        <f>-674.096673012985 -77.9919847059098 -613.212300216205</f>
        <v>-1365.3009579350996</v>
      </c>
      <c r="I1985">
        <f>-648.577555673057 -65.7410172511187 -691.33859549299</f>
        <v>-1405.6571684171656</v>
      </c>
      <c r="J1985">
        <f>-682.638346284076 -54.7918787709625 -556.979843251448</f>
        <v>-1294.4100683064864</v>
      </c>
      <c r="K1985" t="s">
        <v>21944</v>
      </c>
      <c r="L1985" t="s">
        <v>21945</v>
      </c>
      <c r="M1985" t="s">
        <v>21946</v>
      </c>
      <c r="N1985">
        <f>-666.519950211118 -107.728117888676 -559.998920956815</f>
        <v>-1334.246989056609</v>
      </c>
      <c r="O1985">
        <f>-627.270855678142 -237.481108611368 -537.17691347716</f>
        <v>-1401.92887776667</v>
      </c>
      <c r="P1985">
        <f>-615.323814895252 -311.210629403608 -252.550077729618</f>
        <v>-1179.084522028478</v>
      </c>
      <c r="Q1985">
        <f>-466.566326378649 -123.767167104143 -280.603709382426</f>
        <v>-870.93720286521807</v>
      </c>
      <c r="R1985" t="s">
        <v>21947</v>
      </c>
      <c r="S1985" t="s">
        <v>21948</v>
      </c>
      <c r="T1985" t="s">
        <v>21949</v>
      </c>
      <c r="U1985" t="s">
        <v>21950</v>
      </c>
      <c r="V1985">
        <f>-602.956557283851 -162.123378774303 -97.3383464511156</f>
        <v>-862.4182825092696</v>
      </c>
      <c r="W1985" t="s">
        <v>21951</v>
      </c>
      <c r="X1985" t="s">
        <v>21952</v>
      </c>
      <c r="Y1985" t="s">
        <v>21953</v>
      </c>
    </row>
    <row r="1986" spans="1:25" x14ac:dyDescent="0.3">
      <c r="A1986">
        <v>99250</v>
      </c>
      <c r="B1986" t="s">
        <v>21954</v>
      </c>
      <c r="C1986">
        <f>-639.795583374088 -74.1938861421138 -99.2689369229003</f>
        <v>-813.25840643910203</v>
      </c>
      <c r="D1986">
        <f>-659.71600916424 -86.5122563841136 -212.704701275332</f>
        <v>-958.93296682368555</v>
      </c>
      <c r="E1986">
        <f>-668.452476602885 -89.3038176003638 -310.901173612513</f>
        <v>-1068.6574678157617</v>
      </c>
      <c r="F1986">
        <f>-673.454837905005 -89.0251747505981 -399.856883392477</f>
        <v>-1162.3368960480802</v>
      </c>
      <c r="G1986">
        <f>-675.167196234353 -85.8897335170261 -488.882077954511</f>
        <v>-1249.9390077058902</v>
      </c>
      <c r="H1986">
        <f>-674.055791009042 -78.5757516350895 -613.244684724439</f>
        <v>-1365.8762273685707</v>
      </c>
      <c r="I1986">
        <f>-648.486391102094 -66.3934870113061 -691.36543947774</f>
        <v>-1406.2453175911401</v>
      </c>
      <c r="J1986">
        <f>-682.587033942452 -55.3195893138012 -557.033754029403</f>
        <v>-1294.9403772856563</v>
      </c>
      <c r="K1986" t="s">
        <v>21955</v>
      </c>
      <c r="L1986" t="s">
        <v>21956</v>
      </c>
      <c r="M1986" t="s">
        <v>21957</v>
      </c>
      <c r="N1986">
        <f>-666.502700957597 -108.268931283807 -560.004037507958</f>
        <v>-1334.7756697493619</v>
      </c>
      <c r="O1986">
        <f>-627.340621497755 -238.022343292107 -537.071093258039</f>
        <v>-1402.4340580479011</v>
      </c>
      <c r="P1986">
        <f>-616.233368396145 -311.286323262982 -252.290046133416</f>
        <v>-1179.809737792543</v>
      </c>
      <c r="Q1986">
        <f>-466.870278776412 -124.459773957014 -281.227283866122</f>
        <v>-872.55733659954797</v>
      </c>
      <c r="R1986" t="s">
        <v>21958</v>
      </c>
      <c r="S1986" t="s">
        <v>21959</v>
      </c>
      <c r="T1986" t="s">
        <v>21960</v>
      </c>
      <c r="U1986" t="s">
        <v>21961</v>
      </c>
      <c r="V1986">
        <f>-603.148719586074 -162.456416041339 -97.3127497071074</f>
        <v>-862.91788533452041</v>
      </c>
      <c r="W1986" t="s">
        <v>21962</v>
      </c>
      <c r="X1986" t="s">
        <v>21963</v>
      </c>
      <c r="Y1986" t="s">
        <v>21964</v>
      </c>
    </row>
    <row r="1987" spans="1:25" x14ac:dyDescent="0.3">
      <c r="A1987">
        <v>99300</v>
      </c>
      <c r="B1987" t="s">
        <v>21965</v>
      </c>
      <c r="C1987">
        <f>-639.950153826235 -74.9188245181552 -99.2245789806457</f>
        <v>-814.09355732503593</v>
      </c>
      <c r="D1987">
        <f>-659.775208625001 -87.2538767258812 -212.6751201608</f>
        <v>-959.70420551168229</v>
      </c>
      <c r="E1987">
        <f>-668.444171285771 -90.2056190275706 -310.872851075122</f>
        <v>-1069.5226413884636</v>
      </c>
      <c r="F1987">
        <f>-673.393023328013 -90.1305528042208 -399.832058629123</f>
        <v>-1163.3556347613567</v>
      </c>
      <c r="G1987">
        <f>-675.060085553765 -87.258045715384 -488.866956704452</f>
        <v>-1251.185087973601</v>
      </c>
      <c r="H1987">
        <f>-673.894494285716 -80.3739275893942 -613.253707496639</f>
        <v>-1367.5221293717491</v>
      </c>
      <c r="I1987">
        <f>-648.181903806146 -68.3744924431423 -691.355697789402</f>
        <v>-1407.9120940386904</v>
      </c>
      <c r="J1987">
        <f>-682.398544455113 -56.9080888761131 -557.125697596677</f>
        <v>-1296.432330927903</v>
      </c>
      <c r="K1987" t="s">
        <v>21966</v>
      </c>
      <c r="L1987" t="s">
        <v>21967</v>
      </c>
      <c r="M1987" t="s">
        <v>21968</v>
      </c>
      <c r="N1987">
        <f>-666.4163073017 -109.898584275403 -559.908625933921</f>
        <v>-1336.2235175110241</v>
      </c>
      <c r="O1987">
        <f>-627.445383767712 -239.644087905793 -536.573328327969</f>
        <v>-1403.6628000014739</v>
      </c>
      <c r="P1987">
        <f>-618.29718519216 -311.840255581753 -251.450306433966</f>
        <v>-1181.5877472078789</v>
      </c>
      <c r="Q1987">
        <f>-468.046205159833 -125.974283528153 -281.935457319192</f>
        <v>-875.955946007178</v>
      </c>
      <c r="R1987" t="s">
        <v>21969</v>
      </c>
      <c r="S1987" t="s">
        <v>21970</v>
      </c>
      <c r="T1987" t="s">
        <v>21971</v>
      </c>
      <c r="U1987" t="s">
        <v>21972</v>
      </c>
      <c r="V1987">
        <f>-603.337958391072 -163.182252286529 -97.2422945818331</f>
        <v>-863.76250525943408</v>
      </c>
      <c r="W1987" t="s">
        <v>21973</v>
      </c>
      <c r="X1987" t="s">
        <v>21974</v>
      </c>
      <c r="Y1987" t="s">
        <v>21975</v>
      </c>
    </row>
    <row r="1988" spans="1:25" x14ac:dyDescent="0.3">
      <c r="A1988">
        <v>99350</v>
      </c>
      <c r="B1988" t="s">
        <v>21976</v>
      </c>
      <c r="C1988">
        <f>-639.838177679356 -75.2978063710212 -99.2100152438863</f>
        <v>-814.34599929426361</v>
      </c>
      <c r="D1988">
        <f>-659.634830616246 -87.6684685033808 -212.661718078512</f>
        <v>-959.96501719813875</v>
      </c>
      <c r="E1988">
        <f>-668.295238762689 -90.7178967152404 -310.85724099895</f>
        <v>-1069.8703764768793</v>
      </c>
      <c r="F1988">
        <f>-673.243828962943 -90.7577599106448 -399.816462188245</f>
        <v>-1163.8180510618329</v>
      </c>
      <c r="G1988">
        <f>-674.918264478671 -88.0269560011883 -488.855707291673</f>
        <v>-1251.8009277715323</v>
      </c>
      <c r="H1988">
        <f>-673.771437947611 -81.368922149748 -613.254854717457</f>
        <v>-1368.395214814816</v>
      </c>
      <c r="I1988">
        <f>-647.98956737279 -69.4747253223911 -691.350098946309</f>
        <v>-1408.8143916414901</v>
      </c>
      <c r="J1988">
        <f>-682.252908338896 -57.7968200030629 -557.16810409514</f>
        <v>-1297.2178324370989</v>
      </c>
      <c r="K1988" t="s">
        <v>21977</v>
      </c>
      <c r="L1988" t="s">
        <v>21978</v>
      </c>
      <c r="M1988" t="s">
        <v>21979</v>
      </c>
      <c r="N1988">
        <f>-666.299178659074 -110.800752182718 -559.857828057583</f>
        <v>-1336.957758899375</v>
      </c>
      <c r="O1988">
        <f>-627.409009615987 -240.522461226596 -536.286190467327</f>
        <v>-1404.21766130991</v>
      </c>
      <c r="P1988">
        <f>-619.331863587763 -311.766281684595 -250.891189993823</f>
        <v>-1181.9893352661811</v>
      </c>
      <c r="Q1988">
        <f>-468.635207166331 -126.367658202231 -282.015236027738</f>
        <v>-877.01810139629993</v>
      </c>
      <c r="R1988" t="s">
        <v>21980</v>
      </c>
      <c r="S1988" t="s">
        <v>21981</v>
      </c>
      <c r="T1988" t="s">
        <v>21982</v>
      </c>
      <c r="U1988" t="s">
        <v>21983</v>
      </c>
      <c r="V1988">
        <f>-603.221504977254 -163.472278709698 -97.2031179447044</f>
        <v>-863.89690163165642</v>
      </c>
      <c r="W1988" t="s">
        <v>21984</v>
      </c>
      <c r="X1988" t="s">
        <v>21985</v>
      </c>
      <c r="Y1988" t="s">
        <v>21986</v>
      </c>
    </row>
    <row r="1989" spans="1:25" x14ac:dyDescent="0.3">
      <c r="A1989">
        <v>99400</v>
      </c>
      <c r="B1989" t="s">
        <v>21987</v>
      </c>
      <c r="C1989">
        <f>-639.564295514104 -75.9607488405654 -99.2410332739264</f>
        <v>-814.76607762859578</v>
      </c>
      <c r="D1989">
        <f>-659.34202541622 -88.3714907285421 -212.691685804059</f>
        <v>-960.40520194882117</v>
      </c>
      <c r="E1989">
        <f>-668.06050485984 -91.6189828063873 -310.875579328079</f>
        <v>-1070.5550669943063</v>
      </c>
      <c r="F1989">
        <f>-673.095019952235 -91.9018021615686 -399.829654608442</f>
        <v>-1164.8264767222456</v>
      </c>
      <c r="G1989">
        <f>-674.890709833324 -89.4761765387152 -488.875295519698</f>
        <v>-1253.2421818917371</v>
      </c>
      <c r="H1989">
        <f>-673.952040423263 -83.308161605202 -613.301513635506</f>
        <v>-1370.561715663971</v>
      </c>
      <c r="I1989">
        <f>-648.074442617552 -71.6554881462317 -691.40153756221</f>
        <v>-1411.1314683259939</v>
      </c>
      <c r="J1989">
        <f>-682.372163684061 -59.5250503936285 -557.294633439436</f>
        <v>-1299.1918475171256</v>
      </c>
      <c r="K1989" t="s">
        <v>21988</v>
      </c>
      <c r="L1989" t="s">
        <v>21989</v>
      </c>
      <c r="M1989" t="s">
        <v>21990</v>
      </c>
      <c r="N1989">
        <f>-666.357988014175 -112.519706170444 -559.800736268196</f>
        <v>-1338.6784304528151</v>
      </c>
      <c r="O1989">
        <f>-627.298716982978 -242.132928502456 -535.848508929517</f>
        <v>-1405.2801544149511</v>
      </c>
      <c r="P1989">
        <f>-620.938513344236 -311.438438669456 -249.933169948643</f>
        <v>-1182.310121962335</v>
      </c>
      <c r="Q1989">
        <f>-469.553465062478 -126.788612993911 -282.149058615735</f>
        <v>-878.49113667212396</v>
      </c>
      <c r="R1989" t="s">
        <v>21991</v>
      </c>
      <c r="S1989" t="s">
        <v>21992</v>
      </c>
      <c r="T1989" t="s">
        <v>21993</v>
      </c>
      <c r="U1989" t="s">
        <v>21994</v>
      </c>
      <c r="V1989">
        <f>-602.936098531622 -164.129667164894 -97.1793872730002</f>
        <v>-864.24515296951608</v>
      </c>
      <c r="W1989" t="s">
        <v>21995</v>
      </c>
      <c r="X1989" t="s">
        <v>21996</v>
      </c>
      <c r="Y1989" t="s">
        <v>21997</v>
      </c>
    </row>
    <row r="1990" spans="1:25" x14ac:dyDescent="0.3">
      <c r="A1990">
        <v>99450</v>
      </c>
      <c r="B1990" t="s">
        <v>21998</v>
      </c>
      <c r="C1990">
        <f>-639.497783568154 -76.186268144142 -99.26247144582</f>
        <v>-814.94652315811595</v>
      </c>
      <c r="D1990">
        <f>-659.246502743198 -88.6019961667791 -212.717498123165</f>
        <v>-960.56599703314214</v>
      </c>
      <c r="E1990">
        <f>-667.988823190253 -91.927397688294 -310.896823924557</f>
        <v>-1070.813044803104</v>
      </c>
      <c r="F1990">
        <f>-673.066161101079 -92.3093113434393 -399.848083389327</f>
        <v>-1165.2235558338452</v>
      </c>
      <c r="G1990">
        <f>-674.927419411113 -90.0099547866096 -488.895681540053</f>
        <v>-1253.8330557377756</v>
      </c>
      <c r="H1990">
        <f>-674.104763745177 -84.045899458911 -613.332782272768</f>
        <v>-1371.4834454768561</v>
      </c>
      <c r="I1990">
        <f>-648.186738282429 -72.4995529834446 -691.434922056999</f>
        <v>-1412.1212133228726</v>
      </c>
      <c r="J1990">
        <f>-682.511414384251 -60.1828050333828 -557.357771069593</f>
        <v>-1300.0519904872267</v>
      </c>
      <c r="K1990" t="s">
        <v>21999</v>
      </c>
      <c r="L1990" t="s">
        <v>22000</v>
      </c>
      <c r="M1990" t="s">
        <v>22001</v>
      </c>
      <c r="N1990">
        <f>-666.422069204441 -113.158031834007 -559.790489406098</f>
        <v>-1339.370590444546</v>
      </c>
      <c r="O1990">
        <f>-627.196785556941 -242.696159603218 -535.705632213399</f>
        <v>-1405.5985773735579</v>
      </c>
      <c r="P1990">
        <f>-621.266466938425 -311.074299975759 -249.55794733133</f>
        <v>-1181.8987142455139</v>
      </c>
      <c r="Q1990">
        <f>-469.781154992044 -126.579570124208 -282.188602625028</f>
        <v>-878.54932774127997</v>
      </c>
      <c r="R1990" t="s">
        <v>22002</v>
      </c>
      <c r="S1990" t="s">
        <v>22003</v>
      </c>
      <c r="T1990" t="s">
        <v>22004</v>
      </c>
      <c r="U1990" t="s">
        <v>22005</v>
      </c>
      <c r="V1990">
        <f>-602.773422840927 -164.336556476777 -97.1948659510671</f>
        <v>-864.30484526877103</v>
      </c>
      <c r="W1990" t="s">
        <v>22006</v>
      </c>
      <c r="X1990" t="s">
        <v>22007</v>
      </c>
      <c r="Y1990" t="s">
        <v>22008</v>
      </c>
    </row>
    <row r="1991" spans="1:25" x14ac:dyDescent="0.3">
      <c r="A1991">
        <v>99500</v>
      </c>
      <c r="B1991" t="s">
        <v>22009</v>
      </c>
      <c r="C1991">
        <f>-639.462193142189 -76.7171494626655 -99.3010937163539</f>
        <v>-815.48043632120834</v>
      </c>
      <c r="D1991">
        <f>-659.152886586509 -89.1419436055496 -212.765257502134</f>
        <v>-961.06008769419259</v>
      </c>
      <c r="E1991">
        <f>-667.942027817015 -92.5536154861135 -310.937420146942</f>
        <v>-1071.4330634500704</v>
      </c>
      <c r="F1991">
        <f>-673.10248516227 -93.044373667609 -399.883362439786</f>
        <v>-1166.0302212696649</v>
      </c>
      <c r="G1991">
        <f>-675.089103375336 -90.8822338064895 -488.931783123414</f>
        <v>-1254.9031203052396</v>
      </c>
      <c r="H1991">
        <f>-674.487053244834 -85.1378478732914 -613.380248968784</f>
        <v>-1373.0051500869095</v>
      </c>
      <c r="I1991">
        <f>-648.532144695826 -73.7157566123 -691.488585970805</f>
        <v>-1413.736487278931</v>
      </c>
      <c r="J1991">
        <f>-682.887602558288 -61.2043418785318 -557.434660623626</f>
        <v>-1301.5266050604457</v>
      </c>
      <c r="K1991" t="s">
        <v>22010</v>
      </c>
      <c r="L1991" t="s">
        <v>22011</v>
      </c>
      <c r="M1991" t="s">
        <v>22012</v>
      </c>
      <c r="N1991">
        <f>-666.616379982498 -114.127072574868 -559.798652528729</f>
        <v>-1340.542105086095</v>
      </c>
      <c r="O1991">
        <f>-626.982023396426 -243.52103239109 -535.602218969374</f>
        <v>-1406.1052747568901</v>
      </c>
      <c r="P1991">
        <f>-620.810732393501 -311.030100262032 -249.253492209676</f>
        <v>-1181.094324865209</v>
      </c>
      <c r="Q1991">
        <f>-470.091650573589 -126.069896191048 -282.783995837624</f>
        <v>-878.94554260226096</v>
      </c>
      <c r="R1991" t="s">
        <v>22013</v>
      </c>
      <c r="S1991" t="s">
        <v>22014</v>
      </c>
      <c r="T1991" t="s">
        <v>22015</v>
      </c>
      <c r="U1991" t="s">
        <v>22016</v>
      </c>
      <c r="V1991">
        <f>-602.46434156356 -164.900496969815 -97.2283089705202</f>
        <v>-864.59314750389512</v>
      </c>
      <c r="W1991" t="s">
        <v>22017</v>
      </c>
      <c r="X1991" t="s">
        <v>22018</v>
      </c>
      <c r="Y1991" t="s">
        <v>22019</v>
      </c>
    </row>
    <row r="1992" spans="1:25" x14ac:dyDescent="0.3">
      <c r="A1992">
        <v>99550</v>
      </c>
      <c r="B1992" t="s">
        <v>22020</v>
      </c>
      <c r="C1992">
        <f>-639.469895616289 -77.0083236823302 -99.3367241354149</f>
        <v>-815.81494343403415</v>
      </c>
      <c r="D1992">
        <f>-659.080852995079 -89.4326297409115 -212.814682316545</f>
        <v>-961.3281650525355</v>
      </c>
      <c r="E1992">
        <f>-667.858572840579 -92.8623567320764 -310.987292012402</f>
        <v>-1071.7082215850573</v>
      </c>
      <c r="F1992">
        <f>-673.031983859043 -93.3768491103971 -399.932324448817</f>
        <v>-1166.3411574182569</v>
      </c>
      <c r="G1992">
        <f>-675.055457776363 -91.2443668705612 -488.980566012148</f>
        <v>-1255.2803906590723</v>
      </c>
      <c r="H1992">
        <f>-674.530229589764 -85.5472865140031 -613.431790457374</f>
        <v>-1373.5093065611409</v>
      </c>
      <c r="I1992">
        <f>-648.574513813881 -74.1426071049247 -691.542296408507</f>
        <v>-1414.2594173273128</v>
      </c>
      <c r="J1992">
        <f>-682.949348336177 -61.6087866455323 -557.490806770341</f>
        <v>-1302.0489417520503</v>
      </c>
      <c r="K1992" t="s">
        <v>22021</v>
      </c>
      <c r="L1992" t="s">
        <v>22022</v>
      </c>
      <c r="M1992" t="s">
        <v>22023</v>
      </c>
      <c r="N1992">
        <f>-666.573380290331 -114.499771631405 -559.842983630596</f>
        <v>-1340.916135552332</v>
      </c>
      <c r="O1992">
        <f>-626.715512650282 -243.811365995341 -535.622037918464</f>
        <v>-1406.1489165640869</v>
      </c>
      <c r="P1992">
        <f>-620.27784339342 -311.083428519258 -249.223282341319</f>
        <v>-1180.5845542539969</v>
      </c>
      <c r="Q1992">
        <f>-469.984744958851 -125.87591925323 -283.297563701123</f>
        <v>-879.15822791320397</v>
      </c>
      <c r="R1992" t="s">
        <v>22024</v>
      </c>
      <c r="S1992" t="s">
        <v>22025</v>
      </c>
      <c r="T1992" t="s">
        <v>22026</v>
      </c>
      <c r="U1992" t="s">
        <v>22027</v>
      </c>
      <c r="V1992">
        <f>-602.356269402409 -165.187505121134 -97.2479266540905</f>
        <v>-864.79170117763351</v>
      </c>
      <c r="W1992" t="s">
        <v>22028</v>
      </c>
      <c r="X1992" t="s">
        <v>22029</v>
      </c>
      <c r="Y1992" t="s">
        <v>22030</v>
      </c>
    </row>
    <row r="1993" spans="1:25" x14ac:dyDescent="0.3">
      <c r="A1993">
        <v>99600</v>
      </c>
      <c r="B1993" t="s">
        <v>22031</v>
      </c>
      <c r="C1993">
        <f>-639.675084166966 -77.6311414558763 -99.3584573806235</f>
        <v>-816.66468300346583</v>
      </c>
      <c r="D1993">
        <f>-659.13288774476 -89.9732703271427 -212.871752747208</f>
        <v>-961.97791081911066</v>
      </c>
      <c r="E1993">
        <f>-667.878992465496 -93.4491712644066 -311.045561757568</f>
        <v>-1072.3737254874707</v>
      </c>
      <c r="F1993">
        <f>-673.066354951509 -94.0519731061731 -399.989172677797</f>
        <v>-1167.1075007354791</v>
      </c>
      <c r="G1993">
        <f>-675.148241610171 -92.051813083666 -489.039229384964</f>
        <v>-1256.2392840788011</v>
      </c>
      <c r="H1993">
        <f>-674.752406456976 -86.5842674169224 -613.501099865422</f>
        <v>-1374.8377737393205</v>
      </c>
      <c r="I1993">
        <f>-648.818822271853 -75.2597081814041 -691.630624819924</f>
        <v>-1415.7091552731813</v>
      </c>
      <c r="J1993">
        <f>-683.204699477737 -62.5709715087891 -557.597315089922</f>
        <v>-1303.3729860764479</v>
      </c>
      <c r="K1993" t="s">
        <v>22032</v>
      </c>
      <c r="L1993" t="s">
        <v>22033</v>
      </c>
      <c r="M1993" t="s">
        <v>22034</v>
      </c>
      <c r="N1993">
        <f>-666.648416793523 -115.409544750628 -559.865802751338</f>
        <v>-1341.923764295489</v>
      </c>
      <c r="O1993">
        <f>-626.428019439065 -244.577586329967 -535.497428594775</f>
        <v>-1406.5030343638068</v>
      </c>
      <c r="P1993">
        <f>-619.969855866608 -310.798779565518 -248.854289730282</f>
        <v>-1179.6229251624079</v>
      </c>
      <c r="Q1993">
        <f>-469.715874237321 -125.830712468787 -284.371038390991</f>
        <v>-879.91762509709895</v>
      </c>
      <c r="R1993" t="s">
        <v>22035</v>
      </c>
      <c r="S1993" t="s">
        <v>22036</v>
      </c>
      <c r="T1993" t="s">
        <v>22037</v>
      </c>
      <c r="U1993" t="s">
        <v>22038</v>
      </c>
      <c r="V1993">
        <f>-602.510520168354 -165.842988941806 -97.2779121204455</f>
        <v>-865.6314212306055</v>
      </c>
      <c r="W1993" t="s">
        <v>22039</v>
      </c>
      <c r="X1993" t="s">
        <v>22040</v>
      </c>
      <c r="Y1993" t="s">
        <v>22041</v>
      </c>
    </row>
    <row r="1994" spans="1:25" x14ac:dyDescent="0.3">
      <c r="A1994">
        <v>99650</v>
      </c>
      <c r="B1994" t="s">
        <v>22042</v>
      </c>
      <c r="C1994">
        <f>-639.825570494325 -77.946228741831 -99.3336554667346</f>
        <v>-817.1054547028906</v>
      </c>
      <c r="D1994">
        <f>-659.208028691975 -90.2233360425115 -212.866932277266</f>
        <v>-962.29829701175242</v>
      </c>
      <c r="E1994">
        <f>-667.923643466593 -93.7304982439559 -311.042265337076</f>
        <v>-1072.6964070476249</v>
      </c>
      <c r="F1994">
        <f>-673.098798905639 -94.3957620633025 -399.986244140969</f>
        <v>-1167.4808051099105</v>
      </c>
      <c r="G1994">
        <f>-675.185193871422 -92.491623722945 -489.038319918399</f>
        <v>-1256.715137512766</v>
      </c>
      <c r="H1994">
        <f>-674.814150023533 -87.19245865885 -613.507431702937</f>
        <v>-1375.51404038532</v>
      </c>
      <c r="I1994">
        <f>-648.887119931326 -75.9503247955204 -691.651087731227</f>
        <v>-1416.4885324580732</v>
      </c>
      <c r="J1994">
        <f>-683.283082109077 -63.1122867685838 -557.63512121616</f>
        <v>-1304.0304900938208</v>
      </c>
      <c r="K1994" t="s">
        <v>22043</v>
      </c>
      <c r="L1994" t="s">
        <v>22044</v>
      </c>
      <c r="M1994" t="s">
        <v>22045</v>
      </c>
      <c r="N1994">
        <f>-666.671784332041 -115.936411703974 -559.834407978392</f>
        <v>-1342.4426040144072</v>
      </c>
      <c r="O1994">
        <f>-626.364178131618 -245.054637320835 -535.294478545005</f>
        <v>-1406.7132939974581</v>
      </c>
      <c r="P1994">
        <f>-620.232686254806 -310.505112640976 -248.467282010781</f>
        <v>-1179.2050809065631</v>
      </c>
      <c r="Q1994">
        <f>-469.527370952201 -126.048567887579 -284.724432931641</f>
        <v>-880.30037177142106</v>
      </c>
      <c r="R1994" t="s">
        <v>22046</v>
      </c>
      <c r="S1994" t="s">
        <v>22047</v>
      </c>
      <c r="T1994" t="s">
        <v>22048</v>
      </c>
      <c r="U1994" t="s">
        <v>22049</v>
      </c>
      <c r="V1994">
        <f>-602.647226499652 -166.205585641442 -97.2818775634469</f>
        <v>-866.13468970454085</v>
      </c>
      <c r="W1994" t="s">
        <v>22050</v>
      </c>
      <c r="X1994" t="s">
        <v>22051</v>
      </c>
      <c r="Y1994" t="s">
        <v>22052</v>
      </c>
    </row>
    <row r="1995" spans="1:25" x14ac:dyDescent="0.3">
      <c r="A1995">
        <v>99700</v>
      </c>
      <c r="B1995" t="s">
        <v>22053</v>
      </c>
      <c r="C1995">
        <f>-640.125175282048 -78.2664015567182 -99.262099422242</f>
        <v>-817.65367626100817</v>
      </c>
      <c r="D1995">
        <f>-659.412662018332 -90.439227074331 -212.822866584725</f>
        <v>-962.67475567738802</v>
      </c>
      <c r="E1995">
        <f>-668.038493191024 -94.0053666891275 -311.004051296777</f>
        <v>-1073.0479111769287</v>
      </c>
      <c r="F1995">
        <f>-673.13264420499 -94.7827594636519 -399.951666534464</f>
        <v>-1167.8670702031059</v>
      </c>
      <c r="G1995">
        <f>-675.13994913172 -93.0485213410053 -489.008956057245</f>
        <v>-1257.1974265299702</v>
      </c>
      <c r="H1995">
        <f>-674.662056923027 -88.0465957054789 -613.490184306299</f>
        <v>-1376.1988369348051</v>
      </c>
      <c r="I1995">
        <f>-648.692175093162 -77.0184167797518 -691.650030097217</f>
        <v>-1417.3606219701308</v>
      </c>
      <c r="J1995">
        <f>-683.203716911093 -63.8407850945205 -557.68303347783</f>
        <v>-1304.7275354834435</v>
      </c>
      <c r="K1995" t="s">
        <v>22054</v>
      </c>
      <c r="L1995" t="s">
        <v>22055</v>
      </c>
      <c r="M1995" t="s">
        <v>22056</v>
      </c>
      <c r="N1995">
        <f>-666.541051714161 -116.654574789245 -559.741171132827</f>
        <v>-1342.936797636233</v>
      </c>
      <c r="O1995">
        <f>-626.196648289832 -245.685083693499 -534.800004845805</f>
        <v>-1406.6817368291358</v>
      </c>
      <c r="P1995">
        <f>-621.576710356817 -309.149043112452 -247.498455188045</f>
        <v>-1178.224208657314</v>
      </c>
      <c r="Q1995">
        <f>-469.226651483757 -126.28207194079 -284.914589284306</f>
        <v>-880.42331270885302</v>
      </c>
      <c r="R1995" t="s">
        <v>22057</v>
      </c>
      <c r="S1995" t="s">
        <v>22058</v>
      </c>
      <c r="T1995" t="s">
        <v>22059</v>
      </c>
      <c r="U1995" t="s">
        <v>22060</v>
      </c>
      <c r="V1995">
        <f>-602.976223070356 -166.474462988304 -97.2857492361001</f>
        <v>-866.7364352947601</v>
      </c>
      <c r="W1995" t="s">
        <v>22061</v>
      </c>
      <c r="X1995" t="s">
        <v>22062</v>
      </c>
      <c r="Y1995" t="s">
        <v>22063</v>
      </c>
    </row>
    <row r="1996" spans="1:25" x14ac:dyDescent="0.3">
      <c r="A1996">
        <v>99750</v>
      </c>
      <c r="B1996" t="s">
        <v>22064</v>
      </c>
      <c r="C1996">
        <f>-640.261096195875 -78.2641461809677 -99.2512960092574</f>
        <v>-817.77653838610013</v>
      </c>
      <c r="D1996">
        <f>-659.520291108212 -90.4064976726937 -212.820149116713</f>
        <v>-962.74693789761864</v>
      </c>
      <c r="E1996">
        <f>-668.100428867758 -94.0154364652119 -311.00359618375</f>
        <v>-1073.1194615167199</v>
      </c>
      <c r="F1996">
        <f>-673.14568104312 -94.8591377857716 -399.953500591005</f>
        <v>-1167.9583194198967</v>
      </c>
      <c r="G1996">
        <f>-675.097027266762 -93.2193271756257 -489.01386133808</f>
        <v>-1257.3302157804678</v>
      </c>
      <c r="H1996">
        <f>-674.534163479694 -88.378759761168 -613.501083920518</f>
        <v>-1376.4140071613801</v>
      </c>
      <c r="I1996">
        <f>-648.50882960667 -77.4799670905235 -691.660686188535</f>
        <v>-1417.6494828857285</v>
      </c>
      <c r="J1996">
        <f>-683.10950838926 -64.0993637003878 -557.731084607136</f>
        <v>-1304.9399566967838</v>
      </c>
      <c r="K1996" t="s">
        <v>22065</v>
      </c>
      <c r="L1996" t="s">
        <v>22066</v>
      </c>
      <c r="M1996" t="s">
        <v>22067</v>
      </c>
      <c r="N1996">
        <f>-666.454159122853 -116.918350819167 -559.709666353791</f>
        <v>-1343.082176295811</v>
      </c>
      <c r="O1996">
        <f>-626.168998547896 -245.933877466974 -534.592443210855</f>
        <v>-1406.6953192257249</v>
      </c>
      <c r="P1996">
        <f>-622.369412630127 -308.386395096593 -247.057219367253</f>
        <v>-1177.813027093973</v>
      </c>
      <c r="Q1996">
        <f>-469.050667644672 -126.415491332978 -284.883270809651</f>
        <v>-880.34942978730101</v>
      </c>
      <c r="R1996" t="s">
        <v>22068</v>
      </c>
      <c r="S1996" t="s">
        <v>22069</v>
      </c>
      <c r="T1996" t="s">
        <v>22070</v>
      </c>
      <c r="U1996" t="s">
        <v>22071</v>
      </c>
      <c r="V1996">
        <f>-603.152449642666 -166.424676254287 -97.2820897489491</f>
        <v>-866.85921564590217</v>
      </c>
      <c r="W1996" t="s">
        <v>22072</v>
      </c>
      <c r="X1996" t="s">
        <v>22073</v>
      </c>
      <c r="Y1996" t="s">
        <v>22074</v>
      </c>
    </row>
    <row r="1997" spans="1:25" x14ac:dyDescent="0.3">
      <c r="A1997">
        <v>99800</v>
      </c>
      <c r="B1997" t="s">
        <v>22075</v>
      </c>
      <c r="C1997">
        <f>-640.591066746072 -78.0904473792458 -99.2202421557918</f>
        <v>-817.90175628110956</v>
      </c>
      <c r="D1997">
        <f>-659.849068808437 -90.207186145173 -212.792022558989</f>
        <v>-962.848277512599</v>
      </c>
      <c r="E1997">
        <f>-668.371239062443 -93.9272672912722 -310.976370279313</f>
        <v>-1073.2748766330283</v>
      </c>
      <c r="F1997">
        <f>-673.342279951536 -94.9265418018554 -399.928735362751</f>
        <v>-1168.1975571161424</v>
      </c>
      <c r="G1997">
        <f>-675.19802667988 -93.4986598088931 -488.994838179792</f>
        <v>-1257.6915246685651</v>
      </c>
      <c r="H1997">
        <f>-674.479458667723 -89.0146913857812 -613.494557455</f>
        <v>-1376.9887075085041</v>
      </c>
      <c r="I1997">
        <f>-648.295279415635 -78.3965286783581 -691.639785993629</f>
        <v>-1418.3315940876221</v>
      </c>
      <c r="J1997">
        <f>-683.079887998076 -64.5616367128094 -557.80452860642</f>
        <v>-1305.4460533173055</v>
      </c>
      <c r="K1997" t="s">
        <v>22076</v>
      </c>
      <c r="L1997" t="s">
        <v>22077</v>
      </c>
      <c r="M1997" t="s">
        <v>22078</v>
      </c>
      <c r="N1997">
        <f>-666.511546216494 -117.414111748573 -559.612475299901</f>
        <v>-1343.5381332649681</v>
      </c>
      <c r="O1997">
        <f>-626.476479441518 -246.441222900099 -534.173813232773</f>
        <v>-1407.0915155743901</v>
      </c>
      <c r="P1997">
        <f>-623.685653738592 -307.431695799256 -246.313419756223</f>
        <v>-1177.4307692940711</v>
      </c>
      <c r="Q1997">
        <f>-468.832713635383 -126.98321437035 -285.169528985307</f>
        <v>-880.98545699104</v>
      </c>
      <c r="R1997" t="s">
        <v>22079</v>
      </c>
      <c r="S1997" t="s">
        <v>22080</v>
      </c>
      <c r="T1997" t="s">
        <v>22081</v>
      </c>
      <c r="U1997" t="s">
        <v>22082</v>
      </c>
      <c r="V1997">
        <f>-603.466026423026 -166.268088332072 -97.2832024837588</f>
        <v>-867.01731723885689</v>
      </c>
      <c r="W1997" t="s">
        <v>22083</v>
      </c>
      <c r="X1997" t="s">
        <v>22084</v>
      </c>
      <c r="Y1997" t="s">
        <v>22085</v>
      </c>
    </row>
    <row r="1998" spans="1:25" x14ac:dyDescent="0.3">
      <c r="A1998">
        <v>99850</v>
      </c>
      <c r="B1998" t="s">
        <v>22086</v>
      </c>
      <c r="C1998">
        <f>-640.7027485838 -78.0133051609133 -99.2149240359893</f>
        <v>-817.93097778070262</v>
      </c>
      <c r="D1998">
        <f>-659.994424012804 -90.1590550582101 -212.777855256459</f>
        <v>-962.93133432747311</v>
      </c>
      <c r="E1998">
        <f>-668.521511811401 -93.948584177117 -310.959236136858</f>
        <v>-1073.429332125376</v>
      </c>
      <c r="F1998">
        <f>-673.487397489076 -95.0292755488347 -399.910893421322</f>
        <v>-1168.4275664592326</v>
      </c>
      <c r="G1998">
        <f>-675.32808201009 -93.7025418774813 -488.978963092548</f>
        <v>-1258.0095869801194</v>
      </c>
      <c r="H1998">
        <f>-674.577936308185 -89.3810627359412 -613.484249548509</f>
        <v>-1377.4432485926352</v>
      </c>
      <c r="I1998">
        <f>-648.307832723766 -78.885895154875 -691.617137616807</f>
        <v>-1418.8108654954481</v>
      </c>
      <c r="J1998">
        <f>-683.163323224664 -64.8462003432145 -557.827655259374</f>
        <v>-1305.8371788272525</v>
      </c>
      <c r="K1998" t="s">
        <v>22087</v>
      </c>
      <c r="L1998" t="s">
        <v>22088</v>
      </c>
      <c r="M1998" t="s">
        <v>22089</v>
      </c>
      <c r="N1998">
        <f>-666.652818840906 -117.719298234117 -559.563434260762</f>
        <v>-1343.935551335785</v>
      </c>
      <c r="O1998">
        <f>-626.753581961752 -246.759377871409 -533.973336342515</f>
        <v>-1407.4862961756762</v>
      </c>
      <c r="P1998">
        <f>-624.164153645074 -307.259883841265 -246.007659310705</f>
        <v>-1177.431696797044</v>
      </c>
      <c r="Q1998">
        <f>-468.661840825263 -127.493074953739 -285.426108918031</f>
        <v>-881.58102469703306</v>
      </c>
      <c r="R1998" t="s">
        <v>22090</v>
      </c>
      <c r="S1998" t="s">
        <v>22091</v>
      </c>
      <c r="T1998" t="s">
        <v>22092</v>
      </c>
      <c r="U1998" t="s">
        <v>22093</v>
      </c>
      <c r="V1998">
        <f>-603.565476272076 -166.179747292563 -97.2873211207753</f>
        <v>-867.03254468541434</v>
      </c>
      <c r="W1998" t="s">
        <v>22094</v>
      </c>
      <c r="X1998" t="s">
        <v>22095</v>
      </c>
      <c r="Y1998" t="s">
        <v>22096</v>
      </c>
    </row>
    <row r="1999" spans="1:25" x14ac:dyDescent="0.3">
      <c r="A1999">
        <v>99900</v>
      </c>
      <c r="B1999" t="s">
        <v>22097</v>
      </c>
      <c r="C1999">
        <f>-640.837094009298 -78.0056579845168 -99.2217181153767</f>
        <v>-818.06447010919146</v>
      </c>
      <c r="D1999">
        <f>-660.247805965664 -90.2219494465221 -212.756714129962</f>
        <v>-963.22646954214815</v>
      </c>
      <c r="E1999">
        <f>-668.842564714357 -94.1531303862217 -310.926774233844</f>
        <v>-1073.9224693344227</v>
      </c>
      <c r="F1999">
        <f>-673.855848396387 -95.3957370651316 -399.873555691462</f>
        <v>-1169.1251411529806</v>
      </c>
      <c r="G1999">
        <f>-675.730128183371 -94.2659101512387 -488.943586307591</f>
        <v>-1258.9396246422007</v>
      </c>
      <c r="H1999">
        <f>-675.012361340332 -90.2575436285499 -613.459646581284</f>
        <v>-1378.729551550166</v>
      </c>
      <c r="I1999">
        <f>-648.578042987039 -80.0004303272124 -691.568758145561</f>
        <v>-1420.1472314598122</v>
      </c>
      <c r="J1999">
        <f>-683.531989928041 -65.5668585680039 -557.861936287099</f>
        <v>-1306.9607847831439</v>
      </c>
      <c r="K1999" t="s">
        <v>22098</v>
      </c>
      <c r="L1999" t="s">
        <v>22099</v>
      </c>
      <c r="M1999" t="s">
        <v>22100</v>
      </c>
      <c r="N1999">
        <f>-667.124457454489 -118.47600755361 -559.47056722426</f>
        <v>-1345.0710322323589</v>
      </c>
      <c r="O1999">
        <f>-627.365696814639 -247.512912745743 -533.619546503972</f>
        <v>-1408.4981560643541</v>
      </c>
      <c r="P1999">
        <f>-625.104958208356 -307.101448808321 -245.46121580729</f>
        <v>-1177.6676228239671</v>
      </c>
      <c r="Q1999">
        <f>-468.566926321697 -128.472927241467 -285.940414223034</f>
        <v>-882.98026778619806</v>
      </c>
      <c r="R1999" t="s">
        <v>22101</v>
      </c>
      <c r="S1999" t="s">
        <v>22102</v>
      </c>
      <c r="T1999" t="s">
        <v>22103</v>
      </c>
      <c r="U1999" t="s">
        <v>22104</v>
      </c>
      <c r="V1999">
        <f>-603.727462138375 -166.214905684066 -97.2707837840049</f>
        <v>-867.21315160644599</v>
      </c>
      <c r="W1999" t="s">
        <v>22105</v>
      </c>
      <c r="X1999" t="s">
        <v>22106</v>
      </c>
      <c r="Y1999" t="s">
        <v>22107</v>
      </c>
    </row>
    <row r="2000" spans="1:25" x14ac:dyDescent="0.3">
      <c r="A2000">
        <v>99950</v>
      </c>
      <c r="B2000" t="s">
        <v>22108</v>
      </c>
      <c r="C2000">
        <f>-640.900441276019 -77.9200479450166 -99.234851190569</f>
        <v>-818.05534041160456</v>
      </c>
      <c r="D2000">
        <f>-660.385505657976 -90.1803763279729 -212.752428728236</f>
        <v>-963.31831071418492</v>
      </c>
      <c r="E2000">
        <f>-669.043665744844 -94.1659314802702 -310.914669697063</f>
        <v>-1074.1242669221772</v>
      </c>
      <c r="F2000">
        <f>-674.114340213086 -95.4640399155609 -399.857602133308</f>
        <v>-1169.4359822619549</v>
      </c>
      <c r="G2000">
        <f>-676.046189689329 -94.3962658845404 -488.927038621741</f>
        <v>-1259.3694941956105</v>
      </c>
      <c r="H2000">
        <f>-675.40915158366 -90.48124739818 -613.446307520404</f>
        <v>-1379.3367065022439</v>
      </c>
      <c r="I2000">
        <f>-648.920183119301 -80.302195083474 -691.547236916444</f>
        <v>-1420.769615119219</v>
      </c>
      <c r="J2000">
        <f>-683.882110833573 -65.7455930029711 -557.861588986657</f>
        <v>-1307.4892928232011</v>
      </c>
      <c r="K2000" t="s">
        <v>22109</v>
      </c>
      <c r="L2000" t="s">
        <v>22110</v>
      </c>
      <c r="M2000" t="s">
        <v>22111</v>
      </c>
      <c r="N2000">
        <f>-667.496768138824 -118.662463381754 -559.441520938599</f>
        <v>-1345.6007524591769</v>
      </c>
      <c r="O2000">
        <f>-627.769187742932 -247.69752873198 -533.52323342973</f>
        <v>-1408.9899499046419</v>
      </c>
      <c r="P2000">
        <f>-625.612641554333 -306.818444905708 -245.267601828501</f>
        <v>-1177.6986882885419</v>
      </c>
      <c r="Q2000">
        <f>-468.615731084478 -128.693081448825 -286.184416695148</f>
        <v>-883.49322922845101</v>
      </c>
      <c r="R2000" t="s">
        <v>22112</v>
      </c>
      <c r="S2000" t="s">
        <v>22113</v>
      </c>
      <c r="T2000" t="s">
        <v>22114</v>
      </c>
      <c r="U2000" t="s">
        <v>22115</v>
      </c>
      <c r="V2000">
        <f>-603.765433894701 -166.158748623649 -97.2682620701398</f>
        <v>-867.19244458848982</v>
      </c>
      <c r="W2000" t="s">
        <v>22116</v>
      </c>
      <c r="X2000" t="s">
        <v>22117</v>
      </c>
      <c r="Y2000" t="s">
        <v>22118</v>
      </c>
    </row>
    <row r="2001" spans="1:25" x14ac:dyDescent="0.3">
      <c r="A2001">
        <v>100000</v>
      </c>
      <c r="B2001" t="s">
        <v>22119</v>
      </c>
      <c r="C2001">
        <f>-640.946977336935 -78.0149924938273 -99.2641405744641</f>
        <v>-818.22611040522645</v>
      </c>
      <c r="D2001">
        <f>-660.593489780601 -90.3791106821483 -212.742631145121</f>
        <v>-963.71523160787024</v>
      </c>
      <c r="E2001">
        <f>-669.415673514456 -94.4747049270139 -310.885580300774</f>
        <v>-1074.7759587422438</v>
      </c>
      <c r="F2001">
        <f>-674.645591071501 -95.8794311429688 -399.817779808984</f>
        <v>-1170.3428020234537</v>
      </c>
      <c r="G2001">
        <f>-676.747664697859 -94.9253541003807 -488.884479525915</f>
        <v>-1260.5574983241547</v>
      </c>
      <c r="H2001">
        <f>-676.360184799279 -91.1760925321126 -613.410164191803</f>
        <v>-1380.9464415231946</v>
      </c>
      <c r="I2001">
        <f>-649.833262791293 -81.0836219637806 -691.509328677968</f>
        <v>-1422.4262134330415</v>
      </c>
      <c r="J2001">
        <f>-684.70829357047 -66.3623760481117 -557.841366222775</f>
        <v>-1308.9120358413568</v>
      </c>
      <c r="K2001" t="s">
        <v>22120</v>
      </c>
      <c r="L2001" t="s">
        <v>22121</v>
      </c>
      <c r="M2001" t="s">
        <v>22122</v>
      </c>
      <c r="N2001">
        <f>-668.353139892997 -119.289594009556 -559.383947246382</f>
        <v>-1347.026681148935</v>
      </c>
      <c r="O2001">
        <f>-628.634784357188 -248.291954331882 -533.337112496097</f>
        <v>-1410.2638511851669</v>
      </c>
      <c r="P2001">
        <f>-626.306245678549 -306.478767963389 -244.89293396184</f>
        <v>-1177.677947603778</v>
      </c>
      <c r="Q2001">
        <f>-468.6164920918 -129.172834064144 -286.695247100286</f>
        <v>-884.48457325623008</v>
      </c>
      <c r="R2001" t="s">
        <v>22123</v>
      </c>
      <c r="S2001" t="s">
        <v>22124</v>
      </c>
      <c r="T2001" t="s">
        <v>22125</v>
      </c>
      <c r="U2001" t="s">
        <v>22126</v>
      </c>
      <c r="V2001">
        <f>-603.838393398904 -166.259188075224 -97.2440782935195</f>
        <v>-867.34165976764746</v>
      </c>
      <c r="W2001" t="s">
        <v>22127</v>
      </c>
      <c r="X2001" t="s">
        <v>22128</v>
      </c>
      <c r="Y2001" t="s">
        <v>22129</v>
      </c>
    </row>
    <row r="2002" spans="1:25" x14ac:dyDescent="0.3">
      <c r="A2002">
        <v>100050</v>
      </c>
      <c r="B2002" t="s">
        <v>22130</v>
      </c>
      <c r="C2002">
        <f>-640.966815301666 -78.1397634449887 -99.2746355575101</f>
        <v>-818.38121430416481</v>
      </c>
      <c r="D2002">
        <f>-660.685966998345 -90.5516044495105 -212.735310989432</f>
        <v>-963.97288243728747</v>
      </c>
      <c r="E2002">
        <f>-669.590752333585 -94.7096475100994 -310.868228993594</f>
        <v>-1075.1686288372784</v>
      </c>
      <c r="F2002">
        <f>-674.903759145053 -96.1791720436687 -399.794354932226</f>
        <v>-1170.8772861209477</v>
      </c>
      <c r="G2002">
        <f>-677.09748984176 -95.2979744422162 -488.859738210621</f>
        <v>-1261.2552024945971</v>
      </c>
      <c r="H2002">
        <f>-676.84727178211 -91.6587843966038 -613.388935823025</f>
        <v>-1381.894992001739</v>
      </c>
      <c r="I2002">
        <f>-650.339951312592 -81.6048344566577 -691.499792755603</f>
        <v>-1423.4445785248527</v>
      </c>
      <c r="J2002">
        <f>-685.130270877683 -66.7947552101441 -557.83280477853</f>
        <v>-1309.7578308663569</v>
      </c>
      <c r="K2002" t="s">
        <v>22131</v>
      </c>
      <c r="L2002" t="s">
        <v>22132</v>
      </c>
      <c r="M2002" t="s">
        <v>22133</v>
      </c>
      <c r="N2002">
        <f>-668.78446395814 -119.725660938882 -559.346745328985</f>
        <v>-1347.856870226007</v>
      </c>
      <c r="O2002">
        <f>-629.062935239081 -248.713379080858 -533.22499313046</f>
        <v>-1411.0013074503991</v>
      </c>
      <c r="P2002">
        <f>-626.500017903389 -306.484155504526 -244.698972203741</f>
        <v>-1177.6831456116561</v>
      </c>
      <c r="Q2002">
        <f>-468.522957510964 -129.533460057426 -286.919534514006</f>
        <v>-884.97595208239591</v>
      </c>
      <c r="R2002" t="s">
        <v>22134</v>
      </c>
      <c r="S2002" t="s">
        <v>22135</v>
      </c>
      <c r="T2002" t="s">
        <v>22136</v>
      </c>
      <c r="U2002" t="s">
        <v>22137</v>
      </c>
      <c r="V2002">
        <f>-603.794702483082 -166.459490996302 -97.2436474738754</f>
        <v>-867.49784095325936</v>
      </c>
      <c r="W2002" t="s">
        <v>22138</v>
      </c>
      <c r="X2002" t="s">
        <v>22139</v>
      </c>
      <c r="Y2002" t="s">
        <v>22140</v>
      </c>
    </row>
    <row r="2003" spans="1:25" x14ac:dyDescent="0.3">
      <c r="A2003">
        <v>100100</v>
      </c>
      <c r="B2003" t="s">
        <v>22141</v>
      </c>
      <c r="C2003">
        <f>-641.051214651196 -78.2222704066523 -99.3036386201278</f>
        <v>-818.57712367797615</v>
      </c>
      <c r="D2003">
        <f>-660.869303345389 -90.7174017328637 -212.737930669288</f>
        <v>-964.3246357475407</v>
      </c>
      <c r="E2003">
        <f>-669.894399976491 -94.9833372929322 -310.855213760985</f>
        <v>-1075.7329510304082</v>
      </c>
      <c r="F2003">
        <f>-675.331475959261 -96.5638335708334 -399.771973907927</f>
        <v>-1171.6672834380213</v>
      </c>
      <c r="G2003">
        <f>-677.665277074156 -95.8062461886466 -488.834943332497</f>
        <v>-1262.3064665952998</v>
      </c>
      <c r="H2003">
        <f>-677.627760054835 -92.3521606215064 -613.369539558884</f>
        <v>-1383.3494602352253</v>
      </c>
      <c r="I2003">
        <f>-651.190824441233 -82.340932462623 -691.50988305003</f>
        <v>-1425.0416399538858</v>
      </c>
      <c r="J2003">
        <f>-685.825710857687 -67.4086527130182 -557.836525556312</f>
        <v>-1311.0708891270174</v>
      </c>
      <c r="K2003" t="s">
        <v>22142</v>
      </c>
      <c r="L2003" t="s">
        <v>22143</v>
      </c>
      <c r="M2003" t="s">
        <v>22144</v>
      </c>
      <c r="N2003">
        <f>-669.462860848985 -120.335667035693 -559.299474002136</f>
        <v>-1349.098001886814</v>
      </c>
      <c r="O2003">
        <f>-629.690544616279 -249.281745686406 -533.023265805583</f>
        <v>-1411.9955561082679</v>
      </c>
      <c r="P2003">
        <f>-626.765219541378 -306.542841042406 -244.399314316549</f>
        <v>-1177.707374900333</v>
      </c>
      <c r="Q2003">
        <f>-468.583187088928 -129.974353874913 -287.444508213724</f>
        <v>-886.00204917756503</v>
      </c>
      <c r="R2003" t="s">
        <v>22145</v>
      </c>
      <c r="S2003" t="s">
        <v>22146</v>
      </c>
      <c r="T2003" t="s">
        <v>22147</v>
      </c>
      <c r="U2003" t="s">
        <v>22148</v>
      </c>
      <c r="V2003">
        <f>-603.841415277823 -166.472502369434 -97.2517775222831</f>
        <v>-867.56569516954005</v>
      </c>
      <c r="W2003" t="s">
        <v>22149</v>
      </c>
      <c r="X2003" t="s">
        <v>22150</v>
      </c>
      <c r="Y2003" t="s">
        <v>22151</v>
      </c>
    </row>
    <row r="2004" spans="1:25" x14ac:dyDescent="0.3">
      <c r="A2004">
        <v>100150</v>
      </c>
      <c r="B2004" t="s">
        <v>22152</v>
      </c>
      <c r="C2004">
        <f>-641.150147629852 -78.2490693540466 -99.3232916705167</f>
        <v>-818.72250865441526</v>
      </c>
      <c r="D2004">
        <f>-660.98762691331 -90.7651893450335 -212.751811991319</f>
        <v>-964.50462824966246</v>
      </c>
      <c r="E2004">
        <f>-670.047276921905 -95.063219396454 -310.864538400627</f>
        <v>-1075.9750347189861</v>
      </c>
      <c r="F2004">
        <f>-675.523401104276 -96.6779043509941 -399.77836639865</f>
        <v>-1171.9796718539201</v>
      </c>
      <c r="G2004">
        <f>-677.904342775139 -95.9588609386251 -488.840336027005</f>
        <v>-1262.703539740769</v>
      </c>
      <c r="H2004">
        <f>-677.941510484058 -92.5631502726119 -613.376762219266</f>
        <v>-1383.8814229759359</v>
      </c>
      <c r="I2004">
        <f>-651.553561687406 -82.5718150406324 -691.535923518656</f>
        <v>-1425.6613002466943</v>
      </c>
      <c r="J2004">
        <f>-686.115291626544 -67.5963226603624 -557.850415839826</f>
        <v>-1311.5620301267325</v>
      </c>
      <c r="K2004" t="s">
        <v>22153</v>
      </c>
      <c r="L2004" t="s">
        <v>22154</v>
      </c>
      <c r="M2004" t="s">
        <v>22155</v>
      </c>
      <c r="N2004">
        <f>-669.734974910818 -120.518525842861 -559.298452877907</f>
        <v>-1349.551953631586</v>
      </c>
      <c r="O2004">
        <f>-629.944992778414 -249.445816505836 -532.975792157108</f>
        <v>-1412.3666014413579</v>
      </c>
      <c r="P2004">
        <f>-626.915998112271 -306.375705802863 -244.287307568348</f>
        <v>-1177.5790114834822</v>
      </c>
      <c r="Q2004">
        <f>-468.662136788576 -130.009698873452 -287.895034033844</f>
        <v>-886.56686969587201</v>
      </c>
      <c r="R2004" t="s">
        <v>22156</v>
      </c>
      <c r="S2004" t="s">
        <v>22157</v>
      </c>
      <c r="T2004" t="s">
        <v>22158</v>
      </c>
      <c r="U2004" t="s">
        <v>22159</v>
      </c>
      <c r="V2004">
        <f>-603.946957233197 -166.398351468756 -97.2491667248655</f>
        <v>-867.59447542681858</v>
      </c>
      <c r="W2004" t="s">
        <v>22160</v>
      </c>
      <c r="X2004" t="s">
        <v>22161</v>
      </c>
      <c r="Y2004" t="s">
        <v>22162</v>
      </c>
    </row>
    <row r="2005" spans="1:25" x14ac:dyDescent="0.3">
      <c r="A2005">
        <v>100200</v>
      </c>
      <c r="B2005" t="s">
        <v>22163</v>
      </c>
      <c r="C2005">
        <f>-641.498259287523 -78.4436098086641 -99.3478591276744</f>
        <v>-819.2897282238614</v>
      </c>
      <c r="D2005">
        <f>-661.397889654132 -91.0045876626172 -212.760711268459</f>
        <v>-965.1631885852081</v>
      </c>
      <c r="E2005">
        <f>-670.532484122061 -95.3531385669559 -310.86420963602</f>
        <v>-1076.7498323250368</v>
      </c>
      <c r="F2005">
        <f>-676.086019883876 -97.01673419221 -399.772183765555</f>
        <v>-1172.874937841641</v>
      </c>
      <c r="G2005">
        <f>-678.554519809323 -96.3493209498058 -488.832277108179</f>
        <v>-1263.7361178673077</v>
      </c>
      <c r="H2005">
        <f>-678.72531272103 -93.0276150568949 -613.370413622341</f>
        <v>-1385.1233414002659</v>
      </c>
      <c r="I2005">
        <f>-652.443641216165 -83.0990916540311 -691.573566961324</f>
        <v>-1427.1162998315201</v>
      </c>
      <c r="J2005">
        <f>-686.849616612101 -68.0309675816773 -557.850311685339</f>
        <v>-1312.7308958791173</v>
      </c>
      <c r="K2005" t="s">
        <v>22164</v>
      </c>
      <c r="L2005" t="s">
        <v>22165</v>
      </c>
      <c r="M2005" t="s">
        <v>22166</v>
      </c>
      <c r="N2005">
        <f>-670.450748474935 -120.947727844227 -559.28422372838</f>
        <v>-1350.6827000475419</v>
      </c>
      <c r="O2005">
        <f>-630.6697152415 -249.853818163583 -532.855714612076</f>
        <v>-1413.3792480171589</v>
      </c>
      <c r="P2005">
        <f>-627.325757691936 -306.038757378223 -244.024756954748</f>
        <v>-1177.3892720249071</v>
      </c>
      <c r="Q2005">
        <f>-468.706215603493 -130.246024198979 -288.607738157642</f>
        <v>-887.55997796011388</v>
      </c>
      <c r="R2005" t="s">
        <v>22167</v>
      </c>
      <c r="S2005" t="s">
        <v>22168</v>
      </c>
      <c r="T2005" t="s">
        <v>22169</v>
      </c>
      <c r="U2005" t="s">
        <v>22170</v>
      </c>
      <c r="V2005">
        <f>-604.269413424215 -166.606642233451 -97.2428944143735</f>
        <v>-868.11895007203952</v>
      </c>
      <c r="W2005" t="s">
        <v>22171</v>
      </c>
      <c r="X2005" t="s">
        <v>22172</v>
      </c>
      <c r="Y2005" t="s">
        <v>22173</v>
      </c>
    </row>
    <row r="2006" spans="1:25" x14ac:dyDescent="0.3">
      <c r="A2006">
        <v>100250</v>
      </c>
      <c r="B2006" t="s">
        <v>22174</v>
      </c>
      <c r="C2006">
        <f>-641.679029485212 -78.5354107964862 -99.3515807105075</f>
        <v>-819.56602099220572</v>
      </c>
      <c r="D2006">
        <f>-661.602805898343 -91.1148311984902 -212.758068387159</f>
        <v>-965.47570548399221</v>
      </c>
      <c r="E2006">
        <f>-670.759659436063 -95.4924393095663 -310.8582468997</f>
        <v>-1077.1103456453293</v>
      </c>
      <c r="F2006">
        <f>-676.334740157181 -97.1868485100127 -399.764227242924</f>
        <v>-1173.2858159101179</v>
      </c>
      <c r="G2006">
        <f>-678.826453268466 -96.5545341360764 -488.823996611182</f>
        <v>-1264.2049840157244</v>
      </c>
      <c r="H2006">
        <f>-679.031674896275 -93.2857726615941 -613.363425226461</f>
        <v>-1385.6808727843302</v>
      </c>
      <c r="I2006">
        <f>-652.787873073238 -83.4051968247881 -691.585466501769</f>
        <v>-1427.778536399795</v>
      </c>
      <c r="J2006">
        <f>-687.14460133724 -68.2667766597656 -557.851963835648</f>
        <v>-1313.2633418326536</v>
      </c>
      <c r="K2006" t="s">
        <v>22175</v>
      </c>
      <c r="L2006" t="s">
        <v>22176</v>
      </c>
      <c r="M2006" t="s">
        <v>22177</v>
      </c>
      <c r="N2006">
        <f>-670.738168560095 -121.181635652952 -559.267737265147</f>
        <v>-1351.1875414781939</v>
      </c>
      <c r="O2006">
        <f>-630.964309185106 -250.074591253556 -532.771243218383</f>
        <v>-1413.810143657045</v>
      </c>
      <c r="P2006">
        <f>-627.565174561447 -305.898783639714 -243.870991552001</f>
        <v>-1177.3349497531619</v>
      </c>
      <c r="Q2006">
        <f>-468.672272733828 -130.461014129334 -288.876506354894</f>
        <v>-888.00979321805596</v>
      </c>
      <c r="R2006" t="s">
        <v>22178</v>
      </c>
      <c r="S2006" t="s">
        <v>22179</v>
      </c>
      <c r="T2006" t="s">
        <v>22180</v>
      </c>
      <c r="U2006" t="s">
        <v>22181</v>
      </c>
      <c r="V2006">
        <f>-604.460304389576 -166.672007965377 -97.2397600976329</f>
        <v>-868.37207245258594</v>
      </c>
      <c r="W2006" t="s">
        <v>22182</v>
      </c>
      <c r="X2006" t="s">
        <v>22183</v>
      </c>
      <c r="Y2006" t="s">
        <v>22184</v>
      </c>
    </row>
    <row r="2007" spans="1:25" x14ac:dyDescent="0.3">
      <c r="A2007">
        <v>100300</v>
      </c>
      <c r="B2007" t="s">
        <v>22185</v>
      </c>
      <c r="C2007">
        <f>-641.92617056165 -78.9684907776272 -99.3651781915225</f>
        <v>-820.2598395307997</v>
      </c>
      <c r="D2007">
        <f>-661.919047536219 -91.5954009526077 -212.754102250356</f>
        <v>-966.26855073918273</v>
      </c>
      <c r="E2007">
        <f>-671.115349210811 -96.0539215871776 -310.847139477979</f>
        <v>-1078.0164102759677</v>
      </c>
      <c r="F2007">
        <f>-676.719207199524 -97.8365522873639 -399.749471865966</f>
        <v>-1174.305231352854</v>
      </c>
      <c r="G2007">
        <f>-679.233763107891 -97.3072587128643 -488.809349157618</f>
        <v>-1265.3503709783733</v>
      </c>
      <c r="H2007">
        <f>-679.464954062029 -94.1976180896646 -613.352905073678</f>
        <v>-1387.0154772253718</v>
      </c>
      <c r="I2007">
        <f>-653.284825314901 -84.4258510340849 -691.609774067998</f>
        <v>-1429.3204504169839</v>
      </c>
      <c r="J2007">
        <f>-687.568570430741 -69.108410473547 -557.871584686898</f>
        <v>-1314.5485655911862</v>
      </c>
      <c r="K2007" t="s">
        <v>22186</v>
      </c>
      <c r="L2007" t="s">
        <v>22187</v>
      </c>
      <c r="M2007" t="s">
        <v>22188</v>
      </c>
      <c r="N2007">
        <f>-671.15791988297 -122.023694840838 -559.223227821833</f>
        <v>-1352.404842545641</v>
      </c>
      <c r="O2007">
        <f>-631.432628330074 -250.897911799192 -532.539045698009</f>
        <v>-1414.8695858272749</v>
      </c>
      <c r="P2007">
        <f>-628.15359132536 -305.898701419551 -243.479490819942</f>
        <v>-1177.531783564853</v>
      </c>
      <c r="Q2007">
        <f>-468.334847612958 -131.535529026656 -289.374126782207</f>
        <v>-889.24450342182104</v>
      </c>
      <c r="R2007" t="s">
        <v>22189</v>
      </c>
      <c r="S2007" t="s">
        <v>22190</v>
      </c>
      <c r="T2007" t="s">
        <v>22191</v>
      </c>
      <c r="U2007" t="s">
        <v>22192</v>
      </c>
      <c r="V2007">
        <f>-604.727857488469 -167.119460651767 -97.2207096329287</f>
        <v>-869.06802777316466</v>
      </c>
      <c r="W2007" t="s">
        <v>22193</v>
      </c>
      <c r="X2007" t="s">
        <v>22194</v>
      </c>
      <c r="Y2007" t="s">
        <v>22195</v>
      </c>
    </row>
    <row r="2008" spans="1:25" x14ac:dyDescent="0.3">
      <c r="A2008">
        <v>100350</v>
      </c>
      <c r="B2008" t="s">
        <v>22196</v>
      </c>
      <c r="C2008">
        <f>-642.00266550891 -79.3855092103524 -99.3565401780508</f>
        <v>-820.74471489731332</v>
      </c>
      <c r="D2008">
        <f>-662.038761703101 -92.0273803182027 -212.736196860683</f>
        <v>-966.80233888198677</v>
      </c>
      <c r="E2008">
        <f>-671.264255250477 -96.5113931248054 -310.82527028969</f>
        <v>-1078.6009186649726</v>
      </c>
      <c r="F2008">
        <f>-676.892224632704 -98.3215559313877 -399.725721502845</f>
        <v>-1174.9395020669367</v>
      </c>
      <c r="G2008">
        <f>-679.428752800058 -97.8236535696948 -488.785042149773</f>
        <v>-1266.0374485195257</v>
      </c>
      <c r="H2008">
        <f>-679.689248969789 -94.7616105587953 -613.329588816304</f>
        <v>-1387.7804483448881</v>
      </c>
      <c r="I2008">
        <f>-653.545399293292 -85.0311241859146 -691.603731362803</f>
        <v>-1430.1802548420096</v>
      </c>
      <c r="J2008">
        <f>-687.790649799475 -69.6545656246253 -557.85611216379</f>
        <v>-1315.3013275878902</v>
      </c>
      <c r="K2008" t="s">
        <v>22197</v>
      </c>
      <c r="L2008" t="s">
        <v>22198</v>
      </c>
      <c r="M2008" t="s">
        <v>22199</v>
      </c>
      <c r="N2008">
        <f>-671.358664369211 -122.563606805474 -559.191303477809</f>
        <v>-1353.1135746524942</v>
      </c>
      <c r="O2008">
        <f>-631.606690615894 -251.417696953617 -532.444399927636</f>
        <v>-1415.4687874971469</v>
      </c>
      <c r="P2008">
        <f>-628.537952466267 -306.156056511984 -243.332831458725</f>
        <v>-1178.026840436976</v>
      </c>
      <c r="Q2008">
        <f>-468.336328403061 -132.233313980432 -289.56267145945</f>
        <v>-890.13231384294295</v>
      </c>
      <c r="R2008" t="s">
        <v>22200</v>
      </c>
      <c r="S2008" t="s">
        <v>22201</v>
      </c>
      <c r="T2008" t="s">
        <v>22202</v>
      </c>
      <c r="U2008" t="s">
        <v>22203</v>
      </c>
      <c r="V2008">
        <f>-604.820398766631 -167.612343053174 -97.2004953270356</f>
        <v>-869.63323714684054</v>
      </c>
      <c r="W2008" t="s">
        <v>22204</v>
      </c>
      <c r="X2008" t="s">
        <v>22205</v>
      </c>
      <c r="Y2008" t="s">
        <v>22206</v>
      </c>
    </row>
    <row r="2009" spans="1:25" x14ac:dyDescent="0.3">
      <c r="A2009">
        <v>100400</v>
      </c>
      <c r="B2009" t="s">
        <v>22207</v>
      </c>
      <c r="C2009">
        <f>-642.119937287498 -80.2153640955398 -99.3456237495242</f>
        <v>-821.68092513256204</v>
      </c>
      <c r="D2009">
        <f>-662.19324377693 -92.9344497945809 -212.710243661173</f>
        <v>-967.83793723268388</v>
      </c>
      <c r="E2009">
        <f>-671.455533939513 -97.471238226912 -310.793199702096</f>
        <v>-1079.719971868521</v>
      </c>
      <c r="F2009">
        <f>-677.119503308756 -99.3224812053534 -399.69053486067</f>
        <v>-1176.1325193747793</v>
      </c>
      <c r="G2009">
        <f>-679.695434598844 -98.8578331219217 -488.748888666055</f>
        <v>-1267.3021563868206</v>
      </c>
      <c r="H2009">
        <f>-680.014837978931 -95.8328811010065 -613.294381292758</f>
        <v>-1389.1421003726955</v>
      </c>
      <c r="I2009">
        <f>-653.926157338021 -86.1483147636861 -691.592477123074</f>
        <v>-1431.6669492247811</v>
      </c>
      <c r="J2009">
        <f>-688.138574269551 -70.724354149371 -557.824681066057</f>
        <v>-1316.687609484979</v>
      </c>
      <c r="K2009" t="s">
        <v>22208</v>
      </c>
      <c r="L2009" t="s">
        <v>22209</v>
      </c>
      <c r="M2009" t="s">
        <v>22210</v>
      </c>
      <c r="N2009">
        <f>-671.609999230859 -123.603657262943 -559.151388772967</f>
        <v>-1354.3650452667689</v>
      </c>
      <c r="O2009">
        <f>-631.647155469702 -252.380648352036 -532.368039948458</f>
        <v>-1416.3958437701961</v>
      </c>
      <c r="P2009">
        <f>-629.057180875517 -306.777679503199 -243.187228656455</f>
        <v>-1179.0220890351711</v>
      </c>
      <c r="Q2009">
        <f>-468.365693157043 -133.445559848742 -289.932317261681</f>
        <v>-891.74357026746588</v>
      </c>
      <c r="R2009" t="s">
        <v>22211</v>
      </c>
      <c r="S2009" t="s">
        <v>22212</v>
      </c>
      <c r="T2009" t="s">
        <v>22213</v>
      </c>
      <c r="U2009" t="s">
        <v>22214</v>
      </c>
      <c r="V2009">
        <f>-604.902591339189 -168.380971572498 -97.1546064361318</f>
        <v>-870.43816934781876</v>
      </c>
      <c r="W2009" t="s">
        <v>22215</v>
      </c>
      <c r="X2009" t="s">
        <v>22216</v>
      </c>
      <c r="Y2009" t="s">
        <v>22217</v>
      </c>
    </row>
    <row r="2010" spans="1:25" x14ac:dyDescent="0.3">
      <c r="A2010">
        <v>100450</v>
      </c>
      <c r="B2010" t="s">
        <v>22218</v>
      </c>
      <c r="C2010">
        <f>-642.202488694477 -80.5927630568608 -99.3419565570571</f>
        <v>-822.13720830839486</v>
      </c>
      <c r="D2010">
        <f>-662.271981257665 -93.3439044949165 -212.703605743387</f>
        <v>-968.31949149596846</v>
      </c>
      <c r="E2010">
        <f>-671.533450235667 -97.9130382666858 -310.785189951616</f>
        <v>-1080.2316784539689</v>
      </c>
      <c r="F2010">
        <f>-677.197756876778 -99.7954597629342 -399.681752188642</f>
        <v>-1176.6749688283544</v>
      </c>
      <c r="G2010">
        <f>-679.77542855096 -99.363451970429 -488.740225808422</f>
        <v>-1267.8791063298108</v>
      </c>
      <c r="H2010">
        <f>-680.099019905617 -96.3854066122285 -613.286748443766</f>
        <v>-1389.7711749616115</v>
      </c>
      <c r="I2010">
        <f>-654.014069661317 -86.7144043780178 -691.587926048691</f>
        <v>-1432.3164000880256</v>
      </c>
      <c r="J2010">
        <f>-688.245302456279 -71.2636888380077 -557.826479085804</f>
        <v>-1317.3354703800906</v>
      </c>
      <c r="K2010" t="s">
        <v>22219</v>
      </c>
      <c r="L2010" t="s">
        <v>22220</v>
      </c>
      <c r="M2010" t="s">
        <v>22221</v>
      </c>
      <c r="N2010">
        <f>-671.667992399055 -124.128141039656 -559.133504012343</f>
        <v>-1354.9296374510541</v>
      </c>
      <c r="O2010">
        <f>-631.57355923023 -252.848433852031 -532.294924617446</f>
        <v>-1416.716917699707</v>
      </c>
      <c r="P2010">
        <f>-629.066255383445 -307.096654571683 -243.085656098631</f>
        <v>-1179.2485660537591</v>
      </c>
      <c r="Q2010">
        <f>-468.324122491733 -133.881778443333 -290.090264610576</f>
        <v>-892.296165545642</v>
      </c>
      <c r="R2010" t="s">
        <v>22222</v>
      </c>
      <c r="S2010" t="s">
        <v>22223</v>
      </c>
      <c r="T2010" t="s">
        <v>22224</v>
      </c>
      <c r="U2010" t="s">
        <v>22225</v>
      </c>
      <c r="V2010">
        <f>-604.925149048226 -168.722003895926 -97.1269213259894</f>
        <v>-870.77407427014145</v>
      </c>
      <c r="W2010" t="s">
        <v>22226</v>
      </c>
      <c r="X2010" t="s">
        <v>22227</v>
      </c>
      <c r="Y2010" t="s">
        <v>22228</v>
      </c>
    </row>
    <row r="2011" spans="1:25" x14ac:dyDescent="0.3">
      <c r="A2011">
        <v>100500</v>
      </c>
      <c r="B2011" t="s">
        <v>22229</v>
      </c>
      <c r="C2011">
        <f>-642.232349804528 -81.5595454618084 -99.3155402167637</f>
        <v>-823.10743548310006</v>
      </c>
      <c r="D2011">
        <f>-662.225540737529 -94.3939755263623 -212.681182293912</f>
        <v>-969.30069855780323</v>
      </c>
      <c r="E2011">
        <f>-671.44766399464 -99.0681119911683 -310.761577991699</f>
        <v>-1081.2773539775073</v>
      </c>
      <c r="F2011">
        <f>-677.08702075174 -101.059920981072 -399.657441279818</f>
        <v>-1177.8043830126301</v>
      </c>
      <c r="G2011">
        <f>-679.650572666784 -100.751061842001 -488.716823021013</f>
        <v>-1269.118457529798</v>
      </c>
      <c r="H2011">
        <f>-679.965678690732 -97.9598355311117 -613.267634170709</f>
        <v>-1391.1931483925528</v>
      </c>
      <c r="I2011">
        <f>-653.917039507723 -88.3290087380523 -691.585866829046</f>
        <v>-1433.8319150748212</v>
      </c>
      <c r="J2011">
        <f>-688.139726659977 -72.7624173104045 -557.845874432109</f>
        <v>-1318.7480184024905</v>
      </c>
      <c r="K2011" t="s">
        <v>22230</v>
      </c>
      <c r="L2011" t="s">
        <v>22231</v>
      </c>
      <c r="M2011" t="s">
        <v>22232</v>
      </c>
      <c r="N2011">
        <f>-671.514299924818 -125.613774868129 -559.072183699231</f>
        <v>-1356.2002584921779</v>
      </c>
      <c r="O2011">
        <f>-631.24882917361 -254.24431288074 -532.036141003793</f>
        <v>-1417.5292830581429</v>
      </c>
      <c r="P2011">
        <f>-628.524325569665 -308.241234783651 -242.781583242009</f>
        <v>-1179.547143595325</v>
      </c>
      <c r="Q2011">
        <f>-468.180763807625 -134.876146958974 -290.587336766041</f>
        <v>-893.64424753264007</v>
      </c>
      <c r="R2011" t="s">
        <v>22233</v>
      </c>
      <c r="S2011" t="s">
        <v>22234</v>
      </c>
      <c r="T2011" t="s">
        <v>22235</v>
      </c>
      <c r="U2011" t="s">
        <v>22236</v>
      </c>
      <c r="V2011">
        <f>-604.902808916458 -169.588882833432 -97.0567506951843</f>
        <v>-871.54844244507422</v>
      </c>
      <c r="W2011" t="s">
        <v>22237</v>
      </c>
      <c r="X2011" t="s">
        <v>22238</v>
      </c>
      <c r="Y2011" t="s">
        <v>22239</v>
      </c>
    </row>
    <row r="2012" spans="1:25" x14ac:dyDescent="0.3">
      <c r="A2012">
        <v>100550</v>
      </c>
      <c r="B2012" t="s">
        <v>22240</v>
      </c>
      <c r="C2012">
        <f>-642.194590391082 -82.1638356514198 -99.2798095055431</f>
        <v>-823.63823554804492</v>
      </c>
      <c r="D2012">
        <f>-662.162277264618 -95.0254613899525 -212.64683957235</f>
        <v>-969.83457822692048</v>
      </c>
      <c r="E2012">
        <f>-671.366615760234 -99.7435215655763 -310.726906620235</f>
        <v>-1081.8370439460455</v>
      </c>
      <c r="F2012">
        <f>-676.991694313836 -101.783405943781 -399.622583922488</f>
        <v>-1178.397684180105</v>
      </c>
      <c r="G2012">
        <f>-679.543044290526 -101.530963890982 -488.682358756819</f>
        <v>-1269.7563669383271</v>
      </c>
      <c r="H2012">
        <f>-679.843436950383 -98.8273248509173 -613.235211264113</f>
        <v>-1391.9059730654133</v>
      </c>
      <c r="I2012">
        <f>-653.83044778635 -89.2348433255059 -691.570078028258</f>
        <v>-1434.6353691401139</v>
      </c>
      <c r="J2012">
        <f>-688.032503591157 -73.5935751474394 -557.832018660256</f>
        <v>-1319.4580973988525</v>
      </c>
      <c r="K2012" t="s">
        <v>22241</v>
      </c>
      <c r="L2012" t="s">
        <v>22242</v>
      </c>
      <c r="M2012" t="s">
        <v>22243</v>
      </c>
      <c r="N2012">
        <f>-671.389950702179 -126.440430489171 -559.019449571186</f>
        <v>-1356.8498307625359</v>
      </c>
      <c r="O2012">
        <f>-631.048741246525 -255.019968923782 -531.870615379337</f>
        <v>-1417.9393255496439</v>
      </c>
      <c r="P2012">
        <f>-628.305895543908 -308.617661208522 -242.542017431236</f>
        <v>-1179.4655741836659</v>
      </c>
      <c r="Q2012">
        <f>-468.114728045055 -135.281346933621 -290.958636167519</f>
        <v>-894.35471114619497</v>
      </c>
      <c r="R2012" t="s">
        <v>22244</v>
      </c>
      <c r="S2012" t="s">
        <v>22245</v>
      </c>
      <c r="T2012" t="s">
        <v>22246</v>
      </c>
      <c r="U2012" t="s">
        <v>22247</v>
      </c>
      <c r="V2012">
        <f>-604.886003674237 -170.169728933315 -97.0148732384511</f>
        <v>-872.0706058460031</v>
      </c>
      <c r="W2012" t="s">
        <v>22248</v>
      </c>
      <c r="X2012" t="s">
        <v>22249</v>
      </c>
      <c r="Y2012" t="s">
        <v>22250</v>
      </c>
    </row>
    <row r="2013" spans="1:25" x14ac:dyDescent="0.3">
      <c r="A2013">
        <v>100600</v>
      </c>
      <c r="B2013" t="s">
        <v>22251</v>
      </c>
      <c r="C2013">
        <f>-642.106814883478 -83.1597453878054 -99.258442063543</f>
        <v>-824.52500233482647</v>
      </c>
      <c r="D2013">
        <f>-662.024656225927 -96.0724473647341 -212.628410596266</f>
        <v>-970.72551418692706</v>
      </c>
      <c r="E2013">
        <f>-671.216499433938 -100.906224500213 -310.704012274393</f>
        <v>-1082.8267362085439</v>
      </c>
      <c r="F2013">
        <f>-676.843989749706 -103.078735804977 -399.596367587701</f>
        <v>-1179.519093142384</v>
      </c>
      <c r="G2013">
        <f>-679.412145721037 -102.986578625925 -488.656040793104</f>
        <v>-1271.0547651400659</v>
      </c>
      <c r="H2013">
        <f>-679.752022963305 -100.534958721106 -613.214068108403</f>
        <v>-1393.501049792814</v>
      </c>
      <c r="I2013">
        <f>-653.798032171023 -91.0865994537625 -691.585874024061</f>
        <v>-1436.4705056488465</v>
      </c>
      <c r="J2013">
        <f>-687.93693603378 -75.1934424396247 -557.859469395213</f>
        <v>-1320.9898478686177</v>
      </c>
      <c r="K2013" t="s">
        <v>22252</v>
      </c>
      <c r="L2013" t="s">
        <v>22253</v>
      </c>
      <c r="M2013" t="s">
        <v>22254</v>
      </c>
      <c r="N2013">
        <f>-671.268088129252 -128.034141957331 -558.944970679443</f>
        <v>-1358.247200766026</v>
      </c>
      <c r="O2013">
        <f>-630.758809399118 -256.523902417405 -531.573156351701</f>
        <v>-1418.8558681682239</v>
      </c>
      <c r="P2013">
        <f>-627.83641001516 -309.584277631331 -242.147266543224</f>
        <v>-1179.567954189715</v>
      </c>
      <c r="Q2013">
        <f>-468.160328969815 -135.982948953405 -291.310368378276</f>
        <v>-895.45364630149606</v>
      </c>
      <c r="R2013" t="s">
        <v>22255</v>
      </c>
      <c r="S2013" t="s">
        <v>22256</v>
      </c>
      <c r="T2013" t="s">
        <v>22257</v>
      </c>
      <c r="U2013" t="s">
        <v>22258</v>
      </c>
      <c r="V2013">
        <f>-604.815654419442 -171.068604615917 -96.9479204962934</f>
        <v>-872.8321795316524</v>
      </c>
      <c r="W2013" t="s">
        <v>22259</v>
      </c>
      <c r="X2013" t="s">
        <v>22260</v>
      </c>
      <c r="Y2013" t="s">
        <v>22261</v>
      </c>
    </row>
    <row r="2014" spans="1:25" x14ac:dyDescent="0.3">
      <c r="A2014">
        <v>100650</v>
      </c>
      <c r="B2014" t="s">
        <v>22262</v>
      </c>
      <c r="C2014">
        <f>-642.056865082089 -83.8175871214294 -99.24278407208</f>
        <v>-825.11723627559832</v>
      </c>
      <c r="D2014">
        <f>-661.952544845453 -96.7496767132557 -212.614519864762</f>
        <v>-971.3167414234706</v>
      </c>
      <c r="E2014">
        <f>-671.145183299759 -101.631860574752 -310.687568047245</f>
        <v>-1083.4646119217559</v>
      </c>
      <c r="F2014">
        <f>-676.781948222047 -103.860513289418 -399.577984384763</f>
        <v>-1180.2204458962281</v>
      </c>
      <c r="G2014">
        <f>-679.36822037109 -103.836765663008 -488.637187255218</f>
        <v>-1271.8421732893162</v>
      </c>
      <c r="H2014">
        <f>-679.743019404554 -101.493423579652 -613.197215711576</f>
        <v>-1394.433658695782</v>
      </c>
      <c r="I2014">
        <f>-653.826173537627 -92.1152982075714 -691.589712271884</f>
        <v>-1437.5311840170825</v>
      </c>
      <c r="J2014">
        <f>-687.907488194384 -76.1022831425634 -557.862381256611</f>
        <v>-1321.8721525935584</v>
      </c>
      <c r="K2014" t="s">
        <v>22263</v>
      </c>
      <c r="L2014" t="s">
        <v>22264</v>
      </c>
      <c r="M2014" t="s">
        <v>22265</v>
      </c>
      <c r="N2014">
        <f>-671.248718239872 -128.946951213857 -558.90662500404</f>
        <v>-1359.1022944577689</v>
      </c>
      <c r="O2014">
        <f>-630.730757889585 -257.412200645391 -531.442121634185</f>
        <v>-1419.5850801691611</v>
      </c>
      <c r="P2014">
        <f>-627.702232720373 -310.242768170818 -241.975455961487</f>
        <v>-1179.9204568526779</v>
      </c>
      <c r="Q2014">
        <f>-468.220550061378 -136.50687062295 -291.29364130235</f>
        <v>-896.02106198667798</v>
      </c>
      <c r="R2014" t="s">
        <v>22266</v>
      </c>
      <c r="S2014" t="s">
        <v>22267</v>
      </c>
      <c r="T2014" t="s">
        <v>22268</v>
      </c>
      <c r="U2014" t="s">
        <v>22269</v>
      </c>
      <c r="V2014">
        <f>-604.745228591657 -171.847059884291 -96.9150052628253</f>
        <v>-873.50729373877323</v>
      </c>
      <c r="W2014" t="s">
        <v>22270</v>
      </c>
      <c r="X2014" t="s">
        <v>22271</v>
      </c>
      <c r="Y2014" t="s">
        <v>22272</v>
      </c>
    </row>
    <row r="2015" spans="1:25" x14ac:dyDescent="0.3">
      <c r="A2015">
        <v>100700</v>
      </c>
      <c r="B2015" t="s">
        <v>22273</v>
      </c>
      <c r="C2015">
        <f>-641.945773319355 -84.9968532947925 -99.2227035594751</f>
        <v>-826.16533017362258</v>
      </c>
      <c r="D2015">
        <f>-661.796628040438 -98.0182019509092 -212.592055012711</f>
        <v>-972.40688500405827</v>
      </c>
      <c r="E2015">
        <f>-670.988744661201 -102.967178355228 -310.661780339739</f>
        <v>-1084.617703356168</v>
      </c>
      <c r="F2015">
        <f>-676.640505065106 -105.251671670928 -399.549820780998</f>
        <v>-1181.441997517032</v>
      </c>
      <c r="G2015">
        <f>-679.257299385644 -105.278506449189 -488.608188476873</f>
        <v>-1273.1439943117061</v>
      </c>
      <c r="H2015">
        <f>-679.690931177369 -102.999856580211 -613.169102593933</f>
        <v>-1395.8598903515131</v>
      </c>
      <c r="I2015">
        <f>-653.87135263646 -93.6999144956483 -691.603087149973</f>
        <v>-1439.1743542820814</v>
      </c>
      <c r="J2015">
        <f>-687.837377860366 -77.5824816642071 -557.843724455246</f>
        <v>-1323.263583979819</v>
      </c>
      <c r="K2015" t="s">
        <v>22274</v>
      </c>
      <c r="L2015" t="s">
        <v>22275</v>
      </c>
      <c r="M2015" t="s">
        <v>22276</v>
      </c>
      <c r="N2015">
        <f>-671.162817978909 -130.42267780803 -558.868347039107</f>
        <v>-1360.453842826046</v>
      </c>
      <c r="O2015">
        <f>-630.596814241259 -258.863213977234 -531.356642360232</f>
        <v>-1420.8166705787251</v>
      </c>
      <c r="P2015">
        <f>-627.96342411216 -311.698611967046 -241.886925890368</f>
        <v>-1181.5489619695741</v>
      </c>
      <c r="Q2015">
        <f>-468.652022185924 -137.721216093768 -290.903513607078</f>
        <v>-897.27675188677006</v>
      </c>
      <c r="R2015" t="s">
        <v>22277</v>
      </c>
      <c r="S2015" t="s">
        <v>22278</v>
      </c>
      <c r="T2015" t="s">
        <v>22279</v>
      </c>
      <c r="U2015" t="s">
        <v>22280</v>
      </c>
      <c r="V2015">
        <f>-604.629027662326 -172.88776408378 -96.8251160948212</f>
        <v>-874.34190784092721</v>
      </c>
      <c r="W2015" t="s">
        <v>22281</v>
      </c>
      <c r="X2015" t="s">
        <v>22282</v>
      </c>
      <c r="Y2015" t="s">
        <v>22283</v>
      </c>
    </row>
    <row r="2016" spans="1:25" x14ac:dyDescent="0.3">
      <c r="A2016">
        <v>100750</v>
      </c>
      <c r="B2016" t="s">
        <v>22284</v>
      </c>
      <c r="C2016">
        <f>-641.897181099615 -85.6488668761879 -99.2142880066007</f>
        <v>-826.76033598240349</v>
      </c>
      <c r="D2016">
        <f>-661.687708575432 -98.6993663724164 -212.590839412068</f>
        <v>-972.97791435991644</v>
      </c>
      <c r="E2016">
        <f>-670.855099472747 -103.672037042998 -310.661705555959</f>
        <v>-1085.1888420717041</v>
      </c>
      <c r="F2016">
        <f>-676.495236065571 -105.977268511305 -399.54989026024</f>
        <v>-1182.0223948371158</v>
      </c>
      <c r="G2016">
        <f>-679.111440158704 -106.023899984223 -488.60828402375</f>
        <v>-1273.7436241666769</v>
      </c>
      <c r="H2016">
        <f>-679.555567615242 -103.771876258239 -613.169769748407</f>
        <v>-1396.497213621888</v>
      </c>
      <c r="I2016">
        <f>-653.772393175071 -94.4803120640755 -691.616695108866</f>
        <v>-1439.8694003480125</v>
      </c>
      <c r="J2016">
        <f>-687.704979794696 -78.3450943897462 -557.848916154116</f>
        <v>-1323.8989903385582</v>
      </c>
      <c r="K2016" t="s">
        <v>22285</v>
      </c>
      <c r="L2016" t="s">
        <v>22286</v>
      </c>
      <c r="M2016" t="s">
        <v>22287</v>
      </c>
      <c r="N2016">
        <f>-671.015271010808 -131.180565775553 -558.863798021449</f>
        <v>-1361.05963480781</v>
      </c>
      <c r="O2016">
        <f>-630.420063416152 -259.609876971764 -531.379534592126</f>
        <v>-1421.409474980042</v>
      </c>
      <c r="P2016">
        <f>-628.051911760662 -312.770662034705 -241.967137122699</f>
        <v>-1182.7897109180662</v>
      </c>
      <c r="Q2016">
        <f>-468.882029424376 -138.561859815524 -290.619962536547</f>
        <v>-898.06385177644711</v>
      </c>
      <c r="R2016" t="s">
        <v>22288</v>
      </c>
      <c r="S2016" t="s">
        <v>22289</v>
      </c>
      <c r="T2016" t="s">
        <v>22290</v>
      </c>
      <c r="U2016" t="s">
        <v>22291</v>
      </c>
      <c r="V2016">
        <f>-604.586698772592 -173.536724603352 -96.7750757141821</f>
        <v>-874.89849909012605</v>
      </c>
      <c r="W2016" t="s">
        <v>22292</v>
      </c>
      <c r="X2016" t="s">
        <v>22293</v>
      </c>
      <c r="Y2016" t="s">
        <v>22294</v>
      </c>
    </row>
    <row r="2017" spans="1:25" x14ac:dyDescent="0.3">
      <c r="A2017">
        <v>100800</v>
      </c>
      <c r="B2017" t="s">
        <v>22295</v>
      </c>
      <c r="C2017">
        <f>-641.920694749177 -86.7737193533144 -99.1942534780143</f>
        <v>-827.88866758050563</v>
      </c>
      <c r="D2017">
        <f>-661.589519927964 -99.8660407499608 -212.587170973187</f>
        <v>-974.04273165111181</v>
      </c>
      <c r="E2017">
        <f>-670.744935349929 -104.874212868095 -310.657344538872</f>
        <v>-1086.276492756896</v>
      </c>
      <c r="F2017">
        <f>-676.411379329018 -107.211132264265 -399.54298115748</f>
        <v>-1183.165492750763</v>
      </c>
      <c r="G2017">
        <f>-679.091268462628 -107.287978094492 -488.599511639056</f>
        <v>-1274.9787581961759</v>
      </c>
      <c r="H2017">
        <f>-679.663474687157 -105.075946620049 -613.161043827022</f>
        <v>-1397.9004651342279</v>
      </c>
      <c r="I2017">
        <f>-653.967294841396 -95.7560365986423 -691.63323430678</f>
        <v>-1441.3565657468182</v>
      </c>
      <c r="J2017">
        <f>-687.783453874931 -79.6401880345758 -557.840216024321</f>
        <v>-1325.2638579338277</v>
      </c>
      <c r="K2017" t="s">
        <v>22296</v>
      </c>
      <c r="L2017" t="s">
        <v>22297</v>
      </c>
      <c r="M2017" t="s">
        <v>22298</v>
      </c>
      <c r="N2017">
        <f>-671.039903667725 -132.458648494634 -558.855073076705</f>
        <v>-1362.3536252390641</v>
      </c>
      <c r="O2017">
        <f>-630.345869178266 -260.877519603516 -531.445993747679</f>
        <v>-1422.669382529461</v>
      </c>
      <c r="P2017">
        <f>-628.543602783116 -314.478819295742 -242.110710510857</f>
        <v>-1185.1331325897149</v>
      </c>
      <c r="Q2017">
        <f>-469.464262718378 -140.070920444642 -290.345051535835</f>
        <v>-899.88023469885502</v>
      </c>
      <c r="R2017" t="s">
        <v>22299</v>
      </c>
      <c r="S2017" t="s">
        <v>22300</v>
      </c>
      <c r="T2017" t="s">
        <v>22301</v>
      </c>
      <c r="U2017" t="s">
        <v>22302</v>
      </c>
      <c r="V2017">
        <f>-604.600103827243 -174.458551308442 -96.704269560198</f>
        <v>-875.76292469588293</v>
      </c>
      <c r="W2017" t="s">
        <v>22303</v>
      </c>
      <c r="X2017" t="s">
        <v>22304</v>
      </c>
      <c r="Y2017" t="s">
        <v>22305</v>
      </c>
    </row>
    <row r="2018" spans="1:25" x14ac:dyDescent="0.3">
      <c r="A2018">
        <v>100850</v>
      </c>
      <c r="B2018" t="s">
        <v>22306</v>
      </c>
      <c r="C2018">
        <f>-641.962498348279 -87.368228676493 -99.1880539646231</f>
        <v>-828.51878098939517</v>
      </c>
      <c r="D2018">
        <f>-661.583175403635 -100.476630691958 -212.587392919889</f>
        <v>-974.64719901548199</v>
      </c>
      <c r="E2018">
        <f>-670.752315716531 -105.489758948227 -310.655988464312</f>
        <v>-1086.8980631290701</v>
      </c>
      <c r="F2018">
        <f>-676.453155163072 -107.827511609842 -399.539547610044</f>
        <v>-1183.8202143829581</v>
      </c>
      <c r="G2018">
        <f>-679.189296656373 -107.900944057575 -488.594318004057</f>
        <v>-1275.6845587180051</v>
      </c>
      <c r="H2018">
        <f>-679.863419612887 -105.67905809206 -613.155217524085</f>
        <v>-1398.697695229032</v>
      </c>
      <c r="I2018">
        <f>-654.213835142675 -96.3183583551566 -691.637771917177</f>
        <v>-1442.1699654150086</v>
      </c>
      <c r="J2018">
        <f>-687.963613153131 -80.2557255660021 -557.825736327669</f>
        <v>-1326.0450750468021</v>
      </c>
      <c r="K2018" t="s">
        <v>22307</v>
      </c>
      <c r="L2018" t="s">
        <v>22308</v>
      </c>
      <c r="M2018" t="s">
        <v>22309</v>
      </c>
      <c r="N2018">
        <f>-671.169907289296 -133.057861279695 -558.858505835645</f>
        <v>-1363.086274404636</v>
      </c>
      <c r="O2018">
        <f>-630.402434975398 -261.4633852332 -531.507910867131</f>
        <v>-1423.3737310757292</v>
      </c>
      <c r="P2018">
        <f>-628.673674502561 -315.256983129402 -242.208005952027</f>
        <v>-1186.1386635839899</v>
      </c>
      <c r="Q2018">
        <f>-469.674324994188 -140.747391149275 -290.337813933777</f>
        <v>-900.75953007724002</v>
      </c>
      <c r="R2018" t="s">
        <v>22310</v>
      </c>
      <c r="S2018" t="s">
        <v>22311</v>
      </c>
      <c r="T2018" t="s">
        <v>22312</v>
      </c>
      <c r="U2018" t="s">
        <v>22313</v>
      </c>
      <c r="V2018">
        <f>-604.546441405396 -175.052439334997 -96.682666225605</f>
        <v>-876.2815469659979</v>
      </c>
      <c r="W2018" t="s">
        <v>22314</v>
      </c>
      <c r="X2018" t="s">
        <v>22315</v>
      </c>
      <c r="Y2018" t="s">
        <v>22316</v>
      </c>
    </row>
    <row r="2019" spans="1:25" x14ac:dyDescent="0.3">
      <c r="A2019">
        <v>100900</v>
      </c>
      <c r="B2019" t="s">
        <v>22317</v>
      </c>
      <c r="C2019">
        <f>-641.999978055101 -88.4618002197105 -99.2045828682109</f>
        <v>-829.66636114302241</v>
      </c>
      <c r="D2019">
        <f>-661.557914900953 -101.651709610231 -212.605407249209</f>
        <v>-975.81503176039314</v>
      </c>
      <c r="E2019">
        <f>-670.78190176944 -106.691861648086 -310.667394630593</f>
        <v>-1088.141158048119</v>
      </c>
      <c r="F2019">
        <f>-676.575028954263 -109.037019725135 -399.544738064737</f>
        <v>-1185.1567867441349</v>
      </c>
      <c r="G2019">
        <f>-679.446347239788 -109.099094263194 -488.595306680427</f>
        <v>-1277.140748183409</v>
      </c>
      <c r="H2019">
        <f>-680.353880932664 -106.840926960796 -613.154067566783</f>
        <v>-1400.3488754602431</v>
      </c>
      <c r="I2019">
        <f>-654.77315424061 -97.3837091489921 -691.647446240754</f>
        <v>-1443.8043096303561</v>
      </c>
      <c r="J2019">
        <f>-688.423896518873 -81.4572238823334 -557.802069906219</f>
        <v>-1327.6831903074253</v>
      </c>
      <c r="K2019" t="s">
        <v>22318</v>
      </c>
      <c r="L2019" t="s">
        <v>22319</v>
      </c>
      <c r="M2019" t="s">
        <v>22320</v>
      </c>
      <c r="N2019">
        <f>-671.485206042523 -134.212069084373 -558.881868508889</f>
        <v>-1364.5791436357852</v>
      </c>
      <c r="O2019">
        <f>-630.441382761665 -262.563029806326 -531.694744023628</f>
        <v>-1424.6991565916192</v>
      </c>
      <c r="P2019">
        <f>-628.432005814806 -316.702738490718 -242.461195592226</f>
        <v>-1187.59593989775</v>
      </c>
      <c r="Q2019">
        <f>-469.918167155858 -141.68687788079 -290.353642647935</f>
        <v>-901.95868768458297</v>
      </c>
      <c r="R2019">
        <f>-679.755095761846 -0.994927039723279 -103.840945341926</f>
        <v>-784.59096814349527</v>
      </c>
      <c r="S2019" t="s">
        <v>22321</v>
      </c>
      <c r="T2019" t="s">
        <v>22322</v>
      </c>
      <c r="U2019" t="s">
        <v>22323</v>
      </c>
      <c r="V2019">
        <f>-604.352408284547 -176.13658205088 -96.6599864690701</f>
        <v>-877.14897680449701</v>
      </c>
      <c r="W2019" t="s">
        <v>22324</v>
      </c>
      <c r="X2019" t="s">
        <v>22325</v>
      </c>
      <c r="Y2019" t="s">
        <v>22326</v>
      </c>
    </row>
    <row r="2020" spans="1:25" x14ac:dyDescent="0.3">
      <c r="A2020">
        <v>100950</v>
      </c>
      <c r="B2020" t="s">
        <v>22327</v>
      </c>
      <c r="C2020">
        <f>-641.94625817049 -88.8938560026509 -99.2020215968814</f>
        <v>-830.04213577002224</v>
      </c>
      <c r="D2020">
        <f>-661.516190535691 -102.149306334066 -212.593007231497</f>
        <v>-976.25850410125395</v>
      </c>
      <c r="E2020">
        <f>-670.794205524837 -107.214673413117 -310.648703565652</f>
        <v>-1088.6575825036061</v>
      </c>
      <c r="F2020">
        <f>-676.653107855934 -109.570579756026 -399.521409184506</f>
        <v>-1185.745096796466</v>
      </c>
      <c r="G2020">
        <f>-679.607295144505 -109.630125297489 -488.569266071308</f>
        <v>-1277.8066865133019</v>
      </c>
      <c r="H2020">
        <f>-680.64833329678 -107.354292142902 -613.126725591092</f>
        <v>-1401.1293510307742</v>
      </c>
      <c r="I2020">
        <f>-655.110796848752 -97.840758223831 -691.627300760858</f>
        <v>-1444.5788558334411</v>
      </c>
      <c r="J2020">
        <f>-688.704616019393 -81.993067046544 -557.762318756625</f>
        <v>-1328.4600018225619</v>
      </c>
      <c r="K2020" t="s">
        <v>22328</v>
      </c>
      <c r="L2020" t="s">
        <v>22329</v>
      </c>
      <c r="M2020" t="s">
        <v>22330</v>
      </c>
      <c r="N2020">
        <f>-671.675838758543 -134.718425204937 -558.867977667336</f>
        <v>-1365.2622416308161</v>
      </c>
      <c r="O2020">
        <f>-630.460698415549 -263.032751236022 -531.760675910547</f>
        <v>-1425.2541255621181</v>
      </c>
      <c r="P2020">
        <f>-628.131819177575 -317.224274573426 -242.539226032206</f>
        <v>-1187.895319783207</v>
      </c>
      <c r="Q2020">
        <f>-469.872878080542 -141.897344796144 -290.136270170444</f>
        <v>-901.90649304712997</v>
      </c>
      <c r="R2020">
        <f>-679.788092684086 -1.52568502033682 -103.859885377415</f>
        <v>-785.17366308183784</v>
      </c>
      <c r="S2020" t="s">
        <v>22331</v>
      </c>
      <c r="T2020" t="s">
        <v>22332</v>
      </c>
      <c r="U2020" t="s">
        <v>22333</v>
      </c>
      <c r="V2020">
        <f>-604.216689694757 -176.456251817298 -96.6440959468815</f>
        <v>-877.31703745893651</v>
      </c>
      <c r="W2020" t="s">
        <v>22334</v>
      </c>
      <c r="X2020" t="s">
        <v>22335</v>
      </c>
      <c r="Y2020" t="s">
        <v>22336</v>
      </c>
    </row>
    <row r="2021" spans="1:25" x14ac:dyDescent="0.3">
      <c r="A2021">
        <v>101000</v>
      </c>
      <c r="B2021" t="s">
        <v>22337</v>
      </c>
      <c r="C2021">
        <f>-641.566564393219 -89.9030784403024 -99.2120333945727</f>
        <v>-830.68167622809403</v>
      </c>
      <c r="D2021">
        <f>-661.212476600141 -103.341634623052 -212.56828114525</f>
        <v>-977.122392368443</v>
      </c>
      <c r="E2021">
        <f>-670.627082957203 -108.494638763303 -310.606557644585</f>
        <v>-1089.7282793650911</v>
      </c>
      <c r="F2021">
        <f>-676.636688960853 -110.902651637825 -399.467838021661</f>
        <v>-1187.0071786203389</v>
      </c>
      <c r="G2021">
        <f>-679.768680561791 -110.985409795994 -488.509404038364</f>
        <v>-1279.2634943961489</v>
      </c>
      <c r="H2021">
        <f>-681.086240565 -108.711011649868 -613.064252674551</f>
        <v>-1402.8615048894189</v>
      </c>
      <c r="I2021">
        <f>-655.663713575605 -99.0703367197399 -691.586882979244</f>
        <v>-1446.3209332745889</v>
      </c>
      <c r="J2021">
        <f>-689.111079954799 -83.3788710345447 -557.682029539038</f>
        <v>-1330.1719805283817</v>
      </c>
      <c r="K2021" t="s">
        <v>22338</v>
      </c>
      <c r="L2021" t="s">
        <v>22339</v>
      </c>
      <c r="M2021" t="s">
        <v>22340</v>
      </c>
      <c r="N2021">
        <f>-671.901833653769 -136.0448570731 -558.825744817378</f>
        <v>-1366.7724355442469</v>
      </c>
      <c r="O2021">
        <f>-630.29336242331 -264.252471982452 -531.812010563492</f>
        <v>-1426.3578449692541</v>
      </c>
      <c r="P2021">
        <f>-627.161320227251 -318.111979826273 -242.536194182506</f>
        <v>-1187.8094942360301</v>
      </c>
      <c r="Q2021">
        <f>-468.881982280997 -142.909951986525 -290.523469968957</f>
        <v>-902.31540423647903</v>
      </c>
      <c r="R2021">
        <f>-679.667481961802 -2.61351453015209 -103.902482781825</f>
        <v>-786.18347927377908</v>
      </c>
      <c r="S2021" t="s">
        <v>22341</v>
      </c>
      <c r="T2021" t="s">
        <v>22342</v>
      </c>
      <c r="U2021" t="s">
        <v>22343</v>
      </c>
      <c r="V2021">
        <f>-603.555767332285 -177.420311528154 -96.6140264566087</f>
        <v>-877.59010531704769</v>
      </c>
      <c r="W2021" t="s">
        <v>22344</v>
      </c>
      <c r="X2021" t="s">
        <v>22345</v>
      </c>
      <c r="Y2021" t="s">
        <v>22346</v>
      </c>
    </row>
    <row r="2022" spans="1:25" x14ac:dyDescent="0.3">
      <c r="A2022">
        <v>101050</v>
      </c>
      <c r="B2022" t="s">
        <v>22347</v>
      </c>
      <c r="C2022">
        <f>-641.314889047104 -90.2642537965272 -99.2358357935889</f>
        <v>-830.81497863722007</v>
      </c>
      <c r="D2022">
        <f>-661.011456473839 -103.794561199551 -212.572556668315</f>
        <v>-977.37857434170496</v>
      </c>
      <c r="E2022">
        <f>-670.508397346253 -109.008212840636 -310.599389148972</f>
        <v>-1090.115999335861</v>
      </c>
      <c r="F2022">
        <f>-676.607678957757 -111.463954176302 -399.453316351913</f>
        <v>-1187.524949485972</v>
      </c>
      <c r="G2022">
        <f>-679.844771007134 -111.586429344584 -488.491217767753</f>
        <v>-1279.9224181194709</v>
      </c>
      <c r="H2022">
        <f>-681.325260853043 -109.35867605251 -613.045099223055</f>
        <v>-1403.729036128608</v>
      </c>
      <c r="I2022">
        <f>-655.974199512399 -99.6615002969493 -691.583717012888</f>
        <v>-1447.2194168222363</v>
      </c>
      <c r="J2022">
        <f>-689.324969668646 -84.0212919809375 -557.661560774434</f>
        <v>-1331.0078224240174</v>
      </c>
      <c r="K2022" t="s">
        <v>22348</v>
      </c>
      <c r="L2022" t="s">
        <v>22349</v>
      </c>
      <c r="M2022" t="s">
        <v>22350</v>
      </c>
      <c r="N2022">
        <f>-672.022518161984 -136.656614326689 -558.808670536379</f>
        <v>-1367.487803025052</v>
      </c>
      <c r="O2022">
        <f>-630.188061274325 -264.795412686061 -531.82919333965</f>
        <v>-1426.8126673000361</v>
      </c>
      <c r="P2022">
        <f>-626.61307912421 -318.35708478701 -242.503183054841</f>
        <v>-1187.4733469660609</v>
      </c>
      <c r="Q2022">
        <f>-468.203353269224 -143.278396897134 -290.509964548081</f>
        <v>-901.99171471443901</v>
      </c>
      <c r="R2022">
        <f>-679.557996575732 -3.01215738714563 -103.938423767642</f>
        <v>-786.50857773051962</v>
      </c>
      <c r="S2022" t="s">
        <v>22351</v>
      </c>
      <c r="T2022" t="s">
        <v>22352</v>
      </c>
      <c r="U2022" t="s">
        <v>22353</v>
      </c>
      <c r="V2022">
        <f>-603.150795891465 -177.706862216573 -96.5991892195016</f>
        <v>-877.45684732753955</v>
      </c>
      <c r="W2022" t="s">
        <v>22354</v>
      </c>
      <c r="X2022" t="s">
        <v>22355</v>
      </c>
      <c r="Y2022" t="s">
        <v>22356</v>
      </c>
    </row>
    <row r="2023" spans="1:25" x14ac:dyDescent="0.3">
      <c r="A2023">
        <v>101100</v>
      </c>
      <c r="B2023" t="s">
        <v>22357</v>
      </c>
      <c r="C2023">
        <f>-640.599173814457 -91.0953234828779 -99.2774551231183</f>
        <v>-830.97195242045325</v>
      </c>
      <c r="D2023">
        <f>-660.404448046196 -104.794211177453 -212.57486153771</f>
        <v>-977.77352076135901</v>
      </c>
      <c r="E2023">
        <f>-670.100178371068 -110.133630562688 -310.575549640817</f>
        <v>-1090.809358574573</v>
      </c>
      <c r="F2023">
        <f>-676.421635766455 -112.694987346996 -399.410949027146</f>
        <v>-1188.5275721405969</v>
      </c>
      <c r="G2023">
        <f>-679.924166381355 -112.912403137662 -488.438601643982</f>
        <v>-1281.275171162999</v>
      </c>
      <c r="H2023">
        <f>-681.821202105272 -110.804725380945 -612.98892529679</f>
        <v>-1405.6148527830069</v>
      </c>
      <c r="I2023">
        <f>-656.66801041731 -101.023918550572 -691.580828881127</f>
        <v>-1449.2727578490089</v>
      </c>
      <c r="J2023">
        <f>-689.738953151403 -85.4482177963462 -557.602486263898</f>
        <v>-1332.7896572116472</v>
      </c>
      <c r="K2023" t="s">
        <v>22358</v>
      </c>
      <c r="L2023" t="s">
        <v>22359</v>
      </c>
      <c r="M2023" t="s">
        <v>22360</v>
      </c>
      <c r="N2023">
        <f>-672.233867833095 -138.016283193521 -558.758684987674</f>
        <v>-1369.00883601429</v>
      </c>
      <c r="O2023">
        <f>-629.899625711723 -266.016826925851 -531.875065858376</f>
        <v>-1427.7915184959502</v>
      </c>
      <c r="P2023">
        <f>-625.455552243592 -319.517656396322 -242.549752886444</f>
        <v>-1187.5229615263579</v>
      </c>
      <c r="Q2023">
        <f>-466.788258019507 -144.705065734506 -290.675843624445</f>
        <v>-902.16916737845804</v>
      </c>
      <c r="R2023">
        <f>-679.102384032588 -3.96692173590827 -103.997197192145</f>
        <v>-787.06650296064129</v>
      </c>
      <c r="S2023" t="s">
        <v>22361</v>
      </c>
      <c r="T2023" t="s">
        <v>22362</v>
      </c>
      <c r="U2023" t="s">
        <v>22363</v>
      </c>
      <c r="V2023">
        <f>-602.159451856271 -178.456968781059 -96.5920586987752</f>
        <v>-877.20847933610514</v>
      </c>
      <c r="W2023" t="s">
        <v>22364</v>
      </c>
      <c r="X2023" t="s">
        <v>22365</v>
      </c>
      <c r="Y2023" t="s">
        <v>22366</v>
      </c>
    </row>
    <row r="2024" spans="1:25" x14ac:dyDescent="0.3">
      <c r="A2024">
        <v>101150</v>
      </c>
      <c r="B2024" t="s">
        <v>22367</v>
      </c>
      <c r="C2024">
        <f>-640.242849429875 -91.5551716123554 -99.2839949532565</f>
        <v>-831.08201599548693</v>
      </c>
      <c r="D2024">
        <f>-660.106103494907 -105.341369690691 -212.56068842251</f>
        <v>-978.00816160810791</v>
      </c>
      <c r="E2024">
        <f>-669.908327185794 -110.741047545257 -310.547509478848</f>
        <v>-1091.1968842098991</v>
      </c>
      <c r="F2024">
        <f>-676.349007537085 -113.350798162314 -399.372918635185</f>
        <v>-1189.0727243345841</v>
      </c>
      <c r="G2024">
        <f>-679.99390616022 -113.609013336497 -488.39472273898</f>
        <v>-1281.9976422356972</v>
      </c>
      <c r="H2024">
        <f>-682.114435430425 -111.549795404428 -612.942163019815</f>
        <v>-1406.6063938546681</v>
      </c>
      <c r="I2024">
        <f>-657.07788277401 -101.736931325402 -691.567305701906</f>
        <v>-1450.3821198013179</v>
      </c>
      <c r="J2024">
        <f>-689.983611006903 -86.1886966985657 -557.550813449934</f>
        <v>-1333.7231211554026</v>
      </c>
      <c r="K2024" t="s">
        <v>22368</v>
      </c>
      <c r="L2024" t="s">
        <v>22369</v>
      </c>
      <c r="M2024" t="s">
        <v>22370</v>
      </c>
      <c r="N2024">
        <f>-672.378971876285 -138.723202022759 -558.719251881532</f>
        <v>-1369.8214257805762</v>
      </c>
      <c r="O2024">
        <f>-629.800322173037 -266.652401404626 -531.903950682696</f>
        <v>-1428.3566742603589</v>
      </c>
      <c r="P2024">
        <f>-624.838733918343 -320.155346733707 -242.587505720855</f>
        <v>-1187.5815863729049</v>
      </c>
      <c r="Q2024">
        <f>-466.141712124804 -145.41784231696 -290.887887793646</f>
        <v>-902.44744223540999</v>
      </c>
      <c r="R2024">
        <f>-678.848219060369 -4.46921120215052 -104.021307112764</f>
        <v>-787.33873737528359</v>
      </c>
      <c r="S2024" t="s">
        <v>22371</v>
      </c>
      <c r="T2024" t="s">
        <v>22372</v>
      </c>
      <c r="U2024" t="s">
        <v>22373</v>
      </c>
      <c r="V2024">
        <f>-601.724313348038 -178.863417821652 -96.5875667062943</f>
        <v>-877.17529787598426</v>
      </c>
      <c r="W2024" t="s">
        <v>22374</v>
      </c>
      <c r="X2024" t="s">
        <v>22375</v>
      </c>
      <c r="Y2024" t="s">
        <v>22376</v>
      </c>
    </row>
    <row r="2025" spans="1:25" x14ac:dyDescent="0.3">
      <c r="A2025">
        <v>101200</v>
      </c>
      <c r="B2025" t="s">
        <v>22377</v>
      </c>
      <c r="C2025">
        <f>-639.735463148843 -92.3456262764776 -99.3000216318965</f>
        <v>-831.38111105721703</v>
      </c>
      <c r="D2025">
        <f>-659.689336911125 -106.277677189605 -212.54298599851</f>
        <v>-978.51000009923996</v>
      </c>
      <c r="E2025">
        <f>-669.651777420519 -111.750436716621 -310.509595575351</f>
        <v>-1091.911809712491</v>
      </c>
      <c r="F2025">
        <f>-676.270087902726 -114.404631224127 -399.320504232655</f>
        <v>-1189.9952233595081</v>
      </c>
      <c r="G2025">
        <f>-680.126369454204 -114.683475368822 -488.33344104485</f>
        <v>-1283.1432858678759</v>
      </c>
      <c r="H2025">
        <f>-682.577503884373 -112.626675578099 -612.874890462823</f>
        <v>-1408.079069925295</v>
      </c>
      <c r="I2025">
        <f>-657.757421587392 -102.732280442845 -691.558360232986</f>
        <v>-1452.0480622632231</v>
      </c>
      <c r="J2025">
        <f>-690.395849382553 -87.2970043202189 -557.461946294135</f>
        <v>-1335.1547999969071</v>
      </c>
      <c r="K2025" t="s">
        <v>22378</v>
      </c>
      <c r="L2025" t="s">
        <v>22379</v>
      </c>
      <c r="M2025" t="s">
        <v>22380</v>
      </c>
      <c r="N2025">
        <f>-672.601944543077 -139.766573265146 -558.678658799346</f>
        <v>-1371.0471766075689</v>
      </c>
      <c r="O2025">
        <f>-629.496140447311 -267.549922876562 -531.998844493491</f>
        <v>-1429.0449078173638</v>
      </c>
      <c r="P2025">
        <f>-623.341544834866 -321.748263442842 -242.834789345294</f>
        <v>-1187.924597623002</v>
      </c>
      <c r="Q2025">
        <f>-465.894596813581 -145.872290210293 -291.093991777572</f>
        <v>-902.86087880144601</v>
      </c>
      <c r="R2025">
        <f>-678.505915943564 -5.35897784313966 -104.070804726988</f>
        <v>-787.9356985136917</v>
      </c>
      <c r="S2025" t="s">
        <v>22381</v>
      </c>
      <c r="T2025" t="s">
        <v>22382</v>
      </c>
      <c r="U2025" t="s">
        <v>22383</v>
      </c>
      <c r="V2025">
        <f>-601.060125123125 -179.494671208961 -96.5500966818935</f>
        <v>-877.10489301397945</v>
      </c>
      <c r="W2025" t="s">
        <v>22384</v>
      </c>
      <c r="X2025" t="s">
        <v>22385</v>
      </c>
      <c r="Y2025" t="s">
        <v>22386</v>
      </c>
    </row>
    <row r="2026" spans="1:25" x14ac:dyDescent="0.3">
      <c r="A2026">
        <v>101250</v>
      </c>
      <c r="B2026" t="s">
        <v>22387</v>
      </c>
      <c r="C2026">
        <f>-639.559005680025 -92.7612739580932 -99.32383682976</f>
        <v>-831.64411646787823</v>
      </c>
      <c r="D2026">
        <f>-659.526015409502 -106.73100751376 -212.559740852746</f>
        <v>-978.81676377600797</v>
      </c>
      <c r="E2026">
        <f>-669.541503274063 -112.226364787119 -310.519668822043</f>
        <v>-1092.2875368832249</v>
      </c>
      <c r="F2026">
        <f>-676.225117375955 -114.896369807269 -399.325343835113</f>
        <v>-1190.446831018337</v>
      </c>
      <c r="G2026">
        <f>-680.164476381325 -115.184993159396 -488.334650258411</f>
        <v>-1283.6841197991321</v>
      </c>
      <c r="H2026">
        <f>-682.751067077989 -113.13476005719 -612.873405452077</f>
        <v>-1408.7592325872561</v>
      </c>
      <c r="I2026">
        <f>-658.040444465324 -103.198081859987 -691.586094115979</f>
        <v>-1452.8246204412899</v>
      </c>
      <c r="J2026">
        <f>-690.557065225139 -87.818495789854 -557.452623660888</f>
        <v>-1335.8281846758809</v>
      </c>
      <c r="K2026" t="s">
        <v>22388</v>
      </c>
      <c r="L2026" t="s">
        <v>22389</v>
      </c>
      <c r="M2026" t="s">
        <v>22390</v>
      </c>
      <c r="N2026">
        <f>-672.668593726087 -140.25547580609 -558.687486960611</f>
        <v>-1371.6115564927879</v>
      </c>
      <c r="O2026">
        <f>-629.274542913739 -267.943515165273 -532.061735218539</f>
        <v>-1429.2797932975509</v>
      </c>
      <c r="P2026">
        <f>-622.838796737921 -322.254155565093 -242.924922572558</f>
        <v>-1188.017874875572</v>
      </c>
      <c r="Q2026">
        <f>-466.014370607617 -145.721101610583 -290.81064804868</f>
        <v>-902.54612026688005</v>
      </c>
      <c r="R2026">
        <f>-678.381535136564 -5.83115015030103 -104.100828295542</f>
        <v>-788.31351358240704</v>
      </c>
      <c r="S2026" t="s">
        <v>22391</v>
      </c>
      <c r="T2026" t="s">
        <v>22392</v>
      </c>
      <c r="U2026" t="s">
        <v>22393</v>
      </c>
      <c r="V2026">
        <f>-600.822697485484 -179.887704401968 -96.5545406990168</f>
        <v>-877.26494258646881</v>
      </c>
      <c r="W2026" t="s">
        <v>22394</v>
      </c>
      <c r="X2026" t="s">
        <v>22395</v>
      </c>
      <c r="Y2026" t="s">
        <v>22396</v>
      </c>
    </row>
    <row r="2027" spans="1:25" x14ac:dyDescent="0.3">
      <c r="A2027">
        <v>101300</v>
      </c>
      <c r="B2027" t="s">
        <v>22397</v>
      </c>
      <c r="C2027">
        <f>-639.533972078077 -93.5265023708914 -99.3305279737783</f>
        <v>-832.39100242274674</v>
      </c>
      <c r="D2027">
        <f>-659.499130929019 -107.542181250459 -212.561159794305</f>
        <v>-979.60247197378294</v>
      </c>
      <c r="E2027">
        <f>-669.600519296302 -113.09401536773 -310.509132230788</f>
        <v>-1093.2036668948199</v>
      </c>
      <c r="F2027">
        <f>-676.398010534719 -115.820870107346 -399.304430839715</f>
        <v>-1191.52331148178</v>
      </c>
      <c r="G2027">
        <f>-680.488749517084 -116.170118780388 -488.306478948755</f>
        <v>-1284.9653472462269</v>
      </c>
      <c r="H2027">
        <f>-683.327096832259 -114.206873214346 -612.841277910269</f>
        <v>-1410.3752479568741</v>
      </c>
      <c r="I2027">
        <f>-658.847450410656 -104.236077910842 -691.621747798819</f>
        <v>-1454.7052761203172</v>
      </c>
      <c r="J2027">
        <f>-691.111275011234 -88.8828446815452 -557.42095938109</f>
        <v>-1337.4150790738693</v>
      </c>
      <c r="K2027" t="s">
        <v>22398</v>
      </c>
      <c r="L2027" t="s">
        <v>22399</v>
      </c>
      <c r="M2027" t="s">
        <v>22400</v>
      </c>
      <c r="N2027">
        <f>-673.044927170549 -141.258782140222 -558.658396696104</f>
        <v>-1372.962106006875</v>
      </c>
      <c r="O2027">
        <f>-629.080883190456 -268.754856634568 -532.016439707522</f>
        <v>-1429.852179532546</v>
      </c>
      <c r="P2027">
        <f>-622.819962899452 -322.607317108285 -242.790012996704</f>
        <v>-1188.217293004441</v>
      </c>
      <c r="Q2027">
        <f>-466.823779923972 -145.227092214658 -290.248397540625</f>
        <v>-902.29926967925496</v>
      </c>
      <c r="R2027">
        <f>-678.489130848528 -6.68118809671205 -104.132703937074</f>
        <v>-789.30302288231405</v>
      </c>
      <c r="S2027" t="s">
        <v>22401</v>
      </c>
      <c r="T2027" t="s">
        <v>22402</v>
      </c>
      <c r="U2027" t="s">
        <v>22403</v>
      </c>
      <c r="V2027">
        <f>-600.719531728882 -180.501171231982 -96.5707213384013</f>
        <v>-877.79142429926526</v>
      </c>
      <c r="W2027" t="s">
        <v>22404</v>
      </c>
      <c r="X2027" t="s">
        <v>22405</v>
      </c>
      <c r="Y2027" t="s">
        <v>22406</v>
      </c>
    </row>
    <row r="2028" spans="1:25" x14ac:dyDescent="0.3">
      <c r="A2028">
        <v>101350</v>
      </c>
      <c r="B2028" t="s">
        <v>22407</v>
      </c>
      <c r="C2028">
        <f>-639.710848842997 -93.8418617969845 -99.3215971783811</f>
        <v>-832.87430781836269</v>
      </c>
      <c r="D2028">
        <f>-659.684095747489 -107.86222684297 -212.550304718111</f>
        <v>-980.09662730856996</v>
      </c>
      <c r="E2028">
        <f>-669.813450551278 -113.433404070897 -310.494139744442</f>
        <v>-1093.7409943666171</v>
      </c>
      <c r="F2028">
        <f>-676.64500750923 -116.18402651926 -399.286079435371</f>
        <v>-1192.115113463861</v>
      </c>
      <c r="G2028">
        <f>-680.779435802559 -116.562396609932 -488.28625655696</f>
        <v>-1285.6280889694508</v>
      </c>
      <c r="H2028">
        <f>-683.689004708333 -114.644756107628 -612.820019343587</f>
        <v>-1411.153780159548</v>
      </c>
      <c r="I2028">
        <f>-659.299178213652 -104.652947257692 -691.625598811314</f>
        <v>-1455.577724282658</v>
      </c>
      <c r="J2028">
        <f>-691.484331646262 -89.3152467677821 -557.403721388287</f>
        <v>-1338.203299802331</v>
      </c>
      <c r="K2028" t="s">
        <v>22408</v>
      </c>
      <c r="L2028" t="s">
        <v>22409</v>
      </c>
      <c r="M2028" t="s">
        <v>22410</v>
      </c>
      <c r="N2028">
        <f>-673.332989854916 -141.661992062993 -558.633844943508</f>
        <v>-1373.6288268614171</v>
      </c>
      <c r="O2028">
        <f>-629.13172725421 -269.076072029361 -531.9646690133</f>
        <v>-1430.1724682968709</v>
      </c>
      <c r="P2028">
        <f>-623.059381111548 -322.634895059011 -242.67968571134</f>
        <v>-1188.373961881899</v>
      </c>
      <c r="Q2028">
        <f>-467.262269240362 -145.089569916686 -290.174853555409</f>
        <v>-902.52669271245713</v>
      </c>
      <c r="R2028">
        <f>-678.713874222364 -7.03409891374599 -104.137311764328</f>
        <v>-789.88528490043802</v>
      </c>
      <c r="S2028" t="s">
        <v>22411</v>
      </c>
      <c r="T2028" t="s">
        <v>22412</v>
      </c>
      <c r="U2028" t="s">
        <v>22413</v>
      </c>
      <c r="V2028">
        <f>-600.857720934187 -180.820756674978 -96.5676210093214</f>
        <v>-878.24609861848649</v>
      </c>
      <c r="W2028" t="s">
        <v>22414</v>
      </c>
      <c r="X2028" t="s">
        <v>22415</v>
      </c>
      <c r="Y2028" t="s">
        <v>22416</v>
      </c>
    </row>
    <row r="2029" spans="1:25" x14ac:dyDescent="0.3">
      <c r="A2029">
        <v>101400</v>
      </c>
      <c r="B2029" t="s">
        <v>22417</v>
      </c>
      <c r="C2029">
        <f>-640.14219619203 -94.5181976907778 -99.3298450384306</f>
        <v>-833.99023892123842</v>
      </c>
      <c r="D2029">
        <f>-660.124996959874 -108.536450835944 -212.556926305898</f>
        <v>-981.21837410171611</v>
      </c>
      <c r="E2029">
        <f>-670.288251304816 -114.121240890946 -310.49655649356</f>
        <v>-1094.9060486893218</v>
      </c>
      <c r="F2029">
        <f>-677.16140015867 -116.890717951516 -399.284749860439</f>
        <v>-1193.336867970625</v>
      </c>
      <c r="G2029">
        <f>-681.34885850015 -117.293129727575 -488.28224270774</f>
        <v>-1286.9242309354649</v>
      </c>
      <c r="H2029">
        <f>-684.345013528785 -115.414020489016 -612.814605131698</f>
        <v>-1412.5736391494991</v>
      </c>
      <c r="I2029">
        <f>-660.060505073903 -105.362924347505 -691.645198258068</f>
        <v>-1457.0686276794759</v>
      </c>
      <c r="J2029">
        <f>-692.178925648872 -90.0943194276191 -557.399285277077</f>
        <v>-1339.6725303535682</v>
      </c>
      <c r="K2029" t="s">
        <v>22418</v>
      </c>
      <c r="L2029" t="s">
        <v>22419</v>
      </c>
      <c r="M2029" t="s">
        <v>22420</v>
      </c>
      <c r="N2029">
        <f>-673.874119159476 -142.387549546858 -558.628869004535</f>
        <v>-1374.890537710869</v>
      </c>
      <c r="O2029">
        <f>-629.252291979208 -269.648449738122 -531.938052679758</f>
        <v>-1430.8387943970879</v>
      </c>
      <c r="P2029">
        <f>-623.250814242906 -322.848549911513 -242.585308494294</f>
        <v>-1188.6846726487129</v>
      </c>
      <c r="Q2029">
        <f>-468.235988454238 -144.681932049406 -290.313281673219</f>
        <v>-903.23120217686301</v>
      </c>
      <c r="R2029">
        <f>-679.36234273724 -7.689716715131 -104.133408128769</f>
        <v>-791.18546758114007</v>
      </c>
      <c r="S2029" t="s">
        <v>22421</v>
      </c>
      <c r="T2029" t="s">
        <v>22422</v>
      </c>
      <c r="U2029" t="s">
        <v>22423</v>
      </c>
      <c r="V2029">
        <f>-601.022571812991 -181.5539382089 -96.5917960551762</f>
        <v>-879.16830607706731</v>
      </c>
      <c r="W2029" t="s">
        <v>22424</v>
      </c>
      <c r="X2029" t="s">
        <v>22425</v>
      </c>
      <c r="Y2029" t="s">
        <v>22426</v>
      </c>
    </row>
    <row r="2030" spans="1:25" x14ac:dyDescent="0.3">
      <c r="A2030">
        <v>101450</v>
      </c>
      <c r="B2030" t="s">
        <v>22427</v>
      </c>
      <c r="C2030">
        <f>-640.388736712535 -94.7643575571544 -99.3307990934954</f>
        <v>-834.48389336318485</v>
      </c>
      <c r="D2030">
        <f>-660.364683960193 -108.778693810752 -212.559742724406</f>
        <v>-981.70312049535096</v>
      </c>
      <c r="E2030">
        <f>-670.523087398008 -114.343646961528 -310.501004126675</f>
        <v>-1095.367738486211</v>
      </c>
      <c r="F2030">
        <f>-677.391953003502 -117.088866755222 -399.290305877771</f>
        <v>-1193.7711256364951</v>
      </c>
      <c r="G2030">
        <f>-681.57562980008 -117.459965760398 -488.287962188521</f>
        <v>-1287.3235577489991</v>
      </c>
      <c r="H2030">
        <f>-684.567159833861 -115.52969257442 -612.819658166443</f>
        <v>-1412.9165105747238</v>
      </c>
      <c r="I2030">
        <f>-660.307514613745 -105.426622468906 -691.651384395869</f>
        <v>-1457.3855214785199</v>
      </c>
      <c r="J2030">
        <f>-692.443260574799 -90.2468554415938 -557.39353370698</f>
        <v>-1340.0836497233727</v>
      </c>
      <c r="K2030" t="s">
        <v>22428</v>
      </c>
      <c r="L2030" t="s">
        <v>22429</v>
      </c>
      <c r="M2030" t="s">
        <v>22430</v>
      </c>
      <c r="N2030">
        <f>-674.05815152465 -142.511362479603 -558.645318316142</f>
        <v>-1375.2148323203951</v>
      </c>
      <c r="O2030">
        <f>-629.253276861807 -269.717335019882 -531.994983580049</f>
        <v>-1430.9655954617378</v>
      </c>
      <c r="P2030">
        <f>-623.021693882713 -323.094811755127 -242.679916051129</f>
        <v>-1188.7964216889691</v>
      </c>
      <c r="Q2030">
        <f>-468.733957709651 -144.384268976664 -290.728704981925</f>
        <v>-903.8469316682399</v>
      </c>
      <c r="R2030">
        <f>-679.721408855843 -7.92305420887192 -104.120663337238</f>
        <v>-791.76512640195301</v>
      </c>
      <c r="S2030" t="s">
        <v>22431</v>
      </c>
      <c r="T2030" t="s">
        <v>22432</v>
      </c>
      <c r="U2030" t="s">
        <v>22433</v>
      </c>
      <c r="V2030">
        <f>-601.165124669898 -181.766363919331 -96.6093642475541</f>
        <v>-879.54085283678319</v>
      </c>
      <c r="W2030" t="s">
        <v>22434</v>
      </c>
      <c r="X2030" t="s">
        <v>22435</v>
      </c>
      <c r="Y2030" t="s">
        <v>22436</v>
      </c>
    </row>
    <row r="2031" spans="1:25" x14ac:dyDescent="0.3">
      <c r="A2031">
        <v>101500</v>
      </c>
      <c r="B2031" t="s">
        <v>22437</v>
      </c>
      <c r="C2031">
        <f>-641.024969601408 -95.1542350291444 -99.3207980155679</f>
        <v>-835.50000264612027</v>
      </c>
      <c r="D2031">
        <f>-660.955805661685 -109.108668758997 -212.564998411925</f>
        <v>-982.62947283260701</v>
      </c>
      <c r="E2031">
        <f>-671.045280900813 -114.577826515656 -310.518948688689</f>
        <v>-1096.1420561051582</v>
      </c>
      <c r="F2031">
        <f>-677.83984597756 -117.218823737966 -399.316934241087</f>
        <v>-1194.3756039566128</v>
      </c>
      <c r="G2031">
        <f>-681.937954323707 -117.466509795313 -488.319127134187</f>
        <v>-1287.7235912532069</v>
      </c>
      <c r="H2031">
        <f>-684.798357859211 -115.343270744725 -612.850707770486</f>
        <v>-1412.9923363744219</v>
      </c>
      <c r="I2031">
        <f>-660.519724198817 -105.075791170311 -691.655221818611</f>
        <v>-1457.2507371877391</v>
      </c>
      <c r="J2031">
        <f>-692.812215699348 -90.1743650370147 -557.392430005926</f>
        <v>-1340.3790107422888</v>
      </c>
      <c r="K2031" t="s">
        <v>22438</v>
      </c>
      <c r="L2031" t="s">
        <v>22439</v>
      </c>
      <c r="M2031" t="s">
        <v>22440</v>
      </c>
      <c r="N2031">
        <f>-674.266992727961 -142.380816684946 -558.708529616239</f>
        <v>-1375.3563390291461</v>
      </c>
      <c r="O2031">
        <f>-629.097377514952 -269.477502494165 -532.179905357914</f>
        <v>-1430.7547853670308</v>
      </c>
      <c r="P2031">
        <f>-622.225481005524 -323.263292286047 -242.955073546724</f>
        <v>-1188.443846838295</v>
      </c>
      <c r="Q2031">
        <f>-469.742556460339 -142.960549858086 -290.816677325827</f>
        <v>-903.51978364425213</v>
      </c>
      <c r="R2031">
        <f>-680.46309505325 -8.35247346338679 -104.058850229709</f>
        <v>-792.87441874634578</v>
      </c>
      <c r="S2031" t="s">
        <v>22441</v>
      </c>
      <c r="T2031" t="s">
        <v>22442</v>
      </c>
      <c r="U2031" t="s">
        <v>22443</v>
      </c>
      <c r="V2031">
        <f>-601.726156344273 -182.11611104923 -96.6307056798199</f>
        <v>-880.47297307332292</v>
      </c>
      <c r="W2031" t="s">
        <v>22444</v>
      </c>
      <c r="X2031" t="s">
        <v>22445</v>
      </c>
      <c r="Y2031" t="s">
        <v>22446</v>
      </c>
    </row>
    <row r="2032" spans="1:25" x14ac:dyDescent="0.3">
      <c r="A2032">
        <v>101550</v>
      </c>
      <c r="B2032" t="s">
        <v>22447</v>
      </c>
      <c r="C2032">
        <f>-641.373358440164 -95.1960495950642 -99.3016167831014</f>
        <v>-835.8710248183296</v>
      </c>
      <c r="D2032">
        <f>-661.281481376449 -109.117950645039 -212.553880628269</f>
        <v>-982.95331264975709</v>
      </c>
      <c r="E2032">
        <f>-671.329442223136 -114.541946507856 -310.514538181745</f>
        <v>-1096.385926912737</v>
      </c>
      <c r="F2032">
        <f>-678.077497113753 -117.135447192972 -399.317385490369</f>
        <v>-1194.5303297970941</v>
      </c>
      <c r="G2032">
        <f>-682.120395461704 -117.328601935698 -488.322350062806</f>
        <v>-1287.7713474602078</v>
      </c>
      <c r="H2032">
        <f>-684.894761296275 -115.121547452384 -612.854340305361</f>
        <v>-1412.8706490540199</v>
      </c>
      <c r="I2032">
        <f>-660.595069167371 -104.772266964048 -691.641793781689</f>
        <v>-1457.0091299131079</v>
      </c>
      <c r="J2032">
        <f>-692.978427082462 -90.0011785023521 -557.384252251052</f>
        <v>-1340.3638578358659</v>
      </c>
      <c r="K2032" t="s">
        <v>22448</v>
      </c>
      <c r="L2032" t="s">
        <v>22449</v>
      </c>
      <c r="M2032" t="s">
        <v>22450</v>
      </c>
      <c r="N2032">
        <f>-674.369421261488 -142.184370355897 -558.723797031054</f>
        <v>-1375.2775886484392</v>
      </c>
      <c r="O2032">
        <f>-629.045217704022 -269.238163548286 -532.237542836951</f>
        <v>-1430.5209240892591</v>
      </c>
      <c r="P2032">
        <f>-621.952049534871 -323.406710931691 -243.089416971483</f>
        <v>-1188.4481774380449</v>
      </c>
      <c r="Q2032">
        <f>-470.489948663791 -142.08532340374 -290.340308525033</f>
        <v>-902.91558059256386</v>
      </c>
      <c r="R2032">
        <f>-680.879652223612 -8.41062160270076 -104.023326179498</f>
        <v>-793.31360000581071</v>
      </c>
      <c r="S2032" t="s">
        <v>22451</v>
      </c>
      <c r="T2032" t="s">
        <v>22452</v>
      </c>
      <c r="U2032" t="s">
        <v>22453</v>
      </c>
      <c r="V2032">
        <f>-601.985202638321 -182.153349322179 -96.637789163258</f>
        <v>-880.77634112375802</v>
      </c>
      <c r="W2032" t="s">
        <v>22454</v>
      </c>
      <c r="X2032" t="s">
        <v>22455</v>
      </c>
      <c r="Y2032" t="s">
        <v>22456</v>
      </c>
    </row>
    <row r="2033" spans="1:25" x14ac:dyDescent="0.3">
      <c r="A2033">
        <v>101600</v>
      </c>
      <c r="B2033" t="s">
        <v>22457</v>
      </c>
      <c r="C2033">
        <f>-641.917231003512 -95.346341344467 -99.2729566971409</f>
        <v>-836.53652904511989</v>
      </c>
      <c r="D2033">
        <f>-661.79331351913 -109.25753198559 -212.53209973092</f>
        <v>-983.58294523564007</v>
      </c>
      <c r="E2033">
        <f>-671.742065629532 -114.612766487918 -310.506577362481</f>
        <v>-1096.8614094799309</v>
      </c>
      <c r="F2033">
        <f>-678.370131219017 -117.121961403792 -399.321051455683</f>
        <v>-1194.8131440784919</v>
      </c>
      <c r="G2033">
        <f>-682.262269221007 -117.208851343673 -488.33277849635</f>
        <v>-1287.8038990610301</v>
      </c>
      <c r="H2033">
        <f>-684.792954562443 -114.830955223531 -612.866946581272</f>
        <v>-1412.4908563672461</v>
      </c>
      <c r="I2033">
        <f>-660.438165979779 -104.323528401996 -691.616322929276</f>
        <v>-1456.3780173110508</v>
      </c>
      <c r="J2033">
        <f>-693.020630318677 -89.7993875516113 -557.377807053938</f>
        <v>-1340.1978249242263</v>
      </c>
      <c r="K2033" t="s">
        <v>22458</v>
      </c>
      <c r="L2033" t="s">
        <v>22459</v>
      </c>
      <c r="M2033" t="s">
        <v>22460</v>
      </c>
      <c r="N2033">
        <f>-674.337994487758 -141.955298655219 -558.753335182964</f>
        <v>-1375.0466283259411</v>
      </c>
      <c r="O2033">
        <f>-628.864949543603 -268.980553754937 -532.391860821437</f>
        <v>-1430.237364119977</v>
      </c>
      <c r="P2033">
        <f>-621.997296738559 -323.963833142026 -243.39215071481</f>
        <v>-1189.3532805953951</v>
      </c>
      <c r="Q2033">
        <f>-471.960483056358 -141.043925720705 -289.000411039836</f>
        <v>-902.00481981689904</v>
      </c>
      <c r="R2033">
        <f>-681.602156840598 -8.63301504693914 -103.956363157752</f>
        <v>-794.19153504528913</v>
      </c>
      <c r="S2033" t="s">
        <v>22461</v>
      </c>
      <c r="T2033" t="s">
        <v>22462</v>
      </c>
      <c r="U2033" t="s">
        <v>22463</v>
      </c>
      <c r="V2033">
        <f>-602.299168020391 -182.29451309839 -96.646464554054</f>
        <v>-881.24014567283496</v>
      </c>
      <c r="W2033" t="s">
        <v>22464</v>
      </c>
      <c r="X2033" t="s">
        <v>22465</v>
      </c>
      <c r="Y2033" t="s">
        <v>22466</v>
      </c>
    </row>
    <row r="2034" spans="1:25" x14ac:dyDescent="0.3">
      <c r="A2034">
        <v>101650</v>
      </c>
      <c r="B2034" t="s">
        <v>22467</v>
      </c>
      <c r="C2034">
        <f>-642.051314579542 -95.5590035534759 -99.2644239234072</f>
        <v>-836.87474205642513</v>
      </c>
      <c r="D2034">
        <f>-661.916020596153 -109.476665429588 -212.524783952412</f>
        <v>-983.91746997815301</v>
      </c>
      <c r="E2034">
        <f>-671.816589279494 -114.809076061534 -310.505412210519</f>
        <v>-1097.1310775515472</v>
      </c>
      <c r="F2034">
        <f>-678.38473900573 -117.287339511078 -399.32517864108</f>
        <v>-1194.997257157888</v>
      </c>
      <c r="G2034">
        <f>-682.200152145081 -117.333489019964 -488.340336840203</f>
        <v>-1287.8739780052479</v>
      </c>
      <c r="H2034">
        <f>-684.605571741139 -114.88864790656 -612.875629049538</f>
        <v>-1412.3698486972371</v>
      </c>
      <c r="I2034">
        <f>-660.219994482842 -104.323779977329 -691.607812327833</f>
        <v>-1456.1515867880039</v>
      </c>
      <c r="J2034">
        <f>-692.894591654001 -89.8889053719213 -557.38136982257</f>
        <v>-1340.1648668484922</v>
      </c>
      <c r="K2034" t="s">
        <v>22468</v>
      </c>
      <c r="L2034" t="s">
        <v>22469</v>
      </c>
      <c r="M2034" t="s">
        <v>22470</v>
      </c>
      <c r="N2034">
        <f>-674.199540457485 -142.040030658701 -558.766245651048</f>
        <v>-1375.0058167672341</v>
      </c>
      <c r="O2034">
        <f>-628.684258022927 -269.045317881393 -532.409911342242</f>
        <v>-1430.1394872465621</v>
      </c>
      <c r="P2034">
        <f>-622.13469983452 -324.203823723774 -243.436105788226</f>
        <v>-1189.77462934652</v>
      </c>
      <c r="Q2034">
        <f>-472.786415790852 -140.507901930894 -288.17750769</f>
        <v>-901.47182541174607</v>
      </c>
      <c r="R2034">
        <f>-681.804407889735 -8.807240206708 -103.934107570222</f>
        <v>-794.54575566666495</v>
      </c>
      <c r="S2034" t="s">
        <v>22471</v>
      </c>
      <c r="T2034" t="s">
        <v>22472</v>
      </c>
      <c r="U2034" t="s">
        <v>22473</v>
      </c>
      <c r="V2034">
        <f>-602.371585866714 -182.56315390069 -96.6425075887291</f>
        <v>-881.57724735613306</v>
      </c>
      <c r="W2034" t="s">
        <v>22474</v>
      </c>
      <c r="X2034" t="s">
        <v>22475</v>
      </c>
      <c r="Y2034" t="s">
        <v>22476</v>
      </c>
    </row>
    <row r="2035" spans="1:25" x14ac:dyDescent="0.3">
      <c r="A2035">
        <v>101700</v>
      </c>
      <c r="B2035" t="s">
        <v>22477</v>
      </c>
      <c r="C2035">
        <f>-642.179378136452 -95.7041243068192 -99.2488311154667</f>
        <v>-837.13233355873786</v>
      </c>
      <c r="D2035">
        <f>-662.035801491319 -109.620089574163 -212.510865971922</f>
        <v>-984.16675703740407</v>
      </c>
      <c r="E2035">
        <f>-671.894425559948 -114.94192180365 -310.496272649991</f>
        <v>-1097.3326200135889</v>
      </c>
      <c r="F2035">
        <f>-678.409647996299 -117.408087849388 -399.320260895321</f>
        <v>-1195.137996741008</v>
      </c>
      <c r="G2035">
        <f>-682.156896439573 -117.44000816922 -488.338270485003</f>
        <v>-1287.935175093796</v>
      </c>
      <c r="H2035">
        <f>-684.450847255484 -114.973717656856 -612.875293331569</f>
        <v>-1412.2998582439091</v>
      </c>
      <c r="I2035">
        <f>-660.041202475367 -104.371249186674 -691.595062486504</f>
        <v>-1456.0075141485449</v>
      </c>
      <c r="J2035">
        <f>-692.788653519344 -89.9832184076507 -557.384113167053</f>
        <v>-1340.1559850940478</v>
      </c>
      <c r="K2035" t="s">
        <v>22478</v>
      </c>
      <c r="L2035" t="s">
        <v>22479</v>
      </c>
      <c r="M2035" t="s">
        <v>22480</v>
      </c>
      <c r="N2035">
        <f>-674.094199040972 -142.134749521645 -558.761260824568</f>
        <v>-1374.9902093871851</v>
      </c>
      <c r="O2035">
        <f>-628.541807880157 -269.134379780565 -532.400130046532</f>
        <v>-1430.076317707254</v>
      </c>
      <c r="P2035">
        <f>-622.16905725055 -324.624437555123 -243.485972084764</f>
        <v>-1190.2794668904371</v>
      </c>
      <c r="Q2035">
        <f>-473.861360937036 -139.853840544407 -287.252383852931</f>
        <v>-900.96758533437401</v>
      </c>
      <c r="R2035">
        <f>-681.969862053333 -8.96094066189039 -103.908568292351</f>
        <v>-794.83937100757441</v>
      </c>
      <c r="S2035" t="s">
        <v>22481</v>
      </c>
      <c r="T2035" t="s">
        <v>22482</v>
      </c>
      <c r="U2035" t="s">
        <v>22483</v>
      </c>
      <c r="V2035">
        <f>-602.491357657494 -182.668633378698 -96.6373969241786</f>
        <v>-881.79738796037054</v>
      </c>
      <c r="W2035" t="s">
        <v>22484</v>
      </c>
      <c r="X2035" t="s">
        <v>22485</v>
      </c>
      <c r="Y2035" t="s">
        <v>22486</v>
      </c>
    </row>
    <row r="2036" spans="1:25" x14ac:dyDescent="0.3">
      <c r="A2036">
        <v>101750</v>
      </c>
      <c r="B2036" t="s">
        <v>22487</v>
      </c>
      <c r="C2036">
        <f>-642.370459940434 -95.9991635327643 -99.1974420689843</f>
        <v>-837.5670655421826</v>
      </c>
      <c r="D2036">
        <f>-662.243197444902 -109.893994008474 -212.459178453195</f>
        <v>-984.596369906571</v>
      </c>
      <c r="E2036">
        <f>-672.03907643399 -115.188977967158 -310.45232027182</f>
        <v>-1097.6803746729679</v>
      </c>
      <c r="F2036">
        <f>-678.466792252086 -117.627951777092 -399.283573291459</f>
        <v>-1195.3783173206371</v>
      </c>
      <c r="G2036">
        <f>-682.09554847465 -117.630019093494 -488.306329889671</f>
        <v>-1288.0318974578149</v>
      </c>
      <c r="H2036">
        <f>-684.19168026664 -115.119671517256 -612.846086763746</f>
        <v>-1412.157438547642</v>
      </c>
      <c r="I2036">
        <f>-659.740443536154 -104.437507877381 -691.542008381092</f>
        <v>-1455.7199597946269</v>
      </c>
      <c r="J2036">
        <f>-692.625673068663 -90.1517318830333 -557.359303191913</f>
        <v>-1340.1367081436092</v>
      </c>
      <c r="K2036" t="s">
        <v>22488</v>
      </c>
      <c r="L2036" t="s">
        <v>22489</v>
      </c>
      <c r="M2036" t="s">
        <v>22490</v>
      </c>
      <c r="N2036">
        <f>-673.912818771568 -142.297039244285 -558.725394147838</f>
        <v>-1374.9352521636911</v>
      </c>
      <c r="O2036">
        <f>-628.226864582185 -269.225050580484 -532.292116283951</f>
        <v>-1429.7440314466201</v>
      </c>
      <c r="P2036">
        <f>-622.350050287962 -324.701253303325 -243.36463274414</f>
        <v>-1190.415936335427</v>
      </c>
      <c r="Q2036">
        <f>-475.186397864367 -138.446102467049 -284.629438404123</f>
        <v>-898.26193873553893</v>
      </c>
      <c r="R2036">
        <f>-682.183776353586 -9.24841879838868 -103.838055559138</f>
        <v>-795.27025071111268</v>
      </c>
      <c r="S2036" t="s">
        <v>22491</v>
      </c>
      <c r="T2036" t="s">
        <v>22492</v>
      </c>
      <c r="U2036" t="s">
        <v>22493</v>
      </c>
      <c r="V2036">
        <f>-602.667541492627 -182.977963866805 -96.6188630284332</f>
        <v>-882.26436838786526</v>
      </c>
      <c r="W2036" t="s">
        <v>22494</v>
      </c>
      <c r="X2036" t="s">
        <v>22495</v>
      </c>
      <c r="Y2036" t="s">
        <v>22496</v>
      </c>
    </row>
    <row r="2037" spans="1:25" x14ac:dyDescent="0.3">
      <c r="A2037">
        <v>101800</v>
      </c>
      <c r="B2037" t="s">
        <v>22497</v>
      </c>
      <c r="C2037">
        <f>-642.470859200104 -96.1845693021555 -99.1556857060134</f>
        <v>-837.8111142082729</v>
      </c>
      <c r="D2037">
        <f>-662.35365325314 -110.078071429096 -212.415759124659</f>
        <v>-984.84748380689496</v>
      </c>
      <c r="E2037">
        <f>-672.092580899463 -115.371026829862 -310.414728101911</f>
        <v>-1097.878335831236</v>
      </c>
      <c r="F2037">
        <f>-678.442278321809 -117.808544726463 -399.251675167613</f>
        <v>-1195.502498215885</v>
      </c>
      <c r="G2037">
        <f>-681.966651907655 -117.809734361027 -488.278711485907</f>
        <v>-1288.055097754589</v>
      </c>
      <c r="H2037">
        <f>-683.889028419599 -115.299151183172 -612.821124479388</f>
        <v>-1412.0093040821589</v>
      </c>
      <c r="I2037">
        <f>-659.410152247484 -104.579853273582 -691.50352359081</f>
        <v>-1455.4935291118759</v>
      </c>
      <c r="J2037">
        <f>-692.4105425065 -90.3349428103919 -557.346097709922</f>
        <v>-1340.0915830268139</v>
      </c>
      <c r="K2037" t="s">
        <v>22498</v>
      </c>
      <c r="L2037" t="s">
        <v>22499</v>
      </c>
      <c r="M2037" t="s">
        <v>22500</v>
      </c>
      <c r="N2037">
        <f>-673.675634814966 -142.472924841346 -558.686136057482</f>
        <v>-1374.8346957137942</v>
      </c>
      <c r="O2037">
        <f>-627.912702182271 -269.372607798247 -532.17633309158</f>
        <v>-1429.461643072098</v>
      </c>
      <c r="P2037">
        <f>-622.146296967714 -325.077039563974 -243.290736096874</f>
        <v>-1190.514072628562</v>
      </c>
      <c r="Q2037">
        <f>-475.580098387622 -138.012288429504 -282.989899628043</f>
        <v>-896.58228644516907</v>
      </c>
      <c r="R2037">
        <f>-682.339177198842 -9.44094465352896 -103.775326498329</f>
        <v>-795.55544835069998</v>
      </c>
      <c r="S2037" t="s">
        <v>22501</v>
      </c>
      <c r="T2037" t="s">
        <v>22502</v>
      </c>
      <c r="U2037" t="s">
        <v>22503</v>
      </c>
      <c r="V2037">
        <f>-602.706717919464 -183.14099484423 -96.5963477081317</f>
        <v>-882.44406047182576</v>
      </c>
      <c r="W2037" t="s">
        <v>22504</v>
      </c>
      <c r="X2037" t="s">
        <v>22505</v>
      </c>
      <c r="Y2037" t="s">
        <v>22506</v>
      </c>
    </row>
    <row r="2038" spans="1:25" x14ac:dyDescent="0.3">
      <c r="A2038">
        <v>101850</v>
      </c>
      <c r="B2038" t="s">
        <v>22507</v>
      </c>
      <c r="C2038">
        <f>-642.469774791419 -96.2853875961565 -99.1451373538016</f>
        <v>-837.90029974137713</v>
      </c>
      <c r="D2038">
        <f>-662.357871697833 -110.192161844925 -212.402685486693</f>
        <v>-984.95271902945103</v>
      </c>
      <c r="E2038">
        <f>-672.079841963707 -115.476266556414 -310.403807054471</f>
        <v>-1097.9599155745921</v>
      </c>
      <c r="F2038">
        <f>-678.40523537448 -117.897924615348 -399.242845804351</f>
        <v>-1195.5460057941789</v>
      </c>
      <c r="G2038">
        <f>-681.896087203971 -117.875409017462 -488.271265609494</f>
        <v>-1288.0427618309268</v>
      </c>
      <c r="H2038">
        <f>-683.761958434529 -115.323867737254 -612.81372056747</f>
        <v>-1411.8995467392529</v>
      </c>
      <c r="I2038">
        <f>-659.264112443238 -104.58142825054 -691.486962069871</f>
        <v>-1455.332502763649</v>
      </c>
      <c r="J2038">
        <f>-692.312288807313 -90.3792238853878 -557.334276924576</f>
        <v>-1340.0257896172768</v>
      </c>
      <c r="K2038" t="s">
        <v>22508</v>
      </c>
      <c r="L2038" t="s">
        <v>22509</v>
      </c>
      <c r="M2038" t="s">
        <v>22510</v>
      </c>
      <c r="N2038">
        <f>-673.5695044132 -142.514156264136 -558.683217633521</f>
        <v>-1374.766878310857</v>
      </c>
      <c r="O2038">
        <f>-627.791315103403 -269.403231641442 -532.179827061486</f>
        <v>-1429.3743738063308</v>
      </c>
      <c r="P2038">
        <f>-621.926288029335 -325.17159535944 -243.308455736075</f>
        <v>-1190.4063391248501</v>
      </c>
      <c r="Q2038">
        <f>-475.488658231556 -137.885570597446 -282.434277085783</f>
        <v>-895.80850591478497</v>
      </c>
      <c r="R2038">
        <f>-682.348071712274 -9.57643572559209 -103.754663794195</f>
        <v>-795.67917123206109</v>
      </c>
      <c r="S2038" t="s">
        <v>22511</v>
      </c>
      <c r="T2038" t="s">
        <v>22512</v>
      </c>
      <c r="U2038" t="s">
        <v>22513</v>
      </c>
      <c r="V2038">
        <f>-602.688804774637 -183.229587395033 -96.5776444452994</f>
        <v>-882.4960366149694</v>
      </c>
      <c r="W2038" t="s">
        <v>22514</v>
      </c>
      <c r="X2038" t="s">
        <v>22515</v>
      </c>
      <c r="Y2038" t="s">
        <v>22516</v>
      </c>
    </row>
    <row r="2039" spans="1:25" x14ac:dyDescent="0.3">
      <c r="A2039">
        <v>101900</v>
      </c>
      <c r="B2039" t="s">
        <v>22517</v>
      </c>
      <c r="C2039">
        <f>-642.436583237993 -96.5409302317416 -99.1150116516551</f>
        <v>-838.09252512138971</v>
      </c>
      <c r="D2039">
        <f>-662.306505969503 -110.47423986516 -212.372547047975</f>
        <v>-985.15329288263797</v>
      </c>
      <c r="E2039">
        <f>-671.995804368513 -115.731592989056 -310.378395664899</f>
        <v>-1098.1057930224679</v>
      </c>
      <c r="F2039">
        <f>-678.284008307372 -118.109643164161 -399.221142464576</f>
        <v>-1195.614793936109</v>
      </c>
      <c r="G2039">
        <f>-681.729709217891 -118.023956784714 -488.251338100229</f>
        <v>-1288.0050041028339</v>
      </c>
      <c r="H2039">
        <f>-683.523904480495 -115.363621905402 -612.792600065846</f>
        <v>-1411.680126451743</v>
      </c>
      <c r="I2039">
        <f>-659.00489039148 -104.558665482001 -691.450635504741</f>
        <v>-1455.0141913782218</v>
      </c>
      <c r="J2039">
        <f>-692.123583061773 -90.4736897837565 -557.296167787984</f>
        <v>-1339.8934406335136</v>
      </c>
      <c r="K2039" t="s">
        <v>22518</v>
      </c>
      <c r="L2039" t="s">
        <v>22519</v>
      </c>
      <c r="M2039" t="s">
        <v>22520</v>
      </c>
      <c r="N2039">
        <f>-673.345146301299 -142.594896286568 -558.680044814326</f>
        <v>-1374.6200874021929</v>
      </c>
      <c r="O2039">
        <f>-627.498987098878 -269.470404239191 -532.225544967729</f>
        <v>-1429.1949363057979</v>
      </c>
      <c r="P2039">
        <f>-621.274153101119 -325.661617365751 -243.443660848516</f>
        <v>-1190.379431315386</v>
      </c>
      <c r="Q2039">
        <f>-475.112438129825 -138.003768619618 -281.812372357977</f>
        <v>-894.92857910741998</v>
      </c>
      <c r="R2039">
        <f>-682.36535360401 -9.87270264749122 -103.737480533943</f>
        <v>-795.97553678544421</v>
      </c>
      <c r="S2039" t="s">
        <v>22521</v>
      </c>
      <c r="T2039" t="s">
        <v>22522</v>
      </c>
      <c r="U2039" t="s">
        <v>22523</v>
      </c>
      <c r="V2039">
        <f>-602.602606573732 -183.438760972844 -96.5511138036776</f>
        <v>-882.59248135025359</v>
      </c>
      <c r="W2039" t="s">
        <v>22524</v>
      </c>
      <c r="X2039" t="s">
        <v>22525</v>
      </c>
      <c r="Y2039" t="s">
        <v>22526</v>
      </c>
    </row>
    <row r="2040" spans="1:25" x14ac:dyDescent="0.3">
      <c r="A2040">
        <v>101950</v>
      </c>
      <c r="B2040" t="s">
        <v>22527</v>
      </c>
      <c r="C2040">
        <f>-642.423020070179 -96.7319531145039 -99.1078288538038</f>
        <v>-838.26280203848671</v>
      </c>
      <c r="D2040">
        <f>-662.270934883701 -110.679464610817 -212.367436008173</f>
        <v>-985.31783550269097</v>
      </c>
      <c r="E2040">
        <f>-671.92859113767 -115.923884019149 -310.377027462663</f>
        <v>-1098.229502619482</v>
      </c>
      <c r="F2040">
        <f>-678.182697381345 -118.280174898827 -399.222840905527</f>
        <v>-1195.6857131856989</v>
      </c>
      <c r="G2040">
        <f>-681.588857688853 -118.162774854595 -488.254459301486</f>
        <v>-1288.006091844934</v>
      </c>
      <c r="H2040">
        <f>-683.32204043197 -115.447325890515 -612.795288855174</f>
        <v>-1411.564655177659</v>
      </c>
      <c r="I2040">
        <f>-658.792469053033 -104.594265151063 -691.443626857857</f>
        <v>-1454.830361061953</v>
      </c>
      <c r="J2040">
        <f>-691.963727964234 -90.5872189087619 -557.292139880034</f>
        <v>-1339.8430867530299</v>
      </c>
      <c r="K2040" t="s">
        <v>22528</v>
      </c>
      <c r="L2040" t="s">
        <v>22529</v>
      </c>
      <c r="M2040" t="s">
        <v>22530</v>
      </c>
      <c r="N2040">
        <f>-673.155076512497 -142.697249675631 -558.690052347515</f>
        <v>-1374.5423785356429</v>
      </c>
      <c r="O2040">
        <f>-627.242740807046 -269.544103712431 -532.256402826547</f>
        <v>-1429.0432473460239</v>
      </c>
      <c r="P2040">
        <f>-620.865670589762 -325.786178806013 -243.487760152355</f>
        <v>-1190.13960954813</v>
      </c>
      <c r="Q2040">
        <f>-474.759128904866 -138.027473834339 -281.571957249633</f>
        <v>-894.3585599888379</v>
      </c>
      <c r="R2040">
        <f>-682.371026116951 -10.0775394585171 -103.732953800003</f>
        <v>-796.18151937547111</v>
      </c>
      <c r="S2040" t="s">
        <v>22531</v>
      </c>
      <c r="T2040" t="s">
        <v>22532</v>
      </c>
      <c r="U2040" t="s">
        <v>22533</v>
      </c>
      <c r="V2040">
        <f>-602.578460777293 -183.578399483946 -96.5300381878446</f>
        <v>-882.68689844908363</v>
      </c>
      <c r="W2040" t="s">
        <v>22534</v>
      </c>
      <c r="X2040" t="s">
        <v>22535</v>
      </c>
      <c r="Y2040" t="s">
        <v>22536</v>
      </c>
    </row>
    <row r="2041" spans="1:25" x14ac:dyDescent="0.3">
      <c r="A2041">
        <v>102000</v>
      </c>
      <c r="B2041" t="s">
        <v>22537</v>
      </c>
      <c r="C2041">
        <f>-642.391600052517 -97.0770954147479 -99.0748430184432</f>
        <v>-838.54353848570804</v>
      </c>
      <c r="D2041">
        <f>-662.232188329273 -111.041581212731 -212.333803075369</f>
        <v>-985.60757261737297</v>
      </c>
      <c r="E2041">
        <f>-671.86081568408 -116.283015268314 -310.346436649164</f>
        <v>-1098.4902676015579</v>
      </c>
      <c r="F2041">
        <f>-678.079639346917 -118.629708336937 -399.194816887065</f>
        <v>-1195.904164570919</v>
      </c>
      <c r="G2041">
        <f>-681.441729940592 -118.495280818989 -488.22814650399</f>
        <v>-1288.165157263571</v>
      </c>
      <c r="H2041">
        <f>-683.104181589378 -115.748122331103 -612.769289329135</f>
        <v>-1411.6215932496159</v>
      </c>
      <c r="I2041">
        <f>-658.577739641757 -104.811501653381 -691.406851023714</f>
        <v>-1454.7960923188521</v>
      </c>
      <c r="J2041">
        <f>-691.810828487881 -90.9143631689739 -557.264449115837</f>
        <v>-1339.9896407726919</v>
      </c>
      <c r="K2041" t="s">
        <v>22538</v>
      </c>
      <c r="L2041" t="s">
        <v>22539</v>
      </c>
      <c r="M2041" t="s">
        <v>22540</v>
      </c>
      <c r="N2041">
        <f>-672.934361328492 -142.999658133009 -558.665335087828</f>
        <v>-1374.5993545493288</v>
      </c>
      <c r="O2041">
        <f>-626.791935200605 -269.768511544791 -532.222935946808</f>
        <v>-1428.7833826922042</v>
      </c>
      <c r="P2041">
        <f>-620.138640666707 -326.100048139018 -243.477889195423</f>
        <v>-1189.716578001148</v>
      </c>
      <c r="Q2041">
        <f>-474.410560780066 -137.921110745847 -280.933064441552</f>
        <v>-893.26473596746496</v>
      </c>
      <c r="R2041">
        <f>-682.389713787761 -10.4792159028814 -103.707527805943</f>
        <v>-796.57645749658536</v>
      </c>
      <c r="S2041" t="s">
        <v>22541</v>
      </c>
      <c r="T2041" t="s">
        <v>22542</v>
      </c>
      <c r="U2041" t="s">
        <v>22543</v>
      </c>
      <c r="V2041">
        <f>-602.512982027229 -183.841248482281 -96.501839765234</f>
        <v>-882.85607027474396</v>
      </c>
      <c r="W2041" t="s">
        <v>22544</v>
      </c>
      <c r="X2041" t="s">
        <v>22545</v>
      </c>
      <c r="Y2041" t="s">
        <v>22546</v>
      </c>
    </row>
    <row r="2042" spans="1:25" x14ac:dyDescent="0.3">
      <c r="A2042">
        <v>102050</v>
      </c>
      <c r="B2042" t="s">
        <v>22547</v>
      </c>
      <c r="C2042">
        <f>-642.339532611163 -97.3318073415567 -99.0486960573486</f>
        <v>-838.72003601006827</v>
      </c>
      <c r="D2042">
        <f>-662.204369476252 -111.322153039164 -212.300068453304</f>
        <v>-985.82659096871998</v>
      </c>
      <c r="E2042">
        <f>-671.843521240409 -116.57031444168 -310.311192599483</f>
        <v>-1098.7250282815721</v>
      </c>
      <c r="F2042">
        <f>-678.067354676838 -118.917156948333 -399.15951631652</f>
        <v>-1196.1440279416911</v>
      </c>
      <c r="G2042">
        <f>-681.429993866248 -118.776609848476 -488.192731794333</f>
        <v>-1288.399335509057</v>
      </c>
      <c r="H2042">
        <f>-683.08853762551 -116.014493387626 -612.733521059848</f>
        <v>-1411.836552072984</v>
      </c>
      <c r="I2042">
        <f>-658.566453251836 -105.043941510348 -691.367849028373</f>
        <v>-1454.9782437905569</v>
      </c>
      <c r="J2042">
        <f>-691.81304692618 -91.1932166727549 -557.225919248458</f>
        <v>-1340.232182847393</v>
      </c>
      <c r="K2042" t="s">
        <v>22548</v>
      </c>
      <c r="L2042" t="s">
        <v>22549</v>
      </c>
      <c r="M2042" t="s">
        <v>22550</v>
      </c>
      <c r="N2042">
        <f>-672.904297556413 -143.266679904341 -558.632620601346</f>
        <v>-1374.8035980621</v>
      </c>
      <c r="O2042">
        <f>-626.666260674169 -269.996018765684 -532.194404793373</f>
        <v>-1428.8566842332261</v>
      </c>
      <c r="P2042">
        <f>-619.870763044286 -326.099571221167 -243.408209936517</f>
        <v>-1189.37854420197</v>
      </c>
      <c r="Q2042">
        <f>-474.017809913255 -137.95159069408 -280.531605556691</f>
        <v>-892.50100616402597</v>
      </c>
      <c r="R2042">
        <f>-682.357680110405 -10.7358246411113 -103.689126100655</f>
        <v>-796.78263085217134</v>
      </c>
      <c r="S2042" t="s">
        <v>22551</v>
      </c>
      <c r="T2042" t="s">
        <v>22552</v>
      </c>
      <c r="U2042" t="s">
        <v>22553</v>
      </c>
      <c r="V2042">
        <f>-602.418784999027 -184.170018819076 -96.4803664146385</f>
        <v>-883.06917023274161</v>
      </c>
      <c r="W2042" t="s">
        <v>22554</v>
      </c>
      <c r="X2042" t="s">
        <v>22555</v>
      </c>
      <c r="Y2042" t="s">
        <v>22556</v>
      </c>
    </row>
    <row r="2043" spans="1:25" x14ac:dyDescent="0.3">
      <c r="A2043">
        <v>102100</v>
      </c>
      <c r="B2043" t="s">
        <v>22557</v>
      </c>
      <c r="C2043">
        <f>-642.227589118201 -97.7010249487994 -99.0246561442306</f>
        <v>-838.95327021123092</v>
      </c>
      <c r="D2043">
        <f>-662.168253058931 -111.759208270368 -212.254250982301</f>
        <v>-986.18171231159999</v>
      </c>
      <c r="E2043">
        <f>-671.859006249639 -117.033544408425 -310.259023266544</f>
        <v>-1099.1515739246079</v>
      </c>
      <c r="F2043">
        <f>-678.123564942132 -119.391575078853 -399.104062459321</f>
        <v>-1196.6192024803061</v>
      </c>
      <c r="G2043">
        <f>-681.521122870655 -119.249123157412 -488.13598210955</f>
        <v>-1288.9062281376168</v>
      </c>
      <c r="H2043">
        <f>-683.222190553973 -116.470435064789 -612.675812214988</f>
        <v>-1412.3684378337498</v>
      </c>
      <c r="I2043">
        <f>-658.704526610887 -105.458715841514 -691.305736918648</f>
        <v>-1455.468979371049</v>
      </c>
      <c r="J2043">
        <f>-691.964783996177 -91.6700336138343 -557.161815097754</f>
        <v>-1340.7966327077652</v>
      </c>
      <c r="K2043" t="s">
        <v>22558</v>
      </c>
      <c r="L2043" t="s">
        <v>22559</v>
      </c>
      <c r="M2043" t="s">
        <v>22560</v>
      </c>
      <c r="N2043">
        <f>-672.982438619464 -143.716332796205 -558.582380972825</f>
        <v>-1375.2811523884939</v>
      </c>
      <c r="O2043">
        <f>-626.537315948114 -270.372732188128 -532.123003122952</f>
        <v>-1429.0330512591941</v>
      </c>
      <c r="P2043">
        <f>-619.415294826243 -326.40865729134 -243.331541565588</f>
        <v>-1189.155493683171</v>
      </c>
      <c r="Q2043">
        <f>-473.500536857355 -138.197107992093 -279.885130293978</f>
        <v>-891.58277514342603</v>
      </c>
      <c r="R2043">
        <f>-682.356777678107 -11.1263461640337 -103.666978391642</f>
        <v>-797.15010223378283</v>
      </c>
      <c r="S2043" t="s">
        <v>22561</v>
      </c>
      <c r="T2043" t="s">
        <v>22562</v>
      </c>
      <c r="U2043" t="s">
        <v>22563</v>
      </c>
      <c r="V2043">
        <f>-602.192315500409 -184.457849080119 -96.461765353652</f>
        <v>-883.11192993418001</v>
      </c>
      <c r="W2043" t="s">
        <v>22564</v>
      </c>
      <c r="X2043" t="s">
        <v>22565</v>
      </c>
      <c r="Y2043" t="s">
        <v>22566</v>
      </c>
    </row>
    <row r="2044" spans="1:25" x14ac:dyDescent="0.3">
      <c r="A2044">
        <v>102150</v>
      </c>
      <c r="B2044" t="s">
        <v>22567</v>
      </c>
      <c r="C2044">
        <f>-642.141786631738 -97.9079680815885 -99.0215027268093</f>
        <v>-839.07125744013581</v>
      </c>
      <c r="D2044">
        <f>-662.10942295761 -111.986902057328 -212.24390599913</f>
        <v>-986.34023101406797</v>
      </c>
      <c r="E2044">
        <f>-671.828913215859 -117.272153646427 -310.245086226709</f>
        <v>-1099.3461530889949</v>
      </c>
      <c r="F2044">
        <f>-678.121750747914 -119.637172518369 -399.087867058863</f>
        <v>-1196.846790325146</v>
      </c>
      <c r="G2044">
        <f>-681.550007355571 -119.498576728161 -488.118619884454</f>
        <v>-1289.167203968186</v>
      </c>
      <c r="H2044">
        <f>-683.296727523088 -116.72183590119 -612.658029053439</f>
        <v>-1412.6765924777169</v>
      </c>
      <c r="I2044">
        <f>-658.789456387411 -105.695908189832 -691.289159278782</f>
        <v>-1455.7745238560251</v>
      </c>
      <c r="J2044">
        <f>-692.039648740469 -91.9280676400075 -557.14092620431</f>
        <v>-1341.1086425847866</v>
      </c>
      <c r="K2044" t="s">
        <v>22568</v>
      </c>
      <c r="L2044" t="s">
        <v>22569</v>
      </c>
      <c r="M2044" t="s">
        <v>22570</v>
      </c>
      <c r="N2044">
        <f>-673.016546603185 -143.959346958105 -558.567803592567</f>
        <v>-1375.543697153857</v>
      </c>
      <c r="O2044">
        <f>-626.469349698639 -270.579018984572 -532.116676681468</f>
        <v>-1429.1650453646789</v>
      </c>
      <c r="P2044">
        <f>-619.324611842157 -326.432341197022 -243.290513403742</f>
        <v>-1189.0474664429212</v>
      </c>
      <c r="Q2044">
        <f>-473.166731581826 -138.382993860055 -279.707640662489</f>
        <v>-891.25736610437002</v>
      </c>
      <c r="R2044">
        <f>-682.310758010104 -11.3431239837771 -103.657002078235</f>
        <v>-797.3108840721161</v>
      </c>
      <c r="S2044" t="s">
        <v>22571</v>
      </c>
      <c r="T2044" t="s">
        <v>22572</v>
      </c>
      <c r="U2044" t="s">
        <v>22573</v>
      </c>
      <c r="V2044">
        <f>-602.09934214974 -184.657840119615 -96.4512126257745</f>
        <v>-883.20839489512946</v>
      </c>
      <c r="W2044" t="s">
        <v>22574</v>
      </c>
      <c r="X2044" t="s">
        <v>22575</v>
      </c>
      <c r="Y2044" t="s">
        <v>22576</v>
      </c>
    </row>
    <row r="2045" spans="1:25" x14ac:dyDescent="0.3">
      <c r="A2045">
        <v>102200</v>
      </c>
      <c r="B2045" t="s">
        <v>22577</v>
      </c>
      <c r="C2045">
        <f>-642.114709042745 -98.0824188273441 -99.0179457948586</f>
        <v>-839.21507366494768</v>
      </c>
      <c r="D2045">
        <f>-662.142946902947 -112.23446741317 -212.220440878488</f>
        <v>-986.59785519460502</v>
      </c>
      <c r="E2045">
        <f>-671.929897457293 -117.544458315811 -310.213650507296</f>
        <v>-1099.6880062804</v>
      </c>
      <c r="F2045">
        <f>-678.290130776232 -119.91597681303 -399.051596251335</f>
        <v>-1197.2577038405971</v>
      </c>
      <c r="G2045">
        <f>-681.792537900101 -119.766703995523 -488.079407818043</f>
        <v>-1289.6386497136671</v>
      </c>
      <c r="H2045">
        <f>-683.650238322349 -116.956323186072 -612.616371193772</f>
        <v>-1413.222932702193</v>
      </c>
      <c r="I2045">
        <f>-659.15887987003 -105.884567462935 -691.245987073715</f>
        <v>-1456.2894344066799</v>
      </c>
      <c r="J2045">
        <f>-692.389363414219 -92.1943165145268 -557.084574786898</f>
        <v>-1341.6682547156438</v>
      </c>
      <c r="K2045" t="s">
        <v>22578</v>
      </c>
      <c r="L2045" t="s">
        <v>22579</v>
      </c>
      <c r="M2045" t="s">
        <v>22580</v>
      </c>
      <c r="N2045">
        <f>-673.276225368268 -144.191732535141 -558.543037872795</f>
        <v>-1376.010995776204</v>
      </c>
      <c r="O2045">
        <f>-626.523606147626 -270.741953535277 -532.106404712901</f>
        <v>-1429.3719643958038</v>
      </c>
      <c r="P2045">
        <f>-619.115218576604 -326.571790533582 -243.282452103962</f>
        <v>-1188.9694612141479</v>
      </c>
      <c r="Q2045">
        <f>-472.987323178117 -138.463859260571 -279.516323498573</f>
        <v>-890.96750593726097</v>
      </c>
      <c r="R2045">
        <f>-682.309655483122 -11.619794803652 -103.658044961509</f>
        <v>-797.58749524828295</v>
      </c>
      <c r="S2045" t="s">
        <v>22581</v>
      </c>
      <c r="T2045" t="s">
        <v>22582</v>
      </c>
      <c r="U2045" t="s">
        <v>22583</v>
      </c>
      <c r="V2045">
        <f>-602.021080426324 -184.765288888895 -96.4236501903295</f>
        <v>-883.21001950554842</v>
      </c>
      <c r="W2045" t="s">
        <v>22584</v>
      </c>
      <c r="X2045" t="s">
        <v>22585</v>
      </c>
      <c r="Y2045" t="s">
        <v>22586</v>
      </c>
    </row>
    <row r="2046" spans="1:25" x14ac:dyDescent="0.3">
      <c r="A2046">
        <v>102250</v>
      </c>
      <c r="B2046" t="s">
        <v>22587</v>
      </c>
      <c r="C2046">
        <f>-642.159960853603 -98.1276405767735 -99.0115340963289</f>
        <v>-839.29913552670541</v>
      </c>
      <c r="D2046">
        <f>-662.238647148991 -112.319618585133 -212.200112045174</f>
        <v>-986.75837777929803</v>
      </c>
      <c r="E2046">
        <f>-672.060809826489 -117.644905480912 -310.189029880644</f>
        <v>-1099.8947451880451</v>
      </c>
      <c r="F2046">
        <f>-678.44978941021 -120.022304564335 -399.024727970398</f>
        <v>-1197.4968219449429</v>
      </c>
      <c r="G2046">
        <f>-681.978188660447 -119.870321567498 -488.051453106907</f>
        <v>-1289.8999633348519</v>
      </c>
      <c r="H2046">
        <f>-683.869448300233 -117.046839503272 -612.587685852069</f>
        <v>-1413.5039736555739</v>
      </c>
      <c r="I2046">
        <f>-659.380112858715 -105.947053712219 -691.213883340576</f>
        <v>-1456.5410499115101</v>
      </c>
      <c r="J2046">
        <f>-692.620615061529 -92.3007210804016 -557.050682290471</f>
        <v>-1341.9720184324015</v>
      </c>
      <c r="K2046" t="s">
        <v>22588</v>
      </c>
      <c r="L2046" t="s">
        <v>22589</v>
      </c>
      <c r="M2046" t="s">
        <v>22590</v>
      </c>
      <c r="N2046">
        <f>-673.453710351248 -144.277921583804 -558.520192484609</f>
        <v>-1376.2518244196608</v>
      </c>
      <c r="O2046">
        <f>-626.596928729919 -270.779041965537 -532.078989722484</f>
        <v>-1429.4549604179401</v>
      </c>
      <c r="P2046">
        <f>-619.036490273543 -326.556718055701 -243.248672308523</f>
        <v>-1188.841880637767</v>
      </c>
      <c r="Q2046">
        <f>-472.835374871 -138.504062220101 -279.474833571593</f>
        <v>-890.81427066269407</v>
      </c>
      <c r="R2046">
        <f>-682.414045802998 -11.6273011274818 -103.669731066157</f>
        <v>-797.71107799663673</v>
      </c>
      <c r="S2046" t="s">
        <v>22591</v>
      </c>
      <c r="T2046" t="s">
        <v>22592</v>
      </c>
      <c r="U2046" t="s">
        <v>22593</v>
      </c>
      <c r="V2046">
        <f>-602.018783412005 -184.802651798272 -96.4191529078562</f>
        <v>-883.24058811813313</v>
      </c>
      <c r="W2046" t="s">
        <v>22594</v>
      </c>
      <c r="X2046" t="s">
        <v>22595</v>
      </c>
      <c r="Y2046" t="s">
        <v>22596</v>
      </c>
    </row>
    <row r="2047" spans="1:25" x14ac:dyDescent="0.3">
      <c r="A2047">
        <v>102300</v>
      </c>
      <c r="B2047" t="s">
        <v>22597</v>
      </c>
      <c r="C2047">
        <f>-642.195758508649 -98.1628375167548 -99.0147388829303</f>
        <v>-839.37333490833407</v>
      </c>
      <c r="D2047">
        <f>-662.311294251413 -112.386838847673 -212.19275587019</f>
        <v>-986.89088896927592</v>
      </c>
      <c r="E2047">
        <f>-672.165145146939 -117.727981763549 -310.177613555969</f>
        <v>-1100.070740466457</v>
      </c>
      <c r="F2047">
        <f>-678.583177502884 -120.114611971039 -399.010971487284</f>
        <v>-1197.7087609612072</v>
      </c>
      <c r="G2047">
        <f>-682.141234097702 -119.966261309873 -488.036571649309</f>
        <v>-1290.1440670568841</v>
      </c>
      <c r="H2047">
        <f>-684.074654738248 -117.141608948293 -612.572092841064</f>
        <v>-1413.7883565276049</v>
      </c>
      <c r="I2047">
        <f>-659.579447821622 -106.029078879636 -691.194652450009</f>
        <v>-1456.8031791512672</v>
      </c>
      <c r="J2047">
        <f>-692.832801878372 -92.4055335335177 -557.031667847914</f>
        <v>-1342.2700032598036</v>
      </c>
      <c r="K2047" t="s">
        <v>22598</v>
      </c>
      <c r="L2047" t="s">
        <v>22599</v>
      </c>
      <c r="M2047" t="s">
        <v>22600</v>
      </c>
      <c r="N2047">
        <f>-673.614963595626 -144.363720165219 -558.508675747769</f>
        <v>-1376.487359508614</v>
      </c>
      <c r="O2047">
        <f>-626.650017553013 -270.823711258816 -532.053929401568</f>
        <v>-1429.527658213397</v>
      </c>
      <c r="P2047">
        <f>-618.917389576531 -326.513609432868 -243.211367315494</f>
        <v>-1188.6423663248931</v>
      </c>
      <c r="Q2047">
        <f>-472.781073514058 -138.40207309979 -279.392594333474</f>
        <v>-890.57574094732195</v>
      </c>
      <c r="R2047">
        <f>-682.498935078911 -11.6746859636712 -103.67434400881</f>
        <v>-797.84796505139218</v>
      </c>
      <c r="S2047" t="s">
        <v>22601</v>
      </c>
      <c r="T2047" t="s">
        <v>22602</v>
      </c>
      <c r="U2047" t="s">
        <v>22603</v>
      </c>
      <c r="V2047">
        <f>-602.001374303772 -184.827789321486 -96.4102283382376</f>
        <v>-883.23939196349556</v>
      </c>
      <c r="W2047" t="s">
        <v>22604</v>
      </c>
      <c r="X2047" t="s">
        <v>22605</v>
      </c>
      <c r="Y2047" t="s">
        <v>22606</v>
      </c>
    </row>
    <row r="2048" spans="1:25" x14ac:dyDescent="0.3">
      <c r="A2048">
        <v>102350</v>
      </c>
      <c r="B2048" t="s">
        <v>22607</v>
      </c>
      <c r="C2048">
        <f>-642.294377409718 -98.2065168907042 -99.0157247362379</f>
        <v>-839.51661903666002</v>
      </c>
      <c r="D2048">
        <f>-662.44672897402 -112.476421295178 -212.181438018199</f>
        <v>-987.10458828739706</v>
      </c>
      <c r="E2048">
        <f>-672.346848965552 -117.848969289322 -310.160002482682</f>
        <v>-1100.3558207375559</v>
      </c>
      <c r="F2048">
        <f>-678.813279082276 -120.259990782161 -398.988996751425</f>
        <v>-1198.062266615862</v>
      </c>
      <c r="G2048">
        <f>-682.427520695044 -120.130567209864 -488.01241597992</f>
        <v>-1290.570503884828</v>
      </c>
      <c r="H2048">
        <f>-684.447967693968 -117.325518971462 -612.54698347936</f>
        <v>-1414.3204701447901</v>
      </c>
      <c r="I2048">
        <f>-659.943647146219 -106.218851261148 -691.167641348365</f>
        <v>-1457.330139755732</v>
      </c>
      <c r="J2048">
        <f>-693.217031070073 -92.599132188441 -557.00410780759</f>
        <v>-1342.8202710661039</v>
      </c>
      <c r="K2048" t="s">
        <v>22608</v>
      </c>
      <c r="L2048" t="s">
        <v>22609</v>
      </c>
      <c r="M2048" t="s">
        <v>22610</v>
      </c>
      <c r="N2048">
        <f>-673.900639249959 -144.520647705906 -558.486920809139</f>
        <v>-1376.9082077650039</v>
      </c>
      <c r="O2048">
        <f>-626.748980727449 -270.903303031948 -531.989637053421</f>
        <v>-1429.6419208128179</v>
      </c>
      <c r="P2048">
        <f>-618.650701372543 -326.488685672033 -243.136867325759</f>
        <v>-1188.2762543703352</v>
      </c>
      <c r="Q2048">
        <f>-472.800408426004 -138.168560614163 -279.387478242671</f>
        <v>-890.35644728283808</v>
      </c>
      <c r="R2048">
        <f>-682.633164576526 -11.7837068101014 -103.689717953434</f>
        <v>-798.10658934006142</v>
      </c>
      <c r="S2048" t="s">
        <v>22611</v>
      </c>
      <c r="T2048" t="s">
        <v>22612</v>
      </c>
      <c r="U2048" t="s">
        <v>22613</v>
      </c>
      <c r="V2048">
        <f>-602.052883493535 -184.834008123754 -96.4018621538999</f>
        <v>-883.28875377118879</v>
      </c>
      <c r="W2048" t="s">
        <v>22614</v>
      </c>
      <c r="X2048" t="s">
        <v>22615</v>
      </c>
      <c r="Y2048" t="s">
        <v>22616</v>
      </c>
    </row>
    <row r="2049" spans="1:25" x14ac:dyDescent="0.3">
      <c r="A2049">
        <v>102400</v>
      </c>
      <c r="B2049" t="s">
        <v>22617</v>
      </c>
      <c r="C2049">
        <f>-642.444908101226 -98.166412762462 -99.008939137169</f>
        <v>-839.620260000857</v>
      </c>
      <c r="D2049">
        <f>-662.620123519975 -112.446808477136 -212.169259952187</f>
        <v>-987.2361919492979</v>
      </c>
      <c r="E2049">
        <f>-672.53898786661 -117.826335350992 -310.145410717504</f>
        <v>-1100.5107339351061</v>
      </c>
      <c r="F2049">
        <f>-679.023236973349 -120.241757133616 -398.973186201133</f>
        <v>-1198.238180308098</v>
      </c>
      <c r="G2049">
        <f>-682.657019848063 -120.113535999046 -487.995771074167</f>
        <v>-1290.766326921276</v>
      </c>
      <c r="H2049">
        <f>-684.707451283187 -117.306081165383 -612.52971613684</f>
        <v>-1414.5432485854099</v>
      </c>
      <c r="I2049">
        <f>-660.196940962679 -106.186184105808 -691.146636908903</f>
        <v>-1457.5297619773901</v>
      </c>
      <c r="J2049">
        <f>-693.518673482083 -92.6014245939894 -556.983737218414</f>
        <v>-1343.1038352944865</v>
      </c>
      <c r="K2049" t="s">
        <v>22618</v>
      </c>
      <c r="L2049" t="s">
        <v>22619</v>
      </c>
      <c r="M2049" t="s">
        <v>22620</v>
      </c>
      <c r="N2049">
        <f>-674.091633133832 -144.481509870468 -558.47326067489</f>
        <v>-1377.04640367919</v>
      </c>
      <c r="O2049">
        <f>-626.721523648213 -270.7781034626 -531.951500369824</f>
        <v>-1429.4511274806368</v>
      </c>
      <c r="P2049">
        <f>-618.487871443119 -326.442083144739 -243.117670090911</f>
        <v>-1188.0476246787689</v>
      </c>
      <c r="Q2049">
        <f>-473.2909002405 -137.647600216226 -279.522710100313</f>
        <v>-890.46121055703895</v>
      </c>
      <c r="R2049">
        <f>-682.845519939099 -11.7613785962881 -103.692617304238</f>
        <v>-798.29951583962497</v>
      </c>
      <c r="S2049" t="s">
        <v>22621</v>
      </c>
      <c r="T2049" t="s">
        <v>22622</v>
      </c>
      <c r="U2049" t="s">
        <v>22623</v>
      </c>
      <c r="V2049">
        <f>-602.152101491448 -184.749927873885 -96.4003867249386</f>
        <v>-883.30241609027155</v>
      </c>
      <c r="W2049" t="s">
        <v>22624</v>
      </c>
      <c r="X2049" t="s">
        <v>22625</v>
      </c>
      <c r="Y2049" t="s">
        <v>22626</v>
      </c>
    </row>
    <row r="2050" spans="1:25" x14ac:dyDescent="0.3">
      <c r="A2050">
        <v>102450</v>
      </c>
      <c r="B2050" t="s">
        <v>22627</v>
      </c>
      <c r="C2050">
        <f>-642.585910878859 -98.1457246822098 -99.0071440871267</f>
        <v>-839.73877964819542</v>
      </c>
      <c r="D2050">
        <f>-662.769806153815 -112.426102014772 -212.165879153026</f>
        <v>-987.36178732161306</v>
      </c>
      <c r="E2050">
        <f>-672.68350008218 -117.809275476291 -310.142365926642</f>
        <v>-1100.6351414851129</v>
      </c>
      <c r="F2050">
        <f>-679.158446417593 -120.229217820898 -398.97060047759</f>
        <v>-1198.3582647160811</v>
      </c>
      <c r="G2050">
        <f>-682.778669918397 -120.106271591362 -487.993774739012</f>
        <v>-1290.8787162487711</v>
      </c>
      <c r="H2050">
        <f>-684.806188888741 -117.306590114651 -612.528452836374</f>
        <v>-1414.6412318397661</v>
      </c>
      <c r="I2050">
        <f>-660.284587836342 -106.167752332419 -691.139137023733</f>
        <v>-1457.591477192494</v>
      </c>
      <c r="J2050">
        <f>-693.654598338588 -92.6086415651403 -556.985409267299</f>
        <v>-1343.2486491710274</v>
      </c>
      <c r="K2050" t="s">
        <v>22628</v>
      </c>
      <c r="L2050" t="s">
        <v>22629</v>
      </c>
      <c r="M2050" t="s">
        <v>22630</v>
      </c>
      <c r="N2050">
        <f>-674.173369721368 -144.468567066781 -558.468399116244</f>
        <v>-1377.110335904393</v>
      </c>
      <c r="O2050">
        <f>-626.694392207548 -270.71358308413 -531.907961197549</f>
        <v>-1429.3159364892269</v>
      </c>
      <c r="P2050">
        <f>-618.417694494019 -326.367173258704 -243.073445043061</f>
        <v>-1187.8583127957838</v>
      </c>
      <c r="Q2050">
        <f>-473.662067362777 -137.241269149322 -279.51599460415</f>
        <v>-890.41933111624905</v>
      </c>
      <c r="R2050">
        <f>-683.00883221216 -11.749546607434 -103.687993790989</f>
        <v>-798.44637261058301</v>
      </c>
      <c r="S2050" t="s">
        <v>22631</v>
      </c>
      <c r="T2050" t="s">
        <v>22632</v>
      </c>
      <c r="U2050" t="s">
        <v>22633</v>
      </c>
      <c r="V2050">
        <f>-602.285802674433 -184.734129159643 -96.405508504823</f>
        <v>-883.42544033889897</v>
      </c>
      <c r="W2050" t="s">
        <v>22634</v>
      </c>
      <c r="X2050" t="s">
        <v>22635</v>
      </c>
      <c r="Y2050" t="s">
        <v>22636</v>
      </c>
    </row>
    <row r="2051" spans="1:25" x14ac:dyDescent="0.3">
      <c r="A2051">
        <v>102500</v>
      </c>
      <c r="B2051" t="s">
        <v>22637</v>
      </c>
      <c r="C2051">
        <f>-642.930161827889 -97.9999274803912 -99.0254931012871</f>
        <v>-839.95558240956734</v>
      </c>
      <c r="D2051">
        <f>-663.138885159586 -112.280038372263 -212.1798849547</f>
        <v>-987.59880848654905</v>
      </c>
      <c r="E2051">
        <f>-673.034234846348 -117.679272153667 -310.1573537407</f>
        <v>-1100.870860740715</v>
      </c>
      <c r="F2051">
        <f>-679.477461377598 -120.120366114999 -398.987279933035</f>
        <v>-1198.585107425632</v>
      </c>
      <c r="G2051">
        <f>-683.051368642355 -120.024528760738 -488.012388260378</f>
        <v>-1291.088285663471</v>
      </c>
      <c r="H2051">
        <f>-684.999302757698 -117.268457048128 -612.549149182785</f>
        <v>-1414.816908988611</v>
      </c>
      <c r="I2051">
        <f>-660.408036916014 -106.118978371418 -691.136624992635</f>
        <v>-1457.6636402800671</v>
      </c>
      <c r="J2051">
        <f>-693.925890849111 -92.5671446162818 -557.020194796702</f>
        <v>-1343.5132302620948</v>
      </c>
      <c r="K2051" t="s">
        <v>22638</v>
      </c>
      <c r="L2051" t="s">
        <v>22639</v>
      </c>
      <c r="M2051" t="s">
        <v>22640</v>
      </c>
      <c r="N2051">
        <f>-674.358347071524 -144.39537854432 -558.473130191593</f>
        <v>-1377.226855807437</v>
      </c>
      <c r="O2051">
        <f>-626.717912434984 -270.572062284612 -531.872962380593</f>
        <v>-1429.1629371001891</v>
      </c>
      <c r="P2051">
        <f>-618.01488617601 -326.49738399409 -243.103523874952</f>
        <v>-1187.6157940450521</v>
      </c>
      <c r="Q2051">
        <f>-475.168108668759 -135.754773043474 -278.641213614775</f>
        <v>-889.56409532700798</v>
      </c>
      <c r="R2051">
        <f>-683.417115511789 -11.6047302496881 -103.676163016667</f>
        <v>-798.69800877814419</v>
      </c>
      <c r="S2051" t="s">
        <v>22641</v>
      </c>
      <c r="T2051" t="s">
        <v>22642</v>
      </c>
      <c r="U2051" t="s">
        <v>22643</v>
      </c>
      <c r="V2051">
        <f>-602.576477902014 -184.603965789397 -96.4254701123541</f>
        <v>-883.60591380376502</v>
      </c>
      <c r="W2051" t="s">
        <v>22644</v>
      </c>
      <c r="X2051" t="s">
        <v>22645</v>
      </c>
      <c r="Y2051" t="s">
        <v>22646</v>
      </c>
    </row>
    <row r="2052" spans="1:25" x14ac:dyDescent="0.3">
      <c r="A2052">
        <v>102550</v>
      </c>
      <c r="B2052" t="s">
        <v>22647</v>
      </c>
      <c r="C2052">
        <f>-643.078484830693 -97.8812496589546 -99.0274838559258</f>
        <v>-839.98721834557341</v>
      </c>
      <c r="D2052">
        <f>-663.293417286669 -112.17077178492 -212.179474099602</f>
        <v>-987.64366317119095</v>
      </c>
      <c r="E2052">
        <f>-673.172003963769 -117.57530336471 -310.158498926202</f>
        <v>-1100.905806254681</v>
      </c>
      <c r="F2052">
        <f>-679.590992345402 -120.020431197188 -398.990028851997</f>
        <v>-1198.6014523945871</v>
      </c>
      <c r="G2052">
        <f>-683.131530577912 -119.927811039115 -488.016346818363</f>
        <v>-1291.07568843539</v>
      </c>
      <c r="H2052">
        <f>-685.023265662093 -117.175868697506 -612.554237580247</f>
        <v>-1414.7533719398459</v>
      </c>
      <c r="I2052">
        <f>-660.37833459213 -106.023783021097 -691.124469786895</f>
        <v>-1457.526587400122</v>
      </c>
      <c r="J2052">
        <f>-693.984928717418 -92.4765210407382 -557.029874319092</f>
        <v>-1343.4913240772482</v>
      </c>
      <c r="K2052" t="s">
        <v>22648</v>
      </c>
      <c r="L2052" t="s">
        <v>22649</v>
      </c>
      <c r="M2052" t="s">
        <v>22650</v>
      </c>
      <c r="N2052">
        <f>-674.396667010746 -144.297191166811 -558.472599813431</f>
        <v>-1377.166457990988</v>
      </c>
      <c r="O2052">
        <f>-626.725442012798 -270.463517612926 -531.867529499304</f>
        <v>-1429.0564891250281</v>
      </c>
      <c r="P2052">
        <f>-617.436119299895 -326.939492019646 -243.223528540799</f>
        <v>-1187.5991398603401</v>
      </c>
      <c r="Q2052">
        <f>-476.261113523803 -134.814895093818 -277.988913247486</f>
        <v>-889.06492186510695</v>
      </c>
      <c r="R2052">
        <f>-683.562340868716 -11.5416309498703 -103.673789596801</f>
        <v>-798.77776141538732</v>
      </c>
      <c r="S2052" t="s">
        <v>22651</v>
      </c>
      <c r="T2052" t="s">
        <v>22652</v>
      </c>
      <c r="U2052" t="s">
        <v>22653</v>
      </c>
      <c r="V2052">
        <f>-602.690466128169 -184.437954100503 -96.4381244522023</f>
        <v>-883.56654468087424</v>
      </c>
      <c r="W2052" t="s">
        <v>22654</v>
      </c>
      <c r="X2052" t="s">
        <v>22655</v>
      </c>
      <c r="Y2052" t="s">
        <v>22656</v>
      </c>
    </row>
    <row r="2053" spans="1:25" x14ac:dyDescent="0.3">
      <c r="A2053">
        <v>102600</v>
      </c>
      <c r="B2053" t="s">
        <v>22657</v>
      </c>
      <c r="C2053">
        <f>-643.416131002958 -97.663523207885 -99.0508741380634</f>
        <v>-840.1305283489063</v>
      </c>
      <c r="D2053">
        <f>-663.644607371157 -111.949084263216 -212.201082739014</f>
        <v>-987.7947743733871</v>
      </c>
      <c r="E2053">
        <f>-673.493512435164 -117.331306659607 -310.184010773194</f>
        <v>-1101.008829867965</v>
      </c>
      <c r="F2053">
        <f>-679.868920061827 -119.749074817058 -399.01956414606</f>
        <v>-1198.6375590249449</v>
      </c>
      <c r="G2053">
        <f>-683.349307508656 -119.62160958705 -488.048345850494</f>
        <v>-1291.0192629461999</v>
      </c>
      <c r="H2053">
        <f>-685.139707647126 -116.813121371213 -612.586392851027</f>
        <v>-1414.539221869366</v>
      </c>
      <c r="I2053">
        <f>-660.371559317502 -105.640181454727 -691.114888650707</f>
        <v>-1457.126629422936</v>
      </c>
      <c r="J2053">
        <f>-694.170498175079 -92.1480468954965 -557.058044333635</f>
        <v>-1343.3765894042106</v>
      </c>
      <c r="K2053" t="s">
        <v>22658</v>
      </c>
      <c r="L2053" t="s">
        <v>22659</v>
      </c>
      <c r="M2053" t="s">
        <v>22660</v>
      </c>
      <c r="N2053">
        <f>-674.533088863354 -143.949921600135 -558.508566338184</f>
        <v>-1376.9915768016731</v>
      </c>
      <c r="O2053">
        <f>-626.820410855618 -270.112663849422 -531.961113145111</f>
        <v>-1428.894187850151</v>
      </c>
      <c r="P2053">
        <f>-616.671156882879 -327.504893389569 -243.526757962662</f>
        <v>-1187.7028082351101</v>
      </c>
      <c r="Q2053">
        <f>-478.327095092448 -133.014020586299 -276.467754469232</f>
        <v>-887.80887014797895</v>
      </c>
      <c r="R2053">
        <f>-683.911563350642 -11.3168612113418 -103.687905910407</f>
        <v>-798.91633047239088</v>
      </c>
      <c r="S2053" t="s">
        <v>22661</v>
      </c>
      <c r="T2053" t="s">
        <v>22662</v>
      </c>
      <c r="U2053" t="s">
        <v>22663</v>
      </c>
      <c r="V2053">
        <f>-603.022899899322 -184.219137495174 -96.4579969562823</f>
        <v>-883.70003435077831</v>
      </c>
      <c r="W2053" t="s">
        <v>22664</v>
      </c>
      <c r="X2053" t="s">
        <v>22665</v>
      </c>
      <c r="Y2053" t="s">
        <v>22666</v>
      </c>
    </row>
    <row r="2054" spans="1:25" x14ac:dyDescent="0.3">
      <c r="A2054">
        <v>102650</v>
      </c>
      <c r="B2054" t="s">
        <v>22667</v>
      </c>
      <c r="C2054">
        <f>-643.58332934008 -97.472196554424 -99.0603322803169</f>
        <v>-840.11585817482091</v>
      </c>
      <c r="D2054">
        <f>-663.812570477007 -111.744164142599 -212.212067816477</f>
        <v>-987.76880243608298</v>
      </c>
      <c r="E2054">
        <f>-673.643813433002 -117.108285646217 -310.197887608629</f>
        <v>-1100.9499866878482</v>
      </c>
      <c r="F2054">
        <f>-679.995837112078 -119.507185665197 -399.03557395562</f>
        <v>-1198.538596732895</v>
      </c>
      <c r="G2054">
        <f>-683.445670292926 -119.358334327186 -488.065456659325</f>
        <v>-1290.869461279437</v>
      </c>
      <c r="H2054">
        <f>-685.185530971257 -116.517324668887 -612.603497749756</f>
        <v>-1414.3063533898999</v>
      </c>
      <c r="I2054">
        <f>-660.35678570086 -105.331068069056 -691.111099445065</f>
        <v>-1456.7989532149809</v>
      </c>
      <c r="J2054">
        <f>-694.247173632058 -91.8698649612562 -557.07241935539</f>
        <v>-1343.1894579487043</v>
      </c>
      <c r="K2054" t="s">
        <v>22668</v>
      </c>
      <c r="L2054" t="s">
        <v>22669</v>
      </c>
      <c r="M2054" t="s">
        <v>22670</v>
      </c>
      <c r="N2054">
        <f>-674.592600149434 -143.665114668634 -558.528467914631</f>
        <v>-1376.7861827326992</v>
      </c>
      <c r="O2054">
        <f>-626.903794946343 -269.847811156611 -532.022579006356</f>
        <v>-1428.7741851093101</v>
      </c>
      <c r="P2054">
        <f>-616.650464358173 -327.58036790597 -243.65991560494</f>
        <v>-1187.890747869083</v>
      </c>
      <c r="Q2054">
        <f>-479.021305160784 -132.463316144289 -275.884522229405</f>
        <v>-887.36914353447798</v>
      </c>
      <c r="R2054">
        <f>-684.093890409301 -11.1209288714335 -103.690533341745</f>
        <v>-798.90535262247954</v>
      </c>
      <c r="S2054" t="s">
        <v>22671</v>
      </c>
      <c r="T2054" t="s">
        <v>22672</v>
      </c>
      <c r="U2054" t="s">
        <v>22673</v>
      </c>
      <c r="V2054">
        <f>-603.165060456343 -184.007579527031 -96.4773154622424</f>
        <v>-883.64995544561634</v>
      </c>
      <c r="W2054" t="s">
        <v>22674</v>
      </c>
      <c r="X2054" t="s">
        <v>22675</v>
      </c>
      <c r="Y2054" t="s">
        <v>22676</v>
      </c>
    </row>
    <row r="2055" spans="1:25" x14ac:dyDescent="0.3">
      <c r="A2055">
        <v>102700</v>
      </c>
      <c r="B2055" t="s">
        <v>22677</v>
      </c>
      <c r="C2055">
        <f>-643.779908834174 -97.155939591118 -99.0554413213919</f>
        <v>-839.99128974668383</v>
      </c>
      <c r="D2055">
        <f>-664.010523524185 -111.394272726295 -212.211126663565</f>
        <v>-987.61592291404497</v>
      </c>
      <c r="E2055">
        <f>-673.777950935704 -116.687785759298 -310.20725345794</f>
        <v>-1100.672990152942</v>
      </c>
      <c r="F2055">
        <f>-680.045849921417 -119.005958218098 -399.053026778347</f>
        <v>-1198.104834917862</v>
      </c>
      <c r="G2055">
        <f>-683.384947851762 -118.759795060604 -488.086833000535</f>
        <v>-1290.231575912901</v>
      </c>
      <c r="H2055">
        <f>-684.942380288421 -115.765587992952 -612.623747806307</f>
        <v>-1413.33171608768</v>
      </c>
      <c r="I2055">
        <f>-659.963233428764 -104.508627843578 -691.073452740349</f>
        <v>-1455.5453140126911</v>
      </c>
      <c r="J2055">
        <f>-694.081096648906 -91.1849044829949 -557.075761452037</f>
        <v>-1342.3417625839379</v>
      </c>
      <c r="K2055" t="s">
        <v>22678</v>
      </c>
      <c r="L2055" t="s">
        <v>22679</v>
      </c>
      <c r="M2055" t="s">
        <v>22680</v>
      </c>
      <c r="N2055">
        <f>-674.432944659496 -142.981459571825 -558.566741934918</f>
        <v>-1375.9811461662389</v>
      </c>
      <c r="O2055">
        <f>-626.922316521611 -269.257758850472 -532.163771244455</f>
        <v>-1428.343846616538</v>
      </c>
      <c r="P2055">
        <f>-616.477541516418 -327.841975877602 -243.979808347403</f>
        <v>-1188.299325741423</v>
      </c>
      <c r="Q2055">
        <f>-479.470267225073 -132.037867669016 -274.649100609718</f>
        <v>-886.15723550380699</v>
      </c>
      <c r="R2055">
        <f>-684.259419679704 -10.8083537737218 -103.670570649757</f>
        <v>-798.73834410318284</v>
      </c>
      <c r="S2055" t="s">
        <v>22681</v>
      </c>
      <c r="T2055" t="s">
        <v>22682</v>
      </c>
      <c r="U2055" t="s">
        <v>22683</v>
      </c>
      <c r="V2055">
        <f>-603.412350131706 -183.705369128652 -96.4931575329219</f>
        <v>-883.61087679328</v>
      </c>
      <c r="W2055" t="s">
        <v>22684</v>
      </c>
      <c r="X2055" t="s">
        <v>22685</v>
      </c>
      <c r="Y2055" t="s">
        <v>22686</v>
      </c>
    </row>
    <row r="2056" spans="1:25" x14ac:dyDescent="0.3">
      <c r="A2056">
        <v>102750</v>
      </c>
      <c r="B2056" t="s">
        <v>22687</v>
      </c>
      <c r="C2056">
        <f>-643.874067726034 -96.9977583955084 -99.0660926739641</f>
        <v>-839.93791879550656</v>
      </c>
      <c r="D2056">
        <f>-664.101346568713 -111.204088412317 -212.226402371015</f>
        <v>-987.53183735204493</v>
      </c>
      <c r="E2056">
        <f>-673.82831215135 -116.450218964022 -310.229131691204</f>
        <v>-1100.507662806576</v>
      </c>
      <c r="F2056">
        <f>-680.044565645204 -118.717510373931 -399.079784469234</f>
        <v>-1197.8418604883691</v>
      </c>
      <c r="G2056">
        <f>-683.316755393919 -118.412689733062 -488.116016595065</f>
        <v>-1289.8454617220461</v>
      </c>
      <c r="H2056">
        <f>-684.764648015074 -115.328415566355 -612.651993404201</f>
        <v>-1412.7450569856301</v>
      </c>
      <c r="I2056">
        <f>-659.702398049248 -104.027666323512 -691.068894626398</f>
        <v>-1454.798958999158</v>
      </c>
      <c r="J2056">
        <f>-693.943634356485 -90.7845968705211 -557.09424691478</f>
        <v>-1341.8224781417862</v>
      </c>
      <c r="K2056" t="s">
        <v>22688</v>
      </c>
      <c r="L2056" t="s">
        <v>22689</v>
      </c>
      <c r="M2056" t="s">
        <v>22690</v>
      </c>
      <c r="N2056">
        <f>-674.311314075416 -142.58673687051 -558.605430836689</f>
        <v>-1375.5034817826149</v>
      </c>
      <c r="O2056">
        <f>-626.882514630402 -268.894111909023 -532.253335017812</f>
        <v>-1428.0299615572371</v>
      </c>
      <c r="P2056">
        <f>-616.522411344441 -327.630170165992 -244.097161788229</f>
        <v>-1188.249743298662</v>
      </c>
      <c r="Q2056">
        <f>-479.224824374448 -131.975229992806 -274.418387051122</f>
        <v>-885.61844141837605</v>
      </c>
      <c r="R2056">
        <f>-684.319425600977 -10.6415772326457 -103.673461636234</f>
        <v>-798.63446446985665</v>
      </c>
      <c r="S2056" t="s">
        <v>22691</v>
      </c>
      <c r="T2056" t="s">
        <v>22692</v>
      </c>
      <c r="U2056" t="s">
        <v>22693</v>
      </c>
      <c r="V2056">
        <f>-603.543489564676 -183.543827737426 -96.5117623104086</f>
        <v>-883.59907961251054</v>
      </c>
      <c r="W2056" t="s">
        <v>22694</v>
      </c>
      <c r="X2056" t="s">
        <v>22695</v>
      </c>
      <c r="Y2056" t="s">
        <v>22696</v>
      </c>
    </row>
    <row r="2057" spans="1:25" x14ac:dyDescent="0.3">
      <c r="A2057">
        <v>102800</v>
      </c>
      <c r="B2057" t="s">
        <v>22697</v>
      </c>
      <c r="C2057">
        <f>-644.020065367181 -96.6566299635809 -99.052091308897</f>
        <v>-839.72878663965901</v>
      </c>
      <c r="D2057">
        <f>-664.251245814028 -110.795665491526 -212.220138720328</f>
        <v>-987.26705002588199</v>
      </c>
      <c r="E2057">
        <f>-673.938247456729 -115.957140476172 -310.231340536416</f>
        <v>-1100.126728469317</v>
      </c>
      <c r="F2057">
        <f>-680.100955246974 -118.136852359804 -399.087957242168</f>
        <v>-1197.3257648489459</v>
      </c>
      <c r="G2057">
        <f>-683.301912210794 -117.733695977143 -488.126391025115</f>
        <v>-1289.161999213052</v>
      </c>
      <c r="H2057">
        <f>-684.631866074444 -114.501093555525 -612.659846709583</f>
        <v>-1411.792806339552</v>
      </c>
      <c r="I2057">
        <f>-659.431756068617 -103.125630930707 -691.021687536678</f>
        <v>-1453.5790745360018</v>
      </c>
      <c r="J2057">
        <f>-693.846744568024 -90.0171584849073 -557.081667899866</f>
        <v>-1340.9455709527974</v>
      </c>
      <c r="K2057" t="s">
        <v>22698</v>
      </c>
      <c r="L2057" t="s">
        <v>22699</v>
      </c>
      <c r="M2057" t="s">
        <v>22700</v>
      </c>
      <c r="N2057">
        <f>-674.246477295545 -141.830039815838 -558.635943532443</f>
        <v>-1374.712460643826</v>
      </c>
      <c r="O2057">
        <f>-626.926405458338 -268.196382586814 -532.363891417814</f>
        <v>-1427.4866794629661</v>
      </c>
      <c r="P2057">
        <f>-616.871507055715 -327.170982584752 -244.245600858223</f>
        <v>-1188.2880904986901</v>
      </c>
      <c r="Q2057">
        <f>-479.523357143332 -131.503723031753 -274.256965160154</f>
        <v>-885.28404533523906</v>
      </c>
      <c r="R2057">
        <f>-684.403267642446 -10.342761979334 -103.62034049198</f>
        <v>-798.36637011376001</v>
      </c>
      <c r="S2057" t="s">
        <v>22701</v>
      </c>
      <c r="T2057" t="s">
        <v>22702</v>
      </c>
      <c r="U2057" t="s">
        <v>22703</v>
      </c>
      <c r="V2057">
        <f>-603.742738146573 -183.164374701096 -96.5456471866166</f>
        <v>-883.45276003428557</v>
      </c>
      <c r="W2057" t="s">
        <v>22704</v>
      </c>
      <c r="X2057" t="s">
        <v>22705</v>
      </c>
      <c r="Y2057" t="s">
        <v>22706</v>
      </c>
    </row>
    <row r="2058" spans="1:25" x14ac:dyDescent="0.3">
      <c r="A2058">
        <v>102850</v>
      </c>
      <c r="B2058" t="s">
        <v>22707</v>
      </c>
      <c r="C2058">
        <f>-644.053059202317 -96.6250375673839 -99.029472691681</f>
        <v>-839.70756946138181</v>
      </c>
      <c r="D2058">
        <f>-664.295478042112 -110.744215210484 -212.198100905229</f>
        <v>-987.23779415782496</v>
      </c>
      <c r="E2058">
        <f>-673.975772546098 -115.87441937695 -310.211400105494</f>
        <v>-1100.061592028542</v>
      </c>
      <c r="F2058">
        <f>-680.125603108766 -118.020280295015 -399.069781874923</f>
        <v>-1197.2156652787039</v>
      </c>
      <c r="G2058">
        <f>-683.306691370001 -117.57793503794 -488.108644794929</f>
        <v>-1288.9932712028699</v>
      </c>
      <c r="H2058">
        <f>-684.601406891595 -114.284958626684 -612.64101804085</f>
        <v>-1411.527383559129</v>
      </c>
      <c r="I2058">
        <f>-659.346701759517 -102.864907377177 -690.978853027633</f>
        <v>-1453.1904621643271</v>
      </c>
      <c r="J2058">
        <f>-693.825669892119 -89.82559265282 -557.053603208506</f>
        <v>-1340.7048657534451</v>
      </c>
      <c r="K2058" t="s">
        <v>22708</v>
      </c>
      <c r="L2058" t="s">
        <v>22709</v>
      </c>
      <c r="M2058" t="s">
        <v>22710</v>
      </c>
      <c r="N2058">
        <f>-674.237637658044 -141.642520919895 -558.627390233929</f>
        <v>-1374.507548811868</v>
      </c>
      <c r="O2058">
        <f>-626.922804440615 -268.012282207312 -532.388427071796</f>
        <v>-1427.323513719723</v>
      </c>
      <c r="P2058">
        <f>-616.962536290499 -327.005404393212 -244.270654069628</f>
        <v>-1188.2385947533389</v>
      </c>
      <c r="Q2058">
        <f>-479.711044014177 -131.241979232133 -274.096128435351</f>
        <v>-885.04915168166099</v>
      </c>
      <c r="R2058">
        <f>-684.42460713847 -10.2952780872806 -103.578723705007</f>
        <v>-798.29860893075761</v>
      </c>
      <c r="S2058" t="s">
        <v>22711</v>
      </c>
      <c r="T2058" t="s">
        <v>22712</v>
      </c>
      <c r="U2058" t="s">
        <v>22713</v>
      </c>
      <c r="V2058">
        <f>-603.799575604109 -183.168874490573 -96.5457505559937</f>
        <v>-883.51420065067566</v>
      </c>
      <c r="W2058" t="s">
        <v>22714</v>
      </c>
      <c r="X2058" t="s">
        <v>22715</v>
      </c>
      <c r="Y2058" t="s">
        <v>22716</v>
      </c>
    </row>
    <row r="2059" spans="1:25" x14ac:dyDescent="0.3">
      <c r="A2059">
        <v>102900</v>
      </c>
      <c r="B2059" t="s">
        <v>22717</v>
      </c>
      <c r="C2059">
        <f>-643.930578813242 -96.6474368877005 -98.9988116470695</f>
        <v>-839.57682734801199</v>
      </c>
      <c r="D2059">
        <f>-664.188707760331 -110.745917185973 -212.167090725487</f>
        <v>-987.101715671791</v>
      </c>
      <c r="E2059">
        <f>-673.881186140944 -115.838482934168 -310.181249571231</f>
        <v>-1099.9009186463431</v>
      </c>
      <c r="F2059">
        <f>-680.04132760776 -117.942271656578 -399.040053764937</f>
        <v>-1197.023653029275</v>
      </c>
      <c r="G2059">
        <f>-683.231917608236 -117.449658627764 -488.078223462802</f>
        <v>-1288.759799698802</v>
      </c>
      <c r="H2059">
        <f>-684.539006676976 -114.077986531628 -612.608297865734</f>
        <v>-1411.225291074338</v>
      </c>
      <c r="I2059">
        <f>-659.236315436717 -102.563751352496 -690.916875568476</f>
        <v>-1452.7169423576888</v>
      </c>
      <c r="J2059">
        <f>-693.765461876277 -89.6566395565744 -557.004483478831</f>
        <v>-1340.4265849116823</v>
      </c>
      <c r="K2059" t="s">
        <v>22718</v>
      </c>
      <c r="L2059" t="s">
        <v>22719</v>
      </c>
      <c r="M2059" t="s">
        <v>22720</v>
      </c>
      <c r="N2059">
        <f>-674.162187134334 -141.466785456833 -558.61305723116</f>
        <v>-1374.2420298223269</v>
      </c>
      <c r="O2059">
        <f>-626.749805166424 -267.818263345469 -532.439406125303</f>
        <v>-1427.0074746371961</v>
      </c>
      <c r="P2059">
        <f>-617.132700456119 -326.704491025302 -244.288181984198</f>
        <v>-1188.1253734656188</v>
      </c>
      <c r="Q2059">
        <f>-480.173670081175 -130.656776407601 -273.586830872948</f>
        <v>-884.41727736172402</v>
      </c>
      <c r="R2059">
        <f>-684.311415769132 -10.3345109914505 -103.510306242919</f>
        <v>-798.1562330035016</v>
      </c>
      <c r="S2059" t="s">
        <v>22721</v>
      </c>
      <c r="T2059" t="s">
        <v>22722</v>
      </c>
      <c r="U2059" t="s">
        <v>22723</v>
      </c>
      <c r="V2059">
        <f>-603.632818478025 -183.156837720898 -96.5383702894941</f>
        <v>-883.32802648841709</v>
      </c>
      <c r="W2059" t="s">
        <v>22724</v>
      </c>
      <c r="X2059" t="s">
        <v>22725</v>
      </c>
      <c r="Y2059" t="s">
        <v>22726</v>
      </c>
    </row>
    <row r="2060" spans="1:25" x14ac:dyDescent="0.3">
      <c r="A2060">
        <v>102950</v>
      </c>
      <c r="B2060" t="s">
        <v>22727</v>
      </c>
      <c r="C2060">
        <f>-643.897477708293 -96.5800495622021 -98.9875014312346</f>
        <v>-839.46502870172969</v>
      </c>
      <c r="D2060">
        <f>-664.160708716731 -110.678776600002 -212.154802029989</f>
        <v>-986.9942873467221</v>
      </c>
      <c r="E2060">
        <f>-673.873634786988 -115.763839762391 -310.167452088164</f>
        <v>-1099.8049266375431</v>
      </c>
      <c r="F2060">
        <f>-680.058687248684 -117.857594663011 -399.024531147249</f>
        <v>-1196.9408130589441</v>
      </c>
      <c r="G2060">
        <f>-683.28092397492 -117.351420287093 -488.061681730146</f>
        <v>-1288.6940259921589</v>
      </c>
      <c r="H2060">
        <f>-684.639262978653 -113.956720486948 -612.590649671515</f>
        <v>-1411.1866331371161</v>
      </c>
      <c r="I2060">
        <f>-659.352547997528 -102.387089845471 -690.896111652562</f>
        <v>-1452.635749495561</v>
      </c>
      <c r="J2060">
        <f>-693.859645571103 -89.5520084885608 -556.978455242407</f>
        <v>-1340.3901093020709</v>
      </c>
      <c r="K2060" t="s">
        <v>22728</v>
      </c>
      <c r="L2060" t="s">
        <v>22729</v>
      </c>
      <c r="M2060" t="s">
        <v>22730</v>
      </c>
      <c r="N2060">
        <f>-674.223432509109 -141.349103568448 -558.604626453618</f>
        <v>-1374.1771625311749</v>
      </c>
      <c r="O2060">
        <f>-626.687662283403 -267.665190361846 -532.466940466222</f>
        <v>-1426.819793111471</v>
      </c>
      <c r="P2060">
        <f>-617.089792471599 -326.690004972423 -244.343428098547</f>
        <v>-1188.1232255425691</v>
      </c>
      <c r="Q2060">
        <f>-480.495002185785 -130.339143042403 -273.310404154889</f>
        <v>-884.14454938307699</v>
      </c>
      <c r="R2060">
        <f>-684.323004817231 -10.270144812049 -103.489541095314</f>
        <v>-798.08269072459393</v>
      </c>
      <c r="S2060" t="s">
        <v>22731</v>
      </c>
      <c r="T2060" t="s">
        <v>22732</v>
      </c>
      <c r="U2060" t="s">
        <v>22733</v>
      </c>
      <c r="V2060">
        <f>-603.604587597688 -183.03766078973 -96.5328581691332</f>
        <v>-883.17510655655121</v>
      </c>
      <c r="W2060" t="s">
        <v>22734</v>
      </c>
      <c r="X2060" t="s">
        <v>22735</v>
      </c>
      <c r="Y2060" t="s">
        <v>22736</v>
      </c>
    </row>
    <row r="2061" spans="1:25" x14ac:dyDescent="0.3">
      <c r="A2061">
        <v>103000</v>
      </c>
      <c r="B2061" t="s">
        <v>22737</v>
      </c>
      <c r="C2061">
        <f>-643.837625707651 -96.5853657877774 -98.9723576654848</f>
        <v>-839.39534916091316</v>
      </c>
      <c r="D2061">
        <f>-664.084896507866 -110.696454162779 -212.141013816394</f>
        <v>-986.92236448703898</v>
      </c>
      <c r="E2061">
        <f>-673.847119565311 -115.756873673144 -310.149977117206</f>
        <v>-1099.7539703556611</v>
      </c>
      <c r="F2061">
        <f>-680.102778586502 -117.813369808966 -399.003177134699</f>
        <v>-1196.919325530167</v>
      </c>
      <c r="G2061">
        <f>-683.422282823103 -117.252887260233 -488.036299833431</f>
        <v>-1288.7114699167671</v>
      </c>
      <c r="H2061">
        <f>-684.945123449098 -113.763345279635 -612.560613175606</f>
        <v>-1411.2690819043391</v>
      </c>
      <c r="I2061">
        <f>-659.725604756211 -102.042037707784 -690.865230659504</f>
        <v>-1452.6328731234992</v>
      </c>
      <c r="J2061">
        <f>-694.155548401892 -89.4251623529376 -556.917819091496</f>
        <v>-1340.4985298463257</v>
      </c>
      <c r="K2061" t="s">
        <v>22738</v>
      </c>
      <c r="L2061" t="s">
        <v>22739</v>
      </c>
      <c r="M2061" t="s">
        <v>22740</v>
      </c>
      <c r="N2061">
        <f>-674.3944925225 -141.172735427127 -558.609552510787</f>
        <v>-1374.176780460414</v>
      </c>
      <c r="O2061">
        <f>-626.569594826996 -267.409405906387 -532.613664472366</f>
        <v>-1426.592665205749</v>
      </c>
      <c r="P2061">
        <f>-616.909049410831 -326.697851074579 -244.546386015623</f>
        <v>-1188.1532865010331</v>
      </c>
      <c r="Q2061">
        <f>-481.232257503833 -129.667449986628 -273.211603527713</f>
        <v>-884.11131101817398</v>
      </c>
      <c r="R2061">
        <f>-684.33267602436 -10.2826584176935 -103.460001830535</f>
        <v>-798.07533627258852</v>
      </c>
      <c r="S2061" t="s">
        <v>22741</v>
      </c>
      <c r="T2061" t="s">
        <v>22742</v>
      </c>
      <c r="U2061" t="s">
        <v>22743</v>
      </c>
      <c r="V2061">
        <f>-603.463350974363 -183.073670631777 -96.5245128595866</f>
        <v>-883.0615344657266</v>
      </c>
      <c r="W2061" t="s">
        <v>22744</v>
      </c>
      <c r="X2061" t="s">
        <v>22745</v>
      </c>
      <c r="Y2061" t="s">
        <v>22746</v>
      </c>
    </row>
    <row r="2062" spans="1:25" x14ac:dyDescent="0.3">
      <c r="A2062">
        <v>103050</v>
      </c>
      <c r="B2062" t="s">
        <v>22747</v>
      </c>
      <c r="C2062">
        <f>-643.819822177703 -96.5307877337742 -98.9669812661832</f>
        <v>-839.31759117766046</v>
      </c>
      <c r="D2062">
        <f>-664.060467627298 -110.637220904706 -212.137448740983</f>
        <v>-986.83513727298691</v>
      </c>
      <c r="E2062">
        <f>-673.849437418118 -115.685303578855 -310.144312440107</f>
        <v>-1099.67905343708</v>
      </c>
      <c r="F2062">
        <f>-680.142895097987 -117.726684114178 -398.995094510009</f>
        <v>-1196.8646737221741</v>
      </c>
      <c r="G2062">
        <f>-683.514288457851 -117.146313403387 -488.026156501095</f>
        <v>-1288.686758362333</v>
      </c>
      <c r="H2062">
        <f>-685.124674850185 -113.623216323717 -612.548596474633</f>
        <v>-1411.2964876485348</v>
      </c>
      <c r="I2062">
        <f>-659.938640041292 -101.840197523073 -690.854772267488</f>
        <v>-1452.6336098318529</v>
      </c>
      <c r="J2062">
        <f>-694.333568126161 -89.3144684877652 -556.892552676206</f>
        <v>-1340.5405892901322</v>
      </c>
      <c r="K2062" t="s">
        <v>22748</v>
      </c>
      <c r="L2062" t="s">
        <v>22749</v>
      </c>
      <c r="M2062" t="s">
        <v>22750</v>
      </c>
      <c r="N2062">
        <f>-674.498382751193 -141.032676712012 -558.612273818777</f>
        <v>-1374.143333281982</v>
      </c>
      <c r="O2062">
        <f>-626.477460241023 -267.203307723448 -532.67653017281</f>
        <v>-1426.3572981372808</v>
      </c>
      <c r="P2062">
        <f>-616.675209481272 -326.705993796577 -244.658334347002</f>
        <v>-1188.0395376248509</v>
      </c>
      <c r="Q2062">
        <f>-481.482011936805 -129.335657232309 -273.269623238291</f>
        <v>-884.0872924074049</v>
      </c>
      <c r="R2062">
        <f>-684.342629052391 -10.260424733576 -103.447673251566</f>
        <v>-798.05072703753297</v>
      </c>
      <c r="S2062" t="s">
        <v>22751</v>
      </c>
      <c r="T2062" t="s">
        <v>22752</v>
      </c>
      <c r="U2062" t="s">
        <v>22753</v>
      </c>
      <c r="V2062">
        <f>-603.416271901116 -182.984942784964 -96.5308897660432</f>
        <v>-882.93210445212321</v>
      </c>
      <c r="W2062" t="s">
        <v>22754</v>
      </c>
      <c r="X2062" t="s">
        <v>22755</v>
      </c>
      <c r="Y2062" t="s">
        <v>22756</v>
      </c>
    </row>
    <row r="2063" spans="1:25" x14ac:dyDescent="0.3">
      <c r="A2063">
        <v>103100</v>
      </c>
      <c r="B2063" t="s">
        <v>22757</v>
      </c>
      <c r="C2063">
        <f>-643.800747905421 -96.499105318713 -98.9507660287597</f>
        <v>-839.25061925289367</v>
      </c>
      <c r="D2063">
        <f>-664.031029370218 -110.618924163819 -212.121329963615</f>
        <v>-986.77128349765201</v>
      </c>
      <c r="E2063">
        <f>-673.884948977729 -115.6770417529 -310.121280658961</f>
        <v>-1099.6832713895899</v>
      </c>
      <c r="F2063">
        <f>-680.267155719314 -117.726497832205 -398.965587764614</f>
        <v>-1196.9592413161331</v>
      </c>
      <c r="G2063">
        <f>-683.758223618059 -117.151719925949 -487.992087135565</f>
        <v>-1288.902030679573</v>
      </c>
      <c r="H2063">
        <f>-685.568524299311 -113.633068674339 -612.51170941626</f>
        <v>-1411.71330238991</v>
      </c>
      <c r="I2063">
        <f>-660.433067280371 -101.795264935912 -690.825885816942</f>
        <v>-1453.054218033225</v>
      </c>
      <c r="J2063">
        <f>-694.743472934824 -89.3435953718636 -556.841719454759</f>
        <v>-1340.9287877614465</v>
      </c>
      <c r="K2063" t="s">
        <v>22758</v>
      </c>
      <c r="L2063" t="s">
        <v>22759</v>
      </c>
      <c r="M2063" t="s">
        <v>22760</v>
      </c>
      <c r="N2063">
        <f>-674.80026894785 -141.019271090286 -558.591911391177</f>
        <v>-1374.4114514293128</v>
      </c>
      <c r="O2063">
        <f>-626.539980288678 -267.115007304911 -532.752253493979</f>
        <v>-1426.4072410875679</v>
      </c>
      <c r="P2063">
        <f>-616.438253832547 -326.675986823274 -244.756416766203</f>
        <v>-1187.8706574220241</v>
      </c>
      <c r="Q2063">
        <f>-481.709647818455 -129.028248284257 -273.643292315763</f>
        <v>-884.38118841847495</v>
      </c>
      <c r="R2063">
        <f>-684.38165587984 -10.221803404791 -103.426848135782</f>
        <v>-798.03030742041301</v>
      </c>
      <c r="S2063" t="s">
        <v>22761</v>
      </c>
      <c r="T2063" t="s">
        <v>22762</v>
      </c>
      <c r="U2063" t="s">
        <v>22763</v>
      </c>
      <c r="V2063">
        <f>-603.304314029393 -183.003044213748 -96.5314886986113</f>
        <v>-882.83884694175231</v>
      </c>
      <c r="W2063" t="s">
        <v>22764</v>
      </c>
      <c r="X2063" t="s">
        <v>22765</v>
      </c>
      <c r="Y2063" t="s">
        <v>22766</v>
      </c>
    </row>
    <row r="2064" spans="1:25" x14ac:dyDescent="0.3">
      <c r="A2064">
        <v>103150</v>
      </c>
      <c r="B2064" t="s">
        <v>22767</v>
      </c>
      <c r="C2064">
        <f>-643.756363220179 -96.442162403377 -98.9482088897994</f>
        <v>-839.14673451335534</v>
      </c>
      <c r="D2064">
        <f>-663.993237883719 -110.592329513131 -212.113891776736</f>
        <v>-986.69945917358586</v>
      </c>
      <c r="E2064">
        <f>-673.889020551699 -115.677187164722 -310.1081836354</f>
        <v>-1099.674391351821</v>
      </c>
      <c r="F2064">
        <f>-680.323412805902 -117.751085751941 -398.948115655743</f>
        <v>-1197.0226142135859</v>
      </c>
      <c r="G2064">
        <f>-683.881327424273 -117.200525545406 -487.972176753703</f>
        <v>-1289.054029723382</v>
      </c>
      <c r="H2064">
        <f>-685.800310793426 -113.715248001461 -612.491096463034</f>
        <v>-1412.006655257921</v>
      </c>
      <c r="I2064">
        <f>-660.683755975688 -101.877548973044 -690.811329781479</f>
        <v>-1453.3726347302108</v>
      </c>
      <c r="J2064">
        <f>-694.945122924437 -89.4179924724838 -556.819539360391</f>
        <v>-1341.1826547573119</v>
      </c>
      <c r="K2064" t="s">
        <v>22768</v>
      </c>
      <c r="L2064" t="s">
        <v>22769</v>
      </c>
      <c r="M2064" t="s">
        <v>22770</v>
      </c>
      <c r="N2064">
        <f>-674.966593104672 -141.079945831157 -558.573377741786</f>
        <v>-1374.619916677615</v>
      </c>
      <c r="O2064">
        <f>-626.59565588393 -267.143852767689 -532.758034369193</f>
        <v>-1426.4975430208119</v>
      </c>
      <c r="P2064">
        <f>-616.311651231267 -326.829273829667 -244.794363754332</f>
        <v>-1187.9352888152659</v>
      </c>
      <c r="Q2064">
        <f>-481.788834314668 -129.051583527407 -273.751262714258</f>
        <v>-884.59168055633302</v>
      </c>
      <c r="R2064">
        <f>-684.385931839119 -10.2061795569134 -103.430379027064</f>
        <v>-798.02249042309643</v>
      </c>
      <c r="S2064" t="s">
        <v>22771</v>
      </c>
      <c r="T2064" t="s">
        <v>22772</v>
      </c>
      <c r="U2064" t="s">
        <v>22773</v>
      </c>
      <c r="V2064">
        <f>-603.21766457588 -182.894312022922 -96.5264799867097</f>
        <v>-882.63845658551168</v>
      </c>
      <c r="W2064" t="s">
        <v>22774</v>
      </c>
      <c r="X2064" t="s">
        <v>22775</v>
      </c>
      <c r="Y2064" t="s">
        <v>22776</v>
      </c>
    </row>
    <row r="2065" spans="1:25" x14ac:dyDescent="0.3">
      <c r="A2065">
        <v>103200</v>
      </c>
      <c r="B2065" t="s">
        <v>22777</v>
      </c>
      <c r="C2065">
        <f>-643.621069260531 -96.4264804509806 -98.9625439047727</f>
        <v>-839.01009361628439</v>
      </c>
      <c r="D2065">
        <f>-663.889529733345 -110.650305630818 -212.113290105003</f>
        <v>-986.65312546916596</v>
      </c>
      <c r="E2065">
        <f>-673.880535316886 -115.795168701897 -310.09472581768</f>
        <v>-1099.7704298364629</v>
      </c>
      <c r="F2065">
        <f>-680.428216269916 -117.922227228277 -398.925247339146</f>
        <v>-1197.275690837339</v>
      </c>
      <c r="G2065">
        <f>-684.126401733608 -117.423202447678 -487.943882019442</f>
        <v>-1289.4934862007281</v>
      </c>
      <c r="H2065">
        <f>-686.269827430687 -114.00771075393 -612.461197306049</f>
        <v>-1412.7387354906659</v>
      </c>
      <c r="I2065">
        <f>-661.187449364266 -102.173565981949 -690.792734296191</f>
        <v>-1454.153749642406</v>
      </c>
      <c r="J2065">
        <f>-695.345933668728 -89.6915675303507 -556.786515171182</f>
        <v>-1341.8240163702608</v>
      </c>
      <c r="K2065" t="s">
        <v>22778</v>
      </c>
      <c r="L2065" t="s">
        <v>22779</v>
      </c>
      <c r="M2065" t="s">
        <v>22780</v>
      </c>
      <c r="N2065">
        <f>-675.307280521161 -141.329855934152 -558.547919370859</f>
        <v>-1375.1850558261719</v>
      </c>
      <c r="O2065">
        <f>-626.78809296712 -267.348926050068 -532.789800341519</f>
        <v>-1426.9268193587068</v>
      </c>
      <c r="P2065">
        <f>-616.47945471241 -326.993581481784 -244.818577715561</f>
        <v>-1188.2916139097551</v>
      </c>
      <c r="Q2065">
        <f>-481.877690121278 -129.273154202737 -273.79895217597</f>
        <v>-884.94979649998504</v>
      </c>
      <c r="R2065">
        <f>-684.400748219537 -10.189598421453 -103.481521084286</f>
        <v>-798.07186772527598</v>
      </c>
      <c r="S2065" t="s">
        <v>22781</v>
      </c>
      <c r="T2065" t="s">
        <v>22782</v>
      </c>
      <c r="U2065" t="s">
        <v>22783</v>
      </c>
      <c r="V2065">
        <f>-602.979950093413 -182.849384162451 -96.5330118511245</f>
        <v>-882.36234610698841</v>
      </c>
      <c r="W2065" t="s">
        <v>22784</v>
      </c>
      <c r="X2065" t="s">
        <v>22785</v>
      </c>
      <c r="Y2065" t="s">
        <v>22786</v>
      </c>
    </row>
    <row r="2066" spans="1:25" x14ac:dyDescent="0.3">
      <c r="A2066">
        <v>103250</v>
      </c>
      <c r="B2066" t="s">
        <v>22787</v>
      </c>
      <c r="C2066">
        <f>-643.522317350779 -96.3857187809631 -98.9755423048044</f>
        <v>-838.88357843654649</v>
      </c>
      <c r="D2066">
        <f>-663.806075276099 -110.657768041439 -212.117490210653</f>
        <v>-986.58133352819095</v>
      </c>
      <c r="E2066">
        <f>-673.853073567568 -115.840351966895 -310.09116130362</f>
        <v>-1099.784586838083</v>
      </c>
      <c r="F2066">
        <f>-680.468207375469 -118.000327829956 -398.915956465914</f>
        <v>-1197.384491671339</v>
      </c>
      <c r="G2066">
        <f>-684.250747782059 -117.532435353417 -487.931127929415</f>
        <v>-1289.714311064891</v>
      </c>
      <c r="H2066">
        <f>-686.529632883394 -114.158659298385 -612.447212260644</f>
        <v>-1413.1355044424231</v>
      </c>
      <c r="I2066">
        <f>-661.476088584955 -102.336225597169 -690.789918312569</f>
        <v>-1454.602232494693</v>
      </c>
      <c r="J2066">
        <f>-695.557026367282 -89.8284197509641 -556.770788776637</f>
        <v>-1342.1562348948833</v>
      </c>
      <c r="K2066" t="s">
        <v>22788</v>
      </c>
      <c r="L2066" t="s">
        <v>22789</v>
      </c>
      <c r="M2066" t="s">
        <v>22790</v>
      </c>
      <c r="N2066">
        <f>-675.496621233693 -141.458192231761 -558.536826371883</f>
        <v>-1375.4916398373371</v>
      </c>
      <c r="O2066">
        <f>-626.93160921922 -267.464072447677 -532.798224644268</f>
        <v>-1427.1939063111649</v>
      </c>
      <c r="P2066">
        <f>-616.552947593392 -326.992308686835 -244.805411002983</f>
        <v>-1188.35066728321</v>
      </c>
      <c r="Q2066">
        <f>-481.930041023646 -129.288757269216 -273.80260669598</f>
        <v>-885.02140498884205</v>
      </c>
      <c r="R2066">
        <f>-684.338943061048 -10.2323426878836 -103.484225582949</f>
        <v>-798.05551133188055</v>
      </c>
      <c r="S2066" t="s">
        <v>22791</v>
      </c>
      <c r="T2066" t="s">
        <v>22792</v>
      </c>
      <c r="U2066" t="s">
        <v>22793</v>
      </c>
      <c r="V2066">
        <f>-602.812784468958 -182.768273843768 -96.5298368101109</f>
        <v>-882.11089512283672</v>
      </c>
      <c r="W2066" t="s">
        <v>22794</v>
      </c>
      <c r="X2066" t="s">
        <v>22795</v>
      </c>
      <c r="Y2066" t="s">
        <v>22796</v>
      </c>
    </row>
    <row r="2067" spans="1:25" x14ac:dyDescent="0.3">
      <c r="A2067">
        <v>103300</v>
      </c>
      <c r="B2067" t="s">
        <v>22797</v>
      </c>
      <c r="C2067">
        <f>-643.308619245322 -96.5011202876207 -98.9891114655873</f>
        <v>-838.79885099852993</v>
      </c>
      <c r="D2067">
        <f>-663.585838357469 -110.818850872198 -212.12638505591</f>
        <v>-986.53107428557701</v>
      </c>
      <c r="E2067">
        <f>-673.717020679724 -116.056794784363 -310.088554402275</f>
        <v>-1099.8623698663619</v>
      </c>
      <c r="F2067">
        <f>-680.444684488546 -118.272679387285 -398.90340974755</f>
        <v>-1197.620773623381</v>
      </c>
      <c r="G2067">
        <f>-684.376938992836 -117.865655357042 -487.91247480195</f>
        <v>-1290.155069151828</v>
      </c>
      <c r="H2067">
        <f>-686.90413582067 -114.581408810915 -612.426005211678</f>
        <v>-1413.9115498432629</v>
      </c>
      <c r="I2067">
        <f>-661.895988796879 -102.778840310045 -690.786189002314</f>
        <v>-1455.461018109238</v>
      </c>
      <c r="J2067">
        <f>-695.847861825355 -90.2218144088553 -556.74894555307</f>
        <v>-1342.8186217872803</v>
      </c>
      <c r="K2067" t="s">
        <v>22798</v>
      </c>
      <c r="L2067" t="s">
        <v>22799</v>
      </c>
      <c r="M2067" t="s">
        <v>22800</v>
      </c>
      <c r="N2067">
        <f>-675.736242314103 -141.831501060131 -558.518484856674</f>
        <v>-1376.0862282309081</v>
      </c>
      <c r="O2067">
        <f>-626.991179921208 -267.771574367042 -532.812461621702</f>
        <v>-1427.575215909952</v>
      </c>
      <c r="P2067">
        <f>-616.367391454069 -327.175727747223 -244.803018608762</f>
        <v>-1188.346137810054</v>
      </c>
      <c r="Q2067">
        <f>-482.075611346207 -129.243693882178 -273.776994139578</f>
        <v>-885.09629936796296</v>
      </c>
      <c r="R2067">
        <f>-684.195732059558 -10.3425546065725 -103.491793004078</f>
        <v>-798.03007967020858</v>
      </c>
      <c r="S2067" t="s">
        <v>22801</v>
      </c>
      <c r="T2067" t="s">
        <v>22802</v>
      </c>
      <c r="U2067" t="s">
        <v>22803</v>
      </c>
      <c r="V2067">
        <f>-602.512688406398 -182.861762229071 -96.5160480441766</f>
        <v>-881.89049867964559</v>
      </c>
      <c r="W2067" t="s">
        <v>22804</v>
      </c>
      <c r="X2067" t="s">
        <v>22805</v>
      </c>
      <c r="Y2067" t="s">
        <v>22806</v>
      </c>
    </row>
    <row r="2068" spans="1:25" x14ac:dyDescent="0.3">
      <c r="A2068">
        <v>103350</v>
      </c>
      <c r="B2068" t="s">
        <v>22807</v>
      </c>
      <c r="C2068">
        <f>-643.198597486255 -96.6051211389207 -98.9830861387871</f>
        <v>-838.78680476396289</v>
      </c>
      <c r="D2068">
        <f>-663.4680446634 -110.938617222863 -212.119879885678</f>
        <v>-986.52654177194097</v>
      </c>
      <c r="E2068">
        <f>-673.630565796972 -116.20053145938 -310.077436659935</f>
        <v>-1099.9085339162871</v>
      </c>
      <c r="F2068">
        <f>-680.402505811496 -118.44180928737 -398.88829226275</f>
        <v>-1197.7326073616159</v>
      </c>
      <c r="G2068">
        <f>-684.394786849669 -118.063642868081 -487.894677544409</f>
        <v>-1290.353107262159</v>
      </c>
      <c r="H2068">
        <f>-687.022977860746 -114.822742401411 -612.407408409424</f>
        <v>-1414.253128671581</v>
      </c>
      <c r="I2068">
        <f>-662.047256567268 -103.035089145665 -690.780145883872</f>
        <v>-1455.8624915968051</v>
      </c>
      <c r="J2068">
        <f>-695.9332261976 -90.4483519346447 -556.731513204656</f>
        <v>-1343.1130913369007</v>
      </c>
      <c r="K2068" t="s">
        <v>22808</v>
      </c>
      <c r="L2068" t="s">
        <v>22809</v>
      </c>
      <c r="M2068" t="s">
        <v>22810</v>
      </c>
      <c r="N2068">
        <f>-675.799645034101 -142.049556814002 -558.499583338434</f>
        <v>-1376.348785186537</v>
      </c>
      <c r="O2068">
        <f>-626.983744373645 -267.959619218595 -532.793346928082</f>
        <v>-1427.736710520322</v>
      </c>
      <c r="P2068">
        <f>-616.233272115655 -327.222445344379 -244.759402663978</f>
        <v>-1188.2151201240122</v>
      </c>
      <c r="Q2068">
        <f>-482.113772410644 -129.169775148243 -273.706722325779</f>
        <v>-884.99026988466608</v>
      </c>
      <c r="R2068">
        <f>-684.090177479141 -10.4951296268841 -103.497499164315</f>
        <v>-798.08280627034014</v>
      </c>
      <c r="S2068" t="s">
        <v>22811</v>
      </c>
      <c r="T2068" t="s">
        <v>22812</v>
      </c>
      <c r="U2068" t="s">
        <v>22813</v>
      </c>
      <c r="V2068">
        <f>-602.412447836875 -182.940524758851 -96.5068148984632</f>
        <v>-881.85978749418916</v>
      </c>
      <c r="W2068" t="s">
        <v>22814</v>
      </c>
      <c r="X2068" t="s">
        <v>22815</v>
      </c>
      <c r="Y2068" t="s">
        <v>22816</v>
      </c>
    </row>
    <row r="2069" spans="1:25" x14ac:dyDescent="0.3">
      <c r="A2069">
        <v>103400</v>
      </c>
      <c r="B2069" t="s">
        <v>22817</v>
      </c>
      <c r="C2069">
        <f>-643.081120512549 -96.7673712707286 -98.9688128149551</f>
        <v>-838.81730459823268</v>
      </c>
      <c r="D2069">
        <f>-663.338584520969 -111.12354397752 -212.104860791265</f>
        <v>-986.56698928975391</v>
      </c>
      <c r="E2069">
        <f>-673.557890671316 -116.43712668761 -310.053796043771</f>
        <v>-1100.0488134026971</v>
      </c>
      <c r="F2069">
        <f>-680.40902688449 -118.737615275465 -398.856895616103</f>
        <v>-1198.003537776058</v>
      </c>
      <c r="G2069">
        <f>-684.509121586506 -118.429934928105 -487.858892530876</f>
        <v>-1290.797949045487</v>
      </c>
      <c r="H2069">
        <f>-687.318145361653 -115.298969771474 -612.37044048137</f>
        <v>-1414.9875556144971</v>
      </c>
      <c r="I2069">
        <f>-662.433809468388 -103.540309655381 -690.776542190298</f>
        <v>-1456.7506613140667</v>
      </c>
      <c r="J2069">
        <f>-696.173184711707 -90.885451768403 -556.702805575999</f>
        <v>-1343.761442056109</v>
      </c>
      <c r="K2069" t="s">
        <v>22818</v>
      </c>
      <c r="L2069" t="s">
        <v>22819</v>
      </c>
      <c r="M2069" t="s">
        <v>22820</v>
      </c>
      <c r="N2069">
        <f>-675.9908112678 -142.468060048921 -558.455196167849</f>
        <v>-1376.9140674845698</v>
      </c>
      <c r="O2069">
        <f>-626.998141270877 -268.30829048214 -532.735459566132</f>
        <v>-1428.041891319149</v>
      </c>
      <c r="P2069">
        <f>-616.26658604428 -327.32779869249 -244.650835250587</f>
        <v>-1188.2452199873569</v>
      </c>
      <c r="Q2069">
        <f>-482.400584055036 -129.124191553982 -273.738621719021</f>
        <v>-885.26339732803899</v>
      </c>
      <c r="R2069">
        <f>-684.057751501276 -10.6430410447483 -103.507972567066</f>
        <v>-798.20876511309029</v>
      </c>
      <c r="S2069" t="s">
        <v>22821</v>
      </c>
      <c r="T2069" t="s">
        <v>22822</v>
      </c>
      <c r="U2069" t="s">
        <v>22823</v>
      </c>
      <c r="V2069">
        <f>-602.220007944248 -183.10124181265 -96.4876842494269</f>
        <v>-881.80893400632488</v>
      </c>
      <c r="W2069" t="s">
        <v>22824</v>
      </c>
      <c r="X2069" t="s">
        <v>22825</v>
      </c>
      <c r="Y2069" t="s">
        <v>22826</v>
      </c>
    </row>
    <row r="2070" spans="1:25" x14ac:dyDescent="0.3">
      <c r="A2070">
        <v>103450</v>
      </c>
      <c r="B2070" t="s">
        <v>22827</v>
      </c>
      <c r="C2070">
        <f>-642.991958561624 -96.9601117275294 -98.9666122288546</f>
        <v>-838.91868251800793</v>
      </c>
      <c r="D2070">
        <f>-663.238277508807 -111.322079850857 -212.103885611601</f>
        <v>-986.66424297126491</v>
      </c>
      <c r="E2070">
        <f>-673.477006310347 -116.657018477177 -310.049543763766</f>
        <v>-1100.1835685512899</v>
      </c>
      <c r="F2070">
        <f>-680.357561111458 -118.983086446186 -398.849891298113</f>
        <v>-1198.190538855757</v>
      </c>
      <c r="G2070">
        <f>-684.499250953229 -118.70718643583 -487.849781128561</f>
        <v>-1291.05621851762</v>
      </c>
      <c r="H2070">
        <f>-687.379311069358 -115.626672559384 -612.361036338522</f>
        <v>-1415.367019967264</v>
      </c>
      <c r="I2070">
        <f>-662.535732382577 -103.870092839263 -690.780569203935</f>
        <v>-1457.1863944257748</v>
      </c>
      <c r="J2070">
        <f>-696.210129492303 -91.1935156894089 -556.698270454094</f>
        <v>-1344.1019156358059</v>
      </c>
      <c r="K2070" t="s">
        <v>22828</v>
      </c>
      <c r="L2070" t="s">
        <v>22829</v>
      </c>
      <c r="M2070" t="s">
        <v>22830</v>
      </c>
      <c r="N2070">
        <f>-676.013657276755 -142.770966834597 -558.441505096322</f>
        <v>-1377.2261292076741</v>
      </c>
      <c r="O2070">
        <f>-626.986368097261 -268.596769644483 -532.700238145769</f>
        <v>-1428.2833758875131</v>
      </c>
      <c r="P2070">
        <f>-616.124637197742 -327.533767952783 -244.603605203653</f>
        <v>-1188.2620103541781</v>
      </c>
      <c r="Q2070">
        <f>-482.429214824734 -129.224314680363 -273.754115142082</f>
        <v>-885.40764464717904</v>
      </c>
      <c r="R2070">
        <f>-683.976502622213 -10.8506031914035 -103.503667474546</f>
        <v>-798.3307732881625</v>
      </c>
      <c r="S2070" t="s">
        <v>22831</v>
      </c>
      <c r="T2070" t="s">
        <v>22832</v>
      </c>
      <c r="U2070" t="s">
        <v>22833</v>
      </c>
      <c r="V2070">
        <f>-602.1169166187 -183.284597335095 -96.4783188124221</f>
        <v>-881.87983276621708</v>
      </c>
      <c r="W2070" t="s">
        <v>22834</v>
      </c>
      <c r="X2070" t="s">
        <v>22835</v>
      </c>
      <c r="Y2070" t="s">
        <v>22836</v>
      </c>
    </row>
    <row r="2071" spans="1:25" x14ac:dyDescent="0.3">
      <c r="A2071">
        <v>103500</v>
      </c>
      <c r="B2071" t="s">
        <v>22837</v>
      </c>
      <c r="C2071">
        <f>-642.854643924326 -97.2279198312506 -98.958580226176</f>
        <v>-839.0411439817525</v>
      </c>
      <c r="D2071">
        <f>-663.06747573636 -111.59534900548 -212.10122784729</f>
        <v>-986.76405258913007</v>
      </c>
      <c r="E2071">
        <f>-673.303064662207 -116.949075173999 -310.04617052565</f>
        <v>-1100.298310361856</v>
      </c>
      <c r="F2071">
        <f>-680.191402730998 -119.297559269552 -398.845210141568</f>
        <v>-1198.3341721421179</v>
      </c>
      <c r="G2071">
        <f>-684.351930734241 -119.04901664402 -487.844506952756</f>
        <v>-1291.2454543310168</v>
      </c>
      <c r="H2071">
        <f>-687.270160278578 -116.011640219751 -612.355941152179</f>
        <v>-1415.6377416505079</v>
      </c>
      <c r="I2071">
        <f>-662.472222318334 -104.250518734376 -690.789018374507</f>
        <v>-1457.5117594272169</v>
      </c>
      <c r="J2071">
        <f>-696.097167041682 -91.5644027316358 -556.69866162308</f>
        <v>-1344.3602313963979</v>
      </c>
      <c r="K2071" t="s">
        <v>22838</v>
      </c>
      <c r="L2071" t="s">
        <v>22839</v>
      </c>
      <c r="M2071" t="s">
        <v>22840</v>
      </c>
      <c r="N2071">
        <f>-675.874882711356 -143.132094708347 -558.430451788068</f>
        <v>-1377.4374292077709</v>
      </c>
      <c r="O2071">
        <f>-626.732520031303 -268.906030560965 -532.670891014167</f>
        <v>-1428.309441606435</v>
      </c>
      <c r="P2071">
        <f>-615.878735906479 -327.719498366683 -244.548650015373</f>
        <v>-1188.1468842885349</v>
      </c>
      <c r="Q2071">
        <f>-482.442466232098 -129.254135961038 -273.825744072505</f>
        <v>-885.52234626564098</v>
      </c>
      <c r="R2071">
        <f>-683.846801142371 -11.1450274287411 -103.508281799347</f>
        <v>-798.50011037045897</v>
      </c>
      <c r="S2071" t="s">
        <v>22841</v>
      </c>
      <c r="T2071" t="s">
        <v>22842</v>
      </c>
      <c r="U2071" t="s">
        <v>22843</v>
      </c>
      <c r="V2071">
        <f>-601.980486261172 -183.478410771473 -96.4545292876484</f>
        <v>-881.91342632029341</v>
      </c>
      <c r="W2071" t="s">
        <v>22844</v>
      </c>
      <c r="X2071" t="s">
        <v>22845</v>
      </c>
      <c r="Y2071" t="s">
        <v>22846</v>
      </c>
    </row>
    <row r="2072" spans="1:25" x14ac:dyDescent="0.3">
      <c r="A2072">
        <v>103550</v>
      </c>
      <c r="B2072" t="s">
        <v>22847</v>
      </c>
      <c r="C2072">
        <f>-642.809632399008 -97.33911322305 -98.961409452034</f>
        <v>-839.11015507409206</v>
      </c>
      <c r="D2072">
        <f>-663.010351009957 -111.708705756951 -212.105832609372</f>
        <v>-986.82488937628</v>
      </c>
      <c r="E2072">
        <f>-673.245842890985 -117.081034991234 -310.049835812189</f>
        <v>-1100.376713694408</v>
      </c>
      <c r="F2072">
        <f>-680.138274133477 -119.45317284628 -398.847910599676</f>
        <v>-1198.4393575794331</v>
      </c>
      <c r="G2072">
        <f>-684.30721046985 -119.235184487278 -487.847022973888</f>
        <v>-1291.3894179310159</v>
      </c>
      <c r="H2072">
        <f>-687.241764615733 -116.247532399159 -612.359116493645</f>
        <v>-1415.8484135085371</v>
      </c>
      <c r="I2072">
        <f>-662.451143901281 -104.497488423129 -690.796188309692</f>
        <v>-1457.7448206341019</v>
      </c>
      <c r="J2072">
        <f>-696.063766746786 -91.778987705878 -556.710473770034</f>
        <v>-1344.553228222698</v>
      </c>
      <c r="K2072" t="s">
        <v>22848</v>
      </c>
      <c r="L2072" t="s">
        <v>22849</v>
      </c>
      <c r="M2072" t="s">
        <v>22850</v>
      </c>
      <c r="N2072">
        <f>-675.837120951185 -143.345521524751 -558.424483978257</f>
        <v>-1377.6071264541929</v>
      </c>
      <c r="O2072">
        <f>-626.653477453042 -269.099561019669 -532.651700908788</f>
        <v>-1428.404739381499</v>
      </c>
      <c r="P2072">
        <f>-615.769490825644 -327.905769771932 -244.529226295929</f>
        <v>-1188.204486893505</v>
      </c>
      <c r="Q2072">
        <f>-482.515493036916 -129.324478880778 -273.850676405944</f>
        <v>-885.69064832363802</v>
      </c>
      <c r="R2072">
        <f>-683.83045624759 -11.2884071997273 -103.505841438473</f>
        <v>-798.62470488579027</v>
      </c>
      <c r="S2072" t="s">
        <v>22851</v>
      </c>
      <c r="T2072" t="s">
        <v>22852</v>
      </c>
      <c r="U2072" t="s">
        <v>22853</v>
      </c>
      <c r="V2072">
        <f>-601.912002857442 -183.576279633235 -96.4467134784836</f>
        <v>-881.93499596916058</v>
      </c>
      <c r="W2072" t="s">
        <v>22854</v>
      </c>
      <c r="X2072" t="s">
        <v>22855</v>
      </c>
      <c r="Y2072" t="s">
        <v>22856</v>
      </c>
    </row>
    <row r="2073" spans="1:25" x14ac:dyDescent="0.3">
      <c r="A2073">
        <v>103600</v>
      </c>
      <c r="B2073" t="s">
        <v>22857</v>
      </c>
      <c r="C2073">
        <f>-642.675048995412 -97.7248444397748 -98.9215684963134</f>
        <v>-839.32146193150015</v>
      </c>
      <c r="D2073">
        <f>-662.850694334909 -112.098363732518 -212.070009715786</f>
        <v>-987.01906778321302</v>
      </c>
      <c r="E2073">
        <f>-673.09185413247 -117.492036561726 -310.012194192856</f>
        <v>-1100.5960848870518</v>
      </c>
      <c r="F2073">
        <f>-680.000320854419 -119.890942536784 -398.808444286248</f>
        <v>-1198.699707677451</v>
      </c>
      <c r="G2073">
        <f>-684.196019751017 -119.707165961415 -487.80615286858</f>
        <v>-1291.7093385810122</v>
      </c>
      <c r="H2073">
        <f>-687.179193776722 -116.775342637379 -612.318483477129</f>
        <v>-1416.27301989123</v>
      </c>
      <c r="I2073">
        <f>-662.384900126066 -105.056232273774 -690.759082636325</f>
        <v>-1458.200215036165</v>
      </c>
      <c r="J2073">
        <f>-695.980268783482 -92.2821578877478 -556.677404756392</f>
        <v>-1344.9398314276218</v>
      </c>
      <c r="K2073" t="s">
        <v>22858</v>
      </c>
      <c r="L2073" t="s">
        <v>22859</v>
      </c>
      <c r="M2073" t="s">
        <v>22860</v>
      </c>
      <c r="N2073">
        <f>-675.75267247961 -143.848815915403 -558.376172500652</f>
        <v>-1377.9776608956652</v>
      </c>
      <c r="O2073">
        <f>-626.513864723985 -269.588467476865 -532.609578045414</f>
        <v>-1428.7119102462639</v>
      </c>
      <c r="P2073">
        <f>-615.522891567761 -328.411208905223 -244.49459236743</f>
        <v>-1188.428692840414</v>
      </c>
      <c r="Q2073">
        <f>-482.760739307583 -129.530893980293 -274.019117771849</f>
        <v>-886.31075105972502</v>
      </c>
      <c r="R2073">
        <f>-683.736188700376 -11.6850461807064 -103.48289700033</f>
        <v>-798.90413188141247</v>
      </c>
      <c r="S2073" t="s">
        <v>22861</v>
      </c>
      <c r="T2073" t="s">
        <v>22862</v>
      </c>
      <c r="U2073" t="s">
        <v>22863</v>
      </c>
      <c r="V2073">
        <f>-601.707279163994 -183.971367407333 -96.425894893538</f>
        <v>-882.10454146486506</v>
      </c>
      <c r="W2073" t="s">
        <v>22864</v>
      </c>
      <c r="X2073" t="s">
        <v>22865</v>
      </c>
      <c r="Y2073" t="s">
        <v>22866</v>
      </c>
    </row>
    <row r="2074" spans="1:25" x14ac:dyDescent="0.3">
      <c r="A2074">
        <v>103650</v>
      </c>
      <c r="B2074" t="s">
        <v>22867</v>
      </c>
      <c r="C2074">
        <f>-642.589353436711 -97.9154193007294 -98.937871189008</f>
        <v>-839.44264392644834</v>
      </c>
      <c r="D2074">
        <f>-662.774883368215 -112.300276733213 -212.083124422974</f>
        <v>-987.15828452440201</v>
      </c>
      <c r="E2074">
        <f>-673.033126238562 -117.70999293414 -310.022731965946</f>
        <v>-1100.765851138648</v>
      </c>
      <c r="F2074">
        <f>-679.960192597073 -120.126395719902 -398.817049738041</f>
        <v>-1198.903638055016</v>
      </c>
      <c r="G2074">
        <f>-684.177694435115 -119.963010331992 -487.813743039968</f>
        <v>-1291.954447807075</v>
      </c>
      <c r="H2074">
        <f>-687.194589220516 -117.062858669866 -612.325954903779</f>
        <v>-1416.583402794161</v>
      </c>
      <c r="I2074">
        <f>-662.386014113434 -105.355426650901 -690.76383565049</f>
        <v>-1458.5052764148249</v>
      </c>
      <c r="J2074">
        <f>-695.98202783254 -92.5560380776188 -556.688617901313</f>
        <v>-1345.226683811472</v>
      </c>
      <c r="K2074" t="s">
        <v>22868</v>
      </c>
      <c r="L2074" t="s">
        <v>22869</v>
      </c>
      <c r="M2074" t="s">
        <v>22870</v>
      </c>
      <c r="N2074">
        <f>-675.751962667551 -144.122066300949 -558.379912056761</f>
        <v>-1378.2539410252609</v>
      </c>
      <c r="O2074">
        <f>-626.484446380025 -269.852672468026 -532.618451363935</f>
        <v>-1428.955570211986</v>
      </c>
      <c r="P2074">
        <f>-615.51642311635 -328.600016913076 -244.487154642002</f>
        <v>-1188.603594671428</v>
      </c>
      <c r="Q2074">
        <f>-482.837893602799 -129.667007482327 -274.032647963908</f>
        <v>-886.53754904903394</v>
      </c>
      <c r="R2074">
        <f>-683.669301179877 -11.925640604949 -103.525667434475</f>
        <v>-799.12060921930106</v>
      </c>
      <c r="S2074" t="s">
        <v>22871</v>
      </c>
      <c r="T2074" t="s">
        <v>22872</v>
      </c>
      <c r="U2074" t="s">
        <v>22873</v>
      </c>
      <c r="V2074">
        <f>-601.617060923813 -184.107116642943 -96.4270773968397</f>
        <v>-882.15125496359565</v>
      </c>
      <c r="W2074" t="s">
        <v>22874</v>
      </c>
      <c r="X2074" t="s">
        <v>22875</v>
      </c>
      <c r="Y2074" t="s">
        <v>22876</v>
      </c>
    </row>
    <row r="2075" spans="1:25" x14ac:dyDescent="0.3">
      <c r="A2075">
        <v>103700</v>
      </c>
      <c r="B2075" t="s">
        <v>22877</v>
      </c>
      <c r="C2075">
        <f>-642.431386312475 -98.2161985166429 -98.9411187855932</f>
        <v>-839.58870361471099</v>
      </c>
      <c r="D2075">
        <f>-662.606653263701 -112.629110576297 -212.084640674841</f>
        <v>-987.32040451483897</v>
      </c>
      <c r="E2075">
        <f>-672.885457682035 -118.073086082272 -310.020127596758</f>
        <v>-1100.9786713610652</v>
      </c>
      <c r="F2075">
        <f>-679.842365728907 -120.525123426303 -398.811188715308</f>
        <v>-1199.178677870518</v>
      </c>
      <c r="G2075">
        <f>-684.100548043975 -120.402458488618 -487.806077370234</f>
        <v>-1292.3090839028268</v>
      </c>
      <c r="H2075">
        <f>-687.185230087403 -117.564785958826 -612.317938579267</f>
        <v>-1417.067954625496</v>
      </c>
      <c r="I2075">
        <f>-662.35346799547 -105.883349115494 -690.752451683501</f>
        <v>-1458.989268794465</v>
      </c>
      <c r="J2075">
        <f>-695.932983773963 -93.026413660109 -556.688378846597</f>
        <v>-1345.6477762806689</v>
      </c>
      <c r="K2075" t="s">
        <v>22878</v>
      </c>
      <c r="L2075" t="s">
        <v>22879</v>
      </c>
      <c r="M2075" t="s">
        <v>22880</v>
      </c>
      <c r="N2075">
        <f>-675.7225887805 -144.600549078424 -558.364492567361</f>
        <v>-1378.6876304262851</v>
      </c>
      <c r="O2075">
        <f>-626.511833297124 -270.350265520283 -532.589096958378</f>
        <v>-1429.451195775785</v>
      </c>
      <c r="P2075">
        <f>-615.508129615903 -328.915897614168 -244.422185766522</f>
        <v>-1188.8462129965931</v>
      </c>
      <c r="Q2075">
        <f>-482.312746620617 -130.31695399851 -273.889369149976</f>
        <v>-886.519069769103</v>
      </c>
      <c r="R2075">
        <f>-683.594886854562 -12.2158897160871 -103.536393588392</f>
        <v>-799.34717015904107</v>
      </c>
      <c r="S2075" t="s">
        <v>22881</v>
      </c>
      <c r="T2075" t="s">
        <v>22882</v>
      </c>
      <c r="U2075" t="s">
        <v>22883</v>
      </c>
      <c r="V2075">
        <f>-601.352510696362 -184.427096778043 -96.4178802555781</f>
        <v>-882.19748772998298</v>
      </c>
      <c r="W2075" t="s">
        <v>22884</v>
      </c>
      <c r="X2075" t="s">
        <v>22885</v>
      </c>
      <c r="Y2075" t="s">
        <v>22886</v>
      </c>
    </row>
    <row r="2076" spans="1:25" x14ac:dyDescent="0.3">
      <c r="A2076">
        <v>103750</v>
      </c>
      <c r="B2076" t="s">
        <v>22887</v>
      </c>
      <c r="C2076">
        <f>-642.312946362392 -98.4036448280337 -98.9324952552959</f>
        <v>-839.64908644572165</v>
      </c>
      <c r="D2076">
        <f>-662.465065379831 -112.827499272711 -212.078758123836</f>
        <v>-987.37132277637795</v>
      </c>
      <c r="E2076">
        <f>-672.731783493002 -118.276547045032 -310.015154451801</f>
        <v>-1101.023484989835</v>
      </c>
      <c r="F2076">
        <f>-679.680822603836 -120.731249211985 -398.806792019755</f>
        <v>-1199.218863835576</v>
      </c>
      <c r="G2076">
        <f>-683.934437692495 -120.609039539193 -487.801829150874</f>
        <v>-1292.3453063825618</v>
      </c>
      <c r="H2076">
        <f>-687.016222620356 -117.76977578267 -612.313830437666</f>
        <v>-1417.0998288406918</v>
      </c>
      <c r="I2076">
        <f>-662.168634230669 -106.095128489089 -690.744332282367</f>
        <v>-1459.0080950021252</v>
      </c>
      <c r="J2076">
        <f>-695.766561661239 -93.2326346271249 -556.684150311384</f>
        <v>-1345.6833465997479</v>
      </c>
      <c r="K2076" t="s">
        <v>22888</v>
      </c>
      <c r="L2076" t="s">
        <v>22889</v>
      </c>
      <c r="M2076" t="s">
        <v>22890</v>
      </c>
      <c r="N2076">
        <f>-675.553647987895 -144.805842739495 -558.360374678652</f>
        <v>-1378.7198654060421</v>
      </c>
      <c r="O2076">
        <f>-626.349914093321 -270.560940073612 -532.597797923656</f>
        <v>-1429.5086520905888</v>
      </c>
      <c r="P2076">
        <f>-615.449361180824 -329.133256380981 -244.428341023371</f>
        <v>-1189.010958585176</v>
      </c>
      <c r="Q2076">
        <f>-481.87734514247 -130.775148188561 -273.812513698506</f>
        <v>-886.46500702953699</v>
      </c>
      <c r="R2076">
        <f>-683.47299797454 -12.4222470633533 -103.526879096919</f>
        <v>-799.42212413481229</v>
      </c>
      <c r="S2076" t="s">
        <v>22891</v>
      </c>
      <c r="T2076" t="s">
        <v>22892</v>
      </c>
      <c r="U2076" t="s">
        <v>22893</v>
      </c>
      <c r="V2076">
        <f>-601.211662855558 -184.628503872968 -96.4087214497317</f>
        <v>-882.24888817825763</v>
      </c>
      <c r="W2076" t="s">
        <v>22894</v>
      </c>
      <c r="X2076" t="s">
        <v>22895</v>
      </c>
      <c r="Y2076" t="s">
        <v>22896</v>
      </c>
    </row>
    <row r="2077" spans="1:25" x14ac:dyDescent="0.3">
      <c r="A2077">
        <v>103800</v>
      </c>
      <c r="B2077" t="s">
        <v>22897</v>
      </c>
      <c r="C2077">
        <f>-642.158758956237 -98.5047609203745 -98.9173927576368</f>
        <v>-839.58091263424819</v>
      </c>
      <c r="D2077">
        <f>-662.285703296699 -112.922251862861 -212.068783707768</f>
        <v>-987.27673886732805</v>
      </c>
      <c r="E2077">
        <f>-672.511465249488 -118.364427692845 -310.009955614937</f>
        <v>-1100.88584855727</v>
      </c>
      <c r="F2077">
        <f>-679.415899657022 -120.812112347175 -398.805155812174</f>
        <v>-1199.0331678163711</v>
      </c>
      <c r="G2077">
        <f>-683.617417871157 -120.682512497083 -487.802804653594</f>
        <v>-1292.102735021834</v>
      </c>
      <c r="H2077">
        <f>-686.618359604589 -117.832342570684 -612.316553052974</f>
        <v>-1416.767255228247</v>
      </c>
      <c r="I2077">
        <f>-661.730550056583 -106.169586043384 -690.735951928929</f>
        <v>-1458.636088028896</v>
      </c>
      <c r="J2077">
        <f>-695.397631121701 -93.2971943884643 -556.690456185398</f>
        <v>-1345.3852816955632</v>
      </c>
      <c r="K2077" t="s">
        <v>22898</v>
      </c>
      <c r="L2077" t="s">
        <v>22899</v>
      </c>
      <c r="M2077" t="s">
        <v>22900</v>
      </c>
      <c r="N2077">
        <f>-675.197963730478 -144.875861773894 -558.358020465331</f>
        <v>-1378.4318459697031</v>
      </c>
      <c r="O2077">
        <f>-626.046310511315 -270.643559799146 -532.571690206591</f>
        <v>-1429.261560517052</v>
      </c>
      <c r="P2077">
        <f>-615.179594085117 -329.351038232435 -244.428418840668</f>
        <v>-1188.9590511582198</v>
      </c>
      <c r="Q2077">
        <f>-481.276548062277 -131.244525019018 -274.00275444783</f>
        <v>-886.52382752912513</v>
      </c>
      <c r="R2077">
        <f>-683.320622603574 -12.5881733125491 -103.518805985573</f>
        <v>-799.42760190169599</v>
      </c>
      <c r="S2077" t="s">
        <v>22901</v>
      </c>
      <c r="T2077" t="s">
        <v>22902</v>
      </c>
      <c r="U2077" t="s">
        <v>22903</v>
      </c>
      <c r="V2077">
        <f>-601.142385552393 -184.561573667619 -96.3789929940575</f>
        <v>-882.08295221406945</v>
      </c>
      <c r="W2077" t="s">
        <v>22904</v>
      </c>
      <c r="X2077" t="s">
        <v>22905</v>
      </c>
      <c r="Y2077" t="s">
        <v>22906</v>
      </c>
    </row>
    <row r="2078" spans="1:25" x14ac:dyDescent="0.3">
      <c r="A2078">
        <v>103850</v>
      </c>
      <c r="B2078" t="s">
        <v>22907</v>
      </c>
      <c r="C2078">
        <f>-642.099558208678 -98.5270736813691 -98.9132963414879</f>
        <v>-839.53992823153499</v>
      </c>
      <c r="D2078">
        <f>-662.194934824773 -112.936527146878 -212.071362529725</f>
        <v>-987.20282450137597</v>
      </c>
      <c r="E2078">
        <f>-672.37268952258 -118.369051507765 -310.018112977845</f>
        <v>-1100.7598540081899</v>
      </c>
      <c r="F2078">
        <f>-679.225463870645 -120.806936145408 -398.817556806545</f>
        <v>-1198.849956822598</v>
      </c>
      <c r="G2078">
        <f>-683.36681682484 -120.666313688127 -487.81794360097</f>
        <v>-1291.8510741139371</v>
      </c>
      <c r="H2078">
        <f>-686.27526479182 -117.799716041065 -612.333492281417</f>
        <v>-1416.4084731143021</v>
      </c>
      <c r="I2078">
        <f>-661.347758392151 -106.139960447012 -690.740765076908</f>
        <v>-1458.2284839160711</v>
      </c>
      <c r="J2078">
        <f>-695.092640918003 -93.2707179175469 -556.710678873015</f>
        <v>-1345.0740377085649</v>
      </c>
      <c r="K2078" t="s">
        <v>22908</v>
      </c>
      <c r="L2078" t="s">
        <v>22909</v>
      </c>
      <c r="M2078" t="s">
        <v>22910</v>
      </c>
      <c r="N2078">
        <f>-674.898106921212 -144.85164632831 -558.36994462631</f>
        <v>-1378.1196978758321</v>
      </c>
      <c r="O2078">
        <f>-625.776844260768 -270.625163687572 -532.558218513838</f>
        <v>-1428.9602264621781</v>
      </c>
      <c r="P2078">
        <f>-615.054570733818 -329.235458684442 -244.389668902646</f>
        <v>-1188.679698320906</v>
      </c>
      <c r="Q2078">
        <f>-481.02717771006 -131.238557411977 -274.134650175752</f>
        <v>-886.40038529778906</v>
      </c>
      <c r="R2078">
        <f>-683.248722866572 -12.643177715438 -103.515882492957</f>
        <v>-799.40778307496703</v>
      </c>
      <c r="S2078" t="s">
        <v>22911</v>
      </c>
      <c r="T2078" t="s">
        <v>22912</v>
      </c>
      <c r="U2078" t="s">
        <v>22913</v>
      </c>
      <c r="V2078">
        <f>-601.044407038155 -184.627837849675 -96.369802647038</f>
        <v>-882.04204753486795</v>
      </c>
      <c r="W2078" t="s">
        <v>22914</v>
      </c>
      <c r="X2078" t="s">
        <v>22915</v>
      </c>
      <c r="Y2078" t="s">
        <v>22916</v>
      </c>
    </row>
    <row r="2079" spans="1:25" x14ac:dyDescent="0.3">
      <c r="A2079">
        <v>103900</v>
      </c>
      <c r="B2079" t="s">
        <v>22917</v>
      </c>
      <c r="C2079">
        <f>-641.877544150943 -98.6117883259051 -98.9120827562115</f>
        <v>-839.40141523305954</v>
      </c>
      <c r="D2079">
        <f>-661.936533009464 -113.007773909326 -212.078285895649</f>
        <v>-987.02259281443912</v>
      </c>
      <c r="E2079">
        <f>-672.018186226798 -118.430322007877 -310.035480055258</f>
        <v>-1100.483988289933</v>
      </c>
      <c r="F2079">
        <f>-678.757684463569 -120.860405260844 -398.843837546366</f>
        <v>-1198.4619272707791</v>
      </c>
      <c r="G2079">
        <f>-682.759207308971 -120.714003530834 -487.850717610202</f>
        <v>-1291.3239284500071</v>
      </c>
      <c r="H2079">
        <f>-685.444089802289 -117.841804312441 -612.371160440363</f>
        <v>-1415.6570545550931</v>
      </c>
      <c r="I2079">
        <f>-660.415731170475 -106.189625127022 -690.747439400382</f>
        <v>-1457.3527956978792</v>
      </c>
      <c r="J2079">
        <f>-694.347011354312 -93.3096343346016 -556.763395925006</f>
        <v>-1344.4200416139197</v>
      </c>
      <c r="K2079" t="s">
        <v>22918</v>
      </c>
      <c r="L2079" t="s">
        <v>22919</v>
      </c>
      <c r="M2079" t="s">
        <v>22920</v>
      </c>
      <c r="N2079">
        <f>-674.17826923792 -144.901801890798 -558.38837497963</f>
        <v>-1377.468446108348</v>
      </c>
      <c r="O2079">
        <f>-625.14684648296 -270.69897926097 -532.500845161244</f>
        <v>-1428.3466709051741</v>
      </c>
      <c r="P2079">
        <f>-614.526260074766 -329.232704340839 -244.313139684936</f>
        <v>-1188.0721041005411</v>
      </c>
      <c r="Q2079">
        <f>-480.408167733914 -131.333946846526 -274.300568643225</f>
        <v>-886.04268322366499</v>
      </c>
      <c r="R2079">
        <f>-683.036896445432 -12.7767073254504 -103.525644814145</f>
        <v>-799.33924858502746</v>
      </c>
      <c r="S2079" t="s">
        <v>22921</v>
      </c>
      <c r="T2079" t="s">
        <v>22922</v>
      </c>
      <c r="U2079" t="s">
        <v>22923</v>
      </c>
      <c r="V2079">
        <f>-600.813454425852 -184.688196297798 -96.3622872971532</f>
        <v>-881.86393802080318</v>
      </c>
      <c r="W2079" t="s">
        <v>22924</v>
      </c>
      <c r="X2079" t="s">
        <v>22925</v>
      </c>
      <c r="Y2079" t="s">
        <v>22926</v>
      </c>
    </row>
    <row r="2080" spans="1:25" x14ac:dyDescent="0.3">
      <c r="A2080">
        <v>103950</v>
      </c>
      <c r="B2080" t="s">
        <v>22927</v>
      </c>
      <c r="C2080">
        <f>-641.750404343568 -98.6263352525145 -98.915498217358</f>
        <v>-839.29223781344058</v>
      </c>
      <c r="D2080">
        <f>-661.779170675027 -113.026854631949 -212.086617614525</f>
        <v>-986.89264292150108</v>
      </c>
      <c r="E2080">
        <f>-671.811183517449 -118.451003015858 -310.048806156708</f>
        <v>-1100.3109926900149</v>
      </c>
      <c r="F2080">
        <f>-678.496168251691 -120.882079713343 -398.861121312286</f>
        <v>-1198.2393692773201</v>
      </c>
      <c r="G2080">
        <f>-682.433298393721 -120.736339209471 -487.870846180641</f>
        <v>-1291.040483783833</v>
      </c>
      <c r="H2080">
        <f>-685.017793614168 -117.864969287067 -612.393554734486</f>
        <v>-1415.2763176357209</v>
      </c>
      <c r="I2080">
        <f>-659.936909452881 -106.21432910684 -690.753182141224</f>
        <v>-1456.9044207009449</v>
      </c>
      <c r="J2080">
        <f>-693.965430735519 -93.3324555291385 -556.793155363301</f>
        <v>-1344.0910416279585</v>
      </c>
      <c r="K2080" t="s">
        <v>22928</v>
      </c>
      <c r="L2080" t="s">
        <v>22929</v>
      </c>
      <c r="M2080" t="s">
        <v>22930</v>
      </c>
      <c r="N2080">
        <f>-673.795502872565 -144.924654130392 -558.401436274196</f>
        <v>-1377.1215932771529</v>
      </c>
      <c r="O2080">
        <f>-624.761453181198 -270.708304542865 -532.479018115438</f>
        <v>-1427.948775839501</v>
      </c>
      <c r="P2080">
        <f>-614.301117183208 -329.181734755783 -244.273134189965</f>
        <v>-1187.755986128956</v>
      </c>
      <c r="Q2080">
        <f>-480.184071052386 -131.304547186519 -274.408083586246</f>
        <v>-885.89670182515101</v>
      </c>
      <c r="R2080">
        <f>-682.924010118267 -12.8173469528174 -103.537944097972</f>
        <v>-799.27930116905645</v>
      </c>
      <c r="S2080" t="s">
        <v>22931</v>
      </c>
      <c r="T2080" t="s">
        <v>22932</v>
      </c>
      <c r="U2080" t="s">
        <v>22933</v>
      </c>
      <c r="V2080">
        <f>-600.677089301807 -184.654994572572 -96.3590046260649</f>
        <v>-881.69108850044393</v>
      </c>
      <c r="W2080" t="s">
        <v>22934</v>
      </c>
      <c r="X2080" t="s">
        <v>22935</v>
      </c>
      <c r="Y2080" t="s">
        <v>22936</v>
      </c>
    </row>
    <row r="2081" spans="1:25" x14ac:dyDescent="0.3">
      <c r="A2081">
        <v>104000</v>
      </c>
      <c r="B2081" t="s">
        <v>22937</v>
      </c>
      <c r="C2081">
        <f>-641.618004448236 -98.6424299267535 -98.9231527639091</f>
        <v>-839.18358713889859</v>
      </c>
      <c r="D2081">
        <f>-661.622610603661 -113.043381209688 -212.098404725104</f>
        <v>-986.76439653845296</v>
      </c>
      <c r="E2081">
        <f>-671.611660695775 -118.468013986335 -310.065015015025</f>
        <v>-1100.1446896971349</v>
      </c>
      <c r="F2081">
        <f>-678.24859658613 -120.89995801307 -398.881065022624</f>
        <v>-1198.0296196218239</v>
      </c>
      <c r="G2081">
        <f>-682.128539069726 -120.755647469244 -487.893119804555</f>
        <v>-1290.777306343525</v>
      </c>
      <c r="H2081">
        <f>-684.623544561238 -117.88691121982 -612.417791427212</f>
        <v>-1414.92824720827</v>
      </c>
      <c r="I2081">
        <f>-659.493622506094 -106.231581280584 -690.760919653075</f>
        <v>-1456.4861234397531</v>
      </c>
      <c r="J2081">
        <f>-693.614730545426 -93.3545524213503 -556.824297067847</f>
        <v>-1343.7935800346233</v>
      </c>
      <c r="K2081" t="s">
        <v>22938</v>
      </c>
      <c r="L2081" t="s">
        <v>22939</v>
      </c>
      <c r="M2081" t="s">
        <v>22940</v>
      </c>
      <c r="N2081">
        <f>-673.436579763436 -144.944072478205 -558.41704714644</f>
        <v>-1376.7976993880811</v>
      </c>
      <c r="O2081">
        <f>-624.368284963841 -270.707852910421 -532.465765377009</f>
        <v>-1427.5419032512709</v>
      </c>
      <c r="P2081">
        <f>-614.039478958812 -329.172129080907 -244.253187495819</f>
        <v>-1187.4647955355379</v>
      </c>
      <c r="Q2081">
        <f>-480.031840111038 -131.240207910127 -274.515039945699</f>
        <v>-885.78708796686396</v>
      </c>
      <c r="R2081">
        <f>-682.806003180626 -12.8470421931825 -103.553194199025</f>
        <v>-799.20623957283351</v>
      </c>
      <c r="S2081" t="s">
        <v>22941</v>
      </c>
      <c r="T2081" t="s">
        <v>22942</v>
      </c>
      <c r="U2081" t="s">
        <v>22943</v>
      </c>
      <c r="V2081">
        <f>-600.526007416954 -184.635624830982 -96.3533327215018</f>
        <v>-881.51496496943787</v>
      </c>
      <c r="W2081" t="s">
        <v>22944</v>
      </c>
      <c r="X2081" t="s">
        <v>22945</v>
      </c>
      <c r="Y2081" t="s">
        <v>22946</v>
      </c>
    </row>
    <row r="2082" spans="1:25" x14ac:dyDescent="0.3">
      <c r="A2082">
        <v>104050</v>
      </c>
      <c r="B2082" t="s">
        <v>22947</v>
      </c>
      <c r="C2082">
        <f>-641.490402116721 -98.7397010302684 -98.9230376425727</f>
        <v>-839.15314078956214</v>
      </c>
      <c r="D2082">
        <f>-661.482678644403 -113.132111174141 -212.101616925084</f>
        <v>-986.71640674362789</v>
      </c>
      <c r="E2082">
        <f>-671.431913297193 -118.552830925281 -310.07252415742</f>
        <v>-1100.0572683798939</v>
      </c>
      <c r="F2082">
        <f>-678.021168685491 -120.982943760752 -398.892117660786</f>
        <v>-1197.8962301070289</v>
      </c>
      <c r="G2082">
        <f>-681.841641667533 -120.838524035274 -487.906741844553</f>
        <v>-1290.5869075473599</v>
      </c>
      <c r="H2082">
        <f>-684.241155373913 -117.971858064672 -612.433233472967</f>
        <v>-1414.646246911552</v>
      </c>
      <c r="I2082">
        <f>-659.064240556914 -106.304404949677 -690.759605978603</f>
        <v>-1456.1282514851939</v>
      </c>
      <c r="J2082">
        <f>-693.281245863341 -93.4410907374394 -556.847032823369</f>
        <v>-1343.5693694241495</v>
      </c>
      <c r="K2082" t="s">
        <v>22948</v>
      </c>
      <c r="L2082" t="s">
        <v>22949</v>
      </c>
      <c r="M2082" t="s">
        <v>22950</v>
      </c>
      <c r="N2082">
        <f>-673.089185998757 -145.025580651366 -558.42365289791</f>
        <v>-1376.5384195480328</v>
      </c>
      <c r="O2082">
        <f>-623.983083491479 -270.76649895618 -532.428676766229</f>
        <v>-1427.1782592138879</v>
      </c>
      <c r="P2082">
        <f>-613.620909235267 -329.246899914249 -244.220658828744</f>
        <v>-1187.08846797826</v>
      </c>
      <c r="Q2082">
        <f>-479.849618932494 -131.170717264041 -274.584194204999</f>
        <v>-885.60453040153402</v>
      </c>
      <c r="R2082">
        <f>-682.711463789932 -12.9342700424559 -103.552168954561</f>
        <v>-799.19790278694893</v>
      </c>
      <c r="S2082" t="s">
        <v>22951</v>
      </c>
      <c r="T2082" t="s">
        <v>22952</v>
      </c>
      <c r="U2082" t="s">
        <v>22953</v>
      </c>
      <c r="V2082">
        <f>-600.375211181843 -184.755821059967 -96.3637927076855</f>
        <v>-881.49482494949564</v>
      </c>
      <c r="W2082" t="s">
        <v>22954</v>
      </c>
      <c r="X2082" t="s">
        <v>22955</v>
      </c>
      <c r="Y2082" t="s">
        <v>22956</v>
      </c>
    </row>
    <row r="2083" spans="1:25" x14ac:dyDescent="0.3">
      <c r="A2083">
        <v>104100</v>
      </c>
      <c r="B2083" t="s">
        <v>22957</v>
      </c>
      <c r="C2083">
        <f>-641.384079200074 -98.8075097667681 -98.9278465440614</f>
        <v>-839.11943551090349</v>
      </c>
      <c r="D2083">
        <f>-661.359578734789 -113.198601169776 -212.109548963438</f>
        <v>-986.667728868003</v>
      </c>
      <c r="E2083">
        <f>-671.260846102472 -118.615762249548 -310.085518057961</f>
        <v>-1099.962126409981</v>
      </c>
      <c r="F2083">
        <f>-677.793061762441 -121.042038665611 -398.909397587188</f>
        <v>-1197.74449801524</v>
      </c>
      <c r="G2083">
        <f>-681.543064339027 -120.893208327212 -487.927080579081</f>
        <v>-1290.36335324532</v>
      </c>
      <c r="H2083">
        <f>-683.829936733287 -118.019835722349 -612.455472637111</f>
        <v>-1414.3052450927471</v>
      </c>
      <c r="I2083">
        <f>-658.605744703996 -106.336398819659 -690.76433833987</f>
        <v>-1455.7064818635249</v>
      </c>
      <c r="J2083">
        <f>-692.930383140974 -93.4959930383345 -556.876157543178</f>
        <v>-1343.3025337224865</v>
      </c>
      <c r="K2083" t="s">
        <v>22958</v>
      </c>
      <c r="L2083" t="s">
        <v>22959</v>
      </c>
      <c r="M2083" t="s">
        <v>22960</v>
      </c>
      <c r="N2083">
        <f>-672.716868664023 -145.072557812606 -558.437348489921</f>
        <v>-1376.2267749665498</v>
      </c>
      <c r="O2083">
        <f>-623.552834085334 -270.787821995318 -532.413622364347</f>
        <v>-1426.754278444999</v>
      </c>
      <c r="P2083">
        <f>-613.245147836418 -329.231555867675 -244.196287286468</f>
        <v>-1186.6729909905612</v>
      </c>
      <c r="Q2083">
        <f>-479.597848107273 -131.08413057984 -274.640679046235</f>
        <v>-885.32265773334802</v>
      </c>
      <c r="R2083">
        <f>-682.633074345199 -13.0037461364475 -103.5565719932</f>
        <v>-799.19339247484652</v>
      </c>
      <c r="S2083" t="s">
        <v>22961</v>
      </c>
      <c r="T2083" t="s">
        <v>22962</v>
      </c>
      <c r="U2083" t="s">
        <v>22963</v>
      </c>
      <c r="V2083">
        <f>-600.252933209369 -184.798242500155 -96.3719781391801</f>
        <v>-881.42315384870403</v>
      </c>
      <c r="W2083" t="s">
        <v>22964</v>
      </c>
      <c r="X2083" t="s">
        <v>22965</v>
      </c>
      <c r="Y2083" t="s">
        <v>22966</v>
      </c>
    </row>
    <row r="2084" spans="1:25" x14ac:dyDescent="0.3">
      <c r="A2084">
        <v>104150</v>
      </c>
      <c r="B2084" t="s">
        <v>22967</v>
      </c>
      <c r="C2084">
        <f>-641.076610251784 -98.8526441403602 -98.9260034128512</f>
        <v>-838.8552578049954</v>
      </c>
      <c r="D2084">
        <f>-661.019323324728 -113.239499431606 -212.114086494007</f>
        <v>-986.37290925034097</v>
      </c>
      <c r="E2084">
        <f>-670.799639169843 -118.643174878091 -310.102797286343</f>
        <v>-1099.5456113342771</v>
      </c>
      <c r="F2084">
        <f>-677.184556270485 -121.05464558063 -398.937805565907</f>
        <v>-1197.177007417022</v>
      </c>
      <c r="G2084">
        <f>-680.749102237245 -120.888763217755 -487.963118236083</f>
        <v>-1289.600983691083</v>
      </c>
      <c r="H2084">
        <f>-682.736998139243 -117.989753815635 -612.496107523427</f>
        <v>-1413.2228594783051</v>
      </c>
      <c r="I2084">
        <f>-657.38545167851 -106.252560397545 -690.755754099448</f>
        <v>-1454.3937661755031</v>
      </c>
      <c r="J2084">
        <f>-691.997934675817 -93.4880046101063 -556.933370851456</f>
        <v>-1342.4193101373792</v>
      </c>
      <c r="K2084" t="s">
        <v>22968</v>
      </c>
      <c r="L2084" t="s">
        <v>22969</v>
      </c>
      <c r="M2084" t="s">
        <v>22970</v>
      </c>
      <c r="N2084">
        <f>-671.726513386311 -145.042972469965 -558.457159195178</f>
        <v>-1375.2266450514539</v>
      </c>
      <c r="O2084">
        <f>-622.456376128179 -270.699920163424 -532.361834426693</f>
        <v>-1425.5181307182961</v>
      </c>
      <c r="P2084">
        <f>-612.176980203649 -329.140764725311 -244.142848262228</f>
        <v>-1185.4605931911881</v>
      </c>
      <c r="Q2084">
        <f>-478.882740939649 -130.756641158368 -274.593632744201</f>
        <v>-884.23301484221793</v>
      </c>
      <c r="R2084">
        <f>-682.375472587095 -13.1479087622013 -103.547208898653</f>
        <v>-799.07059024794933</v>
      </c>
      <c r="S2084" t="s">
        <v>22971</v>
      </c>
      <c r="T2084" t="s">
        <v>22972</v>
      </c>
      <c r="U2084" t="s">
        <v>22973</v>
      </c>
      <c r="V2084">
        <f>-599.877222186952 -184.782911886798 -96.3774167114748</f>
        <v>-881.03755078522477</v>
      </c>
      <c r="W2084" t="s">
        <v>22974</v>
      </c>
      <c r="X2084" t="s">
        <v>22975</v>
      </c>
      <c r="Y2084" t="s">
        <v>22976</v>
      </c>
    </row>
    <row r="2085" spans="1:25" x14ac:dyDescent="0.3">
      <c r="A2085">
        <v>104200</v>
      </c>
      <c r="B2085" t="s">
        <v>22977</v>
      </c>
      <c r="C2085">
        <f>-640.868818587053 -98.8903611157766 -98.9386968344755</f>
        <v>-838.69787653730521</v>
      </c>
      <c r="D2085">
        <f>-660.816478889519 -113.303459147701 -212.122545331496</f>
        <v>-986.24248336871597</v>
      </c>
      <c r="E2085">
        <f>-670.519223936905 -118.702493635097 -310.119333725726</f>
        <v>-1099.341051297728</v>
      </c>
      <c r="F2085">
        <f>-676.79993528032 -121.100346983092 -398.962103258425</f>
        <v>-1196.862385521837</v>
      </c>
      <c r="G2085">
        <f>-680.226177816864 -120.911836252449 -487.992801001768</f>
        <v>-1289.1308150710811</v>
      </c>
      <c r="H2085">
        <f>-681.984492268276 -117.972288141011 -612.528326472172</f>
        <v>-1412.4851068814589</v>
      </c>
      <c r="I2085">
        <f>-656.527962414782 -106.189553123969 -690.746935264576</f>
        <v>-1453.4644508033271</v>
      </c>
      <c r="J2085">
        <f>-691.372602313222 -93.4983165104103 -556.974640945026</f>
        <v>-1341.8455597686584</v>
      </c>
      <c r="K2085" t="s">
        <v>22978</v>
      </c>
      <c r="L2085" t="s">
        <v>22979</v>
      </c>
      <c r="M2085" t="s">
        <v>22980</v>
      </c>
      <c r="N2085">
        <f>-671.048962065396 -145.033350623603 -558.478014879813</f>
        <v>-1374.5603275688122</v>
      </c>
      <c r="O2085">
        <f>-621.72787009851 -270.664148214182 -532.356396404565</f>
        <v>-1424.748414717257</v>
      </c>
      <c r="P2085">
        <f>-611.60801515177 -329.088911749642 -244.128562621342</f>
        <v>-1184.8254895227542</v>
      </c>
      <c r="Q2085">
        <f>-478.085786319759 -130.911439542696 -274.924131691045</f>
        <v>-883.9213575535</v>
      </c>
      <c r="R2085">
        <f>-682.282812136145 -13.2195790561377 -103.545703616105</f>
        <v>-799.04809480838776</v>
      </c>
      <c r="S2085" t="s">
        <v>22981</v>
      </c>
      <c r="T2085" t="s">
        <v>22982</v>
      </c>
      <c r="U2085" t="s">
        <v>22983</v>
      </c>
      <c r="V2085">
        <f>-599.551820543954 -184.751209529007 -96.3932264109874</f>
        <v>-880.69625648394845</v>
      </c>
      <c r="W2085" t="s">
        <v>22984</v>
      </c>
      <c r="X2085" t="s">
        <v>22985</v>
      </c>
      <c r="Y2085" t="s">
        <v>22986</v>
      </c>
    </row>
    <row r="2086" spans="1:25" x14ac:dyDescent="0.3">
      <c r="A2086">
        <v>104250</v>
      </c>
      <c r="B2086" t="s">
        <v>22987</v>
      </c>
      <c r="C2086">
        <f>-640.764205530128 -98.9459535689435 -98.9397733279988</f>
        <v>-838.64993242707033</v>
      </c>
      <c r="D2086">
        <f>-660.719940620955 -113.383335351715 -212.11908141717</f>
        <v>-986.22235738984</v>
      </c>
      <c r="E2086">
        <f>-670.384934443598 -118.785361447314 -310.119437343056</f>
        <v>-1099.289733233968</v>
      </c>
      <c r="F2086">
        <f>-676.612995737055 -121.179893834779 -398.965960388404</f>
        <v>-1196.758849960238</v>
      </c>
      <c r="G2086">
        <f>-679.967679481115 -120.981855164783 -487.99939117141</f>
        <v>-1288.948925817308</v>
      </c>
      <c r="H2086">
        <f>-681.606057890018 -118.023137379793 -612.536032224945</f>
        <v>-1412.165227494756</v>
      </c>
      <c r="I2086">
        <f>-656.085339331847 -106.21294513999 -690.729696917011</f>
        <v>-1453.0279813888478</v>
      </c>
      <c r="J2086">
        <f>-691.060771762656 -93.5629560738059 -556.98762451799</f>
        <v>-1341.6113523544518</v>
      </c>
      <c r="K2086" t="s">
        <v>22988</v>
      </c>
      <c r="L2086" t="s">
        <v>22989</v>
      </c>
      <c r="M2086" t="s">
        <v>22990</v>
      </c>
      <c r="N2086">
        <f>-670.709345344713 -145.087290027374 -558.479523744438</f>
        <v>-1374.2761591165249</v>
      </c>
      <c r="O2086">
        <f>-621.342634784367 -270.698089740189 -532.344714843419</f>
        <v>-1424.3854393679749</v>
      </c>
      <c r="P2086">
        <f>-611.217656395483 -329.212869735525 -244.135266839053</f>
        <v>-1184.565792970061</v>
      </c>
      <c r="Q2086">
        <f>-477.712210365393 -131.024393536382 -274.933083912119</f>
        <v>-883.66968781389392</v>
      </c>
      <c r="R2086">
        <f>-682.243357335902 -13.3141054946432 -103.545507752614</f>
        <v>-799.10297058315916</v>
      </c>
      <c r="S2086" t="s">
        <v>22991</v>
      </c>
      <c r="T2086" t="s">
        <v>22992</v>
      </c>
      <c r="U2086" t="s">
        <v>22993</v>
      </c>
      <c r="V2086">
        <f>-599.389047669005 -184.767715179508 -96.4019933224961</f>
        <v>-880.55875617100901</v>
      </c>
      <c r="W2086" t="s">
        <v>22994</v>
      </c>
      <c r="X2086" t="s">
        <v>22995</v>
      </c>
      <c r="Y2086" t="s">
        <v>22996</v>
      </c>
    </row>
    <row r="2087" spans="1:25" x14ac:dyDescent="0.3">
      <c r="A2087">
        <v>104300</v>
      </c>
      <c r="B2087" t="s">
        <v>22997</v>
      </c>
      <c r="C2087">
        <f>-640.540214906279 -99.1643242507093 -98.9437964699526</f>
        <v>-838.64833562694093</v>
      </c>
      <c r="D2087">
        <f>-660.524150329751 -113.640135142319 -212.113178164307</f>
        <v>-986.27746363637698</v>
      </c>
      <c r="E2087">
        <f>-670.142810970224 -119.069603125671 -310.116560249113</f>
        <v>-1099.328974345008</v>
      </c>
      <c r="F2087">
        <f>-676.299606183021 -121.488475416381 -398.9675451216</f>
        <v>-1196.755626721002</v>
      </c>
      <c r="G2087">
        <f>-679.553552359961 -121.314454359355 -488.004764870146</f>
        <v>-1288.872771589462</v>
      </c>
      <c r="H2087">
        <f>-681.019767882765 -118.389794956043 -612.544268839502</f>
        <v>-1411.9538316783101</v>
      </c>
      <c r="I2087">
        <f>-655.371434879249 -106.533678106752 -690.689143202048</f>
        <v>-1452.594256188049</v>
      </c>
      <c r="J2087">
        <f>-690.584585599851 -93.9276291696987 -557.015643240449</f>
        <v>-1341.5278580099987</v>
      </c>
      <c r="K2087" t="s">
        <v>22998</v>
      </c>
      <c r="L2087" t="s">
        <v>22999</v>
      </c>
      <c r="M2087" t="s">
        <v>23000</v>
      </c>
      <c r="N2087">
        <f>-670.164500528365 -145.425992407925 -558.465490725316</f>
        <v>-1374.0559836616062</v>
      </c>
      <c r="O2087">
        <f>-620.637703454484 -270.956991771698 -532.268091761416</f>
        <v>-1423.8627869875982</v>
      </c>
      <c r="P2087">
        <f>-610.49892014098 -329.374270192262 -244.039391574209</f>
        <v>-1183.9125819074509</v>
      </c>
      <c r="Q2087">
        <f>-476.869713835077 -131.268309495895 -274.831088252661</f>
        <v>-882.96911158363309</v>
      </c>
      <c r="R2087">
        <f>-682.214223762149 -13.5926643133673 -103.527935034513</f>
        <v>-799.33482311002933</v>
      </c>
      <c r="S2087" t="s">
        <v>23001</v>
      </c>
      <c r="T2087" t="s">
        <v>23002</v>
      </c>
      <c r="U2087" t="s">
        <v>23003</v>
      </c>
      <c r="V2087">
        <f>-598.962662817117 -184.952670610165 -96.4206243243742</f>
        <v>-880.33595775165622</v>
      </c>
      <c r="W2087" t="s">
        <v>23004</v>
      </c>
      <c r="X2087" t="s">
        <v>23005</v>
      </c>
      <c r="Y2087" t="s">
        <v>23006</v>
      </c>
    </row>
    <row r="2088" spans="1:25" x14ac:dyDescent="0.3">
      <c r="A2088">
        <v>104350</v>
      </c>
      <c r="B2088" t="s">
        <v>23007</v>
      </c>
      <c r="C2088">
        <f>-640.27551564269 -99.5572087035961 -98.9244553716933</f>
        <v>-838.7571797179794</v>
      </c>
      <c r="D2088">
        <f>-660.272623077068 -114.085610447498 -212.084700984435</f>
        <v>-986.44293450900102</v>
      </c>
      <c r="E2088">
        <f>-669.874121594665 -119.546360344704 -310.088163458126</f>
        <v>-1099.508645397495</v>
      </c>
      <c r="F2088">
        <f>-676.003319279777 -121.98891883801 -398.940267511128</f>
        <v>-1196.9325056289149</v>
      </c>
      <c r="G2088">
        <f>-679.217672467689 -121.833746585386 -487.978899320599</f>
        <v>-1289.0303183736742</v>
      </c>
      <c r="H2088">
        <f>-680.615995765675 -118.93023337636 -612.519770662716</f>
        <v>-1412.0659998047511</v>
      </c>
      <c r="I2088">
        <f>-654.884211292481 -107.015589674473 -690.62830347024</f>
        <v>-1452.5281044371941</v>
      </c>
      <c r="J2088">
        <f>-690.263389613891 -94.4794015357214 -557.00044544048</f>
        <v>-1341.7432365900925</v>
      </c>
      <c r="K2088" t="s">
        <v>23008</v>
      </c>
      <c r="L2088" t="s">
        <v>23009</v>
      </c>
      <c r="M2088" t="s">
        <v>23010</v>
      </c>
      <c r="N2088">
        <f>-669.737977547341 -145.936488137768 -558.430544733708</f>
        <v>-1374.1050104188171</v>
      </c>
      <c r="O2088">
        <f>-619.936432815288 -271.355146036536 -532.197593623006</f>
        <v>-1423.48917247483</v>
      </c>
      <c r="P2088">
        <f>-609.67128953084 -329.564505639472 -243.931222596363</f>
        <v>-1183.1670177666751</v>
      </c>
      <c r="Q2088">
        <f>-476.27650579777 -131.323738029616 -274.871478438806</f>
        <v>-882.47172226619205</v>
      </c>
      <c r="R2088">
        <f>-682.097654238017 -14.0828492750954 -103.497926976155</f>
        <v>-799.67843048926738</v>
      </c>
      <c r="S2088" t="s">
        <v>23011</v>
      </c>
      <c r="T2088" t="s">
        <v>23012</v>
      </c>
      <c r="U2088" t="s">
        <v>23013</v>
      </c>
      <c r="V2088">
        <f>-598.526846623347 -185.27559896946 -96.4065266353939</f>
        <v>-880.20897222820088</v>
      </c>
      <c r="W2088" t="s">
        <v>23014</v>
      </c>
      <c r="X2088" t="s">
        <v>23015</v>
      </c>
      <c r="Y2088" t="s">
        <v>23016</v>
      </c>
    </row>
    <row r="2089" spans="1:25" x14ac:dyDescent="0.3">
      <c r="A2089">
        <v>104400</v>
      </c>
      <c r="B2089" t="s">
        <v>23017</v>
      </c>
      <c r="C2089">
        <f>-640.1786329488 -99.8519559920378 -98.9152081998201</f>
        <v>-838.94579714065787</v>
      </c>
      <c r="D2089">
        <f>-660.166871140404 -114.404180390803 -212.074021441301</f>
        <v>-986.64507297250816</v>
      </c>
      <c r="E2089">
        <f>-669.762452078486 -119.881761168852 -310.077035448627</f>
        <v>-1099.721248695965</v>
      </c>
      <c r="F2089">
        <f>-675.886736256898 -122.338699032926 -398.929082340718</f>
        <v>-1197.1545176305419</v>
      </c>
      <c r="G2089">
        <f>-679.096892423591 -122.196616715102 -487.967907793794</f>
        <v>-1289.261416932487</v>
      </c>
      <c r="H2089">
        <f>-680.490059821197 -119.309940950834 -612.509159162461</f>
        <v>-1412.3091599344918</v>
      </c>
      <c r="I2089">
        <f>-654.731398872652 -107.373020644982 -690.60549063194</f>
        <v>-1452.7099101495742</v>
      </c>
      <c r="J2089">
        <f>-690.16770611336 -94.8627301987901 -556.993575692418</f>
        <v>-1342.0240120045682</v>
      </c>
      <c r="K2089" t="s">
        <v>23018</v>
      </c>
      <c r="L2089" t="s">
        <v>23019</v>
      </c>
      <c r="M2089" t="s">
        <v>23020</v>
      </c>
      <c r="N2089">
        <f>-669.586191745369 -146.297646790518 -558.415913340692</f>
        <v>-1374.299751876579</v>
      </c>
      <c r="O2089">
        <f>-619.646680917813 -271.659859913364 -532.181830179467</f>
        <v>-1423.4883710106442</v>
      </c>
      <c r="P2089">
        <f>-609.231042379217 -329.890464079502 -243.92508644983</f>
        <v>-1183.046592908549</v>
      </c>
      <c r="Q2089">
        <f>-475.924685293322 -131.616106083404 -275.030827192668</f>
        <v>-882.5716185693941</v>
      </c>
      <c r="R2089">
        <f>-682.124365298061 -14.3242874498053 -103.492932304156</f>
        <v>-799.94158505202222</v>
      </c>
      <c r="S2089" t="s">
        <v>23021</v>
      </c>
      <c r="T2089" t="s">
        <v>23022</v>
      </c>
      <c r="U2089" t="s">
        <v>23023</v>
      </c>
      <c r="V2089">
        <f>-598.328233338144 -185.600561607039 -96.3917882404481</f>
        <v>-880.32058318563111</v>
      </c>
      <c r="W2089" t="s">
        <v>23024</v>
      </c>
      <c r="X2089" t="s">
        <v>23025</v>
      </c>
      <c r="Y2089" t="s">
        <v>23026</v>
      </c>
    </row>
    <row r="2090" spans="1:25" x14ac:dyDescent="0.3">
      <c r="A2090">
        <v>104450</v>
      </c>
      <c r="B2090" t="s">
        <v>23027</v>
      </c>
      <c r="C2090">
        <f>-640.090977025127 -100.153454774452 -98.909322509356</f>
        <v>-839.15375430893505</v>
      </c>
      <c r="D2090">
        <f>-660.070336122045 -114.7207370009 -212.067834051295</f>
        <v>-986.85890717424002</v>
      </c>
      <c r="E2090">
        <f>-669.664075954934 -120.208230983934 -310.070303844712</f>
        <v>-1099.94261078358</v>
      </c>
      <c r="F2090">
        <f>-675.788757346223 -122.673158773474 -398.922263986644</f>
        <v>-1197.3841801063409</v>
      </c>
      <c r="G2090">
        <f>-679.001607771383 -122.537923072805 -487.960950335772</f>
        <v>-1289.5004811799599</v>
      </c>
      <c r="H2090">
        <f>-680.400990899812 -119.659322108876 -612.502520474648</f>
        <v>-1412.5628334833359</v>
      </c>
      <c r="I2090">
        <f>-654.62091513912 -107.698898912178 -690.588078053463</f>
        <v>-1452.9078921047612</v>
      </c>
      <c r="J2090">
        <f>-690.098873157765 -95.2177401348993 -556.987803035116</f>
        <v>-1342.3044163277802</v>
      </c>
      <c r="K2090" t="s">
        <v>23028</v>
      </c>
      <c r="L2090" t="s">
        <v>23029</v>
      </c>
      <c r="M2090" t="s">
        <v>23030</v>
      </c>
      <c r="N2090">
        <f>-669.471543148919 -146.634283799801 -558.408035959769</f>
        <v>-1374.513862908489</v>
      </c>
      <c r="O2090">
        <f>-619.411831798408 -271.961460383243 -532.192325968426</f>
        <v>-1423.5656181500769</v>
      </c>
      <c r="P2090">
        <f>-608.828421090473 -330.249497439518 -243.953360297087</f>
        <v>-1183.031278827078</v>
      </c>
      <c r="Q2090">
        <f>-475.593962054257 -131.972589862947 -275.34951922268</f>
        <v>-882.91607113988402</v>
      </c>
      <c r="R2090">
        <f>-682.138539252163 -14.6294404253263 -103.486881381392</f>
        <v>-800.25486105888126</v>
      </c>
      <c r="S2090" t="s">
        <v>23031</v>
      </c>
      <c r="T2090" t="s">
        <v>23032</v>
      </c>
      <c r="U2090" t="s">
        <v>23033</v>
      </c>
      <c r="V2090">
        <f>-598.172081996924 -185.88622627027 -96.3853836042084</f>
        <v>-880.44369187140239</v>
      </c>
      <c r="W2090" t="s">
        <v>23034</v>
      </c>
      <c r="X2090" t="s">
        <v>23035</v>
      </c>
      <c r="Y2090" t="s">
        <v>23036</v>
      </c>
    </row>
    <row r="2091" spans="1:25" x14ac:dyDescent="0.3">
      <c r="A2091">
        <v>104500</v>
      </c>
      <c r="B2091" t="s">
        <v>23037</v>
      </c>
      <c r="C2091">
        <f>-639.960144071807 -100.774882210231 -98.8838787110827</f>
        <v>-839.61890499312074</v>
      </c>
      <c r="D2091">
        <f>-659.911560672244 -115.381762616238 -212.042216682433</f>
        <v>-987.33553997091508</v>
      </c>
      <c r="E2091">
        <f>-669.495538831729 -120.874890731168 -310.045378755964</f>
        <v>-1100.4158083188611</v>
      </c>
      <c r="F2091">
        <f>-675.617468101356 -123.332915065223 -398.897603592434</f>
        <v>-1197.8479867590131</v>
      </c>
      <c r="G2091">
        <f>-678.834141932554 -123.177639573369 -487.936279014331</f>
        <v>-1289.9480605202539</v>
      </c>
      <c r="H2091">
        <f>-680.246154521529 -120.256637286361 -612.476610241037</f>
        <v>-1412.9794020489269</v>
      </c>
      <c r="I2091">
        <f>-654.445191601138 -108.237029827025 -690.546137494793</f>
        <v>-1453.228358922956</v>
      </c>
      <c r="J2091">
        <f>-689.978731312513 -95.8502041879191 -556.952613738492</f>
        <v>-1342.7815492389241</v>
      </c>
      <c r="K2091" t="s">
        <v>23038</v>
      </c>
      <c r="L2091" t="s">
        <v>23039</v>
      </c>
      <c r="M2091" t="s">
        <v>23040</v>
      </c>
      <c r="N2091">
        <f>-669.270866656525 -147.233812093597 -558.392470509793</f>
        <v>-1374.8971492599148</v>
      </c>
      <c r="O2091">
        <f>-619.029193416064 -272.485176144608 -532.198531577933</f>
        <v>-1423.712901138605</v>
      </c>
      <c r="P2091">
        <f>-608.380612320762 -330.791066075756 -243.96556145284</f>
        <v>-1183.1372398493581</v>
      </c>
      <c r="Q2091">
        <f>-475.062842446746 -132.686302929402 -276.086796030124</f>
        <v>-883.83594140627201</v>
      </c>
      <c r="R2091">
        <f>-682.031176998436 -15.3331823003314 -103.466671938036</f>
        <v>-800.83103123680337</v>
      </c>
      <c r="S2091" t="s">
        <v>23041</v>
      </c>
      <c r="T2091" t="s">
        <v>23042</v>
      </c>
      <c r="U2091" t="s">
        <v>23043</v>
      </c>
      <c r="V2091">
        <f>-597.981655159596 -186.433266732216 -96.3371415309811</f>
        <v>-880.75206342279307</v>
      </c>
      <c r="W2091" t="s">
        <v>23044</v>
      </c>
      <c r="X2091" t="s">
        <v>23045</v>
      </c>
      <c r="Y2091" t="s">
        <v>23046</v>
      </c>
    </row>
    <row r="2092" spans="1:25" x14ac:dyDescent="0.3">
      <c r="A2092">
        <v>104550</v>
      </c>
      <c r="B2092" t="s">
        <v>23047</v>
      </c>
      <c r="C2092">
        <f>-639.893221432936 -101.116124477267 -98.8686619996301</f>
        <v>-839.87800790983317</v>
      </c>
      <c r="D2092">
        <f>-659.826018940713 -115.728724949284 -212.029404736771</f>
        <v>-987.58414862676796</v>
      </c>
      <c r="E2092">
        <f>-669.392618096688 -121.223562251975 -310.034231981159</f>
        <v>-1100.6504123298218</v>
      </c>
      <c r="F2092">
        <f>-675.498530139672 -123.681975386576 -398.887617913558</f>
        <v>-1198.068123439806</v>
      </c>
      <c r="G2092">
        <f>-678.698884240266 -123.525306433959 -487.9267754236</f>
        <v>-1290.1509660978249</v>
      </c>
      <c r="H2092">
        <f>-680.088046772796 -120.600642704397 -612.467261384873</f>
        <v>-1413.1559508620662</v>
      </c>
      <c r="I2092">
        <f>-654.277792879876 -108.560231644744 -690.530656823984</f>
        <v>-1453.368681348604</v>
      </c>
      <c r="J2092">
        <f>-689.843885717442 -96.2011311361321 -556.944360154876</f>
        <v>-1342.98937700845</v>
      </c>
      <c r="K2092" t="s">
        <v>23048</v>
      </c>
      <c r="L2092" t="s">
        <v>23049</v>
      </c>
      <c r="M2092" t="s">
        <v>23050</v>
      </c>
      <c r="N2092">
        <f>-669.109593280667 -147.574122920322 -558.38197846887</f>
        <v>-1375.0656946698591</v>
      </c>
      <c r="O2092">
        <f>-618.812714042711 -272.80071344429 -532.159905877019</f>
        <v>-1423.7733333640199</v>
      </c>
      <c r="P2092">
        <f>-608.232921987638 -331.177122572564 -243.938694113722</f>
        <v>-1183.3487386739239</v>
      </c>
      <c r="Q2092">
        <f>-474.736677522234 -133.247890715605 -276.398611203615</f>
        <v>-884.38317944145399</v>
      </c>
      <c r="R2092">
        <f>-682.007076008962 -15.6428002328739 -103.464109788686</f>
        <v>-801.11398603052191</v>
      </c>
      <c r="S2092" t="s">
        <v>23051</v>
      </c>
      <c r="T2092" t="s">
        <v>23052</v>
      </c>
      <c r="U2092" t="s">
        <v>23053</v>
      </c>
      <c r="V2092">
        <f>-597.873262235833 -186.805161496112 -96.315355820048</f>
        <v>-880.99377955199293</v>
      </c>
      <c r="W2092" t="s">
        <v>23054</v>
      </c>
      <c r="X2092" t="s">
        <v>23055</v>
      </c>
      <c r="Y2092" t="s">
        <v>23056</v>
      </c>
    </row>
    <row r="2093" spans="1:25" x14ac:dyDescent="0.3">
      <c r="A2093">
        <v>104600</v>
      </c>
      <c r="B2093" t="s">
        <v>23057</v>
      </c>
      <c r="C2093">
        <f>-639.828643308986 -101.577800438613 -98.8338066751126</f>
        <v>-840.2402504227116</v>
      </c>
      <c r="D2093">
        <f>-659.702057777106 -116.210391434344 -212.002428719777</f>
        <v>-987.91487793122701</v>
      </c>
      <c r="E2093">
        <f>-669.22263002904 -121.704979547924 -310.011802689384</f>
        <v>-1100.939412266348</v>
      </c>
      <c r="F2093">
        <f>-675.289028761138 -124.155711294401 -398.867978646064</f>
        <v>-1198.312718701603</v>
      </c>
      <c r="G2093">
        <f>-678.452419527736 -123.983585006297 -487.908560732001</f>
        <v>-1290.3445652660339</v>
      </c>
      <c r="H2093">
        <f>-679.792548669044 -121.028869523918 -612.448805685655</f>
        <v>-1413.2702238786169</v>
      </c>
      <c r="I2093">
        <f>-653.966200329104 -108.957729916348 -690.502150808543</f>
        <v>-1453.4260810539949</v>
      </c>
      <c r="J2093">
        <f>-689.586389606394 -96.6492957678673 -556.923723302332</f>
        <v>-1343.1594086765933</v>
      </c>
      <c r="K2093" t="s">
        <v>23058</v>
      </c>
      <c r="L2093" t="s">
        <v>23059</v>
      </c>
      <c r="M2093" t="s">
        <v>23060</v>
      </c>
      <c r="N2093">
        <f>-668.819246348739 -148.008843469749 -558.365750052994</f>
        <v>-1375.1938398714819</v>
      </c>
      <c r="O2093">
        <f>-618.525936817447 -273.226695175553 -532.09978084336</f>
        <v>-1423.8524128363601</v>
      </c>
      <c r="P2093">
        <f>-608.427239843266 -331.461881651914 -243.83282797459</f>
        <v>-1183.7219494697699</v>
      </c>
      <c r="Q2093">
        <f>-474.148462243331 -134.114646367566 -276.606690904927</f>
        <v>-884.86979951582407</v>
      </c>
      <c r="R2093">
        <f>-681.975920744512 -16.2012085526176 -103.461646396953</f>
        <v>-801.6387756940826</v>
      </c>
      <c r="S2093" t="s">
        <v>23061</v>
      </c>
      <c r="T2093" t="s">
        <v>23062</v>
      </c>
      <c r="U2093" t="s">
        <v>23063</v>
      </c>
      <c r="V2093">
        <f>-597.785241442238 -187.158482134719 -96.2571460687204</f>
        <v>-881.20086964567736</v>
      </c>
      <c r="W2093" t="s">
        <v>23064</v>
      </c>
      <c r="X2093" t="s">
        <v>23065</v>
      </c>
      <c r="Y2093" t="s">
        <v>23066</v>
      </c>
    </row>
    <row r="2094" spans="1:25" x14ac:dyDescent="0.3">
      <c r="A2094">
        <v>104650</v>
      </c>
      <c r="B2094" t="s">
        <v>23067</v>
      </c>
      <c r="C2094">
        <f>-639.780550927499 -101.743325096631 -98.8263758018405</f>
        <v>-840.35025182597053</v>
      </c>
      <c r="D2094">
        <f>-659.613379765246 -116.369850354251 -212.002978597959</f>
        <v>-987.98620871745595</v>
      </c>
      <c r="E2094">
        <f>-669.106334170362 -121.844835265073 -310.016117603076</f>
        <v>-1100.9672870385109</v>
      </c>
      <c r="F2094">
        <f>-675.15114288195 -124.271476531422 -398.874491338506</f>
        <v>-1198.2971107518779</v>
      </c>
      <c r="G2094">
        <f>-678.296358528864 -124.068739340559 -487.915478338614</f>
        <v>-1290.280576208037</v>
      </c>
      <c r="H2094">
        <f>-679.614896272835 -121.063904866868 -612.454891097764</f>
        <v>-1413.1336922374671</v>
      </c>
      <c r="I2094">
        <f>-653.778471487376 -108.987719220759 -690.50406861754</f>
        <v>-1453.2702593256749</v>
      </c>
      <c r="J2094">
        <f>-689.424579090208 -96.7091740647867 -556.921684362477</f>
        <v>-1343.0554375174715</v>
      </c>
      <c r="K2094" t="s">
        <v>23068</v>
      </c>
      <c r="L2094" t="s">
        <v>23069</v>
      </c>
      <c r="M2094" t="s">
        <v>23070</v>
      </c>
      <c r="N2094">
        <f>-668.644722998444 -148.063219146798 -558.380784118638</f>
        <v>-1375.0887262638798</v>
      </c>
      <c r="O2094">
        <f>-618.40492405572 -273.306854963196 -532.116225466402</f>
        <v>-1423.8280044853182</v>
      </c>
      <c r="P2094">
        <f>-608.573393026081 -331.650772833443 -243.861841196752</f>
        <v>-1184.086007056276</v>
      </c>
      <c r="Q2094">
        <f>-473.949576463082 -134.555982211553 -276.739709383222</f>
        <v>-885.24526805785706</v>
      </c>
      <c r="R2094">
        <f>-681.934705965278 -16.4068154144798 -103.462710110282</f>
        <v>-801.8042314900398</v>
      </c>
      <c r="S2094" t="s">
        <v>23071</v>
      </c>
      <c r="T2094" t="s">
        <v>23072</v>
      </c>
      <c r="U2094" t="s">
        <v>23073</v>
      </c>
      <c r="V2094">
        <f>-597.731345595558 -187.286240320409 -96.2320851379562</f>
        <v>-881.24967105392318</v>
      </c>
      <c r="W2094" t="s">
        <v>23074</v>
      </c>
      <c r="X2094" t="s">
        <v>23075</v>
      </c>
      <c r="Y2094" t="s">
        <v>23076</v>
      </c>
    </row>
    <row r="2095" spans="1:25" x14ac:dyDescent="0.3">
      <c r="A2095">
        <v>104700</v>
      </c>
      <c r="B2095" t="s">
        <v>23077</v>
      </c>
      <c r="C2095">
        <f>-639.701922367656 -102.105078491135 -98.8143662936914</f>
        <v>-840.62136715248243</v>
      </c>
      <c r="D2095">
        <f>-659.461611448661 -116.700477958761 -212.00790782271</f>
        <v>-988.16999723013191</v>
      </c>
      <c r="E2095">
        <f>-668.896999806728 -122.121847568545 -310.029376623591</f>
        <v>-1101.0482239988642</v>
      </c>
      <c r="F2095">
        <f>-674.892850568769 -124.487732975081 -398.892899154339</f>
        <v>-1198.2734826981889</v>
      </c>
      <c r="G2095">
        <f>-677.992812653611 -124.211128814536 -487.935193602167</f>
        <v>-1290.1391350703141</v>
      </c>
      <c r="H2095">
        <f>-679.252774914202 -121.088374748677 -612.472323123066</f>
        <v>-1412.8134727859449</v>
      </c>
      <c r="I2095">
        <f>-653.373455322 -108.992156088292 -690.504061739565</f>
        <v>-1452.8696731498571</v>
      </c>
      <c r="J2095">
        <f>-689.111347516316 -96.7954742433432 -556.920748179764</f>
        <v>-1342.827569939423</v>
      </c>
      <c r="K2095" t="s">
        <v>23078</v>
      </c>
      <c r="L2095" t="s">
        <v>23079</v>
      </c>
      <c r="M2095" t="s">
        <v>23080</v>
      </c>
      <c r="N2095">
        <f>-668.285343730672 -148.129611904183 -558.418600782541</f>
        <v>-1374.833556417396</v>
      </c>
      <c r="O2095">
        <f>-618.02907106588 -273.366108992199 -532.20293141174</f>
        <v>-1423.5981114698188</v>
      </c>
      <c r="P2095">
        <f>-608.55093529533 -332.157301478258 -244.02766748617</f>
        <v>-1184.7359042597579</v>
      </c>
      <c r="Q2095">
        <f>-473.762482193317 -135.219003557035 -277.167347474382</f>
        <v>-886.14883322473406</v>
      </c>
      <c r="R2095">
        <f>-681.783599720932 -16.7958612298194 -103.469733336737</f>
        <v>-802.04919428748838</v>
      </c>
      <c r="S2095" t="s">
        <v>23081</v>
      </c>
      <c r="T2095" t="s">
        <v>23082</v>
      </c>
      <c r="U2095" t="s">
        <v>23083</v>
      </c>
      <c r="V2095">
        <f>-597.741207799963 -187.595836645743 -96.2100706746202</f>
        <v>-881.54711512032623</v>
      </c>
      <c r="W2095" t="s">
        <v>23084</v>
      </c>
      <c r="X2095" t="s">
        <v>23085</v>
      </c>
      <c r="Y2095" t="s">
        <v>23086</v>
      </c>
    </row>
    <row r="2096" spans="1:25" x14ac:dyDescent="0.3">
      <c r="A2096">
        <v>104750</v>
      </c>
      <c r="B2096" t="s">
        <v>23087</v>
      </c>
      <c r="C2096">
        <f>-639.635413580088 -102.209225639575 -98.8124372776548</f>
        <v>-840.6570764973178</v>
      </c>
      <c r="D2096">
        <f>-659.369941536395 -116.807450492681 -212.009843553834</f>
        <v>-988.18723558291003</v>
      </c>
      <c r="E2096">
        <f>-668.788074241601 -122.216383785637 -310.033929444177</f>
        <v>-1101.038387471415</v>
      </c>
      <c r="F2096">
        <f>-674.770422446591 -124.564413532963 -398.898604046116</f>
        <v>-1198.23344002567</v>
      </c>
      <c r="G2096">
        <f>-677.859282808695 -124.262867281042 -487.941284401367</f>
        <v>-1290.0634344911039</v>
      </c>
      <c r="H2096">
        <f>-679.106654074029 -121.097578325245 -612.47744863022</f>
        <v>-1412.681681029494</v>
      </c>
      <c r="I2096">
        <f>-653.204166399321 -108.979166436016 -690.498198285611</f>
        <v>-1452.681531120948</v>
      </c>
      <c r="J2096">
        <f>-688.98377045617 -96.8288792112745 -556.918525853941</f>
        <v>-1342.7311755213855</v>
      </c>
      <c r="K2096" t="s">
        <v>23088</v>
      </c>
      <c r="L2096" t="s">
        <v>23089</v>
      </c>
      <c r="M2096" t="s">
        <v>23090</v>
      </c>
      <c r="N2096">
        <f>-668.13176020627 -148.152103963959 -558.431848790831</f>
        <v>-1374.71571296106</v>
      </c>
      <c r="O2096">
        <f>-617.844214293793 -273.378087209432 -532.236344749423</f>
        <v>-1423.4586462526481</v>
      </c>
      <c r="P2096">
        <f>-608.355789270387 -332.312620015674 -244.090807834038</f>
        <v>-1184.759217120099</v>
      </c>
      <c r="Q2096">
        <f>-473.990645278925 -135.098708662877 -277.310395118962</f>
        <v>-886.39974906076395</v>
      </c>
      <c r="R2096">
        <f>-681.688510131223 -16.9356247734395 -103.488582145839</f>
        <v>-802.11271705050149</v>
      </c>
      <c r="S2096" t="s">
        <v>23091</v>
      </c>
      <c r="T2096" t="s">
        <v>23092</v>
      </c>
      <c r="U2096" t="s">
        <v>23093</v>
      </c>
      <c r="V2096">
        <f>-597.68727639901 -187.681072081544 -96.1938686545586</f>
        <v>-881.56221713511263</v>
      </c>
      <c r="W2096" t="s">
        <v>23094</v>
      </c>
      <c r="X2096" t="s">
        <v>23095</v>
      </c>
      <c r="Y2096" t="s">
        <v>23096</v>
      </c>
    </row>
    <row r="2097" spans="1:25" x14ac:dyDescent="0.3">
      <c r="A2097">
        <v>104800</v>
      </c>
      <c r="B2097" t="s">
        <v>23097</v>
      </c>
      <c r="C2097">
        <f>-639.369284877036 -102.491938362831 -98.8086646843211</f>
        <v>-840.66988792418806</v>
      </c>
      <c r="D2097">
        <f>-659.111081105004 -117.13753553837 -211.998734739913</f>
        <v>-988.24735138328697</v>
      </c>
      <c r="E2097">
        <f>-668.533405018691 -122.542658263733 -310.022522841087</f>
        <v>-1101.098586123511</v>
      </c>
      <c r="F2097">
        <f>-674.519059719257 -124.868650514454 -398.887497708644</f>
        <v>-1198.2752079423549</v>
      </c>
      <c r="G2097">
        <f>-677.611617933446 -124.525322736761 -487.929969200604</f>
        <v>-1290.0669098708111</v>
      </c>
      <c r="H2097">
        <f>-678.864502878417 -121.280126253878 -612.463981689831</f>
        <v>-1412.6086108221261</v>
      </c>
      <c r="I2097">
        <f>-652.89779552787 -109.0823774507 -690.451035969824</f>
        <v>-1452.431208948394</v>
      </c>
      <c r="J2097">
        <f>-688.783659482431 -97.0652653914676 -556.889202229411</f>
        <v>-1342.7381271033096</v>
      </c>
      <c r="K2097" t="s">
        <v>23098</v>
      </c>
      <c r="L2097" t="s">
        <v>23099</v>
      </c>
      <c r="M2097" t="s">
        <v>23100</v>
      </c>
      <c r="N2097">
        <f>-667.842595597761 -148.351120111415 -558.436239227705</f>
        <v>-1374.6299549368809</v>
      </c>
      <c r="O2097">
        <f>-617.319932850425 -273.477506458511 -532.204708928855</f>
        <v>-1423.0021482377911</v>
      </c>
      <c r="P2097">
        <f>-607.111528427518 -332.38508608348 -244.078145720578</f>
        <v>-1183.574760231576</v>
      </c>
      <c r="Q2097">
        <f>-475.530923665871 -133.315514122726 -277.375369281367</f>
        <v>-886.22180706996392</v>
      </c>
      <c r="R2097">
        <f>-681.453446582737 -17.2300198957237 -103.511112898337</f>
        <v>-802.19457937679772</v>
      </c>
      <c r="S2097" t="s">
        <v>23101</v>
      </c>
      <c r="T2097" t="s">
        <v>23102</v>
      </c>
      <c r="U2097" t="s">
        <v>23103</v>
      </c>
      <c r="V2097">
        <f>-597.358060747277 -188.014161726645 -96.1796467254233</f>
        <v>-881.55186919934522</v>
      </c>
      <c r="W2097" t="s">
        <v>23104</v>
      </c>
      <c r="X2097" t="s">
        <v>23105</v>
      </c>
      <c r="Y2097" t="s">
        <v>23106</v>
      </c>
    </row>
    <row r="2098" spans="1:25" x14ac:dyDescent="0.3">
      <c r="A2098">
        <v>104850</v>
      </c>
      <c r="B2098" t="s">
        <v>23107</v>
      </c>
      <c r="C2098">
        <f>-639.194568465151 -102.608272949289 -98.8007501488938</f>
        <v>-840.60359156333379</v>
      </c>
      <c r="D2098">
        <f>-658.954373014691 -117.268310078155 -211.985867550283</f>
        <v>-988.208550643129</v>
      </c>
      <c r="E2098">
        <f>-668.38620286219 -122.670668896892 -310.008780057827</f>
        <v>-1101.0656518169089</v>
      </c>
      <c r="F2098">
        <f>-674.378521232945 -124.987801144428 -398.873616191298</f>
        <v>-1198.2399385686711</v>
      </c>
      <c r="G2098">
        <f>-677.476247571018 -124.628065937069 -487.91581891313</f>
        <v>-1290.0201324212171</v>
      </c>
      <c r="H2098">
        <f>-678.735460675244 -121.35195137221 -612.448898885495</f>
        <v>-1412.5363109329492</v>
      </c>
      <c r="I2098">
        <f>-652.731756411304 -109.100821642321 -690.41533465541</f>
        <v>-1452.2479127090351</v>
      </c>
      <c r="J2098">
        <f>-688.689107725437 -97.1661469100125 -556.867684209628</f>
        <v>-1342.7229388450774</v>
      </c>
      <c r="K2098" t="s">
        <v>23108</v>
      </c>
      <c r="L2098" t="s">
        <v>23109</v>
      </c>
      <c r="M2098" t="s">
        <v>23110</v>
      </c>
      <c r="N2098">
        <f>-667.673642341527 -148.42112755132 -558.42858226485</f>
        <v>-1374.523352157697</v>
      </c>
      <c r="O2098">
        <f>-616.924847422846 -273.454433697439 -532.164584653418</f>
        <v>-1422.5438657737031</v>
      </c>
      <c r="P2098">
        <f>-606.19570437355 -332.270422368798 -244.038293389988</f>
        <v>-1182.504420132336</v>
      </c>
      <c r="Q2098">
        <f>-476.578244162293 -131.954350822889 -277.558939479973</f>
        <v>-886.09153446515495</v>
      </c>
      <c r="R2098">
        <f>-681.32152597154 -17.3549712288172 -103.501187164823</f>
        <v>-802.17768436518031</v>
      </c>
      <c r="S2098" t="s">
        <v>23111</v>
      </c>
      <c r="T2098" t="s">
        <v>23112</v>
      </c>
      <c r="U2098" t="s">
        <v>23113</v>
      </c>
      <c r="V2098">
        <f>-597.176146527468 -188.086337004159 -96.1757497109422</f>
        <v>-881.43823324256914</v>
      </c>
      <c r="W2098" t="s">
        <v>23114</v>
      </c>
      <c r="X2098" t="s">
        <v>23115</v>
      </c>
      <c r="Y2098" t="s">
        <v>23116</v>
      </c>
    </row>
    <row r="2099" spans="1:25" x14ac:dyDescent="0.3">
      <c r="A2099">
        <v>104900</v>
      </c>
      <c r="B2099" t="s">
        <v>23117</v>
      </c>
      <c r="C2099">
        <f>-638.969471507557 -102.578201567333 -98.824683438958</f>
        <v>-840.3723565138481</v>
      </c>
      <c r="D2099">
        <f>-658.730146442447 -117.2805180631 -212.004034319646</f>
        <v>-988.01469882519291</v>
      </c>
      <c r="E2099">
        <f>-668.183615214948 -122.697854934678 -310.024236707104</f>
        <v>-1100.9057068567299</v>
      </c>
      <c r="F2099">
        <f>-674.204240139345 -125.019963993106 -398.886984795197</f>
        <v>-1198.1111889276481</v>
      </c>
      <c r="G2099">
        <f>-677.339937562779 -124.655152010729 -487.927862467283</f>
        <v>-1289.922952040791</v>
      </c>
      <c r="H2099">
        <f>-678.66282097302 -121.360054673411 -612.459914139615</f>
        <v>-1412.4827897860459</v>
      </c>
      <c r="I2099">
        <f>-652.592009752954 -108.986994528436 -690.384387274995</f>
        <v>-1451.963391556385</v>
      </c>
      <c r="J2099">
        <f>-688.680965302541 -97.2209439908505 -556.869807718521</f>
        <v>-1342.7717170119126</v>
      </c>
      <c r="K2099" t="s">
        <v>23118</v>
      </c>
      <c r="L2099" t="s">
        <v>23119</v>
      </c>
      <c r="M2099" t="s">
        <v>23120</v>
      </c>
      <c r="N2099">
        <f>-667.480413263504 -148.399171952852 -558.449187898878</f>
        <v>-1374.3287731152341</v>
      </c>
      <c r="O2099">
        <f>-616.310552901536 -273.257190557178 -532.189887318213</f>
        <v>-1421.7576307769268</v>
      </c>
      <c r="P2099">
        <f>-604.373122316106 -331.988197143898 -244.093840384144</f>
        <v>-1180.4551598441481</v>
      </c>
      <c r="Q2099">
        <f>-476.795840355168 -130.416634853532 -277.914121415254</f>
        <v>-885.1265966239539</v>
      </c>
      <c r="R2099">
        <f>-681.223720902967 -17.3929864416928 -103.52719655427</f>
        <v>-802.14390389892969</v>
      </c>
      <c r="S2099" t="s">
        <v>23121</v>
      </c>
      <c r="T2099" t="s">
        <v>23122</v>
      </c>
      <c r="U2099" t="s">
        <v>23123</v>
      </c>
      <c r="V2099">
        <f>-596.817548410262 -187.952570390403 -96.1829317848498</f>
        <v>-880.9530505855148</v>
      </c>
      <c r="W2099" t="s">
        <v>23124</v>
      </c>
      <c r="X2099" t="s">
        <v>23125</v>
      </c>
      <c r="Y2099" t="s">
        <v>23126</v>
      </c>
    </row>
    <row r="2100" spans="1:25" x14ac:dyDescent="0.3">
      <c r="A2100">
        <v>104950</v>
      </c>
      <c r="B2100" t="s">
        <v>23127</v>
      </c>
      <c r="C2100">
        <f>-638.911222478777 -102.461665025995 -98.8364058635285</f>
        <v>-840.20929336830045</v>
      </c>
      <c r="D2100">
        <f>-658.667323331701 -117.190809838525 -212.013184555855</f>
        <v>-987.87131772608097</v>
      </c>
      <c r="E2100">
        <f>-668.124400227923 -122.626546257396 -310.031956424853</f>
        <v>-1100.782902910172</v>
      </c>
      <c r="F2100">
        <f>-674.151399718567 -124.963781734229 -398.89386813822</f>
        <v>-1198.0090495910158</v>
      </c>
      <c r="G2100">
        <f>-677.296983647954 -124.611540828953 -487.934460007014</f>
        <v>-1289.8429844839211</v>
      </c>
      <c r="H2100">
        <f>-678.637510173312 -121.331383743295 -612.466630091072</f>
        <v>-1412.4355240076789</v>
      </c>
      <c r="I2100">
        <f>-652.501934747084 -108.901913438354 -690.360532620396</f>
        <v>-1451.764380805834</v>
      </c>
      <c r="J2100">
        <f>-688.69573279626 -97.2055491460895 -556.878098027781</f>
        <v>-1342.7793799701305</v>
      </c>
      <c r="K2100" t="s">
        <v>23128</v>
      </c>
      <c r="L2100" t="s">
        <v>23129</v>
      </c>
      <c r="M2100" t="s">
        <v>23130</v>
      </c>
      <c r="N2100">
        <f>-667.399555133919 -148.344137188549 -558.454212070584</f>
        <v>-1374.1979043930519</v>
      </c>
      <c r="O2100">
        <f>-616.035731045332 -273.125092017143 -532.184632280663</f>
        <v>-1421.3454553431379</v>
      </c>
      <c r="P2100">
        <f>-603.360617995413 -331.91729923176 -244.132416743975</f>
        <v>-1179.410333971148</v>
      </c>
      <c r="Q2100">
        <f>-476.054115373906 -130.197117108982 -278.086395095223</f>
        <v>-884.33762757811098</v>
      </c>
      <c r="R2100">
        <f>-681.25830558797 -17.3255578363755 -103.542662443251</f>
        <v>-802.12652586759646</v>
      </c>
      <c r="S2100" t="s">
        <v>23131</v>
      </c>
      <c r="T2100" t="s">
        <v>23132</v>
      </c>
      <c r="U2100" t="s">
        <v>23133</v>
      </c>
      <c r="V2100">
        <f>-596.659030748135 -187.784102752571 -96.2018692199398</f>
        <v>-880.64500272064583</v>
      </c>
      <c r="W2100" t="s">
        <v>23134</v>
      </c>
      <c r="X2100" t="s">
        <v>23135</v>
      </c>
      <c r="Y2100" t="s">
        <v>23136</v>
      </c>
    </row>
    <row r="2101" spans="1:25" x14ac:dyDescent="0.3">
      <c r="A2101">
        <v>105000</v>
      </c>
      <c r="B2101" t="s">
        <v>23137</v>
      </c>
      <c r="C2101">
        <f>-638.909745291319 -102.267597240608 -98.8838974181355</f>
        <v>-840.06123995006249</v>
      </c>
      <c r="D2101">
        <f>-658.637110570441 -117.07323742821 -212.055597531739</f>
        <v>-987.76594553039013</v>
      </c>
      <c r="E2101">
        <f>-668.028409978552 -122.545604458235 -310.078705943013</f>
        <v>-1100.6527203798</v>
      </c>
      <c r="F2101">
        <f>-673.978743805064 -124.905756425509 -398.945180725841</f>
        <v>-1197.829680956414</v>
      </c>
      <c r="G2101">
        <f>-677.030906930641 -124.565111607786 -487.989120406539</f>
        <v>-1289.5851389449658</v>
      </c>
      <c r="H2101">
        <f>-678.223569091553 -121.289218091901 -612.522932082513</f>
        <v>-1412.0357192659671</v>
      </c>
      <c r="I2101">
        <f>-651.86883556272 -108.73243994438 -690.322524608054</f>
        <v>-1450.9238001151539</v>
      </c>
      <c r="J2101">
        <f>-688.433960676776 -97.1975089000646 -556.947310042719</f>
        <v>-1342.5787796195596</v>
      </c>
      <c r="K2101" t="s">
        <v>23138</v>
      </c>
      <c r="L2101" t="s">
        <v>23139</v>
      </c>
      <c r="M2101" t="s">
        <v>23140</v>
      </c>
      <c r="N2101">
        <f>-666.963490639526 -148.264043052775 -558.496207295109</f>
        <v>-1373.7237409874101</v>
      </c>
      <c r="O2101">
        <f>-615.343911324346 -272.949136021299 -532.236560433765</f>
        <v>-1420.5296077794101</v>
      </c>
      <c r="P2101">
        <f>-601.748972752482 -331.950036621875 -244.268938541179</f>
        <v>-1177.9679479155361</v>
      </c>
      <c r="Q2101">
        <f>-473.561762548592 -130.904752127806 -278.905668378945</f>
        <v>-883.37218305534293</v>
      </c>
      <c r="R2101">
        <f>-681.465730654418 -17.2218402226599 -103.588590563377</f>
        <v>-802.27616144045498</v>
      </c>
      <c r="S2101" t="s">
        <v>23141</v>
      </c>
      <c r="T2101" t="s">
        <v>23142</v>
      </c>
      <c r="U2101" t="s">
        <v>23143</v>
      </c>
      <c r="V2101">
        <f>-596.489890790762 -187.531003199389 -96.242304137001</f>
        <v>-880.26319812715212</v>
      </c>
      <c r="W2101" t="s">
        <v>23144</v>
      </c>
      <c r="X2101" t="s">
        <v>23145</v>
      </c>
      <c r="Y2101" t="s">
        <v>23146</v>
      </c>
    </row>
    <row r="2102" spans="1:25" x14ac:dyDescent="0.3">
      <c r="A2102">
        <v>105050</v>
      </c>
      <c r="B2102" t="s">
        <v>23147</v>
      </c>
      <c r="C2102">
        <f>-638.922278196769 -102.119168417087 -98.9256922087466</f>
        <v>-839.96713882260246</v>
      </c>
      <c r="D2102">
        <f>-658.627155027695 -116.963673276099 -212.09637408397</f>
        <v>-987.68720238776405</v>
      </c>
      <c r="E2102">
        <f>-667.976833922257 -122.461913353299 -310.121893556064</f>
        <v>-1100.56064083162</v>
      </c>
      <c r="F2102">
        <f>-673.879844556566 -124.843347433279 -398.990968559128</f>
        <v>-1197.714160548973</v>
      </c>
      <c r="G2102">
        <f>-676.874909338176 -124.522011916491 -488.03679855836</f>
        <v>-1289.433719813027</v>
      </c>
      <c r="H2102">
        <f>-677.977526529647 -121.271102063082 -612.572169273214</f>
        <v>-1411.820797865943</v>
      </c>
      <c r="I2102">
        <f>-651.507953939309 -108.682687248595 -690.327552236429</f>
        <v>-1450.518193424333</v>
      </c>
      <c r="J2102">
        <f>-688.252457693042 -97.1784949378908 -557.008731357827</f>
        <v>-1342.4396839887597</v>
      </c>
      <c r="K2102" t="s">
        <v>23148</v>
      </c>
      <c r="L2102" t="s">
        <v>23149</v>
      </c>
      <c r="M2102" t="s">
        <v>23150</v>
      </c>
      <c r="N2102">
        <f>-666.732206768421 -148.224855154575 -558.531881082756</f>
        <v>-1373.4889430057519</v>
      </c>
      <c r="O2102">
        <f>-615.104940795683 -272.899937256017 -532.276412634415</f>
        <v>-1420.281290686115</v>
      </c>
      <c r="P2102">
        <f>-601.56319886372 -331.931449452463 -244.312538042981</f>
        <v>-1177.807186359164</v>
      </c>
      <c r="Q2102">
        <f>-471.974507191239 -131.945141614995 -279.852946773244</f>
        <v>-883.77259557947809</v>
      </c>
      <c r="R2102">
        <f>-681.55715260158 -17.1044205394678 -103.634996820785</f>
        <v>-802.2965699618328</v>
      </c>
      <c r="S2102" t="s">
        <v>23151</v>
      </c>
      <c r="T2102" t="s">
        <v>23152</v>
      </c>
      <c r="U2102" t="s">
        <v>23153</v>
      </c>
      <c r="V2102">
        <f>-596.36102876855 -187.337407728433 -96.2479897346791</f>
        <v>-879.94642623166214</v>
      </c>
      <c r="W2102" t="s">
        <v>23154</v>
      </c>
      <c r="X2102" t="s">
        <v>23155</v>
      </c>
      <c r="Y2102" t="s">
        <v>23156</v>
      </c>
    </row>
    <row r="2103" spans="1:25" x14ac:dyDescent="0.3">
      <c r="A2103">
        <v>105100</v>
      </c>
      <c r="B2103" t="s">
        <v>23157</v>
      </c>
      <c r="C2103">
        <f>-638.881737326694 -101.9196491435 -98.9824403317323</f>
        <v>-839.78382680192624</v>
      </c>
      <c r="D2103">
        <f>-658.523850780312 -116.83911504521 -212.154096256275</f>
        <v>-987.51706208179701</v>
      </c>
      <c r="E2103">
        <f>-667.800047266147 -122.410609118911 -310.182472173896</f>
        <v>-1100.393128558954</v>
      </c>
      <c r="F2103">
        <f>-673.627240335088 -124.863945236962 -399.054762585257</f>
        <v>-1197.5459481573071</v>
      </c>
      <c r="G2103">
        <f>-676.536767271059 -124.620672907845 -488.103630692742</f>
        <v>-1289.2610708716461</v>
      </c>
      <c r="H2103">
        <f>-677.508871718722 -121.486058635965 -612.642922075507</f>
        <v>-1411.637852430194</v>
      </c>
      <c r="I2103">
        <f>-650.794849666208 -108.897975228491 -690.314958387125</f>
        <v>-1450.007783281824</v>
      </c>
      <c r="J2103">
        <f>-687.852385319008 -97.3459335305803 -557.1130693688</f>
        <v>-1342.3113882183884</v>
      </c>
      <c r="K2103" t="s">
        <v>23158</v>
      </c>
      <c r="L2103" t="s">
        <v>23159</v>
      </c>
      <c r="M2103" t="s">
        <v>23160</v>
      </c>
      <c r="N2103">
        <f>-666.309890846329 -148.384895595879 -558.56570096567</f>
        <v>-1373.2604874078779</v>
      </c>
      <c r="O2103">
        <f>-614.701328983227 -273.031419797067 -532.169034690997</f>
        <v>-1419.9017834712909</v>
      </c>
      <c r="P2103">
        <f>-601.947642784173 -332.264361586859 -244.210582296645</f>
        <v>-1178.422586667677</v>
      </c>
      <c r="Q2103">
        <f>-467.973619186346 -135.753367387338 -282.749778237532</f>
        <v>-886.47676481121607</v>
      </c>
      <c r="R2103">
        <f>-681.710852806173 -16.9316364548845 -103.72615206098</f>
        <v>-802.36864132203743</v>
      </c>
      <c r="S2103" t="s">
        <v>23161</v>
      </c>
      <c r="T2103" t="s">
        <v>23162</v>
      </c>
      <c r="U2103" t="s">
        <v>23163</v>
      </c>
      <c r="V2103">
        <f>-596.129343788729 -187.163417532239 -96.2845247364932</f>
        <v>-879.57728605746115</v>
      </c>
      <c r="W2103" t="s">
        <v>23164</v>
      </c>
      <c r="X2103" t="s">
        <v>23165</v>
      </c>
      <c r="Y2103" t="s">
        <v>23166</v>
      </c>
    </row>
    <row r="2104" spans="1:25" x14ac:dyDescent="0.3">
      <c r="A2104">
        <v>105150</v>
      </c>
      <c r="B2104" t="s">
        <v>23167</v>
      </c>
      <c r="C2104">
        <f>-638.851354950799 -101.878831043045 -98.9977550829435</f>
        <v>-839.72794107678749</v>
      </c>
      <c r="D2104">
        <f>-658.479067289387 -116.809765829186 -212.170428414904</f>
        <v>-987.45926153347693</v>
      </c>
      <c r="E2104">
        <f>-667.72925876032 -122.41205220543 -310.199572209952</f>
        <v>-1100.3408831757019</v>
      </c>
      <c r="F2104">
        <f>-673.527622926922 -124.901789226106 -399.072592254062</f>
        <v>-1197.50200440709</v>
      </c>
      <c r="G2104">
        <f>-676.40301264599 -124.703580520947 -488.122774909618</f>
        <v>-1289.2293680765549</v>
      </c>
      <c r="H2104">
        <f>-677.321989671929 -121.641029793314 -612.664240545761</f>
        <v>-1411.6272600110042</v>
      </c>
      <c r="I2104">
        <f>-650.468503021959 -109.067527150287 -690.290455510083</f>
        <v>-1449.8264856823289</v>
      </c>
      <c r="J2104">
        <f>-687.688469779998 -97.4685100642727 -557.152703330431</f>
        <v>-1342.3096831747016</v>
      </c>
      <c r="K2104" t="s">
        <v>23168</v>
      </c>
      <c r="L2104" t="s">
        <v>23169</v>
      </c>
      <c r="M2104" t="s">
        <v>23170</v>
      </c>
      <c r="N2104">
        <f>-666.146812966748 -148.508932853495 -558.566782932841</f>
        <v>-1373.2225287530841</v>
      </c>
      <c r="O2104">
        <f>-614.47529280727 -273.101742020545 -532.04863655408</f>
        <v>-1419.6256713818948</v>
      </c>
      <c r="P2104">
        <f>-602.773530193964 -331.861905837163 -243.948774613082</f>
        <v>-1178.584210644209</v>
      </c>
      <c r="Q2104">
        <f>-465.536366592425 -137.826554990236 -283.535256204006</f>
        <v>-886.89817778666702</v>
      </c>
      <c r="R2104">
        <f>-681.686018245943 -16.9368740826583 -103.755848914707</f>
        <v>-802.37874124330835</v>
      </c>
      <c r="S2104" t="s">
        <v>23171</v>
      </c>
      <c r="T2104" t="s">
        <v>23172</v>
      </c>
      <c r="U2104" t="s">
        <v>23173</v>
      </c>
      <c r="V2104">
        <f>-596.114861380113 -187.057916479092 -96.2891335658013</f>
        <v>-879.46191142500629</v>
      </c>
      <c r="W2104" t="s">
        <v>23174</v>
      </c>
      <c r="X2104" t="s">
        <v>23175</v>
      </c>
      <c r="Y2104" t="s">
        <v>23176</v>
      </c>
    </row>
    <row r="2105" spans="1:25" x14ac:dyDescent="0.3">
      <c r="A2105">
        <v>105200</v>
      </c>
      <c r="B2105" t="s">
        <v>23177</v>
      </c>
      <c r="C2105">
        <f>-638.953703918283 -101.816008334412 -99.0183770022078</f>
        <v>-839.78808925490284</v>
      </c>
      <c r="D2105">
        <f>-658.594024309146 -116.741419710657 -212.189583895177</f>
        <v>-987.52502791498</v>
      </c>
      <c r="E2105">
        <f>-667.80080334925 -122.42760236068 -310.217829991512</f>
        <v>-1100.446235701442</v>
      </c>
      <c r="F2105">
        <f>-673.539189990851 -125.028884052328 -399.091688921358</f>
        <v>-1197.6597629645371</v>
      </c>
      <c r="G2105">
        <f>-676.334477799985 -124.978121669132 -488.14461429972</f>
        <v>-1289.4572137688369</v>
      </c>
      <c r="H2105">
        <f>-677.120648268355 -122.159788914366 -612.692822583037</f>
        <v>-1411.973259765758</v>
      </c>
      <c r="I2105">
        <f>-650.010473906071 -109.686454356741 -690.245899412794</f>
        <v>-1449.9428276756059</v>
      </c>
      <c r="J2105">
        <f>-687.537954934386 -97.8749980907635 -557.239675291664</f>
        <v>-1342.6526283168134</v>
      </c>
      <c r="K2105" t="s">
        <v>23178</v>
      </c>
      <c r="L2105" t="s">
        <v>23179</v>
      </c>
      <c r="M2105" t="s">
        <v>23180</v>
      </c>
      <c r="N2105">
        <f>-666.011433109903 -148.925067118281 -558.530931576286</f>
        <v>-1373.4674318044699</v>
      </c>
      <c r="O2105">
        <f>-614.289649255169 -273.436419414647 -531.709977549864</f>
        <v>-1419.4360462196801</v>
      </c>
      <c r="P2105">
        <f>-603.634646272914 -330.89100013103 -243.306434101031</f>
        <v>-1177.832080504975</v>
      </c>
      <c r="Q2105">
        <f>-461.860560215906 -140.160417743467 -282.965272167477</f>
        <v>-884.98625012685</v>
      </c>
      <c r="R2105">
        <f>-681.808670851703 -16.8431521189684 -103.796431222429</f>
        <v>-802.44825419310041</v>
      </c>
      <c r="S2105" t="s">
        <v>23181</v>
      </c>
      <c r="T2105" t="s">
        <v>23182</v>
      </c>
      <c r="U2105" t="s">
        <v>23183</v>
      </c>
      <c r="V2105">
        <f>-596.228089653357 -186.956193726369 -96.2982901269229</f>
        <v>-879.48257350664881</v>
      </c>
      <c r="W2105" t="s">
        <v>23184</v>
      </c>
      <c r="X2105" t="s">
        <v>23185</v>
      </c>
      <c r="Y2105" t="s">
        <v>23186</v>
      </c>
    </row>
    <row r="2106" spans="1:25" x14ac:dyDescent="0.3">
      <c r="A2106">
        <v>105250</v>
      </c>
      <c r="B2106" t="s">
        <v>23187</v>
      </c>
      <c r="C2106">
        <f>-639.047900740461 -101.924352600468 -99.0281408879515</f>
        <v>-840.00039422888051</v>
      </c>
      <c r="D2106">
        <f>-658.697681552221 -116.84072276751 -212.198932473332</f>
        <v>-987.73733679306292</v>
      </c>
      <c r="E2106">
        <f>-667.888836927762 -122.549305257804 -310.227299850864</f>
        <v>-1100.66544203643</v>
      </c>
      <c r="F2106">
        <f>-673.604350808165 -125.182718720763 -399.10166232888</f>
        <v>-1197.8887318578081</v>
      </c>
      <c r="G2106">
        <f>-676.368337671537 -125.17579898531 -488.155588593372</f>
        <v>-1289.699725250219</v>
      </c>
      <c r="H2106">
        <f>-677.102367328702 -122.430541875698 -612.705667585515</f>
        <v>-1412.238576789915</v>
      </c>
      <c r="I2106">
        <f>-649.883125044536 -109.981344939606 -690.224578831637</f>
        <v>-1450.0890488157791</v>
      </c>
      <c r="J2106">
        <f>-687.548255730064 -98.1154012124391 -557.271322744808</f>
        <v>-1342.9349796873112</v>
      </c>
      <c r="K2106" t="s">
        <v>23188</v>
      </c>
      <c r="L2106" t="s">
        <v>23189</v>
      </c>
      <c r="M2106" t="s">
        <v>23190</v>
      </c>
      <c r="N2106">
        <f>-666.010474199248 -149.161704904642 -558.523355514976</f>
        <v>-1373.6955346188661</v>
      </c>
      <c r="O2106">
        <f>-614.251354742409 -273.656994658058 -531.63311095584</f>
        <v>-1419.5414603563072</v>
      </c>
      <c r="P2106">
        <f>-603.56899385425 -330.649198038133 -243.138812394361</f>
        <v>-1177.3570042867441</v>
      </c>
      <c r="Q2106">
        <f>-460.579737605727 -140.849154970819 -282.898767653525</f>
        <v>-884.32766023007093</v>
      </c>
      <c r="R2106">
        <f>-681.869649976553 -16.954813777895 -103.799333056666</f>
        <v>-802.62379681111395</v>
      </c>
      <c r="S2106" t="s">
        <v>23191</v>
      </c>
      <c r="T2106" t="s">
        <v>23192</v>
      </c>
      <c r="U2106" t="s">
        <v>23193</v>
      </c>
      <c r="V2106">
        <f>-596.331599955377 -187.132135722837 -96.3149365008197</f>
        <v>-879.77867217903372</v>
      </c>
      <c r="W2106" t="s">
        <v>23194</v>
      </c>
      <c r="X2106" t="s">
        <v>23195</v>
      </c>
      <c r="Y2106" t="s">
        <v>23196</v>
      </c>
    </row>
    <row r="2107" spans="1:25" x14ac:dyDescent="0.3">
      <c r="A2107">
        <v>105300</v>
      </c>
      <c r="B2107" t="s">
        <v>23197</v>
      </c>
      <c r="C2107">
        <f>-639.305714320188 -102.082333973959 -99.037451448587</f>
        <v>-840.42549974273402</v>
      </c>
      <c r="D2107">
        <f>-658.950079195734 -116.973387488087 -212.21253247861</f>
        <v>-988.13599916243106</v>
      </c>
      <c r="E2107">
        <f>-668.144989812765 -122.645975953759 -310.242624781548</f>
        <v>-1101.033590548072</v>
      </c>
      <c r="F2107">
        <f>-673.867887061804 -125.240187722575 -399.117686266232</f>
        <v>-1198.225761050611</v>
      </c>
      <c r="G2107">
        <f>-676.643841737172 -125.186748058412 -488.171230369401</f>
        <v>-1290.001820164985</v>
      </c>
      <c r="H2107">
        <f>-677.399782264255 -122.36837334305 -612.719640718059</f>
        <v>-1412.4877963253641</v>
      </c>
      <c r="I2107">
        <f>-650.043126294977 -109.857681820513 -690.180098743385</f>
        <v>-1450.0809068588751</v>
      </c>
      <c r="J2107">
        <f>-687.858704100838 -98.0954525321847 -557.269148037957</f>
        <v>-1343.2233046709798</v>
      </c>
      <c r="K2107" t="s">
        <v>23198</v>
      </c>
      <c r="L2107" t="s">
        <v>23199</v>
      </c>
      <c r="M2107" t="s">
        <v>23200</v>
      </c>
      <c r="N2107">
        <f>-666.275572825166 -149.121765725655 -558.554776191854</f>
        <v>-1373.9521147426749</v>
      </c>
      <c r="O2107">
        <f>-614.559142198078 -273.672863938363 -531.847148570777</f>
        <v>-1420.0791547072181</v>
      </c>
      <c r="P2107">
        <f>-602.925645300761 -331.165819147539 -243.489077435286</f>
        <v>-1177.580541883586</v>
      </c>
      <c r="Q2107">
        <f>-459.459365547447 -141.934405223974 -284.2290244953</f>
        <v>-885.62279526672103</v>
      </c>
      <c r="R2107">
        <f>-682.063191751862 -17.1254515074716 -103.783395156055</f>
        <v>-802.97203841538851</v>
      </c>
      <c r="S2107" t="s">
        <v>23201</v>
      </c>
      <c r="T2107" t="s">
        <v>23202</v>
      </c>
      <c r="U2107" t="s">
        <v>23203</v>
      </c>
      <c r="V2107">
        <f>-596.678396427769 -187.24472998536 -96.3264610280927</f>
        <v>-880.24958744122171</v>
      </c>
      <c r="W2107" t="s">
        <v>23204</v>
      </c>
      <c r="X2107" t="s">
        <v>23205</v>
      </c>
      <c r="Y2107" t="s">
        <v>23206</v>
      </c>
    </row>
    <row r="2108" spans="1:25" x14ac:dyDescent="0.3">
      <c r="A2108">
        <v>105350</v>
      </c>
      <c r="B2108" t="s">
        <v>23207</v>
      </c>
      <c r="C2108">
        <f>-639.492383814186 -102.113890144542 -99.0319911152438</f>
        <v>-840.63826507397187</v>
      </c>
      <c r="D2108">
        <f>-659.135364789013 -116.985557943721 -212.209793011138</f>
        <v>-988.33071574387202</v>
      </c>
      <c r="E2108">
        <f>-668.354992396586 -122.616043405002 -310.240049468404</f>
        <v>-1101.2110852699921</v>
      </c>
      <c r="F2108">
        <f>-674.110453254846 -125.161694890111 -399.114425476589</f>
        <v>-1198.3865736215459</v>
      </c>
      <c r="G2108">
        <f>-676.929543668558 -125.048671511457 -488.166572887337</f>
        <v>-1290.144788067352</v>
      </c>
      <c r="H2108">
        <f>-677.756656015843 -122.135230817716 -612.712373463301</f>
        <v>-1412.60426029686</v>
      </c>
      <c r="I2108">
        <f>-650.354499731861 -109.564162243149 -690.146938384865</f>
        <v>-1450.0656003598751</v>
      </c>
      <c r="J2108">
        <f>-688.199072773421 -97.9111013900215 -557.237441080238</f>
        <v>-1343.3476152436806</v>
      </c>
      <c r="K2108" t="s">
        <v>23208</v>
      </c>
      <c r="L2108" t="s">
        <v>23209</v>
      </c>
      <c r="M2108" t="s">
        <v>23210</v>
      </c>
      <c r="N2108">
        <f>-666.586222230355 -148.923497900694 -558.574297348818</f>
        <v>-1374.084017479867</v>
      </c>
      <c r="O2108">
        <f>-614.882606669976 -273.519576471923 -532.06770022924</f>
        <v>-1420.4698833711391</v>
      </c>
      <c r="P2108">
        <f>-602.713175034123 -331.728374284135 -243.875336524417</f>
        <v>-1178.316885842675</v>
      </c>
      <c r="Q2108">
        <f>-459.311411280645 -142.540204393092 -285.041318145691</f>
        <v>-886.89293381942798</v>
      </c>
      <c r="R2108">
        <f>-682.23831486028 -17.1638419095402 -103.774017283974</f>
        <v>-803.17617405379417</v>
      </c>
      <c r="S2108" t="s">
        <v>23211</v>
      </c>
      <c r="T2108" t="s">
        <v>23212</v>
      </c>
      <c r="U2108" t="s">
        <v>23213</v>
      </c>
      <c r="V2108">
        <f>-596.874582595667 -187.244426014683 -96.3262720907115</f>
        <v>-880.44528070106151</v>
      </c>
      <c r="W2108" t="s">
        <v>23214</v>
      </c>
      <c r="X2108" t="s">
        <v>23215</v>
      </c>
      <c r="Y2108" t="s">
        <v>23216</v>
      </c>
    </row>
    <row r="2109" spans="1:25" x14ac:dyDescent="0.3">
      <c r="A2109">
        <v>105400</v>
      </c>
      <c r="B2109" t="s">
        <v>23217</v>
      </c>
      <c r="C2109">
        <f>-639.905267998128 -102.231522821633 -99.0086442774947</f>
        <v>-841.1454350972557</v>
      </c>
      <c r="D2109">
        <f>-659.560009049686 -117.10194650342 -212.184538354314</f>
        <v>-988.84649390741993</v>
      </c>
      <c r="E2109">
        <f>-668.884663572716 -122.683461659453 -310.207799681097</f>
        <v>-1101.775924913266</v>
      </c>
      <c r="F2109">
        <f>-674.772962952016 -125.165457180654 -399.075178167478</f>
        <v>-1199.013598300148</v>
      </c>
      <c r="G2109">
        <f>-677.762470088687 -124.968384863337 -488.121589898097</f>
        <v>-1290.8524448501209</v>
      </c>
      <c r="H2109">
        <f>-678.867348223426 -121.91558820535 -612.661819722353</f>
        <v>-1413.444756151129</v>
      </c>
      <c r="I2109">
        <f>-651.416809990571 -109.204950233767 -690.0565197597</f>
        <v>-1450.678279984038</v>
      </c>
      <c r="J2109">
        <f>-689.220473084294 -97.7681967616368 -557.136695808084</f>
        <v>-1344.1253656540148</v>
      </c>
      <c r="K2109" t="s">
        <v>23218</v>
      </c>
      <c r="L2109" t="s">
        <v>23219</v>
      </c>
      <c r="M2109" t="s">
        <v>23220</v>
      </c>
      <c r="N2109">
        <f>-667.541810682304 -148.749775074828 -558.578869676447</f>
        <v>-1374.8704554335791</v>
      </c>
      <c r="O2109">
        <f>-615.731548493726 -273.367097536773 -532.455586029703</f>
        <v>-1421.5542320602019</v>
      </c>
      <c r="P2109">
        <f>-602.404759852535 -332.50806969649 -244.504253973599</f>
        <v>-1179.4170835226239</v>
      </c>
      <c r="Q2109">
        <f>-460.482293327465 -142.353196238237 -286.337599806258</f>
        <v>-889.17308937196003</v>
      </c>
      <c r="R2109">
        <f>-682.778394004877 -17.3036291914991 -103.754665411308</f>
        <v>-803.8366886076841</v>
      </c>
      <c r="S2109" t="s">
        <v>23221</v>
      </c>
      <c r="T2109" t="s">
        <v>23222</v>
      </c>
      <c r="U2109" t="s">
        <v>23223</v>
      </c>
      <c r="V2109">
        <f>-597.148736777786 -187.368931460487 -96.344809206645</f>
        <v>-880.862477444918</v>
      </c>
      <c r="W2109" t="s">
        <v>23224</v>
      </c>
      <c r="X2109" t="s">
        <v>23225</v>
      </c>
      <c r="Y2109" t="s">
        <v>23226</v>
      </c>
    </row>
    <row r="2110" spans="1:25" x14ac:dyDescent="0.3">
      <c r="A2110">
        <v>105450</v>
      </c>
      <c r="B2110" t="s">
        <v>23227</v>
      </c>
      <c r="C2110">
        <f>-640.125441090983 -102.385670694457 -99.000242322906</f>
        <v>-841.51135410834604</v>
      </c>
      <c r="D2110">
        <f>-659.811365488309 -117.27059603441 -212.168828063196</f>
        <v>-989.25078958591496</v>
      </c>
      <c r="E2110">
        <f>-669.218203930986 -122.848490578909 -310.184296639657</f>
        <v>-1102.250991149552</v>
      </c>
      <c r="F2110">
        <f>-675.202618012052 -125.321089177558 -399.045491510693</f>
        <v>-1199.5691987003029</v>
      </c>
      <c r="G2110">
        <f>-678.310053044735 -125.107917917703 -488.087931196632</f>
        <v>-1291.50590215907</v>
      </c>
      <c r="H2110">
        <f>-679.60252015092 -122.025302464524 -612.625633031003</f>
        <v>-1414.253455646447</v>
      </c>
      <c r="I2110">
        <f>-652.129482867073 -109.244736974261 -690.000833717433</f>
        <v>-1451.3750535587669</v>
      </c>
      <c r="J2110">
        <f>-689.894461996817 -97.9007494051122 -557.079363772047</f>
        <v>-1344.8745751739762</v>
      </c>
      <c r="K2110" t="s">
        <v>23228</v>
      </c>
      <c r="L2110" t="s">
        <v>23229</v>
      </c>
      <c r="M2110" t="s">
        <v>23230</v>
      </c>
      <c r="N2110">
        <f>-668.173101009116 -148.862930165096 -558.566144396421</f>
        <v>-1375.6021755706329</v>
      </c>
      <c r="O2110">
        <f>-616.195823606608 -273.436173635443 -532.557780885334</f>
        <v>-1422.1897781273851</v>
      </c>
      <c r="P2110">
        <f>-602.010998523297 -332.790190526002 -244.691342988086</f>
        <v>-1179.492532037385</v>
      </c>
      <c r="Q2110">
        <f>-462.381024149507 -140.94654157526 -286.528451422371</f>
        <v>-889.85601714713812</v>
      </c>
      <c r="R2110">
        <f>-683.07638331768 -17.4510836080581 -103.71982135052</f>
        <v>-804.24728827625802</v>
      </c>
      <c r="S2110" t="s">
        <v>23231</v>
      </c>
      <c r="T2110" t="s">
        <v>23232</v>
      </c>
      <c r="U2110" t="s">
        <v>23233</v>
      </c>
      <c r="V2110">
        <f>-597.29544388683 -187.561674292457 -96.3451797453491</f>
        <v>-881.20229792463613</v>
      </c>
      <c r="W2110" t="s">
        <v>23234</v>
      </c>
      <c r="X2110" t="s">
        <v>23235</v>
      </c>
      <c r="Y2110" t="s">
        <v>23236</v>
      </c>
    </row>
    <row r="2111" spans="1:25" x14ac:dyDescent="0.3">
      <c r="A2111">
        <v>105500</v>
      </c>
      <c r="B2111" t="s">
        <v>23237</v>
      </c>
      <c r="C2111">
        <f>-640.418112001913 -102.925335164374 -98.9488617894291</f>
        <v>-842.29230895571607</v>
      </c>
      <c r="D2111">
        <f>-660.15544786441 -117.82545361751 -212.106483144785</f>
        <v>-990.08738462670499</v>
      </c>
      <c r="E2111">
        <f>-669.722477308334 -123.404186096908 -310.106437120763</f>
        <v>-1103.233100526005</v>
      </c>
      <c r="F2111">
        <f>-675.899125089057 -125.871535830733 -398.95481176697</f>
        <v>-1200.72547268676</v>
      </c>
      <c r="G2111">
        <f>-679.247455166907 -125.645160831657 -487.988301047048</f>
        <v>-1292.880917045612</v>
      </c>
      <c r="H2111">
        <f>-680.927985360465 -122.534476276135 -612.52070345556</f>
        <v>-1415.9831650921601</v>
      </c>
      <c r="I2111">
        <f>-653.411622373059 -109.60716660974 -689.856159913377</f>
        <v>-1452.8749488961762</v>
      </c>
      <c r="J2111">
        <f>-691.125404661653 -98.4560550298054 -556.936901992648</f>
        <v>-1346.5183616841064</v>
      </c>
      <c r="K2111" t="s">
        <v>23238</v>
      </c>
      <c r="L2111" t="s">
        <v>23239</v>
      </c>
      <c r="M2111" t="s">
        <v>23240</v>
      </c>
      <c r="N2111">
        <f>-669.251602067466 -149.350590898594 -558.503358455387</f>
        <v>-1377.105551421447</v>
      </c>
      <c r="O2111">
        <f>-616.759944947246 -273.74996048252 -532.696208690187</f>
        <v>-1423.2061141199529</v>
      </c>
      <c r="P2111">
        <f>-600.537664837852 -332.919725744842 -244.899475635417</f>
        <v>-1178.356866218111</v>
      </c>
      <c r="Q2111">
        <f>-466.513078511323 -136.921518749727 -285.801900014303</f>
        <v>-889.23649727535292</v>
      </c>
      <c r="R2111">
        <f>-683.413285887522 -17.999168831813 -103.62313210086</f>
        <v>-805.03558682019502</v>
      </c>
      <c r="S2111" t="s">
        <v>23241</v>
      </c>
      <c r="T2111" t="s">
        <v>23242</v>
      </c>
      <c r="U2111" t="s">
        <v>23243</v>
      </c>
      <c r="V2111">
        <f>-597.505505936403 -188.081048996921 -96.3169744360167</f>
        <v>-881.90352936934073</v>
      </c>
      <c r="W2111" t="s">
        <v>23244</v>
      </c>
      <c r="X2111" t="s">
        <v>23245</v>
      </c>
      <c r="Y2111" t="s">
        <v>23246</v>
      </c>
    </row>
    <row r="2112" spans="1:25" x14ac:dyDescent="0.3">
      <c r="A2112">
        <v>105550</v>
      </c>
      <c r="B2112" t="s">
        <v>23247</v>
      </c>
      <c r="C2112">
        <f>-640.578303143481 -103.134913360637 -98.9073583953784</f>
        <v>-842.62057489949643</v>
      </c>
      <c r="D2112">
        <f>-660.332620923501 -118.050161563868 -212.059985031593</f>
        <v>-990.442767518962</v>
      </c>
      <c r="E2112">
        <f>-669.960116245131 -123.63640448823 -310.053733036258</f>
        <v>-1103.650253769619</v>
      </c>
      <c r="F2112">
        <f>-676.210266090955 -126.10816959893 -398.896621382316</f>
        <v>-1201.215057072201</v>
      </c>
      <c r="G2112">
        <f>-679.651580132076 -125.882537667576 -487.926599069928</f>
        <v>-1293.46071686958</v>
      </c>
      <c r="H2112">
        <f>-681.483027196524 -122.768375197623 -612.456867501322</f>
        <v>-1416.7082698954689</v>
      </c>
      <c r="I2112">
        <f>-653.963002174125 -109.746417645302 -689.775091316922</f>
        <v>-1453.4845111363491</v>
      </c>
      <c r="J2112">
        <f>-691.667596195555 -98.7150846276969 -556.859950361705</f>
        <v>-1347.242631184957</v>
      </c>
      <c r="K2112" t="s">
        <v>23248</v>
      </c>
      <c r="L2112" t="s">
        <v>23249</v>
      </c>
      <c r="M2112" t="s">
        <v>23250</v>
      </c>
      <c r="N2112">
        <f>-669.686584510625 -149.562436980749 -558.454641431008</f>
        <v>-1377.7036629223821</v>
      </c>
      <c r="O2112">
        <f>-616.873632644349 -273.838846898081 -532.679925210393</f>
        <v>-1423.392404752823</v>
      </c>
      <c r="P2112">
        <f>-600.296809735256 -332.443584418361 -244.787804081203</f>
        <v>-1177.5281982348199</v>
      </c>
      <c r="Q2112">
        <f>-467.848239589935 -135.536845597366 -286.452981521194</f>
        <v>-889.83806670849503</v>
      </c>
      <c r="R2112">
        <f>-683.618563709686 -18.2269391131658 -103.566230320547</f>
        <v>-805.41173314339881</v>
      </c>
      <c r="S2112" t="s">
        <v>23251</v>
      </c>
      <c r="T2112" t="s">
        <v>23252</v>
      </c>
      <c r="U2112" t="s">
        <v>23253</v>
      </c>
      <c r="V2112">
        <f>-597.655126869626 -188.240499694779 -96.3019890705499</f>
        <v>-882.1976156349549</v>
      </c>
      <c r="W2112" t="s">
        <v>23254</v>
      </c>
      <c r="X2112" t="s">
        <v>23255</v>
      </c>
      <c r="Y2112" t="s">
        <v>23256</v>
      </c>
    </row>
    <row r="2113" spans="1:25" x14ac:dyDescent="0.3">
      <c r="A2113">
        <v>105600</v>
      </c>
      <c r="B2113" t="s">
        <v>23257</v>
      </c>
      <c r="C2113">
        <f>-641.058429689071 -103.329905189256 -98.8629735258086</f>
        <v>-843.25130840413556</v>
      </c>
      <c r="D2113">
        <f>-660.771745674804 -118.284803543867 -212.017531092578</f>
        <v>-991.07408031124908</v>
      </c>
      <c r="E2113">
        <f>-670.449103633691 -123.892311890176 -310.005107840096</f>
        <v>-1104.3465233639631</v>
      </c>
      <c r="F2113">
        <f>-676.778017968207 -126.379371621582 -398.841938236364</f>
        <v>-1201.9993278261529</v>
      </c>
      <c r="G2113">
        <f>-680.332196296121 -126.16337723852 -487.86773689213</f>
        <v>-1294.363310426771</v>
      </c>
      <c r="H2113">
        <f>-682.357251089857 -123.0563986326 -612.394974612534</f>
        <v>-1417.808624334991</v>
      </c>
      <c r="I2113">
        <f>-654.894013418595 -109.791833029681 -689.692211778828</f>
        <v>-1454.378058227104</v>
      </c>
      <c r="J2113">
        <f>-692.539512971005 -99.0364242609746 -556.783151752967</f>
        <v>-1348.3590889849465</v>
      </c>
      <c r="K2113" t="s">
        <v>23258</v>
      </c>
      <c r="L2113" t="s">
        <v>23259</v>
      </c>
      <c r="M2113" t="s">
        <v>23260</v>
      </c>
      <c r="N2113">
        <f>-670.392842766532 -149.810856913199 -558.410214247786</f>
        <v>-1378.6139139275169</v>
      </c>
      <c r="O2113">
        <f>-617.244736897279 -273.990146000121 -532.804139238919</f>
        <v>-1424.0390221363191</v>
      </c>
      <c r="P2113">
        <f>-600.632818264944 -331.811207153563 -244.755579574069</f>
        <v>-1177.199604992576</v>
      </c>
      <c r="Q2113">
        <f>-467.81833022407 -135.56085789842 -288.309738783188</f>
        <v>-891.68892690567793</v>
      </c>
      <c r="R2113">
        <f>-684.329894076261 -18.4423921401226 -103.501537721946</f>
        <v>-806.27382393832954</v>
      </c>
      <c r="S2113" t="s">
        <v>23261</v>
      </c>
      <c r="T2113" t="s">
        <v>23262</v>
      </c>
      <c r="U2113" t="s">
        <v>23263</v>
      </c>
      <c r="V2113">
        <f>-597.908958222396 -188.426220702891 -96.2651269314985</f>
        <v>-882.60030585678544</v>
      </c>
      <c r="W2113" t="s">
        <v>23264</v>
      </c>
      <c r="X2113" t="s">
        <v>23265</v>
      </c>
      <c r="Y2113" t="s">
        <v>23266</v>
      </c>
    </row>
    <row r="2114" spans="1:25" x14ac:dyDescent="0.3">
      <c r="A2114">
        <v>105650</v>
      </c>
      <c r="B2114" t="s">
        <v>23267</v>
      </c>
      <c r="C2114">
        <f>-641.230733463893 -103.371433200141 -98.8426823585522</f>
        <v>-843.44484902258625</v>
      </c>
      <c r="D2114">
        <f>-660.910455909951 -118.345605097764 -212.000570152086</f>
        <v>-991.25663115980092</v>
      </c>
      <c r="E2114">
        <f>-670.60229889821 -123.956526002971 -309.986457818238</f>
        <v>-1104.545282719419</v>
      </c>
      <c r="F2114">
        <f>-676.960983753493 -126.442004033674 -398.821309122229</f>
        <v>-1202.2242969093961</v>
      </c>
      <c r="G2114">
        <f>-680.561572887989 -126.21965749164 -487.845030233766</f>
        <v>-1294.6262606133951</v>
      </c>
      <c r="H2114">
        <f>-682.668640682714 -123.098653797316 -612.370722049203</f>
        <v>-1418.138016529233</v>
      </c>
      <c r="I2114">
        <f>-655.233322791616 -109.717776343783 -689.657727123399</f>
        <v>-1454.6088262587982</v>
      </c>
      <c r="J2114">
        <f>-692.837516774362 -99.0951762353716 -556.749311887219</f>
        <v>-1348.6820048969525</v>
      </c>
      <c r="K2114" t="s">
        <v>23268</v>
      </c>
      <c r="L2114" t="s">
        <v>23269</v>
      </c>
      <c r="M2114" t="s">
        <v>23270</v>
      </c>
      <c r="N2114">
        <f>-670.645341224133 -149.8490498471 -558.396915698201</f>
        <v>-1378.8913067694339</v>
      </c>
      <c r="O2114">
        <f>-617.431113230117 -274.013029951189 -532.88369458168</f>
        <v>-1424.3278377629861</v>
      </c>
      <c r="P2114">
        <f>-601.037844120317 -331.671455927267 -244.78992344997</f>
        <v>-1177.4992234975541</v>
      </c>
      <c r="Q2114">
        <f>-467.000616621413 -136.348024319158 -288.762857223565</f>
        <v>-892.11149816413592</v>
      </c>
      <c r="R2114">
        <f>-684.564282622827 -18.5219607882459 -103.48346338333</f>
        <v>-806.56970679440292</v>
      </c>
      <c r="S2114" t="s">
        <v>23271</v>
      </c>
      <c r="T2114" t="s">
        <v>23272</v>
      </c>
      <c r="U2114" t="s">
        <v>23273</v>
      </c>
      <c r="V2114">
        <f>-597.970667693585 -188.458218816522 -96.2403801681223</f>
        <v>-882.66926667822941</v>
      </c>
      <c r="W2114" t="s">
        <v>23274</v>
      </c>
      <c r="X2114" t="s">
        <v>23275</v>
      </c>
      <c r="Y2114" t="s">
        <v>23276</v>
      </c>
    </row>
    <row r="2115" spans="1:25" x14ac:dyDescent="0.3">
      <c r="A2115">
        <v>105700</v>
      </c>
      <c r="B2115" t="s">
        <v>23277</v>
      </c>
      <c r="C2115">
        <f>-641.366202043595 -103.349189211077 -98.8088017537343</f>
        <v>-843.52419300840631</v>
      </c>
      <c r="D2115">
        <f>-660.988126589914 -118.377027467875 -211.969598295779</f>
        <v>-991.33475235356809</v>
      </c>
      <c r="E2115">
        <f>-670.67727769822 -124.021849775651 -309.953897146719</f>
        <v>-1104.65302462059</v>
      </c>
      <c r="F2115">
        <f>-677.051151034636 -126.534478615492 -398.786944010551</f>
        <v>-1202.3725736606789</v>
      </c>
      <c r="G2115">
        <f>-680.684519840565 -126.335302534521 -487.809320620476</f>
        <v>-1294.8291429955621</v>
      </c>
      <c r="H2115">
        <f>-682.855350679371 -123.242717573404 -612.334656437393</f>
        <v>-1418.432724690168</v>
      </c>
      <c r="I2115">
        <f>-655.45551441628 -109.727295160455 -689.610755032095</f>
        <v>-1454.7935646088299</v>
      </c>
      <c r="J2115">
        <f>-693.021761116549 -99.237884477956 -556.713365523055</f>
        <v>-1348.97301111756</v>
      </c>
      <c r="K2115" t="s">
        <v>23278</v>
      </c>
      <c r="L2115" t="s">
        <v>23279</v>
      </c>
      <c r="M2115" t="s">
        <v>23280</v>
      </c>
      <c r="N2115">
        <f>-670.77838961808 -149.969386154747 -558.360982953695</f>
        <v>-1379.108758726522</v>
      </c>
      <c r="O2115">
        <f>-617.4970618823 -274.122727773319 -532.955686336443</f>
        <v>-1424.5754759920621</v>
      </c>
      <c r="P2115">
        <f>-601.528902899964 -332.720530309891 -245.027682358532</f>
        <v>-1179.277115568387</v>
      </c>
      <c r="Q2115">
        <f>-465.494927438482 -138.888467491211 -289.466012431082</f>
        <v>-893.8494073607751</v>
      </c>
      <c r="R2115">
        <f>-684.813915742457 -18.5819411194468 -103.484578088116</f>
        <v>-806.88043495001978</v>
      </c>
      <c r="S2115" t="s">
        <v>23281</v>
      </c>
      <c r="T2115" t="s">
        <v>23282</v>
      </c>
      <c r="U2115" t="s">
        <v>23283</v>
      </c>
      <c r="V2115">
        <f>-597.980043460483 -188.332128606995 -96.2257809713147</f>
        <v>-882.53795303879281</v>
      </c>
      <c r="W2115" t="s">
        <v>23284</v>
      </c>
      <c r="X2115" t="s">
        <v>23285</v>
      </c>
      <c r="Y2115" t="s">
        <v>23286</v>
      </c>
    </row>
    <row r="2116" spans="1:25" x14ac:dyDescent="0.3">
      <c r="A2116">
        <v>105750</v>
      </c>
      <c r="B2116" t="s">
        <v>23287</v>
      </c>
      <c r="C2116">
        <f>-641.420372554144 -103.220358399223 -98.8229440585083</f>
        <v>-843.46367501187524</v>
      </c>
      <c r="D2116">
        <f>-661.036064841917 -118.274326520352 -211.981304494338</f>
        <v>-991.29169585660702</v>
      </c>
      <c r="E2116">
        <f>-670.727515032111 -123.93233166107 -309.964590281814</f>
        <v>-1104.624436974995</v>
      </c>
      <c r="F2116">
        <f>-677.10617184752 -126.453282869061 -398.797022469337</f>
        <v>-1202.356477185918</v>
      </c>
      <c r="G2116">
        <f>-680.747017652225 -126.258968246317 -487.81914131662</f>
        <v>-1294.825127215162</v>
      </c>
      <c r="H2116">
        <f>-682.930848889512 -123.169492306197 -612.344191331634</f>
        <v>-1418.444532527343</v>
      </c>
      <c r="I2116">
        <f>-655.54871394483 -109.620903967948 -689.620969776453</f>
        <v>-1454.790587689231</v>
      </c>
      <c r="J2116">
        <f>-693.098073211947 -99.166223929545 -556.72258941757</f>
        <v>-1348.986886559062</v>
      </c>
      <c r="K2116" t="s">
        <v>23288</v>
      </c>
      <c r="L2116" t="s">
        <v>23289</v>
      </c>
      <c r="M2116" t="s">
        <v>23290</v>
      </c>
      <c r="N2116">
        <f>-670.841676837965 -149.891950211609 -558.371291684422</f>
        <v>-1379.1049187339959</v>
      </c>
      <c r="O2116">
        <f>-617.503885648732 -274.025540813983 -532.97651416262</f>
        <v>-1424.5059406253349</v>
      </c>
      <c r="P2116">
        <f>-602.367384906971 -332.988158922667 -245.07811021134</f>
        <v>-1180.4336540409781</v>
      </c>
      <c r="Q2116">
        <f>-464.64828280684 -140.383188040159 -289.661072321897</f>
        <v>-894.69254316889601</v>
      </c>
      <c r="R2116">
        <f>-684.91453173123 -18.5305412429614 -103.501621723538</f>
        <v>-806.9466946977293</v>
      </c>
      <c r="S2116" t="s">
        <v>23291</v>
      </c>
      <c r="T2116" t="s">
        <v>23292</v>
      </c>
      <c r="U2116" t="s">
        <v>23293</v>
      </c>
      <c r="V2116">
        <f>-598.013951262873 -188.092188114972 -96.223550390123</f>
        <v>-882.32968976796803</v>
      </c>
      <c r="W2116" t="s">
        <v>23294</v>
      </c>
      <c r="X2116" t="s">
        <v>23295</v>
      </c>
      <c r="Y2116" t="s">
        <v>23296</v>
      </c>
    </row>
    <row r="2117" spans="1:25" x14ac:dyDescent="0.3">
      <c r="A2117">
        <v>105800</v>
      </c>
      <c r="B2117" t="s">
        <v>23297</v>
      </c>
      <c r="C2117">
        <f>-641.549556747377 -103.233672190749 -98.8435797950964</f>
        <v>-843.62680873322233</v>
      </c>
      <c r="D2117">
        <f>-661.147873668791 -118.340317813796 -211.997901413352</f>
        <v>-991.48609289593901</v>
      </c>
      <c r="E2117">
        <f>-670.841214661456 -124.015785683498 -309.98008392195</f>
        <v>-1104.837084266904</v>
      </c>
      <c r="F2117">
        <f>-677.227455678893 -126.541706071772 -398.811763246515</f>
        <v>-1202.5809249971799</v>
      </c>
      <c r="G2117">
        <f>-680.881432520562 -126.341822822669 -487.83343702411</f>
        <v>-1295.0566923673409</v>
      </c>
      <c r="H2117">
        <f>-683.089113200448 -123.233558039054 -612.35750145181</f>
        <v>-1418.6801726913118</v>
      </c>
      <c r="I2117">
        <f>-655.696983232426 -109.64998452855 -689.624609089649</f>
        <v>-1454.9715768506248</v>
      </c>
      <c r="J2117">
        <f>-693.243091641511 -99.2374803677492 -556.730322145066</f>
        <v>-1349.2108941543261</v>
      </c>
      <c r="K2117" t="s">
        <v>23298</v>
      </c>
      <c r="L2117" t="s">
        <v>23299</v>
      </c>
      <c r="M2117" t="s">
        <v>23300</v>
      </c>
      <c r="N2117">
        <f>-670.992156509418 -149.965236981126 -558.391002133612</f>
        <v>-1379.3483956241562</v>
      </c>
      <c r="O2117">
        <f>-617.621013086365 -274.069400068836 -532.947281050014</f>
        <v>-1424.637694205215</v>
      </c>
      <c r="P2117">
        <f>-605.767127586787 -332.50021254778 -244.786733070577</f>
        <v>-1183.0540732051438</v>
      </c>
      <c r="Q2117">
        <f>-461.196795945994 -145.1573850916 -290.095937909991</f>
        <v>-896.450118947585</v>
      </c>
      <c r="R2117">
        <f>-685.166697731769 -18.5772273021996 -103.53944354165</f>
        <v>-807.28336857561862</v>
      </c>
      <c r="S2117" t="s">
        <v>23301</v>
      </c>
      <c r="T2117" t="s">
        <v>23302</v>
      </c>
      <c r="U2117" t="s">
        <v>23303</v>
      </c>
      <c r="V2117">
        <f>-598.011314556137 -188.149462450493 -96.2067884136486</f>
        <v>-882.36756542027865</v>
      </c>
      <c r="W2117" t="s">
        <v>23304</v>
      </c>
      <c r="X2117" t="s">
        <v>23305</v>
      </c>
      <c r="Y2117" t="s">
        <v>23306</v>
      </c>
    </row>
    <row r="2118" spans="1:25" x14ac:dyDescent="0.3">
      <c r="A2118">
        <v>105850</v>
      </c>
      <c r="B2118" t="s">
        <v>23307</v>
      </c>
      <c r="C2118">
        <f>-641.583892458705 -103.363435505569 -98.8447714540292</f>
        <v>-843.79209941830322</v>
      </c>
      <c r="D2118">
        <f>-661.190113701909 -118.491202421518 -211.994941276436</f>
        <v>-991.67625739986306</v>
      </c>
      <c r="E2118">
        <f>-670.885857220556 -124.210337356164 -309.974263289163</f>
        <v>-1105.0704578658829</v>
      </c>
      <c r="F2118">
        <f>-677.272358362375 -126.7866553366 -398.804458845563</f>
        <v>-1202.8634725445381</v>
      </c>
      <c r="G2118">
        <f>-680.924368905257 -126.648308074095 -487.826409637491</f>
        <v>-1295.3990866168429</v>
      </c>
      <c r="H2118">
        <f>-683.126722862822 -123.638215842195 -612.353028650613</f>
        <v>-1419.1179673556301</v>
      </c>
      <c r="I2118">
        <f>-655.692717199957 -110.099883740322 -689.613042035728</f>
        <v>-1455.4056429760069</v>
      </c>
      <c r="J2118">
        <f>-693.270757083468 -99.5928584240021 -556.745238296178</f>
        <v>-1349.6088538036479</v>
      </c>
      <c r="K2118" t="s">
        <v>23308</v>
      </c>
      <c r="L2118" t="s">
        <v>23309</v>
      </c>
      <c r="M2118" t="s">
        <v>23310</v>
      </c>
      <c r="N2118">
        <f>-671.044418722471 -150.332743581934 -558.364809489039</f>
        <v>-1379.741971793444</v>
      </c>
      <c r="O2118">
        <f>-617.715816297135 -274.421194991279 -532.835069568783</f>
        <v>-1424.9720808571969</v>
      </c>
      <c r="P2118">
        <f>-607.148938999885 -332.316721341305 -244.516404710325</f>
        <v>-1183.9820650515148</v>
      </c>
      <c r="Q2118">
        <f>-458.861618578971 -147.967336516349 -290.090610507244</f>
        <v>-896.91956560256403</v>
      </c>
      <c r="R2118">
        <f>-685.214805778549 -18.7204696178644 -103.535609658891</f>
        <v>-807.47088505530439</v>
      </c>
      <c r="S2118" t="s">
        <v>23311</v>
      </c>
      <c r="T2118" t="s">
        <v>23312</v>
      </c>
      <c r="U2118" t="s">
        <v>23313</v>
      </c>
      <c r="V2118">
        <f>-598.052060572798 -188.290731590254 -96.1942796328721</f>
        <v>-882.53707179592413</v>
      </c>
      <c r="W2118" t="s">
        <v>23314</v>
      </c>
      <c r="X2118" t="s">
        <v>23315</v>
      </c>
      <c r="Y2118" t="s">
        <v>23316</v>
      </c>
    </row>
    <row r="2119" spans="1:25" x14ac:dyDescent="0.3">
      <c r="A2119">
        <v>105900</v>
      </c>
      <c r="B2119" t="s">
        <v>23317</v>
      </c>
      <c r="C2119">
        <f>-641.68610470102 -103.590919814523 -98.8264829238763</f>
        <v>-844.10350743941922</v>
      </c>
      <c r="D2119">
        <f>-661.292842693469 -118.745272254922 -211.97305333064</f>
        <v>-992.01116827903104</v>
      </c>
      <c r="E2119">
        <f>-670.927777888178 -124.513677263438 -309.955496606592</f>
        <v>-1105.3969517582079</v>
      </c>
      <c r="F2119">
        <f>-677.234397304895 -127.14611857572 -398.789801319627</f>
        <v>-1203.1703172002419</v>
      </c>
      <c r="G2119">
        <f>-680.781537412299 -127.075965135246 -487.815951043747</f>
        <v>-1295.6734535912919</v>
      </c>
      <c r="H2119">
        <f>-682.811071444402 -124.174144830837 -612.348164917709</f>
        <v>-1419.3333811929481</v>
      </c>
      <c r="I2119">
        <f>-655.22738063495 -110.687383515574 -689.563888158476</f>
        <v>-1455.4786523089999</v>
      </c>
      <c r="J2119">
        <f>-693.037015852395 -100.082642052981 -556.775293275996</f>
        <v>-1349.8949511813721</v>
      </c>
      <c r="K2119" t="s">
        <v>23318</v>
      </c>
      <c r="L2119" t="s">
        <v>23319</v>
      </c>
      <c r="M2119" t="s">
        <v>23320</v>
      </c>
      <c r="N2119">
        <f>-670.798877252689 -150.819648572486 -558.319961297304</f>
        <v>-1379.9384871224788</v>
      </c>
      <c r="O2119">
        <f>-617.397175013227 -274.912849439687 -532.798646597839</f>
        <v>-1425.1086710507529</v>
      </c>
      <c r="P2119">
        <f>-608.058369770968 -333.415111769659 -244.560078439754</f>
        <v>-1186.0335599803811</v>
      </c>
      <c r="Q2119">
        <f>-451.473261180278 -156.40254161099 -291.4481173813</f>
        <v>-899.32392017256791</v>
      </c>
      <c r="R2119">
        <f>-685.423502927204 -18.9608425685192 -103.540654221501</f>
        <v>-807.92499971722418</v>
      </c>
      <c r="S2119" t="s">
        <v>23321</v>
      </c>
      <c r="T2119" t="s">
        <v>23322</v>
      </c>
      <c r="U2119" t="s">
        <v>23323</v>
      </c>
      <c r="V2119">
        <f>-598.065228528986 -188.398850519152 -96.1908135466759</f>
        <v>-882.65489259481399</v>
      </c>
      <c r="W2119" t="s">
        <v>23324</v>
      </c>
      <c r="X2119" t="s">
        <v>23325</v>
      </c>
      <c r="Y2119" t="s">
        <v>23326</v>
      </c>
    </row>
    <row r="2120" spans="1:25" x14ac:dyDescent="0.3">
      <c r="A2120">
        <v>105950</v>
      </c>
      <c r="B2120" t="s">
        <v>23327</v>
      </c>
      <c r="C2120">
        <f>-641.812763050488 -103.739782932276 -98.8300302999473</f>
        <v>-844.3825762827114</v>
      </c>
      <c r="D2120">
        <f>-661.397557877125 -118.892629110146 -211.980580936657</f>
        <v>-992.27076792392802</v>
      </c>
      <c r="E2120">
        <f>-671.004481103998 -124.625708789081 -309.967797737294</f>
        <v>-1105.5979876303732</v>
      </c>
      <c r="F2120">
        <f>-677.281862006936 -127.212553218836 -398.805459048624</f>
        <v>-1203.299874274396</v>
      </c>
      <c r="G2120">
        <f>-680.795816522607 -127.082901337815 -487.832876855104</f>
        <v>-1295.711594715526</v>
      </c>
      <c r="H2120">
        <f>-682.774831513144 -124.083305217703 -612.363622579785</f>
        <v>-1419.221759310632</v>
      </c>
      <c r="I2120">
        <f>-655.130090910611 -110.543472704196 -689.54831954995</f>
        <v>-1455.2218831647569</v>
      </c>
      <c r="J2120">
        <f>-693.044791305748 -100.044836344409 -556.775944503163</f>
        <v>-1349.86557215332</v>
      </c>
      <c r="K2120" t="s">
        <v>23328</v>
      </c>
      <c r="L2120" t="s">
        <v>23329</v>
      </c>
      <c r="M2120" t="s">
        <v>23330</v>
      </c>
      <c r="N2120">
        <f>-670.763043088594 -150.761754148836 -558.351583697175</f>
        <v>-1379.8763809346051</v>
      </c>
      <c r="O2120">
        <f>-617.341259446702 -274.868905063086 -533.008892451165</f>
        <v>-1425.2190569609529</v>
      </c>
      <c r="P2120">
        <f>-607.79052004469 -333.86265818276 -244.877405002445</f>
        <v>-1186.530583229895</v>
      </c>
      <c r="Q2120">
        <f>-447.791250105697 -160.316815928886 -293.177949656666</f>
        <v>-901.28601569124896</v>
      </c>
      <c r="R2120">
        <f>-685.606950445672 -19.1060815539295 -103.536868654698</f>
        <v>-808.24990065429949</v>
      </c>
      <c r="S2120" t="s">
        <v>23331</v>
      </c>
      <c r="T2120" t="s">
        <v>23332</v>
      </c>
      <c r="U2120" t="s">
        <v>23333</v>
      </c>
      <c r="V2120">
        <f>-598.142642476699 -188.56230038258 -96.1769096511096</f>
        <v>-882.88185251038863</v>
      </c>
      <c r="W2120" t="s">
        <v>23334</v>
      </c>
      <c r="X2120" t="s">
        <v>23335</v>
      </c>
      <c r="Y2120" t="s">
        <v>23336</v>
      </c>
    </row>
    <row r="2121" spans="1:25" x14ac:dyDescent="0.3">
      <c r="A2121">
        <v>106000</v>
      </c>
      <c r="B2121" t="s">
        <v>23337</v>
      </c>
      <c r="C2121">
        <f>-642.069006004959 -104.091410979553 -98.7922715372699</f>
        <v>-844.95268852178185</v>
      </c>
      <c r="D2121">
        <f>-661.590180237374 -119.265798071676 -211.950933884871</f>
        <v>-992.80691219392111</v>
      </c>
      <c r="E2121">
        <f>-671.202455769368 -124.872971355676 -309.944947112767</f>
        <v>-1106.020374237811</v>
      </c>
      <c r="F2121">
        <f>-677.507974097679 -127.287709137681 -398.785460192336</f>
        <v>-1203.5811434276961</v>
      </c>
      <c r="G2121">
        <f>-681.073802101687 -126.925646492456 -487.810141287635</f>
        <v>-1295.8095898817778</v>
      </c>
      <c r="H2121">
        <f>-683.150261184379 -123.537278941612 -612.329256574754</f>
        <v>-1419.0167967007451</v>
      </c>
      <c r="I2121">
        <f>-655.394769418259 -109.750165068943 -689.430391562328</f>
        <v>-1454.5753260495301</v>
      </c>
      <c r="J2121">
        <f>-693.461361213419 -99.7098102657801 -556.658504570253</f>
        <v>-1349.829676049452</v>
      </c>
      <c r="K2121" t="s">
        <v>23338</v>
      </c>
      <c r="L2121" t="s">
        <v>23339</v>
      </c>
      <c r="M2121" t="s">
        <v>23340</v>
      </c>
      <c r="N2121">
        <f>-671.011702162717 -150.346838704924 -558.410693441346</f>
        <v>-1379.7692343089871</v>
      </c>
      <c r="O2121">
        <f>-617.345042567203 -274.46301951928 -533.640815282849</f>
        <v>-1425.448877369332</v>
      </c>
      <c r="P2121">
        <f>-605.789084711259 -334.380850096205 -245.773585744464</f>
        <v>-1185.943520551928</v>
      </c>
      <c r="Q2121">
        <f>-442.362716728735 -165.119405465065 -297.67017550604</f>
        <v>-905.15229769984001</v>
      </c>
      <c r="R2121">
        <f>-686.039739594411 -19.5573159523792 -103.50168889543</f>
        <v>-809.09874444222021</v>
      </c>
      <c r="S2121" t="s">
        <v>23341</v>
      </c>
      <c r="T2121" t="s">
        <v>23342</v>
      </c>
      <c r="U2121" t="s">
        <v>23343</v>
      </c>
      <c r="V2121">
        <f>-598.2074680058 -188.830252087819 -96.1373746324028</f>
        <v>-883.17509472602183</v>
      </c>
      <c r="W2121" t="s">
        <v>23344</v>
      </c>
      <c r="X2121" t="s">
        <v>23345</v>
      </c>
      <c r="Y2121" t="s">
        <v>23346</v>
      </c>
    </row>
    <row r="2122" spans="1:25" x14ac:dyDescent="0.3">
      <c r="A2122">
        <v>106050</v>
      </c>
      <c r="B2122" t="s">
        <v>23347</v>
      </c>
      <c r="C2122">
        <f>-642.141150749189 -104.33207081649 -98.7607833442136</f>
        <v>-845.23400490989263</v>
      </c>
      <c r="D2122">
        <f>-661.6236536824 -119.52329030528 -211.923929300548</f>
        <v>-993.07087328822809</v>
      </c>
      <c r="E2122">
        <f>-671.243247906812 -125.05146110895 -309.921570318638</f>
        <v>-1106.2162793344</v>
      </c>
      <c r="F2122">
        <f>-677.571536195442 -127.356564088417 -398.763475462203</f>
        <v>-1203.691575746062</v>
      </c>
      <c r="G2122">
        <f>-681.177068197473 -126.845072495644 -487.785896388896</f>
        <v>-1295.808037082013</v>
      </c>
      <c r="H2122">
        <f>-683.327124452888 -123.205000257057 -612.296610921701</f>
        <v>-1418.8287356316459</v>
      </c>
      <c r="I2122">
        <f>-655.504749246868 -109.234138575266 -689.340545744778</f>
        <v>-1454.079433566912</v>
      </c>
      <c r="J2122">
        <f>-693.676544934211 -99.5218246000311 -556.571391843998</f>
        <v>-1349.7697613782402</v>
      </c>
      <c r="K2122" t="s">
        <v>23348</v>
      </c>
      <c r="L2122" t="s">
        <v>23349</v>
      </c>
      <c r="M2122" t="s">
        <v>23350</v>
      </c>
      <c r="N2122">
        <f>-671.085368120986 -150.091739271213 -558.439882772533</f>
        <v>-1379.616990164732</v>
      </c>
      <c r="O2122">
        <f>-617.11006003389 -274.133249868371 -534.001260884942</f>
        <v>-1425.244570787203</v>
      </c>
      <c r="P2122">
        <f>-604.045591340239 -334.820083093787 -246.359671641983</f>
        <v>-1185.2253460760089</v>
      </c>
      <c r="Q2122">
        <f>-440.614809934357 -166.185644824772 -300.245613104025</f>
        <v>-907.04606786315401</v>
      </c>
      <c r="R2122">
        <f>-686.223797317551 -19.7940637980078 -103.485079403069</f>
        <v>-809.50294051862772</v>
      </c>
      <c r="S2122" t="s">
        <v>23351</v>
      </c>
      <c r="T2122" t="s">
        <v>23352</v>
      </c>
      <c r="U2122" t="s">
        <v>23353</v>
      </c>
      <c r="V2122">
        <f>-598.148101716913 -189.087069192475 -96.1215723552931</f>
        <v>-883.35674326468109</v>
      </c>
      <c r="W2122" t="s">
        <v>23354</v>
      </c>
      <c r="X2122" t="s">
        <v>23355</v>
      </c>
      <c r="Y2122" t="s">
        <v>23356</v>
      </c>
    </row>
    <row r="2123" spans="1:25" x14ac:dyDescent="0.3">
      <c r="A2123">
        <v>106100</v>
      </c>
      <c r="B2123" t="s">
        <v>23357</v>
      </c>
      <c r="C2123">
        <f>-642.275820547652 -104.817842978922 -98.7050598154874</f>
        <v>-845.79872334206141</v>
      </c>
      <c r="D2123">
        <f>-661.730795112112 -120.020097959192 -211.871402994337</f>
        <v>-993.62229606564097</v>
      </c>
      <c r="E2123">
        <f>-671.373011359552 -125.432055229349 -309.873412013716</f>
        <v>-1106.6784786026169</v>
      </c>
      <c r="F2123">
        <f>-677.740389694212 -127.581657023523 -398.716403388538</f>
        <v>-1204.0384501062731</v>
      </c>
      <c r="G2123">
        <f>-681.405105339945 -126.860973381407 -487.734776624386</f>
        <v>-1296.0008553457378</v>
      </c>
      <c r="H2123">
        <f>-683.659694503501 -122.871122346135 -612.233149847201</f>
        <v>-1418.7639666968371</v>
      </c>
      <c r="I2123">
        <f>-655.658498726426 -108.473209002688 -689.133334516305</f>
        <v>-1453.265042245419</v>
      </c>
      <c r="J2123">
        <f>-694.119057098568 -99.4153125773031 -556.432194246997</f>
        <v>-1349.9665639228681</v>
      </c>
      <c r="K2123" t="s">
        <v>23358</v>
      </c>
      <c r="L2123" t="s">
        <v>23359</v>
      </c>
      <c r="M2123" t="s">
        <v>23360</v>
      </c>
      <c r="N2123">
        <f>-671.216095461313 -149.838477045087 -558.463001409013</f>
        <v>-1379.5175739154129</v>
      </c>
      <c r="O2123">
        <f>-616.464249126901 -273.647046981809 -534.546413649222</f>
        <v>-1424.657709757932</v>
      </c>
      <c r="P2123">
        <f>-601.52833244379 -335.366187281372 -247.215892174487</f>
        <v>-1184.1104118996489</v>
      </c>
      <c r="Q2123">
        <f>-439.904931311537 -166.412126787896 -305.381836035261</f>
        <v>-911.698894134694</v>
      </c>
      <c r="R2123">
        <f>-686.68461030263 -20.3993619809912 -103.385351707161</f>
        <v>-810.46932399078219</v>
      </c>
      <c r="S2123" t="s">
        <v>23361</v>
      </c>
      <c r="T2123" t="s">
        <v>23362</v>
      </c>
      <c r="U2123" t="s">
        <v>23363</v>
      </c>
      <c r="V2123">
        <f>-597.961874104055 -189.445243853724 -96.1035744063244</f>
        <v>-883.51069236410342</v>
      </c>
      <c r="W2123" t="s">
        <v>23364</v>
      </c>
      <c r="X2123" t="s">
        <v>23365</v>
      </c>
      <c r="Y2123" t="s">
        <v>23366</v>
      </c>
    </row>
    <row r="2124" spans="1:25" x14ac:dyDescent="0.3">
      <c r="A2124">
        <v>106150</v>
      </c>
      <c r="B2124" t="s">
        <v>23367</v>
      </c>
      <c r="C2124">
        <f>-642.24353681758 -104.994459233076 -98.676829158909</f>
        <v>-845.91482520956492</v>
      </c>
      <c r="D2124">
        <f>-661.678131392609 -120.243614635555 -211.840295899122</f>
        <v>-993.76204192728596</v>
      </c>
      <c r="E2124">
        <f>-671.330531989807 -125.611451724452 -309.843759210024</f>
        <v>-1106.7857429242831</v>
      </c>
      <c r="F2124">
        <f>-677.71690213698 -127.688102853677 -398.687134763613</f>
        <v>-1204.0921397542702</v>
      </c>
      <c r="G2124">
        <f>-681.410370422988 -126.860578476802 -487.703446094292</f>
        <v>-1295.9743949940821</v>
      </c>
      <c r="H2124">
        <f>-683.715164280184 -122.685566042134 -612.19481074634</f>
        <v>-1418.5955410686579</v>
      </c>
      <c r="I2124">
        <f>-655.614929978537 -108.048207848571 -689.01364302438</f>
        <v>-1452.676780851488</v>
      </c>
      <c r="J2124">
        <f>-694.210558495419 -99.3394221794405 -556.354608570244</f>
        <v>-1349.9045892451036</v>
      </c>
      <c r="K2124" t="s">
        <v>23368</v>
      </c>
      <c r="L2124" t="s">
        <v>23369</v>
      </c>
      <c r="M2124" t="s">
        <v>23370</v>
      </c>
      <c r="N2124">
        <f>-671.19127283502 -149.706113598788 -558.469910223638</f>
        <v>-1379.3672966574459</v>
      </c>
      <c r="O2124">
        <f>-616.135073080409 -273.434173103157 -534.822869741584</f>
        <v>-1424.3921159251499</v>
      </c>
      <c r="P2124">
        <f>-600.457869206151 -336.303281727243 -247.781212935028</f>
        <v>-1184.5423638684219</v>
      </c>
      <c r="Q2124">
        <f>-442.268655151152 -164.595975548782 -307.30996149578</f>
        <v>-914.17459219571401</v>
      </c>
      <c r="R2124">
        <f>-686.825510555747 -20.6898870624384 -103.347983354033</f>
        <v>-810.86338097221835</v>
      </c>
      <c r="S2124" t="s">
        <v>23371</v>
      </c>
      <c r="T2124" t="s">
        <v>23372</v>
      </c>
      <c r="U2124" t="s">
        <v>23373</v>
      </c>
      <c r="V2124">
        <f>-597.712401077433 -189.531277269538 -96.0882598288358</f>
        <v>-883.33193817580684</v>
      </c>
      <c r="W2124" t="s">
        <v>23374</v>
      </c>
      <c r="X2124" t="s">
        <v>23375</v>
      </c>
      <c r="Y2124" t="s">
        <v>23376</v>
      </c>
    </row>
    <row r="2125" spans="1:25" x14ac:dyDescent="0.3">
      <c r="A2125">
        <v>106200</v>
      </c>
      <c r="B2125" t="s">
        <v>23377</v>
      </c>
      <c r="C2125">
        <f>-642.143114656987 -105.253497739807 -98.6630792427992</f>
        <v>-846.05969163959321</v>
      </c>
      <c r="D2125">
        <f>-661.587007417183 -120.572916754011 -211.815525476347</f>
        <v>-993.97544964754104</v>
      </c>
      <c r="E2125">
        <f>-671.273479984637 -125.901556261131 -309.81777767834</f>
        <v>-1106.9928139241078</v>
      </c>
      <c r="F2125">
        <f>-677.698985275722 -127.904110006736 -398.660006278574</f>
        <v>-1204.2631015610318</v>
      </c>
      <c r="G2125">
        <f>-681.439434879683 -126.96339633705 -487.673285006566</f>
        <v>-1296.0761162232989</v>
      </c>
      <c r="H2125">
        <f>-683.817455083013 -122.589570004878 -612.156314673727</f>
        <v>-1418.563339761618</v>
      </c>
      <c r="I2125">
        <f>-655.642570775325 -107.730798747038 -688.905331191393</f>
        <v>-1452.2787007137558</v>
      </c>
      <c r="J2125">
        <f>-694.32467149277 -99.3531337200102 -556.272701414282</f>
        <v>-1349.9505066270622</v>
      </c>
      <c r="K2125" t="s">
        <v>23378</v>
      </c>
      <c r="L2125" t="s">
        <v>23379</v>
      </c>
      <c r="M2125" t="s">
        <v>23380</v>
      </c>
      <c r="N2125">
        <f>-671.217241389432 -149.675405364118 -558.482214951956</f>
        <v>-1379.3748617055062</v>
      </c>
      <c r="O2125">
        <f>-615.902285870457 -273.348269149318 -535.130245587547</f>
        <v>-1424.380800607322</v>
      </c>
      <c r="P2125">
        <f>-599.744319695662 -337.633203689052 -248.429181711549</f>
        <v>-1185.8067050962632</v>
      </c>
      <c r="Q2125">
        <f>-446.314404425533 -161.895906507381 -308.649731993545</f>
        <v>-916.86004292645907</v>
      </c>
      <c r="R2125">
        <f>-686.932569905765 -21.0395696150097 -103.321410716416</f>
        <v>-811.29355023719074</v>
      </c>
      <c r="S2125" t="s">
        <v>23381</v>
      </c>
      <c r="T2125" t="s">
        <v>23382</v>
      </c>
      <c r="U2125" t="s">
        <v>23383</v>
      </c>
      <c r="V2125">
        <f>-597.410956007286 -189.731146587619 -96.0761364571953</f>
        <v>-883.21823905210033</v>
      </c>
      <c r="W2125" t="s">
        <v>23384</v>
      </c>
      <c r="X2125" t="s">
        <v>23385</v>
      </c>
      <c r="Y2125" t="s">
        <v>23386</v>
      </c>
    </row>
    <row r="2126" spans="1:25" x14ac:dyDescent="0.3">
      <c r="A2126">
        <v>106250</v>
      </c>
      <c r="B2126" t="s">
        <v>23387</v>
      </c>
      <c r="C2126">
        <f>-641.984944959619 -105.854138864073 -98.6236421812771</f>
        <v>-846.46272600496911</v>
      </c>
      <c r="D2126">
        <f>-661.524420198223 -121.318279307313 -211.739892078397</f>
        <v>-994.58259158393298</v>
      </c>
      <c r="E2126">
        <f>-671.316548504723 -126.604255567033 -309.73387357762</f>
        <v>-1107.654677649376</v>
      </c>
      <c r="F2126">
        <f>-677.843275486806 -128.503366819421 -398.571058522316</f>
        <v>-1204.9177008285428</v>
      </c>
      <c r="G2126">
        <f>-681.689677148085 -127.393934608546 -487.578033850946</f>
        <v>-1296.6616456075772</v>
      </c>
      <c r="H2126">
        <f>-684.219304173373 -122.71624378554 -612.046933908579</f>
        <v>-1418.982481867492</v>
      </c>
      <c r="I2126">
        <f>-656.004207238229 -107.47382150511 -688.705921867232</f>
        <v>-1452.1839506105709</v>
      </c>
      <c r="J2126">
        <f>-694.726546571284 -99.6477042983446 -556.093854089617</f>
        <v>-1350.4681049592455</v>
      </c>
      <c r="K2126" t="s">
        <v>23388</v>
      </c>
      <c r="L2126" t="s">
        <v>23389</v>
      </c>
      <c r="M2126" t="s">
        <v>23390</v>
      </c>
      <c r="N2126">
        <f>-671.48574645904 -149.901634808665 -558.454725299663</f>
        <v>-1379.8421065673679</v>
      </c>
      <c r="O2126">
        <f>-615.696263312128 -273.388525882436 -535.416134443677</f>
        <v>-1424.5009236382411</v>
      </c>
      <c r="P2126">
        <f>-599.784243423651 -336.689483813206 -248.482347701541</f>
        <v>-1184.9560749383979</v>
      </c>
      <c r="Q2126">
        <f>-452.909748960764 -155.372359892074 -308.506075046277</f>
        <v>-916.78818389911498</v>
      </c>
      <c r="R2126">
        <f>-687.096151350853 -21.7539267253014 -103.273330785008</f>
        <v>-812.12340886116249</v>
      </c>
      <c r="S2126" t="s">
        <v>23391</v>
      </c>
      <c r="T2126" t="s">
        <v>23392</v>
      </c>
      <c r="U2126" t="s">
        <v>23393</v>
      </c>
      <c r="V2126">
        <f>-596.973780512107 -190.250841623008 -96.049463162562</f>
        <v>-883.27408529767706</v>
      </c>
      <c r="W2126" t="s">
        <v>23394</v>
      </c>
      <c r="X2126" t="s">
        <v>23395</v>
      </c>
      <c r="Y2126" t="s">
        <v>23396</v>
      </c>
    </row>
    <row r="2127" spans="1:25" x14ac:dyDescent="0.3">
      <c r="A2127">
        <v>106300</v>
      </c>
      <c r="B2127" t="s">
        <v>23397</v>
      </c>
      <c r="C2127">
        <f>-642.032755760339 -106.522354827482 -98.5781070755451</f>
        <v>-847.13321766336605</v>
      </c>
      <c r="D2127">
        <f>-661.756872916567 -122.064540984302 -211.65160586189</f>
        <v>-995.4730197627589</v>
      </c>
      <c r="E2127">
        <f>-671.674350810011 -127.413486600459 -309.629651259745</f>
        <v>-1108.7174886702151</v>
      </c>
      <c r="F2127">
        <f>-678.300287082399 -129.36909301972 -398.458202798215</f>
        <v>-1206.1275829003339</v>
      </c>
      <c r="G2127">
        <f>-682.231771297237 -128.315150349039 -487.461950139751</f>
        <v>-1298.0088717860269</v>
      </c>
      <c r="H2127">
        <f>-684.865305110509 -123.714259233029 -611.931820187655</f>
        <v>-1420.511384531193</v>
      </c>
      <c r="I2127">
        <f>-656.652727199075 -108.235341706701 -688.544322141419</f>
        <v>-1453.4323910471949</v>
      </c>
      <c r="J2127">
        <f>-695.361563801541 -100.627674892404 -555.983963203065</f>
        <v>-1351.9732018970099</v>
      </c>
      <c r="K2127" t="s">
        <v>23398</v>
      </c>
      <c r="L2127" t="s">
        <v>23399</v>
      </c>
      <c r="M2127" t="s">
        <v>23400</v>
      </c>
      <c r="N2127">
        <f>-672.051286627688 -150.850010926602 -558.333616028046</f>
        <v>-1381.234913582336</v>
      </c>
      <c r="O2127">
        <f>-615.851401638502 -274.159778759614 -535.117466657962</f>
        <v>-1425.1286470560781</v>
      </c>
      <c r="P2127">
        <f>-600.629788067753 -335.427632420437 -247.70531287021</f>
        <v>-1183.7627333584001</v>
      </c>
      <c r="Q2127">
        <f>-458.846361270875 -149.918627868912 -307.159255957727</f>
        <v>-915.9242450975139</v>
      </c>
      <c r="R2127">
        <f>-687.326053730707 -22.3799775249208 -103.172001474081</f>
        <v>-812.87803272970882</v>
      </c>
      <c r="S2127" t="s">
        <v>23401</v>
      </c>
      <c r="T2127" t="s">
        <v>23402</v>
      </c>
      <c r="U2127" t="s">
        <v>23403</v>
      </c>
      <c r="V2127">
        <f>-596.888021396243 -190.955912505709 -96.0350030999973</f>
        <v>-883.87893700194923</v>
      </c>
      <c r="W2127" t="s">
        <v>23404</v>
      </c>
      <c r="X2127" t="s">
        <v>23405</v>
      </c>
      <c r="Y2127" t="s">
        <v>23406</v>
      </c>
    </row>
    <row r="2128" spans="1:25" x14ac:dyDescent="0.3">
      <c r="A2128">
        <v>106350</v>
      </c>
      <c r="B2128" t="s">
        <v>23407</v>
      </c>
      <c r="C2128">
        <f>-642.183320340722 -106.724864136802 -98.5714455302062</f>
        <v>-847.47963000773029</v>
      </c>
      <c r="D2128">
        <f>-661.968788085675 -122.281161459165 -211.632315053978</f>
        <v>-995.88226459881798</v>
      </c>
      <c r="E2128">
        <f>-671.927465512669 -127.636492170007 -309.605832615911</f>
        <v>-1109.169790298587</v>
      </c>
      <c r="F2128">
        <f>-678.585700245257 -129.595889846476 -398.431819020395</f>
        <v>-1206.613409112128</v>
      </c>
      <c r="G2128">
        <f>-682.54436506412 -128.543854968268 -487.434447849649</f>
        <v>-1298.522667882037</v>
      </c>
      <c r="H2128">
        <f>-685.210146815086 -123.943933705027 -611.903656123043</f>
        <v>-1421.057736643156</v>
      </c>
      <c r="I2128">
        <f>-657.001455394186 -108.33099181093 -688.490337169139</f>
        <v>-1453.822784374255</v>
      </c>
      <c r="J2128">
        <f>-695.689798549075 -100.856007051182 -555.953235485404</f>
        <v>-1352.499041085661</v>
      </c>
      <c r="K2128" t="s">
        <v>23408</v>
      </c>
      <c r="L2128" t="s">
        <v>23409</v>
      </c>
      <c r="M2128" t="s">
        <v>23410</v>
      </c>
      <c r="N2128">
        <f>-672.384335241488 -151.080287930745 -558.308537319623</f>
        <v>-1381.7731604918558</v>
      </c>
      <c r="O2128">
        <f>-616.215789712875 -274.396127535466 -535.09969732686</f>
        <v>-1425.7116145752011</v>
      </c>
      <c r="P2128">
        <f>-600.768832218362 -334.96011876032 -247.55046605215</f>
        <v>-1183.2794170308321</v>
      </c>
      <c r="Q2128">
        <f>-460.666780940191 -148.03085494943 -306.539499751831</f>
        <v>-915.23713564145191</v>
      </c>
      <c r="R2128">
        <f>-687.442662244721 -22.5921086009196 -103.131714281351</f>
        <v>-813.16648512699157</v>
      </c>
      <c r="S2128" t="s">
        <v>23411</v>
      </c>
      <c r="T2128" t="s">
        <v>23412</v>
      </c>
      <c r="U2128" t="s">
        <v>23413</v>
      </c>
      <c r="V2128">
        <f>-597.058751211033 -191.093001545037 -96.0230638360209</f>
        <v>-884.17481659209091</v>
      </c>
      <c r="W2128" t="s">
        <v>23414</v>
      </c>
      <c r="X2128" t="s">
        <v>23415</v>
      </c>
      <c r="Y2128" t="s">
        <v>23416</v>
      </c>
    </row>
    <row r="2129" spans="1:25" x14ac:dyDescent="0.3">
      <c r="A2129">
        <v>106400</v>
      </c>
      <c r="B2129" t="s">
        <v>23417</v>
      </c>
      <c r="C2129">
        <f>-642.678377680583 -106.657655805229 -98.5557266124131</f>
        <v>-847.89176009822506</v>
      </c>
      <c r="D2129">
        <f>-662.512850432512 -122.185383392283 -211.611976885842</f>
        <v>-996.31021071063697</v>
      </c>
      <c r="E2129">
        <f>-672.488161451135 -127.469011813649 -309.587641089251</f>
        <v>-1109.544814354035</v>
      </c>
      <c r="F2129">
        <f>-679.150675082002 -129.344223878492 -398.415288772685</f>
        <v>-1206.9101877331791</v>
      </c>
      <c r="G2129">
        <f>-683.102348990883 -128.189276967395 -487.416886575598</f>
        <v>-1298.708512533876</v>
      </c>
      <c r="H2129">
        <f>-685.746534060355 -123.425773744598 -611.880213126433</f>
        <v>-1421.052520931386</v>
      </c>
      <c r="I2129">
        <f>-657.681007836927 -107.601554105949 -688.47621296853</f>
        <v>-1453.7587749114061</v>
      </c>
      <c r="J2129">
        <f>-696.219903677541 -100.403938474461 -555.901518710018</f>
        <v>-1352.5253608620201</v>
      </c>
      <c r="K2129" t="s">
        <v>23418</v>
      </c>
      <c r="L2129" t="s">
        <v>23419</v>
      </c>
      <c r="M2129" t="s">
        <v>23420</v>
      </c>
      <c r="N2129">
        <f>-672.946056725832 -150.639925671192 -558.318597672508</f>
        <v>-1381.9045800695321</v>
      </c>
      <c r="O2129">
        <f>-616.996160144418 -274.086598549992 -535.249328621085</f>
        <v>-1426.3320873154951</v>
      </c>
      <c r="P2129">
        <f>-601.322290251843 -334.776701903048 -247.738913914978</f>
        <v>-1183.8379060698689</v>
      </c>
      <c r="Q2129">
        <f>-463.237380771892 -146.402169010522 -306.886647386186</f>
        <v>-916.52619716859999</v>
      </c>
      <c r="R2129">
        <f>-687.8953128464 -22.4780202728252 -103.111962731155</f>
        <v>-813.48529585038023</v>
      </c>
      <c r="S2129" t="s">
        <v>23421</v>
      </c>
      <c r="T2129" t="s">
        <v>23422</v>
      </c>
      <c r="U2129" t="s">
        <v>23423</v>
      </c>
      <c r="V2129">
        <f>-597.558256184288 -191.032140458086 -96.030004614521</f>
        <v>-884.62040125689498</v>
      </c>
      <c r="W2129" t="s">
        <v>23424</v>
      </c>
      <c r="X2129" t="s">
        <v>23425</v>
      </c>
      <c r="Y2129" t="s">
        <v>23426</v>
      </c>
    </row>
    <row r="2130" spans="1:25" x14ac:dyDescent="0.3">
      <c r="A2130">
        <v>106450</v>
      </c>
      <c r="B2130" t="s">
        <v>23427</v>
      </c>
      <c r="C2130">
        <f>-642.929829621323 -106.430978013409 -98.5574223002732</f>
        <v>-847.91822993500523</v>
      </c>
      <c r="D2130">
        <f>-662.772165366261 -121.931689536849 -211.616073332092</f>
        <v>-996.31992823520204</v>
      </c>
      <c r="E2130">
        <f>-672.713595627877 -127.157917560923 -309.598232480628</f>
        <v>-1109.469745669428</v>
      </c>
      <c r="F2130">
        <f>-679.328516065027 -128.967940913635 -398.430600762502</f>
        <v>-1206.7270577411641</v>
      </c>
      <c r="G2130">
        <f>-683.215025956478 -127.734935324823 -487.434181881497</f>
        <v>-1298.384143162798</v>
      </c>
      <c r="H2130">
        <f>-685.749062044782 -122.849706447931 -611.895043134636</f>
        <v>-1420.493811627349</v>
      </c>
      <c r="I2130">
        <f>-657.718592691677 -106.912392242663 -688.480482956007</f>
        <v>-1453.1114678903471</v>
      </c>
      <c r="J2130">
        <f>-696.243683514609 -99.8695861405884 -555.903224923706</f>
        <v>-1352.0164945789033</v>
      </c>
      <c r="K2130" t="s">
        <v>23428</v>
      </c>
      <c r="L2130" t="s">
        <v>23429</v>
      </c>
      <c r="M2130" t="s">
        <v>23430</v>
      </c>
      <c r="N2130">
        <f>-673.024177924566 -150.129332383921 -558.34873688673</f>
        <v>-1381.502247195217</v>
      </c>
      <c r="O2130">
        <f>-617.276994437824 -273.680227616034 -535.427209572215</f>
        <v>-1426.3844316260729</v>
      </c>
      <c r="P2130">
        <f>-601.370932732814 -335.143263794193 -248.093831668859</f>
        <v>-1184.6080281958659</v>
      </c>
      <c r="Q2130">
        <f>-464.233492584233 -146.136294353494 -307.427939919847</f>
        <v>-917.79772685757393</v>
      </c>
      <c r="R2130">
        <f>-688.079423378258 -22.314785712764 -103.119472133016</f>
        <v>-813.5136812240379</v>
      </c>
      <c r="S2130" t="s">
        <v>23431</v>
      </c>
      <c r="T2130" t="s">
        <v>23432</v>
      </c>
      <c r="U2130" t="s">
        <v>23433</v>
      </c>
      <c r="V2130">
        <f>-597.877464825172 -190.701010437859 -96.0540585050569</f>
        <v>-884.6325337680878</v>
      </c>
      <c r="W2130" t="s">
        <v>23434</v>
      </c>
      <c r="X2130" t="s">
        <v>23435</v>
      </c>
      <c r="Y2130" t="s">
        <v>23436</v>
      </c>
    </row>
    <row r="2131" spans="1:25" x14ac:dyDescent="0.3">
      <c r="A2131">
        <v>106500</v>
      </c>
      <c r="B2131" t="s">
        <v>23437</v>
      </c>
      <c r="C2131">
        <f>-643.363744273631 -106.222813481331 -98.5612706542371</f>
        <v>-848.14782840919918</v>
      </c>
      <c r="D2131">
        <f>-663.221914746261 -121.665282913037 -211.624944358817</f>
        <v>-996.5121420181149</v>
      </c>
      <c r="E2131">
        <f>-673.097182796607 -126.77064027189 -309.6203078741</f>
        <v>-1109.4881309425969</v>
      </c>
      <c r="F2131">
        <f>-679.618980162023 -128.442925698197 -398.462347122748</f>
        <v>-1206.5242529829679</v>
      </c>
      <c r="G2131">
        <f>-683.377715680858 -127.045547695307 -487.46890753639</f>
        <v>-1297.8921709125552</v>
      </c>
      <c r="H2131">
        <f>-685.696220921847 -121.903436832349 -611.923655499059</f>
        <v>-1419.5233132532551</v>
      </c>
      <c r="I2131">
        <f>-657.621073170561 -105.705280713797 -688.437973011403</f>
        <v>-1451.7643268957609</v>
      </c>
      <c r="J2131">
        <f>-696.215447895782 -99.0055422013655 -555.902701251396</f>
        <v>-1351.1236913485436</v>
      </c>
      <c r="K2131" t="s">
        <v>23438</v>
      </c>
      <c r="L2131" t="s">
        <v>23439</v>
      </c>
      <c r="M2131" t="s">
        <v>23440</v>
      </c>
      <c r="N2131">
        <f>-673.136523356714 -149.326849779268 -558.411685738806</f>
        <v>-1380.875058874788</v>
      </c>
      <c r="O2131">
        <f>-617.805340731716 -273.090340624787 -535.659446647482</f>
        <v>-1426.5551280039849</v>
      </c>
      <c r="P2131">
        <f>-602.086622541118 -335.184004861777 -248.451233589838</f>
        <v>-1185.7218609927331</v>
      </c>
      <c r="Q2131">
        <f>-465.313097504126 -146.090731117308 -308.34764007735</f>
        <v>-919.75146869878404</v>
      </c>
      <c r="R2131">
        <f>-688.412540367689 -22.081371615172 -103.117806693309</f>
        <v>-813.61171867616997</v>
      </c>
      <c r="S2131" t="s">
        <v>23441</v>
      </c>
      <c r="T2131" t="s">
        <v>23442</v>
      </c>
      <c r="U2131" t="s">
        <v>23443</v>
      </c>
      <c r="V2131">
        <f>-598.386234328142 -190.636740635669 -96.0658903808559</f>
        <v>-885.08886534466694</v>
      </c>
      <c r="W2131" t="s">
        <v>23444</v>
      </c>
      <c r="X2131" t="s">
        <v>23445</v>
      </c>
      <c r="Y2131" t="s">
        <v>23446</v>
      </c>
    </row>
    <row r="2132" spans="1:25" x14ac:dyDescent="0.3">
      <c r="A2132">
        <v>106550</v>
      </c>
      <c r="B2132" t="s">
        <v>23447</v>
      </c>
      <c r="C2132">
        <f>-643.500394618113 -106.185997488913 -98.5486585591502</f>
        <v>-848.23505066617622</v>
      </c>
      <c r="D2132">
        <f>-663.389917191486 -121.588497087132 -211.612395767184</f>
        <v>-996.59081004580196</v>
      </c>
      <c r="E2132">
        <f>-673.237296962322 -126.659069830854 -309.612270922825</f>
        <v>-1109.508637716001</v>
      </c>
      <c r="F2132">
        <f>-679.712004451825 -128.299480849561 -398.4583220882</f>
        <v>-1206.4698073895861</v>
      </c>
      <c r="G2132">
        <f>-683.401182507494 -126.870605537398 -487.467226662791</f>
        <v>-1297.7390147076831</v>
      </c>
      <c r="H2132">
        <f>-685.599082534722 -121.68550669167 -611.922473237002</f>
        <v>-1419.2070624633939</v>
      </c>
      <c r="I2132">
        <f>-657.512798127692 -105.382659233731 -688.410412160218</f>
        <v>-1451.3058695216409</v>
      </c>
      <c r="J2132">
        <f>-696.138003655927 -98.7911491080225 -555.903799008844</f>
        <v>-1350.8329517727934</v>
      </c>
      <c r="K2132" t="s">
        <v>23448</v>
      </c>
      <c r="L2132" t="s">
        <v>23449</v>
      </c>
      <c r="M2132" t="s">
        <v>23450</v>
      </c>
      <c r="N2132">
        <f>-673.125790144897 -149.143273951966 -558.407989593823</f>
        <v>-1380.6770536906861</v>
      </c>
      <c r="O2132">
        <f>-617.979823296773 -272.986393885266 -535.657109174959</f>
        <v>-1426.6233263569979</v>
      </c>
      <c r="P2132">
        <f>-602.561029895706 -335.091895701866 -248.435316853421</f>
        <v>-1186.088242450993</v>
      </c>
      <c r="Q2132">
        <f>-465.600183293879 -146.18280102275 -308.485032878154</f>
        <v>-920.26801719478306</v>
      </c>
      <c r="R2132">
        <f>-688.471323671802 -21.9756049158245 -103.093226429316</f>
        <v>-813.54015501694255</v>
      </c>
      <c r="S2132" t="s">
        <v>23451</v>
      </c>
      <c r="T2132" t="s">
        <v>23452</v>
      </c>
      <c r="U2132" t="s">
        <v>23453</v>
      </c>
      <c r="V2132">
        <f>-598.622782903249 -190.610341715435 -96.0729920726931</f>
        <v>-885.30611669137704</v>
      </c>
      <c r="W2132" t="s">
        <v>23454</v>
      </c>
      <c r="X2132" t="s">
        <v>23455</v>
      </c>
      <c r="Y2132" t="s">
        <v>23456</v>
      </c>
    </row>
    <row r="2133" spans="1:25" x14ac:dyDescent="0.3">
      <c r="A2133">
        <v>106600</v>
      </c>
      <c r="B2133" t="s">
        <v>23457</v>
      </c>
      <c r="C2133">
        <f>-643.632541838274 -106.011459145656 -98.5294248847471</f>
        <v>-848.1734258686771</v>
      </c>
      <c r="D2133">
        <f>-663.551607526783 -121.350534881535 -211.596549356784</f>
        <v>-996.49869176510197</v>
      </c>
      <c r="E2133">
        <f>-673.326164327104 -126.382030813737 -309.605787774419</f>
        <v>-1109.3139829152601</v>
      </c>
      <c r="F2133">
        <f>-679.695644169315 -127.993282378431 -398.460015317252</f>
        <v>-1206.1489418649981</v>
      </c>
      <c r="G2133">
        <f>-683.239760861699 -126.542761860881 -487.474394921626</f>
        <v>-1297.2569176442059</v>
      </c>
      <c r="H2133">
        <f>-685.192894748504 -121.335988224057 -611.932858665525</f>
        <v>-1418.4617416380861</v>
      </c>
      <c r="I2133">
        <f>-657.049205153596 -104.856314614251 -688.361753264939</f>
        <v>-1450.2672730327859</v>
      </c>
      <c r="J2133">
        <f>-695.782383102978 -98.4243114514426 -555.930800922851</f>
        <v>-1350.1374954772714</v>
      </c>
      <c r="K2133" t="s">
        <v>23458</v>
      </c>
      <c r="L2133" t="s">
        <v>23459</v>
      </c>
      <c r="M2133" t="s">
        <v>23460</v>
      </c>
      <c r="N2133">
        <f>-672.88444489953 -148.830252418673 -558.398895022844</f>
        <v>-1380.113592341047</v>
      </c>
      <c r="O2133">
        <f>-617.947990422237 -272.754634927891 -535.552327844065</f>
        <v>-1426.2549531941931</v>
      </c>
      <c r="P2133">
        <f>-603.425028457032 -334.352348580735 -248.174541920461</f>
        <v>-1185.9519189582279</v>
      </c>
      <c r="Q2133">
        <f>-466.342753151804 -145.581085020384 -308.380306275215</f>
        <v>-920.3041444474029</v>
      </c>
      <c r="R2133">
        <f>-688.506188603752 -21.7917048770832 -103.037422977624</f>
        <v>-813.33531645845926</v>
      </c>
      <c r="S2133" t="s">
        <v>23461</v>
      </c>
      <c r="T2133" t="s">
        <v>23462</v>
      </c>
      <c r="U2133" t="s">
        <v>23463</v>
      </c>
      <c r="V2133">
        <f>-598.86106699446 -190.430927533645 -96.0770485978031</f>
        <v>-885.36904312590809</v>
      </c>
      <c r="W2133" t="s">
        <v>23464</v>
      </c>
      <c r="X2133" t="s">
        <v>23465</v>
      </c>
      <c r="Y2133" t="s">
        <v>23466</v>
      </c>
    </row>
    <row r="2134" spans="1:25" x14ac:dyDescent="0.3">
      <c r="A2134">
        <v>106650</v>
      </c>
      <c r="B2134" t="s">
        <v>23467</v>
      </c>
      <c r="C2134">
        <f>-643.641646323284 -105.901846905316 -98.511806008688</f>
        <v>-848.05529923728807</v>
      </c>
      <c r="D2134">
        <f>-663.575900804136 -121.221038006357 -211.578946265064</f>
        <v>-996.37588507555711</v>
      </c>
      <c r="E2134">
        <f>-673.335594410226 -126.24192750168 -309.590062596521</f>
        <v>-1109.1675845084271</v>
      </c>
      <c r="F2134">
        <f>-679.680568105166 -127.846111144721 -398.446174256582</f>
        <v>-1205.9728535064692</v>
      </c>
      <c r="G2134">
        <f>-683.189102292978 -126.391344611386 -487.462023037665</f>
        <v>-1297.0424699420289</v>
      </c>
      <c r="H2134">
        <f>-685.080758976369 -121.181827806698 -611.921235740356</f>
        <v>-1418.183822523423</v>
      </c>
      <c r="I2134">
        <f>-656.925298298776 -104.624596329106 -688.328976226795</f>
        <v>-1449.8788708546772</v>
      </c>
      <c r="J2134">
        <f>-695.680971150097 -98.2636563501378 -555.923849076775</f>
        <v>-1349.8684765770099</v>
      </c>
      <c r="K2134" t="s">
        <v>23468</v>
      </c>
      <c r="L2134" t="s">
        <v>23469</v>
      </c>
      <c r="M2134" t="s">
        <v>23470</v>
      </c>
      <c r="N2134">
        <f>-672.815664282816 -148.684918811699 -558.381876244356</f>
        <v>-1379.8824593388708</v>
      </c>
      <c r="O2134">
        <f>-617.879197270076 -272.606796354201 -535.493829061321</f>
        <v>-1425.9798226855978</v>
      </c>
      <c r="P2134">
        <f>-603.657505396076 -334.106143310751 -248.079815695351</f>
        <v>-1185.8434644021779</v>
      </c>
      <c r="Q2134">
        <f>-467.334125916764 -144.833565919718 -308.434656734862</f>
        <v>-920.60234857134401</v>
      </c>
      <c r="R2134">
        <f>-688.494240351467 -21.6835400866119 -103.010729908244</f>
        <v>-813.18851034632291</v>
      </c>
      <c r="S2134" t="s">
        <v>23471</v>
      </c>
      <c r="T2134" t="s">
        <v>23472</v>
      </c>
      <c r="U2134" t="s">
        <v>23473</v>
      </c>
      <c r="V2134">
        <f>-598.892292803968 -190.32460463197 -96.0755596288944</f>
        <v>-885.29245706483243</v>
      </c>
      <c r="W2134" t="s">
        <v>23474</v>
      </c>
      <c r="X2134" t="s">
        <v>23475</v>
      </c>
      <c r="Y2134" t="s">
        <v>23476</v>
      </c>
    </row>
    <row r="2135" spans="1:25" x14ac:dyDescent="0.3">
      <c r="A2135">
        <v>106700</v>
      </c>
      <c r="B2135" t="s">
        <v>23477</v>
      </c>
      <c r="C2135">
        <f>-643.762156798789 -105.793628373575 -98.5108478328759</f>
        <v>-848.06663300523985</v>
      </c>
      <c r="D2135">
        <f>-663.683906331399 -121.096793725092 -211.582237339515</f>
        <v>-996.36293739600603</v>
      </c>
      <c r="E2135">
        <f>-673.42636948533 -126.117317632623 -309.595186482087</f>
        <v>-1109.1388736000399</v>
      </c>
      <c r="F2135">
        <f>-679.752622615353 -127.727194247069 -398.452546394059</f>
        <v>-1205.932363256481</v>
      </c>
      <c r="G2135">
        <f>-683.239193689433 -126.284405695672 -487.469481117612</f>
        <v>-1296.993080502717</v>
      </c>
      <c r="H2135">
        <f>-685.09654281159 -121.098403918224 -611.930173825954</f>
        <v>-1418.1251205557678</v>
      </c>
      <c r="I2135">
        <f>-656.969701722844 -104.399989622182 -688.317757342793</f>
        <v>-1449.6874486878191</v>
      </c>
      <c r="J2135">
        <f>-695.716320326195 -98.1715607457108 -555.940012609591</f>
        <v>-1349.8278936814968</v>
      </c>
      <c r="K2135" t="s">
        <v>23478</v>
      </c>
      <c r="L2135" t="s">
        <v>23479</v>
      </c>
      <c r="M2135" t="s">
        <v>23480</v>
      </c>
      <c r="N2135">
        <f>-672.84203765698 -148.589481926083 -558.382307069014</f>
        <v>-1379.8138266520768</v>
      </c>
      <c r="O2135">
        <f>-617.722851406126 -272.404331734753 -535.405390224086</f>
        <v>-1425.5325733649649</v>
      </c>
      <c r="P2135">
        <f>-604.199647103376 -332.792066494015 -247.722131617849</f>
        <v>-1184.7138452152401</v>
      </c>
      <c r="Q2135">
        <f>-468.998527184831 -142.882538938835 -308.598235453928</f>
        <v>-920.47930157759401</v>
      </c>
      <c r="R2135">
        <f>-688.711273828986 -21.5085004182913 -103.005403335924</f>
        <v>-813.22517758320134</v>
      </c>
      <c r="S2135" t="s">
        <v>23481</v>
      </c>
      <c r="T2135" t="s">
        <v>23482</v>
      </c>
      <c r="U2135" t="s">
        <v>23483</v>
      </c>
      <c r="V2135">
        <f>-598.943327970051 -190.305296874274 -96.083838899609</f>
        <v>-885.33246374393389</v>
      </c>
      <c r="W2135" t="s">
        <v>23484</v>
      </c>
      <c r="X2135" t="s">
        <v>23485</v>
      </c>
      <c r="Y2135" t="s">
        <v>23486</v>
      </c>
    </row>
    <row r="2136" spans="1:25" x14ac:dyDescent="0.3">
      <c r="A2136">
        <v>106750</v>
      </c>
      <c r="B2136" t="s">
        <v>23487</v>
      </c>
      <c r="C2136">
        <f>-643.792935046951 -105.778617414394 -98.5049461159609</f>
        <v>-848.07649857730598</v>
      </c>
      <c r="D2136">
        <f>-663.70524053084 -121.095876703765 -211.57613828521</f>
        <v>-996.37725551981498</v>
      </c>
      <c r="E2136">
        <f>-673.440837029573 -126.13423256939 -309.588892048287</f>
        <v>-1109.1639616472498</v>
      </c>
      <c r="F2136">
        <f>-679.761168448688 -127.763088352609 -398.446239918441</f>
        <v>-1205.9704967197379</v>
      </c>
      <c r="G2136">
        <f>-683.242192965467 -126.341911139808 -487.463696140098</f>
        <v>-1297.0478002453729</v>
      </c>
      <c r="H2136">
        <f>-685.092235986177 -121.188875735038 -611.925916439525</f>
        <v>-1418.20702816074</v>
      </c>
      <c r="I2136">
        <f>-656.985448608491 -104.418493318699 -688.305148181394</f>
        <v>-1449.709090108584</v>
      </c>
      <c r="J2136">
        <f>-695.737939020193 -98.2574476731154 -555.942658661516</f>
        <v>-1349.9380453548245</v>
      </c>
      <c r="K2136" t="s">
        <v>23488</v>
      </c>
      <c r="L2136" t="s">
        <v>23489</v>
      </c>
      <c r="M2136" t="s">
        <v>23490</v>
      </c>
      <c r="N2136">
        <f>-672.81828218296 -148.655503383553 -558.369918204586</f>
        <v>-1379.8437037710992</v>
      </c>
      <c r="O2136">
        <f>-617.544410642129 -272.405388078259 -535.344033418241</f>
        <v>-1425.2938321386291</v>
      </c>
      <c r="P2136">
        <f>-604.20880182241 -332.377235784063 -247.56503919934</f>
        <v>-1184.1510768058129</v>
      </c>
      <c r="Q2136">
        <f>-469.356778737497 -142.206373597999 -308.399647583199</f>
        <v>-919.96279991869494</v>
      </c>
      <c r="R2136">
        <f>-688.795697905226 -21.4852229334474 -102.992208571589</f>
        <v>-813.27312941026241</v>
      </c>
      <c r="S2136" t="s">
        <v>23491</v>
      </c>
      <c r="T2136" t="s">
        <v>23492</v>
      </c>
      <c r="U2136" t="s">
        <v>23493</v>
      </c>
      <c r="V2136">
        <f>-598.878348919269 -190.311295952873 -96.089689503354</f>
        <v>-885.27933437549598</v>
      </c>
      <c r="W2136" t="s">
        <v>23494</v>
      </c>
      <c r="X2136" t="s">
        <v>23495</v>
      </c>
      <c r="Y2136" t="s">
        <v>23496</v>
      </c>
    </row>
    <row r="2137" spans="1:25" x14ac:dyDescent="0.3">
      <c r="A2137">
        <v>106800</v>
      </c>
      <c r="B2137" t="s">
        <v>23497</v>
      </c>
      <c r="C2137">
        <f>-643.721708454019 -105.547920545803 -98.513127860027</f>
        <v>-847.78275685984897</v>
      </c>
      <c r="D2137">
        <f>-663.56246664336 -120.855260398186 -211.598241800538</f>
        <v>-996.01596884208402</v>
      </c>
      <c r="E2137">
        <f>-673.22162995855 -125.898763251136 -309.61818356328</f>
        <v>-1108.7385767729661</v>
      </c>
      <c r="F2137">
        <f>-679.467517095956 -127.538112770098 -398.480686692622</f>
        <v>-1205.486316558676</v>
      </c>
      <c r="G2137">
        <f>-682.869727625037 -126.132045701611 -487.501505447724</f>
        <v>-1296.5032787743719</v>
      </c>
      <c r="H2137">
        <f>-684.605706322672 -121.004529687393 -611.966355365815</f>
        <v>-1417.5765913758801</v>
      </c>
      <c r="I2137">
        <f>-656.49404291643 -104.063425975057 -688.30606213578</f>
        <v>-1448.8635310272671</v>
      </c>
      <c r="J2137">
        <f>-695.370982606335 -98.0927952283025 -555.997743260791</f>
        <v>-1349.4615210954285</v>
      </c>
      <c r="K2137" t="s">
        <v>23498</v>
      </c>
      <c r="L2137" t="s">
        <v>23499</v>
      </c>
      <c r="M2137" t="s">
        <v>23500</v>
      </c>
      <c r="N2137">
        <f>-672.312560976686 -148.429009356461 -558.39311857653</f>
        <v>-1379.1346889096769</v>
      </c>
      <c r="O2137">
        <f>-616.724399528409 -272.020605814542 -535.271994799815</f>
        <v>-1424.0170001427659</v>
      </c>
      <c r="P2137">
        <f>-603.01091862535 -331.524562105123 -247.413650464272</f>
        <v>-1181.949131194745</v>
      </c>
      <c r="Q2137">
        <f>-469.061563359741 -140.616586232972 -307.933046686916</f>
        <v>-917.61119627962898</v>
      </c>
      <c r="R2137">
        <f>-688.828554249151 -21.3400862677297 -102.985562190042</f>
        <v>-813.15420270692266</v>
      </c>
      <c r="S2137" t="s">
        <v>23501</v>
      </c>
      <c r="T2137" t="s">
        <v>23502</v>
      </c>
      <c r="U2137" t="s">
        <v>23503</v>
      </c>
      <c r="V2137">
        <f>-598.726250797256 -189.945529245327 -96.1159071150375</f>
        <v>-884.78768715762044</v>
      </c>
      <c r="W2137" t="s">
        <v>23504</v>
      </c>
      <c r="X2137" t="s">
        <v>23505</v>
      </c>
      <c r="Y2137" t="s">
        <v>23506</v>
      </c>
    </row>
    <row r="2138" spans="1:25" x14ac:dyDescent="0.3">
      <c r="A2138">
        <v>106850</v>
      </c>
      <c r="B2138" t="s">
        <v>23507</v>
      </c>
      <c r="C2138">
        <f>-643.691709932915 -105.345797330563 -98.5298622985059</f>
        <v>-847.56736956198392</v>
      </c>
      <c r="D2138">
        <f>-663.497386681217 -120.666176864291 -211.619426997758</f>
        <v>-995.7829905432659</v>
      </c>
      <c r="E2138">
        <f>-673.110100730624 -125.709682878091 -309.643924083665</f>
        <v>-1108.46370769238</v>
      </c>
      <c r="F2138">
        <f>-679.30776629661 -127.344584514476 -398.509931313132</f>
        <v>-1205.1622821242179</v>
      </c>
      <c r="G2138">
        <f>-682.656094990999 -125.928818558587 -487.532503060905</f>
        <v>-1296.1174166104911</v>
      </c>
      <c r="H2138">
        <f>-684.311143516888 -120.782119561205 -611.997716831002</f>
        <v>-1417.090979909095</v>
      </c>
      <c r="I2138">
        <f>-656.182281685761 -103.755578064869 -688.312130796051</f>
        <v>-1448.2499905466811</v>
      </c>
      <c r="J2138">
        <f>-695.149182405224 -97.8956260369305 -556.032910359292</f>
        <v>-1349.0777188014465</v>
      </c>
      <c r="K2138" t="s">
        <v>23508</v>
      </c>
      <c r="L2138" t="s">
        <v>23509</v>
      </c>
      <c r="M2138" t="s">
        <v>23510</v>
      </c>
      <c r="N2138">
        <f>-672.016416716834 -148.198165247476 -558.420587034373</f>
        <v>-1378.6351689986832</v>
      </c>
      <c r="O2138">
        <f>-616.243942943333 -271.686771991627 -535.217026286625</f>
        <v>-1423.147741221585</v>
      </c>
      <c r="P2138">
        <f>-602.344846531804 -330.904460533202 -247.308499860928</f>
        <v>-1180.5578069259341</v>
      </c>
      <c r="Q2138">
        <f>-468.832078806247 -139.646785983813 -307.688122266859</f>
        <v>-916.16698705691897</v>
      </c>
      <c r="R2138">
        <f>-688.866675809708 -21.1659384535369 -103.004548283099</f>
        <v>-813.03716254634389</v>
      </c>
      <c r="S2138" t="s">
        <v>23511</v>
      </c>
      <c r="T2138" t="s">
        <v>23512</v>
      </c>
      <c r="U2138" t="s">
        <v>23513</v>
      </c>
      <c r="V2138">
        <f>-598.619486520649 -189.737920530572 -96.1149314177974</f>
        <v>-884.4723384690185</v>
      </c>
      <c r="W2138" t="s">
        <v>23514</v>
      </c>
      <c r="X2138" t="s">
        <v>23515</v>
      </c>
      <c r="Y2138" t="s">
        <v>23516</v>
      </c>
    </row>
    <row r="2139" spans="1:25" x14ac:dyDescent="0.3">
      <c r="A2139">
        <v>106900</v>
      </c>
      <c r="B2139" t="s">
        <v>23517</v>
      </c>
      <c r="C2139">
        <f>-643.530970678406 -105.008194571867 -98.5623531817953</f>
        <v>-847.10151843206825</v>
      </c>
      <c r="D2139">
        <f>-663.243051411133 -120.330780859293 -211.667902417279</f>
        <v>-995.24173468770505</v>
      </c>
      <c r="E2139">
        <f>-672.750665601544 -125.376017308579 -309.702749672841</f>
        <v>-1107.829432582964</v>
      </c>
      <c r="F2139">
        <f>-678.844992067419 -127.011739040341 -398.575768878801</f>
        <v>-1204.432499986561</v>
      </c>
      <c r="G2139">
        <f>-682.083298580709 -125.594341853661 -487.602469258638</f>
        <v>-1295.2801096930079</v>
      </c>
      <c r="H2139">
        <f>-683.578919877055 -120.441497896767 -612.069371845204</f>
        <v>-1416.0897896190261</v>
      </c>
      <c r="I2139">
        <f>-655.426143422344 -103.265590645076 -688.341594591528</f>
        <v>-1447.033328658948</v>
      </c>
      <c r="J2139">
        <f>-694.572158179374 -97.5962933369907 -556.118049895319</f>
        <v>-1348.2865014116837</v>
      </c>
      <c r="K2139" t="s">
        <v>23518</v>
      </c>
      <c r="L2139" t="s">
        <v>23519</v>
      </c>
      <c r="M2139" t="s">
        <v>23520</v>
      </c>
      <c r="N2139">
        <f>-671.269412046661 -147.821656611801 -558.47714015814</f>
        <v>-1377.568208816602</v>
      </c>
      <c r="O2139">
        <f>-615.128790900979 -271.114875054821 -535.107697151307</f>
        <v>-1421.3513631071069</v>
      </c>
      <c r="P2139">
        <f>-601.402038605552 -329.935127172935 -247.10950448971</f>
        <v>-1178.4466702681968</v>
      </c>
      <c r="Q2139">
        <f>-468.44962875837 -138.158146345053 -307.077193472496</f>
        <v>-913.68496857591902</v>
      </c>
      <c r="R2139">
        <f>-688.820402403912 -20.8741183116208 -103.041146468602</f>
        <v>-812.73566718413485</v>
      </c>
      <c r="S2139" t="s">
        <v>23521</v>
      </c>
      <c r="T2139" t="s">
        <v>23522</v>
      </c>
      <c r="U2139" t="s">
        <v>23523</v>
      </c>
      <c r="V2139">
        <f>-598.357194110871 -189.374157363025 -96.1488603773687</f>
        <v>-883.88021185126468</v>
      </c>
      <c r="W2139" t="s">
        <v>23524</v>
      </c>
      <c r="X2139" t="s">
        <v>23525</v>
      </c>
      <c r="Y2139" t="s">
        <v>23526</v>
      </c>
    </row>
    <row r="2140" spans="1:25" x14ac:dyDescent="0.3">
      <c r="A2140">
        <v>106950</v>
      </c>
      <c r="B2140" t="s">
        <v>23527</v>
      </c>
      <c r="C2140">
        <f>-643.42623882791 -104.841120835192 -98.5867691391805</f>
        <v>-846.8541288022825</v>
      </c>
      <c r="D2140">
        <f>-663.079750695361 -120.156957981613 -211.703509992646</f>
        <v>-994.94021866961998</v>
      </c>
      <c r="E2140">
        <f>-672.532758680604 -125.20950000897 -309.743141508098</f>
        <v>-1107.4854001976721</v>
      </c>
      <c r="F2140">
        <f>-678.576726346652 -126.856807840585 -398.619470250501</f>
        <v>-1204.0530044377381</v>
      </c>
      <c r="G2140">
        <f>-681.76428415235 -125.455245687013 -487.648168253697</f>
        <v>-1294.86769809306</v>
      </c>
      <c r="H2140">
        <f>-683.189145107265 -120.328928579171 -612.117017984266</f>
        <v>-1415.635091670702</v>
      </c>
      <c r="I2140">
        <f>-655.027882788106 -103.10114743508 -688.374431328639</f>
        <v>-1446.503461551825</v>
      </c>
      <c r="J2140">
        <f>-694.245803779778 -97.4865491798128 -556.176973109641</f>
        <v>-1347.9093260692318</v>
      </c>
      <c r="K2140" t="s">
        <v>23528</v>
      </c>
      <c r="L2140" t="s">
        <v>23529</v>
      </c>
      <c r="M2140" t="s">
        <v>23530</v>
      </c>
      <c r="N2140">
        <f>-670.878378177558 -147.682957478841 -558.511906071075</f>
        <v>-1377.0732417274739</v>
      </c>
      <c r="O2140">
        <f>-614.624975754779 -270.899947864733 -535.04318902012</f>
        <v>-1420.5681126396321</v>
      </c>
      <c r="P2140">
        <f>-601.127249732283 -329.385176344559 -246.965998888125</f>
        <v>-1177.478424964967</v>
      </c>
      <c r="Q2140">
        <f>-468.253650640294 -137.56992954247 -306.985872256858</f>
        <v>-912.80945243962196</v>
      </c>
      <c r="R2140">
        <f>-688.757976375256 -20.7330484406693 -103.06253298523</f>
        <v>-812.55355780115542</v>
      </c>
      <c r="S2140" t="s">
        <v>23531</v>
      </c>
      <c r="T2140" t="s">
        <v>23532</v>
      </c>
      <c r="U2140" t="s">
        <v>23533</v>
      </c>
      <c r="V2140">
        <f>-598.234041705481 -189.189591416249 -96.1609070905859</f>
        <v>-883.5845402123158</v>
      </c>
      <c r="W2140" t="s">
        <v>23534</v>
      </c>
      <c r="X2140" t="s">
        <v>23535</v>
      </c>
      <c r="Y2140" t="s">
        <v>23536</v>
      </c>
    </row>
    <row r="2141" spans="1:25" x14ac:dyDescent="0.3">
      <c r="A2141">
        <v>107000</v>
      </c>
      <c r="B2141" t="s">
        <v>23537</v>
      </c>
      <c r="C2141">
        <f>-643.064302114503 -104.638210120772 -98.6248349478496</f>
        <v>-846.32734718312463</v>
      </c>
      <c r="D2141">
        <f>-662.630342043318 -119.930979123026 -211.759918261697</f>
        <v>-994.32123942804105</v>
      </c>
      <c r="E2141">
        <f>-671.990082660805 -125.007863252019 -309.807223953322</f>
        <v>-1106.8051698661461</v>
      </c>
      <c r="F2141">
        <f>-677.94374128452 -126.694541347814 -398.688801731512</f>
        <v>-1203.3270843638461</v>
      </c>
      <c r="G2141">
        <f>-681.036277155735 -125.349025601228 -487.721895443386</f>
        <v>-1294.1071982003491</v>
      </c>
      <c r="H2141">
        <f>-682.324086581191 -120.317665227516 -612.196026157404</f>
        <v>-1414.8377779661109</v>
      </c>
      <c r="I2141">
        <f>-654.114081029798 -103.04784490715 -688.425868052825</f>
        <v>-1445.5877939897728</v>
      </c>
      <c r="J2141">
        <f>-693.479938036001 -97.4501291221684 -556.285996103495</f>
        <v>-1347.2160632616644</v>
      </c>
      <c r="K2141" t="s">
        <v>23538</v>
      </c>
      <c r="L2141" t="s">
        <v>23539</v>
      </c>
      <c r="M2141" t="s">
        <v>23540</v>
      </c>
      <c r="N2141">
        <f>-670.034804236652 -147.613265647352 -558.556157351592</f>
        <v>-1376.2042272355961</v>
      </c>
      <c r="O2141">
        <f>-613.65496853796 -270.728973374192 -534.857910183468</f>
        <v>-1419.2418520956201</v>
      </c>
      <c r="P2141">
        <f>-600.511122158268 -328.662077329386 -246.65268771255</f>
        <v>-1175.8258872002041</v>
      </c>
      <c r="Q2141">
        <f>-467.479556591459 -137.00206467018 -306.818464981097</f>
        <v>-911.30008624273603</v>
      </c>
      <c r="R2141">
        <f>-688.400851299176 -20.5748417123727 -103.10679239109</f>
        <v>-812.08248540263878</v>
      </c>
      <c r="S2141" t="s">
        <v>23541</v>
      </c>
      <c r="T2141" t="s">
        <v>23542</v>
      </c>
      <c r="U2141" t="s">
        <v>23543</v>
      </c>
      <c r="V2141">
        <f>-597.78194837883 -188.983440467533 -96.1902285425537</f>
        <v>-882.95561738891661</v>
      </c>
      <c r="W2141" t="s">
        <v>23544</v>
      </c>
      <c r="X2141" t="s">
        <v>23545</v>
      </c>
      <c r="Y2141" t="s">
        <v>23546</v>
      </c>
    </row>
    <row r="2142" spans="1:25" x14ac:dyDescent="0.3">
      <c r="A2142">
        <v>107050</v>
      </c>
      <c r="B2142" t="s">
        <v>23547</v>
      </c>
      <c r="C2142">
        <f>-642.792793658725 -104.529592979403 -98.6403947830814</f>
        <v>-845.96278142120946</v>
      </c>
      <c r="D2142">
        <f>-662.320882121497 -119.822739612032 -211.781804423977</f>
        <v>-993.92542615750608</v>
      </c>
      <c r="E2142">
        <f>-671.632268418979 -124.919424763214 -309.832759971959</f>
        <v>-1106.384453154152</v>
      </c>
      <c r="F2142">
        <f>-677.536322297744 -126.631954704029 -398.71727267972</f>
        <v>-1202.8855496814931</v>
      </c>
      <c r="G2142">
        <f>-680.573511834559 -125.319829814891 -487.75258481565</f>
        <v>-1293.6459264651</v>
      </c>
      <c r="H2142">
        <f>-681.778263528096 -120.343162525836 -612.229870948917</f>
        <v>-1414.3512970028489</v>
      </c>
      <c r="I2142">
        <f>-653.529601680797 -103.069527172599 -688.44441790576</f>
        <v>-1445.043546759156</v>
      </c>
      <c r="J2142">
        <f>-692.981801282563 -97.4560047811224 -556.337469523464</f>
        <v>-1346.7752755871493</v>
      </c>
      <c r="K2142" t="s">
        <v>23548</v>
      </c>
      <c r="L2142" t="s">
        <v>23549</v>
      </c>
      <c r="M2142" t="s">
        <v>23550</v>
      </c>
      <c r="N2142">
        <f>-669.514360930171 -147.610303500422 -558.569772359634</f>
        <v>-1375.694436790227</v>
      </c>
      <c r="O2142">
        <f>-613.109684367852 -270.692462554486 -534.774123270119</f>
        <v>-1418.5762701924568</v>
      </c>
      <c r="P2142">
        <f>-600.025363618544 -328.417313787207 -246.524620626157</f>
        <v>-1174.9672980319081</v>
      </c>
      <c r="Q2142">
        <f>-466.808403408679 -136.903042699841 -306.744145531898</f>
        <v>-910.45559164041811</v>
      </c>
      <c r="R2142">
        <f>-688.165440644573 -20.4780284986314 -103.128011408099</f>
        <v>-811.7714805513034</v>
      </c>
      <c r="S2142" t="s">
        <v>23551</v>
      </c>
      <c r="T2142" t="s">
        <v>23552</v>
      </c>
      <c r="U2142" t="s">
        <v>23553</v>
      </c>
      <c r="V2142">
        <f>-597.51148481747 -188.815435340596 -96.207690383021</f>
        <v>-882.53461054108698</v>
      </c>
      <c r="W2142" t="s">
        <v>23554</v>
      </c>
      <c r="X2142" t="s">
        <v>23555</v>
      </c>
      <c r="Y2142" t="s">
        <v>23556</v>
      </c>
    </row>
    <row r="2143" spans="1:25" x14ac:dyDescent="0.3">
      <c r="A2143">
        <v>107100</v>
      </c>
      <c r="B2143" t="s">
        <v>23557</v>
      </c>
      <c r="C2143">
        <f>-642.235406850807 -104.333286067018 -98.6698562444089</f>
        <v>-845.23854916223388</v>
      </c>
      <c r="D2143">
        <f>-661.692043224575 -119.60695149711 -211.826273021762</f>
        <v>-993.12526774344701</v>
      </c>
      <c r="E2143">
        <f>-670.912520364713 -124.737562862115 -309.88409765023</f>
        <v>-1105.5341808770579</v>
      </c>
      <c r="F2143">
        <f>-676.723608081046 -126.500743979505 -398.773676848173</f>
        <v>-1201.9980289087241</v>
      </c>
      <c r="G2143">
        <f>-679.65774840979 -125.258922530026 -487.813439321149</f>
        <v>-1292.7301102609649</v>
      </c>
      <c r="H2143">
        <f>-680.7084086815 -120.401058380453 -612.296752797523</f>
        <v>-1413.4062198594761</v>
      </c>
      <c r="I2143">
        <f>-652.388019920254 -103.104454459503 -688.479545153714</f>
        <v>-1443.972019533471</v>
      </c>
      <c r="J2143">
        <f>-691.99238522317 -97.4657914934342 -556.440224707541</f>
        <v>-1345.898401424145</v>
      </c>
      <c r="K2143" t="s">
        <v>23558</v>
      </c>
      <c r="L2143" t="s">
        <v>23559</v>
      </c>
      <c r="M2143" t="s">
        <v>23560</v>
      </c>
      <c r="N2143">
        <f>-668.499829694073 -147.611786399512 -558.59541190294</f>
        <v>-1374.7070279965251</v>
      </c>
      <c r="O2143">
        <f>-612.049175051514 -270.643491656325 -534.609066134325</f>
        <v>-1417.3017328421638</v>
      </c>
      <c r="P2143">
        <f>-599.191505345119 -327.876113319599 -246.251009122585</f>
        <v>-1173.3186277873031</v>
      </c>
      <c r="Q2143">
        <f>-465.584492300771 -136.684316529013 -306.630728117075</f>
        <v>-908.89953694685903</v>
      </c>
      <c r="R2143">
        <f>-687.596565889572 -20.3693285661286 -103.162699933107</f>
        <v>-811.12859438880764</v>
      </c>
      <c r="S2143" t="s">
        <v>23561</v>
      </c>
      <c r="T2143" t="s">
        <v>23562</v>
      </c>
      <c r="U2143" t="s">
        <v>23563</v>
      </c>
      <c r="V2143">
        <f>-596.972720812193 -188.542619247778 -96.2146657305706</f>
        <v>-881.73000579054155</v>
      </c>
      <c r="W2143" t="s">
        <v>23564</v>
      </c>
      <c r="X2143" t="s">
        <v>23565</v>
      </c>
      <c r="Y2143" t="s">
        <v>23566</v>
      </c>
    </row>
    <row r="2144" spans="1:25" x14ac:dyDescent="0.3">
      <c r="A2144">
        <v>107150</v>
      </c>
      <c r="B2144" t="s">
        <v>23567</v>
      </c>
      <c r="C2144">
        <f>-641.908635275127 -104.304940032128 -98.6723752217708</f>
        <v>-844.88595052902588</v>
      </c>
      <c r="D2144">
        <f>-661.325672756951 -119.569835260532 -211.836804293416</f>
        <v>-992.73231231089903</v>
      </c>
      <c r="E2144">
        <f>-670.505987680848 -124.726227135611 -309.896869104056</f>
        <v>-1105.1290839205149</v>
      </c>
      <c r="F2144">
        <f>-676.279119412732 -126.525761462848 -398.788231108868</f>
        <v>-1201.5931119844481</v>
      </c>
      <c r="G2144">
        <f>-679.174037252551 -125.333268021117 -487.829992624701</f>
        <v>-1292.3372978983689</v>
      </c>
      <c r="H2144">
        <f>-680.169130583226 -120.557444322347 -612.317032575223</f>
        <v>-1413.043607480796</v>
      </c>
      <c r="I2144">
        <f>-651.827155035993 -103.243232997571 -688.487813497662</f>
        <v>-1443.5582015312261</v>
      </c>
      <c r="J2144">
        <f>-691.481088184012 -97.5868046285003 -556.480672358329</f>
        <v>-1345.5485651708414</v>
      </c>
      <c r="K2144" t="s">
        <v>23568</v>
      </c>
      <c r="L2144" t="s">
        <v>23569</v>
      </c>
      <c r="M2144" t="s">
        <v>23570</v>
      </c>
      <c r="N2144">
        <f>-667.981381678836 -147.731291093036 -558.592283214888</f>
        <v>-1374.30495598676</v>
      </c>
      <c r="O2144">
        <f>-611.511847221329 -270.729960568509 -534.51637866674</f>
        <v>-1416.7581864565782</v>
      </c>
      <c r="P2144">
        <f>-598.766662544698 -327.73813378822 -246.10904306892</f>
        <v>-1172.613839401838</v>
      </c>
      <c r="Q2144">
        <f>-464.956332424941 -136.697119218144 -306.515888684183</f>
        <v>-908.16934032726795</v>
      </c>
      <c r="R2144">
        <f>-687.240199745717 -20.3568586309375 -103.174845762608</f>
        <v>-810.77190413926246</v>
      </c>
      <c r="S2144" t="s">
        <v>23571</v>
      </c>
      <c r="T2144" t="s">
        <v>23572</v>
      </c>
      <c r="U2144" t="s">
        <v>23573</v>
      </c>
      <c r="V2144">
        <f>-596.659869438511 -188.478592059953 -96.219463165218</f>
        <v>-881.35792466368207</v>
      </c>
      <c r="W2144" t="s">
        <v>23574</v>
      </c>
      <c r="X2144" t="s">
        <v>23575</v>
      </c>
      <c r="Y2144" t="s">
        <v>23576</v>
      </c>
    </row>
    <row r="2145" spans="1:25" x14ac:dyDescent="0.3">
      <c r="A2145">
        <v>107200</v>
      </c>
      <c r="B2145" t="s">
        <v>23577</v>
      </c>
      <c r="C2145">
        <f>-641.393277735283 -104.259047571614 -98.7018888267721</f>
        <v>-844.35421413366919</v>
      </c>
      <c r="D2145">
        <f>-660.734779587322 -119.516415626828 -211.880137359824</f>
        <v>-992.13133257397408</v>
      </c>
      <c r="E2145">
        <f>-669.814717251061 -124.763768591475 -309.94491011231</f>
        <v>-1104.5233959548459</v>
      </c>
      <c r="F2145">
        <f>-675.484246705382 -126.684169413783 -398.84036269212</f>
        <v>-1201.0087788112851</v>
      </c>
      <c r="G2145">
        <f>-678.263728894646 -125.651153730655 -487.887884945044</f>
        <v>-1291.8027675703449</v>
      </c>
      <c r="H2145">
        <f>-679.085723309655 -121.138236732476 -612.385918115835</f>
        <v>-1412.609878157966</v>
      </c>
      <c r="I2145">
        <f>-650.719511901043 -103.760011480588 -688.533084033751</f>
        <v>-1443.012607415382</v>
      </c>
      <c r="J2145">
        <f>-690.480910461186 -98.0524302148402 -556.613972780348</f>
        <v>-1345.1473134563744</v>
      </c>
      <c r="K2145" t="s">
        <v>23578</v>
      </c>
      <c r="L2145" t="s">
        <v>23579</v>
      </c>
      <c r="M2145" t="s">
        <v>23580</v>
      </c>
      <c r="N2145">
        <f>-666.967059911385 -148.195903760832 -558.586938252435</f>
        <v>-1373.749901924652</v>
      </c>
      <c r="O2145">
        <f>-610.478043385837 -271.151487868193 -534.285631490497</f>
        <v>-1415.9151627445272</v>
      </c>
      <c r="P2145">
        <f>-597.893295958643 -327.507885651232 -245.743083334008</f>
        <v>-1171.1442649438829</v>
      </c>
      <c r="Q2145">
        <f>-463.637662420836 -136.852514782682 -306.379788242933</f>
        <v>-906.86996544645103</v>
      </c>
      <c r="R2145">
        <f>-686.765419701005 -20.263591993941 -103.242340700276</f>
        <v>-810.27135239522204</v>
      </c>
      <c r="S2145" t="s">
        <v>23581</v>
      </c>
      <c r="T2145" t="s">
        <v>23582</v>
      </c>
      <c r="U2145" t="s">
        <v>23583</v>
      </c>
      <c r="V2145">
        <f>-596.122165334607 -188.46979124004 -96.2211780932623</f>
        <v>-880.81313466790925</v>
      </c>
      <c r="W2145" t="s">
        <v>23584</v>
      </c>
      <c r="X2145" t="s">
        <v>23585</v>
      </c>
      <c r="Y2145" t="s">
        <v>23586</v>
      </c>
    </row>
    <row r="2146" spans="1:25" x14ac:dyDescent="0.3">
      <c r="A2146">
        <v>107250</v>
      </c>
      <c r="B2146" t="s">
        <v>23587</v>
      </c>
      <c r="C2146">
        <f>-641.118472909999 -104.383897354831 -98.7058775256315</f>
        <v>-844.20824779046154</v>
      </c>
      <c r="D2146">
        <f>-660.42222461694 -119.646573166275 -211.889958452348</f>
        <v>-991.95875623556287</v>
      </c>
      <c r="E2146">
        <f>-669.435093659068 -124.920207240096 -309.959365516701</f>
        <v>-1104.3146664158651</v>
      </c>
      <c r="F2146">
        <f>-675.030809806735 -126.872983090707 -398.858806231428</f>
        <v>-1200.7625991288699</v>
      </c>
      <c r="G2146">
        <f>-677.723900556986 -125.880371802665 -487.909460485405</f>
        <v>-1291.513732845056</v>
      </c>
      <c r="H2146">
        <f>-678.412332955654 -121.432247500365 -612.410578911498</f>
        <v>-1412.2551593675171</v>
      </c>
      <c r="I2146">
        <f>-650.054249749505 -103.952299901308 -688.537462743623</f>
        <v>-1442.5440123944359</v>
      </c>
      <c r="J2146">
        <f>-689.886899565718 -98.3265861316639 -556.663224416617</f>
        <v>-1344.8767101139988</v>
      </c>
      <c r="K2146" t="s">
        <v>23588</v>
      </c>
      <c r="L2146" t="s">
        <v>23589</v>
      </c>
      <c r="M2146" t="s">
        <v>23590</v>
      </c>
      <c r="N2146">
        <f>-666.331890221087 -148.452733440953 -558.584291340787</f>
        <v>-1373.368915002827</v>
      </c>
      <c r="O2146">
        <f>-609.814359701716 -271.376686118777 -534.178944237854</f>
        <v>-1415.369990058347</v>
      </c>
      <c r="P2146">
        <f>-597.44464006372 -327.398742544666 -245.562025256113</f>
        <v>-1170.405407864499</v>
      </c>
      <c r="Q2146">
        <f>-462.932166647342 -136.960977002195 -306.313455234415</f>
        <v>-906.20659888395198</v>
      </c>
      <c r="R2146">
        <f>-686.534392693496 -20.3495429896125 -103.264259744475</f>
        <v>-810.14819542758346</v>
      </c>
      <c r="S2146" t="s">
        <v>23591</v>
      </c>
      <c r="T2146" t="s">
        <v>23592</v>
      </c>
      <c r="U2146" t="s">
        <v>23593</v>
      </c>
      <c r="V2146">
        <f>-595.78056216562 -188.663844180686 -96.2151206386563</f>
        <v>-880.65952698496244</v>
      </c>
      <c r="W2146" t="s">
        <v>23594</v>
      </c>
      <c r="X2146" t="s">
        <v>23595</v>
      </c>
      <c r="Y2146" t="s">
        <v>23596</v>
      </c>
    </row>
    <row r="2147" spans="1:25" x14ac:dyDescent="0.3">
      <c r="A2147">
        <v>107300</v>
      </c>
      <c r="B2147" t="s">
        <v>23597</v>
      </c>
      <c r="C2147">
        <f>-640.693450322521 -104.548500700714 -98.7418798564353</f>
        <v>-843.98383087967034</v>
      </c>
      <c r="D2147">
        <f>-659.892922240312 -119.839178899968 -211.939917281756</f>
        <v>-991.6720184220361</v>
      </c>
      <c r="E2147">
        <f>-668.738082520854 -125.167662743243 -310.021542915147</f>
        <v>-1103.927288179244</v>
      </c>
      <c r="F2147">
        <f>-674.151261679039 -127.18314181787 -398.930962809463</f>
        <v>-1200.265366306372</v>
      </c>
      <c r="G2147">
        <f>-676.632077766198 -126.265375284536 -487.988551333589</f>
        <v>-1290.8860043843231</v>
      </c>
      <c r="H2147">
        <f>-676.993319337035 -121.934322519108 -612.495190114883</f>
        <v>-1411.422831971026</v>
      </c>
      <c r="I2147">
        <f>-648.67082446709 -104.192268139804 -688.574813290109</f>
        <v>-1441.437905897003</v>
      </c>
      <c r="J2147">
        <f>-688.683115322137 -98.8086362664743 -556.800916953804</f>
        <v>-1344.2926685424154</v>
      </c>
      <c r="K2147" t="s">
        <v>23598</v>
      </c>
      <c r="L2147" t="s">
        <v>23599</v>
      </c>
      <c r="M2147" t="s">
        <v>23600</v>
      </c>
      <c r="N2147">
        <f>-664.985556552112 -148.87176499248 -558.611087237299</f>
        <v>-1372.468408781891</v>
      </c>
      <c r="O2147">
        <f>-608.170061956248 -271.623423810247 -534.046249659875</f>
        <v>-1413.83973542637</v>
      </c>
      <c r="P2147">
        <f>-596.070857341948 -327.615394567112 -245.412059988935</f>
        <v>-1169.098311897995</v>
      </c>
      <c r="Q2147">
        <f>-461.814132065867 -137.011475667604 -306.207726489157</f>
        <v>-905.0333342226279</v>
      </c>
      <c r="R2147">
        <f>-686.23795492138 -20.6151354233002 -103.305277390064</f>
        <v>-810.15836773474427</v>
      </c>
      <c r="S2147" t="s">
        <v>23601</v>
      </c>
      <c r="T2147" t="s">
        <v>23602</v>
      </c>
      <c r="U2147" t="s">
        <v>23603</v>
      </c>
      <c r="V2147">
        <f>-595.23736788507 -188.6671478732 -96.2084235904131</f>
        <v>-880.11293934868308</v>
      </c>
      <c r="W2147" t="s">
        <v>23604</v>
      </c>
      <c r="X2147" t="s">
        <v>23605</v>
      </c>
      <c r="Y2147" t="s">
        <v>23606</v>
      </c>
    </row>
    <row r="2148" spans="1:25" x14ac:dyDescent="0.3">
      <c r="A2148">
        <v>107350</v>
      </c>
      <c r="B2148" t="s">
        <v>23607</v>
      </c>
      <c r="C2148">
        <f>-640.556262951863 -104.666746247391 -98.7406712689902</f>
        <v>-843.96368046824421</v>
      </c>
      <c r="D2148">
        <f>-659.680831042536 -119.984571208864 -211.947688724009</f>
        <v>-991.61309097540914</v>
      </c>
      <c r="E2148">
        <f>-668.457836541978 -125.325763500645 -310.03492886677</f>
        <v>-1103.8185289093931</v>
      </c>
      <c r="F2148">
        <f>-673.807882540636 -127.348979852975 -398.947832080097</f>
        <v>-1200.1046944737082</v>
      </c>
      <c r="G2148">
        <f>-676.22408020377 -126.434661734768 -488.007227805275</f>
        <v>-1290.6659697438131</v>
      </c>
      <c r="H2148">
        <f>-676.494074829604 -122.103728885141 -612.514119705845</f>
        <v>-1411.1119234205898</v>
      </c>
      <c r="I2148">
        <f>-648.233029473655 -104.195922654472 -688.577681420845</f>
        <v>-1441.0066335489721</v>
      </c>
      <c r="J2148">
        <f>-688.277894805944 -99.003207956427 -556.829142337452</f>
        <v>-1344.110245099823</v>
      </c>
      <c r="K2148" t="s">
        <v>23608</v>
      </c>
      <c r="L2148" t="s">
        <v>23609</v>
      </c>
      <c r="M2148" t="s">
        <v>23610</v>
      </c>
      <c r="N2148">
        <f>-664.472663053949 -149.015905949159 -558.620480781416</f>
        <v>-1372.1090497845239</v>
      </c>
      <c r="O2148">
        <f>-607.382027735963 -271.634827419643 -534.034409171281</f>
        <v>-1413.0512643268871</v>
      </c>
      <c r="P2148">
        <f>-595.187848039279 -327.847871830732 -245.447258095276</f>
        <v>-1168.4829779652871</v>
      </c>
      <c r="Q2148">
        <f>-461.48197218487 -136.806313639606 -306.083100017141</f>
        <v>-904.37138584161698</v>
      </c>
      <c r="R2148">
        <f>-686.257257057655 -20.8079809508358 -103.314862332583</f>
        <v>-810.38010034107378</v>
      </c>
      <c r="S2148" t="s">
        <v>23611</v>
      </c>
      <c r="T2148" t="s">
        <v>23612</v>
      </c>
      <c r="U2148" t="s">
        <v>23613</v>
      </c>
      <c r="V2148">
        <f>-594.956304521427 -188.72926520092 -96.2045711948371</f>
        <v>-879.89014091718411</v>
      </c>
      <c r="W2148" t="s">
        <v>23614</v>
      </c>
      <c r="X2148" t="s">
        <v>23615</v>
      </c>
      <c r="Y2148" t="s">
        <v>23616</v>
      </c>
    </row>
    <row r="2149" spans="1:25" x14ac:dyDescent="0.3">
      <c r="A2149">
        <v>107400</v>
      </c>
      <c r="B2149" t="s">
        <v>23617</v>
      </c>
      <c r="C2149">
        <f>-640.291425272084 -105.236827917988 -98.7499370545</f>
        <v>-844.27819024457199</v>
      </c>
      <c r="D2149">
        <f>-659.255537947504 -120.644909989363 -211.971720692093</f>
        <v>-991.87216862895991</v>
      </c>
      <c r="E2149">
        <f>-667.92097659114 -126.006901732105 -310.06760528675</f>
        <v>-1103.9954836099951</v>
      </c>
      <c r="F2149">
        <f>-673.17918580894 -128.027943062783 -398.986214225162</f>
        <v>-1200.193343096885</v>
      </c>
      <c r="G2149">
        <f>-675.513481862255 -127.088941066954 -488.047486028524</f>
        <v>-1290.649908957733</v>
      </c>
      <c r="H2149">
        <f>-675.679169705288 -122.699698491432 -612.552603990909</f>
        <v>-1410.931472187629</v>
      </c>
      <c r="I2149">
        <f>-647.554052716614 -104.478482981875 -688.592065007818</f>
        <v>-1440.6246007063069</v>
      </c>
      <c r="J2149">
        <f>-687.618344162167 -99.6772103854526 -556.868357154837</f>
        <v>-1344.1639117024565</v>
      </c>
      <c r="K2149" t="s">
        <v>23618</v>
      </c>
      <c r="L2149" t="s">
        <v>23619</v>
      </c>
      <c r="M2149" t="s">
        <v>23620</v>
      </c>
      <c r="N2149">
        <f>-663.594164616843 -149.585113497684 -558.659763415698</f>
        <v>-1371.8390415302251</v>
      </c>
      <c r="O2149">
        <f>-605.925524702593 -271.919425580159 -534.070657916342</f>
        <v>-1411.9156081990941</v>
      </c>
      <c r="P2149">
        <f>-593.392356725174 -328.295972642014 -245.529847535868</f>
        <v>-1167.218176903056</v>
      </c>
      <c r="Q2149">
        <f>-460.856526449105 -136.384718519629 -305.988056122813</f>
        <v>-903.22930109154709</v>
      </c>
      <c r="R2149">
        <f>-686.315515723434 -21.5109295437271 -103.366714447667</f>
        <v>-811.1931597148282</v>
      </c>
      <c r="S2149" t="s">
        <v>23621</v>
      </c>
      <c r="T2149" t="s">
        <v>23622</v>
      </c>
      <c r="U2149" t="s">
        <v>23623</v>
      </c>
      <c r="V2149">
        <f>-594.357010008863 -189.204835803374 -96.1655185640549</f>
        <v>-879.7273643762918</v>
      </c>
      <c r="W2149" t="s">
        <v>23624</v>
      </c>
      <c r="X2149" t="s">
        <v>23625</v>
      </c>
      <c r="Y2149" t="s">
        <v>23626</v>
      </c>
    </row>
    <row r="2150" spans="1:25" x14ac:dyDescent="0.3">
      <c r="A2150">
        <v>107450</v>
      </c>
      <c r="B2150" t="s">
        <v>23627</v>
      </c>
      <c r="C2150">
        <f>-640.124889403102 -105.645130280359 -98.741451237717</f>
        <v>-844.51147092117799</v>
      </c>
      <c r="D2150">
        <f>-659.027167161334 -121.068862842246 -211.971550169621</f>
        <v>-992.06758017320089</v>
      </c>
      <c r="E2150">
        <f>-667.654883641491 -126.450298591491 -310.069622191835</f>
        <v>-1104.174804424817</v>
      </c>
      <c r="F2150">
        <f>-672.884714574431 -128.492417169822 -398.989441282702</f>
        <v>-1200.3665730269549</v>
      </c>
      <c r="G2150">
        <f>-675.196657162478 -127.577179095548 -488.051524947585</f>
        <v>-1290.825361205611</v>
      </c>
      <c r="H2150">
        <f>-675.337559163576 -123.224090768366 -612.557848195336</f>
        <v>-1411.1194981272779</v>
      </c>
      <c r="I2150">
        <f>-647.289724711118 -104.882043362072 -688.596947636301</f>
        <v>-1440.7687157094911</v>
      </c>
      <c r="J2150">
        <f>-687.33048562612 -100.206038253279 -556.883466420764</f>
        <v>-1344.4199903001629</v>
      </c>
      <c r="K2150" t="s">
        <v>23628</v>
      </c>
      <c r="L2150" t="s">
        <v>23629</v>
      </c>
      <c r="M2150" t="s">
        <v>23630</v>
      </c>
      <c r="N2150">
        <f>-663.220627824026 -150.073312761634 -558.654177732136</f>
        <v>-1371.9481183177959</v>
      </c>
      <c r="O2150">
        <f>-605.284848175083 -272.280082025834 -534.023149743427</f>
        <v>-1411.5880799443439</v>
      </c>
      <c r="P2150">
        <f>-592.424576124837 -328.579416790501 -245.481603279602</f>
        <v>-1166.4855961949399</v>
      </c>
      <c r="Q2150">
        <f>-460.536310902805 -136.255566643711 -306.044672811291</f>
        <v>-902.83655035780691</v>
      </c>
      <c r="R2150">
        <f>-686.280512217213 -21.9620142878309 -103.377146564588</f>
        <v>-811.61967306963186</v>
      </c>
      <c r="S2150" t="s">
        <v>23631</v>
      </c>
      <c r="T2150" t="s">
        <v>23632</v>
      </c>
      <c r="U2150" t="s">
        <v>23633</v>
      </c>
      <c r="V2150">
        <f>-594.038435988266 -189.580844821286 -96.1539701021504</f>
        <v>-879.77325091170246</v>
      </c>
      <c r="W2150" t="s">
        <v>23634</v>
      </c>
      <c r="X2150" t="s">
        <v>23635</v>
      </c>
      <c r="Y2150" t="s">
        <v>23636</v>
      </c>
    </row>
    <row r="2151" spans="1:25" x14ac:dyDescent="0.3">
      <c r="A2151">
        <v>107500</v>
      </c>
      <c r="B2151" t="s">
        <v>23637</v>
      </c>
      <c r="C2151">
        <f>-639.788964115515 -106.408403574727 -98.6825069407464</f>
        <v>-844.87987463098841</v>
      </c>
      <c r="D2151">
        <f>-658.628990921574 -121.861240524328 -211.918957819285</f>
        <v>-992.40918926518691</v>
      </c>
      <c r="E2151">
        <f>-667.209610149172 -127.234328235631 -310.021689496966</f>
        <v>-1104.465627881769</v>
      </c>
      <c r="F2151">
        <f>-672.399368916901 -129.255829298238 -398.944267395817</f>
        <v>-1200.599465610956</v>
      </c>
      <c r="G2151">
        <f>-674.674670305084 -128.305626138765 -488.006896614907</f>
        <v>-1290.987193058756</v>
      </c>
      <c r="H2151">
        <f>-674.768305274546 -123.888025738211 -612.511070401039</f>
        <v>-1411.1674014137961</v>
      </c>
      <c r="I2151">
        <f>-646.91671613121 -105.305238826456 -688.563729084897</f>
        <v>-1440.7856840425629</v>
      </c>
      <c r="J2151">
        <f>-686.864803627562 -100.938848393888 -556.83065508593</f>
        <v>-1344.6343071073798</v>
      </c>
      <c r="K2151" t="s">
        <v>23638</v>
      </c>
      <c r="L2151" t="s">
        <v>23639</v>
      </c>
      <c r="M2151" t="s">
        <v>23640</v>
      </c>
      <c r="N2151">
        <f>-662.589414454952 -150.72522914094 -558.615356508171</f>
        <v>-1371.9300001040629</v>
      </c>
      <c r="O2151">
        <f>-604.199723869458 -272.709530079728 -533.90457641741</f>
        <v>-1410.813830366596</v>
      </c>
      <c r="P2151">
        <f>-590.971938075308 -328.572878892421 -245.295001486317</f>
        <v>-1164.8398184540461</v>
      </c>
      <c r="Q2151">
        <f>-460.04380429359 -135.735667742554 -306.307207019623</f>
        <v>-902.08667905576692</v>
      </c>
      <c r="R2151">
        <f>-686.11886813319 -22.7660513696721 -103.346855305216</f>
        <v>-812.23177480807806</v>
      </c>
      <c r="S2151" t="s">
        <v>23641</v>
      </c>
      <c r="T2151" t="s">
        <v>23642</v>
      </c>
      <c r="U2151" t="s">
        <v>23643</v>
      </c>
      <c r="V2151">
        <f>-593.528992822905 -190.291626569203 -96.1057914570089</f>
        <v>-879.92641084911691</v>
      </c>
      <c r="W2151" t="s">
        <v>23644</v>
      </c>
      <c r="X2151" t="s">
        <v>23645</v>
      </c>
      <c r="Y2151" t="s">
        <v>23646</v>
      </c>
    </row>
    <row r="2152" spans="1:25" x14ac:dyDescent="0.3">
      <c r="A2152">
        <v>107550</v>
      </c>
      <c r="B2152" t="s">
        <v>23647</v>
      </c>
      <c r="C2152">
        <f>-639.593039363952 -106.780522740247 -98.6605976206353</f>
        <v>-845.03415972483424</v>
      </c>
      <c r="D2152">
        <f>-658.414581755008 -122.248446302887 -211.898059179897</f>
        <v>-992.56108723779209</v>
      </c>
      <c r="E2152">
        <f>-666.97765189285 -127.600129305984 -310.003514957521</f>
        <v>-1104.5812961563549</v>
      </c>
      <c r="F2152">
        <f>-672.150881304885 -129.58845786571 -398.927846790531</f>
        <v>-1200.6671859611261</v>
      </c>
      <c r="G2152">
        <f>-674.409365773257 -128.590447131858 -487.990398005517</f>
        <v>-1290.990210910632</v>
      </c>
      <c r="H2152">
        <f>-674.479486763419 -124.090469229555 -612.491661930548</f>
        <v>-1411.0616179235221</v>
      </c>
      <c r="I2152">
        <f>-646.723791680195 -105.40747561497 -688.554778952743</f>
        <v>-1440.6860462479081</v>
      </c>
      <c r="J2152">
        <f>-686.621010779397 -101.194916537927 -556.798834080612</f>
        <v>-1344.614761397936</v>
      </c>
      <c r="K2152" t="s">
        <v>23648</v>
      </c>
      <c r="L2152" t="s">
        <v>23649</v>
      </c>
      <c r="M2152" t="s">
        <v>23650</v>
      </c>
      <c r="N2152">
        <f>-662.276306423896 -150.946449725035 -558.610755760209</f>
        <v>-1371.83351190914</v>
      </c>
      <c r="O2152">
        <f>-603.682032419444 -272.834867326478 -533.913008298855</f>
        <v>-1410.429908044777</v>
      </c>
      <c r="P2152">
        <f>-590.260126964787 -328.548916198022 -245.283438022511</f>
        <v>-1164.0924811853201</v>
      </c>
      <c r="Q2152">
        <f>-459.83169818542 -135.386044878054 -306.335982620402</f>
        <v>-901.553725683876</v>
      </c>
      <c r="R2152">
        <f>-686.013307182286 -23.1487916900248 -103.321345892288</f>
        <v>-812.48344476459886</v>
      </c>
      <c r="S2152" t="s">
        <v>23651</v>
      </c>
      <c r="T2152" t="s">
        <v>23652</v>
      </c>
      <c r="U2152" t="s">
        <v>23653</v>
      </c>
      <c r="V2152">
        <f>-593.270185907736 -190.639352396374 -96.0773891227541</f>
        <v>-879.9869274268641</v>
      </c>
      <c r="W2152" t="s">
        <v>23654</v>
      </c>
      <c r="X2152" t="s">
        <v>23655</v>
      </c>
      <c r="Y2152" t="s">
        <v>23656</v>
      </c>
    </row>
    <row r="2153" spans="1:25" x14ac:dyDescent="0.3">
      <c r="A2153">
        <v>107600</v>
      </c>
      <c r="B2153" t="s">
        <v>23657</v>
      </c>
      <c r="C2153">
        <f>-639.310745325618 -107.186903867757 -98.6477119923418</f>
        <v>-845.14536118571675</v>
      </c>
      <c r="D2153">
        <f>-658.107202011047 -122.699946161093 -211.883238124335</f>
        <v>-992.69038629647491</v>
      </c>
      <c r="E2153">
        <f>-666.690316923547 -128.034928454152 -309.98779028323</f>
        <v>-1104.7130356609291</v>
      </c>
      <c r="F2153">
        <f>-671.898082752093 -129.986064281893 -398.910845835618</f>
        <v>-1200.7949928696039</v>
      </c>
      <c r="G2153">
        <f>-674.207735665945 -128.927818786553 -487.971491206654</f>
        <v>-1291.1070456591519</v>
      </c>
      <c r="H2153">
        <f>-674.366970844724 -124.318968204897 -612.468633648606</f>
        <v>-1411.1545726982272</v>
      </c>
      <c r="I2153">
        <f>-646.822883422093 -105.520087508909 -688.580090075723</f>
        <v>-1440.923061006725</v>
      </c>
      <c r="J2153">
        <f>-686.518742994958 -101.496663448473 -556.748123697468</f>
        <v>-1344.7635301408991</v>
      </c>
      <c r="K2153" t="s">
        <v>23658</v>
      </c>
      <c r="L2153" t="s">
        <v>23659</v>
      </c>
      <c r="M2153" t="s">
        <v>23660</v>
      </c>
      <c r="N2153">
        <f>-662.075092137027 -151.197479405256 -558.619111548452</f>
        <v>-1371.8916830907351</v>
      </c>
      <c r="O2153">
        <f>-603.142091805532 -272.935462533534 -534.01653457796</f>
        <v>-1410.0940889170261</v>
      </c>
      <c r="P2153">
        <f>-588.906931995253 -328.801221262887 -245.455418707657</f>
        <v>-1163.163571965797</v>
      </c>
      <c r="Q2153">
        <f>-459.677797741192 -134.780967077633 -306.339026205818</f>
        <v>-900.79779102464295</v>
      </c>
      <c r="R2153">
        <f>-685.883250420729 -23.6830012381056 -103.312849163897</f>
        <v>-812.87910082273163</v>
      </c>
      <c r="S2153" t="s">
        <v>23661</v>
      </c>
      <c r="T2153" t="s">
        <v>23662</v>
      </c>
      <c r="U2153" t="s">
        <v>23663</v>
      </c>
      <c r="V2153">
        <f>-592.823071266774 -190.895299890105 -96.0551803441001</f>
        <v>-879.77355150097912</v>
      </c>
      <c r="W2153" t="s">
        <v>23664</v>
      </c>
      <c r="X2153" t="s">
        <v>23665</v>
      </c>
      <c r="Y2153" t="s">
        <v>23666</v>
      </c>
    </row>
    <row r="2154" spans="1:25" x14ac:dyDescent="0.3">
      <c r="A2154">
        <v>107650</v>
      </c>
      <c r="B2154" t="s">
        <v>23667</v>
      </c>
      <c r="C2154">
        <f>-639.152953299258 -107.450250225888 -98.6559603580732</f>
        <v>-845.25916388321923</v>
      </c>
      <c r="D2154">
        <f>-657.94910395682 -123.000360235497 -211.886438119269</f>
        <v>-992.83590231158598</v>
      </c>
      <c r="E2154">
        <f>-666.580743022021 -128.351956361018 -309.985834614664</f>
        <v>-1104.918533997703</v>
      </c>
      <c r="F2154">
        <f>-671.851951388137 -130.311948379504 -398.904990954418</f>
        <v>-1201.068890722059</v>
      </c>
      <c r="G2154">
        <f>-674.245006830749 -129.255755850615 -487.963405003819</f>
        <v>-1291.4641676851829</v>
      </c>
      <c r="H2154">
        <f>-674.541632732475 -124.642135115386 -612.460139463798</f>
        <v>-1411.6439073116589</v>
      </c>
      <c r="I2154">
        <f>-647.131045735871 -105.793914985088 -688.60760005385</f>
        <v>-1441.5325607748091</v>
      </c>
      <c r="J2154">
        <f>-686.658403976053 -101.835033589689 -556.725697466473</f>
        <v>-1345.219135032215</v>
      </c>
      <c r="K2154" t="s">
        <v>23668</v>
      </c>
      <c r="L2154" t="s">
        <v>23669</v>
      </c>
      <c r="M2154" t="s">
        <v>23670</v>
      </c>
      <c r="N2154">
        <f>-662.163721313727 -151.509662268735 -558.624888009017</f>
        <v>-1372.2982715914791</v>
      </c>
      <c r="O2154">
        <f>-603.050418577201 -273.16889782417 -534.074396689722</f>
        <v>-1410.293713091093</v>
      </c>
      <c r="P2154">
        <f>-588.464045092615 -329.084387356089 -245.540466970345</f>
        <v>-1163.0888994190491</v>
      </c>
      <c r="Q2154">
        <f>-459.751273779265 -134.694735933434 -306.339785675006</f>
        <v>-900.78579538770487</v>
      </c>
      <c r="R2154">
        <f>-685.794803829049 -23.9926565171768 -103.327257327371</f>
        <v>-813.11471767359672</v>
      </c>
      <c r="S2154" t="s">
        <v>23671</v>
      </c>
      <c r="T2154" t="s">
        <v>23672</v>
      </c>
      <c r="U2154" t="s">
        <v>23673</v>
      </c>
      <c r="V2154">
        <f>-592.577702238518 -191.15000443017 -96.045745764513</f>
        <v>-879.77345243320087</v>
      </c>
      <c r="W2154" t="s">
        <v>23674</v>
      </c>
      <c r="X2154" t="s">
        <v>23675</v>
      </c>
      <c r="Y2154" t="s">
        <v>23676</v>
      </c>
    </row>
    <row r="2155" spans="1:25" x14ac:dyDescent="0.3">
      <c r="A2155">
        <v>107700</v>
      </c>
      <c r="B2155" t="s">
        <v>23677</v>
      </c>
      <c r="C2155">
        <f>-638.851326214941 -108.225991938165 -98.6546488961696</f>
        <v>-845.73196704927557</v>
      </c>
      <c r="D2155">
        <f>-657.668298344941 -123.854310622889 -211.870760465863</f>
        <v>-993.39336943369301</v>
      </c>
      <c r="E2155">
        <f>-666.417493102969 -129.279628770257 -309.955941237806</f>
        <v>-1105.653063111032</v>
      </c>
      <c r="F2155">
        <f>-671.834591409705 -131.309427778373 -398.864630243854</f>
        <v>-1202.0086494319321</v>
      </c>
      <c r="G2155">
        <f>-674.413609407091 -130.325071358819 -487.918580238459</f>
        <v>-1292.657261004369</v>
      </c>
      <c r="H2155">
        <f>-675.012121613028 -125.813611821334 -612.418155612807</f>
        <v>-1413.243889047169</v>
      </c>
      <c r="I2155">
        <f>-647.92059693591 -106.897949288941 -688.663022306282</f>
        <v>-1443.481568531133</v>
      </c>
      <c r="J2155">
        <f>-687.044895397264 -102.985967488944 -556.673832443905</f>
        <v>-1346.7046953301128</v>
      </c>
      <c r="K2155" t="s">
        <v>23678</v>
      </c>
      <c r="L2155" t="s">
        <v>23679</v>
      </c>
      <c r="M2155" t="s">
        <v>23680</v>
      </c>
      <c r="N2155">
        <f>-662.452549939174 -152.611678581621 -558.59033659346</f>
        <v>-1373.6545651142551</v>
      </c>
      <c r="O2155">
        <f>-603.0280415096 -274.125252160273 -534.092518205787</f>
        <v>-1411.2458118756599</v>
      </c>
      <c r="P2155">
        <f>-587.928109433023 -329.771518844377 -245.532767183377</f>
        <v>-1163.2323954607771</v>
      </c>
      <c r="Q2155">
        <f>-459.795739011047 -134.98332789437 -306.282680862747</f>
        <v>-901.06174776816397</v>
      </c>
      <c r="R2155">
        <f>-685.682488683876 -24.8175644877256 -103.323384369883</f>
        <v>-813.82343754148462</v>
      </c>
      <c r="S2155" t="s">
        <v>23681</v>
      </c>
      <c r="T2155" t="s">
        <v>23682</v>
      </c>
      <c r="U2155" t="s">
        <v>23683</v>
      </c>
      <c r="V2155">
        <f>-592.114669598799 -191.906456187274 -96.0245205364357</f>
        <v>-880.04564632250867</v>
      </c>
      <c r="W2155" t="s">
        <v>23684</v>
      </c>
      <c r="X2155" t="s">
        <v>23685</v>
      </c>
      <c r="Y2155" t="s">
        <v>23686</v>
      </c>
    </row>
    <row r="2156" spans="1:25" x14ac:dyDescent="0.3">
      <c r="A2156">
        <v>107750</v>
      </c>
      <c r="B2156" t="s">
        <v>23687</v>
      </c>
      <c r="C2156">
        <f>-638.765227841233 -108.556418016322 -98.6492244135037</f>
        <v>-845.97087027105874</v>
      </c>
      <c r="D2156">
        <f>-657.577457855581 -124.238093692388 -211.85882315156</f>
        <v>-993.67437469952893</v>
      </c>
      <c r="E2156">
        <f>-666.382746731599 -129.723158614597 -309.935575877783</f>
        <v>-1106.041481223979</v>
      </c>
      <c r="F2156">
        <f>-671.874175710411 -131.813099506095 -398.838366672355</f>
        <v>-1202.5256418888609</v>
      </c>
      <c r="G2156">
        <f>-674.551219202185 -130.89464177687 -487.890092847318</f>
        <v>-1293.335953826373</v>
      </c>
      <c r="H2156">
        <f>-675.311459966107 -126.481168971572 -612.392132532127</f>
        <v>-1414.1847614698058</v>
      </c>
      <c r="I2156">
        <f>-648.404998349209 -107.573460284703 -688.70462463714</f>
        <v>-1444.6830832710521</v>
      </c>
      <c r="J2156">
        <f>-687.293475995384 -103.620467569518 -556.650634323382</f>
        <v>-1347.564577888284</v>
      </c>
      <c r="K2156" t="s">
        <v>23688</v>
      </c>
      <c r="L2156" t="s">
        <v>23689</v>
      </c>
      <c r="M2156" t="s">
        <v>23690</v>
      </c>
      <c r="N2156">
        <f>-662.660343014309 -153.226227318064 -558.559398434908</f>
        <v>-1374.4459687672809</v>
      </c>
      <c r="O2156">
        <f>-603.060336840285 -274.661343919799 -534.070360768483</f>
        <v>-1411.7920415285671</v>
      </c>
      <c r="P2156">
        <f>-587.710257481919 -330.105167785246 -245.484828073995</f>
        <v>-1163.30025334116</v>
      </c>
      <c r="Q2156">
        <f>-459.777205092334 -135.164939184398 -306.16673264749</f>
        <v>-901.10887692422205</v>
      </c>
      <c r="R2156">
        <f>-685.689995119435 -25.1967065819872 -103.321258341213</f>
        <v>-814.20796004263525</v>
      </c>
      <c r="S2156" t="s">
        <v>23691</v>
      </c>
      <c r="T2156" t="s">
        <v>23692</v>
      </c>
      <c r="U2156" t="s">
        <v>23693</v>
      </c>
      <c r="V2156">
        <f>-591.931011366109 -192.141674041079 -96.0071130119776</f>
        <v>-880.07979841916563</v>
      </c>
      <c r="W2156" t="s">
        <v>23694</v>
      </c>
      <c r="X2156" t="s">
        <v>23695</v>
      </c>
      <c r="Y2156" t="s">
        <v>23696</v>
      </c>
    </row>
    <row r="2157" spans="1:25" x14ac:dyDescent="0.3">
      <c r="A2157">
        <v>107800</v>
      </c>
      <c r="B2157" t="s">
        <v>23697</v>
      </c>
      <c r="C2157">
        <f>-638.630796499997 -109.32718381571 -98.6103029083156</f>
        <v>-846.56828322402259</v>
      </c>
      <c r="D2157">
        <f>-657.430507414102 -125.116184988683 -211.807089281692</f>
        <v>-994.35378168447698</v>
      </c>
      <c r="E2157">
        <f>-666.35439729448 -130.715238748548 -309.866529677138</f>
        <v>-1106.9361657201659</v>
      </c>
      <c r="F2157">
        <f>-672.004035906599 -132.918426742738 -398.756751282567</f>
        <v>-1203.6792139319041</v>
      </c>
      <c r="G2157">
        <f>-674.890298107369 -132.12252315515 -487.803184447526</f>
        <v>-1294.8160057100449</v>
      </c>
      <c r="H2157">
        <f>-675.99607098183 -127.889681011453 -612.308900681776</f>
        <v>-1416.1946526750589</v>
      </c>
      <c r="I2157">
        <f>-649.512789922634 -109.01376658218 -688.777005444533</f>
        <v>-1447.3035619493471</v>
      </c>
      <c r="J2157">
        <f>-687.871932639562 -104.972225677048 -556.567854374685</f>
        <v>-1349.4120126912949</v>
      </c>
      <c r="K2157" t="s">
        <v>23698</v>
      </c>
      <c r="L2157" t="s">
        <v>23699</v>
      </c>
      <c r="M2157" t="s">
        <v>23700</v>
      </c>
      <c r="N2157">
        <f>-663.147057052607 -154.532447650156 -558.472383196808</f>
        <v>-1376.151887899571</v>
      </c>
      <c r="O2157">
        <f>-603.1621508677 -275.788095506154 -534.025978894552</f>
        <v>-1412.9762252684061</v>
      </c>
      <c r="P2157">
        <f>-587.218369037878 -330.925769596407 -245.414172631286</f>
        <v>-1163.5583112655711</v>
      </c>
      <c r="Q2157">
        <f>-459.851523967702 -135.521987543877 -305.795718091293</f>
        <v>-901.16922960287195</v>
      </c>
      <c r="R2157">
        <f>-685.755710429199 -26.1161927196808 -103.305617895699</f>
        <v>-815.17752104457884</v>
      </c>
      <c r="S2157" t="s">
        <v>23701</v>
      </c>
      <c r="T2157" t="s">
        <v>23702</v>
      </c>
      <c r="U2157" t="s">
        <v>23703</v>
      </c>
      <c r="V2157">
        <f>-591.567696153324 -192.760691552773 -95.9440336172377</f>
        <v>-880.2724213233347</v>
      </c>
      <c r="W2157" t="s">
        <v>23704</v>
      </c>
      <c r="X2157" t="s">
        <v>23705</v>
      </c>
      <c r="Y2157" t="s">
        <v>23706</v>
      </c>
    </row>
    <row r="2158" spans="1:25" x14ac:dyDescent="0.3">
      <c r="A2158">
        <v>107850</v>
      </c>
      <c r="B2158" t="s">
        <v>23707</v>
      </c>
      <c r="C2158">
        <f>-638.561126545075 -109.685812862552 -98.5923752126293</f>
        <v>-846.83931462025635</v>
      </c>
      <c r="D2158">
        <f>-657.366139748181 -125.542664181295 -211.778767257947</f>
        <v>-994.68757118742303</v>
      </c>
      <c r="E2158">
        <f>-666.357010795624 -131.204285343655 -309.828597242483</f>
        <v>-1107.389893381762</v>
      </c>
      <c r="F2158">
        <f>-672.091909484236 -133.466163091436 -398.711841098686</f>
        <v>-1204.2699136743581</v>
      </c>
      <c r="G2158">
        <f>-675.088275522623 -132.730658890042 -487.755151741101</f>
        <v>-1295.5740861537661</v>
      </c>
      <c r="H2158">
        <f>-676.373643118662 -128.58377724556 -612.262146316535</f>
        <v>-1417.219566680757</v>
      </c>
      <c r="I2158">
        <f>-650.135699622828 -109.753255257522 -688.825890405862</f>
        <v>-1448.714845286212</v>
      </c>
      <c r="J2158">
        <f>-688.194846226235 -105.64068837153 -556.519970251217</f>
        <v>-1350.355504848982</v>
      </c>
      <c r="K2158" t="s">
        <v>23708</v>
      </c>
      <c r="L2158" t="s">
        <v>23709</v>
      </c>
      <c r="M2158" t="s">
        <v>23710</v>
      </c>
      <c r="N2158">
        <f>-663.421093029468 -155.176506816129 -558.425580910619</f>
        <v>-1377.0231807562159</v>
      </c>
      <c r="O2158">
        <f>-603.220431454061 -276.335676674795 -534.021082341152</f>
        <v>-1413.5771904700082</v>
      </c>
      <c r="P2158">
        <f>-587.007905229799 -331.400590379768 -245.410301878763</f>
        <v>-1163.8187974883299</v>
      </c>
      <c r="Q2158">
        <f>-460.021158603725 -135.726557615263 -305.717352629829</f>
        <v>-901.46506884881705</v>
      </c>
      <c r="R2158">
        <f>-685.806903185408 -26.5184385991047 -103.317345985524</f>
        <v>-815.64268777003667</v>
      </c>
      <c r="S2158" t="s">
        <v>23711</v>
      </c>
      <c r="T2158" t="s">
        <v>23712</v>
      </c>
      <c r="U2158" t="s">
        <v>23713</v>
      </c>
      <c r="V2158">
        <f>-591.396121399172 -193.109045559479 -95.915439096976</f>
        <v>-880.42060605562699</v>
      </c>
      <c r="W2158" t="s">
        <v>23714</v>
      </c>
      <c r="X2158" t="s">
        <v>23715</v>
      </c>
      <c r="Y2158" t="s">
        <v>23716</v>
      </c>
    </row>
    <row r="2159" spans="1:25" x14ac:dyDescent="0.3">
      <c r="A2159">
        <v>107900</v>
      </c>
      <c r="B2159" t="s">
        <v>23717</v>
      </c>
      <c r="C2159">
        <f>-638.510981174073 -110.259939815841 -98.5865262209992</f>
        <v>-847.35744721091316</v>
      </c>
      <c r="D2159">
        <f>-657.323764480437 -126.216350073858 -211.75769273741</f>
        <v>-995.29780729170511</v>
      </c>
      <c r="E2159">
        <f>-666.452498851098 -131.97301048668 -309.789144651124</f>
        <v>-1108.214653988902</v>
      </c>
      <c r="F2159">
        <f>-672.364833525485 -134.324661228782 -398.658498744962</f>
        <v>-1205.347993499229</v>
      </c>
      <c r="G2159">
        <f>-675.592168571759 -133.681209254351 -487.694423907354</f>
        <v>-1296.9678017334641</v>
      </c>
      <c r="H2159">
        <f>-677.256587299337 -129.664832055236 -612.201115507853</f>
        <v>-1419.1225348624259</v>
      </c>
      <c r="I2159">
        <f>-651.572252525567 -110.944472048997 -688.979368562398</f>
        <v>-1451.4960931369619</v>
      </c>
      <c r="J2159">
        <f>-688.965159227635 -106.691988256975 -556.447595706752</f>
        <v>-1352.1047431913621</v>
      </c>
      <c r="K2159" t="s">
        <v>23718</v>
      </c>
      <c r="L2159" t="s">
        <v>23719</v>
      </c>
      <c r="M2159" t="s">
        <v>23720</v>
      </c>
      <c r="N2159">
        <f>-664.08319070575 -156.172574570143 -558.376296646522</f>
        <v>-1378.632061922415</v>
      </c>
      <c r="O2159">
        <f>-603.495158080505 -277.146247425705 -534.040078629578</f>
        <v>-1414.6814841357882</v>
      </c>
      <c r="P2159">
        <f>-586.696391834141 -332.210408437065 -245.462630243713</f>
        <v>-1164.369430514919</v>
      </c>
      <c r="Q2159">
        <f>-460.550283771466 -135.979898178376 -305.725301451684</f>
        <v>-902.25548340152602</v>
      </c>
      <c r="R2159">
        <f>-685.915139370335 -27.1972352165351 -103.344216039204</f>
        <v>-816.4565906260741</v>
      </c>
      <c r="S2159" t="s">
        <v>23721</v>
      </c>
      <c r="T2159" t="s">
        <v>23722</v>
      </c>
      <c r="U2159" t="s">
        <v>23723</v>
      </c>
      <c r="V2159">
        <f>-591.225419292581 -193.536244944492 -95.8781693308009</f>
        <v>-880.63983356787401</v>
      </c>
      <c r="W2159" t="s">
        <v>23724</v>
      </c>
      <c r="X2159" t="s">
        <v>23725</v>
      </c>
      <c r="Y2159" t="s">
        <v>23726</v>
      </c>
    </row>
    <row r="2160" spans="1:25" x14ac:dyDescent="0.3">
      <c r="A2160">
        <v>107950</v>
      </c>
      <c r="B2160" t="s">
        <v>23727</v>
      </c>
      <c r="C2160">
        <f>-638.527995314775 -110.502930205457 -98.5899575374833</f>
        <v>-847.62088305771533</v>
      </c>
      <c r="D2160">
        <f>-657.351067005311 -126.507114545044 -211.75257286483</f>
        <v>-995.61075441518506</v>
      </c>
      <c r="E2160">
        <f>-666.545909782807 -132.315075403638 -309.774964277639</f>
        <v>-1108.6359494640842</v>
      </c>
      <c r="F2160">
        <f>-672.541151464178 -134.717461069097 -398.63737267698</f>
        <v>-1205.895985210255</v>
      </c>
      <c r="G2160">
        <f>-675.874613095515 -134.128368009778 -487.66985084733</f>
        <v>-1297.672831952623</v>
      </c>
      <c r="H2160">
        <f>-677.711980232086 -130.19126712096 -612.17662784839</f>
        <v>-1420.0798752014362</v>
      </c>
      <c r="I2160">
        <f>-652.352594390476 -111.576030423818 -689.088188386092</f>
        <v>-1453.016813200386</v>
      </c>
      <c r="J2160">
        <f>-689.369482924463 -107.196189152428 -556.421403339939</f>
        <v>-1352.9870754168301</v>
      </c>
      <c r="K2160" t="s">
        <v>23728</v>
      </c>
      <c r="L2160" t="s">
        <v>23729</v>
      </c>
      <c r="M2160" t="s">
        <v>23730</v>
      </c>
      <c r="N2160">
        <f>-664.437343920147 -156.65140865701 -558.353209707497</f>
        <v>-1379.441962284654</v>
      </c>
      <c r="O2160">
        <f>-603.649225889688 -277.529663459565 -534.039752463465</f>
        <v>-1415.218641812718</v>
      </c>
      <c r="P2160">
        <f>-586.664997012671 -332.475898451213 -245.450648276832</f>
        <v>-1164.5915437407161</v>
      </c>
      <c r="Q2160">
        <f>-460.783464515704 -136.095270051496 -305.777749077758</f>
        <v>-902.65648364495803</v>
      </c>
      <c r="R2160">
        <f>-686.021681787216 -27.4466725128502 -103.3717913027</f>
        <v>-816.84014560276626</v>
      </c>
      <c r="S2160" t="s">
        <v>23731</v>
      </c>
      <c r="T2160" t="s">
        <v>23732</v>
      </c>
      <c r="U2160" t="s">
        <v>23733</v>
      </c>
      <c r="V2160">
        <f>-591.133523324077 -193.785890697823 -95.8565922826474</f>
        <v>-880.77600630454742</v>
      </c>
      <c r="W2160" t="s">
        <v>23734</v>
      </c>
      <c r="X2160" t="s">
        <v>23735</v>
      </c>
      <c r="Y2160" t="s">
        <v>23736</v>
      </c>
    </row>
    <row r="2161" spans="1:25" x14ac:dyDescent="0.3">
      <c r="A2161">
        <v>108000</v>
      </c>
      <c r="B2161" t="s">
        <v>23737</v>
      </c>
      <c r="C2161">
        <f>-638.56236918281 -110.987597918066 -98.6129069720537</f>
        <v>-848.16287407292975</v>
      </c>
      <c r="D2161">
        <f>-657.373164201224 -127.078712340881 -211.765337531024</f>
        <v>-996.21721407312896</v>
      </c>
      <c r="E2161">
        <f>-666.655848891566 -132.962875926727 -309.774857477511</f>
        <v>-1109.393582295804</v>
      </c>
      <c r="F2161">
        <f>-672.769392637359 -135.435350425553 -398.627266926879</f>
        <v>-1206.832009989791</v>
      </c>
      <c r="G2161">
        <f>-676.260289301815 -134.916947169636 -487.654106587769</f>
        <v>-1298.8313430592198</v>
      </c>
      <c r="H2161">
        <f>-678.358606153974 -131.078887716921 -612.159855118379</f>
        <v>-1421.597348989274</v>
      </c>
      <c r="I2161">
        <f>-653.748148981595 -112.70945178329 -689.373288980872</f>
        <v>-1455.8308897457568</v>
      </c>
      <c r="J2161">
        <f>-689.937345237755 -108.058624674896 -556.398589679692</f>
        <v>-1354.3945595923431</v>
      </c>
      <c r="K2161" t="s">
        <v>23738</v>
      </c>
      <c r="L2161" t="s">
        <v>23739</v>
      </c>
      <c r="M2161" t="s">
        <v>23740</v>
      </c>
      <c r="N2161">
        <f>-664.933105204787 -157.477045150781 -558.343466093027</f>
        <v>-1380.753616448595</v>
      </c>
      <c r="O2161">
        <f>-603.846270258928 -278.215295996302 -534.044842013533</f>
        <v>-1416.1064082687631</v>
      </c>
      <c r="P2161">
        <f>-586.481514522572 -332.996326848969 -245.447042789654</f>
        <v>-1164.924884161195</v>
      </c>
      <c r="Q2161">
        <f>-461.009724324711 -136.323404272351 -305.67544803664</f>
        <v>-903.00857663370198</v>
      </c>
      <c r="R2161">
        <f>-686.256678068323 -28.0075212525489 -103.416171673136</f>
        <v>-817.68037099400794</v>
      </c>
      <c r="S2161" t="s">
        <v>23741</v>
      </c>
      <c r="T2161" t="s">
        <v>23742</v>
      </c>
      <c r="U2161" t="s">
        <v>23743</v>
      </c>
      <c r="V2161">
        <f>-590.942183370182 -194.215144949403 -95.8396646567896</f>
        <v>-880.9969929763746</v>
      </c>
      <c r="W2161" t="s">
        <v>23744</v>
      </c>
      <c r="X2161" t="s">
        <v>23745</v>
      </c>
      <c r="Y2161" t="s">
        <v>23746</v>
      </c>
    </row>
    <row r="2162" spans="1:25" x14ac:dyDescent="0.3">
      <c r="A2162">
        <v>108050</v>
      </c>
      <c r="B2162" t="s">
        <v>23747</v>
      </c>
      <c r="C2162">
        <f>-638.521304020164 -111.269952338252 -98.6209500141449</f>
        <v>-848.41220637256095</v>
      </c>
      <c r="D2162">
        <f>-657.309964257527 -127.388886190666 -211.772925068356</f>
        <v>-996.47177551654897</v>
      </c>
      <c r="E2162">
        <f>-666.604424969151 -133.288232480763 -309.780563257711</f>
        <v>-1109.673220707625</v>
      </c>
      <c r="F2162">
        <f>-672.740405138016 -135.771293850801 -398.631075005822</f>
        <v>-1207.1427739946389</v>
      </c>
      <c r="G2162">
        <f>-676.26578752932 -135.260032424581 -487.656657483244</f>
        <v>-1299.1824774371451</v>
      </c>
      <c r="H2162">
        <f>-678.424548933677 -131.428455907549 -612.161479661311</f>
        <v>-1422.014484502537</v>
      </c>
      <c r="I2162">
        <f>-654.189023466008 -113.18317733399 -689.522748640541</f>
        <v>-1456.894949440539</v>
      </c>
      <c r="J2162">
        <f>-689.99199653717 -108.413240082405 -556.395842677199</f>
        <v>-1354.8010792967739</v>
      </c>
      <c r="K2162" t="s">
        <v>23748</v>
      </c>
      <c r="L2162" t="s">
        <v>23749</v>
      </c>
      <c r="M2162" t="s">
        <v>23750</v>
      </c>
      <c r="N2162">
        <f>-664.957233579501 -157.815797469728 -558.350236846696</f>
        <v>-1381.123267895925</v>
      </c>
      <c r="O2162">
        <f>-603.719166225735 -278.477997249791 -534.084289639083</f>
        <v>-1416.2814531146089</v>
      </c>
      <c r="P2162">
        <f>-586.18839953635 -333.222815166696 -245.489632033596</f>
        <v>-1164.9008467366421</v>
      </c>
      <c r="Q2162">
        <f>-460.775167657572 -136.523496687551 -305.753656381119</f>
        <v>-903.05232072624199</v>
      </c>
      <c r="R2162">
        <f>-686.277845834075 -28.3221027515831 -103.435792966198</f>
        <v>-818.03574155185606</v>
      </c>
      <c r="S2162" t="s">
        <v>23751</v>
      </c>
      <c r="T2162" t="s">
        <v>23752</v>
      </c>
      <c r="U2162" t="s">
        <v>23753</v>
      </c>
      <c r="V2162">
        <f>-590.810217221787 -194.498567011051 -95.8397394557583</f>
        <v>-881.14852368859624</v>
      </c>
      <c r="W2162" t="s">
        <v>23754</v>
      </c>
      <c r="X2162" t="s">
        <v>23755</v>
      </c>
      <c r="Y2162" t="s">
        <v>23756</v>
      </c>
    </row>
    <row r="2163" spans="1:25" x14ac:dyDescent="0.3">
      <c r="A2163">
        <v>108100</v>
      </c>
      <c r="B2163" t="s">
        <v>23757</v>
      </c>
      <c r="C2163">
        <f>-638.449889212823 -111.612304507645 -98.6271837872666</f>
        <v>-848.68937750773466</v>
      </c>
      <c r="D2163">
        <f>-657.212282718221 -127.75848698687 -211.779655829417</f>
        <v>-996.75042553450805</v>
      </c>
      <c r="E2163">
        <f>-666.585288922243 -133.675936197367 -309.778609360125</f>
        <v>-1110.039834479735</v>
      </c>
      <c r="F2163">
        <f>-672.83274514219 -136.173385443392 -398.620964821719</f>
        <v>-1207.6270954073011</v>
      </c>
      <c r="G2163">
        <f>-676.509939296671 -135.673918844251 -487.640465957329</f>
        <v>-1299.8243240982511</v>
      </c>
      <c r="H2163">
        <f>-678.923167958538 -131.855811827768 -612.141077025762</f>
        <v>-1422.920056812068</v>
      </c>
      <c r="I2163">
        <f>-655.513232604768 -113.893461386688 -689.822260292942</f>
        <v>-1459.228954284398</v>
      </c>
      <c r="J2163">
        <f>-690.395340195741 -108.844103667827 -556.354369518699</f>
        <v>-1355.5938133822669</v>
      </c>
      <c r="K2163" t="s">
        <v>23758</v>
      </c>
      <c r="L2163" t="s">
        <v>23759</v>
      </c>
      <c r="M2163" t="s">
        <v>23760</v>
      </c>
      <c r="N2163">
        <f>-665.327100065217 -158.227858783955 -558.354744229256</f>
        <v>-1381.9097030784278</v>
      </c>
      <c r="O2163">
        <f>-603.853332512795 -278.797181649768 -534.198633583674</f>
        <v>-1416.8491477462371</v>
      </c>
      <c r="P2163">
        <f>-585.784609095619 -333.509961626992 -245.631008687602</f>
        <v>-1164.925579410213</v>
      </c>
      <c r="Q2163">
        <f>-460.831106545954 -136.615393850157 -306.21166964939</f>
        <v>-903.65817004550104</v>
      </c>
      <c r="R2163">
        <f>-686.300744923766 -28.7458025544377 -103.468695675703</f>
        <v>-818.51524315390668</v>
      </c>
      <c r="S2163" t="s">
        <v>23761</v>
      </c>
      <c r="T2163" t="s">
        <v>23762</v>
      </c>
      <c r="U2163" t="s">
        <v>23763</v>
      </c>
      <c r="V2163">
        <f>-590.683068482742 -194.743272099392 -95.838452918988</f>
        <v>-881.26479350112197</v>
      </c>
      <c r="W2163" t="s">
        <v>23764</v>
      </c>
      <c r="X2163" t="s">
        <v>23765</v>
      </c>
      <c r="Y2163" t="s">
        <v>23766</v>
      </c>
    </row>
    <row r="2164" spans="1:25" x14ac:dyDescent="0.3">
      <c r="A2164">
        <v>108150</v>
      </c>
      <c r="B2164" t="s">
        <v>23767</v>
      </c>
      <c r="C2164">
        <f>-638.40658652267 -111.806797281168 -98.621810722484</f>
        <v>-848.83519452632197</v>
      </c>
      <c r="D2164">
        <f>-657.169411184912 -127.949137322699 -211.774789135386</f>
        <v>-996.89333764299693</v>
      </c>
      <c r="E2164">
        <f>-666.607103198712 -133.872052589827 -309.767072604446</f>
        <v>-1110.2462283929851</v>
      </c>
      <c r="F2164">
        <f>-672.939527826148 -136.377230062181 -398.603338048332</f>
        <v>-1207.920095936661</v>
      </c>
      <c r="G2164">
        <f>-676.728601385548 -135.887835176182 -487.618195242754</f>
        <v>-1300.234631804484</v>
      </c>
      <c r="H2164">
        <f>-679.326682353064 -132.085739564376 -612.11549949318</f>
        <v>-1423.5279214106199</v>
      </c>
      <c r="I2164">
        <f>-656.347677965113 -114.286651414397 -689.962743826889</f>
        <v>-1460.597073206399</v>
      </c>
      <c r="J2164">
        <f>-690.722797415703 -109.070332667249 -556.314678906778</f>
        <v>-1356.1078089897301</v>
      </c>
      <c r="K2164" t="s">
        <v>23768</v>
      </c>
      <c r="L2164" t="s">
        <v>23769</v>
      </c>
      <c r="M2164" t="s">
        <v>23770</v>
      </c>
      <c r="N2164">
        <f>-665.644075866542 -158.447428920456 -558.346127711367</f>
        <v>-1382.437632498365</v>
      </c>
      <c r="O2164">
        <f>-604.097786324644 -278.991038855676 -534.262577771579</f>
        <v>-1417.3514029518988</v>
      </c>
      <c r="P2164">
        <f>-585.986446911139 -333.632960063268 -245.68424315092</f>
        <v>-1165.3036501253268</v>
      </c>
      <c r="Q2164">
        <f>-460.753413863255 -137.050351980174 -306.699332917102</f>
        <v>-904.50309876053097</v>
      </c>
      <c r="R2164">
        <f>-686.243633015078 -28.975731111361 -103.473264381504</f>
        <v>-818.69262850794303</v>
      </c>
      <c r="S2164" t="s">
        <v>23771</v>
      </c>
      <c r="T2164" t="s">
        <v>23772</v>
      </c>
      <c r="U2164" t="s">
        <v>23773</v>
      </c>
      <c r="V2164">
        <f>-590.648261603712 -194.926632167502 -95.8289006040055</f>
        <v>-881.40379437521949</v>
      </c>
      <c r="W2164" t="s">
        <v>23774</v>
      </c>
      <c r="X2164" t="s">
        <v>23775</v>
      </c>
      <c r="Y2164" t="s">
        <v>23776</v>
      </c>
    </row>
    <row r="2165" spans="1:25" x14ac:dyDescent="0.3">
      <c r="A2165">
        <v>108200</v>
      </c>
      <c r="B2165" t="s">
        <v>23777</v>
      </c>
      <c r="C2165">
        <f>-638.270798397857 -112.308238984253 -98.6002633642743</f>
        <v>-849.17930074638423</v>
      </c>
      <c r="D2165">
        <f>-657.068526889771 -128.457574979214 -211.746475393168</f>
        <v>-997.27257726215294</v>
      </c>
      <c r="E2165">
        <f>-666.640799037436 -134.389367866912 -309.725286895229</f>
        <v>-1110.755453799577</v>
      </c>
      <c r="F2165">
        <f>-673.137218832517 -136.903087289698 -398.549259993213</f>
        <v>-1208.5895661154279</v>
      </c>
      <c r="G2165">
        <f>-677.132679464259 -136.422506214056 -487.555224173131</f>
        <v>-1301.1104098514461</v>
      </c>
      <c r="H2165">
        <f>-680.063654003558 -132.632167046653 -612.04561872353</f>
        <v>-1424.7414397737409</v>
      </c>
      <c r="I2165">
        <f>-657.951990628856 -115.134928929544 -690.211833989169</f>
        <v>-1463.298753547569</v>
      </c>
      <c r="J2165">
        <f>-691.308163938695 -109.610271215303 -556.216654186676</f>
        <v>-1357.1350893406739</v>
      </c>
      <c r="K2165" t="s">
        <v>23778</v>
      </c>
      <c r="L2165" t="s">
        <v>23779</v>
      </c>
      <c r="M2165" t="s">
        <v>23780</v>
      </c>
      <c r="N2165">
        <f>-666.239579678086 -158.989960262842 -558.310364407974</f>
        <v>-1383.5399043489019</v>
      </c>
      <c r="O2165">
        <f>-604.572151462158 -279.502799829673 -534.373284308478</f>
        <v>-1418.4482356003091</v>
      </c>
      <c r="P2165">
        <f>-586.019753147943 -334.542081442179 -245.898528043217</f>
        <v>-1166.4603626333389</v>
      </c>
      <c r="Q2165">
        <f>-461.146949513353 -137.515442806005 -306.215682022668</f>
        <v>-904.87807434202591</v>
      </c>
      <c r="R2165">
        <f>-686.194330595331 -29.3904883194089 -103.456248219739</f>
        <v>-819.04106713447891</v>
      </c>
      <c r="S2165" t="s">
        <v>23781</v>
      </c>
      <c r="T2165" t="s">
        <v>23782</v>
      </c>
      <c r="U2165" t="s">
        <v>23783</v>
      </c>
      <c r="V2165">
        <f>-590.426565747226 -195.446795297371 -95.7960304820559</f>
        <v>-881.66939152665293</v>
      </c>
      <c r="W2165" t="s">
        <v>23784</v>
      </c>
      <c r="X2165" t="s">
        <v>23785</v>
      </c>
      <c r="Y2165" t="s">
        <v>23786</v>
      </c>
    </row>
    <row r="2166" spans="1:25" x14ac:dyDescent="0.3">
      <c r="A2166">
        <v>108250</v>
      </c>
      <c r="B2166" t="s">
        <v>23787</v>
      </c>
      <c r="C2166">
        <f>-638.189219522663 -112.452059028178 -98.5887899351834</f>
        <v>-849.23006848602449</v>
      </c>
      <c r="D2166">
        <f>-657.006576065135 -128.602285857974 -211.731545288004</f>
        <v>-997.34040721111307</v>
      </c>
      <c r="E2166">
        <f>-666.62847427834 -134.503277129221 -309.707297588026</f>
        <v>-1110.8390489955871</v>
      </c>
      <c r="F2166">
        <f>-673.182696542383 -136.976213045631 -398.528291641287</f>
        <v>-1208.6872012293011</v>
      </c>
      <c r="G2166">
        <f>-677.249298229749 -136.441455075712 -487.530648930714</f>
        <v>-1301.221402236175</v>
      </c>
      <c r="H2166">
        <f>-680.293535996647 -132.561300947536 -612.015612929763</f>
        <v>-1424.8704498739462</v>
      </c>
      <c r="I2166">
        <f>-658.607891590123 -115.172375311077 -690.32508829483</f>
        <v>-1464.1053551960299</v>
      </c>
      <c r="J2166">
        <f>-691.49627497299 -109.584270745692 -556.159766306295</f>
        <v>-1357.2403120249769</v>
      </c>
      <c r="K2166" t="s">
        <v>23788</v>
      </c>
      <c r="L2166" t="s">
        <v>23789</v>
      </c>
      <c r="M2166" t="s">
        <v>23790</v>
      </c>
      <c r="N2166">
        <f>-666.411542984246 -158.953211741838 -558.312094841089</f>
        <v>-1383.6768495671731</v>
      </c>
      <c r="O2166">
        <f>-604.601357880115 -279.412352850316 -534.472583244841</f>
        <v>-1418.486293975272</v>
      </c>
      <c r="P2166">
        <f>-586.157752736649 -334.706820437582 -246.039600634983</f>
        <v>-1166.9041738092139</v>
      </c>
      <c r="Q2166">
        <f>-461.672867960941 -137.221681297593 -305.65515000428</f>
        <v>-904.54969926281399</v>
      </c>
      <c r="R2166">
        <f>-686.135922421218 -29.5600119665771 -103.43258572523</f>
        <v>-819.12852011302505</v>
      </c>
      <c r="S2166" t="s">
        <v>23791</v>
      </c>
      <c r="T2166" t="s">
        <v>23792</v>
      </c>
      <c r="U2166" t="s">
        <v>23793</v>
      </c>
      <c r="V2166">
        <f>-590.328756636048 -195.537951926985 -95.8007050034242</f>
        <v>-881.66741356645718</v>
      </c>
      <c r="W2166" t="s">
        <v>23794</v>
      </c>
      <c r="X2166" t="s">
        <v>23795</v>
      </c>
      <c r="Y2166" t="s">
        <v>23796</v>
      </c>
    </row>
    <row r="2167" spans="1:25" x14ac:dyDescent="0.3">
      <c r="A2167">
        <v>108300</v>
      </c>
      <c r="B2167" t="s">
        <v>23797</v>
      </c>
      <c r="C2167">
        <f>-638.056286471294 -112.935225771548 -98.5540879276658</f>
        <v>-849.54560017050778</v>
      </c>
      <c r="D2167">
        <f>-656.910407767508 -129.069833754948 -211.693068662112</f>
        <v>-997.67331018456798</v>
      </c>
      <c r="E2167">
        <f>-666.633529951088 -134.879240203207 -309.664220842002</f>
        <v>-1111.176990996297</v>
      </c>
      <c r="F2167">
        <f>-673.308020425248 -137.236940718665 -398.479427054551</f>
        <v>-1209.0243881984638</v>
      </c>
      <c r="G2167">
        <f>-677.524149305672 -136.55318960402 -487.473843324345</f>
        <v>-1301.551182234037</v>
      </c>
      <c r="H2167">
        <f>-680.808745694885 -132.428400379587 -611.944773469702</f>
        <v>-1425.181919544174</v>
      </c>
      <c r="I2167">
        <f>-660.03264396509 -115.152850092152 -690.525518856828</f>
        <v>-1465.7110129140699</v>
      </c>
      <c r="J2167">
        <f>-691.963041156044 -109.591590600032 -556.021829572747</f>
        <v>-1357.5764613288229</v>
      </c>
      <c r="K2167" t="s">
        <v>23798</v>
      </c>
      <c r="L2167" t="s">
        <v>23799</v>
      </c>
      <c r="M2167" t="s">
        <v>23800</v>
      </c>
      <c r="N2167">
        <f>-666.76364661265 -158.8953831099 -558.320629996102</f>
        <v>-1383.9796597186519</v>
      </c>
      <c r="O2167">
        <f>-604.457458884492 -279.141557869097 -534.727240460836</f>
        <v>-1418.3262572144249</v>
      </c>
      <c r="P2167">
        <f>-586.56163630879 -334.913328321522 -246.351679750242</f>
        <v>-1167.8266443805539</v>
      </c>
      <c r="Q2167">
        <f>-463.783613144293 -135.906285019394 -304.426028376638</f>
        <v>-904.11592654032495</v>
      </c>
      <c r="R2167">
        <f>-686.099088880739 -30.0883439692889 -103.351515041346</f>
        <v>-819.53894789137394</v>
      </c>
      <c r="S2167" t="s">
        <v>23801</v>
      </c>
      <c r="T2167" t="s">
        <v>23802</v>
      </c>
      <c r="U2167" t="s">
        <v>23803</v>
      </c>
      <c r="V2167">
        <f>-590.110519324902 -196.025291174013 -95.7910577585756</f>
        <v>-881.92686825749058</v>
      </c>
      <c r="W2167" t="s">
        <v>23804</v>
      </c>
      <c r="X2167" t="s">
        <v>23805</v>
      </c>
      <c r="Y2167" t="s">
        <v>23806</v>
      </c>
    </row>
    <row r="2168" spans="1:25" x14ac:dyDescent="0.3">
      <c r="A2168">
        <v>108350</v>
      </c>
      <c r="B2168" t="s">
        <v>23807</v>
      </c>
      <c r="C2168">
        <f>-638.016078917132 -113.208490586047 -98.526584911135</f>
        <v>-849.75115441431399</v>
      </c>
      <c r="D2168">
        <f>-656.871425775264 -129.339663236624 -211.665851047783</f>
        <v>-997.87694005967103</v>
      </c>
      <c r="E2168">
        <f>-666.640810155434 -135.106875807854 -309.634950583576</f>
        <v>-1111.382636546864</v>
      </c>
      <c r="F2168">
        <f>-673.374862900787 -137.4108724836 -398.447065129924</f>
        <v>-1209.2328005143108</v>
      </c>
      <c r="G2168">
        <f>-677.668635872818 -136.657048009525 -487.437057895553</f>
        <v>-1301.7627417778958</v>
      </c>
      <c r="H2168">
        <f>-681.080840737535 -132.417032665546 -611.900721674958</f>
        <v>-1425.3985950780391</v>
      </c>
      <c r="I2168">
        <f>-660.770365514153 -115.159951054798 -690.607209287626</f>
        <v>-1466.5375258565768</v>
      </c>
      <c r="J2168">
        <f>-692.213996626975 -109.650567485559 -555.944909897637</f>
        <v>-1357.809474010171</v>
      </c>
      <c r="K2168" t="s">
        <v>23808</v>
      </c>
      <c r="L2168" t="s">
        <v>23809</v>
      </c>
      <c r="M2168" t="s">
        <v>23810</v>
      </c>
      <c r="N2168">
        <f>-666.944557246141 -158.915160428409 -558.316024982877</f>
        <v>-1384.175742657427</v>
      </c>
      <c r="O2168">
        <f>-604.401142294238 -279.070539262143 -534.882691022482</f>
        <v>-1418.3543725788629</v>
      </c>
      <c r="P2168">
        <f>-586.656437260352 -334.873177236069 -246.50378433146</f>
        <v>-1168.0333988278812</v>
      </c>
      <c r="Q2168">
        <f>-464.366873032203 -135.547780049404 -304.516665357597</f>
        <v>-904.43131843920401</v>
      </c>
      <c r="R2168">
        <f>-686.128174345875 -30.3934686792604 -103.30670106069</f>
        <v>-819.82834408582539</v>
      </c>
      <c r="S2168" t="s">
        <v>23811</v>
      </c>
      <c r="T2168" t="s">
        <v>23812</v>
      </c>
      <c r="U2168" t="s">
        <v>23813</v>
      </c>
      <c r="V2168">
        <f>-590.012227455558 -196.255520731805 -95.7916209846366</f>
        <v>-882.05936917199949</v>
      </c>
      <c r="W2168" t="s">
        <v>23814</v>
      </c>
      <c r="X2168" t="s">
        <v>23815</v>
      </c>
      <c r="Y2168" t="s">
        <v>23816</v>
      </c>
    </row>
    <row r="2169" spans="1:25" x14ac:dyDescent="0.3">
      <c r="A2169">
        <v>108400</v>
      </c>
      <c r="B2169" t="s">
        <v>23817</v>
      </c>
      <c r="C2169">
        <f>-637.924214735357 -113.696440336335 -98.4720650084682</f>
        <v>-850.09272008016023</v>
      </c>
      <c r="D2169">
        <f>-656.770924254976 -129.801704707409 -211.616419592828</f>
        <v>-998.18904855521293</v>
      </c>
      <c r="E2169">
        <f>-666.635304716791 -135.455630558932 -309.582643866831</f>
        <v>-1111.673579142554</v>
      </c>
      <c r="F2169">
        <f>-673.495324481279 -137.621129780066 -398.388484051909</f>
        <v>-1209.5049383132541</v>
      </c>
      <c r="G2169">
        <f>-677.9554561502 -136.691638068687 -487.368888300675</f>
        <v>-1302.0159825195619</v>
      </c>
      <c r="H2169">
        <f>-681.642217067222 -132.16661871248 -611.814521161802</f>
        <v>-1425.623356941504</v>
      </c>
      <c r="I2169">
        <f>-662.127888843963 -114.844909389678 -690.707973251734</f>
        <v>-1467.6807714853749</v>
      </c>
      <c r="J2169">
        <f>-692.715138294412 -109.561044438202 -555.781622836912</f>
        <v>-1358.057805569526</v>
      </c>
      <c r="K2169" t="s">
        <v>23818</v>
      </c>
      <c r="L2169" t="s">
        <v>23819</v>
      </c>
      <c r="M2169" t="s">
        <v>23820</v>
      </c>
      <c r="N2169">
        <f>-667.324521598208 -158.754783453191 -558.322546792907</f>
        <v>-1384.4018518443058</v>
      </c>
      <c r="O2169">
        <f>-604.423437525126 -278.792947432397 -535.257797882239</f>
        <v>-1418.4741828397619</v>
      </c>
      <c r="P2169">
        <f>-585.855851288718 -334.757123454266 -246.96198161326</f>
        <v>-1167.574956356244</v>
      </c>
      <c r="Q2169">
        <f>-463.736770978049 -135.339804022507 -305.018067098532</f>
        <v>-904.09464209908799</v>
      </c>
      <c r="R2169">
        <f>-686.170318972498 -30.9476500747155 -103.214481139504</f>
        <v>-820.33245018671744</v>
      </c>
      <c r="S2169" t="s">
        <v>23821</v>
      </c>
      <c r="T2169" t="s">
        <v>23822</v>
      </c>
      <c r="U2169" t="s">
        <v>23823</v>
      </c>
      <c r="V2169">
        <f>-589.790989602936 -196.657530751118 -95.7910648964034</f>
        <v>-882.23958525045737</v>
      </c>
      <c r="W2169" t="s">
        <v>23824</v>
      </c>
      <c r="X2169" t="s">
        <v>23825</v>
      </c>
      <c r="Y2169" t="s">
        <v>23826</v>
      </c>
    </row>
    <row r="2170" spans="1:25" x14ac:dyDescent="0.3">
      <c r="A2170">
        <v>108450</v>
      </c>
      <c r="B2170" t="s">
        <v>23827</v>
      </c>
      <c r="C2170">
        <f>-637.847832225462 -113.996754529797 -98.4394842756531</f>
        <v>-850.28407103091206</v>
      </c>
      <c r="D2170">
        <f>-656.689244818587 -130.109260933103 -211.583786063188</f>
        <v>-998.38229181487793</v>
      </c>
      <c r="E2170">
        <f>-666.584019744361 -135.701868326236 -309.550323017004</f>
        <v>-1111.836211087601</v>
      </c>
      <c r="F2170">
        <f>-673.48473898361 -137.785550170046 -398.355150049213</f>
        <v>-1209.6254392028691</v>
      </c>
      <c r="G2170">
        <f>-677.998435078661 -136.747177391112 -487.331453404929</f>
        <v>-1302.0770658747019</v>
      </c>
      <c r="H2170">
        <f>-681.773590029007 -132.041481631811 -611.767900689461</f>
        <v>-1425.5829723502789</v>
      </c>
      <c r="I2170">
        <f>-662.571284457552 -114.670226972821 -690.726923039213</f>
        <v>-1467.9684344695861</v>
      </c>
      <c r="J2170">
        <f>-692.845977692354 -109.53747701567 -555.69393222286</f>
        <v>-1358.0773869308841</v>
      </c>
      <c r="K2170" t="s">
        <v>23828</v>
      </c>
      <c r="L2170" t="s">
        <v>23829</v>
      </c>
      <c r="M2170" t="s">
        <v>23830</v>
      </c>
      <c r="N2170">
        <f>-667.378692786873 -158.68691387308 -558.325243111319</f>
        <v>-1384.3908497712719</v>
      </c>
      <c r="O2170">
        <f>-604.264340492325 -278.655719682903 -535.492131397528</f>
        <v>-1418.412191572756</v>
      </c>
      <c r="P2170">
        <f>-585.054981123347 -335.001167282253 -247.312675671649</f>
        <v>-1167.368824077249</v>
      </c>
      <c r="Q2170">
        <f>-462.97239038679 -135.525406899677 -305.244776735832</f>
        <v>-903.74257402229887</v>
      </c>
      <c r="R2170">
        <f>-686.168076368265 -31.2913217898338 -103.164017216746</f>
        <v>-820.62341537484485</v>
      </c>
      <c r="S2170" t="s">
        <v>23831</v>
      </c>
      <c r="T2170" t="s">
        <v>23832</v>
      </c>
      <c r="U2170" t="s">
        <v>23833</v>
      </c>
      <c r="V2170">
        <f>-589.632730343855 -196.913407455584 -95.7811236747156</f>
        <v>-882.32726147415451</v>
      </c>
      <c r="W2170" t="s">
        <v>23834</v>
      </c>
      <c r="X2170" t="s">
        <v>23835</v>
      </c>
      <c r="Y2170" t="s">
        <v>23836</v>
      </c>
    </row>
    <row r="2171" spans="1:25" x14ac:dyDescent="0.3">
      <c r="A2171">
        <v>108500</v>
      </c>
      <c r="B2171" t="s">
        <v>23837</v>
      </c>
      <c r="C2171">
        <f>-637.65736561658 -114.47507743528 -98.3758157771081</f>
        <v>-850.50825882896811</v>
      </c>
      <c r="D2171">
        <f>-656.49272197363 -130.643575350428 -211.512975431377</f>
        <v>-998.64927275543494</v>
      </c>
      <c r="E2171">
        <f>-666.427482979294 -136.113509343326 -309.482698255934</f>
        <v>-1112.0236905785541</v>
      </c>
      <c r="F2171">
        <f>-673.38066554549 -138.018873205057 -398.287235058267</f>
        <v>-1209.686773808814</v>
      </c>
      <c r="G2171">
        <f>-677.964542917939 -136.732441762901 -487.256756367084</f>
        <v>-1301.9537410479238</v>
      </c>
      <c r="H2171">
        <f>-681.856083604763 -131.606446773096 -611.673006146927</f>
        <v>-1425.1355365247859</v>
      </c>
      <c r="I2171">
        <f>-663.192664537418 -114.073787460721 -690.725513397893</f>
        <v>-1467.9919653960319</v>
      </c>
      <c r="J2171">
        <f>-693.025355935542 -109.370120450563 -555.511532635963</f>
        <v>-1357.907009022068</v>
      </c>
      <c r="K2171" t="s">
        <v>23838</v>
      </c>
      <c r="L2171" t="s">
        <v>23839</v>
      </c>
      <c r="M2171" t="s">
        <v>23840</v>
      </c>
      <c r="N2171">
        <f>-667.261872236984 -158.354163459956 -558.335493384428</f>
        <v>-1383.9515290813679</v>
      </c>
      <c r="O2171">
        <f>-603.347219451772 -277.99249588105 -535.969713229955</f>
        <v>-1417.3094285627772</v>
      </c>
      <c r="P2171">
        <f>-583.104917630196 -335.272912974809 -248.04532291914</f>
        <v>-1166.4231535241452</v>
      </c>
      <c r="Q2171">
        <f>-462.029362128645 -134.925215193209 -305.075020203814</f>
        <v>-902.02959752566801</v>
      </c>
      <c r="R2171">
        <f>-686.288561795383 -32.0698222181709 -103.036154080885</f>
        <v>-821.39453809443887</v>
      </c>
      <c r="S2171" t="s">
        <v>23841</v>
      </c>
      <c r="T2171" t="s">
        <v>23842</v>
      </c>
      <c r="U2171" t="s">
        <v>23843</v>
      </c>
      <c r="V2171">
        <f>-589.097930072236 -197.100525054814 -95.7810088636159</f>
        <v>-881.97946399066586</v>
      </c>
      <c r="W2171" t="s">
        <v>23844</v>
      </c>
      <c r="X2171" t="s">
        <v>23845</v>
      </c>
      <c r="Y2171" t="s">
        <v>23846</v>
      </c>
    </row>
    <row r="2172" spans="1:25" x14ac:dyDescent="0.3">
      <c r="A2172">
        <v>108550</v>
      </c>
      <c r="B2172" t="s">
        <v>23847</v>
      </c>
      <c r="C2172">
        <f>-637.543045520174 -115.022139958561 -98.3168498505943</f>
        <v>-850.88203532932926</v>
      </c>
      <c r="D2172">
        <f>-656.353288793944 -131.218040956546 -211.454218048527</f>
        <v>-999.02554779901698</v>
      </c>
      <c r="E2172">
        <f>-666.287491390073 -136.638956387675 -309.426623210485</f>
        <v>-1112.353070988233</v>
      </c>
      <c r="F2172">
        <f>-673.248392770392 -138.471656651295 -398.232175452483</f>
        <v>-1209.95222487417</v>
      </c>
      <c r="G2172">
        <f>-677.849235900526 -137.082138715731 -487.199344163921</f>
        <v>-1302.1307187801781</v>
      </c>
      <c r="H2172">
        <f>-681.774787575861 -131.779732107819 -611.606982721189</f>
        <v>-1425.1615024048688</v>
      </c>
      <c r="I2172">
        <f>-663.323878708994 -114.127672420352 -690.682836469765</f>
        <v>-1468.1343875991111</v>
      </c>
      <c r="J2172">
        <f>-693.027326607031 -109.675249604705 -555.41017976965</f>
        <v>-1358.1127559813858</v>
      </c>
      <c r="K2172" t="s">
        <v>23848</v>
      </c>
      <c r="L2172" t="s">
        <v>23849</v>
      </c>
      <c r="M2172" t="s">
        <v>23850</v>
      </c>
      <c r="N2172">
        <f>-667.067373433261 -158.550909943153 -558.312439501406</f>
        <v>-1383.9307228778198</v>
      </c>
      <c r="O2172">
        <f>-602.633640303481 -277.937456291408 -536.130023823898</f>
        <v>-1416.701120418787</v>
      </c>
      <c r="P2172">
        <f>-582.119583203889 -335.382649551681 -248.257779969117</f>
        <v>-1165.7600127246869</v>
      </c>
      <c r="Q2172">
        <f>-461.574813573686 -134.622374074278 -304.960231567849</f>
        <v>-901.15741921581298</v>
      </c>
      <c r="R2172">
        <f>-686.334085218022 -32.7277041286716 -102.937191468919</f>
        <v>-821.99898081561253</v>
      </c>
      <c r="S2172" t="s">
        <v>23851</v>
      </c>
      <c r="T2172" t="s">
        <v>23852</v>
      </c>
      <c r="U2172" t="s">
        <v>23853</v>
      </c>
      <c r="V2172">
        <f>-588.80402518056 -197.638112916032 -95.741561665959</f>
        <v>-882.18369976255099</v>
      </c>
      <c r="W2172" t="s">
        <v>23854</v>
      </c>
      <c r="X2172" t="s">
        <v>23855</v>
      </c>
      <c r="Y2172" t="s">
        <v>23856</v>
      </c>
    </row>
    <row r="2173" spans="1:25" x14ac:dyDescent="0.3">
      <c r="A2173">
        <v>108600</v>
      </c>
      <c r="B2173" t="s">
        <v>23857</v>
      </c>
      <c r="C2173">
        <f>-637.276295960894 -116.014168234681 -98.187774848852</f>
        <v>-851.47823904442691</v>
      </c>
      <c r="D2173">
        <f>-656.014507331077 -132.335953545861 -211.319027663442</f>
        <v>-999.66948854037992</v>
      </c>
      <c r="E2173">
        <f>-665.971835015739 -137.721683964214 -309.291117177811</f>
        <v>-1112.9846361577638</v>
      </c>
      <c r="F2173">
        <f>-672.98543959268 -139.467239843128 -398.094267240711</f>
        <v>-1210.5469466765189</v>
      </c>
      <c r="G2173">
        <f>-677.672085570399 -137.932626533539 -487.054404654373</f>
        <v>-1302.659116758311</v>
      </c>
      <c r="H2173">
        <f>-681.75208641771 -132.366306538792 -611.445739358303</f>
        <v>-1425.564132314805</v>
      </c>
      <c r="I2173">
        <f>-663.705434173639 -114.444094313697 -690.55425999913</f>
        <v>-1468.7037884864658</v>
      </c>
      <c r="J2173">
        <f>-693.109991570256 -110.475079034813 -555.186655461577</f>
        <v>-1358.7717260666459</v>
      </c>
      <c r="K2173" t="s">
        <v>23858</v>
      </c>
      <c r="L2173" t="s">
        <v>23859</v>
      </c>
      <c r="M2173" t="s">
        <v>23860</v>
      </c>
      <c r="N2173">
        <f>-666.803417451859 -159.156485584347 -558.22795031123</f>
        <v>-1384.187853347436</v>
      </c>
      <c r="O2173">
        <f>-601.380135978474 -278.062429520867 -536.305050594331</f>
        <v>-1415.7476160936719</v>
      </c>
      <c r="P2173">
        <f>-579.87256673823 -335.489401932705 -248.501689328095</f>
        <v>-1163.86365799903</v>
      </c>
      <c r="Q2173">
        <f>-460.308542535331 -134.064033620256 -304.921218881313</f>
        <v>-899.29379503690006</v>
      </c>
      <c r="R2173">
        <f>-686.494193050092 -33.9947680623243 -102.782088262408</f>
        <v>-823.27104937482432</v>
      </c>
      <c r="S2173" t="s">
        <v>23861</v>
      </c>
      <c r="T2173" t="s">
        <v>23862</v>
      </c>
      <c r="U2173" t="s">
        <v>23863</v>
      </c>
      <c r="V2173">
        <f>-588.198785478553 -198.258651067512 -95.6517715073402</f>
        <v>-882.10920805340515</v>
      </c>
      <c r="W2173" t="s">
        <v>23864</v>
      </c>
      <c r="X2173" t="s">
        <v>23865</v>
      </c>
      <c r="Y2173" t="s">
        <v>23866</v>
      </c>
    </row>
    <row r="2174" spans="1:25" x14ac:dyDescent="0.3">
      <c r="A2174">
        <v>108650</v>
      </c>
      <c r="B2174" t="s">
        <v>23867</v>
      </c>
      <c r="C2174">
        <f>-637.177063958267 -116.359017366435 -98.1316298270523</f>
        <v>-851.66771115175425</v>
      </c>
      <c r="D2174">
        <f>-655.910549198979 -132.744494261341 -211.254528606134</f>
        <v>-999.90957206645407</v>
      </c>
      <c r="E2174">
        <f>-665.890876125425 -138.130038292652 -309.224108483863</f>
        <v>-1113.24502290194</v>
      </c>
      <c r="F2174">
        <f>-672.935458997823 -139.854389872037 -398.025349739314</f>
        <v>-1210.8151986091741</v>
      </c>
      <c r="G2174">
        <f>-677.663849443707 -138.276178613096 -486.982527015584</f>
        <v>-1302.922555072387</v>
      </c>
      <c r="H2174">
        <f>-681.813815126179 -132.624864134098 -611.36774936318</f>
        <v>-1425.8064286234571</v>
      </c>
      <c r="I2174">
        <f>-663.917200339716 -114.589162013437 -690.484305441729</f>
        <v>-1468.990667794882</v>
      </c>
      <c r="J2174">
        <f>-693.224399510643 -110.817835669734 -555.086564246401</f>
        <v>-1359.1287994267782</v>
      </c>
      <c r="K2174" t="s">
        <v>23868</v>
      </c>
      <c r="L2174" t="s">
        <v>23869</v>
      </c>
      <c r="M2174" t="s">
        <v>23870</v>
      </c>
      <c r="N2174">
        <f>-666.750827078045 -159.405588302354 -558.177400142911</f>
        <v>-1384.33381552331</v>
      </c>
      <c r="O2174">
        <f>-600.838025114846 -278.054256467965 -536.350461763472</f>
        <v>-1415.2427433462831</v>
      </c>
      <c r="P2174">
        <f>-578.83056592257 -335.515607657709 -248.591830296321</f>
        <v>-1162.9380038766001</v>
      </c>
      <c r="Q2174">
        <f>-459.853781461711 -133.7157878522 -304.91457679421</f>
        <v>-898.48414610812097</v>
      </c>
      <c r="R2174">
        <f>-686.595711054687 -34.4863888055277 -102.737704670723</f>
        <v>-823.81980453093763</v>
      </c>
      <c r="S2174" t="s">
        <v>23871</v>
      </c>
      <c r="T2174" t="s">
        <v>23872</v>
      </c>
      <c r="U2174" t="s">
        <v>23873</v>
      </c>
      <c r="V2174">
        <f>-587.881625065362 -198.457253377766 -95.6115156268563</f>
        <v>-881.95039406998421</v>
      </c>
      <c r="W2174" t="s">
        <v>23874</v>
      </c>
      <c r="X2174" t="s">
        <v>23875</v>
      </c>
      <c r="Y2174" t="s">
        <v>23876</v>
      </c>
    </row>
    <row r="2175" spans="1:25" x14ac:dyDescent="0.3">
      <c r="A2175">
        <v>108700</v>
      </c>
      <c r="B2175" t="s">
        <v>23877</v>
      </c>
      <c r="C2175">
        <f>-636.885008701849 -117.267849371881 -98.0704093596789</f>
        <v>-852.22326743340886</v>
      </c>
      <c r="D2175">
        <f>-655.612582538153 -133.757138796712 -211.179251013651</f>
        <v>-1000.548972348516</v>
      </c>
      <c r="E2175">
        <f>-665.644509684616 -139.141712552214 -309.143630465877</f>
        <v>-1113.929852702707</v>
      </c>
      <c r="F2175">
        <f>-672.757677752876 -140.830403973747 -397.939924655238</f>
        <v>-1211.5280063818609</v>
      </c>
      <c r="G2175">
        <f>-677.577827693032 -139.179247162671 -486.890911323992</f>
        <v>-1303.647986179695</v>
      </c>
      <c r="H2175">
        <f>-681.880815439156 -133.386411055321 -611.264344882696</f>
        <v>-1426.5315713771729</v>
      </c>
      <c r="I2175">
        <f>-664.240481503588 -115.168199859236 -690.396683394608</f>
        <v>-1469.805364757432</v>
      </c>
      <c r="J2175">
        <f>-693.36704083815 -111.723098230843 -554.943164084334</f>
        <v>-1360.0333031533269</v>
      </c>
      <c r="K2175" t="s">
        <v>23878</v>
      </c>
      <c r="L2175" t="s">
        <v>23879</v>
      </c>
      <c r="M2175" t="s">
        <v>23880</v>
      </c>
      <c r="N2175">
        <f>-666.607601820555 -160.148015505135 -558.124449444099</f>
        <v>-1384.8800667697892</v>
      </c>
      <c r="O2175">
        <f>-599.920920862659 -278.397539309578 -536.478592259035</f>
        <v>-1414.7970524312723</v>
      </c>
      <c r="P2175">
        <f>-576.78418702359 -335.829871395031 -248.80277009287</f>
        <v>-1161.4168285114911</v>
      </c>
      <c r="Q2175">
        <f>-458.983704352564 -133.332846163926 -305.095569317242</f>
        <v>-897.41211983373205</v>
      </c>
      <c r="R2175">
        <f>-686.671510655825 -35.5096939502384 -102.661691168684</f>
        <v>-824.84289577474749</v>
      </c>
      <c r="S2175" t="s">
        <v>23881</v>
      </c>
      <c r="T2175" t="s">
        <v>23882</v>
      </c>
      <c r="U2175" t="s">
        <v>23883</v>
      </c>
      <c r="V2175">
        <f>-587.196948166662 -199.343513201303 -95.5636490112339</f>
        <v>-882.10411037919891</v>
      </c>
      <c r="W2175" t="s">
        <v>23884</v>
      </c>
      <c r="X2175" t="s">
        <v>23885</v>
      </c>
      <c r="Y2175" t="s">
        <v>23886</v>
      </c>
    </row>
    <row r="2176" spans="1:25" x14ac:dyDescent="0.3">
      <c r="A2176">
        <v>108750</v>
      </c>
      <c r="B2176" t="s">
        <v>23887</v>
      </c>
      <c r="C2176">
        <f>-636.726013471465 -117.761269531198 -98.0623923076578</f>
        <v>-852.54967531032071</v>
      </c>
      <c r="D2176">
        <f>-655.435599327529 -134.29215669026 -211.168097937682</f>
        <v>-1000.8958539554709</v>
      </c>
      <c r="E2176">
        <f>-665.474795883977 -139.664139003124 -309.132530763603</f>
        <v>-1114.2714656507039</v>
      </c>
      <c r="F2176">
        <f>-672.602806584257 -141.322615927204 -397.928188649057</f>
        <v>-1211.8536111605181</v>
      </c>
      <c r="G2176">
        <f>-677.446651283928 -139.621805391316 -486.876993716837</f>
        <v>-1303.9454503920811</v>
      </c>
      <c r="H2176">
        <f>-681.791908510398 -133.738943219157 -611.244672408605</f>
        <v>-1426.7755241381601</v>
      </c>
      <c r="I2176">
        <f>-664.252246368044 -115.459343231833 -690.385377232847</f>
        <v>-1470.0969668327239</v>
      </c>
      <c r="J2176">
        <f>-693.317534192539 -112.148890013791 -554.903343256574</f>
        <v>-1360.3697674629038</v>
      </c>
      <c r="K2176" t="s">
        <v>23888</v>
      </c>
      <c r="L2176" t="s">
        <v>23889</v>
      </c>
      <c r="M2176" t="s">
        <v>23890</v>
      </c>
      <c r="N2176">
        <f>-666.442099023864 -160.506571847175 -558.129787689309</f>
        <v>-1385.0784585603478</v>
      </c>
      <c r="O2176">
        <f>-599.435313178455 -278.590018858807 -536.568202418557</f>
        <v>-1414.5935344558188</v>
      </c>
      <c r="P2176">
        <f>-575.877684307975 -336.039134977731 -248.929769872114</f>
        <v>-1160.8465891578201</v>
      </c>
      <c r="Q2176">
        <f>-458.583326580834 -133.261094643226 -305.267947368049</f>
        <v>-897.11236859210896</v>
      </c>
      <c r="R2176">
        <f>-686.695083976903 -36.0794215715018 -102.635046486734</f>
        <v>-825.40955203513886</v>
      </c>
      <c r="S2176" t="s">
        <v>23891</v>
      </c>
      <c r="T2176" t="s">
        <v>23892</v>
      </c>
      <c r="U2176" t="s">
        <v>23893</v>
      </c>
      <c r="V2176">
        <f>-586.852797531706 -199.694305610698 -95.5526934940275</f>
        <v>-882.09979663643151</v>
      </c>
      <c r="W2176" t="s">
        <v>23894</v>
      </c>
      <c r="X2176" t="s">
        <v>23895</v>
      </c>
      <c r="Y2176" t="s">
        <v>23896</v>
      </c>
    </row>
    <row r="2177" spans="1:25" x14ac:dyDescent="0.3">
      <c r="A2177">
        <v>108800</v>
      </c>
      <c r="B2177" t="s">
        <v>23897</v>
      </c>
      <c r="C2177">
        <f>-636.53878196161 -118.536234403488 -98.0274736140796</f>
        <v>-853.10248997917756</v>
      </c>
      <c r="D2177">
        <f>-655.166649652108 -135.103170871772 -211.141446965908</f>
        <v>-1001.4112674897881</v>
      </c>
      <c r="E2177">
        <f>-665.187562003581 -140.456634174437 -309.108681313423</f>
        <v>-1114.752877491441</v>
      </c>
      <c r="F2177">
        <f>-672.317970906114 -142.080577605309 -397.904854076212</f>
        <v>-1212.303402587635</v>
      </c>
      <c r="G2177">
        <f>-677.183416464919 -140.326242306787 -486.85140084735</f>
        <v>-1304.361059619056</v>
      </c>
      <c r="H2177">
        <f>-681.578894272789 -134.348551678409 -611.212797534493</f>
        <v>-1427.1402434856909</v>
      </c>
      <c r="I2177">
        <f>-664.174530614676 -116.029270297559 -690.374179636416</f>
        <v>-1470.5779805486509</v>
      </c>
      <c r="J2177">
        <f>-693.176062464895 -112.854138448795 -554.849650545793</f>
        <v>-1360.879851459483</v>
      </c>
      <c r="K2177" t="s">
        <v>23898</v>
      </c>
      <c r="L2177" t="s">
        <v>23899</v>
      </c>
      <c r="M2177" t="s">
        <v>23900</v>
      </c>
      <c r="N2177">
        <f>-666.113183300054 -161.103884942254 -558.125355096514</f>
        <v>-1385.3424233388218</v>
      </c>
      <c r="O2177">
        <f>-598.567685127448 -278.905411452293 -536.699683477212</f>
        <v>-1414.1727800569529</v>
      </c>
      <c r="P2177">
        <f>-574.404542345429 -336.325959920254 -249.10583218315</f>
        <v>-1159.836334448833</v>
      </c>
      <c r="Q2177">
        <f>-457.923492502097 -133.089182894462 -305.47822772809</f>
        <v>-896.49090312464898</v>
      </c>
      <c r="R2177">
        <f>-686.77683415644 -37.1543513128918 -102.557137152332</f>
        <v>-826.48832262166377</v>
      </c>
      <c r="S2177" t="s">
        <v>23901</v>
      </c>
      <c r="T2177" t="s">
        <v>23902</v>
      </c>
      <c r="U2177" t="s">
        <v>23903</v>
      </c>
      <c r="V2177">
        <f>-586.410889516139 -200.143187550625 -95.5209499432807</f>
        <v>-882.07502701004466</v>
      </c>
      <c r="W2177" t="s">
        <v>23904</v>
      </c>
      <c r="X2177" t="s">
        <v>23905</v>
      </c>
      <c r="Y2177" t="s">
        <v>23906</v>
      </c>
    </row>
    <row r="2178" spans="1:25" x14ac:dyDescent="0.3">
      <c r="A2178">
        <v>108850</v>
      </c>
      <c r="B2178" t="s">
        <v>23907</v>
      </c>
      <c r="C2178">
        <f>-636.411605666628 -118.903777651528 -97.9788986194731</f>
        <v>-853.29428193762908</v>
      </c>
      <c r="D2178">
        <f>-655.013736701905 -135.514431203447 -211.090565873068</f>
        <v>-1001.6187337784199</v>
      </c>
      <c r="E2178">
        <f>-665.04228375016 -140.879746577007 -309.056388842026</f>
        <v>-1114.9784191691931</v>
      </c>
      <c r="F2178">
        <f>-672.190749198602 -142.505147157788 -397.851039823973</f>
        <v>-1212.546936180363</v>
      </c>
      <c r="G2178">
        <f>-677.085713349578 -140.742036878351 -486.795914090849</f>
        <v>-1304.6236643187781</v>
      </c>
      <c r="H2178">
        <f>-681.533969664398 -134.741608984889 -611.154311096696</f>
        <v>-1427.429889745983</v>
      </c>
      <c r="I2178">
        <f>-664.181147744766 -116.401189666627 -690.321983458041</f>
        <v>-1470.9043208694341</v>
      </c>
      <c r="J2178">
        <f>-693.150985181486 -113.282072786315 -554.781921754933</f>
        <v>-1361.2149797227339</v>
      </c>
      <c r="K2178" t="s">
        <v>23908</v>
      </c>
      <c r="L2178" t="s">
        <v>23909</v>
      </c>
      <c r="M2178" t="s">
        <v>23910</v>
      </c>
      <c r="N2178">
        <f>-666.002040086204 -161.48204718076 -558.078709709381</f>
        <v>-1385.562796976345</v>
      </c>
      <c r="O2178">
        <f>-598.214518134661 -279.154345777055 -536.70631351479</f>
        <v>-1414.0751774265061</v>
      </c>
      <c r="P2178">
        <f>-573.756647659111 -336.477448781928 -249.117930907547</f>
        <v>-1159.3520273485858</v>
      </c>
      <c r="Q2178">
        <f>-457.591694540739 -133.043515476837 -305.431556370742</f>
        <v>-896.066766388318</v>
      </c>
      <c r="R2178">
        <f>-686.788139087162 -37.6417455083938 -102.520651892524</f>
        <v>-826.95053648807982</v>
      </c>
      <c r="S2178" t="s">
        <v>23911</v>
      </c>
      <c r="T2178" t="s">
        <v>23912</v>
      </c>
      <c r="U2178" t="s">
        <v>23913</v>
      </c>
      <c r="V2178">
        <f>-586.136741484659 -200.439325255792 -95.49134960719</f>
        <v>-882.06741634764103</v>
      </c>
      <c r="W2178" t="s">
        <v>23914</v>
      </c>
      <c r="X2178" t="s">
        <v>23915</v>
      </c>
      <c r="Y2178" t="s">
        <v>23916</v>
      </c>
    </row>
    <row r="2179" spans="1:25" x14ac:dyDescent="0.3">
      <c r="A2179">
        <v>108900</v>
      </c>
      <c r="B2179" t="s">
        <v>23917</v>
      </c>
      <c r="C2179">
        <f>-636.044227598158 -119.514187888028 -97.90560264332</f>
        <v>-853.46401812950603</v>
      </c>
      <c r="D2179">
        <f>-654.686975669753 -136.263245242382 -210.990234923745</f>
        <v>-1001.94045583588</v>
      </c>
      <c r="E2179">
        <f>-664.781453864914 -141.68107282978 -308.946485279131</f>
        <v>-1115.409011973825</v>
      </c>
      <c r="F2179">
        <f>-672.000385278745 -143.32869786372 -397.734954747447</f>
        <v>-1213.064037889912</v>
      </c>
      <c r="G2179">
        <f>-676.976957653614 -141.56144443875 -486.67512366542</f>
        <v>-1305.2135257577841</v>
      </c>
      <c r="H2179">
        <f>-681.550846909684 -135.52725525101 -611.02738912817</f>
        <v>-1428.105491288864</v>
      </c>
      <c r="I2179">
        <f>-664.28026371233 -117.147236606266 -690.203906513597</f>
        <v>-1471.6314068321931</v>
      </c>
      <c r="J2179">
        <f>-693.199785666111 -114.133407698004 -554.636641516109</f>
        <v>-1361.969834880224</v>
      </c>
      <c r="K2179" t="s">
        <v>23918</v>
      </c>
      <c r="L2179" t="s">
        <v>23919</v>
      </c>
      <c r="M2179" t="s">
        <v>23920</v>
      </c>
      <c r="N2179">
        <f>-665.876408106911 -162.231743749529 -557.975605608326</f>
        <v>-1386.0837574647658</v>
      </c>
      <c r="O2179">
        <f>-597.566624284175 -279.61378647599 -536.677050244933</f>
        <v>-1413.8574610050978</v>
      </c>
      <c r="P2179">
        <f>-572.462240657099 -336.798699881067 -249.116953365341</f>
        <v>-1158.3778939035069</v>
      </c>
      <c r="Q2179">
        <f>-456.998373521601 -132.91320638729 -305.238842415924</f>
        <v>-895.15042232481505</v>
      </c>
      <c r="R2179">
        <f>-686.703613283177 -38.5109915368855 -102.459682904595</f>
        <v>-827.67428772465746</v>
      </c>
      <c r="S2179" t="s">
        <v>23921</v>
      </c>
      <c r="T2179" t="s">
        <v>23922</v>
      </c>
      <c r="U2179" t="s">
        <v>23923</v>
      </c>
      <c r="V2179">
        <f>-585.45704678557 -200.7689722564 -95.4298950125263</f>
        <v>-881.65591405449629</v>
      </c>
      <c r="W2179" t="s">
        <v>23924</v>
      </c>
      <c r="X2179" t="s">
        <v>23925</v>
      </c>
      <c r="Y2179" t="s">
        <v>23926</v>
      </c>
    </row>
    <row r="2180" spans="1:25" x14ac:dyDescent="0.3">
      <c r="A2180">
        <v>108950</v>
      </c>
      <c r="B2180" t="s">
        <v>23927</v>
      </c>
      <c r="C2180">
        <f>-635.846557266093 -119.860160453015 -97.886836237525</f>
        <v>-853.59355395663295</v>
      </c>
      <c r="D2180">
        <f>-654.525912547163 -136.667400495926 -210.956795249868</f>
        <v>-1002.150108292957</v>
      </c>
      <c r="E2180">
        <f>-664.669209947666 -142.116876309176 -308.90616861641</f>
        <v>-1115.6922548732521</v>
      </c>
      <c r="F2180">
        <f>-671.938208095698 -143.786785131442 -397.690267552738</f>
        <v>-1213.4152607798781</v>
      </c>
      <c r="G2180">
        <f>-676.970929537138 -142.034837445935 -486.627489930431</f>
        <v>-1305.6332569135041</v>
      </c>
      <c r="H2180">
        <f>-681.629670539469 -136.014759475559 -610.977301244933</f>
        <v>-1428.6217312599611</v>
      </c>
      <c r="I2180">
        <f>-664.400473523695 -117.617856195829 -690.159015924874</f>
        <v>-1472.177345644398</v>
      </c>
      <c r="J2180">
        <f>-693.284145534797 -114.639590872691 -554.580650398725</f>
        <v>-1362.504386806213</v>
      </c>
      <c r="K2180" t="s">
        <v>23928</v>
      </c>
      <c r="L2180" t="s">
        <v>23929</v>
      </c>
      <c r="M2180" t="s">
        <v>23930</v>
      </c>
      <c r="N2180">
        <f>-665.875011434054 -162.688157427273 -557.933722694272</f>
        <v>-1386.4968915555992</v>
      </c>
      <c r="O2180">
        <f>-597.316489267576 -279.930052908372 -536.671716400705</f>
        <v>-1413.918258576653</v>
      </c>
      <c r="P2180">
        <f>-571.870815466286 -336.991702006461 -249.1170240694</f>
        <v>-1157.979541542147</v>
      </c>
      <c r="Q2180">
        <f>-456.80181137098 -132.880700958143 -305.230742944594</f>
        <v>-894.91325527371703</v>
      </c>
      <c r="R2180">
        <f>-686.685123206798 -38.9108710551682 -102.432362059421</f>
        <v>-828.02835632138726</v>
      </c>
      <c r="S2180" t="s">
        <v>23931</v>
      </c>
      <c r="T2180" t="s">
        <v>23932</v>
      </c>
      <c r="U2180" t="s">
        <v>23933</v>
      </c>
      <c r="V2180">
        <f>-585.096337637281 -201.07283820878 -95.4152266076444</f>
        <v>-881.58440245370537</v>
      </c>
      <c r="W2180" t="s">
        <v>23934</v>
      </c>
      <c r="X2180" t="s">
        <v>23935</v>
      </c>
      <c r="Y2180" t="s">
        <v>23936</v>
      </c>
    </row>
    <row r="2181" spans="1:25" x14ac:dyDescent="0.3">
      <c r="A2181">
        <v>109000</v>
      </c>
      <c r="B2181" t="s">
        <v>23937</v>
      </c>
      <c r="C2181">
        <f>-635.416288682267 -120.528825015297 -97.8787662565917</f>
        <v>-853.8238799541557</v>
      </c>
      <c r="D2181">
        <f>-654.128021398512 -137.468198933394 -210.923658535108</f>
        <v>-1002.519878867014</v>
      </c>
      <c r="E2181">
        <f>-664.334402350154 -142.985243057455 -308.862702512942</f>
        <v>-1116.1823479205511</v>
      </c>
      <c r="F2181">
        <f>-671.673364248482 -144.69929809482 -397.640224506845</f>
        <v>-1214.012886850147</v>
      </c>
      <c r="G2181">
        <f>-676.789639848133 -142.973106484605 -486.573287626644</f>
        <v>-1306.3360339593821</v>
      </c>
      <c r="H2181">
        <f>-681.579270802172 -136.969350945549 -610.91885994208</f>
        <v>-1429.4674816898009</v>
      </c>
      <c r="I2181">
        <f>-664.398601901752 -118.485008839945 -690.090628105561</f>
        <v>-1472.974238847258</v>
      </c>
      <c r="J2181">
        <f>-693.274119027763 -115.644031777053 -554.511639645058</f>
        <v>-1363.429790449874</v>
      </c>
      <c r="K2181" t="s">
        <v>23938</v>
      </c>
      <c r="L2181" t="s">
        <v>23939</v>
      </c>
      <c r="M2181" t="s">
        <v>23940</v>
      </c>
      <c r="N2181">
        <f>-665.669061222985 -163.578586489381 -557.889369563857</f>
        <v>-1387.1370172762231</v>
      </c>
      <c r="O2181">
        <f>-596.588612891024 -280.529365689165 -536.667124832296</f>
        <v>-1413.7851034124851</v>
      </c>
      <c r="P2181">
        <f>-570.58177758758 -337.270417618368 -249.099181033789</f>
        <v>-1156.9513762397369</v>
      </c>
      <c r="Q2181">
        <f>-456.290737881904 -132.765411494509 -305.367121147261</f>
        <v>-894.42327052367409</v>
      </c>
      <c r="R2181">
        <f>-686.600268293324 -39.7217564849977 -102.410827622846</f>
        <v>-828.73285240116775</v>
      </c>
      <c r="S2181" t="s">
        <v>23941</v>
      </c>
      <c r="T2181" t="s">
        <v>23942</v>
      </c>
      <c r="U2181" t="s">
        <v>23943</v>
      </c>
      <c r="V2181">
        <f>-584.330924683571 -201.609574968755 -95.3955136487241</f>
        <v>-881.33601330105012</v>
      </c>
      <c r="W2181" t="s">
        <v>23944</v>
      </c>
      <c r="X2181" t="s">
        <v>23945</v>
      </c>
      <c r="Y2181" t="s">
        <v>23946</v>
      </c>
    </row>
    <row r="2182" spans="1:25" x14ac:dyDescent="0.3">
      <c r="A2182">
        <v>109050</v>
      </c>
      <c r="B2182" t="s">
        <v>23947</v>
      </c>
      <c r="C2182">
        <f>-635.232836850707 -120.889973045621 -97.8474642538537</f>
        <v>-853.97027415018169</v>
      </c>
      <c r="D2182">
        <f>-653.996725243522 -137.896299362837 -210.873688073594</f>
        <v>-1002.7667126799529</v>
      </c>
      <c r="E2182">
        <f>-664.249770896508 -143.429972171245 -308.806785731088</f>
        <v>-1116.4865287988409</v>
      </c>
      <c r="F2182">
        <f>-671.630631865478 -145.143588050091 -397.580899489862</f>
        <v>-1214.355119405431</v>
      </c>
      <c r="G2182">
        <f>-676.788938279382 -143.400666466138 -486.511191828156</f>
        <v>-1306.7007965736759</v>
      </c>
      <c r="H2182">
        <f>-681.637316258411 -137.356688665404 -610.852516580928</f>
        <v>-1429.8465215047431</v>
      </c>
      <c r="I2182">
        <f>-664.475899772727 -118.809868468669 -690.013896578777</f>
        <v>-1473.2996648201729</v>
      </c>
      <c r="J2182">
        <f>-693.356166168454 -116.078962732619 -554.432421626468</f>
        <v>-1363.867550527541</v>
      </c>
      <c r="K2182" t="s">
        <v>23948</v>
      </c>
      <c r="L2182" t="s">
        <v>23949</v>
      </c>
      <c r="M2182" t="s">
        <v>23950</v>
      </c>
      <c r="N2182">
        <f>-665.65139852222 -163.953771667596 -557.839774774749</f>
        <v>-1387.4449449645649</v>
      </c>
      <c r="O2182">
        <f>-596.312792708008 -280.752980072236 -536.656642013673</f>
        <v>-1413.7224147939171</v>
      </c>
      <c r="P2182">
        <f>-569.983430659062 -337.420301699434 -249.103600736125</f>
        <v>-1156.5073330946209</v>
      </c>
      <c r="Q2182">
        <f>-456.134369261678 -132.694771860159 -305.465701030831</f>
        <v>-894.29484215266802</v>
      </c>
      <c r="R2182">
        <f>-686.609725701928 -40.1487549139374 -102.365557006071</f>
        <v>-829.1240376219364</v>
      </c>
      <c r="S2182" t="s">
        <v>23951</v>
      </c>
      <c r="T2182" t="s">
        <v>23952</v>
      </c>
      <c r="U2182" t="s">
        <v>23953</v>
      </c>
      <c r="V2182">
        <f>-583.971219528126 -201.900496271487 -95.3889457634832</f>
        <v>-881.26066156309616</v>
      </c>
      <c r="W2182" t="s">
        <v>23954</v>
      </c>
      <c r="X2182" t="s">
        <v>23955</v>
      </c>
      <c r="Y2182" t="s">
        <v>23956</v>
      </c>
    </row>
    <row r="2183" spans="1:25" x14ac:dyDescent="0.3">
      <c r="A2183">
        <v>109100</v>
      </c>
      <c r="B2183" t="s">
        <v>23957</v>
      </c>
      <c r="C2183">
        <f>-634.893342759354 -121.389974731385 -97.8215850122522</f>
        <v>-854.10490250299119</v>
      </c>
      <c r="D2183">
        <f>-653.712301506466 -138.57895106224 -210.811002538737</f>
        <v>-1003.1022551074429</v>
      </c>
      <c r="E2183">
        <f>-664.044877342485 -144.153074101684 -308.733613771287</f>
        <v>-1116.9315652154562</v>
      </c>
      <c r="F2183">
        <f>-671.50835237957 -145.858383276277 -397.500889415265</f>
        <v>-1214.8676250711121</v>
      </c>
      <c r="G2183">
        <f>-676.759922534668 -144.060798131536 -486.424614461325</f>
        <v>-1307.245335127529</v>
      </c>
      <c r="H2183">
        <f>-681.749490635819 -137.891643868581 -610.754287022158</f>
        <v>-1430.395421526558</v>
      </c>
      <c r="I2183">
        <f>-664.598227579062 -119.25175221671 -689.896080429687</f>
        <v>-1473.7460602254591</v>
      </c>
      <c r="J2183">
        <f>-693.510465273162 -116.732530904077 -554.298301781929</f>
        <v>-1364.5412979591679</v>
      </c>
      <c r="K2183">
        <f>-761.744302665194 -0.430645900161153 -527.564621264661</f>
        <v>-1289.7395698300161</v>
      </c>
      <c r="L2183" t="s">
        <v>23958</v>
      </c>
      <c r="M2183" t="s">
        <v>23959</v>
      </c>
      <c r="N2183">
        <f>-665.597200735288 -164.480221586632 -557.787641724803</f>
        <v>-1387.8650640467231</v>
      </c>
      <c r="O2183">
        <f>-595.703968324565 -280.976119157662 -536.749809203229</f>
        <v>-1413.429896685456</v>
      </c>
      <c r="P2183">
        <f>-568.701263206521 -337.727775703531 -249.275906907554</f>
        <v>-1155.7049458176059</v>
      </c>
      <c r="Q2183">
        <f>-455.819032476621 -132.478843563475 -305.679313537949</f>
        <v>-893.977189578045</v>
      </c>
      <c r="R2183">
        <f>-686.608964783522 -40.9248673999521 -102.334846493888</f>
        <v>-829.86867867736203</v>
      </c>
      <c r="S2183" t="s">
        <v>23960</v>
      </c>
      <c r="T2183" t="s">
        <v>23961</v>
      </c>
      <c r="U2183" t="s">
        <v>23962</v>
      </c>
      <c r="V2183">
        <f>-583.279436823798 -202.058216317678 -95.3611897859357</f>
        <v>-880.69884292741176</v>
      </c>
      <c r="W2183" t="s">
        <v>23963</v>
      </c>
      <c r="X2183" t="s">
        <v>23964</v>
      </c>
      <c r="Y2183" t="s">
        <v>23965</v>
      </c>
    </row>
    <row r="2184" spans="1:25" x14ac:dyDescent="0.3">
      <c r="A2184">
        <v>109150</v>
      </c>
      <c r="B2184" t="s">
        <v>23966</v>
      </c>
      <c r="C2184">
        <f>-634.744821761282 -121.63896390648 -97.814526180346</f>
        <v>-854.19831184810789</v>
      </c>
      <c r="D2184">
        <f>-653.600793450482 -138.88531706139 -210.789092662637</f>
        <v>-1003.275203174509</v>
      </c>
      <c r="E2184">
        <f>-663.980694178578 -144.472211167862 -308.7058286791</f>
        <v>-1117.1587340255401</v>
      </c>
      <c r="F2184">
        <f>-671.492604600092 -146.17493057907 -397.469153650473</f>
        <v>-1215.1366888296352</v>
      </c>
      <c r="G2184">
        <f>-676.79886251687 -144.359746025926 -486.389198150087</f>
        <v>-1307.5478066928831</v>
      </c>
      <c r="H2184">
        <f>-681.871503358902 -138.150129874076 -610.71341245378</f>
        <v>-1430.735045686758</v>
      </c>
      <c r="I2184">
        <f>-664.720029896752 -119.454034831256 -689.841923523139</f>
        <v>-1474.0159882511471</v>
      </c>
      <c r="J2184">
        <f>-693.650289899733 -117.042081113396 -554.241996122919</f>
        <v>-1364.934367136048</v>
      </c>
      <c r="K2184">
        <f>-762.140753980953 -0.922444819452721 -527.386158108131</f>
        <v>-1290.4493569085366</v>
      </c>
      <c r="L2184" t="s">
        <v>23967</v>
      </c>
      <c r="M2184" t="s">
        <v>23968</v>
      </c>
      <c r="N2184">
        <f>-665.628293634885 -164.723324628886 -557.767058471347</f>
        <v>-1388.118676735118</v>
      </c>
      <c r="O2184">
        <f>-595.4727323721 -281.074579589367 -536.802891813968</f>
        <v>-1413.3502037754351</v>
      </c>
      <c r="P2184">
        <f>-568.238439317094 -337.822409478267 -249.350004213852</f>
        <v>-1155.410853009213</v>
      </c>
      <c r="Q2184">
        <f>-455.76627016001 -132.335464867767 -305.705916896179</f>
        <v>-893.80765192395597</v>
      </c>
      <c r="R2184">
        <f>-686.608631376122 -41.264661822727 -102.30652530209</f>
        <v>-830.17981850093906</v>
      </c>
      <c r="S2184" t="s">
        <v>23969</v>
      </c>
      <c r="T2184" t="s">
        <v>23970</v>
      </c>
      <c r="U2184" t="s">
        <v>23971</v>
      </c>
      <c r="V2184">
        <f>-582.970286520844 -202.270093486179 -95.3473319798782</f>
        <v>-880.58771198690113</v>
      </c>
      <c r="W2184" t="s">
        <v>23972</v>
      </c>
      <c r="X2184" t="s">
        <v>23973</v>
      </c>
      <c r="Y2184" t="s">
        <v>23974</v>
      </c>
    </row>
    <row r="2185" spans="1:25" x14ac:dyDescent="0.3">
      <c r="A2185">
        <v>109200</v>
      </c>
      <c r="B2185" t="s">
        <v>23975</v>
      </c>
      <c r="C2185">
        <f>-634.372506168577 -122.363342005713 -97.7408197873282</f>
        <v>-854.4766679616182</v>
      </c>
      <c r="D2185">
        <f>-653.297025579915 -139.758752188969 -210.681006202331</f>
        <v>-1003.736783971215</v>
      </c>
      <c r="E2185">
        <f>-663.765831528289 -145.39357556646 -308.5856459965</f>
        <v>-1117.745053091249</v>
      </c>
      <c r="F2185">
        <f>-671.368294949573 -147.108936701091 -397.34085532513</f>
        <v>-1215.8180869757941</v>
      </c>
      <c r="G2185">
        <f>-676.775960520015 -145.274417345297 -486.254407322646</f>
        <v>-1308.304785187958</v>
      </c>
      <c r="H2185">
        <f>-682.001449464594 -139.003769528375 -610.56939468131</f>
        <v>-1431.5746136742789</v>
      </c>
      <c r="I2185">
        <f>-664.844734794921 -120.170629723102 -689.664169203097</f>
        <v>-1474.6795337211202</v>
      </c>
      <c r="J2185">
        <f>-693.811832508481 -117.983147186006 -554.072014322899</f>
        <v>-1365.8669940173859</v>
      </c>
      <c r="K2185">
        <f>-762.814930352452 -2.18965407963833 -527.07838379677</f>
        <v>-1292.0829682288604</v>
      </c>
      <c r="L2185" t="s">
        <v>23976</v>
      </c>
      <c r="M2185" t="s">
        <v>23977</v>
      </c>
      <c r="N2185">
        <f>-665.592119065496 -165.543236551375 -557.657037315128</f>
        <v>-1388.7923929319991</v>
      </c>
      <c r="O2185">
        <f>-594.969627323024 -281.629764624504 -536.81046151337</f>
        <v>-1413.4098534608979</v>
      </c>
      <c r="P2185">
        <f>-567.301690232508 -338.406339160537 -249.404647160211</f>
        <v>-1155.1126765532561</v>
      </c>
      <c r="Q2185">
        <f>-455.543721970289 -132.513505523838 -305.700183329439</f>
        <v>-893.75741082356603</v>
      </c>
      <c r="R2185">
        <f>-686.567390188139 -42.1375837873329 -102.219762235172</f>
        <v>-830.92473621064391</v>
      </c>
      <c r="S2185" t="s">
        <v>23978</v>
      </c>
      <c r="T2185" t="s">
        <v>23979</v>
      </c>
      <c r="U2185" t="s">
        <v>23980</v>
      </c>
      <c r="V2185">
        <f>-582.27679492188 -202.850575790688 -95.3089486120767</f>
        <v>-880.43631932464473</v>
      </c>
      <c r="W2185" t="s">
        <v>23981</v>
      </c>
      <c r="X2185" t="s">
        <v>23982</v>
      </c>
      <c r="Y2185" t="s">
        <v>23983</v>
      </c>
    </row>
    <row r="2186" spans="1:25" x14ac:dyDescent="0.3">
      <c r="A2186">
        <v>109250</v>
      </c>
      <c r="B2186" t="s">
        <v>23984</v>
      </c>
      <c r="C2186">
        <f>-634.161154384655 -122.568011060912 -97.7240871679611</f>
        <v>-854.45325261352809</v>
      </c>
      <c r="D2186">
        <f>-653.122158194321 -140.048301035873 -210.64510416449</f>
        <v>-1003.815563394684</v>
      </c>
      <c r="E2186">
        <f>-663.63002223357 -145.71411785821 -308.543590575484</f>
        <v>-1117.8877306672639</v>
      </c>
      <c r="F2186">
        <f>-671.270048956403 -147.441458111966 -397.295484376259</f>
        <v>-1216.0069914446281</v>
      </c>
      <c r="G2186">
        <f>-676.717912601114 -145.602038162963 -486.206651757257</f>
        <v>-1308.5266025213341</v>
      </c>
      <c r="H2186">
        <f>-682.00197969551 -139.306934859177 -610.517745639356</f>
        <v>-1431.8266601940431</v>
      </c>
      <c r="I2186">
        <f>-664.829737279423 -120.409251562959 -689.593745409989</f>
        <v>-1474.8327342523708</v>
      </c>
      <c r="J2186">
        <f>-693.83372952424 -118.325956601529 -554.009976010615</f>
        <v>-1366.169662136384</v>
      </c>
      <c r="K2186">
        <f>-763.075739982045 -2.70423845867776 -526.94796708977</f>
        <v>-1292.7279455304929</v>
      </c>
      <c r="L2186" t="s">
        <v>23985</v>
      </c>
      <c r="M2186" t="s">
        <v>23986</v>
      </c>
      <c r="N2186">
        <f>-665.519707251446 -165.828135103039 -557.619012742304</f>
        <v>-1388.966855096789</v>
      </c>
      <c r="O2186">
        <f>-594.670658264347 -281.790255885817 -536.812713947089</f>
        <v>-1413.2736280972531</v>
      </c>
      <c r="P2186">
        <f>-566.910566011576 -338.530424772099 -249.408564842874</f>
        <v>-1154.8495556265491</v>
      </c>
      <c r="Q2186">
        <f>-455.390713397154 -132.520481775603 -305.747756384811</f>
        <v>-893.65895155756812</v>
      </c>
      <c r="R2186">
        <f>-686.477408449237 -42.4642956112887 -102.211876134561</f>
        <v>-831.15358019508665</v>
      </c>
      <c r="S2186" t="s">
        <v>23987</v>
      </c>
      <c r="T2186" t="s">
        <v>23988</v>
      </c>
      <c r="U2186" t="s">
        <v>23989</v>
      </c>
      <c r="V2186">
        <f>-581.916031298652 -202.909591565866 -95.2877358751201</f>
        <v>-880.1133587396381</v>
      </c>
      <c r="W2186" t="s">
        <v>23990</v>
      </c>
      <c r="X2186" t="s">
        <v>23991</v>
      </c>
      <c r="Y2186" t="s">
        <v>23992</v>
      </c>
    </row>
    <row r="2187" spans="1:25" x14ac:dyDescent="0.3">
      <c r="A2187">
        <v>109300</v>
      </c>
      <c r="B2187" t="s">
        <v>23993</v>
      </c>
      <c r="C2187">
        <f>-633.782300501614 -123.029413571453 -97.7052295207493</f>
        <v>-854.51694359381634</v>
      </c>
      <c r="D2187">
        <f>-652.834084885059 -140.651432078575 -210.588885951195</f>
        <v>-1004.0744029148291</v>
      </c>
      <c r="E2187">
        <f>-663.4215491157 -146.376347724603 -308.475450788402</f>
        <v>-1118.2733476287049</v>
      </c>
      <c r="F2187">
        <f>-671.133312045591 -148.132771526797 -397.220462519862</f>
        <v>-1216.4865460922499</v>
      </c>
      <c r="G2187">
        <f>-676.653353065066 -146.296901866973 -486.127188456647</f>
        <v>-1309.0774433886859</v>
      </c>
      <c r="H2187">
        <f>-682.038868296902 -139.979558130048 -610.432836804169</f>
        <v>-1432.4512632311189</v>
      </c>
      <c r="I2187">
        <f>-664.81294299716 -120.973481254444 -689.47120601453</f>
        <v>-1475.2576302661341</v>
      </c>
      <c r="J2187">
        <f>-693.910727055318 -119.060429172555 -553.910670763113</f>
        <v>-1366.8818269909862</v>
      </c>
      <c r="K2187">
        <f>-763.565615825634 -3.70704149445373 -526.707946775686</f>
        <v>-1293.9806040957737</v>
      </c>
      <c r="L2187" t="s">
        <v>23994</v>
      </c>
      <c r="M2187" t="s">
        <v>23995</v>
      </c>
      <c r="N2187">
        <f>-665.427193032912 -166.458593348408 -557.553583555946</f>
        <v>-1389.4393699372661</v>
      </c>
      <c r="O2187">
        <f>-594.23819534132 -282.219822877442 -536.821370573781</f>
        <v>-1413.2793887925429</v>
      </c>
      <c r="P2187">
        <f>-566.454756782167 -338.863466805615 -249.400600286912</f>
        <v>-1154.7188238746942</v>
      </c>
      <c r="Q2187">
        <f>-454.885573404563 -132.945340344147 -305.977405202547</f>
        <v>-893.80831895125698</v>
      </c>
      <c r="R2187">
        <f>-686.391616464179 -43.0571322667414 -102.192642964448</f>
        <v>-831.64139169536838</v>
      </c>
      <c r="S2187" t="s">
        <v>23996</v>
      </c>
      <c r="T2187" t="s">
        <v>23997</v>
      </c>
      <c r="U2187" t="s">
        <v>23998</v>
      </c>
      <c r="V2187">
        <f>-581.279852832929 -203.308191985497 -95.2712778774269</f>
        <v>-879.85932269585282</v>
      </c>
      <c r="W2187" t="s">
        <v>23999</v>
      </c>
      <c r="X2187" t="s">
        <v>24000</v>
      </c>
      <c r="Y2187" t="s">
        <v>24001</v>
      </c>
    </row>
    <row r="2188" spans="1:25" x14ac:dyDescent="0.3">
      <c r="A2188">
        <v>109350</v>
      </c>
      <c r="B2188" t="s">
        <v>24002</v>
      </c>
      <c r="C2188">
        <f>-633.63460634028 -123.238578809846 -97.7057117698896</f>
        <v>-854.57889692001561</v>
      </c>
      <c r="D2188">
        <f>-652.7208832067 -140.929700822379 -210.572730597993</f>
        <v>-1004.223314627072</v>
      </c>
      <c r="E2188">
        <f>-663.349971418501 -146.68952052913 -308.452712564373</f>
        <v>-1118.4922045120038</v>
      </c>
      <c r="F2188">
        <f>-671.103808328053 -148.468200962889 -397.193633713463</f>
        <v>-1216.7656430044049</v>
      </c>
      <c r="G2188">
        <f>-676.670357718619 -146.644526567065 -486.097703732184</f>
        <v>-1309.4125880178681</v>
      </c>
      <c r="H2188">
        <f>-682.125666376985 -140.333873851919 -610.400627800566</f>
        <v>-1432.8601680294701</v>
      </c>
      <c r="I2188">
        <f>-664.860505030645 -121.29581974971 -689.422821476514</f>
        <v>-1475.5791462568689</v>
      </c>
      <c r="J2188">
        <f>-693.99769491891 -119.430956195612 -553.8724397399</f>
        <v>-1367.301090854422</v>
      </c>
      <c r="K2188">
        <f>-763.801213134307 -4.18134304158002 -526.632665427826</f>
        <v>-1294.6152216037131</v>
      </c>
      <c r="L2188" t="s">
        <v>24003</v>
      </c>
      <c r="M2188" t="s">
        <v>24004</v>
      </c>
      <c r="N2188">
        <f>-665.452391707463 -166.790752875655 -557.529566022068</f>
        <v>-1389.7727106051861</v>
      </c>
      <c r="O2188">
        <f>-594.158719173161 -282.496639807387 -536.838160752958</f>
        <v>-1413.493519733506</v>
      </c>
      <c r="P2188">
        <f>-566.194842625676 -339.252173146771 -249.456885210042</f>
        <v>-1154.9039009824889</v>
      </c>
      <c r="Q2188">
        <f>-454.805828644265 -133.191080868658 -305.867528461864</f>
        <v>-893.86443797478694</v>
      </c>
      <c r="R2188">
        <f>-686.364617729722 -43.278471279317 -102.198507301294</f>
        <v>-831.84159631033299</v>
      </c>
      <c r="S2188" t="s">
        <v>24005</v>
      </c>
      <c r="T2188" t="s">
        <v>24006</v>
      </c>
      <c r="U2188" t="s">
        <v>24007</v>
      </c>
      <c r="V2188">
        <f>-581.024982598433 -203.470678278617 -95.2616774684077</f>
        <v>-879.7573383454577</v>
      </c>
      <c r="W2188" t="s">
        <v>24008</v>
      </c>
      <c r="X2188" t="s">
        <v>24009</v>
      </c>
      <c r="Y2188" t="s">
        <v>24010</v>
      </c>
    </row>
    <row r="2189" spans="1:25" x14ac:dyDescent="0.3">
      <c r="A2189">
        <v>109400</v>
      </c>
      <c r="B2189" t="s">
        <v>24011</v>
      </c>
      <c r="C2189">
        <f>-633.501212830545 -123.583218145896 -97.7059303506898</f>
        <v>-854.79036132713077</v>
      </c>
      <c r="D2189">
        <f>-652.637951997115 -141.373794967508 -210.548781370027</f>
        <v>-1004.5605283346499</v>
      </c>
      <c r="E2189">
        <f>-663.310942798418 -147.180603470747 -308.421194924487</f>
        <v>-1118.912741193652</v>
      </c>
      <c r="F2189">
        <f>-671.103551561987 -148.98722561429 -397.158246452676</f>
        <v>-1217.249023628953</v>
      </c>
      <c r="G2189">
        <f>-676.708330392286 -147.176280277729 -486.060181170918</f>
        <v>-1309.944791840933</v>
      </c>
      <c r="H2189">
        <f>-682.216368241632 -140.867213904411 -610.360857481046</f>
        <v>-1433.444439627089</v>
      </c>
      <c r="I2189">
        <f>-664.798934070126 -121.796215196048 -689.341647726775</f>
        <v>-1475.936796992949</v>
      </c>
      <c r="J2189">
        <f>-694.112894101283 -119.992891597178 -553.82720555069</f>
        <v>-1367.932991249151</v>
      </c>
      <c r="K2189">
        <f>-764.159538736769 -4.89791931638979 -526.549991354918</f>
        <v>-1295.6074494080767</v>
      </c>
      <c r="L2189" t="s">
        <v>24012</v>
      </c>
      <c r="M2189" t="s">
        <v>24013</v>
      </c>
      <c r="N2189">
        <f>-665.472217709289 -167.294214539302 -557.497278018907</f>
        <v>-1390.263710267498</v>
      </c>
      <c r="O2189">
        <f>-594.01892582215 -282.898245786413 -536.826032702552</f>
        <v>-1413.7432043111148</v>
      </c>
      <c r="P2189">
        <f>-565.404203609659 -340.109943662866 -249.599315293733</f>
        <v>-1155.113462566258</v>
      </c>
      <c r="Q2189">
        <f>-457.184916738312 -132.561072137975 -306.721145248244</f>
        <v>-896.46713412453096</v>
      </c>
      <c r="R2189">
        <f>-686.41347330343 -43.7544029781075 -102.205280423877</f>
        <v>-832.37315670541443</v>
      </c>
      <c r="S2189" t="s">
        <v>24014</v>
      </c>
      <c r="T2189" t="s">
        <v>24015</v>
      </c>
      <c r="U2189" t="s">
        <v>24016</v>
      </c>
      <c r="V2189">
        <f>-580.730669029235 -203.667936945673 -95.2505904477848</f>
        <v>-879.64919642269274</v>
      </c>
      <c r="W2189" t="s">
        <v>24017</v>
      </c>
      <c r="X2189" t="s">
        <v>24018</v>
      </c>
      <c r="Y2189" t="s">
        <v>24019</v>
      </c>
    </row>
    <row r="2190" spans="1:25" x14ac:dyDescent="0.3">
      <c r="A2190">
        <v>109450</v>
      </c>
      <c r="B2190" t="s">
        <v>24020</v>
      </c>
      <c r="C2190">
        <f>-633.490687937124 -123.756209041481 -97.6978597770134</f>
        <v>-854.94475675561841</v>
      </c>
      <c r="D2190">
        <f>-652.643016448999 -141.593626447386 -210.530530993383</f>
        <v>-1004.7671738897679</v>
      </c>
      <c r="E2190">
        <f>-663.318350691542 -147.415996994116 -308.401871852573</f>
        <v>-1119.136219538231</v>
      </c>
      <c r="F2190">
        <f>-671.10848300493 -149.22700346847 -397.139025064038</f>
        <v>-1217.474511537438</v>
      </c>
      <c r="G2190">
        <f>-676.706261072919 -147.410336057269 -486.041344094744</f>
        <v>-1310.1579412249321</v>
      </c>
      <c r="H2190">
        <f>-682.199994330209 -141.082596526829 -610.341632103016</f>
        <v>-1433.6242229600539</v>
      </c>
      <c r="I2190">
        <f>-664.66851640708 -121.992274296145 -689.292546144357</f>
        <v>-1475.9533368475818</v>
      </c>
      <c r="J2190">
        <f>-694.126581749311 -120.23099112339 -553.806008634001</f>
        <v>-1368.163581506702</v>
      </c>
      <c r="K2190">
        <f>-764.297092599736 -5.21208533621075 -526.542158279997</f>
        <v>-1296.0513362159436</v>
      </c>
      <c r="L2190" t="s">
        <v>24021</v>
      </c>
      <c r="M2190" t="s">
        <v>24022</v>
      </c>
      <c r="N2190">
        <f>-665.438452538561 -167.503202161129 -557.480404805742</f>
        <v>-1390.4220595054321</v>
      </c>
      <c r="O2190">
        <f>-593.884657602992 -283.047327372082 -536.773325246564</f>
        <v>-1413.705310221638</v>
      </c>
      <c r="P2190">
        <f>-565.124540649874 -340.45942420009 -249.60104454435</f>
        <v>-1155.185009394314</v>
      </c>
      <c r="Q2190">
        <f>-458.622932677537 -131.848808619162 -306.080434064608</f>
        <v>-896.55217536130704</v>
      </c>
      <c r="R2190">
        <f>-686.456201901697 -43.9628675805883 -102.21226040831</f>
        <v>-832.63132989059534</v>
      </c>
      <c r="S2190" t="s">
        <v>24023</v>
      </c>
      <c r="T2190" t="s">
        <v>24024</v>
      </c>
      <c r="U2190" t="s">
        <v>24025</v>
      </c>
      <c r="V2190">
        <f>-580.638343032268 -203.797818416522 -95.2329295856274</f>
        <v>-879.66909103441742</v>
      </c>
      <c r="W2190" t="s">
        <v>24026</v>
      </c>
      <c r="X2190" t="s">
        <v>24027</v>
      </c>
      <c r="Y2190" t="s">
        <v>24028</v>
      </c>
    </row>
    <row r="2191" spans="1:25" x14ac:dyDescent="0.3">
      <c r="A2191">
        <v>109500</v>
      </c>
      <c r="B2191" t="s">
        <v>24029</v>
      </c>
      <c r="C2191">
        <f>-633.454283581344 -124.036246831733 -97.7095230383541</f>
        <v>-855.20005345143113</v>
      </c>
      <c r="D2191">
        <f>-652.606938090413 -141.927364672234 -210.533663229066</f>
        <v>-1005.067965991713</v>
      </c>
      <c r="E2191">
        <f>-663.247741044605 -147.793521890847 -308.406241398219</f>
        <v>-1119.4475043336711</v>
      </c>
      <c r="F2191">
        <f>-670.99304297994 -149.643179193123 -397.146461165412</f>
        <v>-1217.7826833384752</v>
      </c>
      <c r="G2191">
        <f>-676.533234912157 -147.863779011826 -486.052937152124</f>
        <v>-1310.449951076107</v>
      </c>
      <c r="H2191">
        <f>-681.933267407969 -141.586445757469 -610.360156015236</f>
        <v>-1433.8798691806739</v>
      </c>
      <c r="I2191">
        <f>-664.094343620762 -122.464701814912 -689.234487435099</f>
        <v>-1475.7935328707731</v>
      </c>
      <c r="J2191">
        <f>-693.945216543986 -120.738064859308 -553.841264426641</f>
        <v>-1368.5245458299351</v>
      </c>
      <c r="K2191">
        <f>-764.358815656396 -5.84654751157336 -526.646449697981</f>
        <v>-1296.8518128659503</v>
      </c>
      <c r="L2191" t="s">
        <v>24030</v>
      </c>
      <c r="M2191" t="s">
        <v>24031</v>
      </c>
      <c r="N2191">
        <f>-665.168725278427 -167.959512714029 -557.476002211781</f>
        <v>-1390.6042402042369</v>
      </c>
      <c r="O2191">
        <f>-593.452895977028 -283.386481671256 -536.676278578219</f>
        <v>-1413.5156562265029</v>
      </c>
      <c r="P2191">
        <f>-564.794441558357 -340.546328616671 -249.443558033336</f>
        <v>-1154.7843282083641</v>
      </c>
      <c r="Q2191">
        <f>-461.235474883998 -130.023355901172 -304.275155271319</f>
        <v>-895.53398605648897</v>
      </c>
      <c r="R2191">
        <f>-686.52444888717 -44.3034482142515 -102.227341589007</f>
        <v>-833.0552386904285</v>
      </c>
      <c r="S2191" t="s">
        <v>24032</v>
      </c>
      <c r="T2191" t="s">
        <v>24033</v>
      </c>
      <c r="U2191" t="s">
        <v>24034</v>
      </c>
      <c r="V2191">
        <f>-580.500843447373 -203.968486631185 -95.2302077923778</f>
        <v>-879.69953787093573</v>
      </c>
      <c r="W2191" t="s">
        <v>24035</v>
      </c>
      <c r="X2191" t="s">
        <v>24036</v>
      </c>
      <c r="Y2191" t="s">
        <v>24037</v>
      </c>
    </row>
    <row r="2192" spans="1:25" x14ac:dyDescent="0.3">
      <c r="A2192">
        <v>109550</v>
      </c>
      <c r="B2192" t="s">
        <v>24038</v>
      </c>
      <c r="C2192">
        <f>-633.457015682903 -124.135395860164 -97.713177273865</f>
        <v>-855.30558881693196</v>
      </c>
      <c r="D2192">
        <f>-652.627049526469 -142.053366585461 -210.530128863146</f>
        <v>-1005.2105449750761</v>
      </c>
      <c r="E2192">
        <f>-663.277667507926 -147.973393408842 -308.398238828308</f>
        <v>-1119.649299745076</v>
      </c>
      <c r="F2192">
        <f>-671.029787785041 -149.884433504716 -397.136721856266</f>
        <v>-1218.050943146023</v>
      </c>
      <c r="G2192">
        <f>-676.575062773952 -148.178735058682 -486.044397716483</f>
        <v>-1310.7981955491171</v>
      </c>
      <c r="H2192">
        <f>-681.98035697002 -142.017523771855 -610.357028429192</f>
        <v>-1434.354909171067</v>
      </c>
      <c r="I2192">
        <f>-663.954318417719 -122.910384303038 -689.192456727799</f>
        <v>-1476.0571594485559</v>
      </c>
      <c r="J2192">
        <f>-694.000179996303 -121.122637111942 -553.857202008317</f>
        <v>-1368.9800191165621</v>
      </c>
      <c r="K2192">
        <f>-764.496555728867 -6.26645401614974 -526.740127105251</f>
        <v>-1297.5031368502678</v>
      </c>
      <c r="L2192" t="s">
        <v>24039</v>
      </c>
      <c r="M2192" t="s">
        <v>24040</v>
      </c>
      <c r="N2192">
        <f>-665.203286133978 -168.33490757773 -557.449258077351</f>
        <v>-1390.9874517890592</v>
      </c>
      <c r="O2192">
        <f>-593.44156743736 -283.703241538393 -536.517436980922</f>
        <v>-1413.662245956675</v>
      </c>
      <c r="P2192">
        <f>-564.676184070616 -340.581398168098 -249.23937051013</f>
        <v>-1154.496952748844</v>
      </c>
      <c r="Q2192">
        <f>-462.220861207446 -129.30439390318 -303.237573477311</f>
        <v>-894.76282858793695</v>
      </c>
      <c r="R2192">
        <f>-686.585205856867 -44.4731512620388 -102.226390644313</f>
        <v>-833.28474776321877</v>
      </c>
      <c r="S2192" t="s">
        <v>24041</v>
      </c>
      <c r="T2192" t="s">
        <v>24042</v>
      </c>
      <c r="U2192" t="s">
        <v>24043</v>
      </c>
      <c r="V2192">
        <f>-580.436631174592 -204.067959519328 -95.2213483133708</f>
        <v>-879.72593900729078</v>
      </c>
      <c r="W2192" t="s">
        <v>24044</v>
      </c>
      <c r="X2192" t="s">
        <v>24045</v>
      </c>
      <c r="Y2192" t="s">
        <v>24046</v>
      </c>
    </row>
    <row r="2193" spans="1:25" x14ac:dyDescent="0.3">
      <c r="A2193">
        <v>109600</v>
      </c>
      <c r="B2193" t="s">
        <v>24047</v>
      </c>
      <c r="C2193">
        <f>-633.43035314798 -124.408712644603 -97.6905145724911</f>
        <v>-855.52958036507414</v>
      </c>
      <c r="D2193">
        <f>-652.612350514564 -142.378659978052 -210.497287672347</f>
        <v>-1005.488298164963</v>
      </c>
      <c r="E2193">
        <f>-663.27761535589 -148.410072006638 -308.35691289138</f>
        <v>-1120.0446002539079</v>
      </c>
      <c r="F2193">
        <f>-671.045393597321 -150.448705162558 -397.091123057244</f>
        <v>-1218.5852218171231</v>
      </c>
      <c r="G2193">
        <f>-676.609190271364 -148.897259234796 -486.000495137389</f>
        <v>-1311.5069446435491</v>
      </c>
      <c r="H2193">
        <f>-682.043840738786 -142.979229889463 -610.323635367006</f>
        <v>-1435.346705995255</v>
      </c>
      <c r="I2193">
        <f>-663.559747034041 -123.918065005361 -689.064106045388</f>
        <v>-1476.54191808479</v>
      </c>
      <c r="J2193">
        <f>-694.066427644934 -121.983691019502 -553.861724229163</f>
        <v>-1369.911842893599</v>
      </c>
      <c r="K2193">
        <f>-764.635334759083 -7.13908433588472 -526.887716597797</f>
        <v>-1298.6621356927647</v>
      </c>
      <c r="L2193" t="s">
        <v>24048</v>
      </c>
      <c r="M2193" t="s">
        <v>24049</v>
      </c>
      <c r="N2193">
        <f>-665.238255401981 -169.183297865443 -557.368678128746</f>
        <v>-1391.7902313961699</v>
      </c>
      <c r="O2193">
        <f>-593.417734230714 -284.477807637001 -536.208081021338</f>
        <v>-1414.103622889053</v>
      </c>
      <c r="P2193">
        <f>-564.070083075312 -340.862192790638 -248.891549410114</f>
        <v>-1153.8238252760641</v>
      </c>
      <c r="Q2193">
        <f>-463.780743380116 -128.116410606326 -301.161380049063</f>
        <v>-893.05853403550509</v>
      </c>
      <c r="R2193">
        <f>-686.618706365438 -44.7727445531743 -102.241914917752</f>
        <v>-833.63336583636431</v>
      </c>
      <c r="S2193" t="s">
        <v>24050</v>
      </c>
      <c r="T2193" t="s">
        <v>24051</v>
      </c>
      <c r="U2193" t="s">
        <v>24052</v>
      </c>
      <c r="V2193">
        <f>-580.323395464356 -204.327030082714 -95.2115275149122</f>
        <v>-879.86195306198226</v>
      </c>
      <c r="W2193" t="s">
        <v>24053</v>
      </c>
      <c r="X2193" t="s">
        <v>24054</v>
      </c>
      <c r="Y2193" t="s">
        <v>24055</v>
      </c>
    </row>
    <row r="2194" spans="1:25" x14ac:dyDescent="0.3">
      <c r="A2194">
        <v>109650</v>
      </c>
      <c r="B2194" t="s">
        <v>24056</v>
      </c>
      <c r="C2194">
        <f>-633.463016444013 -124.452848362289 -97.7093720355796</f>
        <v>-855.62523684188159</v>
      </c>
      <c r="D2194">
        <f>-652.675637999038 -142.454696352903 -210.505804694365</f>
        <v>-1005.636139046306</v>
      </c>
      <c r="E2194">
        <f>-663.367537044133 -148.540964933706 -308.359250281682</f>
        <v>-1120.2677522595211</v>
      </c>
      <c r="F2194">
        <f>-671.159767393225 -150.640298073569 -397.089780216951</f>
        <v>-1218.8898456837451</v>
      </c>
      <c r="G2194">
        <f>-676.748649432648 -149.160613494447 -485.99872316019</f>
        <v>-1311.9079860872851</v>
      </c>
      <c r="H2194">
        <f>-682.219383532221 -143.353939651314 -610.325703698827</f>
        <v>-1435.899026882362</v>
      </c>
      <c r="I2194">
        <f>-663.471705178811 -124.31494175239 -689.008987888672</f>
        <v>-1476.7956348198732</v>
      </c>
      <c r="J2194">
        <f>-694.23687149122 -122.314662109637 -553.878844959312</f>
        <v>-1370.4303785601689</v>
      </c>
      <c r="K2194">
        <f>-764.877387507107 -7.49810888100114 -526.963962679678</f>
        <v>-1299.3394590677863</v>
      </c>
      <c r="L2194" t="s">
        <v>24057</v>
      </c>
      <c r="M2194" t="s">
        <v>24058</v>
      </c>
      <c r="N2194">
        <f>-665.387116463619 -169.503632290244 -557.352235411398</f>
        <v>-1392.2429841652611</v>
      </c>
      <c r="O2194">
        <f>-593.510795175123 -284.746203197805 -536.104930707759</f>
        <v>-1414.3619290806869</v>
      </c>
      <c r="P2194">
        <f>-564.227670856609 -340.730400609526 -248.703667059884</f>
        <v>-1153.661738526019</v>
      </c>
      <c r="Q2194">
        <f>-464.460758386593 -127.588418631126 -300.355475286852</f>
        <v>-892.40465230457107</v>
      </c>
      <c r="R2194">
        <f>-686.726320578147 -44.7970082018339 -102.266763578109</f>
        <v>-833.79009235808996</v>
      </c>
      <c r="S2194" t="s">
        <v>24059</v>
      </c>
      <c r="T2194" t="s">
        <v>24060</v>
      </c>
      <c r="U2194" t="s">
        <v>24061</v>
      </c>
      <c r="V2194">
        <f>-580.318488630292 -204.352596902386 -95.2071039416988</f>
        <v>-879.87818947437688</v>
      </c>
      <c r="W2194" t="s">
        <v>24062</v>
      </c>
      <c r="X2194" t="s">
        <v>24063</v>
      </c>
      <c r="Y2194" t="s">
        <v>24064</v>
      </c>
    </row>
    <row r="2195" spans="1:25" x14ac:dyDescent="0.3">
      <c r="A2195">
        <v>109700</v>
      </c>
      <c r="B2195" t="s">
        <v>24065</v>
      </c>
      <c r="C2195">
        <f>-633.534460404547 -124.536689546091 -97.7356796007508</f>
        <v>-855.80682955138877</v>
      </c>
      <c r="D2195">
        <f>-652.782626893207 -142.610040190918 -210.514524045328</f>
        <v>-1005.9071911294529</v>
      </c>
      <c r="E2195">
        <f>-663.508640367652 -148.825140190803 -308.356179479924</f>
        <v>-1120.689960038379</v>
      </c>
      <c r="F2195">
        <f>-671.333750774816 -151.068119292108 -397.080343253258</f>
        <v>-1219.4822133201819</v>
      </c>
      <c r="G2195">
        <f>-676.958044761608 -149.758771089671 -485.989877405142</f>
        <v>-1312.706693256421</v>
      </c>
      <c r="H2195">
        <f>-682.481214115642 -144.218214761508 -610.326489840462</f>
        <v>-1437.0259187176121</v>
      </c>
      <c r="I2195">
        <f>-663.121445957815 -125.214421803091 -688.870000854881</f>
        <v>-1477.205868615787</v>
      </c>
      <c r="J2195">
        <f>-694.489714813528 -123.067257817015 -553.919570188842</f>
        <v>-1371.476542819385</v>
      </c>
      <c r="K2195">
        <f>-765.232021633023 -8.2779676550324 -527.142440041212</f>
        <v>-1300.6524293292673</v>
      </c>
      <c r="L2195" t="s">
        <v>24066</v>
      </c>
      <c r="M2195" t="s">
        <v>24067</v>
      </c>
      <c r="N2195">
        <f>-665.611782605449 -170.245380250112 -557.30465124943</f>
        <v>-1393.161814104991</v>
      </c>
      <c r="O2195">
        <f>-593.748146918876 -285.460066199625 -535.877611165649</f>
        <v>-1415.08582428415</v>
      </c>
      <c r="P2195">
        <f>-564.941069886964 -340.249616279473 -248.198086065004</f>
        <v>-1153.388772231441</v>
      </c>
      <c r="Q2195">
        <f>-464.872811241809 -126.885290059459 -298.326858110093</f>
        <v>-890.08495941136096</v>
      </c>
      <c r="R2195">
        <f>-686.862997206838 -44.889937999044 -102.314395204996</f>
        <v>-834.06733041087807</v>
      </c>
      <c r="S2195" t="s">
        <v>24068</v>
      </c>
      <c r="T2195" t="s">
        <v>24069</v>
      </c>
      <c r="U2195" t="s">
        <v>24070</v>
      </c>
      <c r="V2195">
        <f>-580.30393416242 -204.459540771939 -95.2116606481669</f>
        <v>-879.97513558252592</v>
      </c>
      <c r="W2195" t="s">
        <v>24071</v>
      </c>
      <c r="X2195" t="s">
        <v>24072</v>
      </c>
      <c r="Y2195" t="s">
        <v>24073</v>
      </c>
    </row>
    <row r="2196" spans="1:25" x14ac:dyDescent="0.3">
      <c r="A2196">
        <v>109750</v>
      </c>
      <c r="B2196" t="s">
        <v>24074</v>
      </c>
      <c r="C2196">
        <f>-633.545854100426 -124.585191952988 -97.7375184984164</f>
        <v>-855.86856455183045</v>
      </c>
      <c r="D2196">
        <f>-652.818563954695 -142.694231188593 -210.506447962028</f>
        <v>-1006.019243105316</v>
      </c>
      <c r="E2196">
        <f>-663.55089077302 -148.978944014342 -308.343006679882</f>
        <v>-1120.8728414672441</v>
      </c>
      <c r="F2196">
        <f>-671.375939505842 -151.300646846847 -397.065128607084</f>
        <v>-1219.7417149597729</v>
      </c>
      <c r="G2196">
        <f>-676.994683595327 -150.085850438717 -485.976336084087</f>
        <v>-1313.056870118131</v>
      </c>
      <c r="H2196">
        <f>-682.504261754399 -144.693750263781 -610.320184685614</f>
        <v>-1437.5181967037938</v>
      </c>
      <c r="I2196">
        <f>-662.815303428735 -125.696464031937 -688.783403707939</f>
        <v>-1477.295171168611</v>
      </c>
      <c r="J2196">
        <f>-694.515441808779 -123.473369795818 -553.939913329649</f>
        <v>-1371.928724934246</v>
      </c>
      <c r="K2196">
        <f>-765.243904847316 -8.66039741179293 -527.260123806608</f>
        <v>-1301.164426065717</v>
      </c>
      <c r="L2196" t="s">
        <v>24075</v>
      </c>
      <c r="M2196" t="s">
        <v>24076</v>
      </c>
      <c r="N2196">
        <f>-665.644104242392 -170.659765734373 -557.265304120488</f>
        <v>-1393.5691740972529</v>
      </c>
      <c r="O2196">
        <f>-593.872154021183 -285.916615453737 -535.715148740884</f>
        <v>-1415.5039182158039</v>
      </c>
      <c r="P2196">
        <f>-565.216687608229 -340.069440780225 -247.89986336089</f>
        <v>-1153.1859917493441</v>
      </c>
      <c r="Q2196">
        <f>-464.593031925278 -126.857015507698 -297.560741091066</f>
        <v>-889.01078852404203</v>
      </c>
      <c r="R2196">
        <f>-686.871445367028 -44.9810868496932 -102.327147505584</f>
        <v>-834.17967972230508</v>
      </c>
      <c r="S2196" t="s">
        <v>24077</v>
      </c>
      <c r="T2196" t="s">
        <v>24078</v>
      </c>
      <c r="U2196" t="s">
        <v>24079</v>
      </c>
      <c r="V2196">
        <f>-580.311800077228 -204.488867692465 -95.2035222609454</f>
        <v>-880.00419003063837</v>
      </c>
      <c r="W2196" t="s">
        <v>24080</v>
      </c>
      <c r="X2196" t="s">
        <v>24081</v>
      </c>
      <c r="Y2196" t="s">
        <v>24082</v>
      </c>
    </row>
    <row r="2197" spans="1:25" x14ac:dyDescent="0.3">
      <c r="A2197">
        <v>109800</v>
      </c>
      <c r="B2197" t="s">
        <v>24083</v>
      </c>
      <c r="C2197">
        <f>-633.663255768223 -124.691068632133 -97.7538015675191</f>
        <v>-856.10812596787514</v>
      </c>
      <c r="D2197">
        <f>-652.983420277616 -142.83709769128 -210.508684815647</f>
        <v>-1006.329202784543</v>
      </c>
      <c r="E2197">
        <f>-663.703884312743 -149.231619764015 -308.339434108873</f>
        <v>-1121.2749381856311</v>
      </c>
      <c r="F2197">
        <f>-671.497437224034 -151.684203567729 -397.060805477549</f>
        <v>-1220.242446269312</v>
      </c>
      <c r="G2197">
        <f>-677.063289497251 -150.632531872919 -485.97733194217</f>
        <v>-1313.67315331234</v>
      </c>
      <c r="H2197">
        <f>-682.476498880952 -145.502504180572 -610.336477313777</f>
        <v>-1438.3154803753009</v>
      </c>
      <c r="I2197">
        <f>-662.186026194745 -126.529347003955 -688.652248783397</f>
        <v>-1477.3676219820968</v>
      </c>
      <c r="J2197">
        <f>-694.505508308869 -124.147537363742 -554.010917678823</f>
        <v>-1372.6639633514342</v>
      </c>
      <c r="K2197">
        <f>-765.148688702267 -9.2138107474691 -527.629557714695</f>
        <v>-1301.9920571644311</v>
      </c>
      <c r="L2197" t="s">
        <v>24084</v>
      </c>
      <c r="M2197" t="s">
        <v>24085</v>
      </c>
      <c r="N2197">
        <f>-665.683345492721 -171.372501798261 -557.213544560609</f>
        <v>-1394.2693918515911</v>
      </c>
      <c r="O2197">
        <f>-594.147826499046 -286.722502840421 -535.372570079696</f>
        <v>-1416.2428994191628</v>
      </c>
      <c r="P2197">
        <f>-565.720717520156 -339.865118714162 -247.346587630307</f>
        <v>-1152.932423864625</v>
      </c>
      <c r="Q2197">
        <f>-463.658585973668 -127.266662639268 -296.703321671033</f>
        <v>-887.628570283969</v>
      </c>
      <c r="R2197">
        <f>-687.035686765184 -45.0220466790805 -102.358590196239</f>
        <v>-834.41632364050349</v>
      </c>
      <c r="S2197" t="s">
        <v>24086</v>
      </c>
      <c r="T2197" t="s">
        <v>24087</v>
      </c>
      <c r="U2197" t="s">
        <v>24088</v>
      </c>
      <c r="V2197">
        <f>-580.416734609873 -204.628796587797 -95.1950345316994</f>
        <v>-880.24056572936945</v>
      </c>
      <c r="W2197" t="s">
        <v>24089</v>
      </c>
      <c r="X2197" t="s">
        <v>24090</v>
      </c>
      <c r="Y2197" t="s">
        <v>24091</v>
      </c>
    </row>
    <row r="2198" spans="1:25" x14ac:dyDescent="0.3">
      <c r="A2198">
        <v>109850</v>
      </c>
      <c r="B2198" t="s">
        <v>24092</v>
      </c>
      <c r="C2198">
        <f>-633.760878757094 -124.709661518522 -97.7666753036202</f>
        <v>-856.23721557923625</v>
      </c>
      <c r="D2198">
        <f>-653.06917306872 -142.866486040052 -210.521954147144</f>
        <v>-1006.457613255916</v>
      </c>
      <c r="E2198">
        <f>-663.765267966579 -149.298411327716 -308.352886225739</f>
        <v>-1121.4165655200341</v>
      </c>
      <c r="F2198">
        <f>-671.531150594447 -151.796054650916 -397.075346271993</f>
        <v>-1220.4025515173562</v>
      </c>
      <c r="G2198">
        <f>-677.063810008364 -150.800944189819 -485.994584140682</f>
        <v>-1313.859338338865</v>
      </c>
      <c r="H2198">
        <f>-682.424700936821 -145.762111982859 -610.359684786029</f>
        <v>-1438.546497705709</v>
      </c>
      <c r="I2198">
        <f>-661.88643015272 -126.805919190799 -688.614912805035</f>
        <v>-1477.3072621485539</v>
      </c>
      <c r="J2198">
        <f>-694.463353116093 -124.357233258249 -554.055044379328</f>
        <v>-1372.8756307536701</v>
      </c>
      <c r="K2198">
        <f>-765.058136443247 -9.36774649727658 -527.793297582525</f>
        <v>-1302.2191805230486</v>
      </c>
      <c r="L2198" t="s">
        <v>24093</v>
      </c>
      <c r="M2198" t="s">
        <v>24094</v>
      </c>
      <c r="N2198">
        <f>-665.667984349048 -171.601706952194 -557.210562993078</f>
        <v>-1394.48025429432</v>
      </c>
      <c r="O2198">
        <f>-594.274453273703 -287.016851250931 -535.262726080084</f>
        <v>-1416.5540306047178</v>
      </c>
      <c r="P2198">
        <f>-566.118383213584 -339.751096997418 -247.135098626079</f>
        <v>-1153.004578837081</v>
      </c>
      <c r="Q2198">
        <f>-463.319258703613 -127.534317124428 -296.604668404213</f>
        <v>-887.45824423225395</v>
      </c>
      <c r="R2198">
        <f>-687.103420088959 -45.0474640500377 -102.390058018665</f>
        <v>-834.54094215766168</v>
      </c>
      <c r="S2198" t="s">
        <v>24095</v>
      </c>
      <c r="T2198" t="s">
        <v>24096</v>
      </c>
      <c r="U2198" t="s">
        <v>24097</v>
      </c>
      <c r="V2198">
        <f>-580.535722177264 -204.636586196438 -95.1923360951785</f>
        <v>-880.36464446888044</v>
      </c>
      <c r="W2198" t="s">
        <v>24098</v>
      </c>
      <c r="X2198" t="s">
        <v>24099</v>
      </c>
      <c r="Y2198" t="s">
        <v>24100</v>
      </c>
    </row>
    <row r="2199" spans="1:25" x14ac:dyDescent="0.3">
      <c r="A2199">
        <v>109900</v>
      </c>
      <c r="B2199" t="s">
        <v>24101</v>
      </c>
      <c r="C2199">
        <f>-634.017531597745 -124.779433234794 -97.7762860078115</f>
        <v>-856.57325084035051</v>
      </c>
      <c r="D2199">
        <f>-653.299980854341 -142.916168654947 -210.539189600048</f>
        <v>-1006.755339109336</v>
      </c>
      <c r="E2199">
        <f>-663.934294466775 -149.397083980359 -308.373528138172</f>
        <v>-1121.7049065853062</v>
      </c>
      <c r="F2199">
        <f>-671.629500058784 -151.965217055478 -397.100280258488</f>
        <v>-1220.6949973727499</v>
      </c>
      <c r="G2199">
        <f>-677.076797986711 -151.066996684657 -486.02587808267</f>
        <v>-1314.1696727540379</v>
      </c>
      <c r="H2199">
        <f>-682.303555300244 -146.191391427677 -610.403288169095</f>
        <v>-1438.8982348970162</v>
      </c>
      <c r="I2199">
        <f>-661.324501051822 -127.272459289335 -688.550338756866</f>
        <v>-1477.147299098023</v>
      </c>
      <c r="J2199">
        <f>-694.381213798487 -124.69944039917 -554.140096737938</f>
        <v>-1373.2207509355951</v>
      </c>
      <c r="K2199">
        <f>-764.91977638362 -9.61726065555581 -528.09492812779</f>
        <v>-1302.631965166966</v>
      </c>
      <c r="L2199" t="s">
        <v>24102</v>
      </c>
      <c r="M2199" t="s">
        <v>24103</v>
      </c>
      <c r="N2199">
        <f>-665.625838203098 -171.974339645916 -557.201717085846</f>
        <v>-1394.80189493486</v>
      </c>
      <c r="O2199">
        <f>-594.455599499679 -287.480053932933 -535.047643829161</f>
        <v>-1416.983297261773</v>
      </c>
      <c r="P2199">
        <f>-567.185174196027 -339.242104638495 -246.658666367508</f>
        <v>-1153.08594520203</v>
      </c>
      <c r="Q2199">
        <f>-462.882864430556 -127.816389863607 -296.368302222642</f>
        <v>-887.06755651680498</v>
      </c>
      <c r="R2199">
        <f>-687.300326703157 -45.1224946790331 -102.42129918907</f>
        <v>-834.84412057126019</v>
      </c>
      <c r="S2199" t="s">
        <v>24104</v>
      </c>
      <c r="T2199" t="s">
        <v>24105</v>
      </c>
      <c r="U2199" t="s">
        <v>24106</v>
      </c>
      <c r="V2199">
        <f>-580.872981583358 -204.672964099753 -95.1794189880876</f>
        <v>-880.72536467119858</v>
      </c>
      <c r="W2199" t="s">
        <v>24107</v>
      </c>
      <c r="X2199" t="s">
        <v>24108</v>
      </c>
      <c r="Y2199" t="s">
        <v>24109</v>
      </c>
    </row>
    <row r="2200" spans="1:25" x14ac:dyDescent="0.3">
      <c r="A2200">
        <v>109950</v>
      </c>
      <c r="B2200" t="s">
        <v>24110</v>
      </c>
      <c r="C2200">
        <f>-634.062528346366 -124.900003198672 -97.7694488889026</f>
        <v>-856.73198043394063</v>
      </c>
      <c r="D2200">
        <f>-653.348044108855 -143.047977900047 -210.529893874458</f>
        <v>-1006.9259158833601</v>
      </c>
      <c r="E2200">
        <f>-663.959997032768 -149.562537636301 -308.364558959633</f>
        <v>-1121.8870936287021</v>
      </c>
      <c r="F2200">
        <f>-671.625184527915 -152.170652776085 -397.092727928988</f>
        <v>-1220.8885652329882</v>
      </c>
      <c r="G2200">
        <f>-677.032871697732 -151.322036581392 -486.021309070507</f>
        <v>-1314.3762173496311</v>
      </c>
      <c r="H2200">
        <f>-682.194065499497 -146.526021364335 -610.404443111053</f>
        <v>-1439.1245299748848</v>
      </c>
      <c r="I2200">
        <f>-661.043210174318 -127.632428705555 -688.511304689508</f>
        <v>-1477.1869435693811</v>
      </c>
      <c r="J2200">
        <f>-694.295905497529 -124.994740771152 -554.161526731039</f>
        <v>-1373.45217299972</v>
      </c>
      <c r="K2200">
        <f>-764.830028453326 -9.88754915006371 -528.228553064639</f>
        <v>-1302.9461306680287</v>
      </c>
      <c r="L2200" t="s">
        <v>24111</v>
      </c>
      <c r="M2200" t="s">
        <v>24112</v>
      </c>
      <c r="N2200">
        <f>-665.549938679884 -172.278335690073 -557.177521184724</f>
        <v>-1395.0057955546808</v>
      </c>
      <c r="O2200">
        <f>-594.439484889938 -287.79794824172 -534.896394825491</f>
        <v>-1417.1338279571492</v>
      </c>
      <c r="P2200">
        <f>-567.502651354363 -339.024399852861 -246.380423598289</f>
        <v>-1152.9074748055132</v>
      </c>
      <c r="Q2200">
        <f>-462.489045339749 -127.981112220872 -296.217862502454</f>
        <v>-886.6880200630751</v>
      </c>
      <c r="R2200">
        <f>-687.323540193583 -45.2763187574276 -102.426446269039</f>
        <v>-835.02630522004961</v>
      </c>
      <c r="S2200" t="s">
        <v>24113</v>
      </c>
      <c r="T2200" t="s">
        <v>24114</v>
      </c>
      <c r="U2200" t="s">
        <v>24115</v>
      </c>
      <c r="V2200">
        <f>-580.90250103059 -204.810354403608 -95.1694742621301</f>
        <v>-880.88232969632804</v>
      </c>
      <c r="W2200" t="s">
        <v>24116</v>
      </c>
      <c r="X2200" t="s">
        <v>24117</v>
      </c>
      <c r="Y2200" t="s">
        <v>24118</v>
      </c>
    </row>
    <row r="2201" spans="1:25" x14ac:dyDescent="0.3">
      <c r="A2201">
        <v>110000</v>
      </c>
      <c r="B2201" t="s">
        <v>24119</v>
      </c>
      <c r="C2201">
        <f>-633.953060005239 -125.172138211654 -97.7622931367307</f>
        <v>-856.88749135362366</v>
      </c>
      <c r="D2201">
        <f>-653.248717763509 -143.346158089399 -210.51692175979</f>
        <v>-1007.111797612698</v>
      </c>
      <c r="E2201">
        <f>-663.828045273833 -149.91713351128 -308.351349626408</f>
        <v>-1122.0965284115209</v>
      </c>
      <c r="F2201">
        <f>-671.447829976233 -152.589954123757 -397.081358195902</f>
        <v>-1221.1191422958921</v>
      </c>
      <c r="G2201">
        <f>-676.794643008323 -151.819463275393 -486.014313377999</f>
        <v>-1314.6284196617148</v>
      </c>
      <c r="H2201">
        <f>-681.855124835939 -147.14633346852 -610.406274959359</f>
        <v>-1439.407733263818</v>
      </c>
      <c r="I2201">
        <f>-660.440295138609 -128.307488827584 -688.454557386472</f>
        <v>-1477.2023413526649</v>
      </c>
      <c r="J2201">
        <f>-694.02037437744 -125.570369628633 -554.194122991833</f>
        <v>-1373.784866997906</v>
      </c>
      <c r="K2201">
        <f>-764.685425859035 -10.5058238975103 -528.420355661232</f>
        <v>-1303.6116054177774</v>
      </c>
      <c r="L2201" t="s">
        <v>24120</v>
      </c>
      <c r="M2201" t="s">
        <v>24121</v>
      </c>
      <c r="N2201">
        <f>-665.236160414576 -172.835048430296 -557.140806245268</f>
        <v>-1395.2120150901401</v>
      </c>
      <c r="O2201">
        <f>-594.070528527051 -288.291907698451 -534.68548848662</f>
        <v>-1417.047924712122</v>
      </c>
      <c r="P2201">
        <f>-567.686397755046 -338.527203566856 -245.944333631404</f>
        <v>-1152.1579349533058</v>
      </c>
      <c r="Q2201">
        <f>-461.205552889833 -128.193575032246 -295.66824449526</f>
        <v>-885.0673724173389</v>
      </c>
      <c r="R2201">
        <f>-687.23188215153 -45.6430001718137 -102.423507692327</f>
        <v>-835.29839001567075</v>
      </c>
      <c r="S2201" t="s">
        <v>24122</v>
      </c>
      <c r="T2201" t="s">
        <v>24123</v>
      </c>
      <c r="U2201" t="s">
        <v>24124</v>
      </c>
      <c r="V2201">
        <f>-580.752227677344 -204.989829348131 -95.14560212149</f>
        <v>-880.88765914696501</v>
      </c>
      <c r="W2201" t="s">
        <v>24125</v>
      </c>
      <c r="X2201" t="s">
        <v>24126</v>
      </c>
      <c r="Y2201" t="s">
        <v>24127</v>
      </c>
    </row>
    <row r="2202" spans="1:25" x14ac:dyDescent="0.3">
      <c r="A2202">
        <v>110050</v>
      </c>
      <c r="B2202" t="s">
        <v>24128</v>
      </c>
      <c r="C2202">
        <f>-633.790365580736 -125.405534460056 -97.7462746339463</f>
        <v>-856.94217467473823</v>
      </c>
      <c r="D2202">
        <f>-653.087665221865 -143.588517665016 -210.49916089704</f>
        <v>-1007.175343783921</v>
      </c>
      <c r="E2202">
        <f>-663.660203308603 -150.186093148359 -308.33244354979</f>
        <v>-1122.1787400067519</v>
      </c>
      <c r="F2202">
        <f>-671.270647904135 -152.890656415844 -397.062370120986</f>
        <v>-1221.2236744409649</v>
      </c>
      <c r="G2202">
        <f>-676.605189868845 -152.159560365748 -485.996258544537</f>
        <v>-1314.76100877913</v>
      </c>
      <c r="H2202">
        <f>-681.645394061641 -147.54954450363 -610.391542085451</f>
        <v>-1439.586480650722</v>
      </c>
      <c r="I2202">
        <f>-660.132725709776 -128.735937629516 -688.418923983314</f>
        <v>-1477.287587322606</v>
      </c>
      <c r="J2202">
        <f>-693.835017679857 -125.954392023541 -554.192080248315</f>
        <v>-1373.981489951713</v>
      </c>
      <c r="K2202">
        <f>-764.573550061605 -10.9318514920935 -528.44587606877</f>
        <v>-1303.9512776224685</v>
      </c>
      <c r="L2202" t="s">
        <v>24129</v>
      </c>
      <c r="M2202" t="s">
        <v>24130</v>
      </c>
      <c r="N2202">
        <f>-665.019873090359 -173.201964876769 -557.110571866867</f>
        <v>-1395.3324098339949</v>
      </c>
      <c r="O2202">
        <f>-593.795086047561 -288.620497990449 -534.638952138922</f>
        <v>-1417.0545361769318</v>
      </c>
      <c r="P2202">
        <f>-567.526611870717 -338.564487851521 -245.836600088474</f>
        <v>-1151.9276998107121</v>
      </c>
      <c r="Q2202">
        <f>-460.294954872685 -128.632856708845 -295.64547617644</f>
        <v>-884.57328775797009</v>
      </c>
      <c r="R2202">
        <f>-687.133488677608 -45.8764538317064 -102.40157551859</f>
        <v>-835.41151802790444</v>
      </c>
      <c r="S2202" t="s">
        <v>24131</v>
      </c>
      <c r="T2202" t="s">
        <v>24132</v>
      </c>
      <c r="U2202" t="s">
        <v>24133</v>
      </c>
      <c r="V2202">
        <f>-580.541514348035 -205.244996092594 -95.1365336574917</f>
        <v>-880.92304409812061</v>
      </c>
      <c r="W2202" t="s">
        <v>24134</v>
      </c>
      <c r="X2202" t="s">
        <v>24135</v>
      </c>
      <c r="Y2202" t="s">
        <v>24136</v>
      </c>
    </row>
    <row r="2203" spans="1:25" x14ac:dyDescent="0.3">
      <c r="A2203">
        <v>110100</v>
      </c>
      <c r="B2203" t="s">
        <v>24137</v>
      </c>
      <c r="C2203">
        <f>-633.399651414959 -125.764055561808 -97.7020580383798</f>
        <v>-856.86576501514674</v>
      </c>
      <c r="D2203">
        <f>-652.707299238464 -144.005916991373 -210.443615232514</f>
        <v>-1007.156831462351</v>
      </c>
      <c r="E2203">
        <f>-663.326375252145 -150.673461562922 -308.267210214574</f>
        <v>-1122.2670470296412</v>
      </c>
      <c r="F2203">
        <f>-670.993923010979 -153.449692085726 -396.989970831332</f>
        <v>-1221.433585928037</v>
      </c>
      <c r="G2203">
        <f>-676.40086918289 -152.798066521152 -485.920244490526</f>
        <v>-1315.1191801945679</v>
      </c>
      <c r="H2203">
        <f>-681.558572613671 -148.30693528443 -610.314873500903</f>
        <v>-1440.1803813990041</v>
      </c>
      <c r="I2203">
        <f>-659.92614168451 -129.477908801453 -688.305519395122</f>
        <v>-1477.7095698810849</v>
      </c>
      <c r="J2203">
        <f>-693.730952474947 -126.680016174624 -554.123998385311</f>
        <v>-1374.5349670348819</v>
      </c>
      <c r="K2203">
        <f>-764.579870107509 -11.7215913360992 -528.403772423685</f>
        <v>-1304.7052338672934</v>
      </c>
      <c r="L2203" t="s">
        <v>24138</v>
      </c>
      <c r="M2203" t="s">
        <v>24139</v>
      </c>
      <c r="N2203">
        <f>-664.84687983824 -173.886508900629 -557.0259858484</f>
        <v>-1395.7593745872691</v>
      </c>
      <c r="O2203">
        <f>-593.492045953511 -289.225058025442 -534.567705010155</f>
        <v>-1417.2848089891081</v>
      </c>
      <c r="P2203">
        <f>-567.061907591341 -338.943382251771 -245.741322729608</f>
        <v>-1151.7466125727201</v>
      </c>
      <c r="Q2203">
        <f>-458.792158781022 -129.620809549693 -295.866915719784</f>
        <v>-884.27988405049905</v>
      </c>
      <c r="R2203">
        <f>-686.860844893128 -46.3225492775954 -102.362641487649</f>
        <v>-835.54603565837238</v>
      </c>
      <c r="S2203" t="s">
        <v>24140</v>
      </c>
      <c r="T2203" t="s">
        <v>24141</v>
      </c>
      <c r="U2203" t="s">
        <v>24142</v>
      </c>
      <c r="V2203">
        <f>-580.03045276321 -205.495944309486 -95.1084952493412</f>
        <v>-880.63489232203722</v>
      </c>
      <c r="W2203" t="s">
        <v>24143</v>
      </c>
      <c r="X2203" t="s">
        <v>24144</v>
      </c>
      <c r="Y2203" t="s">
        <v>24145</v>
      </c>
    </row>
    <row r="2204" spans="1:25" x14ac:dyDescent="0.3">
      <c r="A2204">
        <v>110150</v>
      </c>
      <c r="B2204" t="s">
        <v>24146</v>
      </c>
      <c r="C2204">
        <f>-633.177898532452 -126.014078216211 -97.6768842647173</f>
        <v>-856.8688610133803</v>
      </c>
      <c r="D2204">
        <f>-652.496499670759 -144.305864083943 -210.408470547765</f>
        <v>-1007.210834302467</v>
      </c>
      <c r="E2204">
        <f>-663.161754555607 -151.012047172484 -308.224377065414</f>
        <v>-1122.3981787935049</v>
      </c>
      <c r="F2204">
        <f>-670.88564411322 -153.821704687288 -396.941298404402</f>
        <v>-1221.64864720491</v>
      </c>
      <c r="G2204">
        <f>-676.363909183552 -153.201493102152 -485.867213489452</f>
        <v>-1315.4326157751559</v>
      </c>
      <c r="H2204">
        <f>-681.636966452743 -148.751975209178 -610.258628594523</f>
        <v>-1440.6475702564439</v>
      </c>
      <c r="I2204">
        <f>-659.969225985284 -129.869235683223 -688.226405864425</f>
        <v>-1478.0648675329321</v>
      </c>
      <c r="J2204">
        <f>-693.78372608731 -127.12254683267 -554.063089636602</f>
        <v>-1374.9693625565819</v>
      </c>
      <c r="K2204">
        <f>-764.726645387053 -12.2195797661993 -528.364494126211</f>
        <v>-1305.3107192794632</v>
      </c>
      <c r="L2204" t="s">
        <v>24147</v>
      </c>
      <c r="M2204" t="s">
        <v>24148</v>
      </c>
      <c r="N2204">
        <f>-664.849365435434 -174.297487497818 -556.977134673468</f>
        <v>-1396.12398760672</v>
      </c>
      <c r="O2204">
        <f>-593.363375858414 -289.556033392864 -534.515981846478</f>
        <v>-1417.4353910977561</v>
      </c>
      <c r="P2204">
        <f>-566.758836457494 -339.182840041787 -245.689741579043</f>
        <v>-1151.631418078324</v>
      </c>
      <c r="Q2204">
        <f>-458.205140672381 -130.037147376468 -295.939331891483</f>
        <v>-884.18161994033198</v>
      </c>
      <c r="R2204">
        <f>-686.728648158145 -46.6778716319238 -102.329507450622</f>
        <v>-835.73602724069087</v>
      </c>
      <c r="S2204" t="s">
        <v>24149</v>
      </c>
      <c r="T2204" t="s">
        <v>24150</v>
      </c>
      <c r="U2204" t="s">
        <v>24151</v>
      </c>
      <c r="V2204">
        <f>-579.720286784582 -205.635625219248 -95.0883103564582</f>
        <v>-880.44422236028822</v>
      </c>
      <c r="W2204" t="s">
        <v>24152</v>
      </c>
      <c r="X2204" t="s">
        <v>24153</v>
      </c>
      <c r="Y2204" t="s">
        <v>24154</v>
      </c>
    </row>
    <row r="2205" spans="1:25" x14ac:dyDescent="0.3">
      <c r="A2205">
        <v>110200</v>
      </c>
      <c r="B2205" t="s">
        <v>24155</v>
      </c>
      <c r="C2205">
        <f>-632.60466115361 -126.486584434033 -97.6299705248285</f>
        <v>-856.72121611247155</v>
      </c>
      <c r="D2205">
        <f>-652.00712952447 -144.915116566208 -210.324925982704</f>
        <v>-1007.247172073382</v>
      </c>
      <c r="E2205">
        <f>-662.801016944959 -151.710049877771 -308.120486881998</f>
        <v>-1122.631553704728</v>
      </c>
      <c r="F2205">
        <f>-670.664166417635 -154.588441172023 -396.823044596837</f>
        <v>-1222.0756521864951</v>
      </c>
      <c r="G2205">
        <f>-676.305604107434 -154.024053722587 -485.739207250129</f>
        <v>-1316.0688650801501</v>
      </c>
      <c r="H2205">
        <f>-681.832366271671 -149.638285330871 -610.121911547319</f>
        <v>-1441.592563149861</v>
      </c>
      <c r="I2205">
        <f>-660.073643802654 -130.621569230382 -688.031749147057</f>
        <v>-1478.7269621800929</v>
      </c>
      <c r="J2205">
        <f>-693.928050959749 -128.019143573072 -553.911411699142</f>
        <v>-1375.8586062319632</v>
      </c>
      <c r="K2205">
        <f>-765.095833656185 -13.2451154457694 -528.225392183728</f>
        <v>-1306.5663412856825</v>
      </c>
      <c r="L2205" t="s">
        <v>24156</v>
      </c>
      <c r="M2205" t="s">
        <v>24157</v>
      </c>
      <c r="N2205">
        <f>-664.872601554937 -175.117286880834 -556.862963228109</f>
        <v>-1396.8528516638801</v>
      </c>
      <c r="O2205">
        <f>-593.095093755975 -290.202448361303 -534.481352024546</f>
        <v>-1417.7788941418239</v>
      </c>
      <c r="P2205">
        <f>-566.11999705902 -339.654117356192 -245.659506422798</f>
        <v>-1151.4336208380098</v>
      </c>
      <c r="Q2205">
        <f>-457.474723406691 -130.593693264275 -296.065996076564</f>
        <v>-884.13441274752995</v>
      </c>
      <c r="R2205">
        <f>-686.289593339991 -47.249994880047 -102.293067254682</f>
        <v>-835.83265547472001</v>
      </c>
      <c r="S2205" t="s">
        <v>24158</v>
      </c>
      <c r="T2205" t="s">
        <v>24159</v>
      </c>
      <c r="U2205" t="s">
        <v>24160</v>
      </c>
      <c r="V2205">
        <f>-579.037991444159 -206.044691134397 -95.0287343690113</f>
        <v>-880.11141694756736</v>
      </c>
      <c r="W2205" t="s">
        <v>24161</v>
      </c>
      <c r="X2205" t="s">
        <v>24162</v>
      </c>
      <c r="Y2205" t="s">
        <v>24163</v>
      </c>
    </row>
    <row r="2206" spans="1:25" x14ac:dyDescent="0.3">
      <c r="A2206">
        <v>110250</v>
      </c>
      <c r="B2206" t="s">
        <v>24164</v>
      </c>
      <c r="C2206">
        <f>-632.259115177658 -126.784648140822 -97.6119204883358</f>
        <v>-856.65568380681589</v>
      </c>
      <c r="D2206">
        <f>-651.718917167576 -145.293361324178 -210.283854910186</f>
        <v>-1007.2961334019401</v>
      </c>
      <c r="E2206">
        <f>-662.581974244725 -152.147956987323 -308.067600585161</f>
        <v>-1122.7975318172089</v>
      </c>
      <c r="F2206">
        <f>-670.515525655422 -155.076619130321 -396.762194718796</f>
        <v>-1222.354339504539</v>
      </c>
      <c r="G2206">
        <f>-676.235709215518 -154.558461712211 -485.673744132082</f>
        <v>-1316.467915059811</v>
      </c>
      <c r="H2206">
        <f>-681.881168746014 -150.232619922593 -610.053037169233</f>
        <v>-1442.16682583784</v>
      </c>
      <c r="I2206">
        <f>-660.072673756237 -131.163342255098 -687.936207066488</f>
        <v>-1479.172223077823</v>
      </c>
      <c r="J2206">
        <f>-693.951256857937 -128.603776543831 -553.840858400216</f>
        <v>-1376.3958918019839</v>
      </c>
      <c r="K2206">
        <f>-765.229360476223 -13.8977327741009 -528.157266125375</f>
        <v>-1307.2843593756988</v>
      </c>
      <c r="L2206" t="s">
        <v>24165</v>
      </c>
      <c r="M2206" t="s">
        <v>24166</v>
      </c>
      <c r="N2206">
        <f>-664.842425152765 -175.668578602704 -556.798998969674</f>
        <v>-1397.310002725143</v>
      </c>
      <c r="O2206">
        <f>-592.918742258496 -290.672036665853 -534.447582286157</f>
        <v>-1418.0383612105061</v>
      </c>
      <c r="P2206">
        <f>-565.743215535689 -340.027844265066 -245.628116068649</f>
        <v>-1151.399175869404</v>
      </c>
      <c r="Q2206">
        <f>-457.246089708042 -130.91376863965 -296.131171735095</f>
        <v>-884.29103008278696</v>
      </c>
      <c r="R2206">
        <f>-685.989201582113 -47.6330607912179 -102.257435674317</f>
        <v>-835.87969804764782</v>
      </c>
      <c r="S2206" t="s">
        <v>24167</v>
      </c>
      <c r="T2206" t="s">
        <v>24168</v>
      </c>
      <c r="U2206" t="s">
        <v>24169</v>
      </c>
      <c r="V2206">
        <f>-578.644700694998 -206.242340765233 -94.9937277325721</f>
        <v>-879.8807691928032</v>
      </c>
      <c r="W2206" t="s">
        <v>24170</v>
      </c>
      <c r="X2206" t="s">
        <v>24171</v>
      </c>
      <c r="Y2206" t="s">
        <v>24172</v>
      </c>
    </row>
    <row r="2207" spans="1:25" x14ac:dyDescent="0.3">
      <c r="A2207">
        <v>110300</v>
      </c>
      <c r="B2207" t="s">
        <v>24173</v>
      </c>
      <c r="C2207">
        <f>-631.509788443325 -127.50713968986 -97.5674395860599</f>
        <v>-856.58436771924482</v>
      </c>
      <c r="D2207">
        <f>-651.052199036974 -146.163625308578 -210.200746362378</f>
        <v>-1007.41657070793</v>
      </c>
      <c r="E2207">
        <f>-662.057014067728 -153.156726975149 -307.958807701166</f>
        <v>-1123.1725487440431</v>
      </c>
      <c r="F2207">
        <f>-670.147368611714 -156.215607543443 -396.634724970343</f>
        <v>-1222.9977011255</v>
      </c>
      <c r="G2207">
        <f>-676.053449750997 -155.831581004981 -485.534793694255</f>
        <v>-1317.4198244502329</v>
      </c>
      <c r="H2207">
        <f>-681.98973211021 -151.696712455988 -609.907204357729</f>
        <v>-1443.593648923927</v>
      </c>
      <c r="I2207">
        <f>-660.087276732741 -132.548222425813 -687.744397306902</f>
        <v>-1480.3798964654561</v>
      </c>
      <c r="J2207">
        <f>-693.977128383549 -130.011859979453 -553.698793627639</f>
        <v>-1377.687781990641</v>
      </c>
      <c r="K2207">
        <f>-765.490819206545 -15.4506097100409 -528.044609673393</f>
        <v>-1308.9860385899788</v>
      </c>
      <c r="L2207" t="s">
        <v>24174</v>
      </c>
      <c r="M2207" t="s">
        <v>24175</v>
      </c>
      <c r="N2207">
        <f>-664.777846376726 -177.020663515721 -556.655352744485</f>
        <v>-1398.4538626369319</v>
      </c>
      <c r="O2207">
        <f>-592.541361267101 -291.840664979004 -534.345858037944</f>
        <v>-1418.727884284049</v>
      </c>
      <c r="P2207">
        <f>-564.976512070059 -341.043708022439 -245.537249431533</f>
        <v>-1151.5574695240309</v>
      </c>
      <c r="Q2207">
        <f>-457.169336153799 -131.642635899355 -296.32731165993</f>
        <v>-885.13928371308407</v>
      </c>
      <c r="R2207">
        <f>-685.345674109365 -48.4364875142514 -102.229274685902</f>
        <v>-836.01143630951833</v>
      </c>
      <c r="S2207" t="s">
        <v>24176</v>
      </c>
      <c r="T2207" t="s">
        <v>24177</v>
      </c>
      <c r="U2207" t="s">
        <v>24178</v>
      </c>
      <c r="V2207">
        <f>-577.78739637764 -206.885988197773 -94.9270261988507</f>
        <v>-879.60041077426376</v>
      </c>
      <c r="W2207" t="s">
        <v>24179</v>
      </c>
      <c r="X2207" t="s">
        <v>24180</v>
      </c>
      <c r="Y2207" t="s">
        <v>24181</v>
      </c>
    </row>
    <row r="2208" spans="1:25" x14ac:dyDescent="0.3">
      <c r="A2208">
        <v>110350</v>
      </c>
      <c r="B2208" t="s">
        <v>24182</v>
      </c>
      <c r="C2208">
        <f>-631.139984935055 -127.88830248026 -97.5358071482218</f>
        <v>-856.56409456353686</v>
      </c>
      <c r="D2208">
        <f>-650.715617161507 -146.598876247266 -210.154231279609</f>
        <v>-1007.4687246883819</v>
      </c>
      <c r="E2208">
        <f>-661.787715069479 -153.648384644191 -307.900744980889</f>
        <v>-1123.336844694559</v>
      </c>
      <c r="F2208">
        <f>-669.954638834327 -156.76222162455 -396.567757877971</f>
        <v>-1223.2846183368481</v>
      </c>
      <c r="G2208">
        <f>-675.953703659097 -156.436581685904 -485.461808182852</f>
        <v>-1317.852093527853</v>
      </c>
      <c r="H2208">
        <f>-682.037235450103 -152.386668594907 -609.829809802504</f>
        <v>-1444.2537138475141</v>
      </c>
      <c r="I2208">
        <f>-660.094849305295 -133.189245617582 -687.643812368395</f>
        <v>-1480.927907291272</v>
      </c>
      <c r="J2208">
        <f>-693.98166024061 -130.678133394264 -553.621523851592</f>
        <v>-1378.2813174864659</v>
      </c>
      <c r="K2208">
        <f>-765.614191608456 -16.1936429973946 -527.985138762141</f>
        <v>-1309.7929733679916</v>
      </c>
      <c r="L2208" t="s">
        <v>24183</v>
      </c>
      <c r="M2208" t="s">
        <v>24184</v>
      </c>
      <c r="N2208">
        <f>-664.738660444579 -177.659448692334 -556.58174779886</f>
        <v>-1398.9798569357729</v>
      </c>
      <c r="O2208">
        <f>-592.397429140596 -292.42151788526 -534.307139641424</f>
        <v>-1419.1260866672801</v>
      </c>
      <c r="P2208">
        <f>-564.733423194673 -341.526753912351 -245.491310118802</f>
        <v>-1151.7514872258259</v>
      </c>
      <c r="Q2208">
        <f>-457.245637030337 -132.034636482228 -296.582408294491</f>
        <v>-885.86268180705588</v>
      </c>
      <c r="R2208">
        <f>-685.017159436625 -48.8298507277979 -102.208364152733</f>
        <v>-836.05537431715584</v>
      </c>
      <c r="S2208" t="s">
        <v>24185</v>
      </c>
      <c r="T2208" t="s">
        <v>24186</v>
      </c>
      <c r="U2208" t="s">
        <v>24187</v>
      </c>
      <c r="V2208">
        <f>-577.374937726461 -207.274424140569 -94.8907198069762</f>
        <v>-879.54008167400616</v>
      </c>
      <c r="W2208" t="s">
        <v>24188</v>
      </c>
      <c r="X2208" t="s">
        <v>24189</v>
      </c>
      <c r="Y2208" t="s">
        <v>24190</v>
      </c>
    </row>
    <row r="2209" spans="1:25" x14ac:dyDescent="0.3">
      <c r="A2209">
        <v>110400</v>
      </c>
      <c r="B2209" t="s">
        <v>24191</v>
      </c>
      <c r="C2209">
        <f>-630.387410259085 -128.657405595367 -97.4823600705454</f>
        <v>-856.52717592499732</v>
      </c>
      <c r="D2209">
        <f>-650.03376757046 -147.459829788899 -210.073344924911</f>
        <v>-1007.56694228427</v>
      </c>
      <c r="E2209">
        <f>-661.239112047614 -154.599127316132 -307.798104608453</f>
        <v>-1123.636343972199</v>
      </c>
      <c r="F2209">
        <f>-669.556698454025 -157.797846141356 -396.448128514549</f>
        <v>-1223.8026731099299</v>
      </c>
      <c r="G2209">
        <f>-675.737672330522 -157.559859842738 -485.32989503139</f>
        <v>-1318.6274272046498</v>
      </c>
      <c r="H2209">
        <f>-682.108904231993 -153.634756435037 -609.687484801511</f>
        <v>-1445.4311454685412</v>
      </c>
      <c r="I2209">
        <f>-660.101810320854 -134.334857522426 -687.457866342007</f>
        <v>-1481.8945341852871</v>
      </c>
      <c r="J2209">
        <f>-693.956373011671 -131.890485309105 -553.472340641358</f>
        <v>-1379.3191989621339</v>
      </c>
      <c r="K2209">
        <f>-765.71566580024 -17.4603444796867 -527.9083953424</f>
        <v>-1311.0844056223268</v>
      </c>
      <c r="L2209" t="s">
        <v>24192</v>
      </c>
      <c r="M2209" t="s">
        <v>24193</v>
      </c>
      <c r="N2209">
        <f>-664.65409560608 -178.833476680121 -556.455242633513</f>
        <v>-1399.9428149197138</v>
      </c>
      <c r="O2209">
        <f>-592.153314809276 -293.503662980141 -534.230849457313</f>
        <v>-1419.88782724673</v>
      </c>
      <c r="P2209">
        <f>-564.274089564563 -342.471298998296 -245.412459423041</f>
        <v>-1152.1578479858999</v>
      </c>
      <c r="Q2209">
        <f>-457.103569429197 -132.932200446841 -296.975012216143</f>
        <v>-887.01078209218099</v>
      </c>
      <c r="R2209">
        <f>-684.230296046605 -49.6768414660057 -102.140346237418</f>
        <v>-836.04748375002873</v>
      </c>
      <c r="S2209" t="s">
        <v>24194</v>
      </c>
      <c r="T2209" t="s">
        <v>24195</v>
      </c>
      <c r="U2209" t="s">
        <v>24196</v>
      </c>
      <c r="V2209">
        <f>-576.632552042915 -207.947732805247 -94.8113979503623</f>
        <v>-879.39168279852436</v>
      </c>
      <c r="W2209" t="s">
        <v>24197</v>
      </c>
      <c r="X2209" t="s">
        <v>24198</v>
      </c>
      <c r="Y2209" t="s">
        <v>24199</v>
      </c>
    </row>
    <row r="2210" spans="1:25" x14ac:dyDescent="0.3">
      <c r="A2210">
        <v>110450</v>
      </c>
      <c r="B2210" t="s">
        <v>24200</v>
      </c>
      <c r="C2210">
        <f>-629.925290054339 -128.977927223338 -97.4525625343554</f>
        <v>-856.35577981203244</v>
      </c>
      <c r="D2210">
        <f>-649.601769811717 -147.825509258297 -210.030640491207</f>
        <v>-1007.4579195612209</v>
      </c>
      <c r="E2210">
        <f>-660.874542032086 -155.019617851612 -307.743642066633</f>
        <v>-1123.6378019503309</v>
      </c>
      <c r="F2210">
        <f>-669.270888381029 -158.273668363186 -396.384309346637</f>
        <v>-1223.9288660908519</v>
      </c>
      <c r="G2210">
        <f>-675.548778721048 -158.096481831454 -485.25937238806</f>
        <v>-1318.9046329405621</v>
      </c>
      <c r="H2210">
        <f>-682.075154880165 -154.261602140192 -609.611782096278</f>
        <v>-1445.9485391166349</v>
      </c>
      <c r="I2210">
        <f>-660.047019537189 -134.930918346767 -687.368622120908</f>
        <v>-1482.3465600048639</v>
      </c>
      <c r="J2210">
        <f>-693.861431727558 -132.482158269369 -553.397435517432</f>
        <v>-1379.7410255143591</v>
      </c>
      <c r="K2210">
        <f>-765.687637449643 -18.0836657430552 -527.896112973253</f>
        <v>-1311.6674161659512</v>
      </c>
      <c r="L2210" t="s">
        <v>24201</v>
      </c>
      <c r="M2210" t="s">
        <v>24202</v>
      </c>
      <c r="N2210">
        <f>-664.544972052372 -179.416086213828 -556.383375773515</f>
        <v>-1400.344434039715</v>
      </c>
      <c r="O2210">
        <f>-592.061277895006 -294.100725695609 -534.192854344001</f>
        <v>-1420.3548579346161</v>
      </c>
      <c r="P2210">
        <f>-564.385559513458 -343.072760671591 -245.35539431466</f>
        <v>-1152.813714499709</v>
      </c>
      <c r="Q2210">
        <f>-456.509906776896 -134.073070334398 -297.631959708096</f>
        <v>-888.21493681939</v>
      </c>
      <c r="R2210">
        <f>-683.704267564039 -50.0744529201789 -102.12495071539</f>
        <v>-835.90367119960797</v>
      </c>
      <c r="S2210" t="s">
        <v>24203</v>
      </c>
      <c r="T2210" t="s">
        <v>24204</v>
      </c>
      <c r="U2210" t="s">
        <v>24205</v>
      </c>
      <c r="V2210">
        <f>-576.235895069851 -208.171883038168 -94.7665151412876</f>
        <v>-879.17429324930674</v>
      </c>
      <c r="W2210" t="s">
        <v>24206</v>
      </c>
      <c r="X2210" t="s">
        <v>24207</v>
      </c>
      <c r="Y2210" t="s">
        <v>24208</v>
      </c>
    </row>
    <row r="2211" spans="1:25" x14ac:dyDescent="0.3">
      <c r="A2211">
        <v>110500</v>
      </c>
      <c r="B2211" t="s">
        <v>24209</v>
      </c>
      <c r="C2211">
        <f>-628.928653761876 -129.504512298459 -97.391815729015</f>
        <v>-855.82498178934998</v>
      </c>
      <c r="D2211">
        <f>-648.661085497422 -148.412108508677 -209.950101231248</f>
        <v>-1007.023295237347</v>
      </c>
      <c r="E2211">
        <f>-660.062979512126 -155.70845693786 -307.64045588264</f>
        <v>-1123.4118923326259</v>
      </c>
      <c r="F2211">
        <f>-668.611111237016 -159.073642737989 -396.2623544056</f>
        <v>-1223.947108380605</v>
      </c>
      <c r="G2211">
        <f>-675.076827757552 -159.025929546703 -485.124272532124</f>
        <v>-1319.227029836379</v>
      </c>
      <c r="H2211">
        <f>-681.904269442452 -155.390113666704 -609.466434286091</f>
        <v>-1446.7608173952472</v>
      </c>
      <c r="I2211">
        <f>-659.855177060576 -136.012293711025 -687.205486132785</f>
        <v>-1483.072956904386</v>
      </c>
      <c r="J2211">
        <f>-693.540990763698 -133.512269349946 -553.259226995569</f>
        <v>-1380.312487109213</v>
      </c>
      <c r="K2211">
        <f>-765.315396422953 -19.0406256112974 -527.953446857267</f>
        <v>-1312.3094688915173</v>
      </c>
      <c r="L2211" t="s">
        <v>24210</v>
      </c>
      <c r="M2211" t="s">
        <v>24211</v>
      </c>
      <c r="N2211">
        <f>-664.258738161629 -180.467841400996 -556.240022518841</f>
        <v>-1400.9666020814661</v>
      </c>
      <c r="O2211">
        <f>-592.100290821412 -295.380762845383 -534.160731328296</f>
        <v>-1421.6417849950913</v>
      </c>
      <c r="P2211">
        <f>-564.971801862391 -344.393923669626 -245.278342998119</f>
        <v>-1154.6440685301359</v>
      </c>
      <c r="Q2211">
        <f>-453.980749593162 -137.831752307924 -300.631178989418</f>
        <v>-892.44368089050397</v>
      </c>
      <c r="R2211">
        <f>-682.609003765064 -50.7018152572017 -102.115895185245</f>
        <v>-835.42671420751071</v>
      </c>
      <c r="S2211" t="s">
        <v>24212</v>
      </c>
      <c r="T2211" t="s">
        <v>24213</v>
      </c>
      <c r="U2211" t="s">
        <v>24214</v>
      </c>
      <c r="V2211">
        <f>-575.403278479616 -208.624253558483 -94.6807725720356</f>
        <v>-878.70830461013463</v>
      </c>
      <c r="W2211" t="s">
        <v>24215</v>
      </c>
      <c r="X2211" t="s">
        <v>24216</v>
      </c>
      <c r="Y2211" t="s">
        <v>24217</v>
      </c>
    </row>
    <row r="2212" spans="1:25" x14ac:dyDescent="0.3">
      <c r="A2212">
        <v>110550</v>
      </c>
      <c r="B2212" t="s">
        <v>24218</v>
      </c>
      <c r="C2212">
        <f>-628.467991103908 -129.779782800736 -97.3873859930075</f>
        <v>-855.63515989765153</v>
      </c>
      <c r="D2212">
        <f>-648.212900836764 -148.734339790095 -209.935536385685</f>
        <v>-1006.882777012544</v>
      </c>
      <c r="E2212">
        <f>-659.686833090325 -156.095939570649 -307.612617325974</f>
        <v>-1123.395389986948</v>
      </c>
      <c r="F2212">
        <f>-668.326052082899 -159.528937671564 -396.223079803444</f>
        <v>-1224.0780695579069</v>
      </c>
      <c r="G2212">
        <f>-674.909264300766 -159.557712639004 -485.076337108713</f>
        <v>-1319.5433140484829</v>
      </c>
      <c r="H2212">
        <f>-681.929042917718 -156.037508591946 -609.41115505424</f>
        <v>-1447.377706563904</v>
      </c>
      <c r="I2212">
        <f>-659.880197547445 -136.644386953583 -687.146539839338</f>
        <v>-1483.6711243403661</v>
      </c>
      <c r="J2212">
        <f>-693.461593651183 -134.096589042416 -553.207050468282</f>
        <v>-1380.765233161881</v>
      </c>
      <c r="K2212">
        <f>-765.159246776862 -19.5385791649451 -528.043147902209</f>
        <v>-1312.740973844016</v>
      </c>
      <c r="L2212" t="s">
        <v>24219</v>
      </c>
      <c r="M2212" t="s">
        <v>24220</v>
      </c>
      <c r="N2212">
        <f>-664.218432363305 -181.076477943137 -556.188207858162</f>
        <v>-1401.4831181646041</v>
      </c>
      <c r="O2212">
        <f>-592.30329945163 -296.140630423355 -534.142662890601</f>
        <v>-1422.5865927655859</v>
      </c>
      <c r="P2212">
        <f>-565.610058809129 -344.886998328215 -245.174726960087</f>
        <v>-1155.6717840974311</v>
      </c>
      <c r="Q2212">
        <f>-453.220947014319 -139.576962704249 -302.335679018098</f>
        <v>-895.13358873666607</v>
      </c>
      <c r="R2212">
        <f>-682.085868376585 -50.9644297571127 -102.174009401912</f>
        <v>-835.2243075356098</v>
      </c>
      <c r="S2212" t="s">
        <v>24221</v>
      </c>
      <c r="T2212" t="s">
        <v>24222</v>
      </c>
      <c r="U2212" t="s">
        <v>24223</v>
      </c>
      <c r="V2212">
        <f>-574.99578149075 -208.932275891413 -94.626584714483</f>
        <v>-878.55464209664603</v>
      </c>
      <c r="W2212" t="s">
        <v>24224</v>
      </c>
      <c r="X2212" t="s">
        <v>24225</v>
      </c>
      <c r="Y2212" t="s">
        <v>24226</v>
      </c>
    </row>
    <row r="2213" spans="1:25" x14ac:dyDescent="0.3">
      <c r="A2213">
        <v>110600</v>
      </c>
      <c r="B2213" t="s">
        <v>24227</v>
      </c>
      <c r="C2213">
        <f>-627.749946189571 -130.201777985936 -97.43699605912</f>
        <v>-855.38872023462704</v>
      </c>
      <c r="D2213">
        <f>-647.461849259306 -149.225134094728 -209.979244277101</f>
        <v>-1006.6662276311349</v>
      </c>
      <c r="E2213">
        <f>-659.027047512517 -156.75371791586 -307.632931795116</f>
        <v>-1123.413697223493</v>
      </c>
      <c r="F2213">
        <f>-667.800150502326 -160.379412950306 -396.22264902854</f>
        <v>-1224.402212481172</v>
      </c>
      <c r="G2213">
        <f>-674.570177037352 -160.641699551879 -485.061356601985</f>
        <v>-1320.2732331912159</v>
      </c>
      <c r="H2213">
        <f>-681.907767284306 -157.489932529112 -609.387804451493</f>
        <v>-1448.7855042649112</v>
      </c>
      <c r="I2213">
        <f>-659.815759553892 -138.10406909227 -687.112668675336</f>
        <v>-1485.0324973214979</v>
      </c>
      <c r="J2213">
        <f>-693.290049806307 -135.378441974813 -553.219872297923</f>
        <v>-1381.888364079043</v>
      </c>
      <c r="K2213">
        <f>-765.132139493791 -20.8140499581289 -528.498383785261</f>
        <v>-1314.444573237181</v>
      </c>
      <c r="L2213" t="s">
        <v>24228</v>
      </c>
      <c r="M2213" t="s">
        <v>24229</v>
      </c>
      <c r="N2213">
        <f>-664.067701884907 -182.375364837678 -556.135985834433</f>
        <v>-1402.579052557018</v>
      </c>
      <c r="O2213">
        <f>-592.42194104334 -297.609343598983 -534.066863649476</f>
        <v>-1424.0981482917991</v>
      </c>
      <c r="P2213">
        <f>-566.638768855936 -346.190456848205 -244.988445256946</f>
        <v>-1157.8176709610871</v>
      </c>
      <c r="Q2213">
        <f>-453.116955516535 -142.211318885714 -304.622224534764</f>
        <v>-899.95049893701298</v>
      </c>
      <c r="R2213">
        <f>-681.311803119313 -51.3623039322605 -102.34517025361</f>
        <v>-835.01927730518355</v>
      </c>
      <c r="S2213" t="s">
        <v>24230</v>
      </c>
      <c r="T2213" t="s">
        <v>24231</v>
      </c>
      <c r="U2213" t="s">
        <v>24232</v>
      </c>
      <c r="V2213">
        <f>-574.380979606067 -209.284031407939 -94.5745410022118</f>
        <v>-878.23955201621777</v>
      </c>
      <c r="W2213" t="s">
        <v>24233</v>
      </c>
      <c r="X2213" t="s">
        <v>24234</v>
      </c>
      <c r="Y2213" t="s">
        <v>24235</v>
      </c>
    </row>
    <row r="2214" spans="1:25" x14ac:dyDescent="0.3">
      <c r="A2214">
        <v>110650</v>
      </c>
      <c r="B2214" t="s">
        <v>24236</v>
      </c>
      <c r="C2214">
        <f>-627.50868217869 -130.506878499892 -97.4897830563284</f>
        <v>-855.50534373491041</v>
      </c>
      <c r="D2214">
        <f>-647.156447902805 -149.550801511435 -210.039879366649</f>
        <v>-1006.7471287808889</v>
      </c>
      <c r="E2214">
        <f>-658.710456692894 -157.148918538283 -307.689328065418</f>
        <v>-1123.548703296595</v>
      </c>
      <c r="F2214">
        <f>-667.492424681149 -160.857755348761 -396.274750961019</f>
        <v>-1224.624930990929</v>
      </c>
      <c r="G2214">
        <f>-674.290892828515 -161.223322570519 -485.111043036555</f>
        <v>-1320.6252584355889</v>
      </c>
      <c r="H2214">
        <f>-681.689738422647 -158.236395740113 -609.437801960867</f>
        <v>-1449.3639361236269</v>
      </c>
      <c r="I2214">
        <f>-659.560019984699 -138.841017318093 -687.149676614206</f>
        <v>-1485.5507139169981</v>
      </c>
      <c r="J2214">
        <f>-693.055750688841 -136.057462177742 -553.293222103552</f>
        <v>-1382.406434970135</v>
      </c>
      <c r="K2214">
        <f>-765.037969703173 -21.522312174325 -528.858380594882</f>
        <v>-1315.4186624723798</v>
      </c>
      <c r="L2214" t="s">
        <v>24237</v>
      </c>
      <c r="M2214" t="s">
        <v>24238</v>
      </c>
      <c r="N2214">
        <f>-663.812034582547 -183.044078843983 -556.162316698964</f>
        <v>-1403.018430125494</v>
      </c>
      <c r="O2214">
        <f>-592.258148873803 -298.326079986619 -534.101640858439</f>
        <v>-1424.6858697188609</v>
      </c>
      <c r="P2214">
        <f>-567.012606883944 -346.835713857198 -244.963784441022</f>
        <v>-1158.812105182164</v>
      </c>
      <c r="Q2214">
        <f>-453.544703102322 -143.108735147229 -305.554633195848</f>
        <v>-902.2080714453989</v>
      </c>
      <c r="R2214">
        <f>-681.045700136517 -51.6838164299802 -102.449557348357</f>
        <v>-835.17907391485414</v>
      </c>
      <c r="S2214" t="s">
        <v>24239</v>
      </c>
      <c r="T2214" t="s">
        <v>24240</v>
      </c>
      <c r="U2214" t="s">
        <v>24241</v>
      </c>
      <c r="V2214">
        <f>-574.132977839238 -209.595553314537 -94.5593517674195</f>
        <v>-878.28788292119452</v>
      </c>
      <c r="W2214" t="s">
        <v>24242</v>
      </c>
      <c r="X2214" t="s">
        <v>24243</v>
      </c>
      <c r="Y2214" t="s">
        <v>24244</v>
      </c>
    </row>
    <row r="2215" spans="1:25" x14ac:dyDescent="0.3">
      <c r="A2215">
        <v>110700</v>
      </c>
      <c r="B2215" t="s">
        <v>24245</v>
      </c>
      <c r="C2215">
        <f>-627.033284104609 -131.361025839307 -97.5613564311636</f>
        <v>-855.95566637507966</v>
      </c>
      <c r="D2215">
        <f>-646.511437852944 -150.479247475004 -210.128333542173</f>
        <v>-1007.1190188701211</v>
      </c>
      <c r="E2215">
        <f>-657.961936190026 -158.224705816245 -307.778413131936</f>
        <v>-1123.9650551382069</v>
      </c>
      <c r="F2215">
        <f>-666.669996768643 -162.099432551089 -396.36395715156</f>
        <v>-1225.1333864712919</v>
      </c>
      <c r="G2215">
        <f>-673.416711214071 -162.662424090114 -485.203224943235</f>
        <v>-1321.28236024742</v>
      </c>
      <c r="H2215">
        <f>-680.768208518621 -159.983174238121 -609.539888629578</f>
        <v>-1450.29127138632</v>
      </c>
      <c r="I2215">
        <f>-658.530033845171 -140.5726379194 -687.216825079547</f>
        <v>-1486.319496844118</v>
      </c>
      <c r="J2215">
        <f>-692.223088566675 -137.707692664057 -553.451496881745</f>
        <v>-1383.382278112477</v>
      </c>
      <c r="K2215">
        <f>-764.722412686817 -23.3493648151577 -529.787836446844</f>
        <v>-1317.8596139488188</v>
      </c>
      <c r="L2215">
        <f>-773.315408122586 -0.777768079609814 -236.516935543778</f>
        <v>-1010.6101117459738</v>
      </c>
      <c r="M2215" t="s">
        <v>24246</v>
      </c>
      <c r="N2215">
        <f>-662.843263778565 -184.616560417395 -556.199321801119</f>
        <v>-1403.6591459970791</v>
      </c>
      <c r="O2215">
        <f>-591.272509686852 -299.888267687652 -534.12470275963</f>
        <v>-1425.2854801341341</v>
      </c>
      <c r="P2215">
        <f>-566.919285679946 -348.237003187968 -244.883475561748</f>
        <v>-1160.0397644296622</v>
      </c>
      <c r="Q2215">
        <f>-453.467972090874 -145.031914022852 -307.232264399705</f>
        <v>-905.73215051343095</v>
      </c>
      <c r="R2215">
        <f>-680.557212017605 -52.4895086490819 -102.649045246016</f>
        <v>-835.695765912703</v>
      </c>
      <c r="S2215" t="s">
        <v>24247</v>
      </c>
      <c r="T2215" t="s">
        <v>24248</v>
      </c>
      <c r="U2215" t="s">
        <v>24249</v>
      </c>
      <c r="V2215">
        <f>-573.573564849785 -210.583629846496 -94.4958865967891</f>
        <v>-878.65308129307016</v>
      </c>
      <c r="W2215" t="s">
        <v>24250</v>
      </c>
      <c r="X2215" t="s">
        <v>24251</v>
      </c>
      <c r="Y2215" t="s">
        <v>24252</v>
      </c>
    </row>
    <row r="2216" spans="1:25" x14ac:dyDescent="0.3">
      <c r="A2216">
        <v>110750</v>
      </c>
      <c r="B2216" t="s">
        <v>24253</v>
      </c>
      <c r="C2216">
        <f>-626.844450296652 -131.786726814603 -97.5872524738797</f>
        <v>-856.2184295851348</v>
      </c>
      <c r="D2216">
        <f>-646.231012404654 -150.934768887878 -210.16488817885</f>
        <v>-1007.3306694713821</v>
      </c>
      <c r="E2216">
        <f>-657.588964111809 -158.748528617271 -307.820443986782</f>
        <v>-1124.157936715862</v>
      </c>
      <c r="F2216">
        <f>-666.209611396774 -162.701831286947 -396.411034028717</f>
        <v>-1225.3224767124379</v>
      </c>
      <c r="G2216">
        <f>-672.866745574303 -163.358853652036 -485.2563902669</f>
        <v>-1321.4819894932389</v>
      </c>
      <c r="H2216">
        <f>-680.091918791542 -160.826823286186 -609.603526389042</f>
        <v>-1450.5222684667701</v>
      </c>
      <c r="I2216">
        <f>-657.765747443048 -141.378467109239 -687.245851681004</f>
        <v>-1486.3900662332908</v>
      </c>
      <c r="J2216">
        <f>-691.659440938847 -138.520088828663 -553.55069302622</f>
        <v>-1383.7302227937298</v>
      </c>
      <c r="K2216">
        <f>-764.516672681393 -24.2784623141692 -530.392291392706</f>
        <v>-1319.1874263882682</v>
      </c>
      <c r="L2216">
        <f>-773.624171811564 -1.45413433161139 -237.156377566287</f>
        <v>-1012.2346837094624</v>
      </c>
      <c r="M2216" t="s">
        <v>24254</v>
      </c>
      <c r="N2216">
        <f>-662.16559728285 -185.361963162702 -556.218366331186</f>
        <v>-1403.7459267767379</v>
      </c>
      <c r="O2216">
        <f>-590.546597070045 -300.598760337139 -534.09643544843</f>
        <v>-1425.2417928556142</v>
      </c>
      <c r="P2216">
        <f>-566.106872584828 -348.802062361213 -244.838077999035</f>
        <v>-1159.747012945076</v>
      </c>
      <c r="Q2216">
        <f>-452.877283563243 -145.759346893124 -308.112040457329</f>
        <v>-906.74867091369606</v>
      </c>
      <c r="R2216">
        <f>-680.420867310416 -52.9159169473833 -102.73002634216</f>
        <v>-836.06681059995935</v>
      </c>
      <c r="S2216" t="s">
        <v>24255</v>
      </c>
      <c r="T2216" t="s">
        <v>24256</v>
      </c>
      <c r="U2216" t="s">
        <v>24257</v>
      </c>
      <c r="V2216">
        <f>-573.371865273732 -210.94638384976 -94.4712309775118</f>
        <v>-878.78948010100385</v>
      </c>
      <c r="W2216" t="s">
        <v>24258</v>
      </c>
      <c r="X2216" t="s">
        <v>24259</v>
      </c>
      <c r="Y2216" t="s">
        <v>24260</v>
      </c>
    </row>
    <row r="2217" spans="1:25" x14ac:dyDescent="0.3">
      <c r="A2217">
        <v>110800</v>
      </c>
      <c r="B2217" t="s">
        <v>24261</v>
      </c>
      <c r="C2217">
        <f>-626.830262711532 -132.201709145322 -97.6833042911795</f>
        <v>-856.71527614803347</v>
      </c>
      <c r="D2217">
        <f>-645.986628487856 -151.476191313904 -210.278725966638</f>
        <v>-1007.7415457683981</v>
      </c>
      <c r="E2217">
        <f>-657.103875010385 -159.456983989997 -307.948511641527</f>
        <v>-1124.5093706419088</v>
      </c>
      <c r="F2217">
        <f>-665.49354111091 -163.584221348464 -396.553312007621</f>
        <v>-1225.631074466995</v>
      </c>
      <c r="G2217">
        <f>-671.910308438048 -164.4350003246 -485.414677530075</f>
        <v>-1321.7599862927229</v>
      </c>
      <c r="H2217">
        <f>-678.792840861281 -162.192591927876 -609.786753769702</f>
        <v>-1450.7721865588592</v>
      </c>
      <c r="I2217">
        <f>-656.208858899788 -142.612978685883 -687.321432161435</f>
        <v>-1486.1432697471059</v>
      </c>
      <c r="J2217">
        <f>-690.686893268982 -139.865204267072 -553.810618711207</f>
        <v>-1384.3627162472608</v>
      </c>
      <c r="K2217">
        <f>-764.775418865673 -26.1715596444622 -531.913538969316</f>
        <v>-1322.8605174794511</v>
      </c>
      <c r="L2217">
        <f>-773.188476836804 -1.50933155620419 -238.805526974235</f>
        <v>-1013.5033353672433</v>
      </c>
      <c r="M2217" t="s">
        <v>24262</v>
      </c>
      <c r="N2217">
        <f>-660.841572328347 -186.493617581846 -556.302982689755</f>
        <v>-1403.6381725999481</v>
      </c>
      <c r="O2217">
        <f>-588.822919668637 -301.474009385533 -534.142262575645</f>
        <v>-1424.439191629815</v>
      </c>
      <c r="P2217">
        <f>-564.130367184735 -349.112376303664 -244.811840478003</f>
        <v>-1158.0545839664019</v>
      </c>
      <c r="Q2217">
        <f>-450.920203294858 -146.500656329635 -309.486528095555</f>
        <v>-906.90738772004806</v>
      </c>
      <c r="R2217">
        <f>-680.651842384653 -53.4314706546539 -102.947439684723</f>
        <v>-837.03075272402998</v>
      </c>
      <c r="S2217" t="s">
        <v>24263</v>
      </c>
      <c r="T2217" t="s">
        <v>24264</v>
      </c>
      <c r="U2217" t="s">
        <v>24265</v>
      </c>
      <c r="V2217">
        <f>-573.164435545044 -211.16912425714 -94.4304613677012</f>
        <v>-878.76402116988515</v>
      </c>
      <c r="W2217" t="s">
        <v>24266</v>
      </c>
      <c r="X2217" t="s">
        <v>24267</v>
      </c>
      <c r="Y2217" t="s">
        <v>24268</v>
      </c>
    </row>
    <row r="2218" spans="1:25" x14ac:dyDescent="0.3">
      <c r="A2218">
        <v>110850</v>
      </c>
      <c r="B2218" t="s">
        <v>24269</v>
      </c>
      <c r="C2218">
        <f>-626.930998829073 -132.385735996456 -97.7548928449193</f>
        <v>-857.07162767044827</v>
      </c>
      <c r="D2218">
        <f>-645.934072338405 -151.717403589034 -210.366554116328</f>
        <v>-1008.018030043767</v>
      </c>
      <c r="E2218">
        <f>-656.889584478292 -159.775030652053 -308.048179451084</f>
        <v>-1124.7127945814291</v>
      </c>
      <c r="F2218">
        <f>-665.122992144667 -163.98270295102 -396.663929330573</f>
        <v>-1225.76962442626</v>
      </c>
      <c r="G2218">
        <f>-671.375973034757 -164.922906606468 -485.536043591825</f>
        <v>-1321.8349232330499</v>
      </c>
      <c r="H2218">
        <f>-678.02322749953 -162.813991342957 -609.923345382019</f>
        <v>-1450.760564224506</v>
      </c>
      <c r="I2218">
        <f>-655.266036236075 -143.143429873212 -687.384312825542</f>
        <v>-1485.7937789348289</v>
      </c>
      <c r="J2218">
        <f>-690.126049793914 -140.492927588073 -553.989366556082</f>
        <v>-1384.6083439380691</v>
      </c>
      <c r="K2218">
        <f>-764.993851279849 -27.1546018766726 -532.817449302684</f>
        <v>-1324.9659024592056</v>
      </c>
      <c r="L2218">
        <f>-772.832217655876 -0.907706156629274 -239.831249169236</f>
        <v>-1013.5711729817413</v>
      </c>
      <c r="M2218" t="s">
        <v>24270</v>
      </c>
      <c r="N2218">
        <f>-660.070248806966 -186.991095919396 -556.383890108843</f>
        <v>-1403.4452348352052</v>
      </c>
      <c r="O2218">
        <f>-587.827780360284 -301.838841502892 -534.241315367482</f>
        <v>-1423.907937230658</v>
      </c>
      <c r="P2218">
        <f>-563.255284794605 -349.25188011202 -244.863815205839</f>
        <v>-1157.3709801124639</v>
      </c>
      <c r="Q2218">
        <f>-449.821488262954 -146.806047639509 -309.665914755195</f>
        <v>-906.29345065765801</v>
      </c>
      <c r="R2218">
        <f>-680.87035532549 -53.6960633095116 -103.09773975946</f>
        <v>-837.66415839446154</v>
      </c>
      <c r="S2218" t="s">
        <v>24271</v>
      </c>
      <c r="T2218" t="s">
        <v>24272</v>
      </c>
      <c r="U2218" t="s">
        <v>24273</v>
      </c>
      <c r="V2218">
        <f>-573.116877782801 -211.319307232135 -94.4082358741408</f>
        <v>-878.84442088907679</v>
      </c>
      <c r="W2218" t="s">
        <v>24274</v>
      </c>
      <c r="X2218" t="s">
        <v>24275</v>
      </c>
      <c r="Y2218" t="s">
        <v>24276</v>
      </c>
    </row>
    <row r="2219" spans="1:25" x14ac:dyDescent="0.3">
      <c r="A2219">
        <v>110900</v>
      </c>
      <c r="B2219" t="s">
        <v>24277</v>
      </c>
      <c r="C2219">
        <f>-627.030650239282 -132.841996144702 -97.8624536192937</f>
        <v>-857.73510000327758</v>
      </c>
      <c r="D2219">
        <f>-645.700851984422 -152.232610317662 -210.519617594288</f>
        <v>-1008.4530798963719</v>
      </c>
      <c r="E2219">
        <f>-656.215854813307 -160.425910633419 -308.238492651791</f>
        <v>-1124.8802580985171</v>
      </c>
      <c r="F2219">
        <f>-663.992302648851 -164.790295703089 -396.88788802014</f>
        <v>-1225.6704863720799</v>
      </c>
      <c r="G2219">
        <f>-669.734022351236 -165.917747606648 -485.792356132722</f>
        <v>-1321.444126090606</v>
      </c>
      <c r="H2219">
        <f>-675.61277038147 -164.100928293773 -610.222839518892</f>
        <v>-1449.936538194135</v>
      </c>
      <c r="I2219">
        <f>-652.419879315334 -144.296692434197 -687.520366935029</f>
        <v>-1484.2369386845598</v>
      </c>
      <c r="J2219">
        <f>-688.263857923189 -141.781647068999 -554.409679038478</f>
        <v>-1384.4551840306658</v>
      </c>
      <c r="K2219">
        <f>-764.783983967199 -29.2566874339275 -534.834051284647</f>
        <v>-1328.8747226857736</v>
      </c>
      <c r="L2219" t="s">
        <v>24278</v>
      </c>
      <c r="M2219" t="s">
        <v>24279</v>
      </c>
      <c r="N2219">
        <f>-657.787803796079 -188.019162003336 -556.524562570487</f>
        <v>-1402.3315283699019</v>
      </c>
      <c r="O2219">
        <f>-585.116151093605 -302.56954983727 -534.273387728887</f>
        <v>-1421.9590886597621</v>
      </c>
      <c r="P2219">
        <f>-562.046298487686 -349.911973662784 -244.760433816084</f>
        <v>-1156.7187059665541</v>
      </c>
      <c r="Q2219">
        <f>-447.358833029687 -148.397313566011 -310.254748799356</f>
        <v>-906.01089539505404</v>
      </c>
      <c r="R2219">
        <f>-681.257890156605 -54.2252342274323 -103.353640759888</f>
        <v>-838.83676514392528</v>
      </c>
      <c r="S2219" t="s">
        <v>24280</v>
      </c>
      <c r="T2219" t="s">
        <v>24281</v>
      </c>
      <c r="U2219" t="s">
        <v>24282</v>
      </c>
      <c r="V2219">
        <f>-572.897210488753 -211.749596849165 -94.4212908254777</f>
        <v>-879.06809816339569</v>
      </c>
      <c r="W2219" t="s">
        <v>24283</v>
      </c>
      <c r="X2219" t="s">
        <v>24284</v>
      </c>
      <c r="Y2219" t="s">
        <v>24285</v>
      </c>
    </row>
    <row r="2220" spans="1:25" x14ac:dyDescent="0.3">
      <c r="A2220">
        <v>110950</v>
      </c>
      <c r="B2220" t="s">
        <v>24286</v>
      </c>
      <c r="C2220">
        <f>-627.072882233984 -133.082868815332 -97.9146610101592</f>
        <v>-858.07041205947519</v>
      </c>
      <c r="D2220">
        <f>-645.592734694205 -152.49410156194 -210.593130764099</f>
        <v>-1008.679967020244</v>
      </c>
      <c r="E2220">
        <f>-655.849724432334 -160.763145943612 -308.33297882986</f>
        <v>-1124.9458492058061</v>
      </c>
      <c r="F2220">
        <f>-663.341813572695 -165.219860537799 -397.002274544493</f>
        <v>-1225.5639486549869</v>
      </c>
      <c r="G2220">
        <f>-668.749448090971 -166.462233998631 -485.926118512569</f>
        <v>-1321.137800602171</v>
      </c>
      <c r="H2220">
        <f>-674.110176454617 -164.82921197249 -610.382678371079</f>
        <v>-1449.3220667981859</v>
      </c>
      <c r="I2220">
        <f>-650.66048075463 -145.006819201163 -687.597986558935</f>
        <v>-1483.2652865147279</v>
      </c>
      <c r="J2220">
        <f>-687.077148734363 -142.483166258915 -554.652724242695</f>
        <v>-1384.2130392359732</v>
      </c>
      <c r="K2220">
        <f>-764.37795557683 -30.3558831856617 -535.902341842215</f>
        <v>-1330.6361806047066</v>
      </c>
      <c r="L2220" t="s">
        <v>24287</v>
      </c>
      <c r="M2220" t="s">
        <v>24288</v>
      </c>
      <c r="N2220">
        <f>-656.425277166273 -188.612534946252 -556.578335701946</f>
        <v>-1401.6161478144709</v>
      </c>
      <c r="O2220">
        <f>-583.574957402628 -303.010370194725 -534.135284801187</f>
        <v>-1420.72061239854</v>
      </c>
      <c r="P2220">
        <f>-561.818928970268 -350.55717203834 -244.554205752297</f>
        <v>-1156.9303067609051</v>
      </c>
      <c r="Q2220">
        <f>-446.932372322375 -149.267942224846 -310.391714926194</f>
        <v>-906.59202947341498</v>
      </c>
      <c r="R2220">
        <f>-681.456179816073 -54.5121610764648 -103.466348281131</f>
        <v>-839.43468917366886</v>
      </c>
      <c r="S2220" t="s">
        <v>24289</v>
      </c>
      <c r="T2220" t="s">
        <v>24290</v>
      </c>
      <c r="U2220" t="s">
        <v>24291</v>
      </c>
      <c r="V2220">
        <f>-572.767690788277 -211.958079260148 -94.4177947013462</f>
        <v>-879.14356474977126</v>
      </c>
      <c r="W2220" t="s">
        <v>24292</v>
      </c>
      <c r="X2220" t="s">
        <v>24293</v>
      </c>
      <c r="Y2220" t="s">
        <v>24294</v>
      </c>
    </row>
    <row r="2221" spans="1:25" x14ac:dyDescent="0.3">
      <c r="A2221">
        <v>111000</v>
      </c>
      <c r="B2221" t="s">
        <v>24295</v>
      </c>
      <c r="C2221">
        <f>-627.141512517381 -133.444063395933 -98.0142636521604</f>
        <v>-858.59983956547433</v>
      </c>
      <c r="D2221">
        <f>-645.385964994443 -152.913941717198 -210.727560389088</f>
        <v>-1009.027467100729</v>
      </c>
      <c r="E2221">
        <f>-655.13590518742 -161.348002592875 -308.505167294647</f>
        <v>-1124.9890750749419</v>
      </c>
      <c r="F2221">
        <f>-662.061152592924 -166.001398442746 -397.210483600745</f>
        <v>-1225.2730346364151</v>
      </c>
      <c r="G2221">
        <f>-666.795398833383 -167.485882361992 -486.168930155324</f>
        <v>-1320.4502113506992</v>
      </c>
      <c r="H2221">
        <f>-671.10444575789 -166.238588755516 -610.670782519211</f>
        <v>-1448.0138170326168</v>
      </c>
      <c r="I2221">
        <f>-647.095216042468 -146.418053150831 -687.714505542772</f>
        <v>-1481.2277747360711</v>
      </c>
      <c r="J2221">
        <f>-684.673961470646 -143.808872764033 -555.118161727881</f>
        <v>-1383.6009959625599</v>
      </c>
      <c r="K2221">
        <f>-763.303626799779 -32.385843200057 -537.794519111364</f>
        <v>-1333.4839891112001</v>
      </c>
      <c r="L2221" t="s">
        <v>24296</v>
      </c>
      <c r="M2221" t="s">
        <v>24297</v>
      </c>
      <c r="N2221">
        <f>-653.742534673532 -189.766062351129 -556.649171016311</f>
        <v>-1400.1577680409719</v>
      </c>
      <c r="O2221">
        <f>-580.501068742951 -303.802561089954 -533.605118300047</f>
        <v>-1417.908748132952</v>
      </c>
      <c r="P2221">
        <f>-561.941726152564 -351.625946582967 -243.847062329383</f>
        <v>-1157.4147350649141</v>
      </c>
      <c r="Q2221">
        <f>-447.482552002384 -150.042808015768 -309.529706545124</f>
        <v>-907.055066563276</v>
      </c>
      <c r="R2221">
        <f>-681.851529481069 -55.0594292852984 -103.672906315813</f>
        <v>-840.5838650821803</v>
      </c>
      <c r="S2221" t="s">
        <v>24298</v>
      </c>
      <c r="T2221" t="s">
        <v>24299</v>
      </c>
      <c r="U2221" t="s">
        <v>24300</v>
      </c>
      <c r="V2221">
        <f>-572.497471466682 -212.128246810949 -94.4157517994121</f>
        <v>-879.04147007704307</v>
      </c>
      <c r="W2221" t="s">
        <v>24301</v>
      </c>
      <c r="X2221" t="s">
        <v>24302</v>
      </c>
      <c r="Y2221" t="s">
        <v>24303</v>
      </c>
    </row>
    <row r="2222" spans="1:25" x14ac:dyDescent="0.3">
      <c r="A2222">
        <v>111050</v>
      </c>
      <c r="B2222" t="s">
        <v>24304</v>
      </c>
      <c r="C2222">
        <f>-627.23268950274 -133.692067735105 -98.0487642238434</f>
        <v>-858.97352146168828</v>
      </c>
      <c r="D2222">
        <f>-645.366801962586 -153.204993764003 -210.772440856856</f>
        <v>-1009.3442365834451</v>
      </c>
      <c r="E2222">
        <f>-654.902826909117 -161.720580889781 -308.564084936943</f>
        <v>-1125.187492735841</v>
      </c>
      <c r="F2222">
        <f>-661.586925070024 -166.466076290059 -397.283032292963</f>
        <v>-1225.3360336530461</v>
      </c>
      <c r="G2222">
        <f>-666.032764914515 -168.060260384971 -486.25462097317</f>
        <v>-1320.347646272656</v>
      </c>
      <c r="H2222">
        <f>-669.889678877263 -166.984606084269 -610.772846954703</f>
        <v>-1447.6471319162351</v>
      </c>
      <c r="I2222">
        <f>-645.594644934417 -147.191325399885 -687.733888921161</f>
        <v>-1480.519859255463</v>
      </c>
      <c r="J2222">
        <f>-683.710308487951 -144.511773087253 -555.299619368753</f>
        <v>-1383.5217009439571</v>
      </c>
      <c r="K2222">
        <f>-762.919913683069 -33.4281090259481 -538.557111537603</f>
        <v>-1334.90513424662</v>
      </c>
      <c r="L2222" t="s">
        <v>24305</v>
      </c>
      <c r="M2222" t="s">
        <v>24306</v>
      </c>
      <c r="N2222">
        <f>-652.674522078041 -190.404096041983 -556.65735210525</f>
        <v>-1399.7359702252738</v>
      </c>
      <c r="O2222">
        <f>-579.284723603819 -304.277143540978 -533.306390043164</f>
        <v>-1416.8682571879608</v>
      </c>
      <c r="P2222">
        <f>-562.179365176561 -351.87710783091 -243.422098538222</f>
        <v>-1157.4785715456928</v>
      </c>
      <c r="Q2222">
        <f>-447.304729309103 -150.418448845086 -308.760307479154</f>
        <v>-906.48348563334298</v>
      </c>
      <c r="R2222">
        <f>-682.112970229964 -55.348812349278 -103.75029721629</f>
        <v>-841.21207979553196</v>
      </c>
      <c r="S2222" t="s">
        <v>24307</v>
      </c>
      <c r="T2222" t="s">
        <v>24308</v>
      </c>
      <c r="U2222" t="s">
        <v>24309</v>
      </c>
      <c r="V2222">
        <f>-572.455730228688 -212.349956320222 -94.4083768508616</f>
        <v>-879.21406339977159</v>
      </c>
      <c r="W2222" t="s">
        <v>24310</v>
      </c>
      <c r="X2222" t="s">
        <v>24311</v>
      </c>
      <c r="Y2222" t="s">
        <v>24312</v>
      </c>
    </row>
    <row r="2223" spans="1:25" x14ac:dyDescent="0.3">
      <c r="A2223">
        <v>111100</v>
      </c>
      <c r="B2223" t="s">
        <v>24313</v>
      </c>
      <c r="C2223">
        <f>-627.619064238323 -134.278946934594 -98.1089678410632</f>
        <v>-860.00697901398019</v>
      </c>
      <c r="D2223">
        <f>-645.589694160471 -153.850096267595 -210.848603900611</f>
        <v>-1010.2883943286771</v>
      </c>
      <c r="E2223">
        <f>-654.786389436254 -162.500703069253 -308.660904807192</f>
        <v>-1125.947997312699</v>
      </c>
      <c r="F2223">
        <f>-661.082821073621 -167.403532837334 -397.399698349768</f>
        <v>-1225.8860522607229</v>
      </c>
      <c r="G2223">
        <f>-665.060331893128 -169.190168467028 -486.389795585485</f>
        <v>-1320.6402959456409</v>
      </c>
      <c r="H2223">
        <f>-668.177935270994 -168.420456915567 -610.930906877066</f>
        <v>-1447.5292990636271</v>
      </c>
      <c r="I2223">
        <f>-643.296609285604 -148.697183334585 -687.722445147328</f>
        <v>-1479.716237767517</v>
      </c>
      <c r="J2223">
        <f>-682.368547466335 -145.839385933211 -555.595232712692</f>
        <v>-1383.8031661122382</v>
      </c>
      <c r="K2223">
        <f>-762.140288888734 -35.0247515379938 -539.669564836783</f>
        <v>-1336.8346052635106</v>
      </c>
      <c r="L2223" t="s">
        <v>24314</v>
      </c>
      <c r="M2223" t="s">
        <v>24315</v>
      </c>
      <c r="N2223">
        <f>-651.243494047035 -191.67895490777 -556.657784299183</f>
        <v>-1399.5802332539881</v>
      </c>
      <c r="O2223">
        <f>-577.706930909187 -305.346534005093 -532.718278816675</f>
        <v>-1415.7717437309552</v>
      </c>
      <c r="P2223">
        <f>-562.408406558138 -352.036400884568 -242.585239384244</f>
        <v>-1157.0300468269502</v>
      </c>
      <c r="Q2223">
        <f>-447.049743136213 -150.964362525074 -308.26093449557</f>
        <v>-906.2750401568569</v>
      </c>
      <c r="R2223">
        <f>-682.690255135199 -56.0319153814677 -103.866664571</f>
        <v>-842.58883508766667</v>
      </c>
      <c r="S2223" t="s">
        <v>24316</v>
      </c>
      <c r="T2223" t="s">
        <v>24317</v>
      </c>
      <c r="U2223" t="s">
        <v>24318</v>
      </c>
      <c r="V2223">
        <f>-572.663097276309 -212.877678942402 -94.3823222719242</f>
        <v>-879.9230984906352</v>
      </c>
      <c r="W2223" t="s">
        <v>24319</v>
      </c>
      <c r="X2223" t="s">
        <v>24320</v>
      </c>
      <c r="Y2223" t="s">
        <v>24321</v>
      </c>
    </row>
    <row r="2224" spans="1:25" x14ac:dyDescent="0.3">
      <c r="A2224">
        <v>111150</v>
      </c>
      <c r="B2224" t="s">
        <v>24322</v>
      </c>
      <c r="C2224">
        <f>-627.868353825472 -134.499373985816 -98.1475360134754</f>
        <v>-860.51526382476334</v>
      </c>
      <c r="D2224">
        <f>-645.751230177423 -154.068003831502 -210.901662754374</f>
        <v>-1010.720896763299</v>
      </c>
      <c r="E2224">
        <f>-654.81000676524 -162.740205002314 -308.724975679405</f>
        <v>-1126.2751874469591</v>
      </c>
      <c r="F2224">
        <f>-660.956134104719 -167.672376975347 -397.472581259399</f>
        <v>-1226.1010923394651</v>
      </c>
      <c r="G2224">
        <f>-664.757877147787 -169.498429651883 -486.469568536146</f>
        <v>-1320.725875335816</v>
      </c>
      <c r="H2224">
        <f>-667.602736171974 -168.794489707214 -611.017504931184</f>
        <v>-1447.414730810372</v>
      </c>
      <c r="I2224">
        <f>-642.476498431123 -149.102501505319 -687.737297345801</f>
        <v>-1479.3162972822429</v>
      </c>
      <c r="J2224">
        <f>-681.913554247523 -146.18356287988 -555.725154706258</f>
        <v>-1383.822271833661</v>
      </c>
      <c r="K2224">
        <f>-761.856405330394 -35.44333665011 -540.122924488914</f>
        <v>-1337.4226664694179</v>
      </c>
      <c r="L2224" t="s">
        <v>24323</v>
      </c>
      <c r="M2224" t="s">
        <v>24324</v>
      </c>
      <c r="N2224">
        <f>-650.788095457645 -192.024911858891 -556.695185866244</f>
        <v>-1399.5081931827799</v>
      </c>
      <c r="O2224">
        <f>-577.311856653217 -305.689151441387 -532.599094860817</f>
        <v>-1415.6001029554209</v>
      </c>
      <c r="P2224">
        <f>-562.430561926914 -352.01756632571 -242.386258449431</f>
        <v>-1156.8343867020549</v>
      </c>
      <c r="Q2224">
        <f>-446.621899657795 -151.375832089191 -308.58399926521</f>
        <v>-906.58173101219609</v>
      </c>
      <c r="R2224">
        <f>-682.956609084541 -56.2597353926591 -103.942454334249</f>
        <v>-843.15879881144906</v>
      </c>
      <c r="S2224" t="s">
        <v>24325</v>
      </c>
      <c r="T2224" t="s">
        <v>24326</v>
      </c>
      <c r="U2224" t="s">
        <v>24327</v>
      </c>
      <c r="V2224">
        <f>-572.876236663056 -213.055481076146 -94.3744439078635</f>
        <v>-880.30616164706544</v>
      </c>
      <c r="W2224" t="s">
        <v>24328</v>
      </c>
      <c r="X2224" t="s">
        <v>24329</v>
      </c>
      <c r="Y2224" t="s">
        <v>24330</v>
      </c>
    </row>
    <row r="2225" spans="1:25" x14ac:dyDescent="0.3">
      <c r="A2225">
        <v>111200</v>
      </c>
      <c r="B2225" t="s">
        <v>24331</v>
      </c>
      <c r="C2225">
        <f>-628.388648951661 -134.962819033311 -98.1968487427774</f>
        <v>-861.54831672774947</v>
      </c>
      <c r="D2225">
        <f>-646.129025544455 -154.483824908615 -210.981675797756</f>
        <v>-1011.594526250826</v>
      </c>
      <c r="E2225">
        <f>-654.970363082028 -163.141194786323 -308.826266393253</f>
        <v>-1126.937824261604</v>
      </c>
      <c r="F2225">
        <f>-660.881457191909 -168.070702388371 -397.58996925439</f>
        <v>-1226.5421288346702</v>
      </c>
      <c r="G2225">
        <f>-664.409057811857 -169.90525840323 -486.598038698091</f>
        <v>-1320.912354913178</v>
      </c>
      <c r="H2225">
        <f>-666.829748876874 -169.225334999627 -611.155200849032</f>
        <v>-1447.2102847255328</v>
      </c>
      <c r="I2225">
        <f>-641.280676461487 -149.566947936767 -687.74379666078</f>
        <v>-1478.591421059034</v>
      </c>
      <c r="J2225">
        <f>-681.304919114706 -146.58752756581 -555.916410923279</f>
        <v>-1383.8088576037949</v>
      </c>
      <c r="K2225">
        <f>-761.24760927158 -35.7918678442725 -540.697111342354</f>
        <v>-1337.7365884582064</v>
      </c>
      <c r="L2225" t="s">
        <v>24332</v>
      </c>
      <c r="M2225" t="s">
        <v>24333</v>
      </c>
      <c r="N2225">
        <f>-650.224065942154 -192.461483808376 -556.770947683945</f>
        <v>-1399.4564974344748</v>
      </c>
      <c r="O2225">
        <f>-576.920124793561 -306.18742769494 -532.433841638228</f>
        <v>-1415.5413941267288</v>
      </c>
      <c r="P2225">
        <f>-562.377062304116 -352.332325387112 -242.174690823852</f>
        <v>-1156.8840785150799</v>
      </c>
      <c r="Q2225">
        <f>-446.785382174784 -151.852558493663 -309.236445950356</f>
        <v>-907.87438661880299</v>
      </c>
      <c r="R2225">
        <f>-683.443152196378 -56.7634392489059 -104.047739335302</f>
        <v>-844.25433078058597</v>
      </c>
      <c r="S2225" t="s">
        <v>24334</v>
      </c>
      <c r="T2225" t="s">
        <v>24335</v>
      </c>
      <c r="U2225" t="s">
        <v>24336</v>
      </c>
      <c r="V2225">
        <f>-573.443413962743 -213.468647920021 -94.3627440048631</f>
        <v>-881.27480588762705</v>
      </c>
      <c r="W2225" t="s">
        <v>24337</v>
      </c>
      <c r="X2225" t="s">
        <v>24338</v>
      </c>
      <c r="Y2225" t="s">
        <v>24339</v>
      </c>
    </row>
    <row r="2226" spans="1:25" x14ac:dyDescent="0.3">
      <c r="A2226">
        <v>111250</v>
      </c>
      <c r="B2226" t="s">
        <v>24340</v>
      </c>
      <c r="C2226">
        <f>-628.592809379998 -135.229860147414 -98.1685951597386</f>
        <v>-861.99126468715065</v>
      </c>
      <c r="D2226">
        <f>-646.302818245346 -154.719631665872 -210.963737428543</f>
        <v>-1011.986187339761</v>
      </c>
      <c r="E2226">
        <f>-655.045681801189 -163.369424096975 -308.817696445789</f>
        <v>-1127.2328023439529</v>
      </c>
      <c r="F2226">
        <f>-660.838017810483 -168.300180770772 -397.589183951584</f>
        <v>-1226.7273825328389</v>
      </c>
      <c r="G2226">
        <f>-664.216349557874 -170.144801254854 -486.602712248524</f>
        <v>-1320.9638630612519</v>
      </c>
      <c r="H2226">
        <f>-666.396207406557 -169.488842300469 -611.164527973947</f>
        <v>-1447.049577680973</v>
      </c>
      <c r="I2226">
        <f>-640.643103618397 -149.833297970096 -687.685531062254</f>
        <v>-1478.1619326507471</v>
      </c>
      <c r="J2226">
        <f>-680.948634962454 -146.820496405461 -555.958605627484</f>
        <v>-1383.727736995399</v>
      </c>
      <c r="K2226">
        <f>-760.726234337282 -35.8840072488176 -540.823043192106</f>
        <v>-1337.4332847782057</v>
      </c>
      <c r="L2226" t="s">
        <v>24341</v>
      </c>
      <c r="M2226" t="s">
        <v>24342</v>
      </c>
      <c r="N2226">
        <f>-649.925290329235 -192.734562142175 -556.743442823135</f>
        <v>-1399.4032952945449</v>
      </c>
      <c r="O2226">
        <f>-576.743399714267 -306.50794058249 -532.301702945944</f>
        <v>-1415.5530432427011</v>
      </c>
      <c r="P2226">
        <f>-561.793172355662 -353.36673439904 -242.177660773547</f>
        <v>-1157.3375675282489</v>
      </c>
      <c r="Q2226">
        <f>-448.064142477576 -151.762567407692 -309.053084899525</f>
        <v>-908.87979478479292</v>
      </c>
      <c r="R2226">
        <f>-683.630508413532 -57.0269203404952 -104.035493576521</f>
        <v>-844.69292233054819</v>
      </c>
      <c r="S2226" t="s">
        <v>24343</v>
      </c>
      <c r="T2226" t="s">
        <v>24344</v>
      </c>
      <c r="U2226" t="s">
        <v>24345</v>
      </c>
      <c r="V2226">
        <f>-573.62951975987 -213.744157115153 -94.3446279729927</f>
        <v>-881.7183048480158</v>
      </c>
      <c r="W2226" t="s">
        <v>24346</v>
      </c>
      <c r="X2226" t="s">
        <v>24347</v>
      </c>
      <c r="Y2226" t="s">
        <v>24348</v>
      </c>
    </row>
    <row r="2227" spans="1:25" x14ac:dyDescent="0.3">
      <c r="A2227">
        <v>111300</v>
      </c>
      <c r="B2227" t="s">
        <v>24349</v>
      </c>
      <c r="C2227">
        <f>-628.869977996778 -135.972504857426 -98.0594079527442</f>
        <v>-862.90189080694813</v>
      </c>
      <c r="D2227">
        <f>-646.621707655503 -155.470213354205 -210.84654521416</f>
        <v>-1012.9384662238679</v>
      </c>
      <c r="E2227">
        <f>-655.307339536793 -164.11693298547 -308.705877953135</f>
        <v>-1128.1301504753978</v>
      </c>
      <c r="F2227">
        <f>-661.008222439705 -169.042284932326 -397.483625346348</f>
        <v>-1227.5341327183789</v>
      </c>
      <c r="G2227">
        <f>-664.253442807933 -170.880296224471 -486.502332773357</f>
        <v>-1321.636071805761</v>
      </c>
      <c r="H2227">
        <f>-666.202169943801 -170.21512081604 -611.067806888905</f>
        <v>-1447.485097648746</v>
      </c>
      <c r="I2227">
        <f>-640.217550043595 -150.626235433352 -687.527706251268</f>
        <v>-1478.371491728215</v>
      </c>
      <c r="J2227">
        <f>-680.796754312186 -147.510192334777 -555.888184395528</f>
        <v>-1384.1951310424911</v>
      </c>
      <c r="K2227">
        <f>-760.351721148641 -36.4485551289072 -540.600588948263</f>
        <v>-1337.4008652258112</v>
      </c>
      <c r="L2227" t="s">
        <v>24350</v>
      </c>
      <c r="M2227" t="s">
        <v>24351</v>
      </c>
      <c r="N2227">
        <f>-649.892547481048 -193.505516630077 -556.617147188529</f>
        <v>-1400.0152112996539</v>
      </c>
      <c r="O2227">
        <f>-576.86655486969 -307.375660652654 -532.117503311952</f>
        <v>-1416.359718834296</v>
      </c>
      <c r="P2227">
        <f>-561.643488129353 -355.904267303476 -242.282345643796</f>
        <v>-1159.8301010766249</v>
      </c>
      <c r="Q2227">
        <f>-450.269914669411 -152.388852773643 -307.307487480325</f>
        <v>-909.96625492337898</v>
      </c>
      <c r="R2227">
        <f>-683.914418008442 -57.7284149113705 -103.941370584351</f>
        <v>-845.5842035041635</v>
      </c>
      <c r="S2227" t="s">
        <v>24352</v>
      </c>
      <c r="T2227" t="s">
        <v>24353</v>
      </c>
      <c r="U2227" t="s">
        <v>24354</v>
      </c>
      <c r="V2227">
        <f>-573.882932469688 -214.604396575654 -94.2682828297682</f>
        <v>-882.75561187511016</v>
      </c>
      <c r="W2227" t="s">
        <v>24355</v>
      </c>
      <c r="X2227" t="s">
        <v>24356</v>
      </c>
      <c r="Y2227" t="s">
        <v>24357</v>
      </c>
    </row>
    <row r="2228" spans="1:25" x14ac:dyDescent="0.3">
      <c r="A2228">
        <v>111350</v>
      </c>
      <c r="B2228" t="s">
        <v>24358</v>
      </c>
      <c r="C2228">
        <f>-628.970478410008 -136.33056218306 -98.0185648583501</f>
        <v>-863.31960545141817</v>
      </c>
      <c r="D2228">
        <f>-646.786545327049 -155.819102854739 -210.797202221861</f>
        <v>-1013.4028504036489</v>
      </c>
      <c r="E2228">
        <f>-655.481656386764 -164.419989107613 -308.659766251941</f>
        <v>-1128.5614117463181</v>
      </c>
      <c r="F2228">
        <f>-661.171251912798 -169.289342784264 -397.441229994</f>
        <v>-1227.9018246910621</v>
      </c>
      <c r="G2228">
        <f>-664.384354841314 -171.057670734665 -486.462516445837</f>
        <v>-1321.904542021816</v>
      </c>
      <c r="H2228">
        <f>-666.265448751504 -170.281407685007 -611.028422844444</f>
        <v>-1447.5752792809549</v>
      </c>
      <c r="I2228">
        <f>-640.179551978417 -150.682735011967 -687.451291494125</f>
        <v>-1478.313578484509</v>
      </c>
      <c r="J2228">
        <f>-680.863716466037 -147.608046276068 -555.836782538449</f>
        <v>-1384.308545280554</v>
      </c>
      <c r="K2228">
        <f>-760.30876795042 -36.4920631426671 -540.389532126733</f>
        <v>-1337.19036321982</v>
      </c>
      <c r="L2228" t="s">
        <v>24359</v>
      </c>
      <c r="M2228" t="s">
        <v>24360</v>
      </c>
      <c r="N2228">
        <f>-650.011700234677 -193.63792125036 -556.589469334492</f>
        <v>-1400.2390908195291</v>
      </c>
      <c r="O2228">
        <f>-577.06170705929 -307.571086307422 -532.134259467903</f>
        <v>-1416.767052834615</v>
      </c>
      <c r="P2228">
        <f>-561.821403834371 -356.944477028411 -242.442681613429</f>
        <v>-1161.208562476211</v>
      </c>
      <c r="Q2228">
        <f>-452.04310681345 -152.328291039798 -306.721871574724</f>
        <v>-911.09326942797202</v>
      </c>
      <c r="R2228">
        <f>-684.03989814142 -58.1115782339132 -103.856095066449</f>
        <v>-846.00757144178226</v>
      </c>
      <c r="S2228" t="s">
        <v>24361</v>
      </c>
      <c r="T2228" t="s">
        <v>24362</v>
      </c>
      <c r="U2228" t="s">
        <v>24363</v>
      </c>
      <c r="V2228">
        <f>-574.017870887142 -214.844291016675 -94.2602771984581</f>
        <v>-883.12243910227505</v>
      </c>
      <c r="W2228" t="s">
        <v>24364</v>
      </c>
      <c r="X2228" t="s">
        <v>24365</v>
      </c>
      <c r="Y2228" t="s">
        <v>24366</v>
      </c>
    </row>
    <row r="2229" spans="1:25" x14ac:dyDescent="0.3">
      <c r="A2229">
        <v>111400</v>
      </c>
      <c r="B2229" t="s">
        <v>24367</v>
      </c>
      <c r="C2229">
        <f>-629.165748832318 -137.234511157988 -97.85215934168</f>
        <v>-864.25241933198595</v>
      </c>
      <c r="D2229">
        <f>-647.187699551207 -156.686919629514 -210.604385880782</f>
        <v>-1014.4790050615029</v>
      </c>
      <c r="E2229">
        <f>-655.944916786474 -165.076840133591 -308.479582218202</f>
        <v>-1129.501339138267</v>
      </c>
      <c r="F2229">
        <f>-661.641716322675 -169.684004412688 -397.274647906845</f>
        <v>-1228.6003686422082</v>
      </c>
      <c r="G2229">
        <f>-664.811029277659 -171.11992397851 -486.303502231547</f>
        <v>-1322.2344554877159</v>
      </c>
      <c r="H2229">
        <f>-666.575870495348 -169.806431266251 -610.866548039174</f>
        <v>-1447.2488498007729</v>
      </c>
      <c r="I2229">
        <f>-640.279173172468 -150.05230213958 -687.177052466177</f>
        <v>-1477.508527778225</v>
      </c>
      <c r="J2229">
        <f>-681.177550198405 -147.339151749439 -555.59168383545</f>
        <v>-1384.1083857832941</v>
      </c>
      <c r="K2229">
        <f>-760.340246684106 -36.0881814466331 -539.652864574599</f>
        <v>-1336.081292705338</v>
      </c>
      <c r="L2229" t="s">
        <v>24368</v>
      </c>
      <c r="M2229" t="s">
        <v>24369</v>
      </c>
      <c r="N2229">
        <f>-650.420875242056 -193.429745149806 -556.513542870499</f>
        <v>-1400.364163262361</v>
      </c>
      <c r="O2229">
        <f>-577.617231387121 -307.515479459345 -532.409562519016</f>
        <v>-1417.5422733654821</v>
      </c>
      <c r="P2229">
        <f>-561.721403156366 -358.5794515528 -243.046491821289</f>
        <v>-1163.3473465304551</v>
      </c>
      <c r="Q2229">
        <f>-455.01316668399 -151.671966087901 -305.123220447868</f>
        <v>-911.80835321975894</v>
      </c>
      <c r="R2229">
        <f>-684.196255541312 -59.016945886497 -103.573598540465</f>
        <v>-846.78679996827395</v>
      </c>
      <c r="S2229" t="s">
        <v>24370</v>
      </c>
      <c r="T2229" t="s">
        <v>24371</v>
      </c>
      <c r="U2229" t="s">
        <v>24372</v>
      </c>
      <c r="V2229">
        <f>-574.19196829202 -215.804581998101 -94.199106061011</f>
        <v>-884.1956563511319</v>
      </c>
      <c r="W2229" t="s">
        <v>24373</v>
      </c>
      <c r="X2229" t="s">
        <v>24374</v>
      </c>
      <c r="Y2229" t="s">
        <v>24375</v>
      </c>
    </row>
    <row r="2230" spans="1:25" x14ac:dyDescent="0.3">
      <c r="A2230">
        <v>111450</v>
      </c>
      <c r="B2230" t="s">
        <v>24376</v>
      </c>
      <c r="C2230">
        <f>-629.268758875916 -137.921643965205 -97.7155912048154</f>
        <v>-864.90599404593638</v>
      </c>
      <c r="D2230">
        <f>-647.427710485162 -157.389317366925 -210.442986775896</f>
        <v>-1015.260014627983</v>
      </c>
      <c r="E2230">
        <f>-656.218310997392 -165.658197910012 -308.32559180475</f>
        <v>-1130.2021007121541</v>
      </c>
      <c r="F2230">
        <f>-661.909481184545 -170.102336447245 -397.129354717855</f>
        <v>-1229.1411723496449</v>
      </c>
      <c r="G2230">
        <f>-665.036195152191 -171.322081949295 -486.162897763103</f>
        <v>-1322.5211748645891</v>
      </c>
      <c r="H2230">
        <f>-666.702047315576 -169.651789926501 -610.723084469828</f>
        <v>-1447.076921711905</v>
      </c>
      <c r="I2230">
        <f>-640.279616765994 -149.781897239266 -686.960168806628</f>
        <v>-1477.0216828118878</v>
      </c>
      <c r="J2230">
        <f>-681.327285221163 -147.329253257524 -555.395846396257</f>
        <v>-1384.052384874944</v>
      </c>
      <c r="K2230">
        <f>-760.392340364921 -36.0579406430682 -539.138010763622</f>
        <v>-1335.5882917716112</v>
      </c>
      <c r="L2230" t="s">
        <v>24377</v>
      </c>
      <c r="M2230" t="s">
        <v>24378</v>
      </c>
      <c r="N2230">
        <f>-650.610704636618 -193.444322752672 -556.425059056305</f>
        <v>-1400.4800864455951</v>
      </c>
      <c r="O2230">
        <f>-577.852971164085 -307.59866924645 -532.529661636991</f>
        <v>-1417.981302047526</v>
      </c>
      <c r="P2230">
        <f>-561.335963038888 -359.529355084683 -243.355785818957</f>
        <v>-1164.2211039425281</v>
      </c>
      <c r="Q2230">
        <f>-456.290695807195 -151.375009054809 -304.085532641041</f>
        <v>-911.75123750304499</v>
      </c>
      <c r="R2230">
        <f>-684.334834560688 -59.6654611575091 -103.360183778607</f>
        <v>-847.36047949680415</v>
      </c>
      <c r="S2230" t="s">
        <v>24379</v>
      </c>
      <c r="T2230" t="s">
        <v>24380</v>
      </c>
      <c r="U2230" t="s">
        <v>24381</v>
      </c>
      <c r="V2230">
        <f>-574.265495792943 -216.542186710275 -94.1320403378709</f>
        <v>-884.93972284108895</v>
      </c>
      <c r="W2230" t="s">
        <v>24382</v>
      </c>
      <c r="X2230" t="s">
        <v>24383</v>
      </c>
      <c r="Y2230" t="s">
        <v>24384</v>
      </c>
    </row>
    <row r="2231" spans="1:25" x14ac:dyDescent="0.3">
      <c r="A2231">
        <v>111500</v>
      </c>
      <c r="B2231" t="s">
        <v>24385</v>
      </c>
      <c r="C2231">
        <f>-629.266423951127 -139.405666147381 -97.320048657026</f>
        <v>-865.99213875553392</v>
      </c>
      <c r="D2231">
        <f>-647.877786169038 -158.954971257312 -209.959572174894</f>
        <v>-1016.792329601244</v>
      </c>
      <c r="E2231">
        <f>-656.83428083669 -166.97182471663 -307.848153321301</f>
        <v>-1131.6542588746211</v>
      </c>
      <c r="F2231">
        <f>-662.58131892345 -171.059067763035 -396.66539664184</f>
        <v>-1230.3057833283251</v>
      </c>
      <c r="G2231">
        <f>-665.667112400344 -171.794521081533 -485.705594408981</f>
        <v>-1323.1672278908582</v>
      </c>
      <c r="H2231">
        <f>-667.172026369125 -169.315210850076 -610.254500267615</f>
        <v>-1446.741737486816</v>
      </c>
      <c r="I2231">
        <f>-640.514062815965 -149.12359105844 -686.324641404144</f>
        <v>-1475.9622952785489</v>
      </c>
      <c r="J2231">
        <f>-681.817385943066 -147.31830374021 -554.802171112359</f>
        <v>-1383.9378607956351</v>
      </c>
      <c r="K2231">
        <f>-760.567005468972 -35.9328880188209 -537.791822862085</f>
        <v>-1334.2917163498778</v>
      </c>
      <c r="L2231">
        <f>-767.000816497875 -0.927156717375055 -245.688471083404</f>
        <v>-1013.6164442986541</v>
      </c>
      <c r="M2231" t="s">
        <v>24386</v>
      </c>
      <c r="N2231">
        <f>-651.202143836924 -193.494115666277 -556.091248650502</f>
        <v>-1400.7875081537031</v>
      </c>
      <c r="O2231">
        <f>-578.488966231433 -307.829540259495 -532.843787385335</f>
        <v>-1419.162293876263</v>
      </c>
      <c r="P2231">
        <f>-560.055707612141 -361.418375301973 -244.088470368121</f>
        <v>-1165.5625532822351</v>
      </c>
      <c r="Q2231">
        <f>-457.879821992583 -151.087988888926 -302.158231746596</f>
        <v>-911.12604262810498</v>
      </c>
      <c r="R2231">
        <f>-684.16438152876 -61.2478960497717 -102.743605343301</f>
        <v>-848.1558829218327</v>
      </c>
      <c r="S2231" t="s">
        <v>24387</v>
      </c>
      <c r="T2231" t="s">
        <v>24388</v>
      </c>
      <c r="U2231" t="s">
        <v>24389</v>
      </c>
      <c r="V2231">
        <f>-574.398630741685 -217.94685954371 -93.9263809171999</f>
        <v>-886.27187120259498</v>
      </c>
      <c r="W2231" t="s">
        <v>24390</v>
      </c>
      <c r="X2231" t="s">
        <v>24391</v>
      </c>
      <c r="Y2231" t="s">
        <v>24392</v>
      </c>
    </row>
    <row r="2232" spans="1:25" x14ac:dyDescent="0.3">
      <c r="A2232">
        <v>111550</v>
      </c>
      <c r="B2232" t="s">
        <v>24393</v>
      </c>
      <c r="C2232">
        <f>-628.866479370981 -140.288344695429 -97.065791820891</f>
        <v>-866.22061588730105</v>
      </c>
      <c r="D2232">
        <f>-647.754555310201 -159.964878702202 -209.637070090904</f>
        <v>-1017.356504103307</v>
      </c>
      <c r="E2232">
        <f>-656.890993885079 -167.891430966654 -307.516314212665</f>
        <v>-1132.298739064398</v>
      </c>
      <c r="F2232">
        <f>-662.775728720049 -171.816321234494 -396.331976370107</f>
        <v>-1230.92402632465</v>
      </c>
      <c r="G2232">
        <f>-665.972832815736 -172.309050307346 -485.370055943381</f>
        <v>-1323.651939066463</v>
      </c>
      <c r="H2232">
        <f>-667.604841438251 -169.406663376514 -609.907988035748</f>
        <v>-1446.9194928505131</v>
      </c>
      <c r="I2232">
        <f>-640.90082828571 -149.055788596358 -685.919603097926</f>
        <v>-1475.8762199799939</v>
      </c>
      <c r="J2232">
        <f>-682.168439886272 -147.581550717071 -554.366351500815</f>
        <v>-1384.1163421041579</v>
      </c>
      <c r="K2232">
        <f>-760.782560526131 -36.1903408375701 -536.860791882205</f>
        <v>-1333.833693245906</v>
      </c>
      <c r="L2232">
        <f>-766.519716559826 -1.58964980826386 -244.694676536923</f>
        <v>-1012.8040429050128</v>
      </c>
      <c r="M2232" t="s">
        <v>24394</v>
      </c>
      <c r="N2232">
        <f>-651.604958031867 -193.786090510726 -555.843643885887</f>
        <v>-1401.23469242848</v>
      </c>
      <c r="O2232">
        <f>-578.915309431624 -308.205749613021 -532.997235020133</f>
        <v>-1420.118294064778</v>
      </c>
      <c r="P2232">
        <f>-559.550056574368 -362.626993324925 -244.458694519687</f>
        <v>-1166.63574441898</v>
      </c>
      <c r="Q2232">
        <f>-458.830038022066 -151.151778026073 -300.890663715135</f>
        <v>-910.87247976327399</v>
      </c>
      <c r="R2232">
        <f>-683.536081322392 -62.2648355382701 -102.396610738802</f>
        <v>-848.19752759946402</v>
      </c>
      <c r="S2232" t="s">
        <v>24395</v>
      </c>
      <c r="T2232" t="s">
        <v>24396</v>
      </c>
      <c r="U2232" t="s">
        <v>24397</v>
      </c>
      <c r="V2232">
        <f>-574.180486669316 -218.722438123598 -93.7686967986537</f>
        <v>-886.67162159156783</v>
      </c>
      <c r="W2232" t="s">
        <v>24398</v>
      </c>
      <c r="X2232" t="s">
        <v>24399</v>
      </c>
      <c r="Y2232" t="s">
        <v>24400</v>
      </c>
    </row>
    <row r="2233" spans="1:25" x14ac:dyDescent="0.3">
      <c r="A2233">
        <v>111600</v>
      </c>
      <c r="B2233" t="s">
        <v>24401</v>
      </c>
      <c r="C2233">
        <f>-627.388446164407 -142.384114215971 -96.444678960179</f>
        <v>-866.21723934055706</v>
      </c>
      <c r="D2233">
        <f>-647.10832344009 -162.397668587027 -208.813781144174</f>
        <v>-1018.3197731712909</v>
      </c>
      <c r="E2233">
        <f>-656.77547392313 -170.240733034832 -306.648783874782</f>
        <v>-1133.664990832744</v>
      </c>
      <c r="F2233">
        <f>-663.062152553969 -173.938274237456 -395.446543262619</f>
        <v>-1232.446970054044</v>
      </c>
      <c r="G2233">
        <f>-666.580862439517 -174.052847867175 -484.473697516572</f>
        <v>-1325.1074078232639</v>
      </c>
      <c r="H2233">
        <f>-668.57612793686 -170.464617421888 -608.988555249667</f>
        <v>-1448.0293006084148</v>
      </c>
      <c r="I2233">
        <f>-641.798831323938 -149.87568054183 -684.910308987141</f>
        <v>-1476.5848208529089</v>
      </c>
      <c r="J2233">
        <f>-682.91793625742 -148.906622554084 -553.285158010829</f>
        <v>-1385.1097168223332</v>
      </c>
      <c r="K2233">
        <f>-761.181571387453 -37.4128320068364 -534.783422536329</f>
        <v>-1333.3778259306184</v>
      </c>
      <c r="L2233">
        <f>-765.521514646031 -4.32209072196224 -242.418383383548</f>
        <v>-1012.2619887515413</v>
      </c>
      <c r="M2233" t="s">
        <v>24402</v>
      </c>
      <c r="N2233">
        <f>-652.47834470038 -195.180613066267 -555.106352755629</f>
        <v>-1402.7653105222762</v>
      </c>
      <c r="O2233">
        <f>-579.949199774063 -309.859221215485 -533.075058240695</f>
        <v>-1422.883479230243</v>
      </c>
      <c r="P2233">
        <f>-559.503480166549 -365.457161668872 -244.83548205312</f>
        <v>-1169.7961238885409</v>
      </c>
      <c r="Q2233">
        <f>-459.798265312603 -153.006634993779 -299.374699871355</f>
        <v>-912.17960017773703</v>
      </c>
      <c r="R2233">
        <f>-681.643111542435 -64.6909133815457 -101.515883761999</f>
        <v>-847.8499086859797</v>
      </c>
      <c r="S2233" t="s">
        <v>24403</v>
      </c>
      <c r="T2233" t="s">
        <v>24404</v>
      </c>
      <c r="U2233" t="s">
        <v>24405</v>
      </c>
      <c r="V2233">
        <f>-573.181721329152 -220.621815735825 -93.37956617414</f>
        <v>-887.18310323911703</v>
      </c>
      <c r="W2233" t="s">
        <v>24406</v>
      </c>
      <c r="X2233" t="s">
        <v>24407</v>
      </c>
      <c r="Y2233" t="s">
        <v>24408</v>
      </c>
    </row>
    <row r="2234" spans="1:25" x14ac:dyDescent="0.3">
      <c r="A2234">
        <v>111650</v>
      </c>
      <c r="B2234" t="s">
        <v>24409</v>
      </c>
      <c r="C2234">
        <f>-626.488632814854 -143.595814056346 -96.0867168891397</f>
        <v>-866.17116376033971</v>
      </c>
      <c r="D2234">
        <f>-646.709391824693 -163.807882685561 -208.331083041062</f>
        <v>-1018.848357551316</v>
      </c>
      <c r="E2234">
        <f>-656.683233266508 -171.644291324753 -306.135982726695</f>
        <v>-1134.4635073179559</v>
      </c>
      <c r="F2234">
        <f>-663.195950798108 -175.2632188962 -394.920676379913</f>
        <v>-1233.3798460742209</v>
      </c>
      <c r="G2234">
        <f>-666.887886454897 -175.226857276286 -483.940941655604</f>
        <v>-1326.055685386787</v>
      </c>
      <c r="H2234">
        <f>-669.069208020371 -171.352136455619 -608.444196055995</f>
        <v>-1448.8655405319851</v>
      </c>
      <c r="I2234">
        <f>-642.317158673809 -150.683632562838 -684.353081345654</f>
        <v>-1477.3538725823009</v>
      </c>
      <c r="J2234">
        <f>-683.288771718027 -149.896862547906 -552.6697427313</f>
        <v>-1385.855376997233</v>
      </c>
      <c r="K2234">
        <f>-761.23837811127 -38.2632849717106 -533.69770005184</f>
        <v>-1333.1993631348205</v>
      </c>
      <c r="L2234">
        <f>-764.982073141265 -5.71331566191793 -241.263564085276</f>
        <v>-1011.958952888459</v>
      </c>
      <c r="M2234" t="s">
        <v>24410</v>
      </c>
      <c r="N2234">
        <f>-652.929857912531 -196.217557461806 -554.643125759031</f>
        <v>-1403.7905411333682</v>
      </c>
      <c r="O2234">
        <f>-580.558855661953 -311.069928899969 -532.967140704439</f>
        <v>-1424.5959252663611</v>
      </c>
      <c r="P2234">
        <f>-559.498862324708 -367.047500024695 -244.845203481647</f>
        <v>-1171.3915658310502</v>
      </c>
      <c r="Q2234">
        <f>-459.874438909104 -154.475804791691 -299.058943450045</f>
        <v>-913.4091871508399</v>
      </c>
      <c r="R2234">
        <f>-680.555218944231 -66.0822987212388 -101.024180587295</f>
        <v>-847.66169825276484</v>
      </c>
      <c r="S2234" t="s">
        <v>24411</v>
      </c>
      <c r="T2234" t="s">
        <v>24412</v>
      </c>
      <c r="U2234" t="s">
        <v>24413</v>
      </c>
      <c r="V2234">
        <f>-572.528259924413 -221.623818843776 -93.1439617091016</f>
        <v>-887.2960404772906</v>
      </c>
      <c r="W2234" t="s">
        <v>24414</v>
      </c>
      <c r="X2234" t="s">
        <v>24415</v>
      </c>
      <c r="Y2234" t="s">
        <v>24416</v>
      </c>
    </row>
    <row r="2235" spans="1:25" x14ac:dyDescent="0.3">
      <c r="A2235">
        <v>111700</v>
      </c>
      <c r="B2235" t="s">
        <v>24417</v>
      </c>
      <c r="C2235">
        <f>-624.910499098902 -146.053988186595 -95.4806589455861</f>
        <v>-866.44514623108319</v>
      </c>
      <c r="D2235">
        <f>-646.253405610515 -166.682452825979 -207.441244782435</f>
        <v>-1020.3771032189289</v>
      </c>
      <c r="E2235">
        <f>-656.837560453402 -174.533013794912 -305.180610078931</f>
        <v>-1136.551184327245</v>
      </c>
      <c r="F2235">
        <f>-663.754638585183 -178.024199781441 -393.939875447457</f>
        <v>-1235.718713814081</v>
      </c>
      <c r="G2235">
        <f>-667.699308202876 -177.721364177908 -482.948895565379</f>
        <v>-1328.369567946163</v>
      </c>
      <c r="H2235">
        <f>-670.072389849929 -173.33033277738 -607.431296000043</f>
        <v>-1450.834018627352</v>
      </c>
      <c r="I2235">
        <f>-643.589993459239 -152.569200855238 -683.409505606968</f>
        <v>-1479.5686999214449</v>
      </c>
      <c r="J2235">
        <f>-684.100181292598 -152.037561008952 -551.546192522049</f>
        <v>-1387.683934823599</v>
      </c>
      <c r="K2235">
        <f>-761.496076914785 -40.1703917180485 -531.781441862314</f>
        <v>-1333.4479104951474</v>
      </c>
      <c r="L2235">
        <f>-764.281879957501 -8.53023432772261 -239.236751884379</f>
        <v>-1012.0488661696027</v>
      </c>
      <c r="M2235" t="s">
        <v>24418</v>
      </c>
      <c r="N2235">
        <f>-653.956130821813 -198.487638666278 -553.75925836848</f>
        <v>-1406.203027856571</v>
      </c>
      <c r="O2235">
        <f>-582.060698919847 -313.738411257619 -532.622750802384</f>
        <v>-1428.42186097985</v>
      </c>
      <c r="P2235">
        <f>-560.566352373797 -370.051329452064 -244.598340634333</f>
        <v>-1175.2160224601939</v>
      </c>
      <c r="Q2235">
        <f>-459.876293683173 -158.077965294444 -299.184636798531</f>
        <v>-917.13889577614805</v>
      </c>
      <c r="R2235">
        <f>-678.772289793394 -68.7007907492859 -100.139981781245</f>
        <v>-847.61306232392485</v>
      </c>
      <c r="S2235" t="s">
        <v>24419</v>
      </c>
      <c r="T2235" t="s">
        <v>24420</v>
      </c>
      <c r="U2235" t="s">
        <v>24421</v>
      </c>
      <c r="V2235">
        <f>-571.338536035088 -223.806371852463 -92.7572176082671</f>
        <v>-887.90212549581815</v>
      </c>
      <c r="W2235" t="s">
        <v>24422</v>
      </c>
      <c r="X2235" t="s">
        <v>24423</v>
      </c>
      <c r="Y2235" t="s">
        <v>24424</v>
      </c>
    </row>
    <row r="2236" spans="1:25" x14ac:dyDescent="0.3">
      <c r="A2236">
        <v>111750</v>
      </c>
      <c r="B2236" t="s">
        <v>24425</v>
      </c>
      <c r="C2236">
        <f>-624.288530279804 -147.224372463321 -95.1915208471992</f>
        <v>-866.70442359032427</v>
      </c>
      <c r="D2236">
        <f>-646.141980750428 -167.996263869514 -207.0269727538</f>
        <v>-1021.1652173737421</v>
      </c>
      <c r="E2236">
        <f>-656.988610245884 -175.829158784348 -304.739148447515</f>
        <v>-1137.556917477747</v>
      </c>
      <c r="F2236">
        <f>-664.069254612753 -179.246755016149 -393.488263655458</f>
        <v>-1236.8042732843601</v>
      </c>
      <c r="G2236">
        <f>-668.101700518927 -178.814176914986 -482.492741068903</f>
        <v>-1329.4086185028159</v>
      </c>
      <c r="H2236">
        <f>-670.51627689279 -174.18380257301 -606.965850174575</f>
        <v>-1451.665929640375</v>
      </c>
      <c r="I2236">
        <f>-644.259524392257 -153.401348609553 -683.016480039386</f>
        <v>-1480.6773530411961</v>
      </c>
      <c r="J2236">
        <f>-684.464529729283 -152.959205858352 -551.034821922969</f>
        <v>-1388.4585575106039</v>
      </c>
      <c r="K2236">
        <f>-761.528352855746 -40.9179487448839 -530.947849300759</f>
        <v>-1333.3941509013889</v>
      </c>
      <c r="L2236">
        <f>-763.863950528752 -9.87559205305047 -238.335264625456</f>
        <v>-1012.0748072072585</v>
      </c>
      <c r="M2236" t="s">
        <v>24426</v>
      </c>
      <c r="N2236">
        <f>-654.442964029943 -199.48364104446 -553.347968043524</f>
        <v>-1407.274573117927</v>
      </c>
      <c r="O2236">
        <f>-582.827554661004 -314.953406439695 -532.391086465507</f>
        <v>-1430.1720475662059</v>
      </c>
      <c r="P2236">
        <f>-561.497235865292 -371.143224388225 -244.330594453464</f>
        <v>-1176.971054706981</v>
      </c>
      <c r="Q2236">
        <f>-459.83745263155 -159.671772017622 -299.066079553037</f>
        <v>-918.57530420220905</v>
      </c>
      <c r="R2236">
        <f>-677.961997748173 -69.9402796915647 -99.7123575758877</f>
        <v>-847.61463501562537</v>
      </c>
      <c r="S2236" t="s">
        <v>24427</v>
      </c>
      <c r="T2236" t="s">
        <v>24428</v>
      </c>
      <c r="U2236" t="s">
        <v>24429</v>
      </c>
      <c r="V2236">
        <f>-570.887445945648 -224.799758253957 -92.5744376366714</f>
        <v>-888.26164183627645</v>
      </c>
      <c r="W2236" t="s">
        <v>24430</v>
      </c>
      <c r="X2236" t="s">
        <v>24431</v>
      </c>
      <c r="Y2236" t="s">
        <v>24432</v>
      </c>
    </row>
    <row r="2237" spans="1:25" x14ac:dyDescent="0.3">
      <c r="A2237">
        <v>111800</v>
      </c>
      <c r="B2237" t="s">
        <v>24433</v>
      </c>
      <c r="C2237">
        <f>-623.619887614013 -148.262861416267 -94.8776045736528</f>
        <v>-866.7603536039328</v>
      </c>
      <c r="D2237">
        <f>-645.942918875221 -169.151301808704 -206.598501641168</f>
        <v>-1021.6927223250931</v>
      </c>
      <c r="E2237">
        <f>-657.031236111829 -176.962383603625 -304.285292766627</f>
        <v>-1138.2789124820811</v>
      </c>
      <c r="F2237">
        <f>-664.262362438921 -180.310743363922 -393.024975281219</f>
        <v>-1237.598081084062</v>
      </c>
      <c r="G2237">
        <f>-668.375015109639 -179.760602050716 -482.025243708356</f>
        <v>-1330.1608608687111</v>
      </c>
      <c r="H2237">
        <f>-670.826705958495 -174.916376058301 -606.489325330174</f>
        <v>-1452.2324073469699</v>
      </c>
      <c r="I2237">
        <f>-644.847521307522 -154.149438619703 -682.639473993064</f>
        <v>-1481.6364339202892</v>
      </c>
      <c r="J2237">
        <f>-684.698322119967 -153.74928240783 -550.517540858622</f>
        <v>-1388.965145386419</v>
      </c>
      <c r="K2237">
        <f>-761.465751621314 -41.5420333921991 -530.160661636387</f>
        <v>-1333.1684466499</v>
      </c>
      <c r="L2237">
        <f>-763.43960787797 -11.3424423930628 -237.45718232556</f>
        <v>-1012.2392325965928</v>
      </c>
      <c r="M2237" t="s">
        <v>24434</v>
      </c>
      <c r="N2237">
        <f>-654.797444128864 -200.346803392982 -552.920109150889</f>
        <v>-1408.0643566727349</v>
      </c>
      <c r="O2237">
        <f>-583.476569447591 -316.012297519379 -532.087932876121</f>
        <v>-1431.5767998430911</v>
      </c>
      <c r="P2237">
        <f>-562.33259377744 -372.203184909771 -244.013816958589</f>
        <v>-1178.5495956457999</v>
      </c>
      <c r="Q2237">
        <f>-459.478429856462 -161.46116946052 -299.328176339531</f>
        <v>-920.26777565651309</v>
      </c>
      <c r="R2237">
        <f>-677.100271161717 -71.0716976400163 -99.2713915137836</f>
        <v>-847.44336031551688</v>
      </c>
      <c r="S2237" t="s">
        <v>24435</v>
      </c>
      <c r="T2237" t="s">
        <v>24436</v>
      </c>
      <c r="U2237" t="s">
        <v>24437</v>
      </c>
      <c r="V2237">
        <f>-570.322743011556 -225.715274423633 -92.4162833716864</f>
        <v>-888.45430080687538</v>
      </c>
      <c r="W2237" t="s">
        <v>24438</v>
      </c>
      <c r="X2237" t="s">
        <v>24439</v>
      </c>
      <c r="Y2237" t="s">
        <v>24440</v>
      </c>
    </row>
    <row r="2238" spans="1:25" x14ac:dyDescent="0.3">
      <c r="A2238">
        <v>111850</v>
      </c>
      <c r="B2238" t="s">
        <v>24441</v>
      </c>
      <c r="C2238">
        <f>-622.099742305123 -149.989499997497 -94.2644087107999</f>
        <v>-866.35365101341984</v>
      </c>
      <c r="D2238">
        <f>-645.211163612284 -170.949930251225 -205.811398642329</f>
        <v>-1021.972492505838</v>
      </c>
      <c r="E2238">
        <f>-656.714730104184 -178.641472821118 -303.459718290568</f>
        <v>-1138.81592121587</v>
      </c>
      <c r="F2238">
        <f>-664.212960448702 -181.806585242929 -392.184033420825</f>
        <v>-1238.2035791124561</v>
      </c>
      <c r="G2238">
        <f>-668.481895150702 -180.99944329397 -481.174729520525</f>
        <v>-1330.6560679651971</v>
      </c>
      <c r="H2238">
        <f>-671.034364497906 -175.719834410106 -605.619160675229</f>
        <v>-1452.3733595832409</v>
      </c>
      <c r="I2238">
        <f>-645.720196088453 -155.062631086207 -682.022821480347</f>
        <v>-1482.8056486550072</v>
      </c>
      <c r="J2238">
        <f>-684.785344048646 -154.700626403191 -549.561965795116</f>
        <v>-1389.047936246953</v>
      </c>
      <c r="K2238">
        <f>-761.088009296208 -42.2762492293998 -528.660317494112</f>
        <v>-1332.0245760197199</v>
      </c>
      <c r="L2238">
        <f>-762.326828690543 -12.6719105697953 -235.892116270657</f>
        <v>-1010.8908555309953</v>
      </c>
      <c r="M2238" t="s">
        <v>24442</v>
      </c>
      <c r="N2238">
        <f>-655.036939864422 -201.385636366551 -552.152804692099</f>
        <v>-1408.5753809230721</v>
      </c>
      <c r="O2238">
        <f>-584.001908947545 -317.274693414153 -531.579723727294</f>
        <v>-1432.8563260889919</v>
      </c>
      <c r="P2238">
        <f>-562.537974015948 -374.117872345841 -243.657255986949</f>
        <v>-1180.3131023487379</v>
      </c>
      <c r="Q2238">
        <f>-458.5052013413 -163.990807083673 -299.107016544827</f>
        <v>-921.60302496979989</v>
      </c>
      <c r="R2238">
        <f>-674.938853485174 -73.0917739991314 -98.3549746428668</f>
        <v>-846.38560212717221</v>
      </c>
      <c r="S2238" t="s">
        <v>24443</v>
      </c>
      <c r="T2238" t="s">
        <v>24444</v>
      </c>
      <c r="U2238" t="s">
        <v>24445</v>
      </c>
      <c r="V2238">
        <f>-569.353480633891 -227.142340996043 -92.1013083792296</f>
        <v>-888.59713000916361</v>
      </c>
      <c r="W2238" t="s">
        <v>24446</v>
      </c>
      <c r="X2238" t="s">
        <v>24447</v>
      </c>
      <c r="Y2238" t="s">
        <v>24448</v>
      </c>
    </row>
    <row r="2239" spans="1:25" x14ac:dyDescent="0.3">
      <c r="A2239">
        <v>111900</v>
      </c>
      <c r="B2239" t="s">
        <v>24449</v>
      </c>
      <c r="C2239">
        <f>-620.802325103075 -151.441454517431 -93.8285203118971</f>
        <v>-866.0722999324031</v>
      </c>
      <c r="D2239">
        <f>-644.348586248781 -172.159246872233 -205.330012474312</f>
        <v>-1021.8378455953259</v>
      </c>
      <c r="E2239">
        <f>-656.140809117272 -179.65903216357 -302.958631775841</f>
        <v>-1138.7584730566832</v>
      </c>
      <c r="F2239">
        <f>-663.868350104361 -182.654828736633 -391.669048742211</f>
        <v>-1238.1922275832048</v>
      </c>
      <c r="G2239">
        <f>-668.335485323469 -181.682011046235 -480.648555416115</f>
        <v>-1330.666051785819</v>
      </c>
      <c r="H2239">
        <f>-671.133358088039 -176.174011801958 -605.077891144989</f>
        <v>-1452.3852610349861</v>
      </c>
      <c r="I2239">
        <f>-646.610954308845 -155.786263118897 -681.811285420801</f>
        <v>-1484.208502848543</v>
      </c>
      <c r="J2239">
        <f>-684.749890844689 -155.242619139439 -548.954951134993</f>
        <v>-1388.947461119121</v>
      </c>
      <c r="K2239">
        <f>-760.797609896781 -42.7517673031632 -527.525992617731</f>
        <v>-1331.0753698176752</v>
      </c>
      <c r="L2239">
        <f>-761.069104213225 -13.5518974581985 -234.714518517047</f>
        <v>-1009.3355201884706</v>
      </c>
      <c r="M2239" t="s">
        <v>24450</v>
      </c>
      <c r="N2239">
        <f>-655.054362628965 -201.952981546716 -551.690307439634</f>
        <v>-1408.697651615315</v>
      </c>
      <c r="O2239">
        <f>-584.007819869618 -317.860660823697 -531.293725892104</f>
        <v>-1433.162206585419</v>
      </c>
      <c r="P2239">
        <f>-562.043949676358 -375.200514066246 -243.507458234468</f>
        <v>-1180.751921977072</v>
      </c>
      <c r="Q2239">
        <f>-458.085912549331 -165.002443443429 -298.828172708844</f>
        <v>-921.91652870160397</v>
      </c>
      <c r="R2239">
        <f>-673.225088588516 -74.5742517573782 -97.6552937319855</f>
        <v>-845.45463407787963</v>
      </c>
      <c r="S2239" t="s">
        <v>24451</v>
      </c>
      <c r="T2239" t="s">
        <v>24452</v>
      </c>
      <c r="U2239" t="s">
        <v>24453</v>
      </c>
      <c r="V2239">
        <f>-568.630417301757 -228.580008833939 -91.9124819620321</f>
        <v>-889.1229080977281</v>
      </c>
      <c r="W2239" t="s">
        <v>24454</v>
      </c>
      <c r="X2239" t="s">
        <v>24455</v>
      </c>
      <c r="Y2239" t="s">
        <v>24456</v>
      </c>
    </row>
    <row r="2240" spans="1:25" x14ac:dyDescent="0.3">
      <c r="A2240">
        <v>111950</v>
      </c>
      <c r="B2240" t="s">
        <v>24457</v>
      </c>
      <c r="C2240">
        <f>-620.344573271168 -151.66729929243 -93.7132164233253</f>
        <v>-865.72508898692331</v>
      </c>
      <c r="D2240">
        <f>-644.033763654359 -172.287409290448 -205.202507704742</f>
        <v>-1021.5236806495489</v>
      </c>
      <c r="E2240">
        <f>-655.946502531421 -179.715714006497 -302.821940912983</f>
        <v>-1138.484157450901</v>
      </c>
      <c r="F2240">
        <f>-663.783704042174 -182.650412142923 -391.52488600777</f>
        <v>-1237.959002192867</v>
      </c>
      <c r="G2240">
        <f>-668.361820155938 -181.619613268908 -480.498020385619</f>
        <v>-1330.479453810465</v>
      </c>
      <c r="H2240">
        <f>-671.316730871609 -176.033272660989 -604.920115869938</f>
        <v>-1452.270119402536</v>
      </c>
      <c r="I2240">
        <f>-647.236342431451 -155.82130194348 -681.839893520899</f>
        <v>-1484.8975378958298</v>
      </c>
      <c r="J2240">
        <f>-684.862913876529 -155.13754449947 -548.766874123026</f>
        <v>-1388.7673324990251</v>
      </c>
      <c r="K2240">
        <f>-760.869259102013 -42.6584560373151 -527.116215706009</f>
        <v>-1330.6439308453371</v>
      </c>
      <c r="L2240">
        <f>-760.615816185511 -13.7021356991511 -234.280606466279</f>
        <v>-1008.5985583509411</v>
      </c>
      <c r="M2240" t="s">
        <v>24458</v>
      </c>
      <c r="N2240">
        <f>-655.169894142252 -201.845510330271 -551.569278737089</f>
        <v>-1408.584683209612</v>
      </c>
      <c r="O2240">
        <f>-584.120739867672 -317.768432858626 -531.247802096036</f>
        <v>-1433.1369748223342</v>
      </c>
      <c r="P2240">
        <f>-562.298516223802 -374.762913882726 -243.382177429109</f>
        <v>-1180.4436075356371</v>
      </c>
      <c r="Q2240">
        <f>-458.053692184725 -164.816055532801 -299.115354098752</f>
        <v>-921.98510181627807</v>
      </c>
      <c r="R2240">
        <f>-672.648599824372 -74.7725575259001 -97.5150599819531</f>
        <v>-844.93621733222517</v>
      </c>
      <c r="S2240" t="s">
        <v>24459</v>
      </c>
      <c r="T2240" t="s">
        <v>24460</v>
      </c>
      <c r="U2240" t="s">
        <v>24461</v>
      </c>
      <c r="V2240">
        <f>-568.322673430839 -228.750764588745 -91.9059933870627</f>
        <v>-888.97943140664677</v>
      </c>
      <c r="W2240" t="s">
        <v>24462</v>
      </c>
      <c r="X2240" t="s">
        <v>24463</v>
      </c>
      <c r="Y2240" t="s">
        <v>24464</v>
      </c>
    </row>
    <row r="2241" spans="1:25" x14ac:dyDescent="0.3">
      <c r="A2241">
        <v>112000</v>
      </c>
      <c r="B2241" t="s">
        <v>24465</v>
      </c>
      <c r="C2241">
        <f>-619.555121439678 -151.699476151904 -93.6910216748246</f>
        <v>-864.94561926640665</v>
      </c>
      <c r="D2241">
        <f>-643.45504627708 -172.181982148445 -205.16066940094</f>
        <v>-1020.797697826465</v>
      </c>
      <c r="E2241">
        <f>-655.537572559687 -179.467092684643 -302.770090270369</f>
        <v>-1137.7747555146989</v>
      </c>
      <c r="F2241">
        <f>-663.525033432043 -182.260698616695 -391.464142795393</f>
        <v>-1237.249874844131</v>
      </c>
      <c r="G2241">
        <f>-668.250764562947 -181.076626063746 -480.42767474968</f>
        <v>-1329.7550653763728</v>
      </c>
      <c r="H2241">
        <f>-671.40985485052 -175.262778516489 -604.834383169058</f>
        <v>-1451.5070165360671</v>
      </c>
      <c r="I2241">
        <f>-648.294519451058 -155.418830545978 -682.144953978414</f>
        <v>-1485.8583039754501</v>
      </c>
      <c r="J2241">
        <f>-684.863853279302 -154.469847919159 -548.620884666066</f>
        <v>-1387.954585864527</v>
      </c>
      <c r="K2241">
        <f>-760.697595743255 -41.958648921038 -526.574210025505</f>
        <v>-1329.2304546897981</v>
      </c>
      <c r="L2241">
        <f>-759.031954465233 -12.5883091702656 -233.784491516981</f>
        <v>-1005.4047551524795</v>
      </c>
      <c r="M2241" t="s">
        <v>24466</v>
      </c>
      <c r="N2241">
        <f>-655.175532210269 -201.172535525348 -551.55728668159</f>
        <v>-1407.905354417207</v>
      </c>
      <c r="O2241">
        <f>-583.95037733207 -317.006200748034 -531.298142978094</f>
        <v>-1432.2547210581979</v>
      </c>
      <c r="P2241">
        <f>-561.433120168359 -373.822601184413 -243.450888628478</f>
        <v>-1178.70660998125</v>
      </c>
      <c r="Q2241">
        <f>-458.155249747457 -163.488668689708 -299.523948910187</f>
        <v>-921.16786734735206</v>
      </c>
      <c r="R2241">
        <f>-671.838463943938 -74.7786821673035 -97.4905585427813</f>
        <v>-844.10770465402277</v>
      </c>
      <c r="S2241" t="s">
        <v>24467</v>
      </c>
      <c r="T2241" t="s">
        <v>24468</v>
      </c>
      <c r="U2241" t="s">
        <v>24469</v>
      </c>
      <c r="V2241">
        <f>-567.4921890489 -228.930796951011 -91.9830943909657</f>
        <v>-888.40608039087658</v>
      </c>
      <c r="W2241" t="s">
        <v>24470</v>
      </c>
      <c r="X2241" t="s">
        <v>24471</v>
      </c>
      <c r="Y2241" t="s">
        <v>24472</v>
      </c>
    </row>
    <row r="2242" spans="1:25" x14ac:dyDescent="0.3">
      <c r="A2242">
        <v>112050</v>
      </c>
      <c r="B2242" t="s">
        <v>24473</v>
      </c>
      <c r="C2242">
        <f>-619.175534113136 -151.544349127831 -93.8049009586775</f>
        <v>-864.5247841996445</v>
      </c>
      <c r="D2242">
        <f>-643.120868727095 -172.026498063317 -205.264845624188</f>
        <v>-1020.4122124145999</v>
      </c>
      <c r="E2242">
        <f>-655.251426380972 -179.256320304861 -302.872471693804</f>
        <v>-1137.380218379637</v>
      </c>
      <c r="F2242">
        <f>-663.285245079682 -181.977994756767 -391.56458328792</f>
        <v>-1236.8278231243689</v>
      </c>
      <c r="G2242">
        <f>-668.059833401642 -180.70021596252 -480.524174924098</f>
        <v>-1329.28422428826</v>
      </c>
      <c r="H2242">
        <f>-671.28970465725 -174.732646704012 -604.921777368692</f>
        <v>-1450.9441287299542</v>
      </c>
      <c r="I2242">
        <f>-648.653142019217 -155.037856016248 -682.412110150554</f>
        <v>-1486.103108186019</v>
      </c>
      <c r="J2242">
        <f>-684.714259301646 -154.010817681994 -548.675071769872</f>
        <v>-1387.400148753512</v>
      </c>
      <c r="K2242">
        <f>-760.46383942564 -41.4825122046452 -526.416838918473</f>
        <v>-1328.3631905487582</v>
      </c>
      <c r="L2242">
        <f>-757.659098790402 -11.3976590094103 -233.708313723138</f>
        <v>-1002.7650715229503</v>
      </c>
      <c r="M2242" t="s">
        <v>24474</v>
      </c>
      <c r="N2242">
        <f>-655.022448568635 -200.706585112473 -551.686050804308</f>
        <v>-1407.4150844854162</v>
      </c>
      <c r="O2242">
        <f>-583.691929292103 -316.465656827876 -531.495821807774</f>
        <v>-1431.6534079277531</v>
      </c>
      <c r="P2242">
        <f>-560.89434922688 -373.278290237887 -243.669817444591</f>
        <v>-1177.8424569093579</v>
      </c>
      <c r="Q2242">
        <f>-458.222338749285 -162.658330104871 -299.781838847762</f>
        <v>-920.662507701918</v>
      </c>
      <c r="R2242">
        <f>-671.512676200764 -74.6936430873791 -97.6511855718782</f>
        <v>-843.85750486002121</v>
      </c>
      <c r="S2242" t="s">
        <v>24475</v>
      </c>
      <c r="T2242" t="s">
        <v>24476</v>
      </c>
      <c r="U2242" t="s">
        <v>24477</v>
      </c>
      <c r="V2242">
        <f>-567.022977586116 -228.696268029723 -92.0758969718994</f>
        <v>-887.79514258773838</v>
      </c>
      <c r="W2242" t="s">
        <v>24478</v>
      </c>
      <c r="X2242" t="s">
        <v>24479</v>
      </c>
      <c r="Y2242" t="s">
        <v>24480</v>
      </c>
    </row>
    <row r="2243" spans="1:25" x14ac:dyDescent="0.3">
      <c r="A2243">
        <v>112100</v>
      </c>
      <c r="B2243" t="s">
        <v>24481</v>
      </c>
      <c r="C2243">
        <f>-618.495367371912 -151.039534329374 -94.2835925627238</f>
        <v>-863.81849426400981</v>
      </c>
      <c r="D2243">
        <f>-642.324605528928 -171.564820861796 -205.760530585044</f>
        <v>-1019.649956975768</v>
      </c>
      <c r="E2243">
        <f>-654.504132938893 -178.687457112824 -303.369795263515</f>
        <v>-1136.561385315232</v>
      </c>
      <c r="F2243">
        <f>-662.638901860048 -181.256487768908 -392.057340713312</f>
        <v>-1235.9527303422678</v>
      </c>
      <c r="G2243">
        <f>-667.569915358695 -179.77068315555 -481.0050598064</f>
        <v>-1328.3456583206448</v>
      </c>
      <c r="H2243">
        <f>-671.075038916595 -173.455588206256 -605.378191520848</f>
        <v>-1449.9088186436989</v>
      </c>
      <c r="I2243">
        <f>-649.377948451839 -153.968826436867 -683.188975709762</f>
        <v>-1486.535750598468</v>
      </c>
      <c r="J2243">
        <f>-684.393478541785 -152.90270282766 -549.044320933847</f>
        <v>-1386.3405023032919</v>
      </c>
      <c r="K2243">
        <f>-760.05679271809 -40.4277282518235 -526.257412092559</f>
        <v>-1326.7419330624725</v>
      </c>
      <c r="L2243">
        <f>-753.461192861431 -7.65631804552936 -233.8984383408</f>
        <v>-995.01594924776032</v>
      </c>
      <c r="M2243" t="s">
        <v>24482</v>
      </c>
      <c r="N2243">
        <f>-654.671758533564 -199.56644583886 -552.251272720837</f>
        <v>-1406.489477093261</v>
      </c>
      <c r="O2243">
        <f>-583.017968020569 -315.200083821984 -532.363627091036</f>
        <v>-1430.581678933589</v>
      </c>
      <c r="P2243">
        <f>-559.422395997805 -372.292504952504 -244.657398686083</f>
        <v>-1176.372299636392</v>
      </c>
      <c r="Q2243">
        <f>-458.159367580873 -160.834062820872 -300.173002294281</f>
        <v>-919.16643269602594</v>
      </c>
      <c r="R2243">
        <f>-671.027661460231 -74.2133592838176 -98.245129109006</f>
        <v>-843.4861498530546</v>
      </c>
      <c r="S2243" t="s">
        <v>24483</v>
      </c>
      <c r="T2243" t="s">
        <v>24484</v>
      </c>
      <c r="U2243" t="s">
        <v>24485</v>
      </c>
      <c r="V2243">
        <f>-566.095437191757 -228.132601495167 -92.3809086624494</f>
        <v>-886.60894734937347</v>
      </c>
      <c r="W2243" t="s">
        <v>24486</v>
      </c>
      <c r="X2243" t="s">
        <v>24487</v>
      </c>
      <c r="Y2243" t="s">
        <v>24488</v>
      </c>
    </row>
    <row r="2244" spans="1:25" x14ac:dyDescent="0.3">
      <c r="A2244">
        <v>112150</v>
      </c>
      <c r="B2244" t="s">
        <v>24489</v>
      </c>
      <c r="C2244">
        <f>-618.212472689807 -150.617213763315 -94.4972612466379</f>
        <v>-863.3269476997599</v>
      </c>
      <c r="D2244">
        <f>-641.970538277122 -171.143653206705 -205.989181638702</f>
        <v>-1019.1033731225291</v>
      </c>
      <c r="E2244">
        <f>-654.176961687431 -178.209265454598 -303.599387310642</f>
        <v>-1135.9856144526711</v>
      </c>
      <c r="F2244">
        <f>-662.369613790686 -180.704830665774 -392.28352692206</f>
        <v>-1235.35797137852</v>
      </c>
      <c r="G2244">
        <f>-667.391878820505 -179.123912911898 -481.224636867608</f>
        <v>-1327.740428600011</v>
      </c>
      <c r="H2244">
        <f>-671.058694170986 -172.653307422722 -605.584918721114</f>
        <v>-1449.296920314822</v>
      </c>
      <c r="I2244">
        <f>-649.79653626077 -153.243819224322 -683.535132934375</f>
        <v>-1486.5754884194671</v>
      </c>
      <c r="J2244">
        <f>-684.321730028837 -152.182269725938 -549.208222590926</f>
        <v>-1385.7122223457009</v>
      </c>
      <c r="K2244">
        <f>-760.019008130645 -39.7750868591902 -526.166778833201</f>
        <v>-1325.9608738230363</v>
      </c>
      <c r="L2244">
        <f>-751.244196471001 -5.1097224087307 -234.083647283902</f>
        <v>-990.43756616363373</v>
      </c>
      <c r="M2244" t="s">
        <v>24490</v>
      </c>
      <c r="N2244">
        <f>-654.56849869708 -198.819169064453 -552.512109897806</f>
        <v>-1405.8997776593392</v>
      </c>
      <c r="O2244">
        <f>-582.740556040966 -314.35838236965 -532.78411496525</f>
        <v>-1429.883053375866</v>
      </c>
      <c r="P2244">
        <f>-558.681054258944 -371.731784007454 -245.172153967513</f>
        <v>-1175.584992233911</v>
      </c>
      <c r="Q2244">
        <f>-457.953049839309 -159.94582509305 -300.412291346771</f>
        <v>-918.31116627913002</v>
      </c>
      <c r="R2244">
        <f>-670.876373011584 -73.8369982271799 -98.4851497259751</f>
        <v>-843.19852096473903</v>
      </c>
      <c r="S2244" t="s">
        <v>24491</v>
      </c>
      <c r="T2244" t="s">
        <v>24492</v>
      </c>
      <c r="U2244" t="s">
        <v>24493</v>
      </c>
      <c r="V2244">
        <f>-565.680357318671 -227.666889208491 -92.5606077262731</f>
        <v>-885.90785425343518</v>
      </c>
      <c r="W2244" t="s">
        <v>24494</v>
      </c>
      <c r="X2244" t="s">
        <v>24495</v>
      </c>
      <c r="Y2244" t="s">
        <v>24496</v>
      </c>
    </row>
    <row r="2245" spans="1:25" x14ac:dyDescent="0.3">
      <c r="A2245">
        <v>112200</v>
      </c>
      <c r="B2245" t="s">
        <v>24497</v>
      </c>
      <c r="C2245">
        <f>-617.864836932733 -149.857358507833 -94.7834390491306</f>
        <v>-862.50563448969672</v>
      </c>
      <c r="D2245">
        <f>-641.563591706718 -170.364789450547 -206.291458056168</f>
        <v>-1018.219839213433</v>
      </c>
      <c r="E2245">
        <f>-653.787304398031 -177.334629687275 -303.906329951745</f>
        <v>-1135.028264037051</v>
      </c>
      <c r="F2245">
        <f>-662.020853234866 -179.713822876818 -392.589926529237</f>
        <v>-1234.3246026409211</v>
      </c>
      <c r="G2245">
        <f>-667.108634929359 -177.986371612192 -481.52462695347</f>
        <v>-1326.6196334950209</v>
      </c>
      <c r="H2245">
        <f>-670.89204968886 -171.280474612028 -605.868984432724</f>
        <v>-1448.0415087336119</v>
      </c>
      <c r="I2245">
        <f>-650.347697911269 -151.981818170311 -684.038827919023</f>
        <v>-1486.368344000603</v>
      </c>
      <c r="J2245">
        <f>-684.137461490416 -150.938676556091 -549.441243185786</f>
        <v>-1384.5173812322928</v>
      </c>
      <c r="K2245">
        <f>-759.974883991008 -38.676123885389 -526.073945042052</f>
        <v>-1324.7249529184489</v>
      </c>
      <c r="L2245">
        <f>-748.052931952275 -1.3106798030592 -234.435618014679</f>
        <v>-983.7992297700132</v>
      </c>
      <c r="M2245" t="s">
        <v>24498</v>
      </c>
      <c r="N2245">
        <f>-654.316915054756 -197.524166543946 -552.861022150084</f>
        <v>-1404.7021037487859</v>
      </c>
      <c r="O2245">
        <f>-582.157138450598 -312.894206923887 -533.355482723855</f>
        <v>-1428.4068280983399</v>
      </c>
      <c r="P2245">
        <f>-557.280511222316 -370.821199455455 -245.924115210064</f>
        <v>-1174.025825887835</v>
      </c>
      <c r="Q2245">
        <f>-457.32185144197 -158.526771330014 -300.606809565396</f>
        <v>-916.45543233737999</v>
      </c>
      <c r="R2245">
        <f>-670.776375822683 -73.1078852600787 -98.7665668198202</f>
        <v>-842.65082790258191</v>
      </c>
      <c r="S2245" t="s">
        <v>24499</v>
      </c>
      <c r="T2245" t="s">
        <v>24500</v>
      </c>
      <c r="U2245" t="s">
        <v>24501</v>
      </c>
      <c r="V2245">
        <f>-565.13979276477 -226.949801243833 -92.843013855505</f>
        <v>-884.93260786410804</v>
      </c>
      <c r="W2245" t="s">
        <v>24502</v>
      </c>
      <c r="X2245" t="s">
        <v>24503</v>
      </c>
      <c r="Y2245" t="s">
        <v>24504</v>
      </c>
    </row>
    <row r="2246" spans="1:25" x14ac:dyDescent="0.3">
      <c r="A2246">
        <v>112250</v>
      </c>
      <c r="B2246" t="s">
        <v>24505</v>
      </c>
      <c r="C2246">
        <f>-617.763306172278 -149.445437465454 -94.8939934370482</f>
        <v>-862.10273707478018</v>
      </c>
      <c r="D2246">
        <f>-641.466309012852 -169.92559342579 -206.406012011654</f>
        <v>-1017.797914450296</v>
      </c>
      <c r="E2246">
        <f>-653.699598440294 -176.850544217951 -304.022866934331</f>
        <v>-1134.573009592576</v>
      </c>
      <c r="F2246">
        <f>-661.943806753685 -179.18063411825 -392.706801038312</f>
        <v>-1233.8312419102469</v>
      </c>
      <c r="G2246">
        <f>-667.044389634951 -177.395618855115 -481.639649254936</f>
        <v>-1326.0796577450019</v>
      </c>
      <c r="H2246">
        <f>-670.847741147101 -170.600424362533 -605.978525717436</f>
        <v>-1447.42669122707</v>
      </c>
      <c r="I2246">
        <f>-650.603574962309 -151.354518110553 -684.239713124424</f>
        <v>-1486.1978061972861</v>
      </c>
      <c r="J2246">
        <f>-684.09293495568 -150.304808993633 -549.534269840366</f>
        <v>-1383.9320137896791</v>
      </c>
      <c r="K2246">
        <f>-759.930218474913 -38.0721875202532 -526.05029594656</f>
        <v>-1324.0527019417264</v>
      </c>
      <c r="L2246">
        <f>-747.130872853242 -0.301311664488821 -234.501519355566</f>
        <v>-981.93370387329674</v>
      </c>
      <c r="M2246" t="s">
        <v>24506</v>
      </c>
      <c r="N2246">
        <f>-654.255228865622 -196.876490298346 -552.992128578288</f>
        <v>-1404.123847742256</v>
      </c>
      <c r="O2246">
        <f>-581.992673175816 -312.199469594446 -533.574168198834</f>
        <v>-1427.7663109690959</v>
      </c>
      <c r="P2246">
        <f>-556.996086512874 -370.2679846885 -246.181658008613</f>
        <v>-1173.4457292099869</v>
      </c>
      <c r="Q2246">
        <f>-457.140428598912 -157.873277885675 -300.662824146514</f>
        <v>-915.67653063110106</v>
      </c>
      <c r="R2246">
        <f>-670.804069130639 -72.626318672206 -98.8696631158223</f>
        <v>-842.30005091866735</v>
      </c>
      <c r="S2246" t="s">
        <v>24507</v>
      </c>
      <c r="T2246" t="s">
        <v>24508</v>
      </c>
      <c r="U2246" t="s">
        <v>24509</v>
      </c>
      <c r="V2246">
        <f>-564.947570748343 -226.603016517167 -92.9632721466128</f>
        <v>-884.51385941212277</v>
      </c>
      <c r="W2246" t="s">
        <v>24510</v>
      </c>
      <c r="X2246" t="s">
        <v>24511</v>
      </c>
      <c r="Y2246" t="s">
        <v>24512</v>
      </c>
    </row>
    <row r="2247" spans="1:25" x14ac:dyDescent="0.3">
      <c r="A2247">
        <v>112300</v>
      </c>
      <c r="B2247" t="s">
        <v>24513</v>
      </c>
      <c r="C2247">
        <f>-617.56065887043 -148.592446878747 -95.0780453401937</f>
        <v>-861.23115108937077</v>
      </c>
      <c r="D2247">
        <f>-641.307241236374 -169.019897584317 -206.590560876677</f>
        <v>-1016.9176996973681</v>
      </c>
      <c r="E2247">
        <f>-653.621239727429 -175.902067644267 -304.200264025658</f>
        <v>-1133.7235713973541</v>
      </c>
      <c r="F2247">
        <f>-661.956802882239 -178.193813347625 -392.87681042277</f>
        <v>-1233.0274266526339</v>
      </c>
      <c r="G2247">
        <f>-667.167256714272 -176.370721306045 -481.802350492434</f>
        <v>-1325.3403285127511</v>
      </c>
      <c r="H2247">
        <f>-671.143853791019 -169.522015691587 -606.132936396334</f>
        <v>-1446.7988058789401</v>
      </c>
      <c r="I2247">
        <f>-651.411892155264 -150.39132549217 -684.552897550753</f>
        <v>-1486.3561151981871</v>
      </c>
      <c r="J2247">
        <f>-684.299633880215 -149.243811256655 -549.661445433048</f>
        <v>-1383.204890569918</v>
      </c>
      <c r="K2247">
        <f>-760.078012622245 -37.0052726097617 -526.024259835295</f>
        <v>-1323.1075450673015</v>
      </c>
      <c r="L2247">
        <f>-745.8451524326 -0.177934916930553 -234.42116729675</f>
        <v>-980.44425464628057</v>
      </c>
      <c r="M2247" t="s">
        <v>24514</v>
      </c>
      <c r="N2247">
        <f>-654.488236548338 -195.827662466024 -553.181011080352</f>
        <v>-1403.4969100947142</v>
      </c>
      <c r="O2247">
        <f>-582.212369232753 -311.157173821835 -533.828601118991</f>
        <v>-1427.1981441735788</v>
      </c>
      <c r="P2247">
        <f>-557.060386514402 -369.067218033359 -246.41765435316</f>
        <v>-1172.545258900921</v>
      </c>
      <c r="Q2247">
        <f>-456.945114300434 -156.787477923461 -300.870630380865</f>
        <v>-914.60322260476005</v>
      </c>
      <c r="R2247">
        <f>-670.634212374674 -71.7264204622761 -99.0143720214235</f>
        <v>-841.37500485837359</v>
      </c>
      <c r="S2247" t="s">
        <v>24515</v>
      </c>
      <c r="T2247" t="s">
        <v>24516</v>
      </c>
      <c r="U2247" t="s">
        <v>24517</v>
      </c>
      <c r="V2247">
        <f>-564.692096126365 -225.821707910984 -93.1442433418214</f>
        <v>-883.6580473791704</v>
      </c>
      <c r="W2247" t="s">
        <v>24518</v>
      </c>
      <c r="X2247" t="s">
        <v>24519</v>
      </c>
      <c r="Y2247" t="s">
        <v>24520</v>
      </c>
    </row>
    <row r="2248" spans="1:25" x14ac:dyDescent="0.3">
      <c r="A2248">
        <v>112350</v>
      </c>
      <c r="B2248" t="s">
        <v>24521</v>
      </c>
      <c r="C2248">
        <f>-617.434322334131 -148.219194826731 -95.1488136313667</f>
        <v>-860.80233079222876</v>
      </c>
      <c r="D2248">
        <f>-641.199788358584 -168.63920541169 -206.658712785484</f>
        <v>-1016.497706555758</v>
      </c>
      <c r="E2248">
        <f>-653.566937525677 -175.521192609854 -304.261675935762</f>
        <v>-1133.349806071293</v>
      </c>
      <c r="F2248">
        <f>-661.966868032414 -177.813961689408 -392.931916216886</f>
        <v>-1232.7127459387079</v>
      </c>
      <c r="G2248">
        <f>-667.258925829039 -175.992591354709 -481.852852274804</f>
        <v>-1325.1043694585519</v>
      </c>
      <c r="H2248">
        <f>-671.368343959462 -169.146433170657 -606.179223618004</f>
        <v>-1446.694000748123</v>
      </c>
      <c r="I2248">
        <f>-651.838814237439 -150.049535209135 -684.658119450273</f>
        <v>-1486.546468896847</v>
      </c>
      <c r="J2248">
        <f>-684.465195479228 -148.868010161377 -549.694157912581</f>
        <v>-1383.027363553186</v>
      </c>
      <c r="K2248">
        <f>-760.337895203293 -36.7065489514439 -526.047274172619</f>
        <v>-1323.0917183273559</v>
      </c>
      <c r="L2248">
        <f>-745.1510364475 -0.633990465644501 -234.397878122433</f>
        <v>-980.18290503557751</v>
      </c>
      <c r="M2248" t="s">
        <v>24522</v>
      </c>
      <c r="N2248">
        <f>-654.654765578786 -195.450172624718 -553.244520633504</f>
        <v>-1403.3494588370081</v>
      </c>
      <c r="O2248">
        <f>-582.338874916955 -310.756270666319 -533.897868373699</f>
        <v>-1426.9930139569728</v>
      </c>
      <c r="P2248">
        <f>-557.208175466649 -368.5058032313 -246.452708926628</f>
        <v>-1172.166687624577</v>
      </c>
      <c r="Q2248">
        <f>-456.92058984473 -156.338898691791 -301.02795589555</f>
        <v>-914.28744443207097</v>
      </c>
      <c r="R2248">
        <f>-670.505140874642 -71.3072438702055 -99.0902667954781</f>
        <v>-840.90265154032568</v>
      </c>
      <c r="S2248" t="s">
        <v>24523</v>
      </c>
      <c r="T2248" t="s">
        <v>24524</v>
      </c>
      <c r="U2248" t="s">
        <v>24525</v>
      </c>
      <c r="V2248">
        <f>-564.565702334994 -225.462313661201 -93.2196847616075</f>
        <v>-883.24770075780236</v>
      </c>
      <c r="W2248" t="s">
        <v>24526</v>
      </c>
      <c r="X2248" t="s">
        <v>24527</v>
      </c>
      <c r="Y2248" t="s">
        <v>24528</v>
      </c>
    </row>
    <row r="2249" spans="1:25" x14ac:dyDescent="0.3">
      <c r="A2249">
        <v>112400</v>
      </c>
      <c r="B2249" t="s">
        <v>24529</v>
      </c>
      <c r="C2249">
        <f>-617.310411216911 -147.456107502194 -95.2678064297456</f>
        <v>-860.0343251488506</v>
      </c>
      <c r="D2249">
        <f>-641.064478797843 -167.964225394375 -206.763979226337</f>
        <v>-1015.792683418555</v>
      </c>
      <c r="E2249">
        <f>-653.494726133254 -174.887145045893 -304.356163086783</f>
        <v>-1132.7380342659299</v>
      </c>
      <c r="F2249">
        <f>-661.981461729886 -177.20231398852 -393.017447381749</f>
        <v>-1232.2012231001549</v>
      </c>
      <c r="G2249">
        <f>-667.390218688135 -175.388306154978 -481.93156014237</f>
        <v>-1324.710084985483</v>
      </c>
      <c r="H2249">
        <f>-671.694260093122 -168.536209092125 -606.25103148462</f>
        <v>-1446.4815006698668</v>
      </c>
      <c r="I2249">
        <f>-652.432528752342 -149.441177745468 -684.796520890134</f>
        <v>-1486.6702273879441</v>
      </c>
      <c r="J2249">
        <f>-684.710684752266 -148.265584206716 -549.744393854235</f>
        <v>-1382.7206628132171</v>
      </c>
      <c r="K2249">
        <f>-760.553055433503 -36.0951167469316 -526.039654067736</f>
        <v>-1322.6878262481705</v>
      </c>
      <c r="L2249" t="s">
        <v>24530</v>
      </c>
      <c r="M2249" t="s">
        <v>24531</v>
      </c>
      <c r="N2249">
        <f>-654.88995235377 -194.837381264744 -553.343753351348</f>
        <v>-1403.0710869698619</v>
      </c>
      <c r="O2249">
        <f>-582.491923541158 -310.098284926801 -534.113603344129</f>
        <v>-1426.7038118120881</v>
      </c>
      <c r="P2249">
        <f>-556.729083066903 -367.631600159581 -246.681149075005</f>
        <v>-1171.041832301489</v>
      </c>
      <c r="Q2249">
        <f>-456.462366144558 -155.550542087055 -301.627201122148</f>
        <v>-913.64010935376098</v>
      </c>
      <c r="R2249">
        <f>-670.491359326178 -70.5661376869155 -99.2569850497832</f>
        <v>-840.31448206287666</v>
      </c>
      <c r="S2249" t="s">
        <v>24532</v>
      </c>
      <c r="T2249" t="s">
        <v>24533</v>
      </c>
      <c r="U2249" t="s">
        <v>24534</v>
      </c>
      <c r="V2249">
        <f>-564.329980339067 -224.67227212195 -93.3105590611705</f>
        <v>-882.31281152218742</v>
      </c>
      <c r="W2249" t="s">
        <v>24535</v>
      </c>
      <c r="X2249" t="s">
        <v>24536</v>
      </c>
      <c r="Y2249" t="s">
        <v>24537</v>
      </c>
    </row>
    <row r="2250" spans="1:25" x14ac:dyDescent="0.3">
      <c r="A2250">
        <v>112450</v>
      </c>
      <c r="B2250" t="s">
        <v>24538</v>
      </c>
      <c r="C2250">
        <f>-617.276665467611 -147.225219085196 -95.3303366942225</f>
        <v>-859.83222124702957</v>
      </c>
      <c r="D2250">
        <f>-641.018028711192 -167.77758534746 -206.820985965129</f>
        <v>-1015.616600023781</v>
      </c>
      <c r="E2250">
        <f>-653.44837161062 -174.752681541195 -304.4094491186</f>
        <v>-1132.6105022704151</v>
      </c>
      <c r="F2250">
        <f>-661.939262993117 -177.121040374423 -393.069045355162</f>
        <v>-1232.1293487227019</v>
      </c>
      <c r="G2250">
        <f>-667.355675701046 -175.366504263494 -481.98376021092</f>
        <v>-1324.70594017546</v>
      </c>
      <c r="H2250">
        <f>-671.674025525831 -168.604263296531 -606.307746684264</f>
        <v>-1446.5860355066261</v>
      </c>
      <c r="I2250">
        <f>-652.466448626992 -149.522619047104 -684.869710708032</f>
        <v>-1486.8587783821281</v>
      </c>
      <c r="J2250">
        <f>-684.675036184139 -148.287177585263 -549.814389078688</f>
        <v>-1382.7766028480901</v>
      </c>
      <c r="K2250">
        <f>-760.381057681867 -36.014572968046 -526.19192629576</f>
        <v>-1322.587556945673</v>
      </c>
      <c r="L2250" t="s">
        <v>24539</v>
      </c>
      <c r="M2250" t="s">
        <v>24540</v>
      </c>
      <c r="N2250">
        <f>-654.872466891227 -194.872898591176 -553.383450519411</f>
        <v>-1403.1288160018139</v>
      </c>
      <c r="O2250">
        <f>-582.479464069101 -310.141024091852 -534.147939163086</f>
        <v>-1426.7684273240391</v>
      </c>
      <c r="P2250">
        <f>-556.046093693824 -367.677329166193 -246.776962404204</f>
        <v>-1170.500385264221</v>
      </c>
      <c r="Q2250">
        <f>-455.881730572058 -155.571554652871 -301.814365193352</f>
        <v>-913.26765041828094</v>
      </c>
      <c r="R2250">
        <f>-670.47473712387 -70.2991947283411 -99.3263338380099</f>
        <v>-840.10026569022102</v>
      </c>
      <c r="S2250" t="s">
        <v>24541</v>
      </c>
      <c r="T2250" t="s">
        <v>24542</v>
      </c>
      <c r="U2250" t="s">
        <v>24543</v>
      </c>
      <c r="V2250">
        <f>-564.235039069209 -224.55244958114 -93.324682361971</f>
        <v>-882.11217101232</v>
      </c>
      <c r="W2250" t="s">
        <v>24544</v>
      </c>
      <c r="X2250" t="s">
        <v>24545</v>
      </c>
      <c r="Y2250" t="s">
        <v>24546</v>
      </c>
    </row>
    <row r="2251" spans="1:25" x14ac:dyDescent="0.3">
      <c r="A2251">
        <v>112500</v>
      </c>
      <c r="B2251" t="s">
        <v>24547</v>
      </c>
      <c r="C2251">
        <f>-617.177014387921 -146.985160847326 -95.3751116375328</f>
        <v>-859.53728687277976</v>
      </c>
      <c r="D2251">
        <f>-640.877637605887 -167.538075255836 -206.874379772865</f>
        <v>-1015.2900926345881</v>
      </c>
      <c r="E2251">
        <f>-653.304072393359 -174.616451100403 -304.455815317195</f>
        <v>-1132.3763388109569</v>
      </c>
      <c r="F2251">
        <f>-661.804823698043 -177.119284045698 -393.110928945647</f>
        <v>-1232.0350366893881</v>
      </c>
      <c r="G2251">
        <f>-667.244824757475 -175.540706821926 -482.027366166028</f>
        <v>-1324.8128977454292</v>
      </c>
      <c r="H2251">
        <f>-671.610217287151 -169.067687151765 -606.365129653682</f>
        <v>-1447.043034092598</v>
      </c>
      <c r="I2251">
        <f>-652.458004349191 -150.079775246901 -684.963312873591</f>
        <v>-1487.501092469683</v>
      </c>
      <c r="J2251">
        <f>-684.562386719355 -148.601685459098 -549.914257121739</f>
        <v>-1383.0783293001919</v>
      </c>
      <c r="K2251">
        <f>-760.073834350985 -36.0966865920561 -526.700866530613</f>
        <v>-1322.8713874736541</v>
      </c>
      <c r="L2251" t="s">
        <v>24548</v>
      </c>
      <c r="M2251" t="s">
        <v>24549</v>
      </c>
      <c r="N2251">
        <f>-654.81601498275 -195.230639706554 -553.386219969273</f>
        <v>-1403.432874658577</v>
      </c>
      <c r="O2251">
        <f>-582.544002616567 -310.545831202433 -533.981853530938</f>
        <v>-1427.071687349938</v>
      </c>
      <c r="P2251">
        <f>-555.518627221864 -367.80690554843 -246.611035486366</f>
        <v>-1169.9365682566599</v>
      </c>
      <c r="Q2251">
        <f>-454.954577305432 -156.018590785786 -302.139835812121</f>
        <v>-913.11300390333895</v>
      </c>
      <c r="R2251">
        <f>-670.343765542105 -69.9343970391736 -99.4191113986967</f>
        <v>-839.69727397997531</v>
      </c>
      <c r="S2251" t="s">
        <v>24550</v>
      </c>
      <c r="T2251" t="s">
        <v>24551</v>
      </c>
      <c r="U2251" t="s">
        <v>24552</v>
      </c>
      <c r="V2251">
        <f>-564.193834457778 -224.330735858796 -93.3481513121764</f>
        <v>-881.87272162875036</v>
      </c>
      <c r="W2251" t="s">
        <v>24553</v>
      </c>
      <c r="X2251" t="s">
        <v>24554</v>
      </c>
      <c r="Y2251" t="s">
        <v>24555</v>
      </c>
    </row>
    <row r="2252" spans="1:25" x14ac:dyDescent="0.3">
      <c r="A2252">
        <v>112550</v>
      </c>
      <c r="B2252" t="s">
        <v>24556</v>
      </c>
      <c r="C2252">
        <f>-617.552543669157 -146.839667157118 -95.3898555860665</f>
        <v>-859.78206641234146</v>
      </c>
      <c r="D2252">
        <f>-641.14480075539 -167.271953674458 -206.934219979696</f>
        <v>-1015.3509744095439</v>
      </c>
      <c r="E2252">
        <f>-653.565323988119 -174.382151645902 -304.513985609625</f>
        <v>-1132.461461243646</v>
      </c>
      <c r="F2252">
        <f>-662.099916682503 -176.967016599695 -393.163470530455</f>
        <v>-1232.2304038126531</v>
      </c>
      <c r="G2252">
        <f>-667.614363851761 -175.522929334435 -482.077810838386</f>
        <v>-1325.2151040245822</v>
      </c>
      <c r="H2252">
        <f>-672.128132783655 -169.291456316872 -606.422575811277</f>
        <v>-1447.842164911804</v>
      </c>
      <c r="I2252">
        <f>-652.985792209491 -150.411852043292 -685.049170595844</f>
        <v>-1488.4468148486271</v>
      </c>
      <c r="J2252">
        <f>-685.004379751411 -148.710301238575 -549.996227607579</f>
        <v>-1383.7109085975649</v>
      </c>
      <c r="K2252">
        <f>-760.48995987579 -36.119240888806 -527.135524318933</f>
        <v>-1323.7447250835289</v>
      </c>
      <c r="L2252" t="s">
        <v>24557</v>
      </c>
      <c r="M2252" t="s">
        <v>24558</v>
      </c>
      <c r="N2252">
        <f>-655.279353230827 -195.356951100842 -553.412886357915</f>
        <v>-1404.0491906895841</v>
      </c>
      <c r="O2252">
        <f>-583.071680133529 -310.703410050787 -533.895667576545</f>
        <v>-1427.6707577608609</v>
      </c>
      <c r="P2252">
        <f>-556.240555880713 -367.415729961533 -246.397914215619</f>
        <v>-1170.054200057865</v>
      </c>
      <c r="Q2252">
        <f>-455.016513619373 -156.08759265882 -302.478216541938</f>
        <v>-913.58232282013091</v>
      </c>
      <c r="R2252">
        <f>-670.649205460468 -69.6253206009803 -99.4795791018701</f>
        <v>-839.7541051633184</v>
      </c>
      <c r="S2252" t="s">
        <v>24559</v>
      </c>
      <c r="T2252" t="s">
        <v>24560</v>
      </c>
      <c r="U2252" t="s">
        <v>24561</v>
      </c>
      <c r="V2252">
        <f>-564.708813676634 -224.27150417234 -93.3512127136138</f>
        <v>-882.33153056258777</v>
      </c>
      <c r="W2252" t="s">
        <v>24562</v>
      </c>
      <c r="X2252" t="s">
        <v>24563</v>
      </c>
      <c r="Y2252" t="s">
        <v>24564</v>
      </c>
    </row>
    <row r="2253" spans="1:25" x14ac:dyDescent="0.3">
      <c r="A2253">
        <v>112600</v>
      </c>
      <c r="B2253" t="s">
        <v>24565</v>
      </c>
      <c r="C2253">
        <f>-617.846084186592 -146.83127031071 -95.4364345052949</f>
        <v>-860.11378900259683</v>
      </c>
      <c r="D2253">
        <f>-641.386726333728 -167.230683818157 -206.997639060614</f>
        <v>-1015.615049212499</v>
      </c>
      <c r="E2253">
        <f>-653.837934480373 -174.371303190395 -304.57143567063</f>
        <v>-1132.7806733413979</v>
      </c>
      <c r="F2253">
        <f>-662.432026300031 -177.006721898476 -393.213697618694</f>
        <v>-1232.6524458172012</v>
      </c>
      <c r="G2253">
        <f>-668.038386239116 -175.635911614479 -482.123281776032</f>
        <v>-1325.7975796296271</v>
      </c>
      <c r="H2253">
        <f>-672.714902414299 -169.530319366185 -606.468328335077</f>
        <v>-1448.713550115561</v>
      </c>
      <c r="I2253">
        <f>-653.562045788275 -150.708534253551 -685.106219380293</f>
        <v>-1489.3767994221189</v>
      </c>
      <c r="J2253">
        <f>-685.5148926142 -148.890539762709 -550.046075885969</f>
        <v>-1384.451508262878</v>
      </c>
      <c r="K2253">
        <f>-760.967702173809 -36.2611919918195 -527.307189898328</f>
        <v>-1324.5360840639564</v>
      </c>
      <c r="L2253" t="s">
        <v>24566</v>
      </c>
      <c r="M2253" t="s">
        <v>24567</v>
      </c>
      <c r="N2253">
        <f>-655.799108533782 -195.54364548092 -553.454312305507</f>
        <v>-1404.7970663202091</v>
      </c>
      <c r="O2253">
        <f>-583.57552809411 -310.875292882646 -533.948274166054</f>
        <v>-1428.39909514281</v>
      </c>
      <c r="P2253">
        <f>-556.617055646564 -367.481860489912 -246.441546582114</f>
        <v>-1170.5404627185899</v>
      </c>
      <c r="Q2253">
        <f>-455.435204337427 -156.154889574762 -302.602207554351</f>
        <v>-914.19230146654002</v>
      </c>
      <c r="R2253">
        <f>-670.914212749859 -69.5858049200718 -99.5400106570002</f>
        <v>-840.04002832693095</v>
      </c>
      <c r="S2253" t="s">
        <v>24568</v>
      </c>
      <c r="T2253" t="s">
        <v>24569</v>
      </c>
      <c r="U2253" t="s">
        <v>24570</v>
      </c>
      <c r="V2253">
        <f>-565.009367910078 -224.393283286189 -93.3610132173247</f>
        <v>-882.76366441359175</v>
      </c>
      <c r="W2253" t="s">
        <v>24571</v>
      </c>
      <c r="X2253" t="s">
        <v>24572</v>
      </c>
      <c r="Y2253" t="s">
        <v>24573</v>
      </c>
    </row>
    <row r="2254" spans="1:25" x14ac:dyDescent="0.3">
      <c r="A2254">
        <v>112650</v>
      </c>
      <c r="B2254" t="s">
        <v>24565</v>
      </c>
      <c r="C2254">
        <f>-617.846084186592 -146.83127031071 -95.4364345052949</f>
        <v>-860.11378900259683</v>
      </c>
      <c r="D2254">
        <f>-641.386726333728 -167.230683818157 -206.997639060614</f>
        <v>-1015.615049212499</v>
      </c>
      <c r="E2254">
        <f>-653.837934480373 -174.371303190395 -304.57143567063</f>
        <v>-1132.7806733413979</v>
      </c>
      <c r="F2254">
        <f>-662.432026300031 -177.006721898476 -393.213697618694</f>
        <v>-1232.6524458172012</v>
      </c>
      <c r="G2254">
        <f>-668.038386239116 -175.635911614479 -482.123281776032</f>
        <v>-1325.7975796296271</v>
      </c>
      <c r="H2254">
        <f>-672.714902414299 -169.530319366185 -606.468328335077</f>
        <v>-1448.713550115561</v>
      </c>
      <c r="I2254">
        <f>-653.562045788275 -150.708534253551 -685.106219380293</f>
        <v>-1489.3767994221189</v>
      </c>
      <c r="J2254">
        <f>-685.5148926142 -148.890539762709 -550.046075885969</f>
        <v>-1384.451508262878</v>
      </c>
      <c r="K2254">
        <f>-760.967702173809 -36.2611919918195 -527.307189898328</f>
        <v>-1324.5360840639564</v>
      </c>
      <c r="L2254" t="s">
        <v>24566</v>
      </c>
      <c r="M2254" t="s">
        <v>24567</v>
      </c>
      <c r="N2254">
        <f>-655.799108533782 -195.54364548092 -553.454312305507</f>
        <v>-1404.7970663202091</v>
      </c>
      <c r="O2254">
        <f>-583.57552809411 -310.875292882646 -533.948274166054</f>
        <v>-1428.39909514281</v>
      </c>
      <c r="P2254">
        <f>-556.617055646564 -367.481860489912 -246.441546582114</f>
        <v>-1170.5404627185899</v>
      </c>
      <c r="Q2254">
        <f>-455.435204337427 -156.154889574762 -302.602207554351</f>
        <v>-914.19230146654002</v>
      </c>
      <c r="R2254">
        <f>-670.914212749859 -69.5858049200718 -99.5400106570002</f>
        <v>-840.04002832693095</v>
      </c>
      <c r="S2254" t="s">
        <v>24568</v>
      </c>
      <c r="T2254" t="s">
        <v>24569</v>
      </c>
      <c r="U2254" t="s">
        <v>24570</v>
      </c>
      <c r="V2254">
        <f>-565.009367910078 -224.393283286189 -93.3610132173247</f>
        <v>-882.76366441359175</v>
      </c>
      <c r="W2254" t="s">
        <v>24571</v>
      </c>
      <c r="X2254" t="s">
        <v>24572</v>
      </c>
      <c r="Y2254" t="s">
        <v>24573</v>
      </c>
    </row>
    <row r="2255" spans="1:25" x14ac:dyDescent="0.3">
      <c r="A2255">
        <v>112700</v>
      </c>
      <c r="B2255" t="s">
        <v>24574</v>
      </c>
      <c r="C2255">
        <f>-618.172597476717 -146.966759391684 -95.4862904763685</f>
        <v>-860.6256473447695</v>
      </c>
      <c r="D2255">
        <f>-641.679661482421 -167.371718176081 -207.053725662011</f>
        <v>-1016.1051053205131</v>
      </c>
      <c r="E2255">
        <f>-654.1752373967 -174.554035232527 -304.61872278061</f>
        <v>-1133.347995409837</v>
      </c>
      <c r="F2255">
        <f>-662.839150868833 -177.24222599916 -393.252491639399</f>
        <v>-1233.333868507392</v>
      </c>
      <c r="G2255">
        <f>-668.544939805444 -175.939471595592 -482.15681792563</f>
        <v>-1326.6412293266658</v>
      </c>
      <c r="H2255">
        <f>-673.39143272407 -169.944688563286 -606.50067302898</f>
        <v>-1449.8367943163362</v>
      </c>
      <c r="I2255">
        <f>-654.204727631379 -151.156936690012 -685.138549453584</f>
        <v>-1490.500213774975</v>
      </c>
      <c r="J2255">
        <f>-686.105026004644 -149.248654581424 -550.079391723534</f>
        <v>-1385.4330723096018</v>
      </c>
      <c r="K2255">
        <f>-761.50197188145 -36.5452600228277 -527.475365780543</f>
        <v>-1325.5225976848208</v>
      </c>
      <c r="L2255" t="s">
        <v>24575</v>
      </c>
      <c r="M2255" t="s">
        <v>24576</v>
      </c>
      <c r="N2255">
        <f>-656.412407331649 -195.916693452209 -553.486698497403</f>
        <v>-1405.815799281261</v>
      </c>
      <c r="O2255">
        <f>-584.218680971742 -311.266150805762 -534.002030278873</f>
        <v>-1429.486862056377</v>
      </c>
      <c r="P2255">
        <f>-556.896980624732 -367.882534105687 -246.531458300456</f>
        <v>-1171.3109730308749</v>
      </c>
      <c r="Q2255">
        <f>-455.83517094311 -156.499948069088 -302.699179082328</f>
        <v>-915.03429809452598</v>
      </c>
      <c r="R2255">
        <f>-671.244136019795 -69.6464856153444 -99.614177227132</f>
        <v>-840.5047988622714</v>
      </c>
      <c r="S2255" t="s">
        <v>24577</v>
      </c>
      <c r="T2255" t="s">
        <v>24578</v>
      </c>
      <c r="U2255" t="s">
        <v>24579</v>
      </c>
      <c r="V2255">
        <f>-565.331898823105 -224.647676690777 -93.364486951815</f>
        <v>-883.34406246569699</v>
      </c>
      <c r="W2255" t="s">
        <v>24580</v>
      </c>
      <c r="X2255" t="s">
        <v>24581</v>
      </c>
      <c r="Y2255" t="s">
        <v>24582</v>
      </c>
    </row>
    <row r="2256" spans="1:25" x14ac:dyDescent="0.3">
      <c r="A2256">
        <v>112750</v>
      </c>
      <c r="B2256" t="s">
        <v>24583</v>
      </c>
      <c r="C2256">
        <f>-619.106545873309 -147.46291850296 -95.4869339653025</f>
        <v>-862.05639834157148</v>
      </c>
      <c r="D2256">
        <f>-642.534326006329 -167.898637036872 -207.065368927844</f>
        <v>-1017.498331971045</v>
      </c>
      <c r="E2256">
        <f>-655.088338916595 -175.213774850451 -304.613107911509</f>
        <v>-1134.9152216785551</v>
      </c>
      <c r="F2256">
        <f>-663.855410123947 -178.066423647428 -393.231437805591</f>
        <v>-1235.1532715769658</v>
      </c>
      <c r="G2256">
        <f>-669.714264139392 -176.972900774236 -482.128728887456</f>
        <v>-1328.815893801084</v>
      </c>
      <c r="H2256">
        <f>-674.82619597425 -171.317832462135 -606.477985768719</f>
        <v>-1452.6220142051041</v>
      </c>
      <c r="I2256">
        <f>-655.4225373262 -152.535260619118 -685.063692226934</f>
        <v>-1493.021490172252</v>
      </c>
      <c r="J2256">
        <f>-687.406754754765 -150.459663581146 -550.086570610944</f>
        <v>-1387.9529889468549</v>
      </c>
      <c r="K2256">
        <f>-762.736360356085 -37.5795293845338 -528.157787610536</f>
        <v>-1328.4736773511549</v>
      </c>
      <c r="L2256" t="s">
        <v>24584</v>
      </c>
      <c r="M2256" t="s">
        <v>24585</v>
      </c>
      <c r="N2256">
        <f>-657.746672511986 -197.153018094313 -553.429321354868</f>
        <v>-1408.329011961167</v>
      </c>
      <c r="O2256">
        <f>-585.581813523056 -312.530554585531 -533.970571907019</f>
        <v>-1432.0829400156058</v>
      </c>
      <c r="P2256">
        <f>-557.878952480928 -369.171076038178 -246.541197572807</f>
        <v>-1173.5912260919131</v>
      </c>
      <c r="Q2256">
        <f>-457.141022878994 -157.761586646625 -303.187226950024</f>
        <v>-918.0898364756431</v>
      </c>
      <c r="R2256">
        <f>-672.236983596117 -70.006700633757 -99.6727122952054</f>
        <v>-841.91639652507945</v>
      </c>
      <c r="S2256" t="s">
        <v>24586</v>
      </c>
      <c r="T2256" t="s">
        <v>24587</v>
      </c>
      <c r="U2256" t="s">
        <v>24588</v>
      </c>
      <c r="V2256">
        <f>-566.125096994159 -225.240554900822 -93.3259015195848</f>
        <v>-884.69155341456576</v>
      </c>
      <c r="W2256" t="s">
        <v>24589</v>
      </c>
      <c r="X2256" t="s">
        <v>24590</v>
      </c>
      <c r="Y2256" t="s">
        <v>24591</v>
      </c>
    </row>
    <row r="2257" spans="1:25" x14ac:dyDescent="0.3">
      <c r="A2257">
        <v>112800</v>
      </c>
      <c r="B2257" t="s">
        <v>24592</v>
      </c>
      <c r="C2257">
        <f>-619.731934102177 -147.738236752544 -95.4078994052071</f>
        <v>-862.87807025992811</v>
      </c>
      <c r="D2257">
        <f>-643.174716502615 -168.199125878757 -206.978475717874</f>
        <v>-1018.3523180992461</v>
      </c>
      <c r="E2257">
        <f>-655.792547489492 -175.674932987632 -304.505767252006</f>
        <v>-1135.97324772913</v>
      </c>
      <c r="F2257">
        <f>-664.637657651214 -178.729970358458 -393.109831737171</f>
        <v>-1236.4774597468431</v>
      </c>
      <c r="G2257">
        <f>-670.594484877153 -177.896555524279 -482.003336457622</f>
        <v>-1330.494376859054</v>
      </c>
      <c r="H2257">
        <f>-675.863889874465 -172.665384520824 -606.364355509188</f>
        <v>-1454.8936299044772</v>
      </c>
      <c r="I2257">
        <f>-656.208445967901 -153.936090836546 -684.900378548792</f>
        <v>-1495.044915353239</v>
      </c>
      <c r="J2257">
        <f>-688.361302711279 -151.6076149893 -550.028857745879</f>
        <v>-1389.997775446458</v>
      </c>
      <c r="K2257">
        <f>-763.615773295208 -38.5773607494339 -528.608529474119</f>
        <v>-1330.801663518761</v>
      </c>
      <c r="L2257" t="s">
        <v>24593</v>
      </c>
      <c r="M2257" t="s">
        <v>24594</v>
      </c>
      <c r="N2257">
        <f>-658.728924241259 -198.327134948903 -553.249653253434</f>
        <v>-1410.3057124435959</v>
      </c>
      <c r="O2257">
        <f>-586.63159375083 -313.73538054364 -533.694692472304</f>
        <v>-1434.0616667667741</v>
      </c>
      <c r="P2257">
        <f>-558.412007957304 -370.002081662322 -246.242283105171</f>
        <v>-1174.6563727247969</v>
      </c>
      <c r="Q2257">
        <f>-457.530381688337 -158.826436584431 -303.501218724637</f>
        <v>-919.85803699740495</v>
      </c>
      <c r="R2257">
        <f>-672.975079272699 -70.2132726051606 -99.5708301805314</f>
        <v>-842.75918205839093</v>
      </c>
      <c r="S2257" t="s">
        <v>24595</v>
      </c>
      <c r="T2257" t="s">
        <v>24596</v>
      </c>
      <c r="U2257" t="s">
        <v>24597</v>
      </c>
      <c r="V2257">
        <f>-566.694209196352 -225.600297623938 -93.281838388282</f>
        <v>-885.57634520857198</v>
      </c>
      <c r="W2257" t="s">
        <v>24598</v>
      </c>
      <c r="X2257" t="s">
        <v>24599</v>
      </c>
      <c r="Y2257" t="s">
        <v>24600</v>
      </c>
    </row>
    <row r="2258" spans="1:25" x14ac:dyDescent="0.3">
      <c r="A2258">
        <v>112850</v>
      </c>
      <c r="B2258" t="s">
        <v>24601</v>
      </c>
      <c r="C2258">
        <f>-620.061899790794 -147.774730931025 -95.3941957803048</f>
        <v>-863.23082650212382</v>
      </c>
      <c r="D2258">
        <f>-643.553977033237 -168.267272051402 -206.948653714711</f>
        <v>-1018.7699027993499</v>
      </c>
      <c r="E2258">
        <f>-656.229817970986 -175.833475893305 -304.461448236209</f>
        <v>-1136.5247421005001</v>
      </c>
      <c r="F2258">
        <f>-665.133199271349 -178.996307308055 -393.055835665272</f>
        <v>-1237.1853422446761</v>
      </c>
      <c r="G2258">
        <f>-671.153684283183 -178.297373087501 -481.94615449828</f>
        <v>-1331.397211868964</v>
      </c>
      <c r="H2258">
        <f>-676.517203075566 -173.282025022139 -606.312178374884</f>
        <v>-1456.1114064725889</v>
      </c>
      <c r="I2258">
        <f>-656.690404245679 -154.607874905729 -684.818265536195</f>
        <v>-1496.116544687603</v>
      </c>
      <c r="J2258">
        <f>-688.960055002448 -152.118910828034 -550.004006677488</f>
        <v>-1391.08297250797</v>
      </c>
      <c r="K2258">
        <f>-764.126617177946 -38.99027252412 -528.773767646794</f>
        <v>-1331.8906573488598</v>
      </c>
      <c r="L2258" t="s">
        <v>24602</v>
      </c>
      <c r="M2258" t="s">
        <v>24603</v>
      </c>
      <c r="N2258">
        <f>-659.353958271077 -198.859114780549 -553.165709386991</f>
        <v>-1411.378782438617</v>
      </c>
      <c r="O2258">
        <f>-587.31459037444 -314.293916672204 -533.55126071239</f>
        <v>-1435.1597677590339</v>
      </c>
      <c r="P2258">
        <f>-558.784462627984 -370.401888156991 -246.098426928045</f>
        <v>-1175.28477771302</v>
      </c>
      <c r="Q2258">
        <f>-457.612255389701 -159.456139430814 -303.691304294232</f>
        <v>-920.75969911474704</v>
      </c>
      <c r="R2258">
        <f>-673.329119406045 -70.2877223618935 -99.5447289945751</f>
        <v>-843.16157076251363</v>
      </c>
      <c r="S2258" t="s">
        <v>24604</v>
      </c>
      <c r="T2258" t="s">
        <v>24605</v>
      </c>
      <c r="U2258" t="s">
        <v>24606</v>
      </c>
      <c r="V2258">
        <f>-566.990534228621 -225.630065089321 -93.2670919326363</f>
        <v>-885.8876912505782</v>
      </c>
      <c r="W2258" t="s">
        <v>24607</v>
      </c>
      <c r="X2258" t="s">
        <v>24608</v>
      </c>
      <c r="Y2258" t="s">
        <v>24609</v>
      </c>
    </row>
    <row r="2259" spans="1:25" x14ac:dyDescent="0.3">
      <c r="A2259">
        <v>112900</v>
      </c>
      <c r="B2259" t="s">
        <v>24610</v>
      </c>
      <c r="C2259">
        <f>-620.666330769639 -147.879048380968 -95.3621594346748</f>
        <v>-863.90753858528183</v>
      </c>
      <c r="D2259">
        <f>-644.272953515561 -168.514925388928 -206.866046861283</f>
        <v>-1019.6539257657719</v>
      </c>
      <c r="E2259">
        <f>-657.134657621146 -176.315963309013 -304.33594657382</f>
        <v>-1137.7865675039789</v>
      </c>
      <c r="F2259">
        <f>-666.239655976477 -179.737715228183 -392.90022936334</f>
        <v>-1238.8776005679999</v>
      </c>
      <c r="G2259">
        <f>-672.49419965103 -179.345065123964 -481.776358708974</f>
        <v>-1333.615623483968</v>
      </c>
      <c r="H2259">
        <f>-678.217442427614 -174.808227714012 -606.144644747939</f>
        <v>-1459.1703148895649</v>
      </c>
      <c r="I2259">
        <f>-658.03880326816 -156.325161566617 -684.606312127602</f>
        <v>-1498.9702769623791</v>
      </c>
      <c r="J2259">
        <f>-690.463882690812 -153.407339516759 -549.88335147377</f>
        <v>-1393.7545736813408</v>
      </c>
      <c r="K2259">
        <f>-765.409450925288 -40.0993000839915 -528.898335748091</f>
        <v>-1334.4070867573705</v>
      </c>
      <c r="L2259" t="s">
        <v>24611</v>
      </c>
      <c r="M2259" t="s">
        <v>24612</v>
      </c>
      <c r="N2259">
        <f>-660.933979507886 -200.202040010676 -552.949303360551</f>
        <v>-1414.0853228791129</v>
      </c>
      <c r="O2259">
        <f>-589.12507410437 -315.776977179415 -533.308596823387</f>
        <v>-1438.2106481071719</v>
      </c>
      <c r="P2259">
        <f>-560.179782725342 -371.586579706695 -245.839066665446</f>
        <v>-1177.605429097483</v>
      </c>
      <c r="Q2259">
        <f>-457.581747489607 -161.604768523985 -304.423831853351</f>
        <v>-923.6103478669429</v>
      </c>
      <c r="R2259">
        <f>-674.042460547714 -70.3656352673445 -99.5293860893559</f>
        <v>-843.93748190441431</v>
      </c>
      <c r="S2259" t="s">
        <v>24613</v>
      </c>
      <c r="T2259" t="s">
        <v>24614</v>
      </c>
      <c r="U2259" t="s">
        <v>24615</v>
      </c>
      <c r="V2259">
        <f>-567.469874049806 -225.742242889004 -93.2290325669538</f>
        <v>-886.44114950576375</v>
      </c>
      <c r="W2259" t="s">
        <v>24616</v>
      </c>
      <c r="X2259" t="s">
        <v>24617</v>
      </c>
      <c r="Y2259" t="s">
        <v>24618</v>
      </c>
    </row>
    <row r="2260" spans="1:25" x14ac:dyDescent="0.3">
      <c r="A2260">
        <v>112950</v>
      </c>
      <c r="B2260" t="s">
        <v>24619</v>
      </c>
      <c r="C2260">
        <f>-620.908827306218 -147.889000459797 -95.3475783565917</f>
        <v>-864.14540612260669</v>
      </c>
      <c r="D2260">
        <f>-644.596721671666 -168.609857536856 -206.818449733704</f>
        <v>-1020.0250289422261</v>
      </c>
      <c r="E2260">
        <f>-657.577504265487 -176.536384166699 -304.262431374928</f>
        <v>-1138.376319807114</v>
      </c>
      <c r="F2260">
        <f>-666.808757517437 -180.093695308626 -392.808363444673</f>
        <v>-1239.7108162707359</v>
      </c>
      <c r="G2260">
        <f>-673.207398865779 -179.859325495785 -481.674738420941</f>
        <v>-1334.7414627825051</v>
      </c>
      <c r="H2260">
        <f>-679.149896316085 -175.567750426498 -606.041471697665</f>
        <v>-1460.7591184402481</v>
      </c>
      <c r="I2260">
        <f>-658.779707900543 -157.206623607354 -684.482174881033</f>
        <v>-1500.4685063889301</v>
      </c>
      <c r="J2260">
        <f>-691.278181845306 -154.043863388114 -549.801360549317</f>
        <v>-1395.1234057827369</v>
      </c>
      <c r="K2260">
        <f>-766.098365871754 -40.6355984045438 -528.880720111513</f>
        <v>-1335.6146843878109</v>
      </c>
      <c r="L2260" t="s">
        <v>24620</v>
      </c>
      <c r="M2260" t="s">
        <v>24621</v>
      </c>
      <c r="N2260">
        <f>-661.791668930209 -200.86865855508 -552.826085805463</f>
        <v>-1415.4864132907519</v>
      </c>
      <c r="O2260">
        <f>-590.125502469833 -316.535554379131 -533.191464448302</f>
        <v>-1439.8525212972659</v>
      </c>
      <c r="P2260">
        <f>-561.036527806745 -372.483770645341 -245.763524312237</f>
        <v>-1179.2838227643228</v>
      </c>
      <c r="Q2260">
        <f>-457.782593576155 -162.973376326448 -304.881046916409</f>
        <v>-925.63701681901205</v>
      </c>
      <c r="R2260">
        <f>-674.327517689072 -70.3867109934013 -99.5151844557174</f>
        <v>-844.22941313819069</v>
      </c>
      <c r="S2260" t="s">
        <v>24622</v>
      </c>
      <c r="T2260" t="s">
        <v>24623</v>
      </c>
      <c r="U2260" t="s">
        <v>24624</v>
      </c>
      <c r="V2260">
        <f>-567.668767919981 -225.722641425165 -93.2137641935341</f>
        <v>-886.60517353867999</v>
      </c>
      <c r="W2260" t="s">
        <v>24625</v>
      </c>
      <c r="X2260" t="s">
        <v>24626</v>
      </c>
      <c r="Y2260" t="s">
        <v>24627</v>
      </c>
    </row>
    <row r="2261" spans="1:25" x14ac:dyDescent="0.3">
      <c r="A2261">
        <v>113000</v>
      </c>
      <c r="B2261" t="s">
        <v>24628</v>
      </c>
      <c r="C2261">
        <f>-621.397750485697 -148.013055859541 -95.3008302096865</f>
        <v>-864.71163655492444</v>
      </c>
      <c r="D2261">
        <f>-645.302504742249 -168.876183629008 -206.698704975323</f>
        <v>-1020.87739334658</v>
      </c>
      <c r="E2261">
        <f>-658.515025261303 -177.045766443613 -304.091634689785</f>
        <v>-1139.652426394701</v>
      </c>
      <c r="F2261">
        <f>-667.971703085486 -180.873455083295 -392.602318557565</f>
        <v>-1241.4474767263459</v>
      </c>
      <c r="G2261">
        <f>-674.609752455073 -180.96192537959 -481.451469335105</f>
        <v>-1337.023147169768</v>
      </c>
      <c r="H2261">
        <f>-680.899416455547 -177.17729438497 -605.817521454055</f>
        <v>-1463.894232294572</v>
      </c>
      <c r="I2261">
        <f>-660.12501952045 -159.074448302656 -684.212405953701</f>
        <v>-1503.4118737768072</v>
      </c>
      <c r="J2261">
        <f>-692.810037438366 -155.386047407364 -549.634061934158</f>
        <v>-1397.8301467798879</v>
      </c>
      <c r="K2261">
        <f>-767.32433545524 -41.7447103703164 -528.888390859499</f>
        <v>-1337.9574366850554</v>
      </c>
      <c r="L2261" t="s">
        <v>24629</v>
      </c>
      <c r="M2261" t="s">
        <v>24630</v>
      </c>
      <c r="N2261">
        <f>-663.453257020836 -202.299402794087 -552.546405362263</f>
        <v>-1418.2990651771861</v>
      </c>
      <c r="O2261">
        <f>-592.127051683461 -318.168939676701 -532.941631207784</f>
        <v>-1443.2376225679459</v>
      </c>
      <c r="P2261">
        <f>-562.857431435957 -375.439310491697 -245.79256855728</f>
        <v>-1184.089310484934</v>
      </c>
      <c r="Q2261">
        <f>-459.123728319521 -166.173303214813 -304.935917731358</f>
        <v>-930.23294926569201</v>
      </c>
      <c r="R2261">
        <f>-674.865183494081 -70.4641690203094 -99.4557747306008</f>
        <v>-844.78512724499114</v>
      </c>
      <c r="S2261" t="s">
        <v>24631</v>
      </c>
      <c r="T2261" t="s">
        <v>24632</v>
      </c>
      <c r="U2261" t="s">
        <v>24633</v>
      </c>
      <c r="V2261">
        <f>-568.128643270544 -225.990399390801 -93.168005116028</f>
        <v>-887.287047777373</v>
      </c>
      <c r="W2261" t="s">
        <v>24634</v>
      </c>
      <c r="X2261" t="s">
        <v>24635</v>
      </c>
      <c r="Y2261" t="s">
        <v>24636</v>
      </c>
    </row>
    <row r="2262" spans="1:25" x14ac:dyDescent="0.3">
      <c r="A2262">
        <v>113050</v>
      </c>
      <c r="B2262" t="s">
        <v>24637</v>
      </c>
      <c r="C2262">
        <f>-621.660487061879 -148.191898663174 -95.276348380993</f>
        <v>-865.12873410604607</v>
      </c>
      <c r="D2262">
        <f>-645.67241430263 -169.132087613574 -206.63689101258</f>
        <v>-1021.441392928784</v>
      </c>
      <c r="E2262">
        <f>-658.996918027661 -177.386580093936 -304.00709610505</f>
        <v>-1140.390594226647</v>
      </c>
      <c r="F2262">
        <f>-668.561262687807 -181.299327236513 -392.502655592762</f>
        <v>-1242.3632455170821</v>
      </c>
      <c r="G2262">
        <f>-675.311905479298 -181.482088509001 -481.343248784116</f>
        <v>-1338.137242772415</v>
      </c>
      <c r="H2262">
        <f>-681.763147159959 -177.840042692188 -605.705183586928</f>
        <v>-1465.308373439075</v>
      </c>
      <c r="I2262">
        <f>-660.807655536282 -159.822845775371 -684.071560548245</f>
        <v>-1504.7020618598981</v>
      </c>
      <c r="J2262">
        <f>-693.554994467641 -155.955781950278 -549.532787869047</f>
        <v>-1399.0435642869661</v>
      </c>
      <c r="K2262">
        <f>-767.749650309713 -42.1025313217185 -528.843412401964</f>
        <v>-1338.6955940333955</v>
      </c>
      <c r="L2262" t="s">
        <v>24638</v>
      </c>
      <c r="M2262" t="s">
        <v>24639</v>
      </c>
      <c r="N2262">
        <f>-664.293555257658 -202.929728939237 -552.426514193267</f>
        <v>-1419.6497983901622</v>
      </c>
      <c r="O2262">
        <f>-593.220787816035 -318.970146840987 -532.872246910153</f>
        <v>-1445.063181567175</v>
      </c>
      <c r="P2262">
        <f>-563.872182807519 -377.137894827789 -245.911623014744</f>
        <v>-1186.9217006500521</v>
      </c>
      <c r="Q2262">
        <f>-460.531712298039 -167.499166515481 -304.419998010635</f>
        <v>-932.45087682415499</v>
      </c>
      <c r="R2262">
        <f>-675.146390672031 -70.5370244351466 -99.426392734466</f>
        <v>-845.1098078416436</v>
      </c>
      <c r="S2262" t="s">
        <v>24640</v>
      </c>
      <c r="T2262" t="s">
        <v>24641</v>
      </c>
      <c r="U2262" t="s">
        <v>24642</v>
      </c>
      <c r="V2262">
        <f>-568.387666988179 -226.265619039489 -93.1389788102993</f>
        <v>-887.79226483796742</v>
      </c>
      <c r="W2262" t="s">
        <v>24643</v>
      </c>
      <c r="X2262" t="s">
        <v>24644</v>
      </c>
      <c r="Y2262" t="s">
        <v>24645</v>
      </c>
    </row>
    <row r="2263" spans="1:25" x14ac:dyDescent="0.3">
      <c r="A2263">
        <v>113100</v>
      </c>
      <c r="B2263" t="s">
        <v>24646</v>
      </c>
      <c r="C2263">
        <f>-622.612671159393 -148.53370475564 -95.2767016947295</f>
        <v>-866.42307760976246</v>
      </c>
      <c r="D2263">
        <f>-646.732409138652 -169.50753401128 -206.607547689541</f>
        <v>-1022.8474908394729</v>
      </c>
      <c r="E2263">
        <f>-660.208726255093 -177.79195133316 -303.954367789705</f>
        <v>-1141.955045377958</v>
      </c>
      <c r="F2263">
        <f>-669.93119600453 -181.733405112235 -392.431360905327</f>
        <v>-1244.095962022092</v>
      </c>
      <c r="G2263">
        <f>-676.857752004427 -181.949426935185 -481.258275325825</f>
        <v>-1340.065454265437</v>
      </c>
      <c r="H2263">
        <f>-683.570972310926 -178.359596476608 -605.608192898686</f>
        <v>-1467.5387616862199</v>
      </c>
      <c r="I2263">
        <f>-662.279469812152 -160.476863351824 -683.914606906154</f>
        <v>-1506.67094007013</v>
      </c>
      <c r="J2263">
        <f>-695.117327017578 -156.372711661246 -549.424765791333</f>
        <v>-1400.9148044701569</v>
      </c>
      <c r="K2263">
        <f>-768.379332959244 -41.9587697064517 -528.541336797336</f>
        <v>-1338.8794394630318</v>
      </c>
      <c r="L2263" t="s">
        <v>24647</v>
      </c>
      <c r="M2263" t="s">
        <v>24648</v>
      </c>
      <c r="N2263">
        <f>-666.116298622547 -203.505846733218 -552.351080155844</f>
        <v>-1421.9732255116091</v>
      </c>
      <c r="O2263">
        <f>-595.621275171134 -319.91840333836 -532.900473439075</f>
        <v>-1448.4401519485691</v>
      </c>
      <c r="P2263">
        <f>-566.652969246053 -379.283130220715 -246.146589618349</f>
        <v>-1192.082689085117</v>
      </c>
      <c r="Q2263">
        <f>-464.360906557525 -168.611114218026 -302.754512580117</f>
        <v>-935.72653335566815</v>
      </c>
      <c r="R2263">
        <f>-675.917326776348 -70.5964513342961 -99.4496862039555</f>
        <v>-845.96346431459961</v>
      </c>
      <c r="S2263" t="s">
        <v>24649</v>
      </c>
      <c r="T2263" t="s">
        <v>24650</v>
      </c>
      <c r="U2263" t="s">
        <v>24651</v>
      </c>
      <c r="V2263">
        <f>-569.493277840643 -226.871213727389 -93.0605149853079</f>
        <v>-889.42500655333993</v>
      </c>
      <c r="W2263" t="s">
        <v>24652</v>
      </c>
      <c r="X2263" t="s">
        <v>24653</v>
      </c>
      <c r="Y2263" t="s">
        <v>24654</v>
      </c>
    </row>
    <row r="2264" spans="1:25" x14ac:dyDescent="0.3">
      <c r="A2264">
        <v>113150</v>
      </c>
      <c r="B2264" t="s">
        <v>24655</v>
      </c>
      <c r="C2264">
        <f>-623.283103096128 -148.943655156422 -95.2427175312732</f>
        <v>-867.46947578382321</v>
      </c>
      <c r="D2264">
        <f>-647.373647757671 -169.830543346098 -206.596316112306</f>
        <v>-1023.8005072160751</v>
      </c>
      <c r="E2264">
        <f>-660.84972135099 -178.037698733865 -303.949673740145</f>
        <v>-1142.837093825</v>
      </c>
      <c r="F2264">
        <f>-670.580906012687 -181.908575024908 -392.428818374331</f>
        <v>-1244.918299411926</v>
      </c>
      <c r="G2264">
        <f>-677.523293902347 -182.055027620079 -481.25467866688</f>
        <v>-1340.8330001893059</v>
      </c>
      <c r="H2264">
        <f>-684.265048288392 -178.370328037449 -605.600050457325</f>
        <v>-1468.2354267831661</v>
      </c>
      <c r="I2264">
        <f>-662.823292483359 -160.53059116183 -683.875354699585</f>
        <v>-1507.2292383447739</v>
      </c>
      <c r="J2264">
        <f>-695.709216858299 -156.371389736005 -549.400572710244</f>
        <v>-1401.4811793045478</v>
      </c>
      <c r="K2264">
        <f>-768.400849073258 -41.6181705899164 -528.392507863676</f>
        <v>-1338.4115275268505</v>
      </c>
      <c r="L2264" t="s">
        <v>24656</v>
      </c>
      <c r="M2264" t="s">
        <v>24657</v>
      </c>
      <c r="N2264">
        <f>-666.887393180192 -203.612129822689 -552.363083189368</f>
        <v>-1422.8626061922491</v>
      </c>
      <c r="O2264">
        <f>-596.775771964647 -320.263605167844 -533.00895247162</f>
        <v>-1450.0483296041109</v>
      </c>
      <c r="P2264">
        <f>-567.892726371 -380.305251860868 -246.387313336336</f>
        <v>-1194.585291568204</v>
      </c>
      <c r="Q2264">
        <f>-466.705021379114 -168.875170655378 -302.14762035716</f>
        <v>-937.72781239165204</v>
      </c>
      <c r="R2264">
        <f>-676.45615571345 -70.7982582969838 -99.4138967873794</f>
        <v>-846.66831079781321</v>
      </c>
      <c r="S2264" t="s">
        <v>24658</v>
      </c>
      <c r="T2264" t="s">
        <v>24659</v>
      </c>
      <c r="U2264" t="s">
        <v>24660</v>
      </c>
      <c r="V2264">
        <f>-570.303980495738 -227.508263504204 -93.0138861573041</f>
        <v>-890.8261301572461</v>
      </c>
      <c r="W2264" t="s">
        <v>24661</v>
      </c>
      <c r="X2264" t="s">
        <v>24662</v>
      </c>
      <c r="Y2264" t="s">
        <v>24663</v>
      </c>
    </row>
    <row r="2265" spans="1:25" x14ac:dyDescent="0.3">
      <c r="A2265">
        <v>113200</v>
      </c>
      <c r="B2265" t="s">
        <v>24664</v>
      </c>
      <c r="C2265">
        <f>-624.49606362824 -149.627988887455 -95.1062869124534</f>
        <v>-869.23033942814834</v>
      </c>
      <c r="D2265">
        <f>-648.541351035861 -170.246882347816 -206.519569686052</f>
        <v>-1025.3078030697291</v>
      </c>
      <c r="E2265">
        <f>-661.964596404942 -178.310842864836 -303.892197617988</f>
        <v>-1144.1676368877661</v>
      </c>
      <c r="F2265">
        <f>-671.642243204881 -182.087341293218 -392.381381665363</f>
        <v>-1246.1109661634621</v>
      </c>
      <c r="G2265">
        <f>-678.522747127072 -182.178093011562 -481.211985930102</f>
        <v>-1341.912826068736</v>
      </c>
      <c r="H2265">
        <f>-685.167988605374 -178.457622221383 -605.561603374967</f>
        <v>-1469.1872142017241</v>
      </c>
      <c r="I2265">
        <f>-663.577072584775 -160.750215471217 -683.825937971721</f>
        <v>-1508.1532260277131</v>
      </c>
      <c r="J2265">
        <f>-696.488488535765 -156.373143684727 -549.370490041259</f>
        <v>-1402.2321222617511</v>
      </c>
      <c r="K2265">
        <f>-768.229835920404 -41.0079209613484 -528.300729999006</f>
        <v>-1337.5384868807582</v>
      </c>
      <c r="L2265" t="s">
        <v>24665</v>
      </c>
      <c r="M2265" t="s">
        <v>24666</v>
      </c>
      <c r="N2265">
        <f>-667.999021980198 -203.816440558944 -552.312410301974</f>
        <v>-1424.127872841116</v>
      </c>
      <c r="O2265">
        <f>-598.594150692296 -320.864102827793 -532.887013482186</f>
        <v>-1452.345267002275</v>
      </c>
      <c r="P2265">
        <f>-569.611423599227 -381.438515772479 -246.387562754932</f>
        <v>-1197.4375021266378</v>
      </c>
      <c r="Q2265">
        <f>-470.504754407661 -168.822541838179 -301.371138711433</f>
        <v>-940.69843495727298</v>
      </c>
      <c r="R2265">
        <f>-677.187496128377 -71.0608696865124 -99.2526633501799</f>
        <v>-847.50102916506933</v>
      </c>
      <c r="S2265" t="s">
        <v>24667</v>
      </c>
      <c r="T2265" t="s">
        <v>24668</v>
      </c>
      <c r="U2265" t="s">
        <v>24669</v>
      </c>
      <c r="V2265">
        <f>-572.064527844749 -228.55220429293 -92.933786604527</f>
        <v>-893.55051874220601</v>
      </c>
      <c r="W2265" t="s">
        <v>24670</v>
      </c>
      <c r="X2265" t="s">
        <v>24671</v>
      </c>
      <c r="Y2265" t="s">
        <v>24672</v>
      </c>
    </row>
    <row r="2266" spans="1:25" x14ac:dyDescent="0.3">
      <c r="A2266">
        <v>113250</v>
      </c>
      <c r="B2266" t="s">
        <v>24673</v>
      </c>
      <c r="C2266">
        <f>-625.692232338452 -149.551367121832 -94.9612234310227</f>
        <v>-870.20482289130666</v>
      </c>
      <c r="D2266">
        <f>-649.700098502348 -169.812764911205 -206.44813634724</f>
        <v>-1025.9609997607931</v>
      </c>
      <c r="E2266">
        <f>-663.00509697155 -177.741001525541 -303.848247149128</f>
        <v>-1144.5943456462189</v>
      </c>
      <c r="F2266">
        <f>-672.541090928542 -181.464402616778 -392.355039969028</f>
        <v>-1246.3605335143479</v>
      </c>
      <c r="G2266">
        <f>-679.242409871896 -181.576485852163 -481.199326427126</f>
        <v>-1342.018222151185</v>
      </c>
      <c r="H2266">
        <f>-685.596443234046 -177.966084576408 -605.56742867013</f>
        <v>-1469.129956480584</v>
      </c>
      <c r="I2266">
        <f>-663.893091407296 -160.527503158248 -683.860896534383</f>
        <v>-1508.2814910999268</v>
      </c>
      <c r="J2266">
        <f>-696.831365640524 -155.702448100451 -549.429863746087</f>
        <v>-1401.9636774870619</v>
      </c>
      <c r="K2266">
        <f>-767.567935396553 -39.68702844104 -528.624658533543</f>
        <v>-1335.8796223711361</v>
      </c>
      <c r="L2266" t="s">
        <v>24674</v>
      </c>
      <c r="M2266" t="s">
        <v>24675</v>
      </c>
      <c r="N2266">
        <f>-668.769292748774 -203.407278886447 -552.24844392476</f>
        <v>-1424.4250155599809</v>
      </c>
      <c r="O2266">
        <f>-600.319283573936 -320.978576084655 -532.558927583329</f>
        <v>-1453.8567872419201</v>
      </c>
      <c r="P2266">
        <f>-570.902787251213 -381.748250002875 -246.145130671056</f>
        <v>-1198.7961679251439</v>
      </c>
      <c r="Q2266">
        <f>-473.041349014617 -168.596946390462 -301.286178371925</f>
        <v>-942.9244737770041</v>
      </c>
      <c r="R2266">
        <f>-677.746861198733 -70.9039318523983 -99.0693774871185</f>
        <v>-847.7201705382497</v>
      </c>
      <c r="S2266" t="s">
        <v>24676</v>
      </c>
      <c r="T2266" t="s">
        <v>24677</v>
      </c>
      <c r="U2266" t="s">
        <v>24678</v>
      </c>
      <c r="V2266">
        <f>-573.901000879592 -228.360661075388 -92.9557254183869</f>
        <v>-895.21738737336682</v>
      </c>
      <c r="W2266" t="s">
        <v>24679</v>
      </c>
      <c r="X2266" t="s">
        <v>24680</v>
      </c>
      <c r="Y2266" t="s">
        <v>24681</v>
      </c>
    </row>
    <row r="2267" spans="1:25" x14ac:dyDescent="0.3">
      <c r="A2267">
        <v>113300</v>
      </c>
      <c r="B2267" t="s">
        <v>24682</v>
      </c>
      <c r="C2267">
        <f>-626.491452602124 -148.539003466764 -94.9869065686611</f>
        <v>-870.01736263754913</v>
      </c>
      <c r="D2267">
        <f>-650.603422581606 -168.488118983879 -206.507556451141</f>
        <v>-1025.5990980166259</v>
      </c>
      <c r="E2267">
        <f>-663.845790291448 -176.338999100256 -303.922496111884</f>
        <v>-1144.1072855035882</v>
      </c>
      <c r="F2267">
        <f>-673.265998776479 -180.067488218643 -392.441396690935</f>
        <v>-1245.7748836860569</v>
      </c>
      <c r="G2267">
        <f>-679.789425235293 -180.264923240268 -481.298856933799</f>
        <v>-1341.35320540936</v>
      </c>
      <c r="H2267">
        <f>-685.828923535562 -176.859813575921 -605.688455197595</f>
        <v>-1468.3771923090781</v>
      </c>
      <c r="I2267">
        <f>-664.01480541299 -159.89269504271 -684.054679263874</f>
        <v>-1507.9621797195741</v>
      </c>
      <c r="J2267">
        <f>-696.912065804174 -154.33269023137 -549.62591598423</f>
        <v>-1400.870672019774</v>
      </c>
      <c r="K2267">
        <f>-766.237395730598 -37.4059067230705 -529.170600073497</f>
        <v>-1332.8139025271655</v>
      </c>
      <c r="L2267" t="s">
        <v>24683</v>
      </c>
      <c r="M2267" t="s">
        <v>24684</v>
      </c>
      <c r="N2267">
        <f>-669.430359825515 -202.383727863786 -552.275623241437</f>
        <v>-1424.089710930738</v>
      </c>
      <c r="O2267">
        <f>-602.367435531743 -320.713182582006 -532.228217077244</f>
        <v>-1455.3088351909932</v>
      </c>
      <c r="P2267">
        <f>-573.524279881347 -381.084371491748 -245.671791923719</f>
        <v>-1200.2804432968139</v>
      </c>
      <c r="Q2267">
        <f>-474.192977982725 -168.604110490068 -300.774387797687</f>
        <v>-943.57147627047993</v>
      </c>
      <c r="R2267">
        <f>-677.705445346003 -69.8534697413293 -99.0595700482778</f>
        <v>-846.61848513561006</v>
      </c>
      <c r="S2267" t="s">
        <v>24685</v>
      </c>
      <c r="T2267" t="s">
        <v>24686</v>
      </c>
      <c r="U2267" t="s">
        <v>24687</v>
      </c>
      <c r="V2267">
        <f>-575.405230937111 -227.601664083119 -92.9847992508637</f>
        <v>-895.99169427109371</v>
      </c>
      <c r="W2267" t="s">
        <v>24688</v>
      </c>
      <c r="X2267" t="s">
        <v>24689</v>
      </c>
      <c r="Y2267" t="s">
        <v>24690</v>
      </c>
    </row>
    <row r="2268" spans="1:25" x14ac:dyDescent="0.3">
      <c r="A2268">
        <v>113350</v>
      </c>
      <c r="B2268" t="s">
        <v>24691</v>
      </c>
      <c r="C2268">
        <f>-626.591638271992 -147.838207816929 -95.0754719424841</f>
        <v>-869.50531803140518</v>
      </c>
      <c r="D2268">
        <f>-650.730826823285 -167.700101757979 -206.605791602301</f>
        <v>-1025.0367201835652</v>
      </c>
      <c r="E2268">
        <f>-663.952541754079 -175.49750084006 -304.027767939952</f>
        <v>-1143.4778105340911</v>
      </c>
      <c r="F2268">
        <f>-673.337493832677 -179.184285185812 -392.552217462097</f>
        <v>-1245.0739964805859</v>
      </c>
      <c r="G2268">
        <f>-679.807887921201 -179.348979166221 -481.413674061296</f>
        <v>-1340.5705411487179</v>
      </c>
      <c r="H2268">
        <f>-685.754195511912 -175.907890005244 -605.806551710354</f>
        <v>-1467.46863722751</v>
      </c>
      <c r="I2268">
        <f>-663.895246451542 -159.117633428016 -684.198615081256</f>
        <v>-1507.211494960814</v>
      </c>
      <c r="J2268">
        <f>-696.742526028104 -153.319001239086 -549.750299458869</f>
        <v>-1399.8118267260588</v>
      </c>
      <c r="K2268">
        <f>-765.296722205169 -35.9380308378795 -529.352932106708</f>
        <v>-1330.5876851497565</v>
      </c>
      <c r="L2268" t="s">
        <v>24692</v>
      </c>
      <c r="M2268" t="s">
        <v>24693</v>
      </c>
      <c r="N2268">
        <f>-669.532511385251 -201.52525015961 -552.384647017353</f>
        <v>-1423.442408562214</v>
      </c>
      <c r="O2268">
        <f>-603.191627726978 -320.257554595669 -532.236198686534</f>
        <v>-1455.6853810091809</v>
      </c>
      <c r="P2268">
        <f>-574.886079915254 -380.591043242298 -245.618289855045</f>
        <v>-1201.095413012597</v>
      </c>
      <c r="Q2268">
        <f>-474.074293430125 -168.773239707956 -300.582948236669</f>
        <v>-943.43048137474989</v>
      </c>
      <c r="R2268">
        <f>-677.51615611363 -69.0481311363322 -99.1983732235668</f>
        <v>-845.76266047352908</v>
      </c>
      <c r="S2268" t="s">
        <v>24694</v>
      </c>
      <c r="T2268" t="s">
        <v>24695</v>
      </c>
      <c r="U2268" t="s">
        <v>24696</v>
      </c>
      <c r="V2268">
        <f>-575.811594413138 -227.007608914194 -93.0209011808241</f>
        <v>-895.84010450815606</v>
      </c>
      <c r="W2268" t="s">
        <v>24697</v>
      </c>
      <c r="X2268" t="s">
        <v>24698</v>
      </c>
      <c r="Y2268" t="s">
        <v>24699</v>
      </c>
    </row>
    <row r="2269" spans="1:25" x14ac:dyDescent="0.3">
      <c r="A2269">
        <v>113400</v>
      </c>
      <c r="B2269" t="s">
        <v>24700</v>
      </c>
      <c r="C2269">
        <f>-626.510245400534 -146.395886291936 -95.3646085445893</f>
        <v>-868.27074023705927</v>
      </c>
      <c r="D2269">
        <f>-650.731096978247 -166.16596997883 -206.893582899767</f>
        <v>-1023.790649856844</v>
      </c>
      <c r="E2269">
        <f>-663.966935579968 -173.807714774595 -304.326074274384</f>
        <v>-1142.1007246289469</v>
      </c>
      <c r="F2269">
        <f>-673.343482041697 -177.318986279159 -392.858401056738</f>
        <v>-1243.520869377594</v>
      </c>
      <c r="G2269">
        <f>-679.78169466711 -177.27617320851 -481.722382426382</f>
        <v>-1338.7802503020018</v>
      </c>
      <c r="H2269">
        <f>-685.657856057855 -173.512477179267 -606.109336609122</f>
        <v>-1465.2796698462439</v>
      </c>
      <c r="I2269">
        <f>-663.796130741703 -156.888379453605 -684.535927750061</f>
        <v>-1505.220437945369</v>
      </c>
      <c r="J2269">
        <f>-696.46615364881 -150.950403183634 -550.007160097619</f>
        <v>-1397.4237169300629</v>
      </c>
      <c r="K2269">
        <f>-763.742193150592 -32.8378886262653 -529.517143244373</f>
        <v>-1326.0972250212303</v>
      </c>
      <c r="L2269" t="s">
        <v>24701</v>
      </c>
      <c r="M2269" t="s">
        <v>24702</v>
      </c>
      <c r="N2269">
        <f>-669.677985394467 -199.386981965521 -552.738193987344</f>
        <v>-1421.803161347332</v>
      </c>
      <c r="O2269">
        <f>-604.453501401876 -318.727272552946 -532.663450730271</f>
        <v>-1455.844224685093</v>
      </c>
      <c r="P2269">
        <f>-576.823924891673 -379.550315592212 -246.082912834158</f>
        <v>-1202.4571533180429</v>
      </c>
      <c r="Q2269">
        <f>-473.814469765157 -168.719481544892 -300.766470177376</f>
        <v>-943.30042148742496</v>
      </c>
      <c r="R2269">
        <f>-677.030804445759 -67.4506496803492 -99.6599110194627</f>
        <v>-844.14136514557094</v>
      </c>
      <c r="S2269" t="s">
        <v>24703</v>
      </c>
      <c r="T2269" t="s">
        <v>24704</v>
      </c>
      <c r="U2269" t="s">
        <v>24705</v>
      </c>
      <c r="V2269">
        <f>-576.183208713067 -225.697852609599 -93.1911503726861</f>
        <v>-895.07221169535217</v>
      </c>
      <c r="W2269" t="s">
        <v>24706</v>
      </c>
      <c r="X2269" t="s">
        <v>24707</v>
      </c>
      <c r="Y2269" t="s">
        <v>24708</v>
      </c>
    </row>
    <row r="2270" spans="1:25" x14ac:dyDescent="0.3">
      <c r="A2270">
        <v>113450</v>
      </c>
      <c r="B2270" t="s">
        <v>24709</v>
      </c>
      <c r="C2270">
        <f>-626.511116729501 -145.497021191345 -95.5069920018816</f>
        <v>-867.51512992272762</v>
      </c>
      <c r="D2270">
        <f>-650.802107309655 -165.280134940412 -207.0184135136</f>
        <v>-1023.100655763667</v>
      </c>
      <c r="E2270">
        <f>-664.069366268883 -172.87767165381 -304.450030931769</f>
        <v>-1141.3970688544618</v>
      </c>
      <c r="F2270">
        <f>-673.462236883135 -176.325580141169 -392.983211957697</f>
        <v>-1242.7710289820011</v>
      </c>
      <c r="G2270">
        <f>-679.90377597666 -176.19714437732 -481.846845889194</f>
        <v>-1337.9477662431741</v>
      </c>
      <c r="H2270">
        <f>-685.770111495775 -172.290639611393 -606.229810094531</f>
        <v>-1464.2905612016989</v>
      </c>
      <c r="I2270">
        <f>-663.942616965862 -155.673445484491 -684.667376891896</f>
        <v>-1504.283439342249</v>
      </c>
      <c r="J2270">
        <f>-696.517880076504 -149.757142955739 -550.104492567835</f>
        <v>-1396.3795156000779</v>
      </c>
      <c r="K2270">
        <f>-763.414855948925 -31.4386758574983 -529.494073278336</f>
        <v>-1324.3476050847594</v>
      </c>
      <c r="L2270" t="s">
        <v>24710</v>
      </c>
      <c r="M2270" t="s">
        <v>24711</v>
      </c>
      <c r="N2270">
        <f>-669.859332595674 -198.262291288098 -552.885404404236</f>
        <v>-1421.0070282880081</v>
      </c>
      <c r="O2270">
        <f>-604.974815737121 -317.773736910172 -532.858504326552</f>
        <v>-1455.6070569738449</v>
      </c>
      <c r="P2270">
        <f>-577.110929841573 -378.797827773847 -246.343313788943</f>
        <v>-1202.2520714043631</v>
      </c>
      <c r="Q2270">
        <f>-473.519398113443 -168.275568272072 -301.115796208166</f>
        <v>-942.91076259368094</v>
      </c>
      <c r="R2270">
        <f>-676.99217484065 -66.4194206279925 -99.8299371819928</f>
        <v>-843.24153265063535</v>
      </c>
      <c r="S2270" t="s">
        <v>24712</v>
      </c>
      <c r="T2270" t="s">
        <v>24713</v>
      </c>
      <c r="U2270" t="s">
        <v>24714</v>
      </c>
      <c r="V2270">
        <f>-576.23149566853 -224.906528039678 -93.2837392270138</f>
        <v>-894.42176293522186</v>
      </c>
      <c r="W2270" t="s">
        <v>24715</v>
      </c>
      <c r="X2270" t="s">
        <v>24716</v>
      </c>
      <c r="Y2270" t="s">
        <v>24717</v>
      </c>
    </row>
    <row r="2271" spans="1:25" x14ac:dyDescent="0.3">
      <c r="A2271">
        <v>113500</v>
      </c>
      <c r="B2271" t="s">
        <v>24718</v>
      </c>
      <c r="C2271">
        <f>-626.399610704676 -143.988238145012 -95.599831287308</f>
        <v>-865.987680136996</v>
      </c>
      <c r="D2271">
        <f>-650.90899619267 -163.699780341667 -207.076228552598</f>
        <v>-1021.685005086935</v>
      </c>
      <c r="E2271">
        <f>-664.257897382335 -171.253584341793 -304.499951742914</f>
        <v>-1140.011433467042</v>
      </c>
      <c r="F2271">
        <f>-673.682845470245 -174.66793033231 -393.031120700775</f>
        <v>-1241.3818965033299</v>
      </c>
      <c r="G2271">
        <f>-680.114651988609 -174.512273867302 -481.895392686496</f>
        <v>-1336.522318542407</v>
      </c>
      <c r="H2271">
        <f>-685.92381560162 -170.574756379647 -606.280012078541</f>
        <v>-1462.7785840598081</v>
      </c>
      <c r="I2271">
        <f>-664.18067684575 -153.981989982206 -684.746290767178</f>
        <v>-1502.9089575951339</v>
      </c>
      <c r="J2271">
        <f>-696.654628400366 -148.031704035239 -550.155520304361</f>
        <v>-1394.8418527399658</v>
      </c>
      <c r="K2271">
        <f>-763.349915157593 -29.6136217306944 -529.413827664563</f>
        <v>-1322.3773645528504</v>
      </c>
      <c r="L2271" t="s">
        <v>24719</v>
      </c>
      <c r="M2271" t="s">
        <v>24720</v>
      </c>
      <c r="N2271">
        <f>-670.080327398391 -196.583268168119 -552.933577059363</f>
        <v>-1419.5971726258729</v>
      </c>
      <c r="O2271">
        <f>-605.310610708838 -316.156275231416 -532.897375112555</f>
        <v>-1454.3642610528091</v>
      </c>
      <c r="P2271">
        <f>-576.655573889528 -377.198208744155 -246.464130930599</f>
        <v>-1200.317913564282</v>
      </c>
      <c r="Q2271">
        <f>-473.428010916438 -166.530854315616 -301.365868719564</f>
        <v>-941.32473395161799</v>
      </c>
      <c r="R2271">
        <f>-676.718139241202 -64.794634909298 -99.7637160755045</f>
        <v>-841.27649022600451</v>
      </c>
      <c r="S2271" t="s">
        <v>24721</v>
      </c>
      <c r="T2271" t="s">
        <v>24722</v>
      </c>
      <c r="U2271" t="s">
        <v>24723</v>
      </c>
      <c r="V2271">
        <f>-576.287851275797 -223.488121551102 -93.4283754874523</f>
        <v>-893.20434831435136</v>
      </c>
      <c r="W2271" t="s">
        <v>24724</v>
      </c>
      <c r="X2271" t="s">
        <v>24725</v>
      </c>
      <c r="Y2271" t="s">
        <v>24726</v>
      </c>
    </row>
    <row r="2272" spans="1:25" x14ac:dyDescent="0.3">
      <c r="A2272">
        <v>113550</v>
      </c>
      <c r="B2272" t="s">
        <v>24727</v>
      </c>
      <c r="C2272">
        <f>-626.073647489816 -143.469146358517 -95.5384887963216</f>
        <v>-865.08128264465472</v>
      </c>
      <c r="D2272">
        <f>-650.71725854176 -163.131614522167 -206.99379980617</f>
        <v>-1020.842672870097</v>
      </c>
      <c r="E2272">
        <f>-664.117991626731 -170.698113725383 -304.409537247994</f>
        <v>-1139.2256426001081</v>
      </c>
      <c r="F2272">
        <f>-673.564904244675 -174.146029528836 -392.93691993663</f>
        <v>-1240.6478537101409</v>
      </c>
      <c r="G2272">
        <f>-679.993659762579 -174.046312612709 -481.801521279087</f>
        <v>-1335.841493654375</v>
      </c>
      <c r="H2272">
        <f>-685.772898251664 -170.210410541736 -606.190814730513</f>
        <v>-1462.1741235239128</v>
      </c>
      <c r="I2272">
        <f>-664.067552236385 -153.662932480994 -684.677026410922</f>
        <v>-1502.4075111283009</v>
      </c>
      <c r="J2272">
        <f>-696.520859797228 -147.623411799558 -550.087200818706</f>
        <v>-1394.2314724154921</v>
      </c>
      <c r="K2272">
        <f>-763.326358914506 -29.2658212950516 -529.382699390747</f>
        <v>-1321.9748796003046</v>
      </c>
      <c r="L2272" t="s">
        <v>24728</v>
      </c>
      <c r="M2272" t="s">
        <v>24729</v>
      </c>
      <c r="N2272">
        <f>-669.938592726363 -196.173303188558 -552.819392285195</f>
        <v>-1418.9312882001159</v>
      </c>
      <c r="O2272">
        <f>-605.09765490462 -315.698980883897 -532.69837523659</f>
        <v>-1453.495011025107</v>
      </c>
      <c r="P2272">
        <f>-576.197721155646 -376.449173275146 -246.227783782252</f>
        <v>-1198.874678213044</v>
      </c>
      <c r="Q2272">
        <f>-473.038795698703 -165.73709226288 -301.086917849119</f>
        <v>-939.86280581070196</v>
      </c>
      <c r="R2272">
        <f>-676.250819479646 -64.3259358090618 -99.6026563850058</f>
        <v>-840.17941167371362</v>
      </c>
      <c r="S2272" t="s">
        <v>24730</v>
      </c>
      <c r="T2272" t="s">
        <v>24731</v>
      </c>
      <c r="U2272" t="s">
        <v>24732</v>
      </c>
      <c r="V2272">
        <f>-576.003869100036 -223.010073510446 -93.4789867618</f>
        <v>-892.49292937228199</v>
      </c>
      <c r="W2272" t="s">
        <v>24733</v>
      </c>
      <c r="X2272" t="s">
        <v>24734</v>
      </c>
      <c r="Y2272" t="s">
        <v>24735</v>
      </c>
    </row>
    <row r="2273" spans="1:25" x14ac:dyDescent="0.3">
      <c r="A2273">
        <v>113600</v>
      </c>
      <c r="B2273" t="s">
        <v>24736</v>
      </c>
      <c r="C2273">
        <f>-625.26513108337 -142.280399953815 -95.5000313495887</f>
        <v>-863.04556238677355</v>
      </c>
      <c r="D2273">
        <f>-650.194825944009 -161.890010204812 -206.901123778435</f>
        <v>-1018.9859599272561</v>
      </c>
      <c r="E2273">
        <f>-663.739828883134 -169.529569136278 -304.291220626153</f>
        <v>-1137.560618645565</v>
      </c>
      <c r="F2273">
        <f>-673.277464549097 -173.091093218283 -392.804351478919</f>
        <v>-1239.172909246299</v>
      </c>
      <c r="G2273">
        <f>-679.757924963465 -173.152753032816 -481.665283641631</f>
        <v>-1334.5759616379121</v>
      </c>
      <c r="H2273">
        <f>-685.568969598674 -169.592134226069 -606.061284993315</f>
        <v>-1461.2223888180579</v>
      </c>
      <c r="I2273">
        <f>-663.893166648375 -153.181877079736 -684.584411732129</f>
        <v>-1501.65945546024</v>
      </c>
      <c r="J2273">
        <f>-696.310226510598 -146.885225216076 -550.00469566838</f>
        <v>-1393.200147395054</v>
      </c>
      <c r="K2273">
        <f>-763.369123339452 -28.662284490018 -529.352320087425</f>
        <v>-1321.3837279168952</v>
      </c>
      <c r="L2273" t="s">
        <v>24737</v>
      </c>
      <c r="M2273" t="s">
        <v>24738</v>
      </c>
      <c r="N2273">
        <f>-669.71352349764 -195.432690282804 -552.636651338231</f>
        <v>-1417.7828651186751</v>
      </c>
      <c r="O2273">
        <f>-604.661266244294 -314.835746899318 -532.341273853363</f>
        <v>-1451.8382869969751</v>
      </c>
      <c r="P2273">
        <f>-575.597676075287 -374.934701211008 -245.74971370648</f>
        <v>-1196.282090992775</v>
      </c>
      <c r="Q2273">
        <f>-472.898632071624 -163.926478785979 -300.333042008316</f>
        <v>-937.15815286591896</v>
      </c>
      <c r="R2273">
        <f>-675.414929691141 -63.26488441351 -99.4296548293897</f>
        <v>-838.10946893404071</v>
      </c>
      <c r="S2273" t="s">
        <v>24739</v>
      </c>
      <c r="T2273" t="s">
        <v>24740</v>
      </c>
      <c r="U2273" t="s">
        <v>24741</v>
      </c>
      <c r="V2273">
        <f>-575.315313315995 -221.624713357972 -93.6083422850257</f>
        <v>-890.5483689589928</v>
      </c>
      <c r="W2273" t="s">
        <v>24742</v>
      </c>
      <c r="X2273" t="s">
        <v>24743</v>
      </c>
      <c r="Y2273" t="s">
        <v>24744</v>
      </c>
    </row>
    <row r="2274" spans="1:25" x14ac:dyDescent="0.3">
      <c r="A2274">
        <v>113650</v>
      </c>
      <c r="B2274" t="s">
        <v>24745</v>
      </c>
      <c r="C2274">
        <f>-624.829484640722 -141.483984003273 -95.5484415679377</f>
        <v>-861.8619102119327</v>
      </c>
      <c r="D2274">
        <f>-649.911034060752 -161.090289485905 -206.916023560358</f>
        <v>-1017.917347107015</v>
      </c>
      <c r="E2274">
        <f>-663.569000933272 -168.763552287767 -304.287666092491</f>
        <v>-1136.62021931353</v>
      </c>
      <c r="F2274">
        <f>-673.203103528973 -172.369321584133 -392.788648615199</f>
        <v>-1238.361073728305</v>
      </c>
      <c r="G2274">
        <f>-679.775031641266 -172.488396648084 -481.642661594779</f>
        <v>-1333.906089884129</v>
      </c>
      <c r="H2274">
        <f>-685.708984792178 -169.021523206274 -606.035500759368</f>
        <v>-1460.7660087578199</v>
      </c>
      <c r="I2274">
        <f>-664.045857361375 -152.66274389954 -684.572933628245</f>
        <v>-1501.28153488916</v>
      </c>
      <c r="J2274">
        <f>-696.39781557477 -146.274107945339 -549.985397615135</f>
        <v>-1392.6573211352438</v>
      </c>
      <c r="K2274">
        <f>-763.607120780434 -28.1706951842261 -529.29967913239</f>
        <v>-1321.0774950970501</v>
      </c>
      <c r="L2274" t="s">
        <v>24746</v>
      </c>
      <c r="M2274" t="s">
        <v>24747</v>
      </c>
      <c r="N2274">
        <f>-669.797626885936 -194.82022747151 -552.607366894565</f>
        <v>-1417.2252212520111</v>
      </c>
      <c r="O2274">
        <f>-604.699418782648 -314.194591660257 -532.278129868766</f>
        <v>-1451.172140311671</v>
      </c>
      <c r="P2274">
        <f>-575.607398347975 -373.924978166109 -245.612622243258</f>
        <v>-1195.1449987573419</v>
      </c>
      <c r="Q2274">
        <f>-472.881010599539 -162.898230145076 -300.072366928419</f>
        <v>-935.85160767303398</v>
      </c>
      <c r="R2274">
        <f>-674.946364602725 -62.5566402220488 -99.4460288252291</f>
        <v>-836.94903365000289</v>
      </c>
      <c r="S2274" t="s">
        <v>24748</v>
      </c>
      <c r="T2274" t="s">
        <v>24749</v>
      </c>
      <c r="U2274" t="s">
        <v>24750</v>
      </c>
      <c r="V2274">
        <f>-574.904126905268 -220.770064655543 -93.6904915838634</f>
        <v>-889.36468314467436</v>
      </c>
      <c r="W2274" t="s">
        <v>24751</v>
      </c>
      <c r="X2274" t="s">
        <v>24752</v>
      </c>
      <c r="Y2274" t="s">
        <v>24753</v>
      </c>
    </row>
    <row r="2275" spans="1:25" x14ac:dyDescent="0.3">
      <c r="A2275">
        <v>113700</v>
      </c>
      <c r="B2275" t="s">
        <v>24754</v>
      </c>
      <c r="C2275">
        <f>-624.171469053246 -140.001882588708 -95.6439034349191</f>
        <v>-859.81725507687315</v>
      </c>
      <c r="D2275">
        <f>-649.610445904639 -159.664214383669 -206.920409808275</f>
        <v>-1016.1950700965831</v>
      </c>
      <c r="E2275">
        <f>-663.602685651912 -167.410883989367 -304.2388711186</f>
        <v>-1135.2524407598789</v>
      </c>
      <c r="F2275">
        <f>-673.553484435205 -171.089299452598 -392.701722538114</f>
        <v>-1237.344506425917</v>
      </c>
      <c r="G2275">
        <f>-680.458635811666 -171.285306845694 -481.530362210268</f>
        <v>-1333.274304867628</v>
      </c>
      <c r="H2275">
        <f>-686.877295632212 -167.92837180756 -605.902114509035</f>
        <v>-1460.707781948807</v>
      </c>
      <c r="I2275">
        <f>-665.221828200554 -151.611244809598 -684.450358828498</f>
        <v>-1501.2834318386499</v>
      </c>
      <c r="J2275">
        <f>-697.378547968896 -145.148360283587 -549.829915908209</f>
        <v>-1392.3568241606922</v>
      </c>
      <c r="K2275">
        <f>-764.990651345104 -27.3019124946939 -528.956705751121</f>
        <v>-1321.2492695909189</v>
      </c>
      <c r="L2275" t="s">
        <v>24755</v>
      </c>
      <c r="M2275" t="s">
        <v>24756</v>
      </c>
      <c r="N2275">
        <f>-670.726947250407 -193.662816124175 -552.514689943237</f>
        <v>-1416.9044533178189</v>
      </c>
      <c r="O2275">
        <f>-605.543265987576 -313.007872985158 -532.309625640833</f>
        <v>-1450.860764613567</v>
      </c>
      <c r="P2275">
        <f>-575.836071386379 -372.651934510985 -245.689224993255</f>
        <v>-1194.1772308906191</v>
      </c>
      <c r="Q2275">
        <f>-473.77206518067 -161.223917705706 -299.837253891484</f>
        <v>-934.83323677785995</v>
      </c>
      <c r="R2275">
        <f>-674.363712049081 -61.0639584302204 -99.4531611659926</f>
        <v>-834.88083164529394</v>
      </c>
      <c r="S2275" t="s">
        <v>24757</v>
      </c>
      <c r="T2275" t="s">
        <v>24758</v>
      </c>
      <c r="U2275" t="s">
        <v>24759</v>
      </c>
      <c r="V2275">
        <f>-574.265537220929 -219.254705019299 -93.8597618070623</f>
        <v>-887.3800040472903</v>
      </c>
      <c r="W2275" t="s">
        <v>24760</v>
      </c>
      <c r="X2275" t="s">
        <v>24761</v>
      </c>
      <c r="Y2275" t="s">
        <v>24762</v>
      </c>
    </row>
    <row r="2276" spans="1:25" x14ac:dyDescent="0.3">
      <c r="A2276">
        <v>113750</v>
      </c>
      <c r="B2276" t="s">
        <v>24763</v>
      </c>
      <c r="C2276">
        <f>-623.956927122608 -139.290311041217 -95.6969949416014</f>
        <v>-858.94423310542641</v>
      </c>
      <c r="D2276">
        <f>-649.520913584355 -158.969608876277 -206.941839135765</f>
        <v>-1015.432361596397</v>
      </c>
      <c r="E2276">
        <f>-663.676854780818 -166.750243156255 -304.233957811157</f>
        <v>-1134.66105574823</v>
      </c>
      <c r="F2276">
        <f>-673.800081745259 -170.465462125836 -392.675712693239</f>
        <v>-1236.941256564334</v>
      </c>
      <c r="G2276">
        <f>-680.903536695222 -170.703297807845 -481.48858243183</f>
        <v>-1333.095416934897</v>
      </c>
      <c r="H2276">
        <f>-687.627173960728 -167.408831007792 -605.845953814071</f>
        <v>-1460.881958782591</v>
      </c>
      <c r="I2276">
        <f>-665.952297747912 -151.067133696811 -684.383746748781</f>
        <v>-1501.4031781935041</v>
      </c>
      <c r="J2276">
        <f>-698.013678882099 -144.613175491693 -549.75859769139</f>
        <v>-1392.3854520651821</v>
      </c>
      <c r="K2276">
        <f>-765.746799778547 -26.8645870491118 -528.764774898166</f>
        <v>-1321.3761617258249</v>
      </c>
      <c r="L2276" t="s">
        <v>24764</v>
      </c>
      <c r="M2276" t="s">
        <v>24765</v>
      </c>
      <c r="N2276">
        <f>-671.323143486696 -193.103845573866 -552.486243551672</f>
        <v>-1416.913232612234</v>
      </c>
      <c r="O2276">
        <f>-606.158205445569 -312.462892904004 -532.395277428126</f>
        <v>-1451.0163757776991</v>
      </c>
      <c r="P2276">
        <f>-575.768398484272 -372.044019592467 -245.833254240105</f>
        <v>-1193.645672316844</v>
      </c>
      <c r="Q2276">
        <f>-474.038788573079 -160.408999934921 -299.801521196956</f>
        <v>-934.24930970495598</v>
      </c>
      <c r="R2276">
        <f>-674.094909679432 -60.3111683004792 -99.4439712552173</f>
        <v>-833.85004923512849</v>
      </c>
      <c r="S2276" t="s">
        <v>24766</v>
      </c>
      <c r="T2276" t="s">
        <v>24767</v>
      </c>
      <c r="U2276" t="s">
        <v>24768</v>
      </c>
      <c r="V2276">
        <f>-574.050377400518 -218.573984269898 -93.9324038406589</f>
        <v>-886.5567655110749</v>
      </c>
      <c r="W2276" t="s">
        <v>24769</v>
      </c>
      <c r="X2276" t="s">
        <v>24770</v>
      </c>
      <c r="Y2276" t="s">
        <v>24771</v>
      </c>
    </row>
    <row r="2277" spans="1:25" x14ac:dyDescent="0.3">
      <c r="A2277">
        <v>113800</v>
      </c>
      <c r="B2277" t="s">
        <v>24772</v>
      </c>
      <c r="C2277">
        <f>-623.724750041275 -137.988275871974 -95.7090971230014</f>
        <v>-857.42212303625035</v>
      </c>
      <c r="D2277">
        <f>-649.571715210482 -157.697531752596 -206.883269957864</f>
        <v>-1014.1525169209419</v>
      </c>
      <c r="E2277">
        <f>-664.009695699909 -165.506614117311 -304.131483544131</f>
        <v>-1133.647793361351</v>
      </c>
      <c r="F2277">
        <f>-674.406347228422 -169.245900430963 -392.540615423771</f>
        <v>-1236.192863083156</v>
      </c>
      <c r="G2277">
        <f>-681.802704764672 -169.504604685569 -481.329545406681</f>
        <v>-1332.6368548569219</v>
      </c>
      <c r="H2277">
        <f>-688.957556818451 -166.234362541089 -605.663438103566</f>
        <v>-1460.855357463106</v>
      </c>
      <c r="I2277">
        <f>-667.182539277378 -149.778805541744 -684.149718102689</f>
        <v>-1501.111062921811</v>
      </c>
      <c r="J2277">
        <f>-699.174417292815 -143.44161091133 -549.543818366621</f>
        <v>-1392.1598465707661</v>
      </c>
      <c r="K2277">
        <f>-767.015217952617 -25.7518870791866 -528.486271185286</f>
        <v>-1321.2533762170897</v>
      </c>
      <c r="L2277" t="s">
        <v>24773</v>
      </c>
      <c r="M2277" t="s">
        <v>24774</v>
      </c>
      <c r="N2277">
        <f>-672.443656386201 -191.905185342674 -552.356736639883</f>
        <v>-1416.7055783687581</v>
      </c>
      <c r="O2277">
        <f>-607.409136264446 -311.359600514148 -532.415765859465</f>
        <v>-1451.184502638059</v>
      </c>
      <c r="P2277">
        <f>-575.661874019795 -370.917454107299 -245.996067527106</f>
        <v>-1192.5753956542001</v>
      </c>
      <c r="Q2277">
        <f>-475.088231644412 -158.711623179211 -299.889615317253</f>
        <v>-933.68947014087598</v>
      </c>
      <c r="R2277">
        <f>-673.772697741239 -58.9089011749203 -99.3710690316672</f>
        <v>-832.05266794782642</v>
      </c>
      <c r="S2277" t="s">
        <v>24775</v>
      </c>
      <c r="T2277" t="s">
        <v>24776</v>
      </c>
      <c r="U2277" t="s">
        <v>24777</v>
      </c>
      <c r="V2277">
        <f>-573.896346560321 -217.425872065005 -94.0139533896399</f>
        <v>-885.336172014966</v>
      </c>
      <c r="W2277" t="s">
        <v>24778</v>
      </c>
      <c r="X2277" t="s">
        <v>24779</v>
      </c>
      <c r="Y2277" t="s">
        <v>24780</v>
      </c>
    </row>
    <row r="2278" spans="1:25" x14ac:dyDescent="0.3">
      <c r="A2278">
        <v>113850</v>
      </c>
      <c r="B2278" t="s">
        <v>24781</v>
      </c>
      <c r="C2278">
        <f>-623.758978151949 -137.589711765699 -95.7031524701072</f>
        <v>-857.05184238775519</v>
      </c>
      <c r="D2278">
        <f>-649.714001083629 -157.318099989649 -206.848829476048</f>
        <v>-1013.880930549326</v>
      </c>
      <c r="E2278">
        <f>-664.205048447765 -165.138977655658 -304.088180861057</f>
        <v>-1133.43220696448</v>
      </c>
      <c r="F2278">
        <f>-674.633661281025 -168.886538059694 -392.493061596841</f>
        <v>-1236.0132609375601</v>
      </c>
      <c r="G2278">
        <f>-682.04603577309 -169.151383470949 -481.280671082618</f>
        <v>-1332.4780903266569</v>
      </c>
      <c r="H2278">
        <f>-689.206500090466 -165.887201747341 -605.614464087167</f>
        <v>-1460.7081659249739</v>
      </c>
      <c r="I2278">
        <f>-667.327729876351 -149.396826478378 -684.064533126813</f>
        <v>-1500.7890894815419</v>
      </c>
      <c r="J2278">
        <f>-699.416629048223 -143.089403275167 -549.495569314141</f>
        <v>-1392.0016016375309</v>
      </c>
      <c r="K2278">
        <f>-767.213412450705 -25.3652878015703 -528.470578527048</f>
        <v>-1321.0492787793232</v>
      </c>
      <c r="L2278" t="s">
        <v>24782</v>
      </c>
      <c r="M2278" t="s">
        <v>24783</v>
      </c>
      <c r="N2278">
        <f>-672.694466683245 -191.557850768851 -552.30709072156</f>
        <v>-1416.559408173656</v>
      </c>
      <c r="O2278">
        <f>-607.758592889531 -311.065565553577 -532.404990506401</f>
        <v>-1451.229148949509</v>
      </c>
      <c r="P2278">
        <f>-575.814496089617 -370.513795825146 -245.984582991317</f>
        <v>-1192.31287490608</v>
      </c>
      <c r="Q2278">
        <f>-475.606443570902 -158.199122275204 -300.129603115338</f>
        <v>-933.93516896144399</v>
      </c>
      <c r="R2278">
        <f>-673.797720383396 -58.4227918209247 -99.3372211953852</f>
        <v>-831.55773339970585</v>
      </c>
      <c r="S2278" t="s">
        <v>24784</v>
      </c>
      <c r="T2278" t="s">
        <v>24785</v>
      </c>
      <c r="U2278" t="s">
        <v>24786</v>
      </c>
      <c r="V2278">
        <f>-573.962117056374 -217.109721203503 -94.032935254374</f>
        <v>-885.10477351425106</v>
      </c>
      <c r="W2278" t="s">
        <v>24787</v>
      </c>
      <c r="X2278" t="s">
        <v>24788</v>
      </c>
      <c r="Y2278" t="s">
        <v>24789</v>
      </c>
    </row>
    <row r="2279" spans="1:25" x14ac:dyDescent="0.3">
      <c r="A2279">
        <v>113900</v>
      </c>
      <c r="B2279" t="s">
        <v>24790</v>
      </c>
      <c r="C2279">
        <f>-624.045676088453 -136.881920596015 -95.7999720674607</f>
        <v>-856.72756875192863</v>
      </c>
      <c r="D2279">
        <f>-650.149517533166 -156.642301668489 -206.905090701545</f>
        <v>-1013.6969099032</v>
      </c>
      <c r="E2279">
        <f>-664.668814274823 -164.521052515003 -304.13556656977</f>
        <v>-1133.325433359596</v>
      </c>
      <c r="F2279">
        <f>-675.081755762842 -168.334041199436 -392.539642014801</f>
        <v>-1235.955438977079</v>
      </c>
      <c r="G2279">
        <f>-682.435730294791 -168.678373445128 -481.331750212644</f>
        <v>-1332.4458539525631</v>
      </c>
      <c r="H2279">
        <f>-689.469053493633 -165.541397856045 -605.676044047537</f>
        <v>-1460.6864953972149</v>
      </c>
      <c r="I2279">
        <f>-667.273821324591 -149.088353229935 -684.044990403423</f>
        <v>-1500.4071649579491</v>
      </c>
      <c r="J2279">
        <f>-699.686277922903 -142.658513096599 -549.593189209713</f>
        <v>-1391.9379802292151</v>
      </c>
      <c r="K2279">
        <f>-767.23228705117 -24.7471236003494 -528.793883724009</f>
        <v>-1320.7732943755284</v>
      </c>
      <c r="L2279" t="s">
        <v>24791</v>
      </c>
      <c r="M2279" t="s">
        <v>24792</v>
      </c>
      <c r="N2279">
        <f>-673.06177113221 -191.185265734373 -552.323389526484</f>
        <v>-1416.570426393067</v>
      </c>
      <c r="O2279">
        <f>-608.55107458118 -310.923671065525 -532.332623812182</f>
        <v>-1451.807369458887</v>
      </c>
      <c r="P2279">
        <f>-576.161712635945 -370.235104288383 -245.933802468662</f>
        <v>-1192.33061939299</v>
      </c>
      <c r="Q2279">
        <f>-476.86984911482 -157.530048988119 -300.23435670618</f>
        <v>-934.63425480911906</v>
      </c>
      <c r="R2279">
        <f>-674.112048176965 -57.5963626426312 -99.4574754366334</f>
        <v>-831.16588625622967</v>
      </c>
      <c r="S2279" t="s">
        <v>24793</v>
      </c>
      <c r="T2279" t="s">
        <v>24794</v>
      </c>
      <c r="U2279" t="s">
        <v>24795</v>
      </c>
      <c r="V2279">
        <f>-574.239248069912 -216.524744671152 -94.1158503007555</f>
        <v>-884.87984304181953</v>
      </c>
      <c r="W2279" t="s">
        <v>24796</v>
      </c>
      <c r="X2279" t="s">
        <v>24797</v>
      </c>
      <c r="Y2279" t="s">
        <v>24798</v>
      </c>
    </row>
    <row r="2280" spans="1:25" x14ac:dyDescent="0.3">
      <c r="A2280">
        <v>113950</v>
      </c>
      <c r="B2280" t="s">
        <v>24799</v>
      </c>
      <c r="C2280">
        <f>-624.316721018302 -136.635216195601 -95.8480230429757</f>
        <v>-856.79996025687865</v>
      </c>
      <c r="D2280">
        <f>-650.42603251249 -156.406101524081 -206.949945031819</f>
        <v>-1013.78207906839</v>
      </c>
      <c r="E2280">
        <f>-664.932649499541 -164.315302267721 -304.179876250597</f>
        <v>-1133.4278280178589</v>
      </c>
      <c r="F2280">
        <f>-675.326172896367 -168.165063633904 -392.584587777672</f>
        <v>-1236.0758243079431</v>
      </c>
      <c r="G2280">
        <f>-682.652126122436 -168.556503701326 -481.378846545541</f>
        <v>-1332.5874763693032</v>
      </c>
      <c r="H2280">
        <f>-689.636538348851 -165.496584052535 -605.72785559187</f>
        <v>-1460.860977993256</v>
      </c>
      <c r="I2280">
        <f>-667.249615342349 -149.113527227232 -684.056828877724</f>
        <v>-1500.419971447305</v>
      </c>
      <c r="J2280">
        <f>-699.83741486913 -142.557773470214 -549.664897893653</f>
        <v>-1392.060086232997</v>
      </c>
      <c r="K2280">
        <f>-767.143651363498 -24.5065714852733 -528.944094702489</f>
        <v>-1320.5943175512602</v>
      </c>
      <c r="L2280" t="s">
        <v>24800</v>
      </c>
      <c r="M2280" t="s">
        <v>24801</v>
      </c>
      <c r="N2280">
        <f>-673.288665630107 -191.128422280469 -552.351181849987</f>
        <v>-1416.7682697605628</v>
      </c>
      <c r="O2280">
        <f>-608.985078584831 -310.964458812102 -532.304489163714</f>
        <v>-1452.2540265606472</v>
      </c>
      <c r="P2280">
        <f>-576.634861757999 -369.97390300761 -245.838852240637</f>
        <v>-1192.447617006246</v>
      </c>
      <c r="Q2280">
        <f>-477.419216388006 -157.237287720925 -300.155107762788</f>
        <v>-934.81161187171904</v>
      </c>
      <c r="R2280">
        <f>-674.321900225833 -57.2632346034176 -99.5494833115579</f>
        <v>-831.13461814080847</v>
      </c>
      <c r="S2280" t="s">
        <v>24802</v>
      </c>
      <c r="T2280" t="s">
        <v>24803</v>
      </c>
      <c r="U2280" t="s">
        <v>24804</v>
      </c>
      <c r="V2280">
        <f>-574.559324062155 -216.313268521242 -94.1611447382962</f>
        <v>-885.03373732169325</v>
      </c>
      <c r="W2280" t="s">
        <v>24805</v>
      </c>
      <c r="X2280" t="s">
        <v>24806</v>
      </c>
      <c r="Y2280" t="s">
        <v>24807</v>
      </c>
    </row>
    <row r="2281" spans="1:25" x14ac:dyDescent="0.3">
      <c r="A2281">
        <v>114000</v>
      </c>
      <c r="B2281" t="s">
        <v>24808</v>
      </c>
      <c r="C2281">
        <f>-625.055436192375 -136.274641046752 -95.9717045429164</f>
        <v>-857.30178178204346</v>
      </c>
      <c r="D2281">
        <f>-651.125913125134 -156.013889944377 -207.088401572676</f>
        <v>-1014.2282046421872</v>
      </c>
      <c r="E2281">
        <f>-665.550381452384 -163.997319530957 -304.324400606943</f>
        <v>-1133.872101590284</v>
      </c>
      <c r="F2281">
        <f>-675.848414372505 -167.956984381481 -392.735508335889</f>
        <v>-1236.540907089875</v>
      </c>
      <c r="G2281">
        <f>-683.055604002694 -168.504192782505 -481.538544849417</f>
        <v>-1333.0983416346162</v>
      </c>
      <c r="H2281">
        <f>-689.848216239934 -165.711890225549 -605.904461557839</f>
        <v>-1461.464568023322</v>
      </c>
      <c r="I2281">
        <f>-667.014242468973 -149.578579740774 -684.156332604767</f>
        <v>-1500.749154814514</v>
      </c>
      <c r="J2281">
        <f>-700.028460718513 -142.594035320761 -549.911351675631</f>
        <v>-1392.5338477149048</v>
      </c>
      <c r="K2281">
        <f>-766.971094926201 -24.2663101354788 -529.457665400705</f>
        <v>-1320.6950704623846</v>
      </c>
      <c r="L2281" t="s">
        <v>24809</v>
      </c>
      <c r="M2281" t="s">
        <v>24810</v>
      </c>
      <c r="N2281">
        <f>-673.689835079161 -191.28726753449 -552.443127093419</f>
        <v>-1417.4202297070699</v>
      </c>
      <c r="O2281">
        <f>-609.894103716062 -311.341872762924 -532.058614260682</f>
        <v>-1453.2945907396679</v>
      </c>
      <c r="P2281">
        <f>-577.774473932556 -369.637649287795 -245.420903236507</f>
        <v>-1192.8330264568581</v>
      </c>
      <c r="Q2281">
        <f>-478.118957495611 -157.298772808864 -300.482870541968</f>
        <v>-935.90060084644301</v>
      </c>
      <c r="R2281">
        <f>-674.910064033449 -56.7982760670111 -99.7380933702052</f>
        <v>-831.44643347066528</v>
      </c>
      <c r="S2281" t="s">
        <v>24811</v>
      </c>
      <c r="T2281" t="s">
        <v>24812</v>
      </c>
      <c r="U2281" t="s">
        <v>24813</v>
      </c>
      <c r="V2281">
        <f>-575.444813339891 -216.070487522802 -94.2746227110841</f>
        <v>-885.78992357377717</v>
      </c>
      <c r="W2281" t="s">
        <v>24814</v>
      </c>
      <c r="X2281" t="s">
        <v>24815</v>
      </c>
      <c r="Y2281" t="s">
        <v>24816</v>
      </c>
    </row>
    <row r="2282" spans="1:25" x14ac:dyDescent="0.3">
      <c r="A2282">
        <v>114050</v>
      </c>
      <c r="B2282" t="s">
        <v>24817</v>
      </c>
      <c r="C2282">
        <f>-625.564001200434 -136.168513388749 -96.0261070009599</f>
        <v>-857.75862159014287</v>
      </c>
      <c r="D2282">
        <f>-651.644358822777 -155.857852300779 -207.149358611721</f>
        <v>-1014.651569735277</v>
      </c>
      <c r="E2282">
        <f>-666.024790008473 -163.875538556351 -304.389114660978</f>
        <v>-1134.289443225802</v>
      </c>
      <c r="F2282">
        <f>-676.262059802846 -167.897505140062 -392.804367934994</f>
        <v>-1236.9639328779019</v>
      </c>
      <c r="G2282">
        <f>-683.386839080254 -168.53977319893 -481.61358378784</f>
        <v>-1333.540196067024</v>
      </c>
      <c r="H2282">
        <f>-690.041395078432 -165.91525955327 -605.99061382442</f>
        <v>-1461.9472684561219</v>
      </c>
      <c r="I2282">
        <f>-666.95806343845 -149.922208817131 -684.198046271842</f>
        <v>-1501.0783185274231</v>
      </c>
      <c r="J2282">
        <f>-700.223709346711 -142.689430970282 -550.042464356574</f>
        <v>-1392.955604673567</v>
      </c>
      <c r="K2282">
        <f>-766.886708553825 -24.1988392811409 -529.787385246208</f>
        <v>-1320.8729330811739</v>
      </c>
      <c r="L2282" t="s">
        <v>24818</v>
      </c>
      <c r="M2282" t="s">
        <v>24819</v>
      </c>
      <c r="N2282">
        <f>-674.002392912971 -191.451007124318 -552.474392781044</f>
        <v>-1417.927792818333</v>
      </c>
      <c r="O2282">
        <f>-610.442276910708 -311.598385740591 -531.878394153785</f>
        <v>-1453.919056805084</v>
      </c>
      <c r="P2282">
        <f>-578.569595808544 -369.500575677499 -245.133532122009</f>
        <v>-1193.2037036080519</v>
      </c>
      <c r="Q2282">
        <f>-478.439882921257 -157.558133294955 -300.858748381791</f>
        <v>-936.856764598003</v>
      </c>
      <c r="R2282">
        <f>-675.320942664724 -56.5715523974249 -99.8053899392718</f>
        <v>-831.69788500142067</v>
      </c>
      <c r="S2282" t="s">
        <v>24820</v>
      </c>
      <c r="T2282" t="s">
        <v>24821</v>
      </c>
      <c r="U2282" t="s">
        <v>24822</v>
      </c>
      <c r="V2282">
        <f>-576.099694130933 -216.05248923304 -94.3116811548887</f>
        <v>-886.46386451886167</v>
      </c>
      <c r="W2282" t="s">
        <v>24823</v>
      </c>
      <c r="X2282" t="s">
        <v>24824</v>
      </c>
      <c r="Y2282" t="s">
        <v>24825</v>
      </c>
    </row>
    <row r="2283" spans="1:25" x14ac:dyDescent="0.3">
      <c r="A2283">
        <v>114100</v>
      </c>
      <c r="B2283" t="s">
        <v>24826</v>
      </c>
      <c r="C2283">
        <f>-626.573824222438 -135.894944390083 -96.1171150584246</f>
        <v>-858.58588367094558</v>
      </c>
      <c r="D2283">
        <f>-652.679626932927 -155.470096478674 -207.254605404149</f>
        <v>-1015.40432881575</v>
      </c>
      <c r="E2283">
        <f>-666.936284776825 -163.507664394272 -304.510907886185</f>
        <v>-1134.954857057282</v>
      </c>
      <c r="F2283">
        <f>-677.00231526981 -167.596197073041 -392.942737776568</f>
        <v>-1237.5412501194189</v>
      </c>
      <c r="G2283">
        <f>-683.894054699331 -168.357500031797 -481.769408830778</f>
        <v>-1334.020963561906</v>
      </c>
      <c r="H2283">
        <f>-690.156612614077 -165.956904447186 -606.171286555873</f>
        <v>-1462.2848036171358</v>
      </c>
      <c r="I2283">
        <f>-666.516435928276 -150.248993342358 -684.270134133622</f>
        <v>-1501.0355634042562</v>
      </c>
      <c r="J2283">
        <f>-700.34599597062 -142.539890679824 -550.304287096683</f>
        <v>-1393.1901737471271</v>
      </c>
      <c r="K2283">
        <f>-766.24582340395 -23.5357461554618 -530.497596759799</f>
        <v>-1320.2791663192106</v>
      </c>
      <c r="L2283" t="s">
        <v>24827</v>
      </c>
      <c r="M2283" t="s">
        <v>24828</v>
      </c>
      <c r="N2283">
        <f>-674.455585013965 -191.486762872992 -552.552130284496</f>
        <v>-1418.494478171453</v>
      </c>
      <c r="O2283">
        <f>-611.657824248304 -311.950978532419 -531.469565914291</f>
        <v>-1455.078368695014</v>
      </c>
      <c r="P2283">
        <f>-580.118155497971 -369.4988648497 -244.616518960734</f>
        <v>-1194.2335393084049</v>
      </c>
      <c r="Q2283">
        <f>-478.202288790636 -158.742279713749 -301.587357748888</f>
        <v>-938.53192625327301</v>
      </c>
      <c r="R2283">
        <f>-676.007829773042 -56.1687756459792 -99.8829791204386</f>
        <v>-832.05958453945971</v>
      </c>
      <c r="S2283" t="s">
        <v>24829</v>
      </c>
      <c r="T2283" t="s">
        <v>24830</v>
      </c>
      <c r="U2283" t="s">
        <v>24831</v>
      </c>
      <c r="V2283">
        <f>-577.380353769417 -215.937021164731 -94.3679842139838</f>
        <v>-887.68535914813174</v>
      </c>
      <c r="W2283" t="s">
        <v>24832</v>
      </c>
      <c r="X2283" t="s">
        <v>24833</v>
      </c>
      <c r="Y2283" t="s">
        <v>24834</v>
      </c>
    </row>
    <row r="2284" spans="1:25" x14ac:dyDescent="0.3">
      <c r="A2284">
        <v>114150</v>
      </c>
      <c r="B2284" t="s">
        <v>24835</v>
      </c>
      <c r="C2284">
        <f>-627.825703090173 -135.545284732257 -96.1833787233002</f>
        <v>-859.55436654573009</v>
      </c>
      <c r="D2284">
        <f>-653.858934577917 -154.909048223303 -207.374810918361</f>
        <v>-1016.1427937195811</v>
      </c>
      <c r="E2284">
        <f>-667.874046097984 -162.861495011239 -304.673276542614</f>
        <v>-1135.4088176518369</v>
      </c>
      <c r="F2284">
        <f>-677.649879031742 -166.911540307335 -393.139522818558</f>
        <v>-1237.7009421576349</v>
      </c>
      <c r="G2284">
        <f>-684.177856262208 -167.677014514738 -481.993586716777</f>
        <v>-1333.8484574937229</v>
      </c>
      <c r="H2284">
        <f>-689.854331570536 -165.328564721843 -606.424689482467</f>
        <v>-1461.607585774846</v>
      </c>
      <c r="I2284">
        <f>-665.673995849463 -149.848402969533 -684.403429866279</f>
        <v>-1499.9258286852751</v>
      </c>
      <c r="J2284">
        <f>-700.133675258017 -141.796991275746 -550.622099255103</f>
        <v>-1392.5527657888661</v>
      </c>
      <c r="K2284">
        <f>-765.517296891193 -22.4126097599205 -531.387045916053</f>
        <v>-1319.3169525671665</v>
      </c>
      <c r="L2284" t="s">
        <v>24836</v>
      </c>
      <c r="M2284" t="s">
        <v>24837</v>
      </c>
      <c r="N2284">
        <f>-674.579108672916 -190.926993454699 -552.715183166489</f>
        <v>-1418.2212852941041</v>
      </c>
      <c r="O2284">
        <f>-612.57087993638 -311.714505542302 -531.170603784357</f>
        <v>-1455.4559892630391</v>
      </c>
      <c r="P2284">
        <f>-582.311520594203 -368.994037853752 -244.125911223549</f>
        <v>-1195.4314696715041</v>
      </c>
      <c r="Q2284">
        <f>-476.059889570344 -160.99075891019 -303.253841447806</f>
        <v>-940.30448992833999</v>
      </c>
      <c r="R2284">
        <f>-676.838754217664 -55.6315135668516 -99.9694481244385</f>
        <v>-832.4397159089541</v>
      </c>
      <c r="S2284" t="s">
        <v>24838</v>
      </c>
      <c r="T2284" t="s">
        <v>24839</v>
      </c>
      <c r="U2284" t="s">
        <v>24840</v>
      </c>
      <c r="V2284">
        <f>-579.047277211607 -215.760824315331 -94.3888139991202</f>
        <v>-889.19691552605821</v>
      </c>
      <c r="W2284" t="s">
        <v>24841</v>
      </c>
      <c r="X2284" t="s">
        <v>24842</v>
      </c>
      <c r="Y2284" t="s">
        <v>24843</v>
      </c>
    </row>
    <row r="2285" spans="1:25" x14ac:dyDescent="0.3">
      <c r="A2285">
        <v>114200</v>
      </c>
      <c r="B2285" t="s">
        <v>24844</v>
      </c>
      <c r="C2285">
        <f>-628.487949329814 -135.429218664097 -96.1919063800866</f>
        <v>-860.1090743739976</v>
      </c>
      <c r="D2285">
        <f>-654.453592537672 -154.651382742086 -207.423612118243</f>
        <v>-1016.528587398001</v>
      </c>
      <c r="E2285">
        <f>-668.30300932998 -162.563267036561 -304.749262000648</f>
        <v>-1135.6155383671889</v>
      </c>
      <c r="F2285">
        <f>-677.886349878453 -166.609431012024 -393.236624385008</f>
        <v>-1237.7324052754848</v>
      </c>
      <c r="G2285">
        <f>-684.178322803007 -167.405800663659 -482.107466400933</f>
        <v>-1333.6915898675989</v>
      </c>
      <c r="H2285">
        <f>-689.479441153622 -165.138200036783 -606.556553507719</f>
        <v>-1461.174194698124</v>
      </c>
      <c r="I2285">
        <f>-665.008862255918 -149.763499261795 -684.465642680094</f>
        <v>-1499.238004197807</v>
      </c>
      <c r="J2285">
        <f>-699.844522007203 -141.527553394438 -550.803358581076</f>
        <v>-1392.1754339827171</v>
      </c>
      <c r="K2285">
        <f>-765.00008051137 -21.950157516997 -531.915640434139</f>
        <v>-1318.8658784625061</v>
      </c>
      <c r="L2285" t="s">
        <v>24845</v>
      </c>
      <c r="M2285" t="s">
        <v>24846</v>
      </c>
      <c r="N2285">
        <f>-674.448779056493 -190.744541225274 -552.781860775059</f>
        <v>-1417.9751810568259</v>
      </c>
      <c r="O2285">
        <f>-612.820713864631 -311.663486809303 -530.972761201692</f>
        <v>-1455.4569618756259</v>
      </c>
      <c r="P2285">
        <f>-582.768856998862 -368.918330059574 -243.901382994276</f>
        <v>-1195.5885700527119</v>
      </c>
      <c r="Q2285">
        <f>-473.975075960554 -162.674072348788 -304.548583248294</f>
        <v>-941.19773155763608</v>
      </c>
      <c r="R2285">
        <f>-677.287084228536 -55.4115289284057 -99.9923859480299</f>
        <v>-832.69099910497152</v>
      </c>
      <c r="S2285" t="s">
        <v>24847</v>
      </c>
      <c r="T2285" t="s">
        <v>24848</v>
      </c>
      <c r="U2285" t="s">
        <v>24849</v>
      </c>
      <c r="V2285">
        <f>-579.927212034243 -215.759878308009 -94.4062904560001</f>
        <v>-890.09338079825204</v>
      </c>
      <c r="W2285" t="s">
        <v>24850</v>
      </c>
      <c r="X2285" t="s">
        <v>24851</v>
      </c>
      <c r="Y2285" t="s">
        <v>24852</v>
      </c>
    </row>
    <row r="2286" spans="1:25" x14ac:dyDescent="0.3">
      <c r="A2286">
        <v>114250</v>
      </c>
      <c r="B2286" t="s">
        <v>24853</v>
      </c>
      <c r="C2286">
        <f>-629.097137417569 -135.304631090704 -96.1864292266037</f>
        <v>-860.58819773487676</v>
      </c>
      <c r="D2286">
        <f>-654.938126687657 -154.391144692552 -207.470581604685</f>
        <v>-1016.799852984894</v>
      </c>
      <c r="E2286">
        <f>-668.579833383495 -162.274045546273 -304.8277779063</f>
        <v>-1135.681656836068</v>
      </c>
      <c r="F2286">
        <f>-677.935731079533 -166.329508624416 -393.339110790375</f>
        <v>-1237.6043504943241</v>
      </c>
      <c r="G2286">
        <f>-683.960343829087 -167.172169402189 -482.228061639036</f>
        <v>-1333.3605748703121</v>
      </c>
      <c r="H2286">
        <f>-688.846096006619 -165.009022775757 -606.695954861999</f>
        <v>-1460.5510736443748</v>
      </c>
      <c r="I2286">
        <f>-664.081637773069 -149.744025031674 -684.533827966398</f>
        <v>-1498.3594907711411</v>
      </c>
      <c r="J2286">
        <f>-699.332329673087 -141.318215988724 -550.999496941504</f>
        <v>-1391.6500426033149</v>
      </c>
      <c r="K2286">
        <f>-764.309588247142 -21.5864411479033 -532.48807688195</f>
        <v>-1318.3841062769952</v>
      </c>
      <c r="L2286" t="s">
        <v>24854</v>
      </c>
      <c r="M2286" t="s">
        <v>24855</v>
      </c>
      <c r="N2286">
        <f>-674.059948835801 -190.603659371575 -552.848125711093</f>
        <v>-1417.511733918469</v>
      </c>
      <c r="O2286">
        <f>-612.736306067523 -311.62972207016 -530.768826921004</f>
        <v>-1455.134855058687</v>
      </c>
      <c r="P2286">
        <f>-582.528640628947 -369.374650654605 -243.812132696452</f>
        <v>-1195.7154239800038</v>
      </c>
      <c r="Q2286">
        <f>-471.354063876128 -164.985537612609 -306.391288005948</f>
        <v>-942.73088949468502</v>
      </c>
      <c r="R2286">
        <f>-677.716219390687 -55.2303668562648 -100.024821235416</f>
        <v>-832.97140748236779</v>
      </c>
      <c r="S2286" t="s">
        <v>24856</v>
      </c>
      <c r="T2286" t="s">
        <v>24857</v>
      </c>
      <c r="U2286" t="s">
        <v>24858</v>
      </c>
      <c r="V2286">
        <f>-580.651743733717 -215.691489971844 -94.419175198734</f>
        <v>-890.76240890429506</v>
      </c>
      <c r="W2286" t="s">
        <v>24859</v>
      </c>
      <c r="X2286" t="s">
        <v>24860</v>
      </c>
      <c r="Y2286" t="s">
        <v>24861</v>
      </c>
    </row>
    <row r="2287" spans="1:25" x14ac:dyDescent="0.3">
      <c r="A2287">
        <v>114300</v>
      </c>
      <c r="B2287" t="s">
        <v>24862</v>
      </c>
      <c r="C2287">
        <f>-629.608013965263 -135.228926125167 -96.2162439932379</f>
        <v>-861.05318408366793</v>
      </c>
      <c r="D2287">
        <f>-655.331953646066 -154.191817164298 -207.548679324351</f>
        <v>-1017.072450134715</v>
      </c>
      <c r="E2287">
        <f>-668.779941302951 -162.054133491038 -304.934528866053</f>
        <v>-1135.7686036600419</v>
      </c>
      <c r="F2287">
        <f>-677.923844348947 -166.126237871362 -393.46728049467</f>
        <v>-1237.5173627149791</v>
      </c>
      <c r="G2287">
        <f>-683.699235666715 -167.022183529953 -482.37206945651</f>
        <v>-1333.0934886531779</v>
      </c>
      <c r="H2287">
        <f>-688.197888144305 -164.972862483097 -606.856574864791</f>
        <v>-1460.0273254921931</v>
      </c>
      <c r="I2287">
        <f>-663.166626906963 -149.813436408924 -684.629595331057</f>
        <v>-1497.6096586469439</v>
      </c>
      <c r="J2287">
        <f>-698.81078469473 -141.207326266913 -551.215917933353</f>
        <v>-1391.2340288949961</v>
      </c>
      <c r="K2287">
        <f>-763.685447095592 -21.3761700412188 -533.029035238789</f>
        <v>-1318.0906523755998</v>
      </c>
      <c r="L2287" t="s">
        <v>24863</v>
      </c>
      <c r="M2287" t="s">
        <v>24864</v>
      </c>
      <c r="N2287">
        <f>-673.625657248982 -190.541958483578 -552.938238067318</f>
        <v>-1417.1058537998779</v>
      </c>
      <c r="O2287">
        <f>-612.612736946788 -311.702791622567 -530.66371934239</f>
        <v>-1454.979247911745</v>
      </c>
      <c r="P2287">
        <f>-582.09354718932 -369.889598497915 -243.829060122236</f>
        <v>-1195.8122058094709</v>
      </c>
      <c r="Q2287">
        <f>-468.180111934347 -167.908213588308 -309.236246375844</f>
        <v>-945.32457189849902</v>
      </c>
      <c r="R2287">
        <f>-678.079381592326 -55.1195811627146 -100.058088101209</f>
        <v>-833.25705085624952</v>
      </c>
      <c r="S2287" t="s">
        <v>24865</v>
      </c>
      <c r="T2287" t="s">
        <v>24866</v>
      </c>
      <c r="U2287" t="s">
        <v>24867</v>
      </c>
      <c r="V2287">
        <f>-581.329905706406 -215.622640413583 -94.4498193871231</f>
        <v>-891.40236550711199</v>
      </c>
      <c r="W2287" t="s">
        <v>24868</v>
      </c>
      <c r="X2287" t="s">
        <v>24869</v>
      </c>
      <c r="Y2287" t="s">
        <v>24870</v>
      </c>
    </row>
    <row r="2288" spans="1:25" x14ac:dyDescent="0.3">
      <c r="A2288">
        <v>114350</v>
      </c>
      <c r="B2288" t="s">
        <v>24871</v>
      </c>
      <c r="C2288">
        <f>-630.589106528521 -135.008751376108 -96.2746355761476</f>
        <v>-861.8724934807766</v>
      </c>
      <c r="D2288">
        <f>-656.170577531793 -153.722268122335 -207.681976548523</f>
        <v>-1017.574822202651</v>
      </c>
      <c r="E2288">
        <f>-669.357089847848 -161.552497309175 -305.106092033725</f>
        <v>-1136.015679190748</v>
      </c>
      <c r="F2288">
        <f>-678.210000103412 -165.670286501957 -393.666345759839</f>
        <v>-1237.5466323652079</v>
      </c>
      <c r="G2288">
        <f>-683.639891499102 -166.68884625055 -482.59169909399</f>
        <v>-1332.9204368436419</v>
      </c>
      <c r="H2288">
        <f>-687.598898048938 -164.892632108453 -607.098412301235</f>
        <v>-1459.589942458626</v>
      </c>
      <c r="I2288">
        <f>-662.096031465027 -149.921354077451 -684.754784139427</f>
        <v>-1496.7721696819049</v>
      </c>
      <c r="J2288">
        <f>-698.395410603821 -140.984787192905 -551.554268904154</f>
        <v>-1390.93446670088</v>
      </c>
      <c r="K2288">
        <f>-763.149147422118 -21.0244241733005 -533.916028406409</f>
        <v>-1318.0896000018274</v>
      </c>
      <c r="L2288" t="s">
        <v>24872</v>
      </c>
      <c r="M2288" t="s">
        <v>24873</v>
      </c>
      <c r="N2288">
        <f>-673.318028905888 -190.381274273995 -553.064217056369</f>
        <v>-1416.7635202362521</v>
      </c>
      <c r="O2288">
        <f>-612.851042965241 -311.786399132518 -530.590427998537</f>
        <v>-1455.2278700962961</v>
      </c>
      <c r="P2288">
        <f>-579.453950327902 -371.982850500097 -244.49221756016</f>
        <v>-1195.929018388159</v>
      </c>
      <c r="Q2288">
        <f>-461.845831396011 -174.766218172218 -317.463349261821</f>
        <v>-954.07539883005006</v>
      </c>
      <c r="R2288">
        <f>-678.83951859091 -54.7698030713639 -100.031574294412</f>
        <v>-833.64089595668588</v>
      </c>
      <c r="S2288" t="s">
        <v>24874</v>
      </c>
      <c r="T2288" t="s">
        <v>24875</v>
      </c>
      <c r="U2288" t="s">
        <v>24876</v>
      </c>
      <c r="V2288">
        <f>-582.551251269514 -215.548700939796 -94.5303956426285</f>
        <v>-892.6303478519385</v>
      </c>
      <c r="W2288" t="s">
        <v>24877</v>
      </c>
      <c r="X2288" t="s">
        <v>24878</v>
      </c>
      <c r="Y2288" t="s">
        <v>24879</v>
      </c>
    </row>
    <row r="2289" spans="1:25" x14ac:dyDescent="0.3">
      <c r="A2289">
        <v>114400</v>
      </c>
      <c r="B2289" t="s">
        <v>24880</v>
      </c>
      <c r="C2289">
        <f>-631.295939804136 -134.726736988359 -96.1979914345442</f>
        <v>-862.22066822703914</v>
      </c>
      <c r="D2289">
        <f>-656.887253469838 -153.352876974643 -207.617812390855</f>
        <v>-1017.857942835336</v>
      </c>
      <c r="E2289">
        <f>-670.008630386445 -161.17496690339 -305.051244710568</f>
        <v>-1136.234842000403</v>
      </c>
      <c r="F2289">
        <f>-678.773986876528 -165.312232703477 -393.619336105197</f>
        <v>-1237.7055556852019</v>
      </c>
      <c r="G2289">
        <f>-684.088038843907 -166.377328082993 -482.551266553499</f>
        <v>-1333.0166334803989</v>
      </c>
      <c r="H2289">
        <f>-687.855977978853 -164.674866418785 -607.065177591713</f>
        <v>-1459.5960219893509</v>
      </c>
      <c r="I2289">
        <f>-661.968576698157 -149.789373266877 -684.610466306147</f>
        <v>-1496.3684162711811</v>
      </c>
      <c r="J2289">
        <f>-698.725502974846 -140.719023572375 -551.555820317385</f>
        <v>-1391.0003468646059</v>
      </c>
      <c r="K2289">
        <f>-763.528994548362 -20.7248304123798 -534.256697298866</f>
        <v>-1318.5105222596078</v>
      </c>
      <c r="L2289" t="s">
        <v>24881</v>
      </c>
      <c r="M2289" t="s">
        <v>24882</v>
      </c>
      <c r="N2289">
        <f>-673.670250928786 -190.129002914443 -552.989524416075</f>
        <v>-1416.7887782593041</v>
      </c>
      <c r="O2289">
        <f>-613.44915223972 -311.662009769728 -530.569999392053</f>
        <v>-1455.681161401501</v>
      </c>
      <c r="P2289">
        <f>-576.052366610872 -374.657644831684 -245.571246163192</f>
        <v>-1196.2812576057481</v>
      </c>
      <c r="Q2289">
        <f>-456.089521141093 -182.867160092917 -328.494309824688</f>
        <v>-967.45099105869792</v>
      </c>
      <c r="R2289">
        <f>-679.488749125889 -54.4195326725333 -99.9102254763229</f>
        <v>-833.81850727474512</v>
      </c>
      <c r="S2289" t="s">
        <v>24883</v>
      </c>
      <c r="T2289" t="s">
        <v>24884</v>
      </c>
      <c r="U2289" t="s">
        <v>24885</v>
      </c>
      <c r="V2289">
        <f>-583.37096271527 -215.386821353599 -94.5628855126517</f>
        <v>-893.32066958152075</v>
      </c>
      <c r="W2289" t="s">
        <v>24886</v>
      </c>
      <c r="X2289" t="s">
        <v>24887</v>
      </c>
      <c r="Y2289" t="s">
        <v>24888</v>
      </c>
    </row>
    <row r="2290" spans="1:25" x14ac:dyDescent="0.3">
      <c r="A2290">
        <v>114450</v>
      </c>
      <c r="B2290" t="s">
        <v>24889</v>
      </c>
      <c r="C2290">
        <f>-631.764955938506 -134.47160958237 -96.1693206253956</f>
        <v>-862.40588614627154</v>
      </c>
      <c r="D2290">
        <f>-657.430156913109 -153.116386482448 -207.569060536062</f>
        <v>-1018.115603931619</v>
      </c>
      <c r="E2290">
        <f>-670.650169650299 -160.968609122683 -304.986825640709</f>
        <v>-1136.605604413691</v>
      </c>
      <c r="F2290">
        <f>-679.519284652274 -165.138266713882 -393.543047649861</f>
        <v>-1238.2005990160169</v>
      </c>
      <c r="G2290">
        <f>-684.951752164399 -166.240835678648 -482.467237567006</f>
        <v>-1333.6598254100531</v>
      </c>
      <c r="H2290">
        <f>-688.900529918046 -164.595700006633 -606.976240368167</f>
        <v>-1460.4724702928461</v>
      </c>
      <c r="I2290">
        <f>-662.738837343637 -149.694745766551 -684.426659505404</f>
        <v>-1496.8602426155921</v>
      </c>
      <c r="J2290">
        <f>-699.685066289583 -140.612080950315 -551.462466929199</f>
        <v>-1391.7596141690969</v>
      </c>
      <c r="K2290">
        <f>-764.660954417482 -20.6903036343031 -534.252319594929</f>
        <v>-1319.603577646714</v>
      </c>
      <c r="L2290" t="s">
        <v>24890</v>
      </c>
      <c r="M2290" t="s">
        <v>24891</v>
      </c>
      <c r="N2290">
        <f>-674.640761179608 -190.027199887192 -552.909591698067</f>
        <v>-1417.5775527648671</v>
      </c>
      <c r="O2290">
        <f>-614.515081678569 -311.648616702906 -530.723804917983</f>
        <v>-1456.8875032994579</v>
      </c>
      <c r="P2290">
        <f>-573.739890670917 -377.922643618737 -246.934663901943</f>
        <v>-1198.597198191597</v>
      </c>
      <c r="Q2290">
        <f>-453.371306024498 -190.472708317159 -338.721332930668</f>
        <v>-982.56534727232497</v>
      </c>
      <c r="R2290">
        <f>-679.899359406444 -54.2105966033854 -99.8391546591944</f>
        <v>-833.94911066902375</v>
      </c>
      <c r="S2290" t="s">
        <v>24892</v>
      </c>
      <c r="T2290" t="s">
        <v>24893</v>
      </c>
      <c r="U2290" t="s">
        <v>24894</v>
      </c>
      <c r="V2290">
        <f>-583.880231990184 -215.072439571828 -94.5535593121721</f>
        <v>-893.5062308741841</v>
      </c>
      <c r="W2290" t="s">
        <v>24895</v>
      </c>
      <c r="X2290" t="s">
        <v>24896</v>
      </c>
      <c r="Y2290" t="s">
        <v>24897</v>
      </c>
    </row>
    <row r="2291" spans="1:25" x14ac:dyDescent="0.3">
      <c r="A2291">
        <v>114500</v>
      </c>
      <c r="B2291" t="s">
        <v>24898</v>
      </c>
      <c r="C2291">
        <f>-631.89228889787 -134.534530058652 -96.1188002359488</f>
        <v>-862.54561919247078</v>
      </c>
      <c r="D2291">
        <f>-657.629662470372 -153.205947454338 -207.497346182857</f>
        <v>-1018.3329561075669</v>
      </c>
      <c r="E2291">
        <f>-670.924238396567 -161.07402229257 -304.903810558857</f>
        <v>-1136.9020712479942</v>
      </c>
      <c r="F2291">
        <f>-679.865926087248 -165.254890332826 -393.452091417846</f>
        <v>-1238.57290783792</v>
      </c>
      <c r="G2291">
        <f>-685.376251480622 -166.36486250185 -482.371425160478</f>
        <v>-1334.11253914295</v>
      </c>
      <c r="H2291">
        <f>-689.439683028639 -164.726049280107 -606.876878234615</f>
        <v>-1461.042610543361</v>
      </c>
      <c r="I2291">
        <f>-663.176854590831 -149.775136060612 -684.28342281737</f>
        <v>-1497.235413468813</v>
      </c>
      <c r="J2291">
        <f>-700.18598445839 -140.746211479507 -551.353963112007</f>
        <v>-1392.286159049904</v>
      </c>
      <c r="K2291">
        <f>-765.314173394829 -20.9114401903805 -534.151887007906</f>
        <v>-1320.3775005931157</v>
      </c>
      <c r="L2291" t="s">
        <v>24899</v>
      </c>
      <c r="M2291" t="s">
        <v>24900</v>
      </c>
      <c r="N2291">
        <f>-675.117175939175 -190.148216038716 -552.822424132878</f>
        <v>-1418.0878161107689</v>
      </c>
      <c r="O2291">
        <f>-615.012388555321 -311.803565530518 -530.80002352348</f>
        <v>-1457.6159776093191</v>
      </c>
      <c r="P2291">
        <f>-573.803797893109 -379.280966832103 -247.357206141315</f>
        <v>-1200.4419708665271</v>
      </c>
      <c r="Q2291">
        <f>-453.375021977487 -193.508473344787 -342.416993020837</f>
        <v>-989.30048834311106</v>
      </c>
      <c r="R2291">
        <f>-680.063213056897 -54.2480720563001 -99.7727066705613</f>
        <v>-834.08399178375839</v>
      </c>
      <c r="S2291" t="s">
        <v>24901</v>
      </c>
      <c r="T2291" t="s">
        <v>24902</v>
      </c>
      <c r="U2291" t="s">
        <v>24903</v>
      </c>
      <c r="V2291">
        <f>-583.967475627153 -215.182664961543 -94.5235669980917</f>
        <v>-893.67370758678771</v>
      </c>
      <c r="W2291" t="s">
        <v>24904</v>
      </c>
      <c r="X2291" t="s">
        <v>24905</v>
      </c>
      <c r="Y2291" t="s">
        <v>24906</v>
      </c>
    </row>
    <row r="2292" spans="1:25" x14ac:dyDescent="0.3">
      <c r="A2292">
        <v>114550</v>
      </c>
      <c r="B2292" t="s">
        <v>24907</v>
      </c>
      <c r="C2292">
        <f>-631.947519447157 -134.70307109803 -96.050321312641</f>
        <v>-862.70091185782803</v>
      </c>
      <c r="D2292">
        <f>-657.799719586078 -153.422893011873 -207.394105433027</f>
        <v>-1018.6167180309779</v>
      </c>
      <c r="E2292">
        <f>-671.179123284677 -161.321275423553 -304.786480443065</f>
        <v>-1137.2868791512951</v>
      </c>
      <c r="F2292">
        <f>-680.191523929135 -165.524863379888 -393.326604164148</f>
        <v>-1239.042991473171</v>
      </c>
      <c r="G2292">
        <f>-685.766558258461 -166.65294016716 -482.24164648736</f>
        <v>-1334.6611449129809</v>
      </c>
      <c r="H2292">
        <f>-689.913980346448 -165.034177700025 -606.744652689879</f>
        <v>-1461.6928107363519</v>
      </c>
      <c r="I2292">
        <f>-663.555150887654 -150.031588187973 -684.10840702902</f>
        <v>-1497.6951461046469</v>
      </c>
      <c r="J2292">
        <f>-700.6373351592 -141.052718372155 -551.217936079983</f>
        <v>-1392.9079896113381</v>
      </c>
      <c r="K2292">
        <f>-765.948250459005 -21.3084980956016 -534.034510912062</f>
        <v>-1321.2912594666686</v>
      </c>
      <c r="L2292" t="s">
        <v>24908</v>
      </c>
      <c r="M2292" t="s">
        <v>24909</v>
      </c>
      <c r="N2292">
        <f>-675.540602142423 -190.440340962172 -552.696032266454</f>
        <v>-1418.6769753710491</v>
      </c>
      <c r="O2292">
        <f>-615.483784476911 -312.145088626848 -530.8553652889</f>
        <v>-1458.4842383926589</v>
      </c>
      <c r="P2292">
        <f>-574.461354510834 -380.798295893188 -247.66800794888</f>
        <v>-1202.927658352902</v>
      </c>
      <c r="Q2292">
        <f>-454.003088226298 -196.41726000375 -345.362804530729</f>
        <v>-995.78315276077706</v>
      </c>
      <c r="R2292">
        <f>-680.206693201976 -54.3463172558013 -99.6744530447113</f>
        <v>-834.2274635024886</v>
      </c>
      <c r="S2292" t="s">
        <v>24910</v>
      </c>
      <c r="T2292" t="s">
        <v>24911</v>
      </c>
      <c r="U2292" t="s">
        <v>24912</v>
      </c>
      <c r="V2292">
        <f>-583.923821738554 -215.445640318886 -94.4922814339858</f>
        <v>-893.86174349142584</v>
      </c>
      <c r="W2292" t="s">
        <v>24913</v>
      </c>
      <c r="X2292" t="s">
        <v>24914</v>
      </c>
      <c r="Y2292" t="s">
        <v>24915</v>
      </c>
    </row>
    <row r="2293" spans="1:25" x14ac:dyDescent="0.3">
      <c r="A2293">
        <v>114600</v>
      </c>
      <c r="B2293" t="s">
        <v>24916</v>
      </c>
      <c r="C2293">
        <f>-631.830079032925 -135.353842594645 -95.8704780192388</f>
        <v>-863.05439964680886</v>
      </c>
      <c r="D2293">
        <f>-657.985770296976 -154.236221114595 -207.116056038397</f>
        <v>-1019.338047449968</v>
      </c>
      <c r="E2293">
        <f>-671.58435884944 -162.246219852103 -304.468846088337</f>
        <v>-1138.29942478988</v>
      </c>
      <c r="F2293">
        <f>-680.776110351746 -166.540726729571 -392.98618811863</f>
        <v>-1240.3030251999471</v>
      </c>
      <c r="G2293">
        <f>-686.51072353576 -167.749874611091 -481.889887620725</f>
        <v>-1336.1504857675759</v>
      </c>
      <c r="H2293">
        <f>-690.859531496941 -166.234570918117 -606.387363222737</f>
        <v>-1463.4814656377951</v>
      </c>
      <c r="I2293">
        <f>-664.332700183593 -151.131697879649 -683.674275837656</f>
        <v>-1499.1386739008981</v>
      </c>
      <c r="J2293">
        <f>-701.514960012017 -142.218155733272 -550.862651664131</f>
        <v>-1394.5957674094202</v>
      </c>
      <c r="K2293">
        <f>-767.104629332247 -22.6396412536603 -533.639538489657</f>
        <v>-1323.3838090755644</v>
      </c>
      <c r="L2293" t="s">
        <v>24917</v>
      </c>
      <c r="M2293" t="s">
        <v>24918</v>
      </c>
      <c r="N2293">
        <f>-676.376799935451 -191.584592084546 -552.341735168362</f>
        <v>-1420.303127188359</v>
      </c>
      <c r="O2293">
        <f>-616.371256646059 -313.384393263226 -530.818414700093</f>
        <v>-1460.574064609378</v>
      </c>
      <c r="P2293">
        <f>-576.345287527365 -384.024957096755 -247.977556104521</f>
        <v>-1208.347800728641</v>
      </c>
      <c r="Q2293">
        <f>-458.341669846565 -199.956008652718 -349.193447659735</f>
        <v>-1007.491126159018</v>
      </c>
      <c r="R2293">
        <f>-680.285187297398 -54.9362826810286 -99.397306402033</f>
        <v>-834.61877638045962</v>
      </c>
      <c r="S2293" t="s">
        <v>24919</v>
      </c>
      <c r="T2293" t="s">
        <v>24920</v>
      </c>
      <c r="U2293" t="s">
        <v>24921</v>
      </c>
      <c r="V2293">
        <f>-583.611398746828 -216.168310102669 -94.3779147025133</f>
        <v>-894.15762355201025</v>
      </c>
      <c r="W2293" t="s">
        <v>24922</v>
      </c>
      <c r="X2293" t="s">
        <v>24923</v>
      </c>
      <c r="Y2293" t="s">
        <v>24924</v>
      </c>
    </row>
    <row r="2294" spans="1:25" x14ac:dyDescent="0.3">
      <c r="A2294">
        <v>114650</v>
      </c>
      <c r="B2294" t="s">
        <v>24925</v>
      </c>
      <c r="C2294">
        <f>-631.750561307741 -135.753958433281 -95.7950063154213</f>
        <v>-863.29952605644337</v>
      </c>
      <c r="D2294">
        <f>-658.074583684969 -154.731512968777 -206.98454504779</f>
        <v>-1019.7906417015359</v>
      </c>
      <c r="E2294">
        <f>-671.82120850102 -162.801065767613 -304.31164823676</f>
        <v>-1138.933922505393</v>
      </c>
      <c r="F2294">
        <f>-681.147238456039 -167.140962709143 -392.812682593668</f>
        <v>-1241.1008837588499</v>
      </c>
      <c r="G2294">
        <f>-687.016330900445 -168.386642159709 -481.707370168292</f>
        <v>-1337.110343228446</v>
      </c>
      <c r="H2294">
        <f>-691.552653544693 -166.913359591951 -606.198489525526</f>
        <v>-1464.66450266217</v>
      </c>
      <c r="I2294">
        <f>-664.978442009017 -151.755797257649 -683.458458425362</f>
        <v>-1500.1926976920281</v>
      </c>
      <c r="J2294">
        <f>-702.133127026978 -142.882630214453 -550.665750218342</f>
        <v>-1395.681507459773</v>
      </c>
      <c r="K2294">
        <f>-767.831952595721 -23.3804547609345 -533.385276619552</f>
        <v>-1324.5976839762075</v>
      </c>
      <c r="L2294" t="s">
        <v>24926</v>
      </c>
      <c r="M2294" t="s">
        <v>24927</v>
      </c>
      <c r="N2294">
        <f>-676.979728205983 -192.240672018767 -552.166464109686</f>
        <v>-1421.3868643344358</v>
      </c>
      <c r="O2294">
        <f>-616.913690557854 -314.02406503761 -530.766983914532</f>
        <v>-1461.7047395099962</v>
      </c>
      <c r="P2294">
        <f>-577.534906554194 -385.190958861112 -247.967025414018</f>
        <v>-1210.6928908293239</v>
      </c>
      <c r="Q2294">
        <f>-461.555199494956 -200.493172053923 -350.36964150812</f>
        <v>-1012.418013056999</v>
      </c>
      <c r="R2294">
        <f>-680.255295664116 -55.3156301725533 -99.3024637386063</f>
        <v>-834.87338957527561</v>
      </c>
      <c r="S2294" t="s">
        <v>24928</v>
      </c>
      <c r="T2294" t="s">
        <v>24929</v>
      </c>
      <c r="U2294" t="s">
        <v>24930</v>
      </c>
      <c r="V2294">
        <f>-583.50498496708 -216.567789767596 -94.3057808765332</f>
        <v>-894.37855561120909</v>
      </c>
      <c r="W2294" t="s">
        <v>24931</v>
      </c>
      <c r="X2294" t="s">
        <v>24932</v>
      </c>
      <c r="Y2294" t="s">
        <v>24933</v>
      </c>
    </row>
    <row r="2295" spans="1:25" x14ac:dyDescent="0.3">
      <c r="A2295">
        <v>114700</v>
      </c>
      <c r="B2295" t="s">
        <v>24934</v>
      </c>
      <c r="C2295">
        <f>-631.751999561983 -136.216517760832 -95.7397398385233</f>
        <v>-863.70825716133822</v>
      </c>
      <c r="D2295">
        <f>-658.214108710264 -155.288889796079 -206.880291725356</f>
        <v>-1020.3832902316989</v>
      </c>
      <c r="E2295">
        <f>-672.109538050478 -163.420837723573 -304.181123127068</f>
        <v>-1139.7114989011191</v>
      </c>
      <c r="F2295">
        <f>-681.582299857157 -167.808780502878 -392.664128013066</f>
        <v>-1242.0552083731009</v>
      </c>
      <c r="G2295">
        <f>-687.610457181119 -169.093407555333 -481.547541604285</f>
        <v>-1338.251406340737</v>
      </c>
      <c r="H2295">
        <f>-692.381922934547 -167.664570414407 -606.030459097727</f>
        <v>-1466.0769524466809</v>
      </c>
      <c r="I2295">
        <f>-665.787268532278 -152.456645787633 -683.273433697084</f>
        <v>-1501.5173480169949</v>
      </c>
      <c r="J2295">
        <f>-702.871277580416 -143.621077666087 -550.485942645794</f>
        <v>-1396.978297892297</v>
      </c>
      <c r="K2295">
        <f>-768.705571556523 -24.194434832961 -533.103834585335</f>
        <v>-1326.003840974819</v>
      </c>
      <c r="L2295" t="s">
        <v>24935</v>
      </c>
      <c r="M2295" t="s">
        <v>24936</v>
      </c>
      <c r="N2295">
        <f>-677.693208479655 -192.965636786451 -552.017537741578</f>
        <v>-1422.6763830076841</v>
      </c>
      <c r="O2295">
        <f>-617.498429359052 -314.693166415769 -530.67865700052</f>
        <v>-1462.8702527753412</v>
      </c>
      <c r="P2295">
        <f>-578.929903579347 -385.599371740977 -247.701702159573</f>
        <v>-1212.2309774798969</v>
      </c>
      <c r="Q2295">
        <f>-464.718140635247 -200.282460462043 -350.969249724476</f>
        <v>-1015.9698508217659</v>
      </c>
      <c r="R2295">
        <f>-680.304130953657 -55.6954289372127 -99.2549534198916</f>
        <v>-835.25451331076135</v>
      </c>
      <c r="S2295" t="s">
        <v>24937</v>
      </c>
      <c r="T2295" t="s">
        <v>24938</v>
      </c>
      <c r="U2295" t="s">
        <v>24939</v>
      </c>
      <c r="V2295">
        <f>-583.467222361139 -217.113328170906 -94.2429552370256</f>
        <v>-894.82350576907061</v>
      </c>
      <c r="W2295" t="s">
        <v>24940</v>
      </c>
      <c r="X2295" t="s">
        <v>24941</v>
      </c>
      <c r="Y2295" t="s">
        <v>24942</v>
      </c>
    </row>
    <row r="2296" spans="1:25" x14ac:dyDescent="0.3">
      <c r="A2296">
        <v>114750</v>
      </c>
      <c r="B2296" t="s">
        <v>24943</v>
      </c>
      <c r="C2296">
        <f>-632.111644747744 -137.109273402184 -95.6753833339093</f>
        <v>-864.89630148383719</v>
      </c>
      <c r="D2296">
        <f>-658.87338353243 -156.414885388419 -206.703920397158</f>
        <v>-1021.992189318007</v>
      </c>
      <c r="E2296">
        <f>-673.113471622388 -164.747938365618 -303.937827055466</f>
        <v>-1141.799237043472</v>
      </c>
      <c r="F2296">
        <f>-682.933198752389 -169.31662045972 -392.37387275863</f>
        <v>-1244.6236919707389</v>
      </c>
      <c r="G2296">
        <f>-689.344362996419 -170.779612933509 -481.2276972724</f>
        <v>-1341.3516732023281</v>
      </c>
      <c r="H2296">
        <f>-694.689191219958 -169.5960378657 -605.689846460835</f>
        <v>-1469.9750755464931</v>
      </c>
      <c r="I2296">
        <f>-668.203519830462 -154.383457497336 -682.969446362889</f>
        <v>-1505.5564236906871</v>
      </c>
      <c r="J2296">
        <f>-704.96166630784 -145.462994148631 -550.143609426251</f>
        <v>-1400.568269882722</v>
      </c>
      <c r="K2296">
        <f>-770.990071330643 -26.1617463701393 -532.65122456184</f>
        <v>-1329.8030422626223</v>
      </c>
      <c r="L2296" t="s">
        <v>24944</v>
      </c>
      <c r="M2296" t="s">
        <v>24945</v>
      </c>
      <c r="N2296">
        <f>-679.712703611393 -194.770639777957 -551.696787852515</f>
        <v>-1426.180131241865</v>
      </c>
      <c r="O2296">
        <f>-619.225425751495 -316.335249102497 -530.232940646819</f>
        <v>-1465.793615500811</v>
      </c>
      <c r="P2296">
        <f>-582.778196998403 -383.85846268204 -246.149301285456</f>
        <v>-1212.785960965899</v>
      </c>
      <c r="Q2296">
        <f>-468.92243486429 -199.369298893266 -351.275566496715</f>
        <v>-1019.567300254271</v>
      </c>
      <c r="R2296">
        <f>-680.864609020169 -56.4577592552984 -99.2039297393018</f>
        <v>-836.52629801476917</v>
      </c>
      <c r="S2296" t="s">
        <v>24946</v>
      </c>
      <c r="T2296" t="s">
        <v>24947</v>
      </c>
      <c r="U2296" t="s">
        <v>24948</v>
      </c>
      <c r="V2296">
        <f>-583.647783719915 -218.059096460027 -94.1382940902305</f>
        <v>-895.84517427017249</v>
      </c>
      <c r="W2296" t="s">
        <v>24949</v>
      </c>
      <c r="X2296" t="s">
        <v>24950</v>
      </c>
      <c r="Y2296" t="s">
        <v>24951</v>
      </c>
    </row>
    <row r="2297" spans="1:25" x14ac:dyDescent="0.3">
      <c r="A2297">
        <v>114800</v>
      </c>
      <c r="B2297" t="s">
        <v>24952</v>
      </c>
      <c r="C2297">
        <f>-632.676503077483 -138.027336378225 -95.6331727492774</f>
        <v>-866.33701220498529</v>
      </c>
      <c r="D2297">
        <f>-659.676027640485 -157.525174150078 -206.570329118709</f>
        <v>-1023.771530909272</v>
      </c>
      <c r="E2297">
        <f>-674.220543698394 -166.073537145582 -303.740569283105</f>
        <v>-1144.034650127081</v>
      </c>
      <c r="F2297">
        <f>-684.357152688504 -170.855822908433 -392.129660340498</f>
        <v>-1247.342635937435</v>
      </c>
      <c r="G2297">
        <f>-691.128173950612 -172.549426481085 -480.952696172541</f>
        <v>-1344.6302966042381</v>
      </c>
      <c r="H2297">
        <f>-697.021452000173 -171.704669624765 -605.39278583486</f>
        <v>-1474.1189074597978</v>
      </c>
      <c r="I2297">
        <f>-670.808897801811 -156.570625016253 -682.78078483077</f>
        <v>-1510.1603076488341</v>
      </c>
      <c r="J2297">
        <f>-707.10761578732 -147.450627634508 -549.865176400893</f>
        <v>-1404.4234198227209</v>
      </c>
      <c r="K2297">
        <f>-773.266904245077 -28.2299045241161 -532.381647185902</f>
        <v>-1333.878455955095</v>
      </c>
      <c r="L2297" t="s">
        <v>24953</v>
      </c>
      <c r="M2297" t="s">
        <v>24954</v>
      </c>
      <c r="N2297">
        <f>-681.748643366537 -196.702230913662 -551.400474718104</f>
        <v>-1429.8513489983029</v>
      </c>
      <c r="O2297">
        <f>-620.870428572782 -318.049364378928 -529.761817565806</f>
        <v>-1468.681610517516</v>
      </c>
      <c r="P2297">
        <f>-584.92383043522 -382.507131998112 -244.903587719749</f>
        <v>-1212.3345501530812</v>
      </c>
      <c r="Q2297">
        <f>-471.77314927036 -197.849379413661 -350.493901754702</f>
        <v>-1020.116430438723</v>
      </c>
      <c r="R2297">
        <f>-681.50196666014 -57.3280515015455 -99.1832610052624</f>
        <v>-838.01327916694788</v>
      </c>
      <c r="S2297" t="s">
        <v>24955</v>
      </c>
      <c r="T2297" t="s">
        <v>24956</v>
      </c>
      <c r="U2297" t="s">
        <v>24957</v>
      </c>
      <c r="V2297">
        <f>-584.070862570891 -219.105799491668 -94.0798144329215</f>
        <v>-897.25647649548046</v>
      </c>
      <c r="W2297" t="s">
        <v>24958</v>
      </c>
      <c r="X2297" t="s">
        <v>24959</v>
      </c>
      <c r="Y2297" t="s">
        <v>24960</v>
      </c>
    </row>
    <row r="2298" spans="1:25" x14ac:dyDescent="0.3">
      <c r="A2298">
        <v>114850</v>
      </c>
      <c r="B2298" t="s">
        <v>24961</v>
      </c>
      <c r="C2298">
        <f>-632.995725336296 -138.58820744606 -95.6046607966432</f>
        <v>-867.18859357899919</v>
      </c>
      <c r="D2298">
        <f>-660.089609632436 -158.152547012133 -206.507328707003</f>
        <v>-1024.749485351572</v>
      </c>
      <c r="E2298">
        <f>-674.761023841562 -166.776182122937 -303.651748191463</f>
        <v>-1145.1889541559619</v>
      </c>
      <c r="F2298">
        <f>-685.031879853912 -171.633087536016 -392.02125331068</f>
        <v>-1248.6862207006079</v>
      </c>
      <c r="G2298">
        <f>-691.957613840547 -173.406514345302 -480.830703196039</f>
        <v>-1346.194831381888</v>
      </c>
      <c r="H2298">
        <f>-698.089242753539 -172.677713456524 -605.260244452916</f>
        <v>-1476.0272006629789</v>
      </c>
      <c r="I2298">
        <f>-672.054054400517 -157.601864624358 -682.719309825439</f>
        <v>-1512.375228850314</v>
      </c>
      <c r="J2298">
        <f>-708.116390964175 -148.396341064717 -549.733653828715</f>
        <v>-1406.246385857607</v>
      </c>
      <c r="K2298">
        <f>-774.422180198849 -29.2573954757279 -532.193892317655</f>
        <v>-1335.8734679922318</v>
      </c>
      <c r="L2298" t="s">
        <v>24962</v>
      </c>
      <c r="M2298" t="s">
        <v>24963</v>
      </c>
      <c r="N2298">
        <f>-682.665664254904 -197.600433396385 -551.276128282009</f>
        <v>-1431.5422259332981</v>
      </c>
      <c r="O2298">
        <f>-621.5023157564 -318.794635851144 -529.626609378876</f>
        <v>-1469.9235609864199</v>
      </c>
      <c r="P2298">
        <f>-585.688948737197 -382.015454975101 -244.474539200526</f>
        <v>-1212.1789429128239</v>
      </c>
      <c r="Q2298">
        <f>-472.851287422803 -197.158369739526 -350.050962101573</f>
        <v>-1020.060619263902</v>
      </c>
      <c r="R2298">
        <f>-681.872101255247 -57.8236483131568 -99.1659874763848</f>
        <v>-838.86173704478858</v>
      </c>
      <c r="S2298" t="s">
        <v>24964</v>
      </c>
      <c r="T2298" t="s">
        <v>24965</v>
      </c>
      <c r="U2298" t="s">
        <v>24966</v>
      </c>
      <c r="V2298">
        <f>-584.37095243537 -219.66822241381 -94.0624407090637</f>
        <v>-898.10161555824368</v>
      </c>
      <c r="W2298" t="s">
        <v>24967</v>
      </c>
      <c r="X2298" t="s">
        <v>24968</v>
      </c>
      <c r="Y2298" t="s">
        <v>24969</v>
      </c>
    </row>
    <row r="2299" spans="1:25" x14ac:dyDescent="0.3">
      <c r="A2299">
        <v>114900</v>
      </c>
      <c r="B2299" t="s">
        <v>24970</v>
      </c>
      <c r="C2299">
        <f>-633.89635848223 -139.559039607345 -95.5397157929854</f>
        <v>-868.9951138825603</v>
      </c>
      <c r="D2299">
        <f>-661.14764141758 -159.271967144977 -206.377419654662</f>
        <v>-1026.7970282172189</v>
      </c>
      <c r="E2299">
        <f>-676.023823080027 -168.010252023446 -303.480484644875</f>
        <v>-1147.5145597483479</v>
      </c>
      <c r="F2299">
        <f>-686.507693589457 -172.96580435279 -391.819489704599</f>
        <v>-1251.2929876468459</v>
      </c>
      <c r="G2299">
        <f>-693.675456406381 -174.830611986399 -480.607866296415</f>
        <v>-1349.113934689195</v>
      </c>
      <c r="H2299">
        <f>-700.176188880415 -174.220632258731 -605.019165849728</f>
        <v>-1479.415986988874</v>
      </c>
      <c r="I2299">
        <f>-674.539851598553 -159.246571736791 -682.630908223571</f>
        <v>-1516.4173315589151</v>
      </c>
      <c r="J2299">
        <f>-710.147794903707 -149.943180193494 -549.480980375959</f>
        <v>-1409.57195547316</v>
      </c>
      <c r="K2299">
        <f>-776.750315802864 -31.0144306495222 -531.706770338606</f>
        <v>-1339.4715167909922</v>
      </c>
      <c r="L2299" t="s">
        <v>24971</v>
      </c>
      <c r="M2299" t="s">
        <v>24972</v>
      </c>
      <c r="N2299">
        <f>-684.483355428498 -199.034875083645 -551.06274546863</f>
        <v>-1434.580975980773</v>
      </c>
      <c r="O2299">
        <f>-622.651523512185 -319.917252935838 -529.519094410783</f>
        <v>-1472.0878708588061</v>
      </c>
      <c r="P2299">
        <f>-586.615321197842 -382.204833928997 -244.189762901284</f>
        <v>-1213.0099180281231</v>
      </c>
      <c r="Q2299">
        <f>-474.907282062802 -196.328194288929 -349.175763773686</f>
        <v>-1020.411240125417</v>
      </c>
      <c r="R2299">
        <f>-683.102030973565 -58.7531033564021 -99.0765563980904</f>
        <v>-840.93169072805745</v>
      </c>
      <c r="S2299" t="s">
        <v>24973</v>
      </c>
      <c r="T2299" t="s">
        <v>24974</v>
      </c>
      <c r="U2299" t="s">
        <v>24975</v>
      </c>
      <c r="V2299">
        <f>-584.975511823447 -220.648610712863 -94.0220864375244</f>
        <v>-899.64620897383452</v>
      </c>
      <c r="W2299" t="s">
        <v>24976</v>
      </c>
      <c r="X2299" t="s">
        <v>24977</v>
      </c>
      <c r="Y2299" t="s">
        <v>24978</v>
      </c>
    </row>
    <row r="2300" spans="1:25" x14ac:dyDescent="0.3">
      <c r="A2300">
        <v>114950</v>
      </c>
      <c r="B2300" t="s">
        <v>24979</v>
      </c>
      <c r="C2300">
        <f>-634.409151372079 -140.105699244261 -95.5121178044867</f>
        <v>-870.02696842082673</v>
      </c>
      <c r="D2300">
        <f>-661.678893326795 -159.922674247812 -206.326721105067</f>
        <v>-1027.9282886796741</v>
      </c>
      <c r="E2300">
        <f>-676.620095973908 -168.702451921469 -303.415993590483</f>
        <v>-1148.73854148586</v>
      </c>
      <c r="F2300">
        <f>-687.181311752902 -173.677064180927 -391.744622031376</f>
        <v>-1252.6029979652051</v>
      </c>
      <c r="G2300">
        <f>-694.445314144636 -175.541653956866 -480.525242570492</f>
        <v>-1350.5122106719941</v>
      </c>
      <c r="H2300">
        <f>-701.099898551825 -174.910831161315 -604.928376089792</f>
        <v>-1480.9391058029321</v>
      </c>
      <c r="I2300">
        <f>-675.672189503976 -159.950297677883 -682.611305098511</f>
        <v>-1518.2337922803699</v>
      </c>
      <c r="J2300">
        <f>-711.057169291012 -150.671271722573 -549.37107276643</f>
        <v>-1411.0995137800151</v>
      </c>
      <c r="K2300">
        <f>-777.836745433008 -31.8512851817575 -531.458386625298</f>
        <v>-1341.1464172400633</v>
      </c>
      <c r="L2300" t="s">
        <v>24980</v>
      </c>
      <c r="M2300" t="s">
        <v>24981</v>
      </c>
      <c r="N2300">
        <f>-685.285976159631 -199.70558081285 -550.998288793018</f>
        <v>-1435.989845765499</v>
      </c>
      <c r="O2300">
        <f>-623.142002861491 -320.440220231395 -529.569950806354</f>
        <v>-1473.1521738992401</v>
      </c>
      <c r="P2300">
        <f>-587.057777587951 -382.294330155963 -244.152446410953</f>
        <v>-1213.504554154867</v>
      </c>
      <c r="Q2300">
        <f>-475.727178192619 -196.078890300955 -348.938772696654</f>
        <v>-1020.744841190228</v>
      </c>
      <c r="R2300">
        <f>-683.774776686528 -59.2489105363013 -99.0540186313079</f>
        <v>-842.07770585413721</v>
      </c>
      <c r="S2300" t="s">
        <v>24982</v>
      </c>
      <c r="T2300" t="s">
        <v>24983</v>
      </c>
      <c r="U2300" t="s">
        <v>24984</v>
      </c>
      <c r="V2300">
        <f>-585.306924253053 -221.314804864499 -93.9899053647924</f>
        <v>-900.61163448234447</v>
      </c>
      <c r="W2300" t="s">
        <v>24985</v>
      </c>
      <c r="X2300" t="s">
        <v>24986</v>
      </c>
      <c r="Y2300" t="s">
        <v>24987</v>
      </c>
    </row>
    <row r="2301" spans="1:25" x14ac:dyDescent="0.3">
      <c r="A2301">
        <v>115000</v>
      </c>
      <c r="B2301" t="s">
        <v>24988</v>
      </c>
      <c r="C2301">
        <f>-635.335997402636 -141.012018684055 -95.5069674364923</f>
        <v>-871.85498352318336</v>
      </c>
      <c r="D2301">
        <f>-662.605668136953 -161.011672957051 -206.288767592661</f>
        <v>-1029.906108686665</v>
      </c>
      <c r="E2301">
        <f>-677.660019215884 -169.877924100853 -303.35279294111</f>
        <v>-1150.890736257847</v>
      </c>
      <c r="F2301">
        <f>-688.367394149675 -174.903827651473 -391.660889070683</f>
        <v>-1254.9321108718309</v>
      </c>
      <c r="G2301">
        <f>-695.822036030911 -176.79083579795 -480.42525950569</f>
        <v>-1353.0381313345511</v>
      </c>
      <c r="H2301">
        <f>-702.789457697059 -176.160650077208 -604.811214923992</f>
        <v>-1483.7613226982589</v>
      </c>
      <c r="I2301">
        <f>-677.820023535085 -161.225092853338 -682.647474938405</f>
        <v>-1521.6925913268281</v>
      </c>
      <c r="J2301">
        <f>-712.714599833712 -151.977842260763 -549.223592256207</f>
        <v>-1413.9160343506819</v>
      </c>
      <c r="K2301">
        <f>-779.917302863745 -33.4230705984942 -531.148527293372</f>
        <v>-1344.4889007556112</v>
      </c>
      <c r="L2301" t="s">
        <v>24989</v>
      </c>
      <c r="M2301" t="s">
        <v>24990</v>
      </c>
      <c r="N2301">
        <f>-686.732265219865 -200.89799769317 -550.926706295953</f>
        <v>-1438.556969208988</v>
      </c>
      <c r="O2301">
        <f>-624.001948695531 -321.353348284046 -529.633194071983</f>
        <v>-1474.98849105156</v>
      </c>
      <c r="P2301">
        <f>-587.744263207701 -382.586117243464 -244.10349728529</f>
        <v>-1214.4338777364549</v>
      </c>
      <c r="Q2301">
        <f>-477.105765470559 -195.870442331583 -348.732578266835</f>
        <v>-1021.7087860689769</v>
      </c>
      <c r="R2301">
        <f>-684.993012109212 -60.1698965292953 -99.0784648632491</f>
        <v>-844.24137350175647</v>
      </c>
      <c r="S2301" t="s">
        <v>24991</v>
      </c>
      <c r="T2301" t="s">
        <v>24992</v>
      </c>
      <c r="U2301" t="s">
        <v>24993</v>
      </c>
      <c r="V2301">
        <f>-585.92358561703 -222.198321146044 -93.9478887357711</f>
        <v>-902.06979549884511</v>
      </c>
      <c r="W2301" t="s">
        <v>24994</v>
      </c>
      <c r="X2301" t="s">
        <v>24995</v>
      </c>
      <c r="Y2301" t="s">
        <v>24996</v>
      </c>
    </row>
    <row r="2302" spans="1:25" x14ac:dyDescent="0.3">
      <c r="A2302">
        <v>115050</v>
      </c>
      <c r="B2302" t="s">
        <v>24997</v>
      </c>
      <c r="C2302">
        <f>-635.765413527173 -141.48546318081 -95.4978155624456</f>
        <v>-872.74869227042859</v>
      </c>
      <c r="D2302">
        <f>-663.011838809591 -161.54611453136 -206.274234924432</f>
        <v>-1030.8321882653831</v>
      </c>
      <c r="E2302">
        <f>-678.09670500555 -170.454327481801 -303.329694017294</f>
        <v>-1151.8807265046451</v>
      </c>
      <c r="F2302">
        <f>-688.851761449887 -175.514385221374 -391.630158648856</f>
        <v>-1255.996305320117</v>
      </c>
      <c r="G2302">
        <f>-696.374862706589 -177.430974156086 -480.387993738765</f>
        <v>-1354.1938306014399</v>
      </c>
      <c r="H2302">
        <f>-703.459680436971 -176.836728856586 -604.767625669752</f>
        <v>-1485.064034963309</v>
      </c>
      <c r="I2302">
        <f>-678.740142862407 -161.948259693287 -682.69260434958</f>
        <v>-1523.381006905274</v>
      </c>
      <c r="J2302">
        <f>-713.382589516541 -152.664698975786 -549.174686308646</f>
        <v>-1415.2219748009729</v>
      </c>
      <c r="K2302">
        <f>-780.805764078738 -34.2375335181407 -531.077683889275</f>
        <v>-1346.1209814861536</v>
      </c>
      <c r="L2302" t="s">
        <v>24998</v>
      </c>
      <c r="M2302" t="s">
        <v>24999</v>
      </c>
      <c r="N2302">
        <f>-687.301364713941 -201.531713137487 -550.893793779107</f>
        <v>-1439.726871630535</v>
      </c>
      <c r="O2302">
        <f>-624.293613016885 -321.840966334433 -529.61928490226</f>
        <v>-1475.7538642535781</v>
      </c>
      <c r="P2302">
        <f>-588.001051550343 -382.699876899361 -244.014162303699</f>
        <v>-1214.715090753403</v>
      </c>
      <c r="Q2302">
        <f>-477.524038299028 -195.862346700141 -348.596467975046</f>
        <v>-1021.9828529742149</v>
      </c>
      <c r="R2302">
        <f>-685.537134294415 -60.6265353562662 -99.0980931456469</f>
        <v>-845.26176279632807</v>
      </c>
      <c r="S2302" t="s">
        <v>25000</v>
      </c>
      <c r="T2302" t="s">
        <v>25001</v>
      </c>
      <c r="U2302" t="s">
        <v>25002</v>
      </c>
      <c r="V2302">
        <f>-586.230194740963 -222.706564807441 -93.93234293511</f>
        <v>-902.8691024835141</v>
      </c>
      <c r="W2302" t="s">
        <v>25003</v>
      </c>
      <c r="X2302" t="s">
        <v>25004</v>
      </c>
      <c r="Y2302" t="s">
        <v>25005</v>
      </c>
    </row>
    <row r="2303" spans="1:25" x14ac:dyDescent="0.3">
      <c r="A2303">
        <v>115100</v>
      </c>
      <c r="B2303" t="s">
        <v>25006</v>
      </c>
      <c r="C2303">
        <f>-636.651761784338 -142.197558719304 -95.4537368735117</f>
        <v>-874.30305737715366</v>
      </c>
      <c r="D2303">
        <f>-663.867494349294 -162.351368780986 -206.220890548909</f>
        <v>-1032.4397536791892</v>
      </c>
      <c r="E2303">
        <f>-678.963537569627 -171.319701244845 -303.268871105505</f>
        <v>-1153.5521099199768</v>
      </c>
      <c r="F2303">
        <f>-689.743444492871 -176.426844923905 -391.563652493246</f>
        <v>-1257.7339419100222</v>
      </c>
      <c r="G2303">
        <f>-697.306732986619 -178.381844701646 -480.317312930612</f>
        <v>-1356.0058906188769</v>
      </c>
      <c r="H2303">
        <f>-704.464230677692 -177.831759957925 -604.692960643457</f>
        <v>-1486.9889512790739</v>
      </c>
      <c r="I2303">
        <f>-680.263160757729 -163.13143470641 -682.816133305162</f>
        <v>-1526.2107287693011</v>
      </c>
      <c r="J2303">
        <f>-714.431428399522 -153.68127850272 -549.098558588547</f>
        <v>-1417.2112654907892</v>
      </c>
      <c r="K2303">
        <f>-782.116838683763 -35.4196222628077 -530.961228340268</f>
        <v>-1348.4976892868387</v>
      </c>
      <c r="L2303" t="s">
        <v>25007</v>
      </c>
      <c r="M2303" t="s">
        <v>25008</v>
      </c>
      <c r="N2303">
        <f>-688.197703523541 -202.466292813766 -550.82401913775</f>
        <v>-1441.4880154750572</v>
      </c>
      <c r="O2303">
        <f>-624.694581827495 -322.527293436959 -529.550398776901</f>
        <v>-1476.7722740413551</v>
      </c>
      <c r="P2303">
        <f>-588.571160080343 -382.540710755656 -243.745089714793</f>
        <v>-1214.8569605507921</v>
      </c>
      <c r="Q2303">
        <f>-478.167510621058 -195.24168234027 -347.576742160516</f>
        <v>-1020.985935121844</v>
      </c>
      <c r="R2303">
        <f>-686.686897871601 -61.3188743699723 -99.085428883396</f>
        <v>-847.0912011249693</v>
      </c>
      <c r="S2303" t="s">
        <v>25009</v>
      </c>
      <c r="T2303" t="s">
        <v>25010</v>
      </c>
      <c r="U2303" t="s">
        <v>25011</v>
      </c>
      <c r="V2303">
        <f>-586.871974156991 -223.433392122112 -93.8677378803571</f>
        <v>-904.17310415946008</v>
      </c>
      <c r="W2303" t="s">
        <v>25012</v>
      </c>
      <c r="X2303" t="s">
        <v>25013</v>
      </c>
      <c r="Y2303" t="s">
        <v>25014</v>
      </c>
    </row>
    <row r="2304" spans="1:25" x14ac:dyDescent="0.3">
      <c r="A2304">
        <v>115150</v>
      </c>
      <c r="B2304" t="s">
        <v>25015</v>
      </c>
      <c r="C2304">
        <f>-637.051031520608 -142.500409101665 -95.4108271781596</f>
        <v>-874.96226780043264</v>
      </c>
      <c r="D2304">
        <f>-664.267122024984 -162.695303096507 -206.17042870478</f>
        <v>-1033.132853826271</v>
      </c>
      <c r="E2304">
        <f>-679.349892596684 -171.672893088132 -303.219746674373</f>
        <v>-1154.242532359189</v>
      </c>
      <c r="F2304">
        <f>-690.111819582116 -176.778288287035 -391.516665183888</f>
        <v>-1258.4067730530392</v>
      </c>
      <c r="G2304">
        <f>-697.651363893568 -178.720599921614 -480.272686859024</f>
        <v>-1356.6446506742059</v>
      </c>
      <c r="H2304">
        <f>-704.769699547493 -178.141616699127 -604.650286285035</f>
        <v>-1487.5616025316549</v>
      </c>
      <c r="I2304">
        <f>-680.893128272062 -163.587366569381 -682.900650831257</f>
        <v>-1527.3811456727001</v>
      </c>
      <c r="J2304">
        <f>-714.780418735571 -154.018136030927 -549.052115978316</f>
        <v>-1417.8506707448141</v>
      </c>
      <c r="K2304">
        <f>-782.566775604129 -35.8132852649289 -530.897897905521</f>
        <v>-1349.277958774579</v>
      </c>
      <c r="L2304" t="s">
        <v>25016</v>
      </c>
      <c r="M2304" t="s">
        <v>25017</v>
      </c>
      <c r="N2304">
        <f>-688.494121616212 -202.774666315875 -550.783652143605</f>
        <v>-1442.0524400756922</v>
      </c>
      <c r="O2304">
        <f>-624.83865833609 -322.739343373162 -529.468833982684</f>
        <v>-1477.0468356919359</v>
      </c>
      <c r="P2304">
        <f>-588.810263872971 -382.360685973339 -243.56946510938</f>
        <v>-1214.7404149556899</v>
      </c>
      <c r="Q2304">
        <f>-478.372514052686 -194.729369295556 -346.762860853726</f>
        <v>-1019.8647442019679</v>
      </c>
      <c r="R2304">
        <f>-687.179768474602 -61.6124604085016 -99.0519371829748</f>
        <v>-847.84416606607851</v>
      </c>
      <c r="S2304" t="s">
        <v>25018</v>
      </c>
      <c r="T2304" t="s">
        <v>25019</v>
      </c>
      <c r="U2304" t="s">
        <v>25020</v>
      </c>
      <c r="V2304">
        <f>-587.178655576308 -223.757626913672 -93.8343835546424</f>
        <v>-904.77066604462232</v>
      </c>
      <c r="W2304" t="s">
        <v>25021</v>
      </c>
      <c r="X2304" t="s">
        <v>25022</v>
      </c>
      <c r="Y2304" t="s">
        <v>25023</v>
      </c>
    </row>
    <row r="2305" spans="1:25" x14ac:dyDescent="0.3">
      <c r="A2305">
        <v>115200</v>
      </c>
      <c r="B2305" t="s">
        <v>25024</v>
      </c>
      <c r="C2305">
        <f>-637.745832401678 -143.04726664661 -95.355971569618</f>
        <v>-876.14907061790598</v>
      </c>
      <c r="D2305">
        <f>-664.898329163972 -163.298314204585 -206.120822908574</f>
        <v>-1034.317466277131</v>
      </c>
      <c r="E2305">
        <f>-679.854616132968 -172.243288217401 -303.192706481454</f>
        <v>-1155.290610831823</v>
      </c>
      <c r="F2305">
        <f>-690.472213694605 -177.28686886617 -391.510716806405</f>
        <v>-1259.26979936718</v>
      </c>
      <c r="G2305">
        <f>-697.837315436048 -179.13465628741 -480.283327619776</f>
        <v>-1357.2552993432339</v>
      </c>
      <c r="H2305">
        <f>-704.680051448626 -178.388979324042 -604.675726173141</f>
        <v>-1487.7447569458091</v>
      </c>
      <c r="I2305">
        <f>-681.486602499396 -164.170087514298 -683.192644647233</f>
        <v>-1528.8493346609271</v>
      </c>
      <c r="J2305">
        <f>-714.857307066328 -154.363515622556 -549.065311881919</f>
        <v>-1418.2861345708029</v>
      </c>
      <c r="K2305">
        <f>-782.784026111045 -36.235525312148 -530.909933206623</f>
        <v>-1349.929484629816</v>
      </c>
      <c r="L2305" t="s">
        <v>25025</v>
      </c>
      <c r="M2305" t="s">
        <v>25026</v>
      </c>
      <c r="N2305">
        <f>-688.480527175569 -203.07066438727 -550.808301758704</f>
        <v>-1442.3594933215431</v>
      </c>
      <c r="O2305">
        <f>-624.546020880339 -322.876171359391 -529.41120753591</f>
        <v>-1476.8333997756399</v>
      </c>
      <c r="P2305">
        <f>-589.298249160398 -381.779245158065 -243.265675752607</f>
        <v>-1214.3431700710701</v>
      </c>
      <c r="Q2305">
        <f>-478.694172993416 -193.156590012605 -344.454034728461</f>
        <v>-1016.304797734482</v>
      </c>
      <c r="R2305">
        <f>-687.997538990566 -62.1836718659426 -98.9906629132519</f>
        <v>-849.17187376976051</v>
      </c>
      <c r="S2305" t="s">
        <v>25027</v>
      </c>
      <c r="T2305" t="s">
        <v>25028</v>
      </c>
      <c r="U2305" t="s">
        <v>25029</v>
      </c>
      <c r="V2305">
        <f>-587.755755323342 -224.263108889337 -93.758809469405</f>
        <v>-905.77767368208401</v>
      </c>
      <c r="W2305" t="s">
        <v>25030</v>
      </c>
      <c r="X2305" t="s">
        <v>25031</v>
      </c>
      <c r="Y2305" t="s">
        <v>25032</v>
      </c>
    </row>
    <row r="2306" spans="1:25" x14ac:dyDescent="0.3">
      <c r="A2306">
        <v>115250</v>
      </c>
      <c r="B2306" t="s">
        <v>25033</v>
      </c>
      <c r="C2306">
        <f>-638.04469010741 -143.262867991298 -95.348512663936</f>
        <v>-876.65607076264405</v>
      </c>
      <c r="D2306">
        <f>-665.144245653526 -163.504463221024 -206.128090402395</f>
        <v>-1034.776799276945</v>
      </c>
      <c r="E2306">
        <f>-680.002498222392 -172.417825248225 -303.217977729586</f>
        <v>-1155.6383012002029</v>
      </c>
      <c r="F2306">
        <f>-690.509817784386 -177.423606324092 -391.551393973102</f>
        <v>-1259.48481808158</v>
      </c>
      <c r="G2306">
        <f>-697.74295316589 -179.224197594891 -480.335755057278</f>
        <v>-1357.3029058180589</v>
      </c>
      <c r="H2306">
        <f>-704.378666505472 -178.402894011913 -604.738699882744</f>
        <v>-1487.5202604001288</v>
      </c>
      <c r="I2306">
        <f>-681.55573892358 -164.375476398626 -683.398665337855</f>
        <v>-1529.329880660061</v>
      </c>
      <c r="J2306">
        <f>-714.663083484185 -154.4191397508 -549.130120670956</f>
        <v>-1418.212343905941</v>
      </c>
      <c r="K2306">
        <f>-782.634754102195 -36.3086616223682 -530.993025837606</f>
        <v>-1349.936441562169</v>
      </c>
      <c r="L2306" t="s">
        <v>25034</v>
      </c>
      <c r="M2306" t="s">
        <v>25035</v>
      </c>
      <c r="N2306">
        <f>-688.254195742481 -203.109466032522 -550.860225772845</f>
        <v>-1442.2238875478479</v>
      </c>
      <c r="O2306">
        <f>-624.202516178088 -322.836219247083 -529.413311637999</f>
        <v>-1476.4520470631701</v>
      </c>
      <c r="P2306">
        <f>-589.420632369946 -381.448004770372 -243.151092145741</f>
        <v>-1214.0197292860589</v>
      </c>
      <c r="Q2306">
        <f>-478.743532156846 -192.176589259497 -343.039872273662</f>
        <v>-1013.959993690005</v>
      </c>
      <c r="R2306">
        <f>-688.316153646219 -62.4008726200129 -98.9813138846305</f>
        <v>-849.69834015086246</v>
      </c>
      <c r="S2306" t="s">
        <v>25036</v>
      </c>
      <c r="T2306" t="s">
        <v>25037</v>
      </c>
      <c r="U2306" t="s">
        <v>25038</v>
      </c>
      <c r="V2306">
        <f>-588.03198608985 -224.460715640496 -93.7377354820134</f>
        <v>-906.23043721235933</v>
      </c>
      <c r="W2306" t="s">
        <v>25039</v>
      </c>
      <c r="X2306" t="s">
        <v>25040</v>
      </c>
      <c r="Y2306" t="s">
        <v>25041</v>
      </c>
    </row>
    <row r="2307" spans="1:25" x14ac:dyDescent="0.3">
      <c r="A2307">
        <v>115300</v>
      </c>
      <c r="B2307" t="s">
        <v>25042</v>
      </c>
      <c r="C2307">
        <f>-638.283633196284 -143.488443785979 -95.3338624194215</f>
        <v>-877.10593940168451</v>
      </c>
      <c r="D2307">
        <f>-665.28056589228 -163.67834657316 -206.147916912367</f>
        <v>-1035.1068293778071</v>
      </c>
      <c r="E2307">
        <f>-680.015085823138 -172.553296240434 -303.260170857455</f>
        <v>-1155.828552921027</v>
      </c>
      <c r="F2307">
        <f>-690.396514900363 -177.526788025908 -391.610137127272</f>
        <v>-1259.533440053543</v>
      </c>
      <c r="G2307">
        <f>-697.490215340197 -179.297550868044 -480.406574193233</f>
        <v>-1357.1943404014739</v>
      </c>
      <c r="H2307">
        <f>-703.916813720749 -178.43711943617 -604.820224834184</f>
        <v>-1487.1741579911031</v>
      </c>
      <c r="I2307">
        <f>-681.478892838304 -164.61149117302 -683.626511279472</f>
        <v>-1529.7168952907959</v>
      </c>
      <c r="J2307">
        <f>-714.307206496819 -154.477754210723 -549.22078710257</f>
        <v>-1418.0057478101121</v>
      </c>
      <c r="K2307">
        <f>-782.355795137422 -36.4066737618186 -531.129159604383</f>
        <v>-1349.8916285036235</v>
      </c>
      <c r="L2307" t="s">
        <v>25043</v>
      </c>
      <c r="M2307" t="s">
        <v>25044</v>
      </c>
      <c r="N2307">
        <f>-687.870447013403 -203.153795408392 -550.923013545663</f>
        <v>-1441.947255967458</v>
      </c>
      <c r="O2307">
        <f>-623.710958439423 -322.810268013741 -529.413160780694</f>
        <v>-1475.9343872338582</v>
      </c>
      <c r="P2307">
        <f>-589.251395558976 -381.269865314821 -243.080714911902</f>
        <v>-1213.6019757856991</v>
      </c>
      <c r="Q2307">
        <f>-478.56738775862 -191.110941250222 -341.261683783452</f>
        <v>-1010.9400127922939</v>
      </c>
      <c r="R2307">
        <f>-688.57554436355 -62.6326082779538 -98.9840037661044</f>
        <v>-850.19215640760808</v>
      </c>
      <c r="S2307" t="s">
        <v>25045</v>
      </c>
      <c r="T2307" t="s">
        <v>25046</v>
      </c>
      <c r="U2307" t="s">
        <v>25047</v>
      </c>
      <c r="V2307">
        <f>-588.221427674419 -224.695898202862 -93.7187157247639</f>
        <v>-906.63604160204488</v>
      </c>
      <c r="W2307" t="s">
        <v>25048</v>
      </c>
      <c r="X2307" t="s">
        <v>25049</v>
      </c>
      <c r="Y2307" t="s">
        <v>25050</v>
      </c>
    </row>
    <row r="2308" spans="1:25" x14ac:dyDescent="0.3">
      <c r="A2308">
        <v>115350</v>
      </c>
      <c r="B2308" t="s">
        <v>25051</v>
      </c>
      <c r="C2308">
        <f>-638.643581808451 -143.7519722766 -95.334950411004</f>
        <v>-877.730504496055</v>
      </c>
      <c r="D2308">
        <f>-665.444994660424 -163.897388013809 -206.204512440566</f>
        <v>-1035.5468951147991</v>
      </c>
      <c r="E2308">
        <f>-679.953496542036 -172.714763443332 -303.356126096007</f>
        <v>-1156.024386081375</v>
      </c>
      <c r="F2308">
        <f>-690.107204161183 -177.629129840277 -391.735897152964</f>
        <v>-1259.472231154424</v>
      </c>
      <c r="G2308">
        <f>-696.950005073541 -179.333160034576 -480.553237941393</f>
        <v>-1356.83640304951</v>
      </c>
      <c r="H2308">
        <f>-703.002037933534 -178.371593001557 -604.985011577922</f>
        <v>-1486.3586425130129</v>
      </c>
      <c r="I2308">
        <f>-681.191863346635 -164.888161897385 -684.026386700507</f>
        <v>-1530.1064119445271</v>
      </c>
      <c r="J2308">
        <f>-713.591432753657 -154.474610729152 -549.396157576702</f>
        <v>-1417.462201059511</v>
      </c>
      <c r="K2308">
        <f>-781.748357356451 -36.4701283233683 -531.347624666265</f>
        <v>-1349.5661103460843</v>
      </c>
      <c r="L2308" t="s">
        <v>25052</v>
      </c>
      <c r="M2308" t="s">
        <v>25053</v>
      </c>
      <c r="N2308">
        <f>-687.086291832161 -203.114841542837 -551.061083502529</f>
        <v>-1441.262216877527</v>
      </c>
      <c r="O2308">
        <f>-622.66217909929 -322.622489306071 -529.449015852929</f>
        <v>-1474.7336842582899</v>
      </c>
      <c r="P2308">
        <f>-588.899128502652 -380.818545358958 -242.979905655006</f>
        <v>-1212.6975795166161</v>
      </c>
      <c r="Q2308">
        <f>-477.883572541548 -189.178405742975 -337.850714590812</f>
        <v>-1004.912692875335</v>
      </c>
      <c r="R2308">
        <f>-688.981258654382 -62.9115136735581 -99.0211155476445</f>
        <v>-850.91388787558469</v>
      </c>
      <c r="S2308" t="s">
        <v>25054</v>
      </c>
      <c r="T2308" t="s">
        <v>25055</v>
      </c>
      <c r="U2308" t="s">
        <v>25056</v>
      </c>
      <c r="V2308">
        <f>-588.559997487004 -224.925882702977 -93.6909465188764</f>
        <v>-907.17682670885745</v>
      </c>
      <c r="W2308" t="s">
        <v>25057</v>
      </c>
      <c r="X2308" t="s">
        <v>25058</v>
      </c>
      <c r="Y2308" t="s">
        <v>25059</v>
      </c>
    </row>
    <row r="2309" spans="1:25" x14ac:dyDescent="0.3">
      <c r="A2309">
        <v>115400</v>
      </c>
      <c r="B2309" t="s">
        <v>25060</v>
      </c>
      <c r="C2309">
        <f>-638.806013218366 -143.954548999452 -95.3056966831565</f>
        <v>-878.0662589009745</v>
      </c>
      <c r="D2309">
        <f>-665.489359482589 -164.104691051623 -206.20291092651</f>
        <v>-1035.7969614607221</v>
      </c>
      <c r="E2309">
        <f>-679.865789319125 -172.869322848316 -303.378754269</f>
        <v>-1156.113866436441</v>
      </c>
      <c r="F2309">
        <f>-689.886609996544 -177.71397711532 -391.777577392668</f>
        <v>-1259.3781645045322</v>
      </c>
      <c r="G2309">
        <f>-696.583108746445 -179.32597919876 -480.607775102852</f>
        <v>-1356.5168630480571</v>
      </c>
      <c r="H2309">
        <f>-702.416621550395 -178.212267378255 -605.048699301144</f>
        <v>-1485.6775882297939</v>
      </c>
      <c r="I2309">
        <f>-681.158093334238 -164.94428283212 -684.276668048429</f>
        <v>-1530.379044214787</v>
      </c>
      <c r="J2309">
        <f>-713.149118036384 -154.408181253736 -549.447567745391</f>
        <v>-1417.0048670355109</v>
      </c>
      <c r="K2309">
        <f>-781.437527484502 -36.4869695025222 -531.315677840169</f>
        <v>-1349.2401748271932</v>
      </c>
      <c r="L2309" t="s">
        <v>25061</v>
      </c>
      <c r="M2309" t="s">
        <v>25062</v>
      </c>
      <c r="N2309">
        <f>-686.550086016916 -202.996540362803 -551.129258877668</f>
        <v>-1440.6758852573871</v>
      </c>
      <c r="O2309">
        <f>-621.806664725284 -322.319377745879 -529.507568790186</f>
        <v>-1473.633611261349</v>
      </c>
      <c r="P2309">
        <f>-588.496415144967 -380.282079287817 -242.9381636054</f>
        <v>-1211.7166580381841</v>
      </c>
      <c r="Q2309">
        <f>-477.890902895571 -187.068807162865 -335.05721448372</f>
        <v>-1000.0169245421559</v>
      </c>
      <c r="R2309">
        <f>-689.299815061199 -63.208168430015 -98.9828268706958</f>
        <v>-851.49081036190978</v>
      </c>
      <c r="S2309" t="s">
        <v>25063</v>
      </c>
      <c r="T2309" t="s">
        <v>25064</v>
      </c>
      <c r="U2309" t="s">
        <v>25065</v>
      </c>
      <c r="V2309">
        <f>-588.580403398361 -225.04329395514 -93.6689178629371</f>
        <v>-907.29261521643809</v>
      </c>
      <c r="W2309" t="s">
        <v>25066</v>
      </c>
      <c r="X2309" t="s">
        <v>25067</v>
      </c>
      <c r="Y2309" t="s">
        <v>25068</v>
      </c>
    </row>
    <row r="2310" spans="1:25" x14ac:dyDescent="0.3">
      <c r="A2310">
        <v>115450</v>
      </c>
      <c r="B2310" t="s">
        <v>25069</v>
      </c>
      <c r="C2310">
        <f>-638.774055345521 -144.050354403821 -95.2670871144639</f>
        <v>-878.0914968638059</v>
      </c>
      <c r="D2310">
        <f>-665.421752717437 -164.230491453795 -206.167502759903</f>
        <v>-1035.8197469311351</v>
      </c>
      <c r="E2310">
        <f>-679.77020695807 -172.971679409555 -303.349538839017</f>
        <v>-1156.091425206642</v>
      </c>
      <c r="F2310">
        <f>-689.766041277042 -177.775951180787 -391.753397583983</f>
        <v>-1259.295390041812</v>
      </c>
      <c r="G2310">
        <f>-696.437707511874 -179.327611564766 -480.586669164831</f>
        <v>-1356.351988241471</v>
      </c>
      <c r="H2310">
        <f>-702.236818486456 -178.108913570978 -605.028181682407</f>
        <v>-1485.3739137398409</v>
      </c>
      <c r="I2310">
        <f>-681.210588620509 -164.889463567171 -684.326144086224</f>
        <v>-1530.426196273904</v>
      </c>
      <c r="J2310">
        <f>-713.017836142258 -154.3700183912 -549.408490576965</f>
        <v>-1416.7963451104231</v>
      </c>
      <c r="K2310">
        <f>-781.433944855511 -36.537452088819 -531.202652693164</f>
        <v>-1349.1740496374941</v>
      </c>
      <c r="L2310" t="s">
        <v>25070</v>
      </c>
      <c r="M2310" t="s">
        <v>25071</v>
      </c>
      <c r="N2310">
        <f>-686.351945805575 -202.920358086762 -551.126679317645</f>
        <v>-1440.3989832099819</v>
      </c>
      <c r="O2310">
        <f>-621.399019912065 -322.144367388393 -529.538181234514</f>
        <v>-1473.0815685349721</v>
      </c>
      <c r="P2310">
        <f>-588.036049511915 -380.084830616957 -242.970550226407</f>
        <v>-1211.091430355279</v>
      </c>
      <c r="Q2310">
        <f>-477.921371396275 -185.939518397607 -333.707591876742</f>
        <v>-997.56848167062412</v>
      </c>
      <c r="R2310">
        <f>-689.356779660016 -63.3473118470498 -98.9511706392899</f>
        <v>-851.65526214635565</v>
      </c>
      <c r="S2310" t="s">
        <v>25072</v>
      </c>
      <c r="T2310" t="s">
        <v>25073</v>
      </c>
      <c r="U2310" t="s">
        <v>25074</v>
      </c>
      <c r="V2310">
        <f>-588.441805237505 -225.122188646038 -93.6437331662349</f>
        <v>-907.20772704977799</v>
      </c>
      <c r="W2310" t="s">
        <v>25075</v>
      </c>
      <c r="X2310" t="s">
        <v>25076</v>
      </c>
      <c r="Y2310" t="s">
        <v>25077</v>
      </c>
    </row>
    <row r="2311" spans="1:25" x14ac:dyDescent="0.3">
      <c r="A2311">
        <v>115500</v>
      </c>
      <c r="B2311" t="s">
        <v>25078</v>
      </c>
      <c r="C2311">
        <f>-638.418289297031 -144.330430059569 -95.171820650686</f>
        <v>-877.92054000728604</v>
      </c>
      <c r="D2311">
        <f>-665.048593674537 -164.579560382042 -206.063767812303</f>
        <v>-1035.691921868882</v>
      </c>
      <c r="E2311">
        <f>-679.402805184165 -173.282118614454 -303.248622834672</f>
        <v>-1155.9335466332909</v>
      </c>
      <c r="F2311">
        <f>-689.411148831554 -178.012272543835 -391.65507566438</f>
        <v>-1259.078497039769</v>
      </c>
      <c r="G2311">
        <f>-696.10336448679 -179.448937351933 -480.488603775954</f>
        <v>-1356.0409056146771</v>
      </c>
      <c r="H2311">
        <f>-701.939706671886 -178.026037332966 -604.926102951832</f>
        <v>-1484.891846956684</v>
      </c>
      <c r="I2311">
        <f>-681.25882839522 -164.786217737838 -684.311461920267</f>
        <v>-1530.3565080533249</v>
      </c>
      <c r="J2311">
        <f>-712.791203317291 -154.426600691393 -549.260835768375</f>
        <v>-1416.478639777059</v>
      </c>
      <c r="K2311">
        <f>-781.587717765508 -36.848374353511 -530.809461421071</f>
        <v>-1349.24555354009</v>
      </c>
      <c r="L2311" t="s">
        <v>25079</v>
      </c>
      <c r="M2311" t="s">
        <v>25080</v>
      </c>
      <c r="N2311">
        <f>-685.951641091954 -202.877765779657 -551.073774004719</f>
        <v>-1439.90318087633</v>
      </c>
      <c r="O2311">
        <f>-620.525718310494 -321.868269750031 -529.650211579769</f>
        <v>-1472.044199640294</v>
      </c>
      <c r="P2311">
        <f>-586.988234349857 -379.653061393242 -243.071463635801</f>
        <v>-1209.7127593788998</v>
      </c>
      <c r="Q2311">
        <f>-477.058940575577 -184.485692653411 -331.818930805749</f>
        <v>-993.36356403473701</v>
      </c>
      <c r="R2311">
        <f>-689.202400443165 -63.6825850339305 -98.822778042041</f>
        <v>-851.70776351913651</v>
      </c>
      <c r="S2311" t="s">
        <v>25081</v>
      </c>
      <c r="T2311" t="s">
        <v>25082</v>
      </c>
      <c r="U2311" t="s">
        <v>25083</v>
      </c>
      <c r="V2311">
        <f>-587.879901340298 -225.363278389804 -93.5816685397382</f>
        <v>-906.82484826984023</v>
      </c>
      <c r="W2311" t="s">
        <v>25084</v>
      </c>
      <c r="X2311" t="s">
        <v>25085</v>
      </c>
      <c r="Y2311" t="s">
        <v>25086</v>
      </c>
    </row>
    <row r="2312" spans="1:25" x14ac:dyDescent="0.3">
      <c r="A2312">
        <v>115550</v>
      </c>
      <c r="B2312" t="s">
        <v>25087</v>
      </c>
      <c r="C2312">
        <f>-638.194059202111 -144.475679584307 -95.1429377600392</f>
        <v>-877.81267654645728</v>
      </c>
      <c r="D2312">
        <f>-664.813156869788 -164.762162017244 -206.030638139082</f>
        <v>-1035.6059570261141</v>
      </c>
      <c r="E2312">
        <f>-679.185025147234 -173.451956589292 -303.213965967734</f>
        <v>-1155.8509477042599</v>
      </c>
      <c r="F2312">
        <f>-689.219869685236 -178.15263890756 -391.619112627259</f>
        <v>-1258.9916212200551</v>
      </c>
      <c r="G2312">
        <f>-695.94955540835 -179.541105331018 -480.45055317216</f>
        <v>-1355.9412139115279</v>
      </c>
      <c r="H2312">
        <f>-701.849838558482 -178.03068903669 -604.884044760532</f>
        <v>-1484.7645723557039</v>
      </c>
      <c r="I2312">
        <f>-681.291860267754 -164.718300943 -684.289240008035</f>
        <v>-1530.2994012187892</v>
      </c>
      <c r="J2312">
        <f>-712.719433812466 -154.496447439557 -549.194805365599</f>
        <v>-1416.4106866176221</v>
      </c>
      <c r="K2312">
        <f>-781.682241389803 -37.0428230588627 -530.602745044766</f>
        <v>-1349.3278094934317</v>
      </c>
      <c r="L2312" t="s">
        <v>25088</v>
      </c>
      <c r="M2312" t="s">
        <v>25089</v>
      </c>
      <c r="N2312">
        <f>-685.787457888723 -202.894326205743 -551.059313348623</f>
        <v>-1439.7410974430891</v>
      </c>
      <c r="O2312">
        <f>-620.101763706351 -321.760809112913 -529.727639905177</f>
        <v>-1471.590212724441</v>
      </c>
      <c r="P2312">
        <f>-586.215293068398 -379.567537131471 -243.194395086697</f>
        <v>-1208.977225286566</v>
      </c>
      <c r="Q2312">
        <f>-476.306507832422 -184.074112697367 -331.246930256134</f>
        <v>-991.62755078592295</v>
      </c>
      <c r="R2312">
        <f>-689.110312734704 -63.8706980010951 -98.7702096565951</f>
        <v>-851.7512203923942</v>
      </c>
      <c r="S2312" t="s">
        <v>25090</v>
      </c>
      <c r="T2312" t="s">
        <v>25091</v>
      </c>
      <c r="U2312" t="s">
        <v>25092</v>
      </c>
      <c r="V2312">
        <f>-587.548051580204 -225.455441450924 -93.5547264852189</f>
        <v>-906.55821951634687</v>
      </c>
      <c r="W2312" t="s">
        <v>25093</v>
      </c>
      <c r="X2312" t="s">
        <v>25094</v>
      </c>
      <c r="Y2312" t="s">
        <v>25095</v>
      </c>
    </row>
    <row r="2313" spans="1:25" x14ac:dyDescent="0.3">
      <c r="A2313">
        <v>115600</v>
      </c>
      <c r="B2313" t="s">
        <v>25096</v>
      </c>
      <c r="C2313">
        <f>-637.632559272314 -144.65786964374 -95.0798532660311</f>
        <v>-877.37028218208513</v>
      </c>
      <c r="D2313">
        <f>-664.223928154324 -165.033658544198 -205.957850799072</f>
        <v>-1035.2154374975939</v>
      </c>
      <c r="E2313">
        <f>-678.63120811962 -173.67757739161 -303.140083733967</f>
        <v>-1155.4488692451971</v>
      </c>
      <c r="F2313">
        <f>-688.72121024742 -178.287241068432 -391.543570117924</f>
        <v>-1258.552021433776</v>
      </c>
      <c r="G2313">
        <f>-695.530314122059 -179.532885061709 -480.371079322398</f>
        <v>-1355.434278506166</v>
      </c>
      <c r="H2313">
        <f>-701.5672422575 -177.767477541148 -604.794780428174</f>
        <v>-1484.1295002268221</v>
      </c>
      <c r="I2313">
        <f>-681.205569136676 -164.197696880454 -684.206975038813</f>
        <v>-1529.6102410559429</v>
      </c>
      <c r="J2313">
        <f>-712.477300354254 -154.40441797235 -549.041301273773</f>
        <v>-1415.9230196003768</v>
      </c>
      <c r="K2313">
        <f>-781.912715675171 -37.2787324838007 -530.09018914124</f>
        <v>-1349.2816373002115</v>
      </c>
      <c r="L2313" t="s">
        <v>25097</v>
      </c>
      <c r="M2313" t="s">
        <v>25098</v>
      </c>
      <c r="N2313">
        <f>-685.34397096827 -202.68430112711 -551.042793984615</f>
        <v>-1439.071066079995</v>
      </c>
      <c r="O2313">
        <f>-619.092141460986 -321.270262662548 -529.938494503084</f>
        <v>-1470.3008986266182</v>
      </c>
      <c r="P2313">
        <f>-584.508888262686 -379.030585070087 -243.479113597223</f>
        <v>-1207.018586929996</v>
      </c>
      <c r="Q2313">
        <f>-474.954559399064 -182.803131712297 -330.332354039878</f>
        <v>-988.09004515123911</v>
      </c>
      <c r="R2313">
        <f>-688.79709736353 -64.1228956540847 -98.6882488540839</f>
        <v>-851.60824187169862</v>
      </c>
      <c r="S2313" t="s">
        <v>25099</v>
      </c>
      <c r="T2313" t="s">
        <v>25100</v>
      </c>
      <c r="U2313" t="s">
        <v>25101</v>
      </c>
      <c r="V2313">
        <f>-586.721280908155 -225.540755529972 -93.5149444658416</f>
        <v>-905.77698090396859</v>
      </c>
      <c r="W2313" t="s">
        <v>25102</v>
      </c>
      <c r="X2313" t="s">
        <v>25103</v>
      </c>
      <c r="Y2313" t="s">
        <v>25104</v>
      </c>
    </row>
    <row r="2314" spans="1:25" x14ac:dyDescent="0.3">
      <c r="A2314">
        <v>115650</v>
      </c>
      <c r="B2314" t="s">
        <v>25105</v>
      </c>
      <c r="C2314">
        <f>-637.295216659872 -144.717885885417 -95.0623795107518</f>
        <v>-877.07548205604087</v>
      </c>
      <c r="D2314">
        <f>-663.881100999212 -165.151554470021 -205.931030669407</f>
        <v>-1034.96368613864</v>
      </c>
      <c r="E2314">
        <f>-678.293187939792 -173.770077575452 -303.114693052051</f>
        <v>-1155.177958567295</v>
      </c>
      <c r="F2314">
        <f>-688.390651996498 -178.326587191412 -391.520193754923</f>
        <v>-1258.237432942833</v>
      </c>
      <c r="G2314">
        <f>-695.210699336217 -179.487582876014 -480.348043026885</f>
        <v>-1355.046325239116</v>
      </c>
      <c r="H2314">
        <f>-701.266674712862 -177.570726466496 -604.768544537358</f>
        <v>-1483.6059457167162</v>
      </c>
      <c r="I2314">
        <f>-680.971686617177 -163.845085583683 -684.170973233271</f>
        <v>-1528.9877454341308</v>
      </c>
      <c r="J2314">
        <f>-712.221453419407 -154.305623503943 -548.982887549297</f>
        <v>-1415.509964472647</v>
      </c>
      <c r="K2314">
        <f>-781.966231502268 -37.3959412976976 -529.875184065171</f>
        <v>-1349.2373568651365</v>
      </c>
      <c r="L2314" t="s">
        <v>25106</v>
      </c>
      <c r="M2314" t="s">
        <v>25107</v>
      </c>
      <c r="N2314">
        <f>-684.982022019236 -202.522916311141 -551.051683724858</f>
        <v>-1438.556622055235</v>
      </c>
      <c r="O2314">
        <f>-618.425664840982 -320.957858299998 -530.03734205304</f>
        <v>-1469.4208651940201</v>
      </c>
      <c r="P2314">
        <f>-583.521342095611 -378.784468070226 -243.630325298034</f>
        <v>-1205.9361354638709</v>
      </c>
      <c r="Q2314">
        <f>-474.439383737467 -182.110311079352 -330.066947546911</f>
        <v>-986.61664236372997</v>
      </c>
      <c r="R2314">
        <f>-688.608229893019 -64.2618375302193 -98.6557184849469</f>
        <v>-851.52578590818518</v>
      </c>
      <c r="S2314" t="s">
        <v>25108</v>
      </c>
      <c r="T2314" t="s">
        <v>25109</v>
      </c>
      <c r="U2314" t="s">
        <v>25110</v>
      </c>
      <c r="V2314">
        <f>-586.239099555064 -225.523471989381 -93.4948275725942</f>
        <v>-905.25739911703909</v>
      </c>
      <c r="W2314" t="s">
        <v>25111</v>
      </c>
      <c r="X2314" t="s">
        <v>25112</v>
      </c>
      <c r="Y2314" t="s">
        <v>25113</v>
      </c>
    </row>
    <row r="2315" spans="1:25" x14ac:dyDescent="0.3">
      <c r="A2315">
        <v>115700</v>
      </c>
      <c r="B2315" t="s">
        <v>25114</v>
      </c>
      <c r="C2315">
        <f>-636.566958038797 -144.968069326817 -94.990877450994</f>
        <v>-876.52590481660809</v>
      </c>
      <c r="D2315">
        <f>-663.142553563778 -165.47669517021 -205.848222670916</f>
        <v>-1034.467471404904</v>
      </c>
      <c r="E2315">
        <f>-677.524111688731 -174.038079229468 -303.041555384677</f>
        <v>-1154.6037463028758</v>
      </c>
      <c r="F2315">
        <f>-687.584202940271 -178.494210881077 -391.456310585829</f>
        <v>-1257.534724407177</v>
      </c>
      <c r="G2315">
        <f>-694.358234515575 -179.503901456109 -480.289461454359</f>
        <v>-1354.1515974260431</v>
      </c>
      <c r="H2315">
        <f>-700.341260065794 -177.321349705109 -604.709223729622</f>
        <v>-1482.3718335005251</v>
      </c>
      <c r="I2315">
        <f>-680.126229520449 -163.273949444928 -684.075782678777</f>
        <v>-1527.475961644154</v>
      </c>
      <c r="J2315">
        <f>-711.44954888563 -154.24429911915 -548.87585796591</f>
        <v>-1414.5697059706899</v>
      </c>
      <c r="K2315">
        <f>-781.924671732762 -37.8104015679353 -529.515858450449</f>
        <v>-1349.2509317511463</v>
      </c>
      <c r="L2315" t="s">
        <v>25115</v>
      </c>
      <c r="M2315" t="s">
        <v>25116</v>
      </c>
      <c r="N2315">
        <f>-683.967362393846 -202.3193459392 -551.040791963277</f>
        <v>-1437.3275002963228</v>
      </c>
      <c r="O2315">
        <f>-616.74045498015 -320.398894148412 -530.185625331121</f>
        <v>-1467.3249744596831</v>
      </c>
      <c r="P2315">
        <f>-581.43791003124 -378.375487259494 -243.857894377705</f>
        <v>-1203.6712916684389</v>
      </c>
      <c r="Q2315">
        <f>-473.382484232276 -180.768361554531 -329.451812789937</f>
        <v>-983.60265857674392</v>
      </c>
      <c r="R2315">
        <f>-688.171952344836 -64.6541673457211 -98.5304683556983</f>
        <v>-851.35658804625541</v>
      </c>
      <c r="S2315" t="s">
        <v>25117</v>
      </c>
      <c r="T2315" t="s">
        <v>25118</v>
      </c>
      <c r="U2315" t="s">
        <v>25119</v>
      </c>
      <c r="V2315">
        <f>-585.213211844659 -225.642370264008 -93.4701025565025</f>
        <v>-904.32568466516955</v>
      </c>
      <c r="W2315" t="s">
        <v>25120</v>
      </c>
      <c r="X2315" t="s">
        <v>25121</v>
      </c>
      <c r="Y2315" t="s">
        <v>25122</v>
      </c>
    </row>
    <row r="2316" spans="1:25" x14ac:dyDescent="0.3">
      <c r="A2316">
        <v>115750</v>
      </c>
      <c r="B2316" t="s">
        <v>25123</v>
      </c>
      <c r="C2316">
        <f>-636.203306848503 -145.150339563462 -94.9490404313074</f>
        <v>-876.30268684327234</v>
      </c>
      <c r="D2316">
        <f>-662.773088564396 -165.69162759016 -205.801759465906</f>
        <v>-1034.266475620462</v>
      </c>
      <c r="E2316">
        <f>-677.120739221837 -174.223968359722 -303.002484153608</f>
        <v>-1154.3471917351669</v>
      </c>
      <c r="F2316">
        <f>-687.138044847038 -178.631072453817 -391.424696326714</f>
        <v>-1257.1938136275689</v>
      </c>
      <c r="G2316">
        <f>-693.857680069612 -179.567587305955 -480.26287831233</f>
        <v>-1353.6881456878971</v>
      </c>
      <c r="H2316">
        <f>-699.752999415748 -177.257315869195 -604.684302476361</f>
        <v>-1481.694617761304</v>
      </c>
      <c r="I2316">
        <f>-679.555926121698 -163.053589025322 -684.027659101232</f>
        <v>-1526.637174248252</v>
      </c>
      <c r="J2316">
        <f>-710.967282071805 -154.275901773487 -548.832680211507</f>
        <v>-1414.075864056799</v>
      </c>
      <c r="K2316">
        <f>-781.838194929202 -38.1046275898705 -529.349807422203</f>
        <v>-1349.2926299412754</v>
      </c>
      <c r="L2316" t="s">
        <v>25124</v>
      </c>
      <c r="M2316" t="s">
        <v>25125</v>
      </c>
      <c r="N2316">
        <f>-683.350314751021 -202.272080754745 -551.032472970949</f>
        <v>-1436.6548684767149</v>
      </c>
      <c r="O2316">
        <f>-615.752432724839 -320.150194425904 -530.235872899147</f>
        <v>-1466.1385000498899</v>
      </c>
      <c r="P2316">
        <f>-580.279029935071 -378.274204341307 -243.95914147403</f>
        <v>-1202.512375750408</v>
      </c>
      <c r="Q2316">
        <f>-472.846279588985 -180.156105575295 -329.154506869827</f>
        <v>-982.15689203410693</v>
      </c>
      <c r="R2316">
        <f>-687.955241694453 -64.8796535788564 -98.4705292083642</f>
        <v>-851.30542448167353</v>
      </c>
      <c r="S2316" t="s">
        <v>25126</v>
      </c>
      <c r="T2316" t="s">
        <v>25127</v>
      </c>
      <c r="U2316" t="s">
        <v>25128</v>
      </c>
      <c r="V2316">
        <f>-584.697696017912 -225.785423814248 -93.4536507809972</f>
        <v>-903.93677061315725</v>
      </c>
      <c r="W2316" t="s">
        <v>25129</v>
      </c>
      <c r="X2316" t="s">
        <v>25130</v>
      </c>
      <c r="Y2316" t="s">
        <v>25131</v>
      </c>
    </row>
    <row r="2317" spans="1:25" x14ac:dyDescent="0.3">
      <c r="A2317">
        <v>115800</v>
      </c>
      <c r="B2317" t="s">
        <v>25132</v>
      </c>
      <c r="C2317">
        <f>-635.480377166318 -145.279006642627 -94.8864887963364</f>
        <v>-875.6458726052814</v>
      </c>
      <c r="D2317">
        <f>-662.006564132788 -165.920134398506 -205.73108514305</f>
        <v>-1033.657783674344</v>
      </c>
      <c r="E2317">
        <f>-676.290071639848 -174.402662435321 -302.945652588723</f>
        <v>-1153.6383866638919</v>
      </c>
      <c r="F2317">
        <f>-686.2365728118 -178.711505606952 -391.380679386299</f>
        <v>-1256.3287578050508</v>
      </c>
      <c r="G2317">
        <f>-692.873276408992 -179.494411684146 -480.226608768182</f>
        <v>-1352.5942968613199</v>
      </c>
      <c r="H2317">
        <f>-698.640026747521 -176.910909756087 -604.64881021294</f>
        <v>-1480.1997467165479</v>
      </c>
      <c r="I2317">
        <f>-678.489077167827 -162.376339501371 -683.943894619518</f>
        <v>-1524.8093112887159</v>
      </c>
      <c r="J2317">
        <f>-710.048798049353 -154.131606220795 -548.753690966402</f>
        <v>-1412.9340952365501</v>
      </c>
      <c r="K2317">
        <f>-781.686735421542 -38.4881152533148 -528.954513941742</f>
        <v>-1349.1293646165989</v>
      </c>
      <c r="L2317" t="s">
        <v>25133</v>
      </c>
      <c r="M2317" t="s">
        <v>25134</v>
      </c>
      <c r="N2317">
        <f>-682.15599901104 -201.963923814234 -551.039697796507</f>
        <v>-1435.159620621781</v>
      </c>
      <c r="O2317">
        <f>-613.828956278726 -319.451916553157 -530.383786823159</f>
        <v>-1463.664659655042</v>
      </c>
      <c r="P2317">
        <f>-578.185430002017 -377.490648190892 -244.110805424898</f>
        <v>-1199.786883617807</v>
      </c>
      <c r="Q2317">
        <f>-471.605465025102 -178.579850471855 -328.526837883207</f>
        <v>-978.71215338016395</v>
      </c>
      <c r="R2317">
        <f>-687.624589242587 -65.2777905220147 -98.3583075114906</f>
        <v>-851.26068727609231</v>
      </c>
      <c r="S2317" t="s">
        <v>25135</v>
      </c>
      <c r="T2317" t="s">
        <v>25136</v>
      </c>
      <c r="U2317" t="s">
        <v>25137</v>
      </c>
      <c r="V2317">
        <f>-583.578568075724 -225.582475940074 -93.4507927266055</f>
        <v>-902.61183674240351</v>
      </c>
      <c r="W2317" t="s">
        <v>25138</v>
      </c>
      <c r="X2317" t="s">
        <v>25139</v>
      </c>
      <c r="Y2317" t="s">
        <v>25140</v>
      </c>
    </row>
    <row r="2318" spans="1:25" x14ac:dyDescent="0.3">
      <c r="A2318">
        <v>115850</v>
      </c>
      <c r="B2318" t="s">
        <v>25141</v>
      </c>
      <c r="C2318">
        <f>-635.073447199909 -145.366850732157 -94.8652691044059</f>
        <v>-875.30556703647187</v>
      </c>
      <c r="D2318">
        <f>-661.583257034993 -166.071654784256 -205.701979994286</f>
        <v>-1033.356891813535</v>
      </c>
      <c r="E2318">
        <f>-675.838808570385 -174.532017116207 -302.922586107583</f>
        <v>-1153.293411794175</v>
      </c>
      <c r="F2318">
        <f>-685.752542698703 -178.791063551816 -391.363761131066</f>
        <v>-1255.9073673815851</v>
      </c>
      <c r="G2318">
        <f>-692.349372487828 -179.493580811968 -480.213046271116</f>
        <v>-1352.0559995709118</v>
      </c>
      <c r="H2318">
        <f>-698.05240341724 -176.765746305661 -604.635133011176</f>
        <v>-1479.453282734077</v>
      </c>
      <c r="I2318">
        <f>-677.916359570473 -162.053576342155 -683.901409805916</f>
        <v>-1523.871345718544</v>
      </c>
      <c r="J2318">
        <f>-709.55939643272 -154.092190258662 -548.717383487229</f>
        <v>-1412.3689701786109</v>
      </c>
      <c r="K2318">
        <f>-781.609503411345 -38.7303393007378 -528.747623404105</f>
        <v>-1349.0874661161879</v>
      </c>
      <c r="L2318" t="s">
        <v>25142</v>
      </c>
      <c r="M2318" t="s">
        <v>25143</v>
      </c>
      <c r="N2318">
        <f>-681.526156958198 -201.840093944992 -551.049089811556</f>
        <v>-1434.415340714746</v>
      </c>
      <c r="O2318">
        <f>-612.825695220857 -319.122848449336 -530.485767849353</f>
        <v>-1462.4343115195461</v>
      </c>
      <c r="P2318">
        <f>-577.03142772499 -377.20428506516 -244.240347801633</f>
        <v>-1198.4760605917829</v>
      </c>
      <c r="Q2318">
        <f>-470.898710860277 -177.854693586599 -328.183388206177</f>
        <v>-976.93679265305298</v>
      </c>
      <c r="R2318">
        <f>-687.447669334513 -65.4799244406927 -98.3123319787297</f>
        <v>-851.23992575393538</v>
      </c>
      <c r="S2318" t="s">
        <v>25144</v>
      </c>
      <c r="T2318" t="s">
        <v>25145</v>
      </c>
      <c r="U2318" t="s">
        <v>25146</v>
      </c>
      <c r="V2318">
        <f>-582.916245579192 -225.617050786444 -93.4507327164288</f>
        <v>-901.98402908206481</v>
      </c>
      <c r="W2318" t="s">
        <v>25147</v>
      </c>
      <c r="X2318" t="s">
        <v>25148</v>
      </c>
      <c r="Y2318" t="s">
        <v>25149</v>
      </c>
    </row>
    <row r="2319" spans="1:25" x14ac:dyDescent="0.3">
      <c r="A2319">
        <v>115900</v>
      </c>
      <c r="B2319" t="s">
        <v>25150</v>
      </c>
      <c r="C2319">
        <f>-634.357738189944 -145.571046666289 -94.8223695814891</f>
        <v>-874.75115443772211</v>
      </c>
      <c r="D2319">
        <f>-660.799159327566 -166.379817793307 -205.65587754729</f>
        <v>-1032.834854668163</v>
      </c>
      <c r="E2319">
        <f>-674.966054761357 -174.767026841864 -302.89590691561</f>
        <v>-1152.628988518831</v>
      </c>
      <c r="F2319">
        <f>-684.785164558675 -178.896170592201 -391.353700595279</f>
        <v>-1255.035035746155</v>
      </c>
      <c r="G2319">
        <f>-691.273792980815 -179.402358396956 -480.212414662803</f>
        <v>-1350.888566040574</v>
      </c>
      <c r="H2319">
        <f>-696.811516607502 -176.330314568927 -604.633896638896</f>
        <v>-1477.7757278153249</v>
      </c>
      <c r="I2319">
        <f>-676.703905686909 -161.201070657034 -683.828722047387</f>
        <v>-1521.7336983913301</v>
      </c>
      <c r="J2319">
        <f>-708.543213559937 -153.900659776225 -548.664342893894</f>
        <v>-1411.1082162300559</v>
      </c>
      <c r="K2319">
        <f>-781.45658167768 -39.134744602306 -528.425667791737</f>
        <v>-1349.016994071723</v>
      </c>
      <c r="L2319" t="s">
        <v>25151</v>
      </c>
      <c r="M2319" t="s">
        <v>25152</v>
      </c>
      <c r="N2319">
        <f>-680.206062544663 -201.463686974367 -551.100007586652</f>
        <v>-1432.7697571056819</v>
      </c>
      <c r="O2319">
        <f>-610.731712831726 -318.325379569722 -530.722822891236</f>
        <v>-1459.7799152926841</v>
      </c>
      <c r="P2319">
        <f>-574.643747036667 -376.688034071323 -244.571336479816</f>
        <v>-1195.903117587806</v>
      </c>
      <c r="Q2319">
        <f>-469.729420548664 -176.260108053592 -327.472050456909</f>
        <v>-973.46157905916493</v>
      </c>
      <c r="R2319">
        <f>-687.145414620414 -65.9283423022644 -98.2246482001051</f>
        <v>-851.29840512278349</v>
      </c>
      <c r="S2319" t="s">
        <v>25153</v>
      </c>
      <c r="T2319" t="s">
        <v>25154</v>
      </c>
      <c r="U2319" t="s">
        <v>25155</v>
      </c>
      <c r="V2319">
        <f>-581.832216561585 -225.590778130337 -93.4428850017935</f>
        <v>-900.86587969371544</v>
      </c>
      <c r="W2319" t="s">
        <v>25156</v>
      </c>
      <c r="X2319" t="s">
        <v>25157</v>
      </c>
      <c r="Y2319" t="s">
        <v>25158</v>
      </c>
    </row>
    <row r="2320" spans="1:25" x14ac:dyDescent="0.3">
      <c r="A2320">
        <v>115950</v>
      </c>
      <c r="B2320" t="s">
        <v>25159</v>
      </c>
      <c r="C2320">
        <f>-634.078497461779 -145.777509079586 -94.795014187483</f>
        <v>-874.65102072884804</v>
      </c>
      <c r="D2320">
        <f>-660.496662578608 -166.615232248156 -205.628566902499</f>
        <v>-1032.740461729263</v>
      </c>
      <c r="E2320">
        <f>-674.612271717605 -174.95142254752 -302.880430864835</f>
        <v>-1152.44412512996</v>
      </c>
      <c r="F2320">
        <f>-684.371596531982 -179.004075455625 -391.348289948268</f>
        <v>-1254.7239619358752</v>
      </c>
      <c r="G2320">
        <f>-690.787951433722 -179.402147044726 -480.212901874192</f>
        <v>-1350.40300035264</v>
      </c>
      <c r="H2320">
        <f>-696.211889847392 -176.145254522996 -604.634808395849</f>
        <v>-1476.9919527662369</v>
      </c>
      <c r="I2320">
        <f>-676.108738243781 -160.783273646546 -683.785920600665</f>
        <v>-1520.6779324909921</v>
      </c>
      <c r="J2320">
        <f>-708.074476188905 -153.846634407024 -548.640376843145</f>
        <v>-1410.561487439074</v>
      </c>
      <c r="K2320">
        <f>-781.423192003792 -39.3829612499524 -528.266338008622</f>
        <v>-1349.0724912623664</v>
      </c>
      <c r="L2320" t="s">
        <v>25160</v>
      </c>
      <c r="M2320" t="s">
        <v>25161</v>
      </c>
      <c r="N2320">
        <f>-679.57563958075 -201.310402381226 -551.125167237543</f>
        <v>-1432.011209199519</v>
      </c>
      <c r="O2320">
        <f>-609.690013017324 -317.941896190926 -530.837372133725</f>
        <v>-1458.4692813419749</v>
      </c>
      <c r="P2320">
        <f>-573.497624646011 -376.454451737528 -244.729493764422</f>
        <v>-1194.6815701479609</v>
      </c>
      <c r="Q2320">
        <f>-469.234319108024 -175.469048366915 -327.100332608504</f>
        <v>-971.803700083443</v>
      </c>
      <c r="R2320">
        <f>-687.064638676933 -66.1726347975915 -98.1707407213254</f>
        <v>-851.40801419584989</v>
      </c>
      <c r="S2320" t="s">
        <v>25162</v>
      </c>
      <c r="T2320" t="s">
        <v>25163</v>
      </c>
      <c r="U2320" t="s">
        <v>25164</v>
      </c>
      <c r="V2320">
        <f>-581.394310424558 -225.742605206151 -93.4419565251784</f>
        <v>-900.57887215588732</v>
      </c>
      <c r="W2320" t="s">
        <v>25165</v>
      </c>
      <c r="X2320" t="s">
        <v>25166</v>
      </c>
      <c r="Y2320" t="s">
        <v>25167</v>
      </c>
    </row>
    <row r="2321" spans="1:25" x14ac:dyDescent="0.3">
      <c r="A2321">
        <v>116000</v>
      </c>
      <c r="B2321" t="s">
        <v>25168</v>
      </c>
      <c r="C2321">
        <f>-633.671159210266 -145.914741795558 -94.733993830444</f>
        <v>-874.31989483626796</v>
      </c>
      <c r="D2321">
        <f>-660.040855405492 -166.808657315665 -205.568540386809</f>
        <v>-1032.418053107966</v>
      </c>
      <c r="E2321">
        <f>-674.080130011826 -175.056785913126 -302.838905737288</f>
        <v>-1151.9758216622399</v>
      </c>
      <c r="F2321">
        <f>-683.755341093055 -178.975705979616 -391.322132263855</f>
        <v>-1254.053179336526</v>
      </c>
      <c r="G2321">
        <f>-690.073862666794 -179.183009805305 -480.194331066339</f>
        <v>-1349.451203538438</v>
      </c>
      <c r="H2321">
        <f>-695.347661637869 -175.599038407094 -604.613584998981</f>
        <v>-1475.5602850439441</v>
      </c>
      <c r="I2321">
        <f>-675.248694280273 -159.78834873522 -683.677515678422</f>
        <v>-1518.714558693915</v>
      </c>
      <c r="J2321">
        <f>-707.429876630826 -153.539756338391 -548.571547763323</f>
        <v>-1409.5411807325399</v>
      </c>
      <c r="K2321">
        <f>-781.648725102528 -39.6958287683417 -527.88232116093</f>
        <v>-1349.2268750317999</v>
      </c>
      <c r="L2321" t="s">
        <v>25169</v>
      </c>
      <c r="M2321" t="s">
        <v>25170</v>
      </c>
      <c r="N2321">
        <f>-678.623927870543 -200.812509389251 -551.154204795934</f>
        <v>-1430.590642055728</v>
      </c>
      <c r="O2321">
        <f>-607.934872082303 -316.990341095358 -531.069892053284</f>
        <v>-1455.9951052309448</v>
      </c>
      <c r="P2321">
        <f>-571.43499890002 -375.82686264837 -245.067725776266</f>
        <v>-1192.3295873246561</v>
      </c>
      <c r="Q2321">
        <f>-468.548817149083 -173.727119310728 -326.437266379376</f>
        <v>-968.71320283918703</v>
      </c>
      <c r="R2321">
        <f>-687.057958806135 -66.5207494929218 -98.0457317871733</f>
        <v>-851.62444008623015</v>
      </c>
      <c r="S2321" t="s">
        <v>25171</v>
      </c>
      <c r="T2321" t="s">
        <v>25172</v>
      </c>
      <c r="U2321" t="s">
        <v>25173</v>
      </c>
      <c r="V2321">
        <f>-580.578729281771 -225.631144301756 -93.4607134809603</f>
        <v>-899.67058706448722</v>
      </c>
      <c r="W2321" t="s">
        <v>25174</v>
      </c>
      <c r="X2321" t="s">
        <v>25175</v>
      </c>
      <c r="Y2321" t="s">
        <v>25176</v>
      </c>
    </row>
    <row r="2322" spans="1:25" x14ac:dyDescent="0.3">
      <c r="A2322">
        <v>116050</v>
      </c>
      <c r="B2322" t="s">
        <v>25177</v>
      </c>
      <c r="C2322">
        <f>-633.427775391968 -146.080012882771 -94.6856813718427</f>
        <v>-874.19346964658178</v>
      </c>
      <c r="D2322">
        <f>-659.814703192393 -167.032458474452 -205.505001399804</f>
        <v>-1032.3521630666492</v>
      </c>
      <c r="E2322">
        <f>-673.858945964885 -175.25007104928 -302.777282106451</f>
        <v>-1151.8862991206161</v>
      </c>
      <c r="F2322">
        <f>-683.533212652704 -179.109538245517 -391.263214819835</f>
        <v>-1253.905965718056</v>
      </c>
      <c r="G2322">
        <f>-689.845920810458 -179.224391751832 -480.136040956443</f>
        <v>-1349.2063535187331</v>
      </c>
      <c r="H2322">
        <f>-695.106301464709 -175.476666786533 -604.551086482049</f>
        <v>-1475.1340547332909</v>
      </c>
      <c r="I2322">
        <f>-675.011600582126 -159.465778099775 -683.575647981702</f>
        <v>-1518.0530266636029</v>
      </c>
      <c r="J2322">
        <f>-707.26596402669 -153.535010119816 -548.479524033479</f>
        <v>-1409.280498179985</v>
      </c>
      <c r="K2322">
        <f>-781.852555248651 -39.9596547924946 -527.596416451417</f>
        <v>-1349.4086264925627</v>
      </c>
      <c r="L2322" t="s">
        <v>25178</v>
      </c>
      <c r="M2322" t="s">
        <v>25179</v>
      </c>
      <c r="N2322">
        <f>-678.316913245823 -200.716799233915 -551.124750100965</f>
        <v>-1430.1584625807031</v>
      </c>
      <c r="O2322">
        <f>-607.264398273424 -316.697690984403 -531.181592595216</f>
        <v>-1455.1436818530431</v>
      </c>
      <c r="P2322">
        <f>-570.499336240327 -375.702639461193 -245.248115203878</f>
        <v>-1191.4500909053982</v>
      </c>
      <c r="Q2322">
        <f>-468.318533635934 -173.062550166174 -326.161215367184</f>
        <v>-967.54229916929194</v>
      </c>
      <c r="R2322">
        <f>-687.020998414052 -66.7712399397748 -97.9622846744741</f>
        <v>-851.75452302830081</v>
      </c>
      <c r="S2322" t="s">
        <v>25180</v>
      </c>
      <c r="T2322" t="s">
        <v>25181</v>
      </c>
      <c r="U2322" t="s">
        <v>25182</v>
      </c>
      <c r="V2322">
        <f>-580.106867649166 -225.781586039184 -93.4572176967916</f>
        <v>-899.3456713851416</v>
      </c>
      <c r="W2322" t="s">
        <v>25183</v>
      </c>
      <c r="X2322" t="s">
        <v>25184</v>
      </c>
      <c r="Y2322" t="s">
        <v>25185</v>
      </c>
    </row>
    <row r="2323" spans="1:25" x14ac:dyDescent="0.3">
      <c r="A2323">
        <v>116100</v>
      </c>
      <c r="B2323" t="s">
        <v>25186</v>
      </c>
      <c r="C2323">
        <f>-632.784742377305 -146.34020608432 -94.6018544614059</f>
        <v>-873.72680292303085</v>
      </c>
      <c r="D2323">
        <f>-659.186173518914 -167.435366626052 -205.390792589421</f>
        <v>-1032.012332734387</v>
      </c>
      <c r="E2323">
        <f>-673.27383540508 -175.606675609728 -302.660609417734</f>
        <v>-1151.5411204325419</v>
      </c>
      <c r="F2323">
        <f>-682.996307506749 -179.358242274754 -391.14590344948</f>
        <v>-1253.5004532309831</v>
      </c>
      <c r="G2323">
        <f>-689.366530664253 -179.297397765165 -480.014655625474</f>
        <v>-1348.6785840548919</v>
      </c>
      <c r="H2323">
        <f>-694.71639850719 -175.232867704137 -604.415858803427</f>
        <v>-1474.3651250147541</v>
      </c>
      <c r="I2323">
        <f>-674.624497559779 -158.855197337828 -683.365948866314</f>
        <v>-1516.8456437639211</v>
      </c>
      <c r="J2323">
        <f>-706.968469748087 -153.516182458619 -548.27692836128</f>
        <v>-1408.7615805679861</v>
      </c>
      <c r="K2323">
        <f>-782.214915192119 -40.4639073180383 -526.939279463088</f>
        <v>-1349.6181019732453</v>
      </c>
      <c r="L2323" t="s">
        <v>25187</v>
      </c>
      <c r="M2323" t="s">
        <v>25188</v>
      </c>
      <c r="N2323">
        <f>-677.755796996062 -200.526672205876 -551.069091836416</f>
        <v>-1429.351561038354</v>
      </c>
      <c r="O2323">
        <f>-606.009028556029 -316.137726996884 -531.456244202022</f>
        <v>-1453.6029997549349</v>
      </c>
      <c r="P2323">
        <f>-568.563002529706 -375.516326903092 -245.688455637406</f>
        <v>-1189.7677850702039</v>
      </c>
      <c r="Q2323">
        <f>-467.730692698704 -171.919117203602 -325.887477993167</f>
        <v>-965.53728789547313</v>
      </c>
      <c r="R2323">
        <f>-686.804179919933 -67.1947826531193 -97.8154696514283</f>
        <v>-851.81443222448058</v>
      </c>
      <c r="S2323" t="s">
        <v>25189</v>
      </c>
      <c r="T2323" t="s">
        <v>25190</v>
      </c>
      <c r="U2323" t="s">
        <v>25191</v>
      </c>
      <c r="V2323">
        <f>-579.023884713159 -225.873586669694 -93.4375879834837</f>
        <v>-898.33505936633662</v>
      </c>
      <c r="W2323" t="s">
        <v>25192</v>
      </c>
      <c r="X2323" t="s">
        <v>25193</v>
      </c>
      <c r="Y2323" t="s">
        <v>25194</v>
      </c>
    </row>
    <row r="2324" spans="1:25" x14ac:dyDescent="0.3">
      <c r="A2324">
        <v>116150</v>
      </c>
      <c r="B2324" t="s">
        <v>25195</v>
      </c>
      <c r="C2324">
        <f>-632.477838147781 -146.437609184793 -94.5637717910794</f>
        <v>-873.47921912365337</v>
      </c>
      <c r="D2324">
        <f>-658.908527795864 -167.584620550271 -205.335760022214</f>
        <v>-1031.8289083683489</v>
      </c>
      <c r="E2324">
        <f>-673.039256442322 -175.72852688541 -302.601686421298</f>
        <v>-1151.36946974903</v>
      </c>
      <c r="F2324">
        <f>-682.806717402515 -179.427037120052 -391.084260032166</f>
        <v>-1253.3180145547331</v>
      </c>
      <c r="G2324">
        <f>-689.228282889128 -179.283801261166 -479.949197556315</f>
        <v>-1348.461281706609</v>
      </c>
      <c r="H2324">
        <f>-694.656622198294 -175.073061572748 -604.34218664061</f>
        <v>-1474.0718704116521</v>
      </c>
      <c r="I2324">
        <f>-674.567599191224 -158.516292341335 -683.255617651461</f>
        <v>-1516.3395091840198</v>
      </c>
      <c r="J2324">
        <f>-706.939151207282 -153.463511844303 -548.168542499728</f>
        <v>-1408.5712055513131</v>
      </c>
      <c r="K2324">
        <f>-782.50684253309 -40.6700190848894 -526.613829192282</f>
        <v>-1349.7906908102614</v>
      </c>
      <c r="L2324" t="s">
        <v>25196</v>
      </c>
      <c r="M2324" t="s">
        <v>25197</v>
      </c>
      <c r="N2324">
        <f>-677.596611159062 -200.388456119047 -551.037342018056</f>
        <v>-1429.0224092961651</v>
      </c>
      <c r="O2324">
        <f>-605.510016150921 -315.820808321051 -531.59944461661</f>
        <v>-1452.930269088582</v>
      </c>
      <c r="P2324">
        <f>-567.675635474718 -375.401464253661 -245.924965035957</f>
        <v>-1189.002064764336</v>
      </c>
      <c r="Q2324">
        <f>-467.501823815702 -171.37651203042 -325.861681683059</f>
        <v>-964.74001752918093</v>
      </c>
      <c r="R2324">
        <f>-686.714599617565 -67.4060983772371 -97.7232714307855</f>
        <v>-851.8439694255876</v>
      </c>
      <c r="S2324" t="s">
        <v>25198</v>
      </c>
      <c r="T2324" t="s">
        <v>25199</v>
      </c>
      <c r="U2324" t="s">
        <v>25200</v>
      </c>
      <c r="V2324">
        <f>-578.512437029775 -225.826713936804 -93.4357716129076</f>
        <v>-897.77492257948666</v>
      </c>
      <c r="W2324" t="s">
        <v>25201</v>
      </c>
      <c r="X2324" t="s">
        <v>25202</v>
      </c>
      <c r="Y2324" t="s">
        <v>25203</v>
      </c>
    </row>
    <row r="2325" spans="1:25" x14ac:dyDescent="0.3">
      <c r="A2325">
        <v>116200</v>
      </c>
      <c r="B2325" t="s">
        <v>25204</v>
      </c>
      <c r="C2325">
        <f>-631.811214904042 -146.746171586656 -94.4699360712465</f>
        <v>-873.02732256194452</v>
      </c>
      <c r="D2325">
        <f>-658.305796684256 -167.990676980755 -205.207988230305</f>
        <v>-1031.5044618953161</v>
      </c>
      <c r="E2325">
        <f>-672.53647924862 -176.070448777755 -302.464778968915</f>
        <v>-1151.07170699529</v>
      </c>
      <c r="F2325">
        <f>-682.410930281628 -179.651739747161 -390.940244423233</f>
        <v>-1253.002914452022</v>
      </c>
      <c r="G2325">
        <f>-688.957016324442 -179.329771383635 -479.795664014923</f>
        <v>-1348.0824517229998</v>
      </c>
      <c r="H2325">
        <f>-694.578036034156 -174.804189256443 -604.169079932392</f>
        <v>-1473.551305222991</v>
      </c>
      <c r="I2325">
        <f>-674.494771432485 -157.904479323745 -683.01126391638</f>
        <v>-1515.4105146726101</v>
      </c>
      <c r="J2325">
        <f>-706.891981396449 -153.411612285265 -547.919275800592</f>
        <v>-1408.2228694823059</v>
      </c>
      <c r="K2325">
        <f>-783.005966858423 -41.0667161975507 -525.923627149148</f>
        <v>-1349.9963102051217</v>
      </c>
      <c r="L2325" t="s">
        <v>25205</v>
      </c>
      <c r="M2325" t="s">
        <v>25206</v>
      </c>
      <c r="N2325">
        <f>-677.317056223421 -200.179714256455 -550.957637993199</f>
        <v>-1428.4544084730751</v>
      </c>
      <c r="O2325">
        <f>-604.640868097301 -315.298087820732 -531.888281876341</f>
        <v>-1451.827237794374</v>
      </c>
      <c r="P2325">
        <f>-565.935479795205 -375.264428680859 -246.411251634952</f>
        <v>-1187.611160111016</v>
      </c>
      <c r="Q2325">
        <f>-466.997364789041 -170.410282961143 -325.764220900944</f>
        <v>-963.17186865112797</v>
      </c>
      <c r="R2325">
        <f>-686.355991671713 -67.8504309149098 -97.550052614612</f>
        <v>-851.75647520123482</v>
      </c>
      <c r="S2325" t="s">
        <v>25207</v>
      </c>
      <c r="T2325" t="s">
        <v>25208</v>
      </c>
      <c r="U2325" t="s">
        <v>25209</v>
      </c>
      <c r="V2325">
        <f>-577.520262097051 -226.03869344711 -93.4149271399115</f>
        <v>-896.97388268407258</v>
      </c>
      <c r="W2325" t="s">
        <v>25210</v>
      </c>
      <c r="X2325" t="s">
        <v>25211</v>
      </c>
      <c r="Y2325" t="s">
        <v>25212</v>
      </c>
    </row>
    <row r="2326" spans="1:25" x14ac:dyDescent="0.3">
      <c r="A2326">
        <v>116250</v>
      </c>
      <c r="B2326" t="s">
        <v>25213</v>
      </c>
      <c r="C2326">
        <f>-631.553769231503 -146.828163122953 -94.4311734229793</f>
        <v>-872.81310577743534</v>
      </c>
      <c r="D2326">
        <f>-658.075794751004 -168.115084937554 -205.154585401351</f>
        <v>-1031.3454650899089</v>
      </c>
      <c r="E2326">
        <f>-672.348619988644 -176.156255279063 -302.408280112853</f>
        <v>-1150.9131553805601</v>
      </c>
      <c r="F2326">
        <f>-682.267899070761 -179.67259257557 -390.881321203321</f>
        <v>-1252.8218128496519</v>
      </c>
      <c r="G2326">
        <f>-688.866088137795 -179.254532540891 -479.732623111892</f>
        <v>-1347.8532437905781</v>
      </c>
      <c r="H2326">
        <f>-694.567607552855 -174.561649579977 -604.095947504876</f>
        <v>-1473.225204637708</v>
      </c>
      <c r="I2326">
        <f>-674.481235299454 -157.504375355733 -682.903477323806</f>
        <v>-1514.8890879789931</v>
      </c>
      <c r="J2326">
        <f>-706.894808366092 -153.276332907982 -547.808484466138</f>
        <v>-1407.979625740212</v>
      </c>
      <c r="K2326">
        <f>-783.227809293106 -41.1290793377648 -525.584952598025</f>
        <v>-1349.9418412288958</v>
      </c>
      <c r="L2326" t="s">
        <v>25214</v>
      </c>
      <c r="M2326" t="s">
        <v>25215</v>
      </c>
      <c r="N2326">
        <f>-677.222524358322 -199.977223280822 -550.931184973439</f>
        <v>-1428.1309326125829</v>
      </c>
      <c r="O2326">
        <f>-604.291713956712 -314.969666327838 -532.042165869099</f>
        <v>-1451.303546153649</v>
      </c>
      <c r="P2326">
        <f>-565.204916748099 -375.126729060913 -246.657256790289</f>
        <v>-1186.9889025993011</v>
      </c>
      <c r="Q2326">
        <f>-466.786681120083 -169.907163044955 -325.712022456833</f>
        <v>-962.40586662187104</v>
      </c>
      <c r="R2326">
        <f>-686.241621964701 -67.99424812546 -97.4750912145747</f>
        <v>-851.71096130473575</v>
      </c>
      <c r="S2326" t="s">
        <v>25216</v>
      </c>
      <c r="T2326" t="s">
        <v>25217</v>
      </c>
      <c r="U2326" t="s">
        <v>25218</v>
      </c>
      <c r="V2326">
        <f>-577.158617959947 -226.007046068447 -93.4035336898331</f>
        <v>-896.5691977182272</v>
      </c>
      <c r="W2326" t="s">
        <v>25219</v>
      </c>
      <c r="X2326" t="s">
        <v>25220</v>
      </c>
      <c r="Y2326" t="s">
        <v>25221</v>
      </c>
    </row>
    <row r="2327" spans="1:25" x14ac:dyDescent="0.3">
      <c r="A2327">
        <v>116300</v>
      </c>
      <c r="B2327" t="s">
        <v>25222</v>
      </c>
      <c r="C2327">
        <f>-631.175780016681 -147.037234320739 -94.3711003272829</f>
        <v>-872.58411466470284</v>
      </c>
      <c r="D2327">
        <f>-657.74278735181 -168.354776940833 -205.077897812445</f>
        <v>-1031.1754621050879</v>
      </c>
      <c r="E2327">
        <f>-672.08463730865 -176.292577713152 -302.32987139106</f>
        <v>-1150.7070864128621</v>
      </c>
      <c r="F2327">
        <f>-682.078240714841 -179.662676835404 -390.800219967185</f>
        <v>-1252.5411375174299</v>
      </c>
      <c r="G2327">
        <f>-688.763862737271 -179.043536327846 -479.643723258096</f>
        <v>-1347.451122323213</v>
      </c>
      <c r="H2327">
        <f>-694.602069782002 -174.011396606067 -603.987705575964</f>
        <v>-1472.601171964033</v>
      </c>
      <c r="I2327">
        <f>-674.506939480579 -156.660360575672 -682.728671014529</f>
        <v>-1513.89597107078</v>
      </c>
      <c r="J2327">
        <f>-706.960090360959 -152.939039750638 -547.626767161636</f>
        <v>-1407.5258972732331</v>
      </c>
      <c r="K2327">
        <f>-783.713462679922 -41.1586379048558 -524.986411845053</f>
        <v>-1349.8585124298309</v>
      </c>
      <c r="L2327" t="s">
        <v>25223</v>
      </c>
      <c r="M2327" t="s">
        <v>25224</v>
      </c>
      <c r="N2327">
        <f>-677.105884499089 -199.512534523441 -550.9132492811</f>
        <v>-1427.5316683036299</v>
      </c>
      <c r="O2327">
        <f>-603.752424045928 -314.28248502178 -532.351715766417</f>
        <v>-1450.3866248341251</v>
      </c>
      <c r="P2327">
        <f>-564.090724352416 -374.878066020117 -247.138935310884</f>
        <v>-1186.1077256834169</v>
      </c>
      <c r="Q2327">
        <f>-466.545253144703 -168.987600279884 -325.528112628111</f>
        <v>-961.06096605269795</v>
      </c>
      <c r="R2327">
        <f>-686.047118980116 -68.2893155718572 -97.3377803949147</f>
        <v>-851.6742149468879</v>
      </c>
      <c r="S2327" t="s">
        <v>25225</v>
      </c>
      <c r="T2327" t="s">
        <v>25226</v>
      </c>
      <c r="U2327" t="s">
        <v>25227</v>
      </c>
      <c r="V2327">
        <f>-576.579432286221 -226.145419886183 -93.4015168739817</f>
        <v>-896.12636904638578</v>
      </c>
      <c r="W2327" t="s">
        <v>25228</v>
      </c>
      <c r="X2327" t="s">
        <v>25229</v>
      </c>
      <c r="Y2327" t="s">
        <v>25230</v>
      </c>
    </row>
    <row r="2328" spans="1:25" x14ac:dyDescent="0.3">
      <c r="A2328">
        <v>116350</v>
      </c>
      <c r="B2328" t="s">
        <v>25231</v>
      </c>
      <c r="C2328">
        <f>-631.087839268759 -147.137374881666 -94.346864677104</f>
        <v>-872.57207882752903</v>
      </c>
      <c r="D2328">
        <f>-657.659894930147 -168.475636713117 -205.048398166091</f>
        <v>-1031.1839298093548</v>
      </c>
      <c r="E2328">
        <f>-672.018553981129 -176.371684076117 -302.30129241079</f>
        <v>-1150.691530468036</v>
      </c>
      <c r="F2328">
        <f>-682.032151320474 -179.680042059817 -390.771716499822</f>
        <v>-1252.4839098801131</v>
      </c>
      <c r="G2328">
        <f>-688.742992742429 -178.974204761439 -479.612667406466</f>
        <v>-1347.329864910334</v>
      </c>
      <c r="H2328">
        <f>-694.622088146839 -173.794547144901 -603.948681184869</f>
        <v>-1472.365316476609</v>
      </c>
      <c r="I2328">
        <f>-674.509439122918 -156.31674193533 -682.657187863439</f>
        <v>-1513.4833689216871</v>
      </c>
      <c r="J2328">
        <f>-706.998567051892 -152.812881364911 -547.558003966579</f>
        <v>-1407.3694523833819</v>
      </c>
      <c r="K2328">
        <f>-783.937387741451 -41.191398458197 -524.769224352462</f>
        <v>-1349.89801055211</v>
      </c>
      <c r="L2328" t="s">
        <v>25232</v>
      </c>
      <c r="M2328" t="s">
        <v>25233</v>
      </c>
      <c r="N2328">
        <f>-677.071435158998 -199.334813211113 -550.911094182923</f>
        <v>-1427.317342553034</v>
      </c>
      <c r="O2328">
        <f>-603.545410666599 -314.0197901791 -532.487909990487</f>
        <v>-1450.0531108361861</v>
      </c>
      <c r="P2328">
        <f>-563.689801101897 -374.840949044821 -247.350317974195</f>
        <v>-1185.8810681209129</v>
      </c>
      <c r="Q2328">
        <f>-466.42948124548 -168.660294249626 -325.329996654521</f>
        <v>-960.41977214962697</v>
      </c>
      <c r="R2328">
        <f>-686.040109099983 -68.4333752490793 -97.2938832874866</f>
        <v>-851.7673676365489</v>
      </c>
      <c r="S2328" t="s">
        <v>25234</v>
      </c>
      <c r="T2328" t="s">
        <v>25235</v>
      </c>
      <c r="U2328" t="s">
        <v>25236</v>
      </c>
      <c r="V2328">
        <f>-576.405018731134 -226.210409060716 -93.3942343050204</f>
        <v>-896.00966209687033</v>
      </c>
      <c r="W2328" t="s">
        <v>25237</v>
      </c>
      <c r="X2328" t="s">
        <v>25238</v>
      </c>
      <c r="Y2328" t="s">
        <v>25239</v>
      </c>
    </row>
    <row r="2329" spans="1:25" x14ac:dyDescent="0.3">
      <c r="A2329">
        <v>116400</v>
      </c>
      <c r="B2329" t="s">
        <v>25240</v>
      </c>
      <c r="C2329">
        <f>-631.081652195529 -147.20980002528 -94.310674452619</f>
        <v>-872.60212667342807</v>
      </c>
      <c r="D2329">
        <f>-657.646045045165 -168.574079211085 -205.00909148213</f>
        <v>-1031.2292157383802</v>
      </c>
      <c r="E2329">
        <f>-672.006322888177 -176.388489229526 -302.268320631704</f>
        <v>-1150.6631327494069</v>
      </c>
      <c r="F2329">
        <f>-682.02444283086 -179.580712056032 -390.742521435699</f>
        <v>-1252.347676322591</v>
      </c>
      <c r="G2329">
        <f>-688.74358403986 -178.71522902959 -479.581459298465</f>
        <v>-1347.0402723679149</v>
      </c>
      <c r="H2329">
        <f>-694.638631908879 -173.266645918391 -603.905153549222</f>
        <v>-1471.810431376492</v>
      </c>
      <c r="I2329">
        <f>-674.459410403804 -155.568280352224 -682.547329018122</f>
        <v>-1512.57501977415</v>
      </c>
      <c r="J2329">
        <f>-707.067779478561 -152.445776376518 -547.466435885144</f>
        <v>-1406.9799917402229</v>
      </c>
      <c r="K2329">
        <f>-784.335373553138 -41.0955044695861 -524.469922096009</f>
        <v>-1349.9008001187331</v>
      </c>
      <c r="L2329" t="s">
        <v>25241</v>
      </c>
      <c r="M2329" t="s">
        <v>25242</v>
      </c>
      <c r="N2329">
        <f>-677.021238870537 -198.882784857085 -550.926326798661</f>
        <v>-1426.8303505262829</v>
      </c>
      <c r="O2329">
        <f>-603.225306308773 -313.422894302259 -532.693761804462</f>
        <v>-1449.341962415494</v>
      </c>
      <c r="P2329">
        <f>-563.284401550173 -374.691428495575 -247.663812170955</f>
        <v>-1185.6396422167031</v>
      </c>
      <c r="Q2329">
        <f>-466.465076428184 -168.053297244487 -324.978371523075</f>
        <v>-959.49674519574603</v>
      </c>
      <c r="R2329">
        <f>-686.153358455464 -68.5436312010945 -97.2332915014047</f>
        <v>-851.93028115796312</v>
      </c>
      <c r="S2329" t="s">
        <v>25243</v>
      </c>
      <c r="T2329" t="s">
        <v>25244</v>
      </c>
      <c r="U2329" t="s">
        <v>25245</v>
      </c>
      <c r="V2329">
        <f>-576.280015660839 -226.224910336597 -93.3852359206571</f>
        <v>-895.8901619180931</v>
      </c>
      <c r="W2329" t="s">
        <v>25246</v>
      </c>
      <c r="X2329" t="s">
        <v>25247</v>
      </c>
      <c r="Y2329" t="s">
        <v>25248</v>
      </c>
    </row>
    <row r="2330" spans="1:25" x14ac:dyDescent="0.3">
      <c r="A2330">
        <v>116450</v>
      </c>
      <c r="B2330" t="s">
        <v>25249</v>
      </c>
      <c r="C2330">
        <f>-631.102523230285 -147.29831732906 -94.2617830578237</f>
        <v>-872.66262361716861</v>
      </c>
      <c r="D2330">
        <f>-657.680281309974 -168.636867564515 -204.962010619168</f>
        <v>-1031.2791594936571</v>
      </c>
      <c r="E2330">
        <f>-672.034431388195 -176.40820507706 -302.225559911944</f>
        <v>-1150.6681963771989</v>
      </c>
      <c r="F2330">
        <f>-682.039887999185 -179.553113212239 -390.702946615254</f>
        <v>-1252.295947826678</v>
      </c>
      <c r="G2330">
        <f>-688.739636001116 -178.631405338175 -479.542712885793</f>
        <v>-1346.9137542250839</v>
      </c>
      <c r="H2330">
        <f>-694.600938785935 -173.094666674725 -603.864118011746</f>
        <v>-1471.5597234724059</v>
      </c>
      <c r="I2330">
        <f>-674.375943655039 -155.318441652228 -682.477049095199</f>
        <v>-1512.171434402466</v>
      </c>
      <c r="J2330">
        <f>-707.068134856232 -152.328607609702 -547.413691388245</f>
        <v>-1406.8104338541789</v>
      </c>
      <c r="K2330">
        <f>-784.470605100315 -41.0840692839829 -524.343294769625</f>
        <v>-1349.897969153923</v>
      </c>
      <c r="L2330" t="s">
        <v>25250</v>
      </c>
      <c r="M2330" t="s">
        <v>25251</v>
      </c>
      <c r="N2330">
        <f>-676.975247295931 -198.73365861117 -550.899196351986</f>
        <v>-1426.608102259087</v>
      </c>
      <c r="O2330">
        <f>-603.082767369696 -313.222192301354 -532.724901568873</f>
        <v>-1449.0298612399229</v>
      </c>
      <c r="P2330">
        <f>-563.247648361881 -374.625097615783 -247.708990382649</f>
        <v>-1185.581736360313</v>
      </c>
      <c r="Q2330">
        <f>-466.556197131722 -167.850867318808 -324.819583258174</f>
        <v>-959.22664770870404</v>
      </c>
      <c r="R2330">
        <f>-686.212685992132 -68.6256755387703 -97.1642762808342</f>
        <v>-852.00263781173658</v>
      </c>
      <c r="S2330" t="s">
        <v>25252</v>
      </c>
      <c r="T2330" t="s">
        <v>25253</v>
      </c>
      <c r="U2330" t="s">
        <v>25254</v>
      </c>
      <c r="V2330">
        <f>-576.249726537755 -226.342654305527 -93.3826257300335</f>
        <v>-895.97500657331545</v>
      </c>
      <c r="W2330" t="s">
        <v>25255</v>
      </c>
      <c r="X2330" t="s">
        <v>25256</v>
      </c>
      <c r="Y2330" t="s">
        <v>25257</v>
      </c>
    </row>
    <row r="2331" spans="1:25" x14ac:dyDescent="0.3">
      <c r="A2331">
        <v>116500</v>
      </c>
      <c r="B2331" t="s">
        <v>25258</v>
      </c>
      <c r="C2331">
        <f>-631.135928362335 -147.458433235256 -94.1479046949851</f>
        <v>-872.74226629257601</v>
      </c>
      <c r="D2331">
        <f>-657.792512245681 -168.731840822922 -204.84153110154</f>
        <v>-1031.3658841701431</v>
      </c>
      <c r="E2331">
        <f>-672.132468833277 -176.416900289223 -302.114280370183</f>
        <v>-1150.6636494926829</v>
      </c>
      <c r="F2331">
        <f>-682.091253470253 -179.471897990548 -390.599891341838</f>
        <v>-1252.163042802639</v>
      </c>
      <c r="G2331">
        <f>-688.710453472219 -178.448374625717 -479.444713337736</f>
        <v>-1346.603541435672</v>
      </c>
      <c r="H2331">
        <f>-694.423483000818 -172.757094999995 -603.766030779106</f>
        <v>-1470.9466087799192</v>
      </c>
      <c r="I2331">
        <f>-674.067538758839 -154.845332083104 -682.314270719912</f>
        <v>-1511.227141561855</v>
      </c>
      <c r="J2331">
        <f>-706.979654118607 -152.075321165189 -547.304450681556</f>
        <v>-1406.3594259653519</v>
      </c>
      <c r="K2331">
        <f>-784.486162917617 -40.926334130975 -524.157343188926</f>
        <v>-1349.5698402375178</v>
      </c>
      <c r="L2331" t="s">
        <v>25259</v>
      </c>
      <c r="M2331" t="s">
        <v>25260</v>
      </c>
      <c r="N2331">
        <f>-676.839259796836 -198.447927488642 -550.812323224439</f>
        <v>-1426.0995105099169</v>
      </c>
      <c r="O2331">
        <f>-602.864096738809 -312.892007930482 -532.68867599958</f>
        <v>-1448.4447806688711</v>
      </c>
      <c r="P2331">
        <f>-563.016216353936 -374.567124385795 -247.733276365557</f>
        <v>-1185.3166171052881</v>
      </c>
      <c r="Q2331">
        <f>-466.474616476844 -167.606587176234 -324.531497089717</f>
        <v>-958.61270074279491</v>
      </c>
      <c r="R2331">
        <f>-686.329667907683 -68.7901332824196 -96.9544527727433</f>
        <v>-852.07425396284577</v>
      </c>
      <c r="S2331" t="s">
        <v>25261</v>
      </c>
      <c r="T2331" t="s">
        <v>25262</v>
      </c>
      <c r="U2331" t="s">
        <v>25263</v>
      </c>
      <c r="V2331">
        <f>-576.193851063158 -226.513410666637 -93.3661755129923</f>
        <v>-896.07343724278735</v>
      </c>
      <c r="W2331" t="s">
        <v>25264</v>
      </c>
      <c r="X2331" t="s">
        <v>25265</v>
      </c>
      <c r="Y2331" t="s">
        <v>25266</v>
      </c>
    </row>
    <row r="2332" spans="1:25" x14ac:dyDescent="0.3">
      <c r="A2332">
        <v>116550</v>
      </c>
      <c r="B2332" t="s">
        <v>25267</v>
      </c>
      <c r="C2332">
        <f>-631.118680633501 -147.655103516409 -94.046572196405</f>
        <v>-872.82035634631495</v>
      </c>
      <c r="D2332">
        <f>-657.851240853059 -168.848312337552 -204.737424550587</f>
        <v>-1031.436977741198</v>
      </c>
      <c r="E2332">
        <f>-672.20151502515 -176.460065775781 -302.01429084468</f>
        <v>-1150.6758716456111</v>
      </c>
      <c r="F2332">
        <f>-682.147134169597 -179.447134317849 -390.503730688214</f>
        <v>-1252.0979991756599</v>
      </c>
      <c r="G2332">
        <f>-688.730710910267 -178.354215631153 -479.350269730565</f>
        <v>-1346.435196271985</v>
      </c>
      <c r="H2332">
        <f>-694.370256047761 -172.564680551809 -603.670444473294</f>
        <v>-1470.605381072864</v>
      </c>
      <c r="I2332">
        <f>-673.944997084462 -154.582397881012 -682.18458528241</f>
        <v>-1510.7119802478842</v>
      </c>
      <c r="J2332">
        <f>-706.959294500506 -151.927135563055 -547.199916222077</f>
        <v>-1406.086346285638</v>
      </c>
      <c r="K2332">
        <f>-784.415126640776 -40.7636161299608 -523.990789157038</f>
        <v>-1349.1695319277746</v>
      </c>
      <c r="L2332" t="s">
        <v>25268</v>
      </c>
      <c r="M2332" t="s">
        <v>25269</v>
      </c>
      <c r="N2332">
        <f>-676.817798768334 -198.29754946697 -550.726696671248</f>
        <v>-1425.842044906552</v>
      </c>
      <c r="O2332">
        <f>-602.860363787751 -312.76351558049 -532.6318300898</f>
        <v>-1448.2557094580411</v>
      </c>
      <c r="P2332">
        <f>-562.877799404151 -374.620550667782 -247.734853844977</f>
        <v>-1185.23320391691</v>
      </c>
      <c r="Q2332">
        <f>-466.4213582467 -167.508046092851 -324.229455504186</f>
        <v>-958.15885984373699</v>
      </c>
      <c r="R2332">
        <f>-686.333573099 -68.963815428412 -96.7727303989537</f>
        <v>-852.07011892636569</v>
      </c>
      <c r="S2332" t="s">
        <v>25270</v>
      </c>
      <c r="T2332" t="s">
        <v>25271</v>
      </c>
      <c r="U2332" t="s">
        <v>25272</v>
      </c>
      <c r="V2332">
        <f>-576.155047257619 -226.743724016894 -93.3558609896036</f>
        <v>-896.25463226411659</v>
      </c>
      <c r="W2332" t="s">
        <v>25273</v>
      </c>
      <c r="X2332" t="s">
        <v>25274</v>
      </c>
      <c r="Y2332" t="s">
        <v>25275</v>
      </c>
    </row>
    <row r="2333" spans="1:25" x14ac:dyDescent="0.3">
      <c r="A2333">
        <v>116600</v>
      </c>
      <c r="B2333" t="s">
        <v>25276</v>
      </c>
      <c r="C2333">
        <f>-631.118960953991 -148.269038987639 -93.8099993497111</f>
        <v>-873.19799929134103</v>
      </c>
      <c r="D2333">
        <f>-658.043508429925 -169.331839853499 -204.479060655879</f>
        <v>-1031.8544089393031</v>
      </c>
      <c r="E2333">
        <f>-672.431788295159 -176.76356235101 -301.764247679261</f>
        <v>-1150.9595983254301</v>
      </c>
      <c r="F2333">
        <f>-682.357942331968 -179.561355426986 -390.262165023923</f>
        <v>-1252.1814627828771</v>
      </c>
      <c r="G2333">
        <f>-688.866269339965 -178.254284731636 -479.111307611857</f>
        <v>-1346.231861683458</v>
      </c>
      <c r="H2333">
        <f>-694.341014637054 -172.140983310509 -603.423396474308</f>
        <v>-1469.9053944218708</v>
      </c>
      <c r="I2333">
        <f>-673.758263747639 -154.002646371781 -681.860467991543</f>
        <v>-1509.6213781109632</v>
      </c>
      <c r="J2333">
        <f>-706.966795743223 -151.625741611284 -546.916465005647</f>
        <v>-1405.5090023601538</v>
      </c>
      <c r="K2333">
        <f>-784.170595848856 -40.3476064204428 -523.378668060746</f>
        <v>-1347.8968703300447</v>
      </c>
      <c r="L2333" t="s">
        <v>25277</v>
      </c>
      <c r="M2333" t="s">
        <v>25278</v>
      </c>
      <c r="N2333">
        <f>-676.896946614506 -198.036512954608 -550.523084281082</f>
        <v>-1425.4565438501959</v>
      </c>
      <c r="O2333">
        <f>-603.132222432901 -312.653499680706 -532.608399767991</f>
        <v>-1448.394121881598</v>
      </c>
      <c r="P2333">
        <f>-562.920041882508 -375.115477337277 -247.875732520611</f>
        <v>-1185.911251740396</v>
      </c>
      <c r="Q2333">
        <f>-466.438081375946 -167.678045501087 -323.452291808977</f>
        <v>-957.56841868601009</v>
      </c>
      <c r="R2333">
        <f>-686.293571746644 -69.5307725682854 -96.3616714392263</f>
        <v>-852.18601575415573</v>
      </c>
      <c r="S2333" t="s">
        <v>25279</v>
      </c>
      <c r="T2333" t="s">
        <v>25280</v>
      </c>
      <c r="U2333" t="s">
        <v>25281</v>
      </c>
      <c r="V2333">
        <f>-576.233151822147 -227.371510042502 -93.308299430123</f>
        <v>-896.912961294772</v>
      </c>
      <c r="W2333" t="s">
        <v>25282</v>
      </c>
      <c r="X2333" t="s">
        <v>25283</v>
      </c>
      <c r="Y2333" t="s">
        <v>25284</v>
      </c>
    </row>
    <row r="2334" spans="1:25" x14ac:dyDescent="0.3">
      <c r="A2334">
        <v>116650</v>
      </c>
      <c r="B2334" t="s">
        <v>25285</v>
      </c>
      <c r="C2334">
        <f>-631.133618580762 -148.526847851884 -93.7207212102214</f>
        <v>-873.38118764286742</v>
      </c>
      <c r="D2334">
        <f>-658.130227774718 -169.545693893451 -204.380517941389</f>
        <v>-1032.0564396095581</v>
      </c>
      <c r="E2334">
        <f>-672.531311634785 -176.860656120907 -301.672628640216</f>
        <v>-1151.064596395908</v>
      </c>
      <c r="F2334">
        <f>-682.447584396527 -179.52125068299 -390.175951115886</f>
        <v>-1252.144786195403</v>
      </c>
      <c r="G2334">
        <f>-688.923488255377 -178.046177621912 -479.02482980543</f>
        <v>-1345.9944956827189</v>
      </c>
      <c r="H2334">
        <f>-694.328487452237 -171.666818617866 -603.326546199249</f>
        <v>-1469.3218522693519</v>
      </c>
      <c r="I2334">
        <f>-673.671619553792 -153.423122621707 -681.719784950939</f>
        <v>-1508.814527126438</v>
      </c>
      <c r="J2334">
        <f>-706.954553857874 -151.252273517752 -546.78330235426</f>
        <v>-1404.9901297298859</v>
      </c>
      <c r="K2334">
        <f>-783.975273038045 -39.8929833811112 -523.02161749902</f>
        <v>-1346.8898739181761</v>
      </c>
      <c r="L2334" t="s">
        <v>25286</v>
      </c>
      <c r="M2334" t="s">
        <v>25287</v>
      </c>
      <c r="N2334">
        <f>-676.945463259014 -197.695900931178 -550.471790211136</f>
        <v>-1425.1131544013278</v>
      </c>
      <c r="O2334">
        <f>-603.357072418828 -312.453311380555 -532.716492663698</f>
        <v>-1448.526876463081</v>
      </c>
      <c r="P2334">
        <f>-563.077536455116 -375.456042333177 -248.11250888354</f>
        <v>-1186.6460876718329</v>
      </c>
      <c r="Q2334">
        <f>-466.371148464822 -167.889732242249 -323.045776321132</f>
        <v>-957.30665702820306</v>
      </c>
      <c r="R2334">
        <f>-686.247794424756 -69.81247309572 -96.208554878423</f>
        <v>-852.26882239889892</v>
      </c>
      <c r="S2334" t="s">
        <v>25288</v>
      </c>
      <c r="T2334" t="s">
        <v>25289</v>
      </c>
      <c r="U2334" t="s">
        <v>25290</v>
      </c>
      <c r="V2334">
        <f>-576.314777897785 -227.579086271901 -93.2746606847993</f>
        <v>-897.16852485448533</v>
      </c>
      <c r="W2334" t="s">
        <v>25291</v>
      </c>
      <c r="X2334" t="s">
        <v>25292</v>
      </c>
      <c r="Y2334" t="s">
        <v>25293</v>
      </c>
    </row>
    <row r="2335" spans="1:25" x14ac:dyDescent="0.3">
      <c r="A2335">
        <v>116700</v>
      </c>
      <c r="B2335" t="s">
        <v>25294</v>
      </c>
      <c r="C2335">
        <f>-631.085400650068 -149.176741241237 -93.5914460805504</f>
        <v>-873.8535879718554</v>
      </c>
      <c r="D2335">
        <f>-658.183083396401 -170.113421643041 -204.242263845109</f>
        <v>-1032.538768884551</v>
      </c>
      <c r="E2335">
        <f>-672.583190293608 -177.169051888788 -301.553568569167</f>
        <v>-1151.3058107515631</v>
      </c>
      <c r="F2335">
        <f>-682.460503181877 -179.51878469245 -390.070117561596</f>
        <v>-1252.0494054359231</v>
      </c>
      <c r="G2335">
        <f>-688.856940101211 -177.658428361584 -478.917372167044</f>
        <v>-1345.4327406298389</v>
      </c>
      <c r="H2335">
        <f>-694.10750126549 -170.663982164646 -603.192705260687</f>
        <v>-1467.964188690823</v>
      </c>
      <c r="I2335">
        <f>-673.331250472576 -152.142420330177 -681.489012901747</f>
        <v>-1506.9626837045</v>
      </c>
      <c r="J2335">
        <f>-706.732911775315 -150.483658763357 -546.565203980509</f>
        <v>-1403.781774519181</v>
      </c>
      <c r="K2335">
        <f>-783.320638999817 -38.9453348233967 -522.274670506711</f>
        <v>-1344.5406443299248</v>
      </c>
      <c r="L2335" t="s">
        <v>25295</v>
      </c>
      <c r="M2335" t="s">
        <v>25296</v>
      </c>
      <c r="N2335">
        <f>-676.86110178412 -197.000123032859 -550.445416825129</f>
        <v>-1424.3066416421079</v>
      </c>
      <c r="O2335">
        <f>-603.636165934538 -312.055611086407 -533.117203387538</f>
        <v>-1448.808980408483</v>
      </c>
      <c r="P2335">
        <f>-562.863058899269 -376.784383132827 -248.971189671954</f>
        <v>-1188.6186317040501</v>
      </c>
      <c r="Q2335">
        <f>-466.334981257809 -168.5764982801 -322.337873990549</f>
        <v>-957.24935352845796</v>
      </c>
      <c r="R2335">
        <f>-685.978077383835 -70.3982981271216 -96.0212617082998</f>
        <v>-852.39763721925635</v>
      </c>
      <c r="S2335" t="s">
        <v>25297</v>
      </c>
      <c r="T2335" t="s">
        <v>25298</v>
      </c>
      <c r="U2335" t="s">
        <v>25299</v>
      </c>
      <c r="V2335">
        <f>-576.460668642192 -228.323989122646 -93.1798411092575</f>
        <v>-897.96449887409551</v>
      </c>
      <c r="W2335" t="s">
        <v>25300</v>
      </c>
      <c r="X2335" t="s">
        <v>25301</v>
      </c>
      <c r="Y2335" t="s">
        <v>25302</v>
      </c>
    </row>
    <row r="2336" spans="1:25" x14ac:dyDescent="0.3">
      <c r="A2336">
        <v>116750</v>
      </c>
      <c r="B2336" t="s">
        <v>25303</v>
      </c>
      <c r="C2336">
        <f>-631.089030437369 -149.516955649918 -93.5414111775673</f>
        <v>-874.14739726485436</v>
      </c>
      <c r="D2336">
        <f>-658.19263927248 -170.43884186857 -204.193543749563</f>
        <v>-1032.8250248906129</v>
      </c>
      <c r="E2336">
        <f>-672.589360310501 -177.373130354669 -301.514282424365</f>
        <v>-1151.4767730895351</v>
      </c>
      <c r="F2336">
        <f>-682.458652247589 -179.569672608055 -390.035462313945</f>
        <v>-1252.063787169589</v>
      </c>
      <c r="G2336">
        <f>-688.840959965318 -177.513302165624 -478.879687447003</f>
        <v>-1345.2339495779452</v>
      </c>
      <c r="H2336">
        <f>-694.064558512598 -170.200834327147 -603.137579523488</f>
        <v>-1467.4029723632329</v>
      </c>
      <c r="I2336">
        <f>-673.261348374495 -151.51306113079 -681.387326328023</f>
        <v>-1506.1617358333081</v>
      </c>
      <c r="J2336">
        <f>-706.675271291435 -150.14817103065 -546.461535237797</f>
        <v>-1403.284977559882</v>
      </c>
      <c r="K2336">
        <f>-783.062116264584 -38.5380538263046 -521.873709916816</f>
        <v>-1343.4738800077046</v>
      </c>
      <c r="L2336" t="s">
        <v>25304</v>
      </c>
      <c r="M2336" t="s">
        <v>25305</v>
      </c>
      <c r="N2336">
        <f>-676.856553935958 -196.689175561422 -550.454021920394</f>
        <v>-1423.999751417774</v>
      </c>
      <c r="O2336">
        <f>-603.772731971386 -311.868221199626 -533.387637299386</f>
        <v>-1449.0285904703978</v>
      </c>
      <c r="P2336">
        <f>-562.792813323694 -377.535855551076 -249.486909348822</f>
        <v>-1189.815578223592</v>
      </c>
      <c r="Q2336">
        <f>-466.419210815633 -169.030283226081 -322.208513894844</f>
        <v>-957.65800793655785</v>
      </c>
      <c r="R2336">
        <f>-685.972773479226 -70.6475117827788 -95.9762041230682</f>
        <v>-852.59648938507303</v>
      </c>
      <c r="S2336" t="s">
        <v>25306</v>
      </c>
      <c r="T2336" t="s">
        <v>25307</v>
      </c>
      <c r="U2336" t="s">
        <v>25308</v>
      </c>
      <c r="V2336">
        <f>-576.508268122186 -228.723265037918 -93.1386184563006</f>
        <v>-898.37015161640454</v>
      </c>
      <c r="W2336" t="s">
        <v>25309</v>
      </c>
      <c r="X2336" t="s">
        <v>25310</v>
      </c>
      <c r="Y2336" t="s">
        <v>25311</v>
      </c>
    </row>
    <row r="2337" spans="1:25" x14ac:dyDescent="0.3">
      <c r="A2337">
        <v>116800</v>
      </c>
      <c r="B2337" t="s">
        <v>25312</v>
      </c>
      <c r="C2337">
        <f>-631.118496644903 -149.955855452827 -93.4230639811633</f>
        <v>-874.49741607889325</v>
      </c>
      <c r="D2337">
        <f>-658.234761800524 -170.859011058622 -204.075517018437</f>
        <v>-1033.169289877583</v>
      </c>
      <c r="E2337">
        <f>-672.640173211386 -177.578899416781 -301.409983053828</f>
        <v>-1151.6290556819949</v>
      </c>
      <c r="F2337">
        <f>-682.513560415604 -179.501884914575 -389.937209244149</f>
        <v>-1251.9526545743281</v>
      </c>
      <c r="G2337">
        <f>-688.894854692236 -177.093147439839 -478.772477759422</f>
        <v>-1344.760479891497</v>
      </c>
      <c r="H2337">
        <f>-694.110823270861 -169.206674218303 -602.995654539465</f>
        <v>-1466.313152028629</v>
      </c>
      <c r="I2337">
        <f>-673.326072361054 -150.188274868307 -681.170599726951</f>
        <v>-1504.6849469563119</v>
      </c>
      <c r="J2337">
        <f>-706.705551650708 -149.403553079888 -546.228550102208</f>
        <v>-1402.3376548328042</v>
      </c>
      <c r="K2337">
        <f>-782.800181323115 -37.7287728590948 -521.009352454625</f>
        <v>-1341.5383066368347</v>
      </c>
      <c r="L2337" t="s">
        <v>25313</v>
      </c>
      <c r="M2337" t="s">
        <v>25314</v>
      </c>
      <c r="N2337">
        <f>-676.925505181665 -195.950638934808 -550.433965003557</f>
        <v>-1423.3101091200301</v>
      </c>
      <c r="O2337">
        <f>-603.96823565507 -311.280972009682 -533.857597651375</f>
        <v>-1449.1068053161271</v>
      </c>
      <c r="P2337">
        <f>-562.888225679166 -378.373637545831 -250.30470711983</f>
        <v>-1191.5665703448269</v>
      </c>
      <c r="Q2337">
        <f>-467.239918382037 -169.155313277529 -321.928511963093</f>
        <v>-958.32374362265898</v>
      </c>
      <c r="R2337">
        <f>-685.977987728571 -71.0225506321608 -95.8354605617702</f>
        <v>-852.83599892250197</v>
      </c>
      <c r="S2337" t="s">
        <v>25315</v>
      </c>
      <c r="T2337" t="s">
        <v>25316</v>
      </c>
      <c r="U2337" t="s">
        <v>25317</v>
      </c>
      <c r="V2337">
        <f>-576.536988065183 -229.25564388483 -93.0484995056075</f>
        <v>-898.84113145562048</v>
      </c>
      <c r="W2337" t="s">
        <v>25318</v>
      </c>
      <c r="X2337" t="s">
        <v>25319</v>
      </c>
      <c r="Y2337" t="s">
        <v>25320</v>
      </c>
    </row>
    <row r="2338" spans="1:25" x14ac:dyDescent="0.3">
      <c r="A2338">
        <v>116850</v>
      </c>
      <c r="B2338" t="s">
        <v>25321</v>
      </c>
      <c r="C2338">
        <f>-631.076019326106 -150.115821537649 -93.3637066987462</f>
        <v>-874.55554756250126</v>
      </c>
      <c r="D2338">
        <f>-658.208295790941 -171.015787128983 -204.012867969814</f>
        <v>-1033.236950889738</v>
      </c>
      <c r="E2338">
        <f>-672.64764248472 -177.665789816053 -301.347121198801</f>
        <v>-1151.660553499574</v>
      </c>
      <c r="F2338">
        <f>-682.559313581161 -179.498357324674 -389.871918066388</f>
        <v>-1251.929588972223</v>
      </c>
      <c r="G2338">
        <f>-688.986522199372 -176.971782489891 -478.700639296585</f>
        <v>-1344.6589439858481</v>
      </c>
      <c r="H2338">
        <f>-694.274361385161 -168.892083967438 -602.908427708585</f>
        <v>-1466.074873061184</v>
      </c>
      <c r="I2338">
        <f>-673.5350844047 -149.752529030262 -681.065925701034</f>
        <v>-1504.353539135996</v>
      </c>
      <c r="J2338">
        <f>-706.84424777236 -149.182447722848 -546.103132610717</f>
        <v>-1402.1298281059248</v>
      </c>
      <c r="K2338">
        <f>-782.840940569064 -37.4953241597734 -520.628023485869</f>
        <v>-1340.9642882147064</v>
      </c>
      <c r="L2338" t="s">
        <v>25322</v>
      </c>
      <c r="M2338" t="s">
        <v>25323</v>
      </c>
      <c r="N2338">
        <f>-677.050720530162 -195.712678820312 -550.398377909246</f>
        <v>-1423.1617772597201</v>
      </c>
      <c r="O2338">
        <f>-604.069361745481 -311.050194065855 -534.01755591135</f>
        <v>-1449.1371117226861</v>
      </c>
      <c r="P2338">
        <f>-563.041504375097 -378.53773539766 -250.550948175923</f>
        <v>-1192.13018794868</v>
      </c>
      <c r="Q2338">
        <f>-467.704357923955 -169.022675798607 -321.720764500189</f>
        <v>-958.44779822275109</v>
      </c>
      <c r="R2338">
        <f>-685.892925175229 -71.1191674252865 -95.7531743127865</f>
        <v>-852.76526691330207</v>
      </c>
      <c r="S2338" t="s">
        <v>25324</v>
      </c>
      <c r="T2338" t="s">
        <v>25325</v>
      </c>
      <c r="U2338" t="s">
        <v>25326</v>
      </c>
      <c r="V2338">
        <f>-576.505042775182 -229.453789248298 -93.0072689718068</f>
        <v>-898.96610099528675</v>
      </c>
      <c r="W2338" t="s">
        <v>25327</v>
      </c>
      <c r="X2338" t="s">
        <v>25328</v>
      </c>
      <c r="Y2338" t="s">
        <v>25329</v>
      </c>
    </row>
    <row r="2339" spans="1:25" x14ac:dyDescent="0.3">
      <c r="A2339">
        <v>116900</v>
      </c>
      <c r="B2339" t="s">
        <v>25330</v>
      </c>
      <c r="C2339">
        <f>-631.039613472357 -150.217359322259 -93.1679876430776</f>
        <v>-874.42496043769358</v>
      </c>
      <c r="D2339">
        <f>-658.204921641428 -171.113839221031 -203.809848558842</f>
        <v>-1033.128609421301</v>
      </c>
      <c r="E2339">
        <f>-672.743354043811 -177.723097692354 -301.131981832167</f>
        <v>-1151.598433568332</v>
      </c>
      <c r="F2339">
        <f>-682.77252373889 -179.504010127021 -389.64452607251</f>
        <v>-1251.921059938421</v>
      </c>
      <c r="G2339">
        <f>-689.344965088901 -176.910662756992 -478.460761170158</f>
        <v>-1344.7163890160509</v>
      </c>
      <c r="H2339">
        <f>-694.86451421073 -168.721728874519 -602.651268166292</f>
        <v>-1466.237511251541</v>
      </c>
      <c r="I2339">
        <f>-674.275934626461 -149.443823576617 -680.814575268741</f>
        <v>-1504.5343334718191</v>
      </c>
      <c r="J2339">
        <f>-707.34389123205 -149.072057200669 -545.805397141567</f>
        <v>-1402.221345574286</v>
      </c>
      <c r="K2339">
        <f>-783.072620240798 -37.2855728915677 -520.023428488448</f>
        <v>-1340.3816216208136</v>
      </c>
      <c r="L2339" t="s">
        <v>25331</v>
      </c>
      <c r="M2339" t="s">
        <v>25332</v>
      </c>
      <c r="N2339">
        <f>-677.527385929015 -195.578509556708 -550.197082783733</f>
        <v>-1423.3029782694562</v>
      </c>
      <c r="O2339">
        <f>-604.466063363708 -310.902783613759 -534.039792975971</f>
        <v>-1449.4086399534381</v>
      </c>
      <c r="P2339">
        <f>-563.341179255739 -378.700090487477 -250.661138128619</f>
        <v>-1192.702407871835</v>
      </c>
      <c r="Q2339">
        <f>-468.805625449315 -168.482593893804 -320.821384062525</f>
        <v>-958.10960340564395</v>
      </c>
      <c r="R2339">
        <f>-685.844004165905 -71.1074694983489 -95.4498385901593</f>
        <v>-852.40131225441314</v>
      </c>
      <c r="S2339" t="s">
        <v>25333</v>
      </c>
      <c r="T2339" t="s">
        <v>25334</v>
      </c>
      <c r="U2339" t="s">
        <v>25335</v>
      </c>
      <c r="V2339">
        <f>-576.507978593965 -229.690037844086 -92.8701153820913</f>
        <v>-899.0681318201423</v>
      </c>
      <c r="W2339" t="s">
        <v>25336</v>
      </c>
      <c r="X2339" t="s">
        <v>25337</v>
      </c>
      <c r="Y2339" t="s">
        <v>25338</v>
      </c>
    </row>
    <row r="2340" spans="1:25" x14ac:dyDescent="0.3">
      <c r="A2340">
        <v>116950</v>
      </c>
      <c r="B2340" t="s">
        <v>25339</v>
      </c>
      <c r="C2340">
        <f>-631.004760355868 -150.051517938779 -93.0304242767717</f>
        <v>-874.08670257141864</v>
      </c>
      <c r="D2340">
        <f>-658.146549499442 -170.932834137589 -203.680808054521</f>
        <v>-1032.7601916915521</v>
      </c>
      <c r="E2340">
        <f>-672.714811082242 -177.548620130988 -300.998074236334</f>
        <v>-1151.2615054495641</v>
      </c>
      <c r="F2340">
        <f>-682.7901405036 -179.344352515383 -389.505222681258</f>
        <v>-1251.6397157002409</v>
      </c>
      <c r="G2340">
        <f>-689.427662403003 -176.775275481711 -478.31736939908</f>
        <v>-1344.520307283794</v>
      </c>
      <c r="H2340">
        <f>-695.05715381662 -168.630404045555 -602.505769244035</f>
        <v>-1466.1933271062101</v>
      </c>
      <c r="I2340">
        <f>-674.565980798606 -149.346401830794 -680.693190138346</f>
        <v>-1504.605572767746</v>
      </c>
      <c r="J2340">
        <f>-707.477674197392 -148.955040131191 -545.655739875658</f>
        <v>-1402.0884542042411</v>
      </c>
      <c r="K2340">
        <f>-783.03691327791 -37.0604674850988 -519.825518056827</f>
        <v>-1339.9228988198358</v>
      </c>
      <c r="L2340" t="s">
        <v>25340</v>
      </c>
      <c r="M2340" t="s">
        <v>25341</v>
      </c>
      <c r="N2340">
        <f>-677.682097804944 -195.474053375056 -550.057383875107</f>
        <v>-1423.2135350551071</v>
      </c>
      <c r="O2340">
        <f>-604.635539181953 -310.808815380729 -533.9202151228</f>
        <v>-1449.3645696854819</v>
      </c>
      <c r="P2340">
        <f>-563.417529493638 -378.55716079246 -250.543443767135</f>
        <v>-1192.5181340532329</v>
      </c>
      <c r="Q2340">
        <f>-469.265734130157 -167.943400479643 -320.028690614259</f>
        <v>-957.23782522405895</v>
      </c>
      <c r="R2340">
        <f>-685.775703552137 -70.9725255214184 -95.2459176850891</f>
        <v>-851.99414675864455</v>
      </c>
      <c r="S2340" t="s">
        <v>25342</v>
      </c>
      <c r="T2340" t="s">
        <v>25343</v>
      </c>
      <c r="U2340" t="s">
        <v>25344</v>
      </c>
      <c r="V2340">
        <f>-576.490197209129 -229.496217940488 -92.7740579174623</f>
        <v>-898.76047306707926</v>
      </c>
      <c r="W2340" t="s">
        <v>25345</v>
      </c>
      <c r="X2340" t="s">
        <v>25346</v>
      </c>
      <c r="Y2340" t="s">
        <v>25347</v>
      </c>
    </row>
    <row r="2341" spans="1:25" x14ac:dyDescent="0.3">
      <c r="A2341">
        <v>117000</v>
      </c>
      <c r="B2341" t="s">
        <v>25348</v>
      </c>
      <c r="C2341">
        <f>-630.635182455535 -149.287905471618 -92.9018613018309</f>
        <v>-872.82494922898377</v>
      </c>
      <c r="D2341">
        <f>-657.671996598927 -170.1079329369 -203.589481913844</f>
        <v>-1031.3694114496711</v>
      </c>
      <c r="E2341">
        <f>-672.23917323229 -176.77757236822 -300.903272064341</f>
        <v>-1149.920017664851</v>
      </c>
      <c r="F2341">
        <f>-682.348325302981 -178.667420589124 -389.404497463567</f>
        <v>-1250.420243355672</v>
      </c>
      <c r="G2341">
        <f>-689.052763565658 -176.239473815246 -478.215625721814</f>
        <v>-1343.5078631027179</v>
      </c>
      <c r="H2341">
        <f>-694.809178133466 -168.342188390791 -602.414317233097</f>
        <v>-1465.565683757354</v>
      </c>
      <c r="I2341">
        <f>-674.560032471865 -149.210499983806 -680.702091622655</f>
        <v>-1504.4726240783261</v>
      </c>
      <c r="J2341">
        <f>-707.114521017357 -148.517108041857 -545.591271983753</f>
        <v>-1401.2229010429669</v>
      </c>
      <c r="K2341">
        <f>-782.025456750529 -36.1603323614258 -519.865851959682</f>
        <v>-1338.0516410716368</v>
      </c>
      <c r="L2341" t="s">
        <v>25349</v>
      </c>
      <c r="M2341" t="s">
        <v>25350</v>
      </c>
      <c r="N2341">
        <f>-677.437596144352 -195.117696985735 -549.929842141973</f>
        <v>-1422.48513527206</v>
      </c>
      <c r="O2341">
        <f>-604.536421968496 -310.516022318515 -533.600937119705</f>
        <v>-1448.6533814067161</v>
      </c>
      <c r="P2341">
        <f>-563.231074637427 -378.112618475247 -250.200498983486</f>
        <v>-1191.54419209616</v>
      </c>
      <c r="Q2341">
        <f>-469.71934200611 -166.684650633853 -318.058125459405</f>
        <v>-954.46211809936801</v>
      </c>
      <c r="R2341">
        <f>-685.190858593939 -70.2731177334105 -95.1409644744375</f>
        <v>-850.60494080178694</v>
      </c>
      <c r="S2341" t="s">
        <v>25351</v>
      </c>
      <c r="T2341" t="s">
        <v>25352</v>
      </c>
      <c r="U2341" t="s">
        <v>25353</v>
      </c>
      <c r="V2341">
        <f>-576.310722291742 -228.702358883809 -92.6789329921348</f>
        <v>-897.69201416768578</v>
      </c>
      <c r="W2341" t="s">
        <v>25354</v>
      </c>
      <c r="X2341" t="s">
        <v>25355</v>
      </c>
      <c r="Y2341" t="s">
        <v>25356</v>
      </c>
    </row>
    <row r="2342" spans="1:25" x14ac:dyDescent="0.3">
      <c r="A2342">
        <v>117050</v>
      </c>
      <c r="B2342" t="s">
        <v>25357</v>
      </c>
      <c r="C2342">
        <f>-630.410653095243 -148.640176771866 -92.9852659882572</f>
        <v>-872.03609585536617</v>
      </c>
      <c r="D2342">
        <f>-657.395532279931 -169.411524036325 -203.694705626117</f>
        <v>-1030.5017619423729</v>
      </c>
      <c r="E2342">
        <f>-671.944384603582 -176.111381799098 -301.009131464219</f>
        <v>-1149.0648978668989</v>
      </c>
      <c r="F2342">
        <f>-682.048150835302 -178.057864998287 -389.509895560149</f>
        <v>-1249.6159113937379</v>
      </c>
      <c r="G2342">
        <f>-688.757823418694 -175.716698335645 -478.322754402451</f>
        <v>-1342.7972761567898</v>
      </c>
      <c r="H2342">
        <f>-694.532615895376 -167.972503132818 -602.530262039007</f>
        <v>-1465.0353810672009</v>
      </c>
      <c r="I2342">
        <f>-674.436639313892 -148.994747151171 -680.894942026786</f>
        <v>-1504.3263284918489</v>
      </c>
      <c r="J2342">
        <f>-706.785278936577 -148.049199652707 -545.730149114719</f>
        <v>-1400.564627704003</v>
      </c>
      <c r="K2342">
        <f>-781.309818523 -35.4131208091299 -520.117173730563</f>
        <v>-1336.8401130626928</v>
      </c>
      <c r="L2342" t="s">
        <v>25358</v>
      </c>
      <c r="M2342" t="s">
        <v>25359</v>
      </c>
      <c r="N2342">
        <f>-677.197625348823 -194.711570089882 -550.015097045545</f>
        <v>-1421.9242924842499</v>
      </c>
      <c r="O2342">
        <f>-604.453124163048 -310.18564081974 -533.513801622488</f>
        <v>-1448.152566605276</v>
      </c>
      <c r="P2342">
        <f>-563.381515324921 -377.57887997263 -250.030987086075</f>
        <v>-1190.9913823836259</v>
      </c>
      <c r="Q2342">
        <f>-469.874527459433 -165.859686754433 -316.980664704132</f>
        <v>-952.71487891799802</v>
      </c>
      <c r="R2342">
        <f>-684.84761357328 -69.6396846165979 -95.3092966831946</f>
        <v>-849.79659487307254</v>
      </c>
      <c r="S2342" t="s">
        <v>25360</v>
      </c>
      <c r="T2342" t="s">
        <v>25361</v>
      </c>
      <c r="U2342" t="s">
        <v>25362</v>
      </c>
      <c r="V2342">
        <f>-576.221132291401 -228.053303773652 -92.7172129797445</f>
        <v>-896.99164904479755</v>
      </c>
      <c r="W2342" t="s">
        <v>25363</v>
      </c>
      <c r="X2342" t="s">
        <v>25364</v>
      </c>
      <c r="Y2342" t="s">
        <v>25365</v>
      </c>
    </row>
    <row r="2343" spans="1:25" x14ac:dyDescent="0.3">
      <c r="A2343">
        <v>117100</v>
      </c>
      <c r="B2343" t="s">
        <v>25366</v>
      </c>
      <c r="C2343">
        <f>-629.946971525162 -146.983832601066 -93.4070415823786</f>
        <v>-870.33784570860655</v>
      </c>
      <c r="D2343">
        <f>-656.703026797294 -167.696751535612 -204.183022951395</f>
        <v>-1028.582801284301</v>
      </c>
      <c r="E2343">
        <f>-671.116964598021 -174.439306875414 -301.514560622832</f>
        <v>-1147.0708320962669</v>
      </c>
      <c r="F2343">
        <f>-681.124794695464 -176.461636798368 -390.024522792249</f>
        <v>-1247.6109542860809</v>
      </c>
      <c r="G2343">
        <f>-687.763522222997 -174.23582687669 -478.845719380345</f>
        <v>-1340.8450684800321</v>
      </c>
      <c r="H2343">
        <f>-693.464686981139 -166.694423798721 -603.068931960121</f>
        <v>-1463.228042739981</v>
      </c>
      <c r="I2343">
        <f>-673.735101235231 -148.076814294978 -681.61300537973</f>
        <v>-1503.4249209099389</v>
      </c>
      <c r="J2343">
        <f>-705.637113870297 -146.606503892771 -546.309607698389</f>
        <v>-1398.5532254614568</v>
      </c>
      <c r="K2343">
        <f>-779.310772482119 -33.3578536358755 -520.937174823174</f>
        <v>-1333.6058009411686</v>
      </c>
      <c r="L2343" t="s">
        <v>25367</v>
      </c>
      <c r="M2343" t="s">
        <v>25368</v>
      </c>
      <c r="N2343">
        <f>-676.274691967966 -193.419526993968 -550.49919143661</f>
        <v>-1420.1934103985441</v>
      </c>
      <c r="O2343">
        <f>-603.966983930301 -309.121354907059 -533.659524490336</f>
        <v>-1446.747863327696</v>
      </c>
      <c r="P2343">
        <f>-564.069668754788 -375.929646432523 -249.870773136175</f>
        <v>-1189.870088323486</v>
      </c>
      <c r="Q2343">
        <f>-469.448514905417 -164.222758685185 -315.276591701855</f>
        <v>-948.94786529245698</v>
      </c>
      <c r="R2343">
        <f>-684.274640666749 -68.0289443622102 -95.9441127604667</f>
        <v>-848.24769778942584</v>
      </c>
      <c r="S2343" t="s">
        <v>25369</v>
      </c>
      <c r="T2343" t="s">
        <v>25370</v>
      </c>
      <c r="U2343" t="s">
        <v>25371</v>
      </c>
      <c r="V2343">
        <f>-575.897279090043 -226.318567370879 -92.9390603231462</f>
        <v>-895.1549067840682</v>
      </c>
      <c r="W2343" t="s">
        <v>25372</v>
      </c>
      <c r="X2343" t="s">
        <v>25373</v>
      </c>
      <c r="Y2343" t="s">
        <v>25374</v>
      </c>
    </row>
    <row r="2344" spans="1:25" x14ac:dyDescent="0.3">
      <c r="A2344">
        <v>117150</v>
      </c>
      <c r="B2344" t="s">
        <v>25375</v>
      </c>
      <c r="C2344">
        <f>-629.750375957792 -145.992528561165 -93.6978681823628</f>
        <v>-869.4407727013197</v>
      </c>
      <c r="D2344">
        <f>-656.32219088172 -166.667000047255 -204.525333351411</f>
        <v>-1027.514524280386</v>
      </c>
      <c r="E2344">
        <f>-670.618266479376 -173.401090440397 -301.874880358289</f>
        <v>-1145.8942372780618</v>
      </c>
      <c r="F2344">
        <f>-680.535662677471 -175.425969306616 -390.394904613104</f>
        <v>-1246.3565365971911</v>
      </c>
      <c r="G2344">
        <f>-687.099130326672 -173.214413137618 -479.222048437157</f>
        <v>-1339.5355919014469</v>
      </c>
      <c r="H2344">
        <f>-692.710500918912 -165.705919717712 -603.451382866269</f>
        <v>-1461.8678035028929</v>
      </c>
      <c r="I2344">
        <f>-673.198224578447 -147.247464616044 -682.087220725535</f>
        <v>-1502.532909920026</v>
      </c>
      <c r="J2344">
        <f>-704.854502275366 -145.55948361018 -546.706820669813</f>
        <v>-1397.1208065553592</v>
      </c>
      <c r="K2344">
        <f>-778.071382978273 -31.9927024161536 -521.424092851435</f>
        <v>-1331.4881782458617</v>
      </c>
      <c r="L2344" t="s">
        <v>25376</v>
      </c>
      <c r="M2344" t="s">
        <v>25377</v>
      </c>
      <c r="N2344">
        <f>-675.627960547239 -192.46057745078 -550.861649112474</f>
        <v>-1418.9501871104931</v>
      </c>
      <c r="O2344">
        <f>-603.618192094945 -308.328336667606 -533.881307531825</f>
        <v>-1445.8278362943761</v>
      </c>
      <c r="P2344">
        <f>-564.460641510942 -374.921750749661 -249.939141681503</f>
        <v>-1189.321533942106</v>
      </c>
      <c r="Q2344">
        <f>-469.026279626871 -163.39536099796 -314.744501494403</f>
        <v>-947.16614211923388</v>
      </c>
      <c r="R2344">
        <f>-684.043636802042 -67.0438762173457 -96.3655625587741</f>
        <v>-847.4530755781617</v>
      </c>
      <c r="S2344" t="s">
        <v>25378</v>
      </c>
      <c r="T2344" t="s">
        <v>25379</v>
      </c>
      <c r="U2344" t="s">
        <v>25380</v>
      </c>
      <c r="V2344">
        <f>-575.7538078249 -225.337193222254 -93.0784217509191</f>
        <v>-894.16942279807313</v>
      </c>
      <c r="W2344" t="s">
        <v>25381</v>
      </c>
      <c r="X2344" t="s">
        <v>25382</v>
      </c>
      <c r="Y2344" t="s">
        <v>25383</v>
      </c>
    </row>
    <row r="2345" spans="1:25" x14ac:dyDescent="0.3">
      <c r="A2345">
        <v>117200</v>
      </c>
      <c r="B2345" t="s">
        <v>25384</v>
      </c>
      <c r="C2345">
        <f>-629.159796954673 -143.715944617197 -94.3174816201085</f>
        <v>-867.19322319197852</v>
      </c>
      <c r="D2345">
        <f>-655.178118900076 -164.179067494654 -205.315392086539</f>
        <v>-1024.6725784812691</v>
      </c>
      <c r="E2345">
        <f>-669.130322690364 -170.796569333173 -302.722808778864</f>
        <v>-1142.649700802401</v>
      </c>
      <c r="F2345">
        <f>-678.791338063709 -172.742709140938 -391.272774070373</f>
        <v>-1242.80682127502</v>
      </c>
      <c r="G2345">
        <f>-685.151455880984 -170.481913492606 -480.113479275948</f>
        <v>-1335.7468486495382</v>
      </c>
      <c r="H2345">
        <f>-690.53393706073 -162.936490275944 -604.350980119543</f>
        <v>-1457.821407456217</v>
      </c>
      <c r="I2345">
        <f>-671.504962348269 -144.712237228831 -683.159458324549</f>
        <v>-1499.376657901649</v>
      </c>
      <c r="J2345">
        <f>-702.642901726818 -142.720422742869 -547.623515063136</f>
        <v>-1392.9868395328231</v>
      </c>
      <c r="K2345">
        <f>-774.987170855788 -28.5594885264111 -522.505764941443</f>
        <v>-1326.0524243236421</v>
      </c>
      <c r="L2345" t="s">
        <v>25385</v>
      </c>
      <c r="M2345" t="s">
        <v>25386</v>
      </c>
      <c r="N2345">
        <f>-673.687904068527 -189.793297832185 -551.736926400223</f>
        <v>-1415.2181283009349</v>
      </c>
      <c r="O2345">
        <f>-602.230573621735 -305.972084008002 -534.559367875826</f>
        <v>-1442.7620255055629</v>
      </c>
      <c r="P2345">
        <f>-564.277680976783 -372.707027737473 -250.486859514865</f>
        <v>-1187.471568229121</v>
      </c>
      <c r="Q2345">
        <f>-467.478349279722 -161.412242304507 -314.010672289951</f>
        <v>-942.90126387418002</v>
      </c>
      <c r="R2345">
        <f>-683.147059239995 -64.7391768935669 -97.3120264557456</f>
        <v>-845.19826258930743</v>
      </c>
      <c r="S2345" t="s">
        <v>25387</v>
      </c>
      <c r="T2345" t="s">
        <v>25388</v>
      </c>
      <c r="U2345" t="s">
        <v>25389</v>
      </c>
      <c r="V2345">
        <f>-575.341186670275 -223.062886943062 -93.4315765194036</f>
        <v>-891.83565013274062</v>
      </c>
      <c r="W2345" t="s">
        <v>25390</v>
      </c>
      <c r="X2345" t="s">
        <v>25391</v>
      </c>
      <c r="Y2345" t="s">
        <v>25392</v>
      </c>
    </row>
    <row r="2346" spans="1:25" x14ac:dyDescent="0.3">
      <c r="A2346">
        <v>117250</v>
      </c>
      <c r="B2346" t="s">
        <v>25393</v>
      </c>
      <c r="C2346">
        <f>-628.779104604901 -142.480076585975 -94.6760594299283</f>
        <v>-865.93524062080428</v>
      </c>
      <c r="D2346">
        <f>-654.552384943893 -162.860306086083 -205.746379534373</f>
        <v>-1023.159070564349</v>
      </c>
      <c r="E2346">
        <f>-668.356417566007 -169.415192873896 -303.179073802439</f>
        <v>-1140.950684242342</v>
      </c>
      <c r="F2346">
        <f>-677.909033362146 -171.308172237067 -391.742066383058</f>
        <v>-1240.959271982271</v>
      </c>
      <c r="G2346">
        <f>-684.185963324476 -168.998728021961 -480.587476903226</f>
        <v>-1333.7721682496631</v>
      </c>
      <c r="H2346">
        <f>-689.478397326073 -161.390493932927 -604.824770324157</f>
        <v>-1455.6936615831571</v>
      </c>
      <c r="I2346">
        <f>-670.692838133989 -143.246192806922 -683.710272894297</f>
        <v>-1497.6493038352078</v>
      </c>
      <c r="J2346">
        <f>-701.565203713835 -141.164312960677 -548.096371525764</f>
        <v>-1390.825888200276</v>
      </c>
      <c r="K2346">
        <f>-773.494847779962 -26.7286166139547 -522.997862083282</f>
        <v>-1323.2213264771988</v>
      </c>
      <c r="L2346" t="s">
        <v>25394</v>
      </c>
      <c r="M2346" t="s">
        <v>25395</v>
      </c>
      <c r="N2346">
        <f>-672.733675656398 -188.312736610205 -552.211932540573</f>
        <v>-1413.2583448071759</v>
      </c>
      <c r="O2346">
        <f>-601.513873629572 -304.62642341793 -534.994557114367</f>
        <v>-1441.134854161869</v>
      </c>
      <c r="P2346">
        <f>-564.016138136118 -371.654692601195 -250.930506451287</f>
        <v>-1186.6013371886002</v>
      </c>
      <c r="Q2346">
        <f>-466.625627874365 -160.409934851466 -313.713055289461</f>
        <v>-940.7486180152921</v>
      </c>
      <c r="R2346">
        <f>-682.637240329201 -63.4918314169969 -97.8012430512556</f>
        <v>-843.93031479745343</v>
      </c>
      <c r="S2346" t="s">
        <v>25396</v>
      </c>
      <c r="T2346" t="s">
        <v>25397</v>
      </c>
      <c r="U2346" t="s">
        <v>25398</v>
      </c>
      <c r="V2346">
        <f>-575.167117347634 -221.851996485118 -93.6247720461944</f>
        <v>-890.64388587894632</v>
      </c>
      <c r="W2346" t="s">
        <v>25399</v>
      </c>
      <c r="X2346" t="s">
        <v>25400</v>
      </c>
      <c r="Y2346" t="s">
        <v>25401</v>
      </c>
    </row>
    <row r="2347" spans="1:25" x14ac:dyDescent="0.3">
      <c r="A2347">
        <v>117300</v>
      </c>
      <c r="B2347" t="s">
        <v>25402</v>
      </c>
      <c r="C2347">
        <f>-628.25612921498 -139.870148649028 -95.3633941399783</f>
        <v>-863.48967200398624</v>
      </c>
      <c r="D2347">
        <f>-653.665076560198 -160.084411066628 -206.547936039613</f>
        <v>-1020.297423666439</v>
      </c>
      <c r="E2347">
        <f>-667.297868004514 -166.50086098232 -304.013940955756</f>
        <v>-1137.81266994259</v>
      </c>
      <c r="F2347">
        <f>-676.754852505672 -168.26905283631 -392.589797070873</f>
        <v>-1237.613702412855</v>
      </c>
      <c r="G2347">
        <f>-682.994661382428 -165.836504396106 -481.434500512128</f>
        <v>-1330.265666290662</v>
      </c>
      <c r="H2347">
        <f>-688.296844873216 -158.058361300722 -605.660939376506</f>
        <v>-1452.016145550444</v>
      </c>
      <c r="I2347">
        <f>-669.998226291822 -140.039550595175 -684.68947538343</f>
        <v>-1494.727252270427</v>
      </c>
      <c r="J2347">
        <f>-700.266431614035 -137.84111062923 -548.904407051222</f>
        <v>-1387.0119492944871</v>
      </c>
      <c r="K2347">
        <f>-771.436802196567 -22.967984276806 -523.673886233572</f>
        <v>-1318.0786727069449</v>
      </c>
      <c r="L2347" t="s">
        <v>25403</v>
      </c>
      <c r="M2347" t="s">
        <v>25404</v>
      </c>
      <c r="N2347">
        <f>-671.660797335462 -185.121191102587 -553.085712692637</f>
        <v>-1409.8677011306859</v>
      </c>
      <c r="O2347">
        <f>-600.892293219397 -301.72368523282 -535.944606294206</f>
        <v>-1438.560584746423</v>
      </c>
      <c r="P2347">
        <f>-564.223993848419 -369.193223643798 -251.876844162594</f>
        <v>-1185.294061654811</v>
      </c>
      <c r="Q2347">
        <f>-465.248656329312 -158.253843151167 -313.190192411167</f>
        <v>-936.69269189164595</v>
      </c>
      <c r="R2347">
        <f>-681.982736876406 -60.8380469384767 -98.7167362033526</f>
        <v>-841.53752001823534</v>
      </c>
      <c r="S2347" t="s">
        <v>25405</v>
      </c>
      <c r="T2347" t="s">
        <v>25406</v>
      </c>
      <c r="U2347" t="s">
        <v>25407</v>
      </c>
      <c r="V2347">
        <f>-574.824708487018 -219.258905761113 -94.0510661981323</f>
        <v>-888.13468044626325</v>
      </c>
      <c r="W2347" t="s">
        <v>25408</v>
      </c>
      <c r="X2347" t="s">
        <v>25409</v>
      </c>
      <c r="Y2347" t="s">
        <v>25410</v>
      </c>
    </row>
    <row r="2348" spans="1:25" x14ac:dyDescent="0.3">
      <c r="A2348">
        <v>117350</v>
      </c>
      <c r="B2348" t="s">
        <v>25411</v>
      </c>
      <c r="C2348">
        <f>-628.058537283778 -138.659725113167 -95.6040123185741</f>
        <v>-862.32227471551914</v>
      </c>
      <c r="D2348">
        <f>-653.31751272967 -158.789051901071 -206.838020574234</f>
        <v>-1018.9445852049751</v>
      </c>
      <c r="E2348">
        <f>-666.899781663895 -165.127182714643 -304.316255495412</f>
        <v>-1136.3432198739501</v>
      </c>
      <c r="F2348">
        <f>-676.342918738377 -166.822124829171 -392.895116748713</f>
        <v>-1236.0601603162609</v>
      </c>
      <c r="G2348">
        <f>-682.60009404979 -164.314975841684 -481.736513824809</f>
        <v>-1328.6515837162829</v>
      </c>
      <c r="H2348">
        <f>-687.958667990983 -156.431255762886 -605.953907322658</f>
        <v>-1450.3438310765268</v>
      </c>
      <c r="I2348">
        <f>-669.875400852137 -138.449634669179 -685.04035490503</f>
        <v>-1493.365390426346</v>
      </c>
      <c r="J2348">
        <f>-699.846956170028 -136.228759003173 -549.174930638722</f>
        <v>-1385.2506458119228</v>
      </c>
      <c r="K2348">
        <f>-770.632170308589 -21.1414394598044 -523.841526817579</f>
        <v>-1315.6151365859723</v>
      </c>
      <c r="L2348" t="s">
        <v>25412</v>
      </c>
      <c r="M2348" t="s">
        <v>25413</v>
      </c>
      <c r="N2348">
        <f>-671.354201073786 -183.572234145927 -553.408902629492</f>
        <v>-1408.3353378492052</v>
      </c>
      <c r="O2348">
        <f>-600.801661234857 -300.316916068531 -536.363809481151</f>
        <v>-1437.4823867845389</v>
      </c>
      <c r="P2348">
        <f>-564.162569584227 -368.106789021883 -252.368457156889</f>
        <v>-1184.637815762999</v>
      </c>
      <c r="Q2348">
        <f>-464.890618184974 -157.077837657334 -312.889060433935</f>
        <v>-934.85751627624302</v>
      </c>
      <c r="R2348">
        <f>-681.747424528305 -59.5727193225868 -99.0069914122261</f>
        <v>-840.32713526311784</v>
      </c>
      <c r="S2348" t="s">
        <v>25414</v>
      </c>
      <c r="T2348" t="s">
        <v>25415</v>
      </c>
      <c r="U2348" t="s">
        <v>25416</v>
      </c>
      <c r="V2348">
        <f>-574.633851087451 -218.10070339536 -94.2289003702656</f>
        <v>-886.96345485307666</v>
      </c>
      <c r="W2348" t="s">
        <v>25417</v>
      </c>
      <c r="X2348" t="s">
        <v>25418</v>
      </c>
      <c r="Y2348" t="s">
        <v>25419</v>
      </c>
    </row>
    <row r="2349" spans="1:25" x14ac:dyDescent="0.3">
      <c r="A2349">
        <v>117400</v>
      </c>
      <c r="B2349" t="s">
        <v>25420</v>
      </c>
      <c r="C2349">
        <f>-627.62072801459 -136.324335674272 -95.8670472596557</f>
        <v>-859.81211094851767</v>
      </c>
      <c r="D2349">
        <f>-652.730270444727 -156.405185971433 -207.143748297734</f>
        <v>-1016.2792047138939</v>
      </c>
      <c r="E2349">
        <f>-666.299729341909 -162.574963308788 -304.634482488622</f>
        <v>-1133.509175139319</v>
      </c>
      <c r="F2349">
        <f>-675.773936521848 -164.068121579197 -393.21351862962</f>
        <v>-1233.0555767306651</v>
      </c>
      <c r="G2349">
        <f>-682.101698701869 -161.312096992836 -482.042641277503</f>
        <v>-1325.4564369722079</v>
      </c>
      <c r="H2349">
        <f>-687.597941582046 -153.032856969677 -606.228347629541</f>
        <v>-1446.8591461812639</v>
      </c>
      <c r="I2349">
        <f>-669.836420111544 -134.989127017383 -685.373612464996</f>
        <v>-1490.199159593923</v>
      </c>
      <c r="J2349">
        <f>-699.328226437682 -132.954246947676 -549.372694233794</f>
        <v>-1381.6551676191521</v>
      </c>
      <c r="K2349">
        <f>-769.361289055149 -17.4948132188235 -523.653375944221</f>
        <v>-1310.5094782181936</v>
      </c>
      <c r="L2349" t="s">
        <v>25421</v>
      </c>
      <c r="M2349" t="s">
        <v>25422</v>
      </c>
      <c r="N2349">
        <f>-671.030408286972 -180.397985348814 -553.788009604881</f>
        <v>-1405.2164032406672</v>
      </c>
      <c r="O2349">
        <f>-600.829546007117 -297.408285774702 -537.096551809222</f>
        <v>-1435.3343835910409</v>
      </c>
      <c r="P2349">
        <f>-563.831240223848 -366.044229456823 -253.351143471269</f>
        <v>-1183.22661315194</v>
      </c>
      <c r="Q2349">
        <f>-464.563237840532 -154.605760154608 -312.431682183396</f>
        <v>-931.60068017853598</v>
      </c>
      <c r="R2349">
        <f>-681.230680241747 -57.3329781266003 -99.3217656405743</f>
        <v>-837.88542400892163</v>
      </c>
      <c r="S2349" t="s">
        <v>25423</v>
      </c>
      <c r="T2349" t="s">
        <v>25424</v>
      </c>
      <c r="U2349" t="s">
        <v>25425</v>
      </c>
      <c r="V2349">
        <f>-574.257618019211 -215.641108528318 -94.4719839272428</f>
        <v>-884.37071047477184</v>
      </c>
      <c r="W2349" t="s">
        <v>25426</v>
      </c>
      <c r="X2349" t="s">
        <v>25427</v>
      </c>
      <c r="Y2349" t="s">
        <v>25428</v>
      </c>
    </row>
    <row r="2350" spans="1:25" x14ac:dyDescent="0.3">
      <c r="A2350">
        <v>117450</v>
      </c>
      <c r="B2350" t="s">
        <v>25429</v>
      </c>
      <c r="C2350">
        <f>-627.291168086092 -135.223809771398 -95.9453824058883</f>
        <v>-858.46036026337822</v>
      </c>
      <c r="D2350">
        <f>-652.412227550778 -155.332464871374 -207.214404451037</f>
        <v>-1014.959096873189</v>
      </c>
      <c r="E2350">
        <f>-666.028726093294 -161.434383215328 -304.702952287022</f>
        <v>-1132.1660615956441</v>
      </c>
      <c r="F2350">
        <f>-675.557507493831 -162.830055938077 -393.277696241616</f>
        <v>-1231.6652596735241</v>
      </c>
      <c r="G2350">
        <f>-681.949942125658 -159.941681710761 -482.098015527807</f>
        <v>-1323.9896393642262</v>
      </c>
      <c r="H2350">
        <f>-687.545540481049 -151.441855243244 -606.264253452336</f>
        <v>-1445.2516491766291</v>
      </c>
      <c r="I2350">
        <f>-669.920569757118 -133.331725565946 -685.424939366132</f>
        <v>-1488.6772346891958</v>
      </c>
      <c r="J2350">
        <f>-699.189098029992 -131.439765755929 -549.363822372819</f>
        <v>-1379.9926861587401</v>
      </c>
      <c r="K2350">
        <f>-768.903013815303 -15.8377811559526 -523.401211419719</f>
        <v>-1308.1420063909745</v>
      </c>
      <c r="L2350" t="s">
        <v>25430</v>
      </c>
      <c r="M2350" t="s">
        <v>25431</v>
      </c>
      <c r="N2350">
        <f>-670.97730625232 -178.924693801289 -553.885822369015</f>
        <v>-1403.787822422624</v>
      </c>
      <c r="O2350">
        <f>-600.911856597284 -296.053688108279 -537.440627789182</f>
        <v>-1434.4061724947451</v>
      </c>
      <c r="P2350">
        <f>-563.489520573173 -365.278239141184 -253.893966935638</f>
        <v>-1182.661726649995</v>
      </c>
      <c r="Q2350">
        <f>-464.739902924859 -153.509831581904 -312.660704159734</f>
        <v>-930.91043866649693</v>
      </c>
      <c r="R2350">
        <f>-680.847846964563 -56.2762624791808 -99.3980826180144</f>
        <v>-836.52219206175823</v>
      </c>
      <c r="S2350" t="s">
        <v>25432</v>
      </c>
      <c r="T2350" t="s">
        <v>25433</v>
      </c>
      <c r="U2350" t="s">
        <v>25434</v>
      </c>
      <c r="V2350">
        <f>-573.913439604475 -214.547159409061 -94.5460264417868</f>
        <v>-883.00662545532282</v>
      </c>
      <c r="W2350" t="s">
        <v>25435</v>
      </c>
      <c r="X2350" t="s">
        <v>25436</v>
      </c>
      <c r="Y2350" t="s">
        <v>25437</v>
      </c>
    </row>
    <row r="2351" spans="1:25" x14ac:dyDescent="0.3">
      <c r="A2351">
        <v>117500</v>
      </c>
      <c r="B2351" t="s">
        <v>25438</v>
      </c>
      <c r="C2351">
        <f>-626.593007260464 -133.678694303002 -95.8723041025793</f>
        <v>-856.14400566604525</v>
      </c>
      <c r="D2351">
        <f>-651.851899721323 -153.723465392556 -207.121636104905</f>
        <v>-1012.697001218784</v>
      </c>
      <c r="E2351">
        <f>-665.674019853053 -159.672735455814 -304.590719762353</f>
        <v>-1129.93747507122</v>
      </c>
      <c r="F2351">
        <f>-675.421202605162 -160.891236725911 -393.144318929193</f>
        <v>-1229.4567582602658</v>
      </c>
      <c r="G2351">
        <f>-682.062722653316 -157.787575421584 -481.939075396279</f>
        <v>-1321.7893734711788</v>
      </c>
      <c r="H2351">
        <f>-688.037041348062 -148.948004817707 -606.06384163082</f>
        <v>-1443.048887796589</v>
      </c>
      <c r="I2351">
        <f>-670.642658618219 -130.664645720974 -685.235727423382</f>
        <v>-1486.5430317625751</v>
      </c>
      <c r="J2351">
        <f>-699.452271454869 -129.069390851544 -549.074050713559</f>
        <v>-1377.595713019972</v>
      </c>
      <c r="K2351">
        <f>-768.709263119227 -13.3095829286342 -522.546133067613</f>
        <v>-1304.5649791154742</v>
      </c>
      <c r="L2351" t="s">
        <v>25439</v>
      </c>
      <c r="M2351" t="s">
        <v>25440</v>
      </c>
      <c r="N2351">
        <f>-671.363873852516 -176.606328042748 -553.811372888656</f>
        <v>-1401.78157478392</v>
      </c>
      <c r="O2351">
        <f>-601.439155888376 -293.879622311156 -537.885194177236</f>
        <v>-1433.203972376768</v>
      </c>
      <c r="P2351">
        <f>-563.064356180686 -364.084514797431 -254.707095075112</f>
        <v>-1181.8559660532289</v>
      </c>
      <c r="Q2351">
        <f>-465.220008397272 -151.757474500647 -312.970045095663</f>
        <v>-929.94752799358207</v>
      </c>
      <c r="R2351">
        <f>-680.119770701224 -54.752485310844 -99.1503209373453</f>
        <v>-834.02257694941329</v>
      </c>
      <c r="S2351" t="s">
        <v>25441</v>
      </c>
      <c r="T2351" t="s">
        <v>25442</v>
      </c>
      <c r="U2351" t="s">
        <v>25443</v>
      </c>
      <c r="V2351">
        <f>-573.314184087825 -212.997421386743 -94.6106020459185</f>
        <v>-880.9222075204865</v>
      </c>
      <c r="W2351" t="s">
        <v>25444</v>
      </c>
      <c r="X2351" t="s">
        <v>25445</v>
      </c>
      <c r="Y2351" t="s">
        <v>25446</v>
      </c>
    </row>
    <row r="2352" spans="1:25" x14ac:dyDescent="0.3">
      <c r="A2352">
        <v>117550</v>
      </c>
      <c r="B2352" t="s">
        <v>25447</v>
      </c>
      <c r="C2352">
        <f>-626.363299397494 -133.067902265575 -95.7615141680897</f>
        <v>-855.19271583115858</v>
      </c>
      <c r="D2352">
        <f>-651.737718050183 -153.099538429244 -206.986909069558</f>
        <v>-1011.8241655489851</v>
      </c>
      <c r="E2352">
        <f>-665.70344313311 -158.983980628608 -304.439484021181</f>
        <v>-1129.126907782899</v>
      </c>
      <c r="F2352">
        <f>-675.597341414573 -160.122486054484 -392.977935705189</f>
        <v>-1228.6977631742461</v>
      </c>
      <c r="G2352">
        <f>-682.401620197355 -156.917378959864 -481.756652472487</f>
        <v>-1321.075651629706</v>
      </c>
      <c r="H2352">
        <f>-688.619734784667 -147.913716983283 -605.857723264679</f>
        <v>-1442.391175032629</v>
      </c>
      <c r="I2352">
        <f>-671.331206199332 -129.507955255057 -685.024377666478</f>
        <v>-1485.863539120867</v>
      </c>
      <c r="J2352">
        <f>-699.916244798104 -128.106507664409 -548.819388033524</f>
        <v>-1376.842140496037</v>
      </c>
      <c r="K2352">
        <f>-769.089228506635 -12.3759591173261 -521.997890962099</f>
        <v>-1303.46307858606</v>
      </c>
      <c r="L2352" t="s">
        <v>25448</v>
      </c>
      <c r="M2352" t="s">
        <v>25449</v>
      </c>
      <c r="N2352">
        <f>-671.850630246367 -175.645056666459 -553.674512669819</f>
        <v>-1401.1701995826452</v>
      </c>
      <c r="O2352">
        <f>-601.876176618356 -292.932973697675 -538.046248544658</f>
        <v>-1432.8553988606891</v>
      </c>
      <c r="P2352">
        <f>-562.892655262659 -363.676336475309 -255.085326400906</f>
        <v>-1181.654318138874</v>
      </c>
      <c r="Q2352">
        <f>-465.243091527226 -151.202224797698 -313.138818724568</f>
        <v>-929.58413504949203</v>
      </c>
      <c r="R2352">
        <f>-679.953833843137 -54.1869653322223 -98.9660655097197</f>
        <v>-833.1068646850789</v>
      </c>
      <c r="S2352" t="s">
        <v>25450</v>
      </c>
      <c r="T2352" t="s">
        <v>25451</v>
      </c>
      <c r="U2352" t="s">
        <v>25452</v>
      </c>
      <c r="V2352">
        <f>-573.069401113546 -212.289691693344 -94.6117520196856</f>
        <v>-879.97084482657556</v>
      </c>
      <c r="W2352" t="s">
        <v>25453</v>
      </c>
      <c r="X2352" t="s">
        <v>25454</v>
      </c>
      <c r="Y2352" t="s">
        <v>25455</v>
      </c>
    </row>
    <row r="2353" spans="1:25" x14ac:dyDescent="0.3">
      <c r="A2353">
        <v>117600</v>
      </c>
      <c r="B2353" t="s">
        <v>25456</v>
      </c>
      <c r="C2353">
        <f>-625.917701128648 -132.495705327799 -95.5608637631173</f>
        <v>-853.97427021956423</v>
      </c>
      <c r="D2353">
        <f>-651.587458668815 -152.537918700132 -206.716544897643</f>
        <v>-1010.8419222665899</v>
      </c>
      <c r="E2353">
        <f>-665.919873833636 -158.258595786756 -304.125605207321</f>
        <v>-1128.3040748277131</v>
      </c>
      <c r="F2353">
        <f>-676.186149905935 -159.180256436958 -392.624205102792</f>
        <v>-1227.9906114456851</v>
      </c>
      <c r="G2353">
        <f>-683.40142948292 -155.690023795082 -481.359721947618</f>
        <v>-1320.4511752256199</v>
      </c>
      <c r="H2353">
        <f>-690.232220694262 -146.217040071388 -605.393660696758</f>
        <v>-1441.842921462408</v>
      </c>
      <c r="I2353">
        <f>-673.173407859023 -127.462827808756 -684.528416700161</f>
        <v>-1485.1646523679399</v>
      </c>
      <c r="J2353">
        <f>-701.251025818016 -126.628416916651 -548.225660260937</f>
        <v>-1376.1051029956041</v>
      </c>
      <c r="K2353">
        <f>-770.267107486105 -11.0142660774732 -520.493500047769</f>
        <v>-1301.7748736113472</v>
      </c>
      <c r="L2353" t="s">
        <v>25457</v>
      </c>
      <c r="M2353" t="s">
        <v>25458</v>
      </c>
      <c r="N2353">
        <f>-673.201597281907 -174.142891312591 -553.399211132194</f>
        <v>-1400.7436997266918</v>
      </c>
      <c r="O2353">
        <f>-602.992859305792 -291.388208655865 -538.494200128331</f>
        <v>-1432.8752680899879</v>
      </c>
      <c r="P2353">
        <f>-562.521482373416 -362.853762698579 -255.923917324256</f>
        <v>-1181.2991623962509</v>
      </c>
      <c r="Q2353">
        <f>-464.999215777766 -150.235337590758 -313.662112457603</f>
        <v>-928.89666582612699</v>
      </c>
      <c r="R2353">
        <f>-679.677699973417 -53.5885291884548 -98.587675449543</f>
        <v>-831.85390461141481</v>
      </c>
      <c r="S2353" t="s">
        <v>25459</v>
      </c>
      <c r="T2353" t="s">
        <v>25460</v>
      </c>
      <c r="U2353" t="s">
        <v>25461</v>
      </c>
      <c r="V2353">
        <f>-572.430375416787 -211.880319963904 -94.5801129926791</f>
        <v>-878.89080837337008</v>
      </c>
      <c r="W2353" t="s">
        <v>25462</v>
      </c>
      <c r="X2353" t="s">
        <v>25463</v>
      </c>
      <c r="Y2353" t="s">
        <v>25464</v>
      </c>
    </row>
    <row r="2354" spans="1:25" x14ac:dyDescent="0.3">
      <c r="A2354">
        <v>117650</v>
      </c>
      <c r="B2354" t="s">
        <v>25465</v>
      </c>
      <c r="C2354">
        <f>-625.676465339314 -132.493295048595 -95.4996476287836</f>
        <v>-853.6694080166925</v>
      </c>
      <c r="D2354">
        <f>-651.427921199932 -152.513397728861 -206.640368042269</f>
        <v>-1010.581686971062</v>
      </c>
      <c r="E2354">
        <f>-665.926187499778 -158.094819983164 -304.032859605435</f>
        <v>-1128.053867088377</v>
      </c>
      <c r="F2354">
        <f>-676.378893201362 -158.842435029567 -392.511355575532</f>
        <v>-1227.732683806461</v>
      </c>
      <c r="G2354">
        <f>-683.815878920447 -155.129991648357 -481.219502975044</f>
        <v>-1320.1653735438479</v>
      </c>
      <c r="H2354">
        <f>-690.992455053241 -145.296228727191 -605.205814797454</f>
        <v>-1441.4944985778859</v>
      </c>
      <c r="I2354">
        <f>-674.066566699984 -126.293162403509 -684.309745340786</f>
        <v>-1484.6694744442789</v>
      </c>
      <c r="J2354">
        <f>-701.856090196962 -125.876483852606 -547.950532353689</f>
        <v>-1375.6831064032572</v>
      </c>
      <c r="K2354">
        <f>-770.777163161495 -10.3624656309289 -519.60626464757</f>
        <v>-1300.7458934399938</v>
      </c>
      <c r="L2354" t="s">
        <v>25466</v>
      </c>
      <c r="M2354" t="s">
        <v>25467</v>
      </c>
      <c r="N2354">
        <f>-673.812751125505 -173.37062484224 -553.340627478612</f>
        <v>-1400.5240034463568</v>
      </c>
      <c r="O2354">
        <f>-603.477076676007 -290.610008461877 -538.927943991661</f>
        <v>-1433.0150291295449</v>
      </c>
      <c r="P2354">
        <f>-562.050373578387 -362.553294043089 -256.617511250017</f>
        <v>-1181.2211788714931</v>
      </c>
      <c r="Q2354">
        <f>-464.966838344103 -149.651300624578 -314.049298703441</f>
        <v>-928.66743767212211</v>
      </c>
      <c r="R2354">
        <f>-679.418391566505 -53.4998075917122 -98.4656636643826</f>
        <v>-831.38386282259978</v>
      </c>
      <c r="S2354" t="s">
        <v>25468</v>
      </c>
      <c r="T2354" t="s">
        <v>25469</v>
      </c>
      <c r="U2354" t="s">
        <v>25470</v>
      </c>
      <c r="V2354">
        <f>-572.219636462026 -211.865789645854 -94.5794009514394</f>
        <v>-878.66482705931935</v>
      </c>
      <c r="W2354" t="s">
        <v>25471</v>
      </c>
      <c r="X2354" t="s">
        <v>25472</v>
      </c>
      <c r="Y2354" t="s">
        <v>25473</v>
      </c>
    </row>
    <row r="2355" spans="1:25" x14ac:dyDescent="0.3">
      <c r="A2355">
        <v>117700</v>
      </c>
      <c r="B2355" t="s">
        <v>25474</v>
      </c>
      <c r="C2355">
        <f>-625.318926196361 -132.58677024577 -95.4231103742152</f>
        <v>-853.32880681634617</v>
      </c>
      <c r="D2355">
        <f>-651.138923407164 -152.496876444087 -206.567786474644</f>
        <v>-1010.203586325895</v>
      </c>
      <c r="E2355">
        <f>-665.879702518147 -157.709311078708 -303.944439565773</f>
        <v>-1127.5334531626281</v>
      </c>
      <c r="F2355">
        <f>-676.62325727997 -158.0117564387 -392.390529029055</f>
        <v>-1227.025542747725</v>
      </c>
      <c r="G2355">
        <f>-684.421695776214 -153.742133417127 -481.042589755862</f>
        <v>-1319.206418949203</v>
      </c>
      <c r="H2355">
        <f>-692.176443192077 -143.012649907297 -604.919747045425</f>
        <v>-1440.1088401447992</v>
      </c>
      <c r="I2355">
        <f>-675.547976903458 -123.461298624035 -683.95323889382</f>
        <v>-1482.9625144213128</v>
      </c>
      <c r="J2355">
        <f>-702.779194026885 -124.011448551078 -547.475448352764</f>
        <v>-1374.2660909307269</v>
      </c>
      <c r="K2355">
        <f>-771.54559594148 -8.72095635157484 -517.864842941778</f>
        <v>-1298.1313952348328</v>
      </c>
      <c r="L2355" t="s">
        <v>25475</v>
      </c>
      <c r="M2355" t="s">
        <v>25476</v>
      </c>
      <c r="N2355">
        <f>-674.748677900065 -171.456839240293 -553.339615324391</f>
        <v>-1399.545132464749</v>
      </c>
      <c r="O2355">
        <f>-604.247828309979 -288.715029498765 -540.014891604247</f>
        <v>-1432.9777494129912</v>
      </c>
      <c r="P2355">
        <f>-560.739736749159 -362.089835026225 -258.386868969431</f>
        <v>-1181.2164407448149</v>
      </c>
      <c r="Q2355">
        <f>-464.970819626685 -148.446141446856 -315.268746852246</f>
        <v>-928.68570792578703</v>
      </c>
      <c r="R2355">
        <f>-678.898516928426 -53.5461933489963 -98.3118877343186</f>
        <v>-830.75659801174095</v>
      </c>
      <c r="S2355" t="s">
        <v>25477</v>
      </c>
      <c r="T2355" t="s">
        <v>25478</v>
      </c>
      <c r="U2355" t="s">
        <v>25479</v>
      </c>
      <c r="V2355">
        <f>-571.994425919388 -211.936240286593 -94.5768145577011</f>
        <v>-878.50748076368222</v>
      </c>
      <c r="W2355" t="s">
        <v>25480</v>
      </c>
      <c r="X2355" t="s">
        <v>25481</v>
      </c>
      <c r="Y2355" t="s">
        <v>25482</v>
      </c>
    </row>
    <row r="2356" spans="1:25" x14ac:dyDescent="0.3">
      <c r="A2356">
        <v>117750</v>
      </c>
      <c r="B2356" t="s">
        <v>25483</v>
      </c>
      <c r="C2356">
        <f>-625.347535911523 -132.650188095306 -95.3896506769431</f>
        <v>-853.38737468377212</v>
      </c>
      <c r="D2356">
        <f>-651.195634473663 -152.508907220668 -206.536920760366</f>
        <v>-1010.2414624546969</v>
      </c>
      <c r="E2356">
        <f>-666.027493382938 -157.555070837007 -303.908585644415</f>
        <v>-1127.4911498643601</v>
      </c>
      <c r="F2356">
        <f>-676.880541575816 -157.65644749206 -392.341829014474</f>
        <v>-1226.8788180823499</v>
      </c>
      <c r="G2356">
        <f>-684.81590381365 -153.134814010418 -480.969232830936</f>
        <v>-1318.919950655004</v>
      </c>
      <c r="H2356">
        <f>-692.791050399329 -141.999264082209 -604.796552630819</f>
        <v>-1439.5868671123571</v>
      </c>
      <c r="I2356">
        <f>-676.331565630188 -122.196826934345 -683.802778645301</f>
        <v>-1482.3311712098341</v>
      </c>
      <c r="J2356">
        <f>-703.299248074674 -123.191131366963 -547.271426875032</f>
        <v>-1373.761806316669</v>
      </c>
      <c r="K2356">
        <f>-772.079812711587 -8.03987889288578 -517.133381168321</f>
        <v>-1297.2530727727938</v>
      </c>
      <c r="L2356" t="s">
        <v>25484</v>
      </c>
      <c r="M2356" t="s">
        <v>25485</v>
      </c>
      <c r="N2356">
        <f>-675.263894025603 -170.607811332274 -553.341117229027</f>
        <v>-1399.2128225869039</v>
      </c>
      <c r="O2356">
        <f>-604.681350040803 -287.869090440228 -540.471120814898</f>
        <v>-1433.0215612959289</v>
      </c>
      <c r="P2356">
        <f>-560.213559615457 -361.918178112418 -259.169656598192</f>
        <v>-1181.3013943260671</v>
      </c>
      <c r="Q2356">
        <f>-465.121757436205 -147.92185108508 -315.861519547167</f>
        <v>-928.90512806845209</v>
      </c>
      <c r="R2356">
        <f>-678.957166840493 -53.5085139730016 -98.2555323138578</f>
        <v>-830.72121312735237</v>
      </c>
      <c r="S2356" t="s">
        <v>25486</v>
      </c>
      <c r="T2356" t="s">
        <v>25487</v>
      </c>
      <c r="U2356" t="s">
        <v>25488</v>
      </c>
      <c r="V2356">
        <f>-572.066692771039 -212.087900812875 -94.5832938470808</f>
        <v>-878.73788743099476</v>
      </c>
      <c r="W2356" t="s">
        <v>25489</v>
      </c>
      <c r="X2356" t="s">
        <v>25490</v>
      </c>
      <c r="Y2356" t="s">
        <v>25491</v>
      </c>
    </row>
    <row r="2357" spans="1:25" x14ac:dyDescent="0.3">
      <c r="A2357">
        <v>117800</v>
      </c>
      <c r="B2357" t="s">
        <v>25492</v>
      </c>
      <c r="C2357">
        <f>-625.702248741733 -132.557228451724 -95.2970531989459</f>
        <v>-853.55653039240292</v>
      </c>
      <c r="D2357">
        <f>-651.622869658175 -152.35551568026 -206.438255019957</f>
        <v>-1010.416640358392</v>
      </c>
      <c r="E2357">
        <f>-666.570085328415 -157.156050304254 -303.804554529045</f>
        <v>-1127.5306901617139</v>
      </c>
      <c r="F2357">
        <f>-677.54918969943 -156.955464374469 -392.222071039522</f>
        <v>-1226.726725113421</v>
      </c>
      <c r="G2357">
        <f>-685.632670954607 -152.051319466161 -480.815883180307</f>
        <v>-1318.499873601075</v>
      </c>
      <c r="H2357">
        <f>-693.838368911211 -140.296504549405 -604.57084681547</f>
        <v>-1438.7057202760859</v>
      </c>
      <c r="I2357">
        <f>-677.666897249038 -120.06919474955 -683.528875096941</f>
        <v>-1481.2649670955288</v>
      </c>
      <c r="J2357">
        <f>-704.254340909239 -121.785380844853 -546.932829595424</f>
        <v>-1372.9725513495159</v>
      </c>
      <c r="K2357">
        <f>-773.089895573001 -6.88271530483985 -515.989928326479</f>
        <v>-1295.9625392043199</v>
      </c>
      <c r="L2357" t="s">
        <v>25493</v>
      </c>
      <c r="M2357" t="s">
        <v>25494</v>
      </c>
      <c r="N2357">
        <f>-676.200525300889 -169.153116752635 -553.292096503859</f>
        <v>-1398.6457385573831</v>
      </c>
      <c r="O2357">
        <f>-605.475814237934 -286.395043416021 -541.040156526772</f>
        <v>-1432.9110141807269</v>
      </c>
      <c r="P2357">
        <f>-559.755751988993 -361.343101947398 -260.17775258755</f>
        <v>-1181.2766065239409</v>
      </c>
      <c r="Q2357">
        <f>-465.390399985862 -146.89122697074 -316.359785716368</f>
        <v>-928.64141267297009</v>
      </c>
      <c r="R2357">
        <f>-679.155151574619 -53.4497527095912 -98.0854096168069</f>
        <v>-830.69031390101713</v>
      </c>
      <c r="S2357" t="s">
        <v>25495</v>
      </c>
      <c r="T2357" t="s">
        <v>25496</v>
      </c>
      <c r="U2357" t="s">
        <v>25497</v>
      </c>
      <c r="V2357">
        <f>-572.51675072614 -211.986857167607 -94.560687545969</f>
        <v>-879.06429543971603</v>
      </c>
      <c r="W2357" t="s">
        <v>25498</v>
      </c>
      <c r="X2357" t="s">
        <v>25499</v>
      </c>
      <c r="Y2357" t="s">
        <v>25500</v>
      </c>
    </row>
    <row r="2358" spans="1:25" x14ac:dyDescent="0.3">
      <c r="A2358">
        <v>117850</v>
      </c>
      <c r="B2358" t="s">
        <v>25501</v>
      </c>
      <c r="C2358">
        <f>-625.941716335371 -132.607912867287 -95.2388812783491</f>
        <v>-853.78851048100717</v>
      </c>
      <c r="D2358">
        <f>-651.876575495646 -152.378437143513 -206.381790599245</f>
        <v>-1010.6368032384039</v>
      </c>
      <c r="E2358">
        <f>-666.853143183357 -157.107439192268 -303.746978026721</f>
        <v>-1127.707560402346</v>
      </c>
      <c r="F2358">
        <f>-677.866482889314 -156.822140852923 -392.16011249676</f>
        <v>-1226.8487362389969</v>
      </c>
      <c r="G2358">
        <f>-685.992522590777 -151.812774131641 -480.743887751133</f>
        <v>-1318.5491844735511</v>
      </c>
      <c r="H2358">
        <f>-694.266973440929 -139.889333584498 -604.478328542605</f>
        <v>-1438.6346355680321</v>
      </c>
      <c r="I2358">
        <f>-678.217368881915 -119.515867507435 -683.423570547899</f>
        <v>-1481.156806937249</v>
      </c>
      <c r="J2358">
        <f>-704.659188930066 -121.461653375075 -546.80917001006</f>
        <v>-1372.9300123152011</v>
      </c>
      <c r="K2358">
        <f>-773.571709348304 -6.67589793867774 -515.610498319642</f>
        <v>-1295.8581056066237</v>
      </c>
      <c r="L2358" t="s">
        <v>25502</v>
      </c>
      <c r="M2358" t="s">
        <v>25503</v>
      </c>
      <c r="N2358">
        <f>-676.592387808324 -168.810882514926 -553.248760208895</f>
        <v>-1398.6520305321451</v>
      </c>
      <c r="O2358">
        <f>-605.780116992579 -286.015196917857 -541.160855303179</f>
        <v>-1432.9561692136149</v>
      </c>
      <c r="P2358">
        <f>-559.95032114543 -361.14730306806 -260.365358900271</f>
        <v>-1181.4629831137611</v>
      </c>
      <c r="Q2358">
        <f>-465.479448244387 -146.74894694753 -316.574697633922</f>
        <v>-928.80309282583903</v>
      </c>
      <c r="R2358">
        <f>-679.334838343948 -53.4517938495615 -98.0057113008852</f>
        <v>-830.79234349439469</v>
      </c>
      <c r="S2358" t="s">
        <v>25504</v>
      </c>
      <c r="T2358" t="s">
        <v>25505</v>
      </c>
      <c r="U2358" t="s">
        <v>25506</v>
      </c>
      <c r="V2358">
        <f>-572.800360011405 -212.10674571658 -94.5336166852485</f>
        <v>-879.44072241323352</v>
      </c>
      <c r="W2358" t="s">
        <v>25507</v>
      </c>
      <c r="X2358" t="s">
        <v>25508</v>
      </c>
      <c r="Y2358" t="s">
        <v>25509</v>
      </c>
    </row>
    <row r="2359" spans="1:25" x14ac:dyDescent="0.3">
      <c r="A2359">
        <v>117900</v>
      </c>
      <c r="B2359" t="s">
        <v>25510</v>
      </c>
      <c r="C2359">
        <f>-626.181287638554 -132.550656906284 -95.1987356227351</f>
        <v>-853.93068016757297</v>
      </c>
      <c r="D2359">
        <f>-652.130426351895 -152.328916755512 -206.336864069407</f>
        <v>-1010.7962071768141</v>
      </c>
      <c r="E2359">
        <f>-667.131939167541 -157.038882656777 -303.699323124618</f>
        <v>-1127.8701449489358</v>
      </c>
      <c r="F2359">
        <f>-678.173012513705 -156.72580030904 -392.108745709019</f>
        <v>-1227.0075585317641</v>
      </c>
      <c r="G2359">
        <f>-686.331850378486 -151.678081396161 -480.687546110689</f>
        <v>-1318.697477885336</v>
      </c>
      <c r="H2359">
        <f>-694.657469028149 -139.689627042082 -604.41213379134</f>
        <v>-1438.7592298615709</v>
      </c>
      <c r="I2359">
        <f>-678.717924890745 -119.2135500275 -683.353102624253</f>
        <v>-1481.284577542498</v>
      </c>
      <c r="J2359">
        <f>-705.02980336828 -121.294635551989 -546.728943299529</f>
        <v>-1373.0533822197981</v>
      </c>
      <c r="K2359">
        <f>-773.965015628148 -6.57018899840136 -515.374155935647</f>
        <v>-1295.9093605621963</v>
      </c>
      <c r="L2359" t="s">
        <v>25511</v>
      </c>
      <c r="M2359" t="s">
        <v>25512</v>
      </c>
      <c r="N2359">
        <f>-676.957689386967 -168.635720088985 -553.205083593631</f>
        <v>-1398.7984930695829</v>
      </c>
      <c r="O2359">
        <f>-606.118338712494 -285.832066834166 -541.188451418667</f>
        <v>-1433.138856965327</v>
      </c>
      <c r="P2359">
        <f>-560.307821990055 -360.947813228405 -260.385594225871</f>
        <v>-1181.641229444331</v>
      </c>
      <c r="Q2359">
        <f>-465.495330971459 -146.749039908831 -316.780259997808</f>
        <v>-929.02463087809804</v>
      </c>
      <c r="R2359">
        <f>-679.560326568388 -53.4105256909786 -97.9448966483966</f>
        <v>-830.91574890776315</v>
      </c>
      <c r="S2359" t="s">
        <v>25513</v>
      </c>
      <c r="T2359" t="s">
        <v>25514</v>
      </c>
      <c r="U2359" t="s">
        <v>25515</v>
      </c>
      <c r="V2359">
        <f>-573.032121089808 -212.017618120413 -94.4975765241844</f>
        <v>-879.5473157344054</v>
      </c>
      <c r="W2359" t="s">
        <v>25516</v>
      </c>
      <c r="X2359" t="s">
        <v>25517</v>
      </c>
      <c r="Y2359" t="s">
        <v>25518</v>
      </c>
    </row>
    <row r="2360" spans="1:25" x14ac:dyDescent="0.3">
      <c r="A2360">
        <v>117950</v>
      </c>
      <c r="B2360" t="s">
        <v>25519</v>
      </c>
      <c r="C2360">
        <f>-626.627854516468 -132.602310619442 -95.1213297233845</f>
        <v>-854.35149485929458</v>
      </c>
      <c r="D2360">
        <f>-652.613832427032 -152.439796449673 -206.240291714374</f>
        <v>-1011.2939205910791</v>
      </c>
      <c r="E2360">
        <f>-667.637078074586 -157.179705451862 -303.597839320922</f>
        <v>-1128.4146228473701</v>
      </c>
      <c r="F2360">
        <f>-678.691008716438 -156.886316058124 -392.005843166427</f>
        <v>-1227.5831679409889</v>
      </c>
      <c r="G2360">
        <f>-686.854748609903 -151.851698775609 -480.584763345141</f>
        <v>-1319.2912107306531</v>
      </c>
      <c r="H2360">
        <f>-695.177363363568 -139.875673441701 -604.310863105777</f>
        <v>-1439.363899911046</v>
      </c>
      <c r="I2360">
        <f>-679.360566285159 -119.310576497195 -683.253503640996</f>
        <v>-1481.9246464233502</v>
      </c>
      <c r="J2360">
        <f>-705.528701635045 -121.461593327947 -546.630094075687</f>
        <v>-1373.6203890386789</v>
      </c>
      <c r="K2360">
        <f>-774.467625305701 -6.74727620678846 -515.207119200893</f>
        <v>-1296.4220207133824</v>
      </c>
      <c r="L2360" t="s">
        <v>25520</v>
      </c>
      <c r="M2360" t="s">
        <v>25521</v>
      </c>
      <c r="N2360">
        <f>-677.501202257379 -168.829971464636 -553.100343693142</f>
        <v>-1399.431517415157</v>
      </c>
      <c r="O2360">
        <f>-606.756254466335 -286.079215043892 -541.035136301677</f>
        <v>-1433.8706058119042</v>
      </c>
      <c r="P2360">
        <f>-561.208923070695 -360.949739846979 -260.124115545738</f>
        <v>-1182.2827784634121</v>
      </c>
      <c r="Q2360">
        <f>-465.121256645686 -147.599233107896 -317.566142617169</f>
        <v>-930.28663237075102</v>
      </c>
      <c r="R2360">
        <f>-680.032979463583 -53.4018801222127 -97.8662796506756</f>
        <v>-831.30113923647127</v>
      </c>
      <c r="S2360" t="s">
        <v>25522</v>
      </c>
      <c r="T2360" t="s">
        <v>25523</v>
      </c>
      <c r="U2360" t="s">
        <v>25524</v>
      </c>
      <c r="V2360">
        <f>-573.470323791698 -212.149186183501 -94.422910525946</f>
        <v>-880.04242050114499</v>
      </c>
      <c r="W2360" t="s">
        <v>25525</v>
      </c>
      <c r="X2360" t="s">
        <v>25526</v>
      </c>
      <c r="Y2360" t="s">
        <v>25527</v>
      </c>
    </row>
    <row r="2361" spans="1:25" x14ac:dyDescent="0.3">
      <c r="A2361">
        <v>118000</v>
      </c>
      <c r="B2361" t="s">
        <v>25528</v>
      </c>
      <c r="C2361">
        <f>-627.149261264815 -132.519148796659 -95.0709910085122</f>
        <v>-854.73940106998623</v>
      </c>
      <c r="D2361">
        <f>-653.213752200279 -152.447000684065 -206.155374593799</f>
        <v>-1011.816127478143</v>
      </c>
      <c r="E2361">
        <f>-668.286609981001 -157.229829305486 -303.503176540711</f>
        <v>-1129.0196158271979</v>
      </c>
      <c r="F2361">
        <f>-679.374081083996 -156.963064741018 -391.906914805318</f>
        <v>-1228.2440606303321</v>
      </c>
      <c r="G2361">
        <f>-687.557710978819 -151.944179900565 -480.485122457912</f>
        <v>-1319.987013337296</v>
      </c>
      <c r="H2361">
        <f>-695.891556219871 -139.979918307917 -604.211397886699</f>
        <v>-1440.0828724144872</v>
      </c>
      <c r="I2361">
        <f>-680.161503503268 -119.338394625146 -683.151406930291</f>
        <v>-1482.651305058705</v>
      </c>
      <c r="J2361">
        <f>-706.211245865403 -121.544656518156 -546.531763104895</f>
        <v>-1374.287665488454</v>
      </c>
      <c r="K2361">
        <f>-775.036055409135 -6.80392721567819 -515.015308969642</f>
        <v>-1296.8552915944551</v>
      </c>
      <c r="L2361" t="s">
        <v>25529</v>
      </c>
      <c r="M2361" t="s">
        <v>25530</v>
      </c>
      <c r="N2361">
        <f>-678.237240984414 -168.944949019738 -552.999486573074</f>
        <v>-1400.181676577226</v>
      </c>
      <c r="O2361">
        <f>-607.599219082973 -286.261502199746 -540.902386438507</f>
        <v>-1434.7631077212261</v>
      </c>
      <c r="P2361">
        <f>-562.403559766158 -360.924255826097 -259.87907374448</f>
        <v>-1183.206889336735</v>
      </c>
      <c r="Q2361">
        <f>-465.438212315915 -148.122144209479 -317.877933629708</f>
        <v>-931.4382901551021</v>
      </c>
      <c r="R2361">
        <f>-680.691182311835 -53.2768588384481 -97.8068679423097</f>
        <v>-831.77490909259279</v>
      </c>
      <c r="S2361" t="s">
        <v>25531</v>
      </c>
      <c r="T2361" t="s">
        <v>25532</v>
      </c>
      <c r="U2361" t="s">
        <v>25533</v>
      </c>
      <c r="V2361">
        <f>-573.883904627176 -212.105233996295 -94.3729997894751</f>
        <v>-880.36213841294614</v>
      </c>
      <c r="W2361" t="s">
        <v>25534</v>
      </c>
      <c r="X2361" t="s">
        <v>25535</v>
      </c>
      <c r="Y2361" t="s">
        <v>25536</v>
      </c>
    </row>
    <row r="2362" spans="1:25" x14ac:dyDescent="0.3">
      <c r="A2362">
        <v>118050</v>
      </c>
      <c r="B2362" t="s">
        <v>25537</v>
      </c>
      <c r="C2362">
        <f>-627.399137108365 -132.576331781839 -95.0435140395402</f>
        <v>-855.01898292974431</v>
      </c>
      <c r="D2362">
        <f>-653.530474555062 -152.555682134618 -206.102922947966</f>
        <v>-1012.189079637646</v>
      </c>
      <c r="E2362">
        <f>-668.646258586249 -157.329861439137 -303.444548847812</f>
        <v>-1129.4206688731981</v>
      </c>
      <c r="F2362">
        <f>-679.764507009638 -157.034948350949 -391.844477771672</f>
        <v>-1228.643933132259</v>
      </c>
      <c r="G2362">
        <f>-687.969147301319 -151.968103596167 -480.417868286431</f>
        <v>-1320.3551191839169</v>
      </c>
      <c r="H2362">
        <f>-696.321305214782 -139.916913242941 -604.134507462478</f>
        <v>-1440.372725920201</v>
      </c>
      <c r="I2362">
        <f>-680.629602355545 -119.199561273779 -683.062198581108</f>
        <v>-1482.8913622104319</v>
      </c>
      <c r="J2362">
        <f>-706.626986567292 -121.518918605771 -546.440279377282</f>
        <v>-1374.586184550345</v>
      </c>
      <c r="K2362">
        <f>-775.360788355093 -6.75820642399958 -514.777576822831</f>
        <v>-1296.8965716019234</v>
      </c>
      <c r="L2362" t="s">
        <v>25538</v>
      </c>
      <c r="M2362" t="s">
        <v>25539</v>
      </c>
      <c r="N2362">
        <f>-678.664819606305 -168.921152516441 -552.945540145536</f>
        <v>-1400.5315122682819</v>
      </c>
      <c r="O2362">
        <f>-608.049575918324 -286.255614645997 -540.919660313984</f>
        <v>-1435.224850878305</v>
      </c>
      <c r="P2362">
        <f>-562.990230318168 -360.943723005847 -259.881313204154</f>
        <v>-1183.8152665281691</v>
      </c>
      <c r="Q2362">
        <f>-465.860607324786 -148.256684283128 -318.027033506094</f>
        <v>-932.1443251140081</v>
      </c>
      <c r="R2362">
        <f>-681.03471610906 -53.2662156137695 -97.7668999965507</f>
        <v>-832.06783171938025</v>
      </c>
      <c r="S2362" t="s">
        <v>25540</v>
      </c>
      <c r="T2362" t="s">
        <v>25541</v>
      </c>
      <c r="U2362" t="s">
        <v>25542</v>
      </c>
      <c r="V2362">
        <f>-574.03269069767 -212.234466854793 -94.3650736100195</f>
        <v>-880.63223116248253</v>
      </c>
      <c r="W2362" t="s">
        <v>25543</v>
      </c>
      <c r="X2362" t="s">
        <v>25544</v>
      </c>
      <c r="Y2362" t="s">
        <v>25545</v>
      </c>
    </row>
    <row r="2363" spans="1:25" x14ac:dyDescent="0.3">
      <c r="A2363">
        <v>118100</v>
      </c>
      <c r="B2363" t="s">
        <v>25546</v>
      </c>
      <c r="C2363">
        <f>-627.905700609292 -132.757795823625 -94.9444093869225</f>
        <v>-855.60790581983952</v>
      </c>
      <c r="D2363">
        <f>-654.192223213828 -152.774812261426 -205.960455337734</f>
        <v>-1012.927490812988</v>
      </c>
      <c r="E2363">
        <f>-669.422811519739 -157.434969892075 -303.289490364501</f>
        <v>-1130.1472717763149</v>
      </c>
      <c r="F2363">
        <f>-680.632790048447 -156.979210131793 -391.67718943046</f>
        <v>-1229.2891896106999</v>
      </c>
      <c r="G2363">
        <f>-688.914901913149 -151.694802495315 -480.230702753245</f>
        <v>-1320.840407161709</v>
      </c>
      <c r="H2363">
        <f>-697.358604498351 -139.281427356913 -603.905456390626</f>
        <v>-1440.5454882458901</v>
      </c>
      <c r="I2363">
        <f>-681.745561083469 -118.256735550033 -682.767403268287</f>
        <v>-1482.769699901789</v>
      </c>
      <c r="J2363">
        <f>-707.615128419565 -121.048667500956 -546.150020923656</f>
        <v>-1374.8138168441769</v>
      </c>
      <c r="K2363">
        <f>-776.144121883404 -6.29705187917079 -514.030330952233</f>
        <v>-1296.4715047148079</v>
      </c>
      <c r="L2363" t="s">
        <v>25547</v>
      </c>
      <c r="M2363" t="s">
        <v>25548</v>
      </c>
      <c r="N2363">
        <f>-679.670804969509 -168.439232321281 -552.814511657229</f>
        <v>-1400.924548948019</v>
      </c>
      <c r="O2363">
        <f>-609.075610999119 -285.818035947802 -541.067010162487</f>
        <v>-1435.9606571094082</v>
      </c>
      <c r="P2363">
        <f>-563.947955380037 -360.724282779315 -260.097811616327</f>
        <v>-1184.7700497756791</v>
      </c>
      <c r="Q2363">
        <f>-466.602287954556 -148.187593799424 -318.431537683869</f>
        <v>-933.22141943784902</v>
      </c>
      <c r="R2363">
        <f>-681.648066177082 -53.3501874869638 -97.5851323942371</f>
        <v>-832.58338605828294</v>
      </c>
      <c r="S2363" t="s">
        <v>25549</v>
      </c>
      <c r="T2363" t="s">
        <v>25550</v>
      </c>
      <c r="U2363" t="s">
        <v>25551</v>
      </c>
      <c r="V2363">
        <f>-574.441028899153 -212.546306443766 -94.3391605899436</f>
        <v>-881.32649593286271</v>
      </c>
      <c r="W2363" t="s">
        <v>25552</v>
      </c>
      <c r="X2363" t="s">
        <v>25553</v>
      </c>
      <c r="Y2363" t="s">
        <v>25554</v>
      </c>
    </row>
    <row r="2364" spans="1:25" x14ac:dyDescent="0.3">
      <c r="A2364">
        <v>118150</v>
      </c>
      <c r="B2364" t="s">
        <v>25555</v>
      </c>
      <c r="C2364">
        <f>-628.078075045115 -132.868653923784 -94.8957877574499</f>
        <v>-855.84251672634889</v>
      </c>
      <c r="D2364">
        <f>-654.454539312221 -152.892706855804 -205.889153433519</f>
        <v>-1013.236399601544</v>
      </c>
      <c r="E2364">
        <f>-669.753212496099 -157.45911258365 -303.212111219913</f>
        <v>-1130.4244362996619</v>
      </c>
      <c r="F2364">
        <f>-681.019062671369 -156.87863860057 -391.591861135681</f>
        <v>-1229.48956240762</v>
      </c>
      <c r="G2364">
        <f>-689.350490807597 -151.429905941661 -480.130923943362</f>
        <v>-1320.9113206926199</v>
      </c>
      <c r="H2364">
        <f>-697.855261902653 -138.746156286672 -603.773978511232</f>
        <v>-1440.3753967005568</v>
      </c>
      <c r="I2364">
        <f>-682.277790037413 -117.486435369889 -682.579940336372</f>
        <v>-1482.344165743674</v>
      </c>
      <c r="J2364">
        <f>-708.078261961024 -120.636801190265 -545.973816281816</f>
        <v>-1374.6888794331051</v>
      </c>
      <c r="K2364">
        <f>-776.4586065044 -5.87176143287502 -513.541732809442</f>
        <v>-1295.872100746717</v>
      </c>
      <c r="L2364" t="s">
        <v>25556</v>
      </c>
      <c r="M2364" t="s">
        <v>25557</v>
      </c>
      <c r="N2364">
        <f>-680.147276207306 -168.01851574111 -552.755595292725</f>
        <v>-1400.921387241141</v>
      </c>
      <c r="O2364">
        <f>-609.55965668892 -285.416131306906 -541.233160668624</f>
        <v>-1436.20894866445</v>
      </c>
      <c r="P2364">
        <f>-564.237205238542 -360.620745375626 -260.375036367133</f>
        <v>-1185.2329869813011</v>
      </c>
      <c r="Q2364">
        <f>-466.810250204937 -148.090311373913 -318.595744569907</f>
        <v>-933.49630614875696</v>
      </c>
      <c r="R2364">
        <f>-681.833762861967 -53.4157233715245 -97.5020856750452</f>
        <v>-832.75157190853668</v>
      </c>
      <c r="S2364" t="s">
        <v>25558</v>
      </c>
      <c r="T2364" t="s">
        <v>25559</v>
      </c>
      <c r="U2364" t="s">
        <v>25560</v>
      </c>
      <c r="V2364">
        <f>-574.611274121227 -212.674331900163 -94.3306973216135</f>
        <v>-881.61630334300344</v>
      </c>
      <c r="W2364" t="s">
        <v>25561</v>
      </c>
      <c r="X2364" t="s">
        <v>25562</v>
      </c>
      <c r="Y2364" t="s">
        <v>25563</v>
      </c>
    </row>
    <row r="2365" spans="1:25" x14ac:dyDescent="0.3">
      <c r="A2365">
        <v>118200</v>
      </c>
      <c r="B2365" t="s">
        <v>25564</v>
      </c>
      <c r="C2365">
        <f>-628.259147623107 -133.074705422901 -94.8631098485155</f>
        <v>-856.19696289452349</v>
      </c>
      <c r="D2365">
        <f>-654.782710051313 -153.144093188439 -205.813391207348</f>
        <v>-1013.7401944471</v>
      </c>
      <c r="E2365">
        <f>-670.253549634282 -157.482087572005 -303.119536822618</f>
        <v>-1130.8551740289049</v>
      </c>
      <c r="F2365">
        <f>-681.687273437621 -156.588398950664 -391.47504249134</f>
        <v>-1229.7507148796249</v>
      </c>
      <c r="G2365">
        <f>-690.195277138504 -150.721199936649 -479.970500346308</f>
        <v>-1320.8869774214609</v>
      </c>
      <c r="H2365">
        <f>-698.953318262226 -137.344263422633 -603.522660513805</f>
        <v>-1439.8202421986641</v>
      </c>
      <c r="I2365">
        <f>-683.476762257213 -115.547794199487 -682.201967307151</f>
        <v>-1481.226523763851</v>
      </c>
      <c r="J2365">
        <f>-709.031942209257 -119.544102033281 -545.601357137553</f>
        <v>-1374.1774013800909</v>
      </c>
      <c r="K2365">
        <f>-777.015553668009 -4.79673063119299 -512.312164421799</f>
        <v>-1294.124448721001</v>
      </c>
      <c r="L2365" t="s">
        <v>25565</v>
      </c>
      <c r="M2365" t="s">
        <v>25566</v>
      </c>
      <c r="N2365">
        <f>-681.166822715035 -166.917406326136 -552.705675270322</f>
        <v>-1400.789904311493</v>
      </c>
      <c r="O2365">
        <f>-610.63845729342 -284.427255350636 -541.880116690552</f>
        <v>-1436.9458293346079</v>
      </c>
      <c r="P2365">
        <f>-564.701623048168 -360.720545538023 -261.415682763193</f>
        <v>-1186.837851349384</v>
      </c>
      <c r="Q2365">
        <f>-467.221547688896 -147.972654416111 -318.746379479967</f>
        <v>-933.94058158497398</v>
      </c>
      <c r="R2365">
        <f>-682.043489047266 -53.6277383463536 -97.4289797138218</f>
        <v>-833.10020710744141</v>
      </c>
      <c r="S2365" t="s">
        <v>25567</v>
      </c>
      <c r="T2365" t="s">
        <v>25568</v>
      </c>
      <c r="U2365" t="s">
        <v>25569</v>
      </c>
      <c r="V2365">
        <f>-574.746610741664 -212.864846992294 -94.3409275066671</f>
        <v>-881.95238524062506</v>
      </c>
      <c r="W2365" t="s">
        <v>25570</v>
      </c>
      <c r="X2365" t="s">
        <v>25571</v>
      </c>
      <c r="Y2365" t="s">
        <v>25572</v>
      </c>
    </row>
    <row r="2366" spans="1:25" x14ac:dyDescent="0.3">
      <c r="A2366">
        <v>118250</v>
      </c>
      <c r="B2366" t="s">
        <v>25573</v>
      </c>
      <c r="C2366">
        <f>-628.286863989696 -133.138960797369 -94.840473953792</f>
        <v>-856.266298740857</v>
      </c>
      <c r="D2366">
        <f>-654.882625174177 -153.230524352969 -205.769302884668</f>
        <v>-1013.882452411814</v>
      </c>
      <c r="E2366">
        <f>-670.459490851791 -157.410087748666 -303.065470299195</f>
        <v>-1130.935048899652</v>
      </c>
      <c r="F2366">
        <f>-682.003295294515 -156.301913958228 -391.404404903436</f>
        <v>-1229.709614156179</v>
      </c>
      <c r="G2366">
        <f>-690.63384565133 -150.149644989135 -479.868451317826</f>
        <v>-1320.651941958291</v>
      </c>
      <c r="H2366">
        <f>-699.574404333199 -136.301695751509 -603.355844706526</f>
        <v>-1439.2319447912341</v>
      </c>
      <c r="I2366">
        <f>-684.184993364168 -114.19297593813 -681.964954293036</f>
        <v>-1480.342923595334</v>
      </c>
      <c r="J2366">
        <f>-709.557574314567 -118.716810134943 -545.352226169178</f>
        <v>-1373.6266106186881</v>
      </c>
      <c r="K2366">
        <f>-777.320710033833 -3.99459304440825 -511.535825142088</f>
        <v>-1292.8511282203294</v>
      </c>
      <c r="L2366" t="s">
        <v>25574</v>
      </c>
      <c r="M2366" t="s">
        <v>25575</v>
      </c>
      <c r="N2366">
        <f>-681.722625748006 -166.074160315994 -552.678127058129</f>
        <v>-1400.4749131221288</v>
      </c>
      <c r="O2366">
        <f>-611.259220657541 -283.661599471372 -542.309271788524</f>
        <v>-1437.2300919174372</v>
      </c>
      <c r="P2366">
        <f>-564.96892736731 -360.676233021877 -262.100191425057</f>
        <v>-1187.745351814244</v>
      </c>
      <c r="Q2366">
        <f>-467.436294302826 -147.817820067301 -318.92910399756</f>
        <v>-934.183218367687</v>
      </c>
      <c r="R2366">
        <f>-682.085180125824 -53.6681354539023 -97.3857893251034</f>
        <v>-833.13910490482965</v>
      </c>
      <c r="S2366" t="s">
        <v>25576</v>
      </c>
      <c r="T2366" t="s">
        <v>25577</v>
      </c>
      <c r="U2366" t="s">
        <v>25578</v>
      </c>
      <c r="V2366">
        <f>-574.754798907125 -212.962015907766 -94.3427288964797</f>
        <v>-882.05954371137068</v>
      </c>
      <c r="W2366" t="s">
        <v>25579</v>
      </c>
      <c r="X2366" t="s">
        <v>25580</v>
      </c>
      <c r="Y2366" t="s">
        <v>25581</v>
      </c>
    </row>
    <row r="2367" spans="1:25" x14ac:dyDescent="0.3">
      <c r="A2367">
        <v>118300</v>
      </c>
      <c r="B2367" t="s">
        <v>25582</v>
      </c>
      <c r="C2367">
        <f>-628.341658135666 -133.277671826141 -94.7850787929476</f>
        <v>-856.40440875475451</v>
      </c>
      <c r="D2367">
        <f>-655.041708133571 -153.41719253396 -205.680258120662</f>
        <v>-1014.139158788193</v>
      </c>
      <c r="E2367">
        <f>-670.806435107314 -157.261075222506 -302.959973091121</f>
        <v>-1131.0274834209408</v>
      </c>
      <c r="F2367">
        <f>-682.552118119879 -155.698494332793 -391.265437021992</f>
        <v>-1229.516049474664</v>
      </c>
      <c r="G2367">
        <f>-691.412731822831 -148.942312666204 -479.66263423678</f>
        <v>-1320.0176787258149</v>
      </c>
      <c r="H2367">
        <f>-700.701112242762 -134.096234422925 -603.008292143248</f>
        <v>-1437.8056388089349</v>
      </c>
      <c r="I2367">
        <f>-685.542824329627 -111.343239628016 -681.478314319498</f>
        <v>-1478.364378277141</v>
      </c>
      <c r="J2367">
        <f>-710.511932630836 -116.976024834989 -544.836362494555</f>
        <v>-1372.3243199603801</v>
      </c>
      <c r="K2367">
        <f>-777.810310622978 -2.3114073836648 -509.892767827808</f>
        <v>-1290.0144858344509</v>
      </c>
      <c r="L2367" t="s">
        <v>25583</v>
      </c>
      <c r="M2367" t="s">
        <v>25584</v>
      </c>
      <c r="N2367">
        <f>-682.715648760426 -164.282417026397 -552.623512396329</f>
        <v>-1399.621578183152</v>
      </c>
      <c r="O2367">
        <f>-612.328751819207 -281.986151293387 -543.214131515296</f>
        <v>-1437.52903462789</v>
      </c>
      <c r="P2367">
        <f>-565.110269924507 -360.563267021293 -263.594240787502</f>
        <v>-1189.267777733302</v>
      </c>
      <c r="Q2367">
        <f>-467.511448205855 -147.446208118441 -319.329706220453</f>
        <v>-934.28736254474904</v>
      </c>
      <c r="R2367">
        <f>-682.20497542883 -53.6597173237234 -97.2827810560026</f>
        <v>-833.14747380855601</v>
      </c>
      <c r="S2367" t="s">
        <v>25585</v>
      </c>
      <c r="T2367" t="s">
        <v>25586</v>
      </c>
      <c r="U2367" t="s">
        <v>25587</v>
      </c>
      <c r="V2367">
        <f>-574.764996574792 -213.270642294566 -94.3115017120654</f>
        <v>-882.34714058142333</v>
      </c>
      <c r="W2367" t="s">
        <v>25588</v>
      </c>
      <c r="X2367" t="s">
        <v>25589</v>
      </c>
      <c r="Y2367" t="s">
        <v>25590</v>
      </c>
    </row>
    <row r="2368" spans="1:25" x14ac:dyDescent="0.3">
      <c r="A2368">
        <v>118350</v>
      </c>
      <c r="B2368" t="s">
        <v>25591</v>
      </c>
      <c r="C2368">
        <f>-628.371070804153 -133.317122746969 -94.7388583777969</f>
        <v>-856.42705192891879</v>
      </c>
      <c r="D2368">
        <f>-655.121888603084 -153.438555605764 -205.62500790397</f>
        <v>-1014.185452112818</v>
      </c>
      <c r="E2368">
        <f>-670.971156696811 -157.107018460748 -302.897742864575</f>
        <v>-1130.975918022134</v>
      </c>
      <c r="F2368">
        <f>-682.807039752143 -155.321720048846 -391.186920472417</f>
        <v>-1229.3156802734061</v>
      </c>
      <c r="G2368">
        <f>-691.770467551856 -148.279159726752 -479.551594982052</f>
        <v>-1319.6012222606601</v>
      </c>
      <c r="H2368">
        <f>-701.214746616658 -132.967039643882 -602.828285462787</f>
        <v>-1437.010071723327</v>
      </c>
      <c r="I2368">
        <f>-686.191746710797 -109.906433603065 -681.23462325959</f>
        <v>-1477.3328035734521</v>
      </c>
      <c r="J2368">
        <f>-710.95845421607 -116.070637410028 -544.579806393333</f>
        <v>-1371.6088980194309</v>
      </c>
      <c r="K2368">
        <f>-778.153505750165 -1.50794607597618 -509.130893063912</f>
        <v>-1288.7923448900533</v>
      </c>
      <c r="L2368" t="s">
        <v>25592</v>
      </c>
      <c r="M2368" t="s">
        <v>25593</v>
      </c>
      <c r="N2368">
        <f>-683.15915953104 -163.339578255101 -552.58081534934</f>
        <v>-1399.0795531354811</v>
      </c>
      <c r="O2368">
        <f>-612.733060725772 -281.061440488287 -543.636527957804</f>
        <v>-1437.431029171863</v>
      </c>
      <c r="P2368">
        <f>-565.118982676037 -360.408746372775 -264.301349826796</f>
        <v>-1189.829078875608</v>
      </c>
      <c r="Q2368">
        <f>-467.45344725045 -147.173576226993 -319.465334687978</f>
        <v>-934.09235816542105</v>
      </c>
      <c r="R2368">
        <f>-682.231679719345 -53.6140154743071 -97.191999752057</f>
        <v>-833.03769494570906</v>
      </c>
      <c r="S2368" t="s">
        <v>25594</v>
      </c>
      <c r="T2368" t="s">
        <v>25595</v>
      </c>
      <c r="U2368" t="s">
        <v>25596</v>
      </c>
      <c r="V2368">
        <f>-574.785130583386 -213.415790584307 -94.2995573767649</f>
        <v>-882.50047854445791</v>
      </c>
      <c r="W2368" t="s">
        <v>25597</v>
      </c>
      <c r="X2368" t="s">
        <v>25598</v>
      </c>
      <c r="Y2368" t="s">
        <v>25599</v>
      </c>
    </row>
    <row r="2369" spans="1:25" x14ac:dyDescent="0.3">
      <c r="A2369">
        <v>118400</v>
      </c>
      <c r="B2369" t="s">
        <v>25600</v>
      </c>
      <c r="C2369">
        <f>-628.483561572895 -132.992886877142 -94.6771095211049</f>
        <v>-856.15355797114194</v>
      </c>
      <c r="D2369">
        <f>-655.235792431876 -152.995930521412 -205.584426987319</f>
        <v>-1013.816149940607</v>
      </c>
      <c r="E2369">
        <f>-671.192908877168 -156.318337215101 -302.852066961069</f>
        <v>-1130.3633130533381</v>
      </c>
      <c r="F2369">
        <f>-683.167908952584 -154.120970676545 -391.113087511341</f>
        <v>-1228.4019671404699</v>
      </c>
      <c r="G2369">
        <f>-692.311622495243 -146.567358467677 -479.416983019492</f>
        <v>-1318.2959639824121</v>
      </c>
      <c r="H2369">
        <f>-702.050769561542 -130.43835815837 -602.566469032369</f>
        <v>-1435.055596752281</v>
      </c>
      <c r="I2369">
        <f>-687.324691902435 -106.824186032578 -680.864271820288</f>
        <v>-1475.0131497553011</v>
      </c>
      <c r="J2369">
        <f>-711.671829056711 -113.938601693991 -544.184058013906</f>
        <v>-1369.7944887646081</v>
      </c>
      <c r="K2369" t="s">
        <v>25601</v>
      </c>
      <c r="L2369" t="s">
        <v>25602</v>
      </c>
      <c r="M2369" t="s">
        <v>25603</v>
      </c>
      <c r="N2369">
        <f>-683.858278898406 -161.133303435295 -552.564917213011</f>
        <v>-1397.5564995467121</v>
      </c>
      <c r="O2369">
        <f>-613.38788659936 -278.885552189514 -544.4077936829</f>
        <v>-1436.6812324717739</v>
      </c>
      <c r="P2369">
        <f>-565.233428845309 -359.289412176462 -265.467680953998</f>
        <v>-1189.9905219757691</v>
      </c>
      <c r="Q2369">
        <f>-467.223738016213 -146.011937826531 -319.852379381523</f>
        <v>-933.08805522426701</v>
      </c>
      <c r="R2369">
        <f>-682.292512899386 -53.219698921155 -97.0658951299552</f>
        <v>-832.57810695049614</v>
      </c>
      <c r="S2369" t="s">
        <v>25604</v>
      </c>
      <c r="T2369" t="s">
        <v>25605</v>
      </c>
      <c r="U2369" t="s">
        <v>25606</v>
      </c>
      <c r="V2369">
        <f>-574.915274833672 -213.144101469047 -94.2984656347835</f>
        <v>-882.35784193750249</v>
      </c>
      <c r="W2369" t="s">
        <v>25607</v>
      </c>
      <c r="X2369" t="s">
        <v>25608</v>
      </c>
      <c r="Y2369" t="s">
        <v>25609</v>
      </c>
    </row>
    <row r="2370" spans="1:25" x14ac:dyDescent="0.3">
      <c r="A2370">
        <v>118450</v>
      </c>
      <c r="B2370" t="s">
        <v>25610</v>
      </c>
      <c r="C2370">
        <f>-628.469857319258 -132.601002562691 -94.6998008926898</f>
        <v>-855.77066077463883</v>
      </c>
      <c r="D2370">
        <f>-655.197550140988 -152.544162056792 -205.623793969217</f>
        <v>-1013.3655061669971</v>
      </c>
      <c r="E2370">
        <f>-671.190890557933 -155.708206214114 -302.890735275321</f>
        <v>-1129.789832047368</v>
      </c>
      <c r="F2370">
        <f>-683.221073255491 -153.324229014026 -391.139354903514</f>
        <v>-1227.6846571730309</v>
      </c>
      <c r="G2370">
        <f>-692.442108450179 -145.540945298263 -479.415243556601</f>
        <v>-1317.3982973050429</v>
      </c>
      <c r="H2370">
        <f>-702.312466257663 -129.046217629844 -602.506027474858</f>
        <v>-1433.8647113623651</v>
      </c>
      <c r="I2370">
        <f>-687.743874204755 -105.198957149715 -680.762475932351</f>
        <v>-1473.7053072868209</v>
      </c>
      <c r="J2370">
        <f>-711.872091064647 -112.720406230703 -544.064580333704</f>
        <v>-1368.6570776290541</v>
      </c>
      <c r="K2370" t="s">
        <v>25611</v>
      </c>
      <c r="L2370" t="s">
        <v>25612</v>
      </c>
      <c r="M2370" t="s">
        <v>25613</v>
      </c>
      <c r="N2370">
        <f>-684.065953727516 -159.88899341112 -552.615038929664</f>
        <v>-1396.5699860683001</v>
      </c>
      <c r="O2370">
        <f>-613.564865400922 -277.640449217712 -544.783520510626</f>
        <v>-1435.98883512926</v>
      </c>
      <c r="P2370">
        <f>-565.251446941291 -358.5915008392 -266.029261244348</f>
        <v>-1189.8722090248389</v>
      </c>
      <c r="Q2370">
        <f>-467.363636442111 -145.15659082744 -320.014500557812</f>
        <v>-932.53472782736299</v>
      </c>
      <c r="R2370">
        <f>-682.208244995357 -52.8655630908139 -97.0827997770959</f>
        <v>-832.1566078632668</v>
      </c>
      <c r="S2370" t="s">
        <v>25614</v>
      </c>
      <c r="T2370" t="s">
        <v>25615</v>
      </c>
      <c r="U2370" t="s">
        <v>25616</v>
      </c>
      <c r="V2370">
        <f>-574.961854342278 -212.647974980605 -94.3463370084693</f>
        <v>-881.95616633135228</v>
      </c>
      <c r="W2370" t="s">
        <v>25617</v>
      </c>
      <c r="X2370" t="s">
        <v>25618</v>
      </c>
      <c r="Y2370" t="s">
        <v>25619</v>
      </c>
    </row>
    <row r="2371" spans="1:25" x14ac:dyDescent="0.3">
      <c r="A2371">
        <v>118500</v>
      </c>
      <c r="B2371" t="s">
        <v>25620</v>
      </c>
      <c r="C2371">
        <f>-628.450005058824 -131.598347117052 -94.8153856698739</f>
        <v>-854.86373784574982</v>
      </c>
      <c r="D2371">
        <f>-655.098676425453 -151.420827774901 -205.77990761901</f>
        <v>-1012.2994118193641</v>
      </c>
      <c r="E2371">
        <f>-671.158135100767 -154.298417970085 -303.044933780089</f>
        <v>-1128.5014868509411</v>
      </c>
      <c r="F2371">
        <f>-683.300262092911 -151.581793411224 -391.268561156286</f>
        <v>-1226.1506166604211</v>
      </c>
      <c r="G2371">
        <f>-692.684576210218 -143.392858392998 -479.490611232072</f>
        <v>-1315.5680458352881</v>
      </c>
      <c r="H2371">
        <f>-702.835633293365 -126.255719455737 -602.470708672948</f>
        <v>-1431.5620614220502</v>
      </c>
      <c r="I2371">
        <f>-688.555812454991 -101.979205796778 -680.648494555864</f>
        <v>-1471.1835128076332</v>
      </c>
      <c r="J2371">
        <f>-712.251019040783 -110.228972657939 -543.923146790087</f>
        <v>-1366.403138488809</v>
      </c>
      <c r="K2371" t="s">
        <v>25621</v>
      </c>
      <c r="L2371" t="s">
        <v>25622</v>
      </c>
      <c r="M2371" t="s">
        <v>25623</v>
      </c>
      <c r="N2371">
        <f>-684.48625213894 -157.364797321064 -552.783299749541</f>
        <v>-1394.634349209545</v>
      </c>
      <c r="O2371">
        <f>-613.974431662491 -275.151585869107 -545.554379988782</f>
        <v>-1434.6803975203802</v>
      </c>
      <c r="P2371">
        <f>-565.23709710629 -357.112834599972 -267.169400397182</f>
        <v>-1189.519332103444</v>
      </c>
      <c r="Q2371">
        <f>-467.89848166349 -143.268028731266 -320.521721119801</f>
        <v>-931.68823151455695</v>
      </c>
      <c r="R2371">
        <f>-682.083396156429 -51.8621539083025 -97.1900980418694</f>
        <v>-831.13564810660091</v>
      </c>
      <c r="S2371" t="s">
        <v>25624</v>
      </c>
      <c r="T2371" t="s">
        <v>25625</v>
      </c>
      <c r="U2371" t="s">
        <v>25626</v>
      </c>
      <c r="V2371">
        <f>-575.064865216592 -211.694876677315 -94.4523257750474</f>
        <v>-881.21206766895432</v>
      </c>
      <c r="W2371" t="s">
        <v>25627</v>
      </c>
      <c r="X2371" t="s">
        <v>25628</v>
      </c>
      <c r="Y2371" t="s">
        <v>25629</v>
      </c>
    </row>
    <row r="2372" spans="1:25" x14ac:dyDescent="0.3">
      <c r="A2372">
        <v>118550</v>
      </c>
      <c r="B2372" t="s">
        <v>25630</v>
      </c>
      <c r="C2372">
        <f>-628.434619704589 -130.973569684278 -94.8590938631806</f>
        <v>-854.2672832520476</v>
      </c>
      <c r="D2372">
        <f>-655.034136859763 -150.730083341412 -205.847286945386</f>
        <v>-1011.6115071465611</v>
      </c>
      <c r="E2372">
        <f>-671.134482067842 -153.469990662826 -303.109358326101</f>
        <v>-1127.7138310567691</v>
      </c>
      <c r="F2372">
        <f>-683.346706513067 -150.596041434755 -391.318493415225</f>
        <v>-1225.261241363047</v>
      </c>
      <c r="G2372">
        <f>-692.833757148089 -142.216994626564 -479.511538105635</f>
        <v>-1314.5622898802881</v>
      </c>
      <c r="H2372">
        <f>-703.162762180977 -124.78035033072 -602.43469314027</f>
        <v>-1430.377805651967</v>
      </c>
      <c r="I2372">
        <f>-689.036126025578 -100.300159491054 -680.576788225127</f>
        <v>-1469.913073741759</v>
      </c>
      <c r="J2372">
        <f>-712.492813815513 -108.896042865304 -543.834830973024</f>
        <v>-1365.2236876538411</v>
      </c>
      <c r="K2372" t="s">
        <v>25631</v>
      </c>
      <c r="L2372" t="s">
        <v>25632</v>
      </c>
      <c r="M2372" t="s">
        <v>25633</v>
      </c>
      <c r="N2372">
        <f>-684.742200155793 -156.010816911765 -552.849928984661</f>
        <v>-1393.6029460522191</v>
      </c>
      <c r="O2372">
        <f>-614.205483101916 -273.800491178735 -545.932026687842</f>
        <v>-1433.938000968493</v>
      </c>
      <c r="P2372">
        <f>-565.181844679069 -356.244306884171 -267.739783143348</f>
        <v>-1189.1659347065879</v>
      </c>
      <c r="Q2372">
        <f>-468.016894587009 -142.226538295376 -320.713451275569</f>
        <v>-930.95688415795405</v>
      </c>
      <c r="R2372">
        <f>-682.052037307718 -51.2595210298156 -97.2381001317968</f>
        <v>-830.54965846933044</v>
      </c>
      <c r="S2372" t="s">
        <v>25634</v>
      </c>
      <c r="T2372" t="s">
        <v>25635</v>
      </c>
      <c r="U2372" t="s">
        <v>25636</v>
      </c>
      <c r="V2372">
        <f>-575.031336815065 -211.049232156589 -94.5148936111303</f>
        <v>-880.59546258278431</v>
      </c>
      <c r="W2372" t="s">
        <v>25637</v>
      </c>
      <c r="X2372" t="s">
        <v>25638</v>
      </c>
      <c r="Y2372" t="s">
        <v>25639</v>
      </c>
    </row>
    <row r="2373" spans="1:25" x14ac:dyDescent="0.3">
      <c r="A2373">
        <v>118600</v>
      </c>
      <c r="B2373" t="s">
        <v>25640</v>
      </c>
      <c r="C2373">
        <f>-628.632742062896 -129.535123381368 -94.9333489226815</f>
        <v>-853.10121436694544</v>
      </c>
      <c r="D2373">
        <f>-655.172140774768 -149.139846832239 -205.962780762397</f>
        <v>-1010.2747683694039</v>
      </c>
      <c r="E2373">
        <f>-671.365304933028 -151.545543587786 -303.218282607453</f>
        <v>-1126.1291311282671</v>
      </c>
      <c r="F2373">
        <f>-683.716986751975 -148.288046658454 -391.394764883749</f>
        <v>-1223.399798294178</v>
      </c>
      <c r="G2373">
        <f>-693.397694915048 -139.445007602912 -479.521504702601</f>
        <v>-1312.364207220561</v>
      </c>
      <c r="H2373">
        <f>-704.052805688212 -121.276830767605 -602.310614785157</f>
        <v>-1427.6402512409741</v>
      </c>
      <c r="I2373">
        <f>-690.222861911217 -96.3330983483121 -680.359212739844</f>
        <v>-1466.9151729993732</v>
      </c>
      <c r="J2373">
        <f>-713.231540720445 -105.744364514919 -543.592722666384</f>
        <v>-1362.568627901748</v>
      </c>
      <c r="K2373" t="s">
        <v>25641</v>
      </c>
      <c r="L2373" t="s">
        <v>25642</v>
      </c>
      <c r="M2373" t="s">
        <v>25643</v>
      </c>
      <c r="N2373">
        <f>-685.496473339752 -152.799081876538 -552.961724936906</f>
        <v>-1391.257280153196</v>
      </c>
      <c r="O2373">
        <f>-614.905426187418 -270.600763022348 -546.808938016272</f>
        <v>-1432.3151272260379</v>
      </c>
      <c r="P2373">
        <f>-565.091504777737 -354.361543765757 -269.151099987693</f>
        <v>-1188.6041485311871</v>
      </c>
      <c r="Q2373">
        <f>-467.774062819917 -140.241782265655 -321.428456416867</f>
        <v>-929.44430150243898</v>
      </c>
      <c r="R2373">
        <f>-682.250856461587 -49.7395977404549 -97.2634925144768</f>
        <v>-829.25394671651861</v>
      </c>
      <c r="S2373" t="s">
        <v>25644</v>
      </c>
      <c r="T2373" t="s">
        <v>25645</v>
      </c>
      <c r="U2373" t="s">
        <v>25646</v>
      </c>
      <c r="V2373">
        <f>-575.289881282799 -209.666659209831 -94.6535450141686</f>
        <v>-879.61008550679855</v>
      </c>
      <c r="W2373" t="s">
        <v>25647</v>
      </c>
      <c r="X2373" t="s">
        <v>25648</v>
      </c>
      <c r="Y2373" t="s">
        <v>25649</v>
      </c>
    </row>
    <row r="2374" spans="1:25" x14ac:dyDescent="0.3">
      <c r="A2374">
        <v>118650</v>
      </c>
      <c r="B2374" t="s">
        <v>25650</v>
      </c>
      <c r="C2374">
        <f>-628.749425473996 -128.770532846754 -94.9642482421644</f>
        <v>-852.48420656291444</v>
      </c>
      <c r="D2374">
        <f>-655.28391322184 -148.288680243004 -206.010077119571</f>
        <v>-1009.5826705844149</v>
      </c>
      <c r="E2374">
        <f>-671.537193503782 -150.494238445533 -303.260422406679</f>
        <v>-1125.291854355994</v>
      </c>
      <c r="F2374">
        <f>-683.967839150899 -147.005222991158 -391.416827311325</f>
        <v>-1222.389889453382</v>
      </c>
      <c r="G2374">
        <f>-693.751565197115 -137.880862990367 -479.503460783657</f>
        <v>-1311.1358889711389</v>
      </c>
      <c r="H2374">
        <f>-704.575331840521 -119.267958697866 -602.211274492495</f>
        <v>-1426.054565030882</v>
      </c>
      <c r="I2374">
        <f>-690.914628122698 -94.0503148178354 -680.201632063423</f>
        <v>-1465.1665750039565</v>
      </c>
      <c r="J2374">
        <f>-713.684332687945 -103.95478665477 -543.424854321034</f>
        <v>-1361.063973663749</v>
      </c>
      <c r="K2374" t="s">
        <v>25651</v>
      </c>
      <c r="L2374" t="s">
        <v>25652</v>
      </c>
      <c r="M2374" t="s">
        <v>25653</v>
      </c>
      <c r="N2374">
        <f>-685.940384488083 -150.962319957458 -553.002415840826</f>
        <v>-1389.905120286367</v>
      </c>
      <c r="O2374">
        <f>-615.286000054254 -268.750836231467 -547.332213238922</f>
        <v>-1431.3690495246431</v>
      </c>
      <c r="P2374">
        <f>-564.920390818516 -353.47167465219 -270.065349292072</f>
        <v>-1188.4574147627782</v>
      </c>
      <c r="Q2374">
        <f>-467.572507378699 -139.233422849458 -321.797702084767</f>
        <v>-928.60363231292399</v>
      </c>
      <c r="R2374">
        <f>-682.345057978206 -48.9601407138039 -97.2424526174158</f>
        <v>-828.54765130942565</v>
      </c>
      <c r="S2374" t="s">
        <v>25654</v>
      </c>
      <c r="T2374" t="s">
        <v>25655</v>
      </c>
      <c r="U2374" t="s">
        <v>25656</v>
      </c>
      <c r="V2374">
        <f>-575.40946285566 -208.955995114891 -94.7380081228072</f>
        <v>-879.10346609335818</v>
      </c>
      <c r="W2374" t="s">
        <v>25657</v>
      </c>
      <c r="X2374" t="s">
        <v>25658</v>
      </c>
      <c r="Y2374" t="s">
        <v>25659</v>
      </c>
    </row>
    <row r="2375" spans="1:25" x14ac:dyDescent="0.3">
      <c r="A2375">
        <v>118700</v>
      </c>
      <c r="B2375" t="s">
        <v>25660</v>
      </c>
      <c r="C2375">
        <f>-629.15360529516 -126.876602673829 -95.0187804553027</f>
        <v>-851.04898842429168</v>
      </c>
      <c r="D2375">
        <f>-655.703972944485 -146.150739763333 -206.103427826686</f>
        <v>-1007.9581405345041</v>
      </c>
      <c r="E2375">
        <f>-672.100001309244 -147.883867712377 -303.339303047682</f>
        <v>-1123.3231720693029</v>
      </c>
      <c r="F2375">
        <f>-684.710217825292 -143.862391479404 -391.447572503351</f>
        <v>-1220.020181808047</v>
      </c>
      <c r="G2375">
        <f>-694.723635160076 -134.100830346066 -479.439958573148</f>
        <v>-1308.2644240792899</v>
      </c>
      <c r="H2375">
        <f>-705.920537948664 -114.489974125236 -601.958841269516</f>
        <v>-1422.3693533434162</v>
      </c>
      <c r="I2375">
        <f>-692.607437966352 -88.6234692575894 -679.796623130561</f>
        <v>-1461.0275303545022</v>
      </c>
      <c r="J2375">
        <f>-714.880994413674 -99.6740402646348 -543.022398788481</f>
        <v>-1357.5774334667908</v>
      </c>
      <c r="K2375" t="s">
        <v>25661</v>
      </c>
      <c r="L2375" t="s">
        <v>25662</v>
      </c>
      <c r="M2375" t="s">
        <v>25663</v>
      </c>
      <c r="N2375">
        <f>-687.105660162805 -146.565553718088 -553.066467183068</f>
        <v>-1386.737681063961</v>
      </c>
      <c r="O2375">
        <f>-616.283351191785 -264.301932692048 -548.51195472253</f>
        <v>-1429.0972386063631</v>
      </c>
      <c r="P2375">
        <f>-564.223128888836 -351.113693295437 -272.206395953579</f>
        <v>-1187.5432181378519</v>
      </c>
      <c r="Q2375">
        <f>-467.405108677037 -136.221976605084 -322.193394480277</f>
        <v>-925.82047976239801</v>
      </c>
      <c r="R2375">
        <f>-682.699526171604 -47.0383938800146 -97.1588315208037</f>
        <v>-826.89675157242232</v>
      </c>
      <c r="S2375" t="s">
        <v>25664</v>
      </c>
      <c r="T2375" t="s">
        <v>25665</v>
      </c>
      <c r="U2375" t="s">
        <v>25666</v>
      </c>
      <c r="V2375">
        <f>-575.878842855062 -207.008780268276 -94.9297497673131</f>
        <v>-877.81737289065109</v>
      </c>
      <c r="W2375" t="s">
        <v>25667</v>
      </c>
      <c r="X2375" t="s">
        <v>25668</v>
      </c>
      <c r="Y2375" t="s">
        <v>25669</v>
      </c>
    </row>
    <row r="2376" spans="1:25" x14ac:dyDescent="0.3">
      <c r="A2376">
        <v>118750</v>
      </c>
      <c r="B2376" t="s">
        <v>25670</v>
      </c>
      <c r="C2376">
        <f>-629.420334078193 -125.795737501705 -95.0752500184451</f>
        <v>-850.29132159834319</v>
      </c>
      <c r="D2376">
        <f>-655.998336358056 -144.899135580585 -206.182832140572</f>
        <v>-1007.0803040792131</v>
      </c>
      <c r="E2376">
        <f>-672.479956119308 -146.384990312994 -303.408435324598</f>
        <v>-1122.2733817568999</v>
      </c>
      <c r="F2376">
        <f>-685.194368297572 -142.098544820297 -391.489109301341</f>
        <v>-1218.7820224192101</v>
      </c>
      <c r="G2376">
        <f>-695.340345039851 -132.030509953222 -479.43192939983</f>
        <v>-1306.802784392903</v>
      </c>
      <c r="H2376">
        <f>-706.753480979915 -111.948194602606 -601.854332818997</f>
        <v>-1420.5560084015181</v>
      </c>
      <c r="I2376">
        <f>-693.609462604334 -85.7606756181187 -679.613403647665</f>
        <v>-1458.9835418701177</v>
      </c>
      <c r="J2376">
        <f>-715.631213383229 -97.3719136215695 -542.845531567786</f>
        <v>-1355.8486585725846</v>
      </c>
      <c r="K2376" t="s">
        <v>25671</v>
      </c>
      <c r="L2376" t="s">
        <v>25672</v>
      </c>
      <c r="M2376" t="s">
        <v>25673</v>
      </c>
      <c r="N2376">
        <f>-687.831007402727 -144.198986598499 -553.118932588692</f>
        <v>-1385.1489265899181</v>
      </c>
      <c r="O2376">
        <f>-616.8890524944 -261.877362352628 -549.072670128373</f>
        <v>-1427.839084975401</v>
      </c>
      <c r="P2376">
        <f>-563.756338869585 -349.690616568675 -273.288533998306</f>
        <v>-1186.7354894365658</v>
      </c>
      <c r="Q2376">
        <f>-467.437593027642 -134.418981100607 -322.600374349788</f>
        <v>-924.45694847803702</v>
      </c>
      <c r="R2376">
        <f>-682.916564087135 -45.9257857413429 -97.1349124055903</f>
        <v>-825.97726223406823</v>
      </c>
      <c r="S2376" t="s">
        <v>25674</v>
      </c>
      <c r="T2376" t="s">
        <v>25675</v>
      </c>
      <c r="U2376" t="s">
        <v>25676</v>
      </c>
      <c r="V2376">
        <f>-576.228767119302 -205.98604983011 -95.057889757764</f>
        <v>-877.27270670717598</v>
      </c>
      <c r="W2376" t="s">
        <v>25677</v>
      </c>
      <c r="X2376" t="s">
        <v>25678</v>
      </c>
      <c r="Y2376" t="s">
        <v>25679</v>
      </c>
    </row>
    <row r="2377" spans="1:25" x14ac:dyDescent="0.3">
      <c r="A2377">
        <v>118800</v>
      </c>
      <c r="B2377" t="s">
        <v>25680</v>
      </c>
      <c r="C2377">
        <f>-629.741416445319 -124.57615276502 -95.2046216707315</f>
        <v>-849.52219088107051</v>
      </c>
      <c r="D2377">
        <f>-656.303137591347 -143.469810981477 -206.351981452341</f>
        <v>-1006.1249300251649</v>
      </c>
      <c r="E2377">
        <f>-672.845697582432 -144.71656612024 -303.570540240444</f>
        <v>-1121.132803943116</v>
      </c>
      <c r="F2377">
        <f>-685.649650097375 -140.188939193476 -391.626238103843</f>
        <v>-1217.4648273946941</v>
      </c>
      <c r="G2377">
        <f>-695.921464091119 -129.854345960144 -479.523395581646</f>
        <v>-1305.299205632909</v>
      </c>
      <c r="H2377">
        <f>-707.550867703061 -109.372388941505 -601.859294685895</f>
        <v>-1418.782551330461</v>
      </c>
      <c r="I2377">
        <f>-694.543783751261 -82.9141083159552 -679.549692046813</f>
        <v>-1457.0075841140292</v>
      </c>
      <c r="J2377">
        <f>-716.340657978809 -94.9986059279476 -542.7877767112</f>
        <v>-1354.1270406179565</v>
      </c>
      <c r="K2377" t="s">
        <v>25681</v>
      </c>
      <c r="L2377" t="s">
        <v>25682</v>
      </c>
      <c r="M2377" t="s">
        <v>25683</v>
      </c>
      <c r="N2377">
        <f>-688.526023217637 -141.772380780812 -553.262871410354</f>
        <v>-1383.5612754088029</v>
      </c>
      <c r="O2377">
        <f>-617.442535107644 -259.375132847236 -549.66337496551</f>
        <v>-1426.4810429203899</v>
      </c>
      <c r="P2377">
        <f>-563.166418024376 -348.08515111803 -274.389201543399</f>
        <v>-1185.6407706858049</v>
      </c>
      <c r="Q2377">
        <f>-467.568829040124 -132.332440185313 -322.997141270867</f>
        <v>-922.898410496304</v>
      </c>
      <c r="R2377">
        <f>-683.139545178537 -44.5727965491647 -97.2263114432844</f>
        <v>-824.93865317098607</v>
      </c>
      <c r="S2377" t="s">
        <v>25684</v>
      </c>
      <c r="T2377" t="s">
        <v>25685</v>
      </c>
      <c r="U2377" t="s">
        <v>25686</v>
      </c>
      <c r="V2377">
        <f>-576.679887768251 -204.856181105365 -95.2284223985064</f>
        <v>-876.76449127212231</v>
      </c>
      <c r="W2377" t="s">
        <v>25687</v>
      </c>
      <c r="X2377" t="s">
        <v>25688</v>
      </c>
      <c r="Y2377" t="s">
        <v>25689</v>
      </c>
    </row>
    <row r="2378" spans="1:25" x14ac:dyDescent="0.3">
      <c r="A2378">
        <v>118850</v>
      </c>
      <c r="B2378" t="s">
        <v>25690</v>
      </c>
      <c r="C2378">
        <f>-630.517957934713 -121.440749024918 -95.7544835381045</f>
        <v>-847.71319049773547</v>
      </c>
      <c r="D2378">
        <f>-656.735907153352 -139.827525197908 -207.06832636048</f>
        <v>-1003.63175871174</v>
      </c>
      <c r="E2378">
        <f>-673.27734599026 -140.616622299304 -304.29186552816</f>
        <v>-1118.185833817724</v>
      </c>
      <c r="F2378">
        <f>-686.212133125044 -135.662258031431 -392.305392110417</f>
        <v>-1214.1797832668919</v>
      </c>
      <c r="G2378">
        <f>-696.753812139111 -124.885906145045 -480.117644240794</f>
        <v>-1301.7573625249502</v>
      </c>
      <c r="H2378">
        <f>-708.912373034176 -103.76849974385 -602.29380757254</f>
        <v>-1414.9746803505659</v>
      </c>
      <c r="I2378">
        <f>-696.135808014388 -76.8995238233061 -679.881466755785</f>
        <v>-1452.9167985934791</v>
      </c>
      <c r="J2378">
        <f>-717.49587534583 -89.7315712727903 -543.111067042577</f>
        <v>-1350.3385136611973</v>
      </c>
      <c r="K2378" t="s">
        <v>25691</v>
      </c>
      <c r="L2378" t="s">
        <v>25692</v>
      </c>
      <c r="M2378" t="s">
        <v>25693</v>
      </c>
      <c r="N2378">
        <f>-689.628053580961 -136.390863707206 -553.949172335206</f>
        <v>-1379.9680896233731</v>
      </c>
      <c r="O2378">
        <f>-618.275032640405 -253.86803440063 -551.151694403341</f>
        <v>-1423.294761444376</v>
      </c>
      <c r="P2378">
        <f>-562.533142102295 -343.83929682216 -276.580697302852</f>
        <v>-1182.9531362273069</v>
      </c>
      <c r="Q2378">
        <f>-468.259700594006 -127.187194938999 -323.753253947824</f>
        <v>-919.20014948082894</v>
      </c>
      <c r="R2378">
        <f>-683.498330204664 -41.3281584773783 -97.8678457342096</f>
        <v>-822.69433441625188</v>
      </c>
      <c r="S2378" t="s">
        <v>25694</v>
      </c>
      <c r="T2378" t="s">
        <v>25695</v>
      </c>
      <c r="U2378" t="s">
        <v>25696</v>
      </c>
      <c r="V2378">
        <f>-577.787727796712 -201.744446923534 -95.7289869750113</f>
        <v>-875.26116169525733</v>
      </c>
      <c r="W2378" t="s">
        <v>25697</v>
      </c>
      <c r="X2378" t="s">
        <v>25698</v>
      </c>
      <c r="Y2378" t="s">
        <v>25699</v>
      </c>
    </row>
    <row r="2379" spans="1:25" x14ac:dyDescent="0.3">
      <c r="A2379">
        <v>118900</v>
      </c>
      <c r="B2379" t="s">
        <v>25700</v>
      </c>
      <c r="C2379">
        <f>-631.54315941188 -117.588860559412 -96.1868122640985</f>
        <v>-845.31883223539046</v>
      </c>
      <c r="D2379">
        <f>-657.369608978154 -135.531863531013 -207.664455059513</f>
        <v>-1000.56592756868</v>
      </c>
      <c r="E2379">
        <f>-673.710447926443 -135.975214933463 -304.924092716136</f>
        <v>-1114.6097555760421</v>
      </c>
      <c r="F2379">
        <f>-686.529902989412 -130.720537166664 -392.937251211005</f>
        <v>-1210.187691367081</v>
      </c>
      <c r="G2379">
        <f>-697.029187590564 -119.654444841235 -480.718471215382</f>
        <v>-1297.4021036471809</v>
      </c>
      <c r="H2379">
        <f>-709.21110229473 -98.1413713867098 -602.823204591744</f>
        <v>-1410.1756782731838</v>
      </c>
      <c r="I2379">
        <f>-696.434190298879 -70.9107885090509 -680.284693342474</f>
        <v>-1447.6296721504041</v>
      </c>
      <c r="J2379">
        <f>-717.861800254188 -84.3432330899493 -543.594043981306</f>
        <v>-1345.7990773254432</v>
      </c>
      <c r="K2379" t="s">
        <v>25701</v>
      </c>
      <c r="L2379" t="s">
        <v>25702</v>
      </c>
      <c r="M2379" t="s">
        <v>25703</v>
      </c>
      <c r="N2379">
        <f>-689.839100523515 -130.873198162751 -554.587702194615</f>
        <v>-1375.3000008808808</v>
      </c>
      <c r="O2379">
        <f>-618.233451598184 -248.197051621989 -552.199883289557</f>
        <v>-1418.63038650973</v>
      </c>
      <c r="P2379">
        <f>-562.551606994198 -339.046822701864 -277.906151713289</f>
        <v>-1179.504581409351</v>
      </c>
      <c r="Q2379">
        <f>-468.264880441402 -122.1890668566 -324.097213635803</f>
        <v>-914.55116093380502</v>
      </c>
      <c r="R2379">
        <f>-684.562011398688 -37.5932070408803 -98.2215057761445</f>
        <v>-820.37672421571278</v>
      </c>
      <c r="S2379" t="s">
        <v>25704</v>
      </c>
      <c r="T2379" t="s">
        <v>25705</v>
      </c>
      <c r="U2379" t="s">
        <v>25706</v>
      </c>
      <c r="V2379">
        <f>-578.672093738229 -197.641500312229 -96.1994899445432</f>
        <v>-872.51308399500124</v>
      </c>
      <c r="W2379" t="s">
        <v>25707</v>
      </c>
      <c r="X2379" t="s">
        <v>25708</v>
      </c>
      <c r="Y2379" t="s">
        <v>25709</v>
      </c>
    </row>
    <row r="2380" spans="1:25" x14ac:dyDescent="0.3">
      <c r="A2380">
        <v>118950</v>
      </c>
      <c r="B2380" t="s">
        <v>25710</v>
      </c>
      <c r="C2380">
        <f>-632.115228278605 -115.850129004257 -96.1969898277787</f>
        <v>-844.16234711064067</v>
      </c>
      <c r="D2380">
        <f>-657.750581405897 -133.612642099657 -207.747600919822</f>
        <v>-999.11082442537599</v>
      </c>
      <c r="E2380">
        <f>-673.952446454108 -133.954086283053 -305.030954724525</f>
        <v>-1112.937487461686</v>
      </c>
      <c r="F2380">
        <f>-686.659765234919 -128.629187337656 -393.055854851028</f>
        <v>-1208.344807423603</v>
      </c>
      <c r="G2380">
        <f>-697.063161538666 -117.513659802446 -480.842365339797</f>
        <v>-1295.419186680909</v>
      </c>
      <c r="H2380">
        <f>-709.129718701789 -95.9526811139683 -602.950221987455</f>
        <v>-1408.0326218032124</v>
      </c>
      <c r="I2380">
        <f>-696.225709627357 -68.5622928805826 -680.334281853096</f>
        <v>-1445.1222843610356</v>
      </c>
      <c r="J2380">
        <f>-717.894301393517 -82.2127115990331 -543.724336796038</f>
        <v>-1343.8313497885881</v>
      </c>
      <c r="K2380" t="s">
        <v>25711</v>
      </c>
      <c r="L2380" t="s">
        <v>25712</v>
      </c>
      <c r="M2380" t="s">
        <v>25713</v>
      </c>
      <c r="N2380">
        <f>-689.745354982064 -128.668472505167 -554.708945224009</f>
        <v>-1373.12277271124</v>
      </c>
      <c r="O2380">
        <f>-617.932392836636 -245.859383738225 -552.359228711959</f>
        <v>-1416.15100528682</v>
      </c>
      <c r="P2380">
        <f>-562.420124900204 -337.05774796519 -278.146729625834</f>
        <v>-1177.624602491228</v>
      </c>
      <c r="Q2380">
        <f>-467.969980658721 -120.169179080959 -323.856628976512</f>
        <v>-911.99578871619201</v>
      </c>
      <c r="R2380">
        <f>-685.405688785734 -35.9144734333963 -98.1402105986193</f>
        <v>-819.46037281774966</v>
      </c>
      <c r="S2380" t="s">
        <v>25714</v>
      </c>
      <c r="T2380" t="s">
        <v>25715</v>
      </c>
      <c r="U2380" t="s">
        <v>25716</v>
      </c>
      <c r="V2380">
        <f>-578.992975355073 -196.08199969284 -96.3275754874811</f>
        <v>-871.40255053539408</v>
      </c>
      <c r="W2380" t="s">
        <v>25717</v>
      </c>
      <c r="X2380" t="s">
        <v>25718</v>
      </c>
      <c r="Y2380" t="s">
        <v>25719</v>
      </c>
    </row>
    <row r="2381" spans="1:25" x14ac:dyDescent="0.3">
      <c r="A2381">
        <v>119000</v>
      </c>
      <c r="B2381" t="s">
        <v>25720</v>
      </c>
      <c r="C2381">
        <f>-633.200819706422 -113.22138068706 -95.9948735338235</f>
        <v>-842.41707392730541</v>
      </c>
      <c r="D2381">
        <f>-658.608065330834 -130.910967864142 -207.609117441311</f>
        <v>-997.12815063628705</v>
      </c>
      <c r="E2381">
        <f>-674.614868159987 -131.367069979284 -304.92434545466</f>
        <v>-1110.906283593931</v>
      </c>
      <c r="F2381">
        <f>-687.151459501893 -126.218010821394 -392.984396221434</f>
        <v>-1206.3538665447211</v>
      </c>
      <c r="G2381">
        <f>-697.394809106064 -115.346930613364 -480.820137190475</f>
        <v>-1293.561876909903</v>
      </c>
      <c r="H2381">
        <f>-709.25254416625 -94.1968975882158 -603.020315451203</f>
        <v>-1406.4697572056689</v>
      </c>
      <c r="I2381">
        <f>-695.915876908435 -66.6282579048473 -680.267575275539</f>
        <v>-1442.8117100888212</v>
      </c>
      <c r="J2381">
        <f>-718.282156596191 -80.3575729648094 -543.857482564006</f>
        <v>-1342.4972121250064</v>
      </c>
      <c r="K2381" t="s">
        <v>25721</v>
      </c>
      <c r="L2381" t="s">
        <v>25722</v>
      </c>
      <c r="M2381" t="s">
        <v>25723</v>
      </c>
      <c r="N2381">
        <f>-689.786870126447 -126.650392751909 -554.63482356613</f>
        <v>-1371.0720864444859</v>
      </c>
      <c r="O2381">
        <f>-617.326813783203 -243.438353476869 -551.935983281641</f>
        <v>-1412.7011505417131</v>
      </c>
      <c r="P2381">
        <f>-562.188577533683 -334.484490081363 -277.597569987595</f>
        <v>-1174.270637602641</v>
      </c>
      <c r="Q2381">
        <f>-467.642968982009 -117.590855466162 -323.085504525388</f>
        <v>-908.31932897355887</v>
      </c>
      <c r="R2381">
        <f>-686.631775633431 -33.655762567281 -97.7447285835509</f>
        <v>-818.0322667842629</v>
      </c>
      <c r="S2381" t="s">
        <v>25724</v>
      </c>
      <c r="T2381" t="s">
        <v>25725</v>
      </c>
      <c r="U2381" t="s">
        <v>25726</v>
      </c>
      <c r="V2381">
        <f>-580.008672401248 -193.124904468869 -96.3658009997554</f>
        <v>-869.49937786987232</v>
      </c>
      <c r="W2381" t="s">
        <v>25727</v>
      </c>
      <c r="X2381" t="s">
        <v>25728</v>
      </c>
      <c r="Y2381" t="s">
        <v>25729</v>
      </c>
    </row>
    <row r="2382" spans="1:25" x14ac:dyDescent="0.3">
      <c r="A2382">
        <v>119050</v>
      </c>
      <c r="B2382" t="s">
        <v>25730</v>
      </c>
      <c r="C2382">
        <f>-633.690395577958 -112.15689581739 -95.8741798449998</f>
        <v>-841.72147124034791</v>
      </c>
      <c r="D2382">
        <f>-659.065467227704 -129.85997712974 -207.493678181613</f>
        <v>-996.41912253905684</v>
      </c>
      <c r="E2382">
        <f>-675.028892093574 -130.480025403768 -304.815094503258</f>
        <v>-1110.3240120005999</v>
      </c>
      <c r="F2382">
        <f>-687.524426013163 -125.540284807804 -392.892851692905</f>
        <v>-1205.9575625138721</v>
      </c>
      <c r="G2382">
        <f>-697.72846818302 -114.936628521129 -480.765956796329</f>
        <v>-1293.4310535004781</v>
      </c>
      <c r="H2382">
        <f>-709.535841726503 -94.2188572750226 -603.044946240223</f>
        <v>-1406.7996452417487</v>
      </c>
      <c r="I2382">
        <f>-695.916929562563 -66.6369682609577 -680.238246738348</f>
        <v>-1442.7921445618688</v>
      </c>
      <c r="J2382">
        <f>-718.695153422816 -80.2353278948004 -543.935961035828</f>
        <v>-1342.8664423534444</v>
      </c>
      <c r="K2382" t="s">
        <v>25731</v>
      </c>
      <c r="L2382" t="s">
        <v>25732</v>
      </c>
      <c r="M2382" t="s">
        <v>25733</v>
      </c>
      <c r="N2382">
        <f>-689.984832533424 -126.436118810289 -554.536125328424</f>
        <v>-1370.957076672137</v>
      </c>
      <c r="O2382">
        <f>-617.049815398353 -242.922688736113 -551.467937815593</f>
        <v>-1411.4404419500588</v>
      </c>
      <c r="P2382">
        <f>-562.250783309206 -333.382786394771 -276.867822725605</f>
        <v>-1172.501392429582</v>
      </c>
      <c r="Q2382">
        <f>-467.871761526139 -116.472700483214 -322.622435362085</f>
        <v>-906.96689737143811</v>
      </c>
      <c r="R2382">
        <f>-687.26397954723 -32.8136409224066 -97.5265075738755</f>
        <v>-817.60412804351211</v>
      </c>
      <c r="S2382" t="s">
        <v>25734</v>
      </c>
      <c r="T2382" t="s">
        <v>25735</v>
      </c>
      <c r="U2382" t="s">
        <v>25736</v>
      </c>
      <c r="V2382">
        <f>-580.362883240975 -191.793406304371 -96.3305196480976</f>
        <v>-868.48680919344361</v>
      </c>
      <c r="W2382" t="s">
        <v>25737</v>
      </c>
      <c r="X2382" t="s">
        <v>25738</v>
      </c>
      <c r="Y2382" t="s">
        <v>25739</v>
      </c>
    </row>
    <row r="2383" spans="1:25" x14ac:dyDescent="0.3">
      <c r="A2383">
        <v>119100</v>
      </c>
      <c r="B2383" t="s">
        <v>25740</v>
      </c>
      <c r="C2383">
        <f>-635.224099549739 -111.256233330126 -95.6476355455397</f>
        <v>-842.12796842540467</v>
      </c>
      <c r="D2383">
        <f>-660.370605270522 -129.067823223379 -207.301611814889</f>
        <v>-996.74004030878996</v>
      </c>
      <c r="E2383">
        <f>-676.179124844459 -130.109782690638 -304.644776620747</f>
        <v>-1110.933684155844</v>
      </c>
      <c r="F2383">
        <f>-688.55671400397 -125.68445684987 -392.766512810411</f>
        <v>-1207.0076836642511</v>
      </c>
      <c r="G2383">
        <f>-698.670132638547 -115.722947394283 -480.725219774075</f>
        <v>-1295.118299806905</v>
      </c>
      <c r="H2383">
        <f>-710.382818561405 -96.0321826941534 -603.182945623569</f>
        <v>-1409.5979468791274</v>
      </c>
      <c r="I2383">
        <f>-696.11616655298 -68.4979661386365 -680.276145714814</f>
        <v>-1444.8902784064303</v>
      </c>
      <c r="J2383">
        <f>-719.773985903093 -81.6694087854103 -544.201330141204</f>
        <v>-1345.6447248297072</v>
      </c>
      <c r="K2383" t="s">
        <v>25741</v>
      </c>
      <c r="L2383" t="s">
        <v>25742</v>
      </c>
      <c r="M2383" t="s">
        <v>25743</v>
      </c>
      <c r="N2383">
        <f>-690.683359861731 -127.724859395239 -554.389231086177</f>
        <v>-1372.7974503431469</v>
      </c>
      <c r="O2383">
        <f>-616.95920701555 -243.691135712414 -550.367742262478</f>
        <v>-1411.018084990442</v>
      </c>
      <c r="P2383">
        <f>-562.694876963154 -332.233981691399 -275.037491430163</f>
        <v>-1169.9663500847159</v>
      </c>
      <c r="Q2383">
        <f>-469.360969989097 -115.128965328429 -321.995473182238</f>
        <v>-906.48540849976405</v>
      </c>
      <c r="R2383">
        <f>-689.46778704929 -31.8446462313173 -97.1673980243301</f>
        <v>-818.47983130493731</v>
      </c>
      <c r="S2383" t="s">
        <v>25744</v>
      </c>
      <c r="T2383" t="s">
        <v>25745</v>
      </c>
      <c r="U2383" t="s">
        <v>25746</v>
      </c>
      <c r="V2383">
        <f>-581.312733791123 -191.297996101535 -96.0848546010917</f>
        <v>-868.69558449374972</v>
      </c>
      <c r="W2383" t="s">
        <v>25747</v>
      </c>
      <c r="X2383" t="s">
        <v>25748</v>
      </c>
      <c r="Y2383" t="s">
        <v>25749</v>
      </c>
    </row>
    <row r="2384" spans="1:25" x14ac:dyDescent="0.3">
      <c r="A2384">
        <v>119150</v>
      </c>
      <c r="B2384" t="s">
        <v>25750</v>
      </c>
      <c r="C2384">
        <f>-636.349544879454 -111.445409488928 -95.4906739156556</f>
        <v>-843.28562828403767</v>
      </c>
      <c r="D2384">
        <f>-661.172592372427 -129.103572838541 -207.241437293369</f>
        <v>-997.51760250433699</v>
      </c>
      <c r="E2384">
        <f>-676.811902283222 -130.28147238159 -304.610166165005</f>
        <v>-1111.703540829817</v>
      </c>
      <c r="F2384">
        <f>-689.083866481297 -126.088008582903 -392.758034555086</f>
        <v>-1207.929909619286</v>
      </c>
      <c r="G2384">
        <f>-699.142119485584 -116.464793093992 -480.760749277772</f>
        <v>-1296.3676618573479</v>
      </c>
      <c r="H2384">
        <f>-710.832208966379 -97.3558931382621 -603.312823882539</f>
        <v>-1411.5009259871799</v>
      </c>
      <c r="I2384">
        <f>-696.277300040372 -69.8933291517984 -680.377692840164</f>
        <v>-1446.5483220323345</v>
      </c>
      <c r="J2384">
        <f>-720.322602823865 -82.7690603718713 -544.40212112456</f>
        <v>-1347.4937843202965</v>
      </c>
      <c r="K2384" t="s">
        <v>25751</v>
      </c>
      <c r="L2384" t="s">
        <v>25752</v>
      </c>
      <c r="M2384" t="s">
        <v>25753</v>
      </c>
      <c r="N2384">
        <f>-691.053294238298 -128.760473889365 -554.365318221946</f>
        <v>-1374.179086349609</v>
      </c>
      <c r="O2384">
        <f>-616.977350480774 -244.49960298185 -549.787904287613</f>
        <v>-1411.2648577502368</v>
      </c>
      <c r="P2384">
        <f>-562.987131403955 -332.240167268469 -274.147057443901</f>
        <v>-1169.3743561163251</v>
      </c>
      <c r="Q2384">
        <f>-470.57302107704 -114.912275431803 -321.887179374976</f>
        <v>-907.37247588381899</v>
      </c>
      <c r="R2384">
        <f>-690.773406109349 -31.7465615388928 -96.87113374081</f>
        <v>-819.39110138905187</v>
      </c>
      <c r="S2384" t="s">
        <v>25754</v>
      </c>
      <c r="T2384" t="s">
        <v>25755</v>
      </c>
      <c r="U2384" t="s">
        <v>25756</v>
      </c>
      <c r="V2384">
        <f>-582.339079371194 -191.462079078081 -95.8031894006053</f>
        <v>-869.60434784988024</v>
      </c>
      <c r="W2384" t="s">
        <v>25757</v>
      </c>
      <c r="X2384" t="s">
        <v>25758</v>
      </c>
      <c r="Y2384" t="s">
        <v>25759</v>
      </c>
    </row>
    <row r="2385" spans="1:25" x14ac:dyDescent="0.3">
      <c r="A2385">
        <v>119200</v>
      </c>
      <c r="B2385" t="s">
        <v>25760</v>
      </c>
      <c r="C2385">
        <f>-637.930049731067 -112.122523547775 -94.6744675072977</f>
        <v>-844.7270407861397</v>
      </c>
      <c r="D2385">
        <f>-661.87410724268 -128.877592714409 -206.755464908532</f>
        <v>-997.50716486562089</v>
      </c>
      <c r="E2385">
        <f>-676.917086361815 -130.094666847768 -304.217872138389</f>
        <v>-1111.2296253479722</v>
      </c>
      <c r="F2385">
        <f>-688.723267797479 -126.268517929852 -392.44599131803</f>
        <v>-1207.4377770453611</v>
      </c>
      <c r="G2385">
        <f>-698.395633865813 -117.340135119036 -480.565087204749</f>
        <v>-1296.3008561895981</v>
      </c>
      <c r="H2385">
        <f>-709.634384379518 -99.5405843595797 -603.356205049421</f>
        <v>-1412.5311737885186</v>
      </c>
      <c r="I2385">
        <f>-694.53162678881 -72.5128069441964 -680.469311974602</f>
        <v>-1447.5137457076085</v>
      </c>
      <c r="J2385">
        <f>-719.474016599 -84.410959755333 -544.640084739671</f>
        <v>-1348.5250610940041</v>
      </c>
      <c r="K2385" t="s">
        <v>25761</v>
      </c>
      <c r="L2385" t="s">
        <v>25762</v>
      </c>
      <c r="M2385" t="s">
        <v>25763</v>
      </c>
      <c r="N2385">
        <f>-689.903471277243 -130.335563436513 -554.003799889397</f>
        <v>-1374.2428346031529</v>
      </c>
      <c r="O2385">
        <f>-615.412041157181 -245.707018990898 -548.069599248686</f>
        <v>-1409.1886593967649</v>
      </c>
      <c r="P2385">
        <f>-561.516340067626 -333.290895075431 -272.360364643338</f>
        <v>-1167.1675997863949</v>
      </c>
      <c r="Q2385">
        <f>-471.032039201184 -115.562223197711 -321.935179962111</f>
        <v>-908.52944236100598</v>
      </c>
      <c r="R2385">
        <f>-692.715351712582 -32.1202102257093 -95.8619746052009</f>
        <v>-820.69753654349222</v>
      </c>
      <c r="S2385" t="s">
        <v>25764</v>
      </c>
      <c r="T2385" t="s">
        <v>25765</v>
      </c>
      <c r="U2385" t="s">
        <v>25766</v>
      </c>
      <c r="V2385">
        <f>-583.11261345292 -192.257248905227 -94.8722178511922</f>
        <v>-870.24208020933918</v>
      </c>
      <c r="W2385" t="s">
        <v>25767</v>
      </c>
      <c r="X2385" t="s">
        <v>25768</v>
      </c>
      <c r="Y2385" t="s">
        <v>25769</v>
      </c>
    </row>
    <row r="2386" spans="1:25" x14ac:dyDescent="0.3">
      <c r="A2386">
        <v>119250</v>
      </c>
      <c r="B2386" t="s">
        <v>25770</v>
      </c>
      <c r="C2386">
        <f>-638.259616888114 -112.430144404291 -93.8417764816412</f>
        <v>-844.53153777404623</v>
      </c>
      <c r="D2386">
        <f>-661.752659708526 -128.436057604266 -206.127692355824</f>
        <v>-996.31640966861607</v>
      </c>
      <c r="E2386">
        <f>-676.274639323798 -129.55798164796 -303.669885285916</f>
        <v>-1109.502506257674</v>
      </c>
      <c r="F2386">
        <f>-687.564151280616 -125.866778928032 -391.971410799965</f>
        <v>-1205.4023410086129</v>
      </c>
      <c r="G2386">
        <f>-696.678275455809 -117.293631768503 -480.185279412475</f>
        <v>-1294.1571866367869</v>
      </c>
      <c r="H2386">
        <f>-707.097006359842 -100.218877082767 -603.151568381286</f>
        <v>-1410.4674518238949</v>
      </c>
      <c r="I2386">
        <f>-691.633401086085 -73.6427527967752 -680.350196825689</f>
        <v>-1445.6263507085491</v>
      </c>
      <c r="J2386">
        <f>-717.326652420491 -84.7425531210807 -544.592662477653</f>
        <v>-1346.6618680192246</v>
      </c>
      <c r="K2386" t="s">
        <v>25771</v>
      </c>
      <c r="L2386" t="s">
        <v>25772</v>
      </c>
      <c r="M2386" t="s">
        <v>25773</v>
      </c>
      <c r="N2386">
        <f>-687.697792331475 -130.722693191539 -553.48776169259</f>
        <v>-1371.9082472156038</v>
      </c>
      <c r="O2386">
        <f>-613.392533272027 -246.144050550551 -546.603454281288</f>
        <v>-1406.1400381038661</v>
      </c>
      <c r="P2386">
        <f>-559.529661131096 -334.482826576463 -271.128780587995</f>
        <v>-1165.141268295554</v>
      </c>
      <c r="Q2386">
        <f>-469.255768546694 -116.935752796717 -321.87085869315</f>
        <v>-908.06238003656108</v>
      </c>
      <c r="R2386">
        <f>-693.306416242902 -31.9972567749749 -95.0408596088755</f>
        <v>-820.34453262675231</v>
      </c>
      <c r="S2386" t="s">
        <v>25774</v>
      </c>
      <c r="T2386" t="s">
        <v>25775</v>
      </c>
      <c r="U2386" t="s">
        <v>25776</v>
      </c>
      <c r="V2386">
        <f>-582.807324017341 -192.948371828076 -93.999077171816</f>
        <v>-869.75477301723299</v>
      </c>
      <c r="W2386" t="s">
        <v>25777</v>
      </c>
      <c r="X2386" t="s">
        <v>25778</v>
      </c>
      <c r="Y2386" t="s">
        <v>25779</v>
      </c>
    </row>
    <row r="2387" spans="1:25" x14ac:dyDescent="0.3">
      <c r="A2387">
        <v>119300</v>
      </c>
      <c r="B2387" t="s">
        <v>25780</v>
      </c>
      <c r="C2387">
        <f>-637.508221905154 -115.71520703686 -90.245193752529</f>
        <v>-843.46862269454289</v>
      </c>
      <c r="D2387">
        <f>-659.439563038987 -128.924463656636 -203.208654376953</f>
        <v>-991.57268107257596</v>
      </c>
      <c r="E2387">
        <f>-671.96798281763 -129.354726018988 -301.032637710838</f>
        <v>-1102.3553465474561</v>
      </c>
      <c r="F2387">
        <f>-681.23404132473 -125.713119334681 -389.571411687997</f>
        <v>-1196.5185723474081</v>
      </c>
      <c r="G2387">
        <f>-688.120728570385 -117.862028521966 -478.054048718891</f>
        <v>-1284.0368058112419</v>
      </c>
      <c r="H2387">
        <f>-695.23048922438 -102.493006075927 -601.480290905102</f>
        <v>-1399.203786205409</v>
      </c>
      <c r="I2387">
        <f>-678.662084969613 -77.501715166645 -678.978422686352</f>
        <v>-1435.1422228226102</v>
      </c>
      <c r="J2387">
        <f>-706.831640796581 -86.0853906789437 -543.432815727778</f>
        <v>-1336.3498472033027</v>
      </c>
      <c r="K2387" t="s">
        <v>25781</v>
      </c>
      <c r="L2387" t="s">
        <v>25782</v>
      </c>
      <c r="M2387" t="s">
        <v>25783</v>
      </c>
      <c r="N2387">
        <f>-677.371971915528 -132.426875022645 -550.900278849141</f>
        <v>-1360.6991257873142</v>
      </c>
      <c r="O2387">
        <f>-604.726080688438 -248.701721969257 -541.427063717547</f>
        <v>-1394.8548663752417</v>
      </c>
      <c r="P2387">
        <f>-552.334308195496 -340.676760514718 -266.860286942878</f>
        <v>-1159.871355653092</v>
      </c>
      <c r="Q2387">
        <f>-459.255436120519 -125.636589908398 -322.939641984207</f>
        <v>-907.83166801312404</v>
      </c>
      <c r="R2387">
        <f>-693.791139140933 -32.4015182675059 -91.6937191887872</f>
        <v>-817.8863765972261</v>
      </c>
      <c r="S2387" t="s">
        <v>25784</v>
      </c>
      <c r="T2387" t="s">
        <v>25785</v>
      </c>
      <c r="U2387" t="s">
        <v>25786</v>
      </c>
      <c r="V2387">
        <f>-579.375966915331 -199.285229553735 -89.1623167049476</f>
        <v>-867.82351317401356</v>
      </c>
      <c r="W2387" t="s">
        <v>25787</v>
      </c>
      <c r="X2387" t="s">
        <v>25788</v>
      </c>
      <c r="Y2387" t="s">
        <v>25789</v>
      </c>
    </row>
    <row r="2388" spans="1:25" x14ac:dyDescent="0.3">
      <c r="A2388">
        <v>119350</v>
      </c>
      <c r="B2388" t="s">
        <v>25790</v>
      </c>
      <c r="C2388">
        <f>-636.167730557141 -120.09366817171 -82.2792918732914</f>
        <v>-838.54069060214238</v>
      </c>
      <c r="D2388">
        <f>-656.757976362829 -132.393729617508 -195.597346522962</f>
        <v>-984.74905250329903</v>
      </c>
      <c r="E2388">
        <f>-667.642847092252 -132.655125624567 -293.618258660258</f>
        <v>-1093.9162313770771</v>
      </c>
      <c r="F2388">
        <f>-675.253718536054 -129.088587971479 -382.317745629832</f>
        <v>-1186.660052137365</v>
      </c>
      <c r="G2388">
        <f>-680.326186826821 -121.538848694405 -470.949032631652</f>
        <v>-1272.814068152878</v>
      </c>
      <c r="H2388">
        <f>-684.746753220397 -106.821341340817 -594.580283235821</f>
        <v>-1386.1483777970348</v>
      </c>
      <c r="I2388">
        <f>-667.276865279503 -82.7364822066305 -672.167327026523</f>
        <v>-1422.1806745126564</v>
      </c>
      <c r="J2388">
        <f>-697.386057943272 -89.9696366152961 -536.877704706782</f>
        <v>-1324.23339926535</v>
      </c>
      <c r="K2388" t="s">
        <v>25791</v>
      </c>
      <c r="L2388" t="s">
        <v>25792</v>
      </c>
      <c r="M2388" t="s">
        <v>25793</v>
      </c>
      <c r="N2388">
        <f>-668.216928644319 -136.625915830652 -543.474872871216</f>
        <v>-1348.3177173461868</v>
      </c>
      <c r="O2388">
        <f>-597.364276789698 -253.909867507263 -532.646122606232</f>
        <v>-1383.9202669031929</v>
      </c>
      <c r="P2388">
        <f>-546.640052315404 -348.160383030076 -258.538313427176</f>
        <v>-1153.3387487726559</v>
      </c>
      <c r="Q2388">
        <f>-451.269618719282 -135.379610501558 -319.198719833187</f>
        <v>-905.84794905402691</v>
      </c>
      <c r="R2388">
        <f>-693.150065723518 -35.0624429169206 -83.7842214683506</f>
        <v>-811.99673010878917</v>
      </c>
      <c r="S2388" t="s">
        <v>25794</v>
      </c>
      <c r="T2388" t="s">
        <v>25795</v>
      </c>
      <c r="U2388" t="s">
        <v>25796</v>
      </c>
      <c r="V2388">
        <f>-577.195291299718 -206.900757202128 -81.1031303354259</f>
        <v>-865.19917883727192</v>
      </c>
      <c r="W2388" t="s">
        <v>25797</v>
      </c>
      <c r="X2388" t="s">
        <v>25798</v>
      </c>
      <c r="Y2388" t="s">
        <v>25799</v>
      </c>
    </row>
    <row r="2389" spans="1:25" x14ac:dyDescent="0.3">
      <c r="A2389">
        <v>119400</v>
      </c>
      <c r="B2389" t="s">
        <v>25800</v>
      </c>
      <c r="C2389">
        <f>-653.164192174197 -118.246061554094 -74.2757362860821</f>
        <v>-845.68599001437303</v>
      </c>
      <c r="D2389">
        <f>-673.52886956254 -130.562539091967 -187.632672660349</f>
        <v>-991.72408131485599</v>
      </c>
      <c r="E2389">
        <f>-681.922965101382 -131.085811381261 -285.897215346541</f>
        <v>-1098.9059918291841</v>
      </c>
      <c r="F2389">
        <f>-686.384188470177 -127.82358069712 -374.822488632705</f>
        <v>-1189.0302578000019</v>
      </c>
      <c r="G2389">
        <f>-687.417057860803 -120.64677593609 -463.623823421852</f>
        <v>-1271.687657218745</v>
      </c>
      <c r="H2389">
        <f>-685.273194436727 -106.51763968074 -587.383950325835</f>
        <v>-1379.1747844433021</v>
      </c>
      <c r="I2389">
        <f>-665.694838931997 -83.5153327154263 -664.795872004047</f>
        <v>-1414.0060436514705</v>
      </c>
      <c r="J2389">
        <f>-700.408076424106 -89.0632412534718 -530.46647277762</f>
        <v>-1319.9377904551977</v>
      </c>
      <c r="K2389" t="s">
        <v>25801</v>
      </c>
      <c r="L2389" t="s">
        <v>25802</v>
      </c>
      <c r="M2389" t="s">
        <v>25803</v>
      </c>
      <c r="N2389">
        <f>-672.025180400408 -136.40704363186 -535.379957253443</f>
        <v>-1343.8121812857109</v>
      </c>
      <c r="O2389">
        <f>-604.985738995647 -255.525001866868 -519.922010011286</f>
        <v>-1380.4327508738011</v>
      </c>
      <c r="P2389">
        <f>-557.024939861421 -351.313741212222 -245.850042452705</f>
        <v>-1154.188723526348</v>
      </c>
      <c r="Q2389">
        <f>-456.399984346191 -144.958283599838 -318.945061998995</f>
        <v>-920.30332994502396</v>
      </c>
      <c r="R2389">
        <f>-705.273417332524 -34.248270727355 -76.5010059990599</f>
        <v>-816.0226940589389</v>
      </c>
      <c r="S2389" t="s">
        <v>25804</v>
      </c>
      <c r="T2389" t="s">
        <v>25805</v>
      </c>
      <c r="U2389" t="s">
        <v>25806</v>
      </c>
      <c r="V2389">
        <f>-607.099848261951 -199.605258416699 -75.9413780963334</f>
        <v>-882.64648477498349</v>
      </c>
      <c r="W2389" t="s">
        <v>25807</v>
      </c>
      <c r="X2389" t="s">
        <v>25808</v>
      </c>
      <c r="Y2389" t="s">
        <v>25809</v>
      </c>
    </row>
    <row r="2390" spans="1:25" x14ac:dyDescent="0.3">
      <c r="A2390">
        <v>119450</v>
      </c>
      <c r="B2390" t="s">
        <v>25810</v>
      </c>
      <c r="C2390">
        <f>-660.610619468699 -118.789727401848 -72.6790456187891</f>
        <v>-852.07939248933621</v>
      </c>
      <c r="D2390">
        <f>-680.895502035684 -131.263461168847 -186.033220714107</f>
        <v>-998.19218391863797</v>
      </c>
      <c r="E2390">
        <f>-688.713909647633 -132.373396063969 -284.340211982518</f>
        <v>-1105.4275176941201</v>
      </c>
      <c r="F2390">
        <f>-692.445776950786 -129.826363522863 -373.322505857583</f>
        <v>-1195.5946463312321</v>
      </c>
      <c r="G2390">
        <f>-692.536978248469 -123.551119060256 -462.198025628349</f>
        <v>-1278.2861229370742</v>
      </c>
      <c r="H2390">
        <f>-688.852342355695 -110.878763642362 -586.07954860533</f>
        <v>-1385.8106546033871</v>
      </c>
      <c r="I2390">
        <f>-668.205245897297 -88.5184641228109 -663.401834887838</f>
        <v>-1420.1255449079458</v>
      </c>
      <c r="J2390">
        <f>-704.613432348071 -92.7101445923997 -529.557035707104</f>
        <v>-1326.8806126475747</v>
      </c>
      <c r="K2390" t="s">
        <v>25811</v>
      </c>
      <c r="L2390" t="s">
        <v>25812</v>
      </c>
      <c r="M2390" t="s">
        <v>25813</v>
      </c>
      <c r="N2390">
        <f>-676.334120051549 -140.200279358404 -533.573849576998</f>
        <v>-1350.1082489869509</v>
      </c>
      <c r="O2390">
        <f>-609.966275521187 -259.202644447501 -515.974558582863</f>
        <v>-1385.143478551551</v>
      </c>
      <c r="P2390">
        <f>-563.127469867619 -353.830079164144 -241.305754960919</f>
        <v>-1158.2633039926818</v>
      </c>
      <c r="Q2390">
        <f>-461.133330309942 -150.484711466876 -320.670151925332</f>
        <v>-932.28819370215001</v>
      </c>
      <c r="R2390">
        <f>-709.850557237021 -36.1563920082363 -74.7636801897833</f>
        <v>-820.77062943504052</v>
      </c>
      <c r="S2390" t="s">
        <v>25814</v>
      </c>
      <c r="T2390" t="s">
        <v>25815</v>
      </c>
      <c r="U2390" t="s">
        <v>25816</v>
      </c>
      <c r="V2390">
        <f>-615.092388176834 -201.099899209427 -74.1617589888048</f>
        <v>-890.35404637506576</v>
      </c>
      <c r="W2390" t="s">
        <v>25817</v>
      </c>
      <c r="X2390" t="s">
        <v>25818</v>
      </c>
      <c r="Y2390" t="s">
        <v>25819</v>
      </c>
    </row>
    <row r="2391" spans="1:25" x14ac:dyDescent="0.3">
      <c r="A2391">
        <v>119500</v>
      </c>
      <c r="B2391" t="s">
        <v>25820</v>
      </c>
      <c r="C2391">
        <f>-659.777790064114 -126.089863305388 -69.3261610545095</f>
        <v>-855.19381442401152</v>
      </c>
      <c r="D2391">
        <f>-679.140733549687 -140.982792344714 -182.549455834446</f>
        <v>-1002.6729817288469</v>
      </c>
      <c r="E2391">
        <f>-686.74739493617 -144.688013853639 -280.809652953677</f>
        <v>-1112.2450617434861</v>
      </c>
      <c r="F2391">
        <f>-690.501816288536 -144.718753711923 -369.827318540643</f>
        <v>-1205.0478885411021</v>
      </c>
      <c r="G2391">
        <f>-690.828021215751 -141.245780524171 -458.855795472936</f>
        <v>-1290.929597212858</v>
      </c>
      <c r="H2391">
        <f>-687.686319668278 -132.724981656115 -583.106944766918</f>
        <v>-1403.5182460913111</v>
      </c>
      <c r="I2391">
        <f>-665.883452443485 -111.219354915361 -660.35430606095</f>
        <v>-1437.4571134197959</v>
      </c>
      <c r="J2391">
        <f>-703.773881100558 -113.022006797528 -527.193651830485</f>
        <v>-1343.9895397285709</v>
      </c>
      <c r="K2391" t="s">
        <v>25821</v>
      </c>
      <c r="L2391" t="s">
        <v>25822</v>
      </c>
      <c r="M2391" t="s">
        <v>25823</v>
      </c>
      <c r="N2391">
        <f>-674.363742638111 -159.927176578023 -529.666619022422</f>
        <v>-1363.957538238556</v>
      </c>
      <c r="O2391">
        <f>-606.403011014594 -277.666748889123 -509.146447965299</f>
        <v>-1393.216207869016</v>
      </c>
      <c r="P2391">
        <f>-559.478047779729 -366.021895702105 -232.410689106985</f>
        <v>-1157.910632588819</v>
      </c>
      <c r="Q2391">
        <f>-459.477325875766 -167.48370250034 -325.326249069771</f>
        <v>-952.28727744587695</v>
      </c>
      <c r="R2391">
        <f>-709.400924869779 -46.0108181412251 -72.7144751933905</f>
        <v>-828.1262182043946</v>
      </c>
      <c r="S2391" t="s">
        <v>25824</v>
      </c>
      <c r="T2391" t="s">
        <v>25825</v>
      </c>
      <c r="U2391" t="s">
        <v>25826</v>
      </c>
      <c r="V2391">
        <f>-609.745818555523 -206.352541622617 -69.5713596957403</f>
        <v>-885.66971987388024</v>
      </c>
      <c r="W2391" t="s">
        <v>25827</v>
      </c>
      <c r="X2391" t="s">
        <v>25828</v>
      </c>
      <c r="Y2391" t="s">
        <v>25829</v>
      </c>
    </row>
    <row r="2392" spans="1:25" x14ac:dyDescent="0.3">
      <c r="A2392">
        <v>119550</v>
      </c>
      <c r="B2392" t="s">
        <v>25830</v>
      </c>
      <c r="C2392">
        <f>-653.944819249085 -133.259660693532 -67.3618076929134</f>
        <v>-854.56628763553033</v>
      </c>
      <c r="D2392">
        <f>-672.833993088393 -149.102914160234 -180.536060780113</f>
        <v>-1002.47296802874</v>
      </c>
      <c r="E2392">
        <f>-680.338269200711 -153.788065570276 -278.762351134375</f>
        <v>-1112.8886859053621</v>
      </c>
      <c r="F2392">
        <f>-684.115715569535 -154.781940464135 -367.773538367455</f>
        <v>-1206.6711944011249</v>
      </c>
      <c r="G2392">
        <f>-684.584706512453 -152.341037387742 -456.835609458026</f>
        <v>-1293.761353358221</v>
      </c>
      <c r="H2392">
        <f>-681.767408115742 -145.333056424266 -581.189019265451</f>
        <v>-1408.289483805459</v>
      </c>
      <c r="I2392">
        <f>-659.641890008376 -123.621344946639 -658.286885931897</f>
        <v>-1441.5501208869118</v>
      </c>
      <c r="J2392">
        <f>-698.247672040901 -125.295507407603 -525.509402733077</f>
        <v>-1349.0525821815809</v>
      </c>
      <c r="K2392">
        <f>-774.615209712218 -11.8014398165749 -512.33243521872</f>
        <v>-1298.7490847475128</v>
      </c>
      <c r="L2392" t="s">
        <v>25831</v>
      </c>
      <c r="M2392" t="s">
        <v>25832</v>
      </c>
      <c r="N2392">
        <f>-667.766622751587 -171.538377788508 -527.424930418769</f>
        <v>-1366.7299309588639</v>
      </c>
      <c r="O2392">
        <f>-597.59588799641 -287.790510616072 -505.954340499227</f>
        <v>-1391.3407391117089</v>
      </c>
      <c r="P2392">
        <f>-549.844469533267 -372.251065069352 -228.146015541336</f>
        <v>-1150.241550143955</v>
      </c>
      <c r="Q2392">
        <f>-453.660648387784 -175.180625326839 -327.959819384493</f>
        <v>-956.80109309911597</v>
      </c>
      <c r="R2392">
        <f>-705.781205631677 -54.2182476377052 -71.2837739199589</f>
        <v>-831.28322718934112</v>
      </c>
      <c r="S2392" t="s">
        <v>25833</v>
      </c>
      <c r="T2392" t="s">
        <v>25834</v>
      </c>
      <c r="U2392" t="s">
        <v>25835</v>
      </c>
      <c r="V2392">
        <f>-601.362982378783 -213.094249835747 -66.6472449056571</f>
        <v>-881.10447712018708</v>
      </c>
      <c r="W2392" t="s">
        <v>25836</v>
      </c>
      <c r="X2392" t="s">
        <v>25837</v>
      </c>
      <c r="Y2392" t="s">
        <v>25838</v>
      </c>
    </row>
    <row r="2393" spans="1:25" x14ac:dyDescent="0.3">
      <c r="A2393">
        <v>119600</v>
      </c>
      <c r="B2393" t="s">
        <v>25839</v>
      </c>
      <c r="C2393">
        <f>-642.364102093156 -155.092333462301 -63.8710574412911</f>
        <v>-861.32749299674811</v>
      </c>
      <c r="D2393">
        <f>-660.53582423561 -172.004759796966 -177.008113577161</f>
        <v>-1009.548697609737</v>
      </c>
      <c r="E2393">
        <f>-667.523337026937 -177.380242662957 -275.237074582599</f>
        <v>-1120.1406542724931</v>
      </c>
      <c r="F2393">
        <f>-670.868311088257 -178.917711990961 -364.257678362358</f>
        <v>-1214.0437014415761</v>
      </c>
      <c r="G2393">
        <f>-670.954129269039 -176.921428407019 -453.332180990049</f>
        <v>-1301.2077386661069</v>
      </c>
      <c r="H2393">
        <f>-667.658831826836 -170.425509443329 -577.701644278139</f>
        <v>-1415.7859855483041</v>
      </c>
      <c r="I2393">
        <f>-645.275160005778 -147.163659017477 -654.271022710942</f>
        <v>-1446.7098417341972</v>
      </c>
      <c r="J2393">
        <f>-685.427455768469 -150.902034592477 -522.236068283723</f>
        <v>-1358.565558644669</v>
      </c>
      <c r="K2393">
        <f>-768.165405682577 -41.7370955192441 -511.643862380284</f>
        <v>-1321.5463635821052</v>
      </c>
      <c r="L2393" t="s">
        <v>25840</v>
      </c>
      <c r="M2393" t="s">
        <v>25841</v>
      </c>
      <c r="N2393">
        <f>-652.790371261446 -195.666022678973 -523.709433135315</f>
        <v>-1372.1658270757339</v>
      </c>
      <c r="O2393">
        <f>-576.78471896341 -308.197955060216 -501.837848486679</f>
        <v>-1386.820522510305</v>
      </c>
      <c r="P2393">
        <f>-525.886704874319 -384.663764888473 -222.278333837997</f>
        <v>-1132.8288036007889</v>
      </c>
      <c r="Q2393">
        <f>-441.859019049453 -187.740731974572 -332.784214009161</f>
        <v>-962.38396503318597</v>
      </c>
      <c r="R2393">
        <f>-699.283838861925 -77.913276769246 -67.5104934389676</f>
        <v>-844.70760907013857</v>
      </c>
      <c r="S2393" t="s">
        <v>25842</v>
      </c>
      <c r="T2393" t="s">
        <v>25843</v>
      </c>
      <c r="U2393" t="s">
        <v>25844</v>
      </c>
      <c r="V2393">
        <f>-586.046494690513 -232.169606386394 -62.351358779765</f>
        <v>-880.56745985667192</v>
      </c>
      <c r="W2393" t="s">
        <v>25845</v>
      </c>
      <c r="X2393" t="s">
        <v>25846</v>
      </c>
      <c r="Y2393" t="s">
        <v>25847</v>
      </c>
    </row>
    <row r="2394" spans="1:25" x14ac:dyDescent="0.3">
      <c r="A2394">
        <v>119650</v>
      </c>
      <c r="B2394" t="s">
        <v>25848</v>
      </c>
      <c r="C2394">
        <f>-637.930340848547 -168.668555321779 -62.7957328173444</f>
        <v>-869.39462898767033</v>
      </c>
      <c r="D2394">
        <f>-655.976709643686 -185.042141329246 -176.031879315219</f>
        <v>-1017.050730288151</v>
      </c>
      <c r="E2394">
        <f>-662.802818065931 -189.811908445729 -274.303504018739</f>
        <v>-1126.9182305303989</v>
      </c>
      <c r="F2394">
        <f>-665.978805906537 -190.748842626534 -363.33880828878</f>
        <v>-1220.066456821851</v>
      </c>
      <c r="G2394">
        <f>-665.879572400518 -188.092594882898 -452.396057205144</f>
        <v>-1306.3682244885599</v>
      </c>
      <c r="H2394">
        <f>-662.311702160582 -180.610928711979 -576.702586011994</f>
        <v>-1419.6252168845549</v>
      </c>
      <c r="I2394">
        <f>-640.035523179162 -156.312607611569 -652.980971510607</f>
        <v>-1449.329102301338</v>
      </c>
      <c r="J2394">
        <f>-680.639730686472 -161.852329380356 -521.155172061088</f>
        <v>-1363.6472321279161</v>
      </c>
      <c r="K2394">
        <f>-766.475499193572 -54.9539787122138 -511.268340672069</f>
        <v>-1332.6978185778548</v>
      </c>
      <c r="L2394" t="s">
        <v>25849</v>
      </c>
      <c r="M2394" t="s">
        <v>25850</v>
      </c>
      <c r="N2394">
        <f>-647.123731604737 -205.954266873393 -522.847563736272</f>
        <v>-1375.9255622144019</v>
      </c>
      <c r="O2394">
        <f>-568.65812362601 -316.857349344595 -501.431222445411</f>
        <v>-1386.9466954160162</v>
      </c>
      <c r="P2394">
        <f>-515.559025288314 -389.619544657442 -221.293116566946</f>
        <v>-1126.471686512702</v>
      </c>
      <c r="Q2394">
        <f>-438.566562781834 -191.240559244219 -334.29221410982</f>
        <v>-964.09933613587305</v>
      </c>
      <c r="R2394">
        <f>-696.217448676561 -92.3165045103323 -65.7055894653705</f>
        <v>-854.23954265226382</v>
      </c>
      <c r="S2394" t="s">
        <v>25851</v>
      </c>
      <c r="T2394" t="s">
        <v>25852</v>
      </c>
      <c r="U2394" t="s">
        <v>25853</v>
      </c>
      <c r="V2394">
        <f>-580.53364229928 -245.879012814405 -61.6136204021034</f>
        <v>-888.02627551578837</v>
      </c>
      <c r="W2394" t="s">
        <v>25854</v>
      </c>
      <c r="X2394" t="s">
        <v>25855</v>
      </c>
      <c r="Y2394" t="s">
        <v>25856</v>
      </c>
    </row>
    <row r="2395" spans="1:25" x14ac:dyDescent="0.3">
      <c r="A2395">
        <v>119700</v>
      </c>
      <c r="B2395" t="s">
        <v>25857</v>
      </c>
      <c r="C2395">
        <f>-628.454503529105 -195.370269479001 -62.0755229936877</f>
        <v>-885.90029600179366</v>
      </c>
      <c r="D2395">
        <f>-646.193114856605 -211.296624867652 -175.424182878701</f>
        <v>-1032.9139226029579</v>
      </c>
      <c r="E2395">
        <f>-652.975883939267 -214.820729370815 -273.751312303539</f>
        <v>-1141.5479256136209</v>
      </c>
      <c r="F2395">
        <f>-656.172873041815 -214.315108563701 -362.789331587171</f>
        <v>-1233.277313192687</v>
      </c>
      <c r="G2395">
        <f>-656.151443362976 -209.902489605705 -451.776897880794</f>
        <v>-1317.830830849475</v>
      </c>
      <c r="H2395">
        <f>-652.743768126545 -199.648885137262 -575.890017405386</f>
        <v>-1428.2826706691931</v>
      </c>
      <c r="I2395">
        <f>-630.744339688964 -173.835153849415 -651.749643649798</f>
        <v>-1456.3291371881769</v>
      </c>
      <c r="J2395">
        <f>-671.492337519896 -182.515363078314 -519.959325311092</f>
        <v>-1373.967025909302</v>
      </c>
      <c r="K2395">
        <f>-760.783171061119 -78.4979063963317 -509.252569977507</f>
        <v>-1348.5336474349576</v>
      </c>
      <c r="L2395" t="s">
        <v>25858</v>
      </c>
      <c r="M2395" t="s">
        <v>25859</v>
      </c>
      <c r="N2395">
        <f>-636.994286641928 -225.806683357743 -522.588457958476</f>
        <v>-1385.3894279581471</v>
      </c>
      <c r="O2395">
        <f>-555.154277487147 -334.379605011165 -502.565668040219</f>
        <v>-1392.099550538531</v>
      </c>
      <c r="P2395">
        <f>-495.330012215052 -400.904957639687 -222.232740222987</f>
        <v>-1118.467710077726</v>
      </c>
      <c r="Q2395">
        <f>-431.408969964364 -198.952331513246 -337.037277199769</f>
        <v>-967.39857867737896</v>
      </c>
      <c r="R2395">
        <f>-687.796360386124 -121.426912101849 -63.3623359045795</f>
        <v>-872.58560839255244</v>
      </c>
      <c r="S2395" t="s">
        <v>25860</v>
      </c>
      <c r="T2395" t="s">
        <v>25861</v>
      </c>
      <c r="U2395" t="s">
        <v>25862</v>
      </c>
      <c r="V2395">
        <f>-568.694622098123 -268.094880895346 -62.3654652721365</f>
        <v>-899.15496826560548</v>
      </c>
      <c r="W2395" t="s">
        <v>25863</v>
      </c>
      <c r="X2395" t="s">
        <v>25864</v>
      </c>
      <c r="Y2395" t="s">
        <v>25865</v>
      </c>
    </row>
    <row r="2396" spans="1:25" x14ac:dyDescent="0.3">
      <c r="A2396">
        <v>119750</v>
      </c>
      <c r="B2396" t="s">
        <v>25866</v>
      </c>
      <c r="C2396">
        <f>-627.778166074008 -204.881415012352 -65.4940988220758</f>
        <v>-898.15367990843583</v>
      </c>
      <c r="D2396">
        <f>-644.801914510811 -219.114530537612 -179.177077883268</f>
        <v>-1043.093522931691</v>
      </c>
      <c r="E2396">
        <f>-650.94005944937 -221.624957410241 -277.577747131406</f>
        <v>-1150.1427639910171</v>
      </c>
      <c r="F2396">
        <f>-653.53404395362 -220.393045929715 -366.628298299959</f>
        <v>-1240.5553881832939</v>
      </c>
      <c r="G2396">
        <f>-652.886292353565 -215.449818597761 -455.585458417062</f>
        <v>-1323.921569368388</v>
      </c>
      <c r="H2396">
        <f>-648.574647937651 -204.66482401868 -579.625354634319</f>
        <v>-1432.86482659065</v>
      </c>
      <c r="I2396">
        <f>-626.333613827435 -178.588208479973 -655.32475516398</f>
        <v>-1460.2465774713878</v>
      </c>
      <c r="J2396">
        <f>-667.740935620709 -187.778962624308 -523.761013469016</f>
        <v>-1379.280911714033</v>
      </c>
      <c r="K2396">
        <f>-757.608708714328 -84.431519259104 -511.649190771803</f>
        <v>-1353.6894187452349</v>
      </c>
      <c r="L2396" t="s">
        <v>25867</v>
      </c>
      <c r="M2396" t="s">
        <v>25868</v>
      </c>
      <c r="N2396">
        <f>-633.203048466977 -231.042637359184 -526.322203179329</f>
        <v>-1390.5678890054901</v>
      </c>
      <c r="O2396">
        <f>-550.37131120119 -338.889085693787 -506.239639213384</f>
        <v>-1395.500036108361</v>
      </c>
      <c r="P2396">
        <f>-488.071923736702 -401.68875940386 -225.586384306181</f>
        <v>-1115.347067446743</v>
      </c>
      <c r="Q2396">
        <f>-427.885285222366 -198.749070418536 -340.668788084964</f>
        <v>-967.30314372586599</v>
      </c>
      <c r="R2396">
        <f>-687.78307571939 -131.56563405124 -65.5837785688387</f>
        <v>-884.9324883394687</v>
      </c>
      <c r="S2396" t="s">
        <v>25869</v>
      </c>
      <c r="T2396" t="s">
        <v>25870</v>
      </c>
      <c r="U2396" t="s">
        <v>25871</v>
      </c>
      <c r="V2396">
        <f>-568.22795809031 -276.304904058134 -67.9836690318464</f>
        <v>-912.51653118029049</v>
      </c>
      <c r="W2396" t="s">
        <v>25872</v>
      </c>
      <c r="X2396" t="s">
        <v>25873</v>
      </c>
      <c r="Y2396" t="s">
        <v>25874</v>
      </c>
    </row>
    <row r="2397" spans="1:25" x14ac:dyDescent="0.3">
      <c r="A2397">
        <v>119800</v>
      </c>
      <c r="B2397" t="s">
        <v>25875</v>
      </c>
      <c r="C2397">
        <f>-632.197426854462 -236.115953918108 -73.8447990392393</f>
        <v>-942.15817981180942</v>
      </c>
      <c r="D2397">
        <f>-647.998328947859 -250.688050060611 -187.661259947951</f>
        <v>-1086.347638956421</v>
      </c>
      <c r="E2397">
        <f>-653.193396561108 -253.080891743147 -286.119134872966</f>
        <v>-1192.3934231772209</v>
      </c>
      <c r="F2397">
        <f>-654.959531245012 -251.594920117702 -375.186121618397</f>
        <v>-1281.7405729811112</v>
      </c>
      <c r="G2397">
        <f>-653.501008234886 -246.257228167465 -464.110865503221</f>
        <v>-1363.8691019055718</v>
      </c>
      <c r="H2397">
        <f>-648.066606306139 -234.783196119098 -588.044802360409</f>
        <v>-1470.8946047856459</v>
      </c>
      <c r="I2397">
        <f>-625.075083559794 -208.888469154477 -663.582103878062</f>
        <v>-1497.545656592333</v>
      </c>
      <c r="J2397">
        <f>-667.68109374475 -218.162258249791 -532.256566268201</f>
        <v>-1418.099918262742</v>
      </c>
      <c r="K2397">
        <f>-756.324322792721 -113.954374298305 -519.137375209422</f>
        <v>-1389.4160723004479</v>
      </c>
      <c r="L2397">
        <f>-677.936273614809 -14.5714312945452 -253.488066188055</f>
        <v>-945.99577109740915</v>
      </c>
      <c r="M2397" t="s">
        <v>25876</v>
      </c>
      <c r="N2397">
        <f>-633.23495492713 -261.502428347657 -534.758556390112</f>
        <v>-1429.495939664899</v>
      </c>
      <c r="O2397">
        <f>-550.045304020367 -369.09929762535 -514.387550337397</f>
        <v>-1433.5321519831141</v>
      </c>
      <c r="P2397">
        <f>-491.338712342606 -425.4284034234 -231.594822799612</f>
        <v>-1148.3619385656182</v>
      </c>
      <c r="Q2397">
        <f>-430.530024065975 -222.791761047744 -346.883755465859</f>
        <v>-1000.2055405795779</v>
      </c>
      <c r="R2397">
        <f>-693.682068623932 -161.779617014057 -74.7778615136938</f>
        <v>-930.2395471516827</v>
      </c>
      <c r="S2397" t="s">
        <v>25877</v>
      </c>
      <c r="T2397" t="s">
        <v>25878</v>
      </c>
      <c r="U2397" t="s">
        <v>25879</v>
      </c>
      <c r="V2397">
        <f>-572.263712935722 -311.920061036085 -74.6799650362456</f>
        <v>-958.86373900805245</v>
      </c>
      <c r="W2397" t="s">
        <v>25880</v>
      </c>
      <c r="X2397" t="s">
        <v>25881</v>
      </c>
      <c r="Y2397" t="s">
        <v>25882</v>
      </c>
    </row>
    <row r="2398" spans="1:25" x14ac:dyDescent="0.3">
      <c r="A2398">
        <v>119850</v>
      </c>
      <c r="B2398" t="s">
        <v>25883</v>
      </c>
      <c r="C2398">
        <f>-635.724194302796 -235.976091839879 -78.4384230414084</f>
        <v>-950.1387091840835</v>
      </c>
      <c r="D2398">
        <f>-650.211755785322 -250.537945273676 -192.430965037081</f>
        <v>-1093.180666096079</v>
      </c>
      <c r="E2398">
        <f>-654.926661693981 -252.854407873861 -290.91469127294</f>
        <v>-1198.695760840782</v>
      </c>
      <c r="F2398">
        <f>-656.514764488845 -251.275805676663 -379.983440246951</f>
        <v>-1287.7740104124591</v>
      </c>
      <c r="G2398">
        <f>-655.132394126793 -245.822234502518 -468.902365160256</f>
        <v>-1369.856993789567</v>
      </c>
      <c r="H2398">
        <f>-650.068311501493 -234.161908408385 -592.834629955361</f>
        <v>-1477.064849865239</v>
      </c>
      <c r="I2398">
        <f>-627.125161074421 -208.581186458282 -668.493553871195</f>
        <v>-1504.1999014038979</v>
      </c>
      <c r="J2398">
        <f>-669.528239577917 -217.634617616221 -536.964470332023</f>
        <v>-1424.127327526161</v>
      </c>
      <c r="K2398">
        <f>-757.713340163451 -113.267050981502 -523.277982974463</f>
        <v>-1394.2583741194162</v>
      </c>
      <c r="L2398">
        <f>-679.583616942182 -13.7551808125677 -257.60080219171</f>
        <v>-950.93959994645957</v>
      </c>
      <c r="M2398" t="s">
        <v>25884</v>
      </c>
      <c r="N2398">
        <f>-635.065234502421 -260.951523452761 -539.631829212391</f>
        <v>-1435.6485871675732</v>
      </c>
      <c r="O2398">
        <f>-551.977338751169 -368.796960908838 -519.435326490935</f>
        <v>-1440.2096261509421</v>
      </c>
      <c r="P2398">
        <f>-497.897951944111 -421.531589003447 -235.031134371926</f>
        <v>-1154.4606753194839</v>
      </c>
      <c r="Q2398">
        <f>-434.138062469046 -219.755102627207 -350.234436287775</f>
        <v>-1004.127601384028</v>
      </c>
      <c r="R2398">
        <f>-697.24671512627 -164.171747805412 -80.3984506936672</f>
        <v>-941.81691362534923</v>
      </c>
      <c r="S2398" t="s">
        <v>25885</v>
      </c>
      <c r="T2398" t="s">
        <v>25886</v>
      </c>
      <c r="U2398" t="s">
        <v>25887</v>
      </c>
      <c r="V2398">
        <f>-573.991141895763 -304.12139402139 -78.323245194276</f>
        <v>-956.43578111142904</v>
      </c>
      <c r="W2398" t="s">
        <v>25888</v>
      </c>
      <c r="X2398" t="s">
        <v>25889</v>
      </c>
      <c r="Y2398" t="s">
        <v>25890</v>
      </c>
    </row>
    <row r="2399" spans="1:25" x14ac:dyDescent="0.3">
      <c r="A2399">
        <v>119900</v>
      </c>
      <c r="B2399" t="s">
        <v>25891</v>
      </c>
      <c r="C2399">
        <f>-643.578753032699 -227.991271995558 -84.1777700547158</f>
        <v>-955.74779508297274</v>
      </c>
      <c r="D2399">
        <f>-656.615282695351 -241.434729540053 -198.482416312505</f>
        <v>-1096.5324285479089</v>
      </c>
      <c r="E2399">
        <f>-660.688100175754 -243.344706274065 -297.003511354723</f>
        <v>-1201.036317804542</v>
      </c>
      <c r="F2399">
        <f>-661.948285543869 -241.616382570106 -386.074788949731</f>
        <v>-1289.639457063706</v>
      </c>
      <c r="G2399">
        <f>-660.495068154315 -236.227341941975 -474.996446818171</f>
        <v>-1371.7188569144612</v>
      </c>
      <c r="H2399">
        <f>-655.604899431063 -224.876835569928 -598.96455461649</f>
        <v>-1479.4462896174809</v>
      </c>
      <c r="I2399">
        <f>-632.783533503771 -200.131152939212 -674.937279737444</f>
        <v>-1507.8519661804271</v>
      </c>
      <c r="J2399">
        <f>-675.000249321436 -208.220770833054 -543.110180569806</f>
        <v>-1426.3312007242957</v>
      </c>
      <c r="K2399">
        <f>-763.335776801626 -103.732151711232 -529.064500916673</f>
        <v>-1396.1324294295309</v>
      </c>
      <c r="L2399">
        <f>-685.994838745696 -2.9203153725291 -263.646973871176</f>
        <v>-952.56212798940112</v>
      </c>
      <c r="M2399" t="s">
        <v>25892</v>
      </c>
      <c r="N2399">
        <f>-640.51345760765 -251.522555600907 -545.714472463347</f>
        <v>-1437.750485671904</v>
      </c>
      <c r="O2399">
        <f>-557.325786811403 -358.915497733803 -524.917320403589</f>
        <v>-1441.1586049487951</v>
      </c>
      <c r="P2399">
        <f>-509.539291358855 -407.150307359554 -238.59395313754</f>
        <v>-1155.2835518559491</v>
      </c>
      <c r="Q2399">
        <f>-441.296194856108 -206.638070609392 -353.435543474935</f>
        <v>-1001.369808940435</v>
      </c>
      <c r="R2399">
        <f>-704.367583147923 -154.728369192485 -87.3915905200396</f>
        <v>-946.48754286044766</v>
      </c>
      <c r="S2399" t="s">
        <v>25893</v>
      </c>
      <c r="T2399" t="s">
        <v>25894</v>
      </c>
      <c r="U2399" t="s">
        <v>25895</v>
      </c>
      <c r="V2399">
        <f>-582.696676247886 -301.64581850986 -83.4297994513715</f>
        <v>-967.77229420911749</v>
      </c>
      <c r="W2399" t="s">
        <v>25896</v>
      </c>
      <c r="X2399" t="s">
        <v>25897</v>
      </c>
      <c r="Y2399" t="s">
        <v>25898</v>
      </c>
    </row>
    <row r="2400" spans="1:25" x14ac:dyDescent="0.3">
      <c r="A2400">
        <v>119950</v>
      </c>
      <c r="B2400" t="s">
        <v>25899</v>
      </c>
      <c r="C2400">
        <f>-645.800808518303 -225.39115385025 -85.6417482100896</f>
        <v>-956.83371057864269</v>
      </c>
      <c r="D2400">
        <f>-658.535889017681 -238.54990080374 -200.013483813504</f>
        <v>-1097.0992736349251</v>
      </c>
      <c r="E2400">
        <f>-662.308170259543 -240.570393837775 -298.544459469961</f>
        <v>-1201.423023567279</v>
      </c>
      <c r="F2400">
        <f>-663.28786397779 -239.079291559006 -387.623290293734</f>
        <v>-1289.99044583053</v>
      </c>
      <c r="G2400">
        <f>-661.547792724736 -234.063878103513 -476.561856215318</f>
        <v>-1372.173527043567</v>
      </c>
      <c r="H2400">
        <f>-656.253085010062 -223.375546739828 -600.572041853985</f>
        <v>-1480.200673603875</v>
      </c>
      <c r="I2400">
        <f>-633.329180405726 -199.19411748182 -676.695610027867</f>
        <v>-1509.2189079154132</v>
      </c>
      <c r="J2400">
        <f>-675.772637261327 -206.376081023354 -544.864785181806</f>
        <v>-1427.013503466487</v>
      </c>
      <c r="K2400">
        <f>-764.059220414834 -101.824829459531 -531.321943519874</f>
        <v>-1397.2059933942392</v>
      </c>
      <c r="L2400">
        <f>-688.266908470002 -0.934231824150174 -265.487882159433</f>
        <v>-954.68902245358527</v>
      </c>
      <c r="M2400" t="s">
        <v>25900</v>
      </c>
      <c r="N2400">
        <f>-641.393374199765 -249.781935043027 -547.137899495866</f>
        <v>-1438.313208738658</v>
      </c>
      <c r="O2400">
        <f>-558.294241824579 -357.058947832533 -525.501587937968</f>
        <v>-1440.8547775950801</v>
      </c>
      <c r="P2400">
        <f>-511.669581944421 -403.584409740957 -238.704189679612</f>
        <v>-1153.95818136499</v>
      </c>
      <c r="Q2400">
        <f>-440.891597347164 -203.722979834563 -353.145382213268</f>
        <v>-997.75995939499501</v>
      </c>
      <c r="R2400">
        <f>-706.532388304199 -151.540403462334 -89.1063243542746</f>
        <v>-947.17911612080763</v>
      </c>
      <c r="S2400" t="s">
        <v>25901</v>
      </c>
      <c r="T2400" t="s">
        <v>25902</v>
      </c>
      <c r="U2400" t="s">
        <v>25903</v>
      </c>
      <c r="V2400">
        <f>-583.871865078595 -300.605402717516 -85.1887545286809</f>
        <v>-969.66602232479181</v>
      </c>
      <c r="W2400" t="s">
        <v>25904</v>
      </c>
      <c r="X2400" t="s">
        <v>25905</v>
      </c>
      <c r="Y2400" t="s">
        <v>25906</v>
      </c>
    </row>
    <row r="2401" spans="1:25" x14ac:dyDescent="0.3">
      <c r="A2401">
        <v>120000</v>
      </c>
      <c r="B2401" t="s">
        <v>25907</v>
      </c>
      <c r="C2401">
        <f>-644.802602205615 -223.066987560748 -87.1490180405038</f>
        <v>-955.01860780686684</v>
      </c>
      <c r="D2401">
        <f>-658.474374519689 -235.817914554468 -201.458697852145</f>
        <v>-1095.7509869263019</v>
      </c>
      <c r="E2401">
        <f>-662.81941045417 -238.43944732914 -299.951932803947</f>
        <v>-1201.210790587257</v>
      </c>
      <c r="F2401">
        <f>-664.241742699415 -237.85905396088 -389.035461187738</f>
        <v>-1291.136257848033</v>
      </c>
      <c r="G2401">
        <f>-662.872713509281 -234.118929640476 -478.043313472722</f>
        <v>-1375.0349566224791</v>
      </c>
      <c r="H2401">
        <f>-658.026533531123 -225.588886492749 -602.238908128454</f>
        <v>-1485.8543281523262</v>
      </c>
      <c r="I2401">
        <f>-635.166327857188 -202.774704989008 -678.802279857928</f>
        <v>-1516.743312704124</v>
      </c>
      <c r="J2401">
        <f>-677.159499144881 -207.477607497292 -546.748242436784</f>
        <v>-1431.385349078957</v>
      </c>
      <c r="K2401">
        <f>-764.881861606141 -102.426562107763 -534.060818126451</f>
        <v>-1401.3692418403548</v>
      </c>
      <c r="L2401" t="s">
        <v>25908</v>
      </c>
      <c r="M2401" t="s">
        <v>25909</v>
      </c>
      <c r="N2401">
        <f>-643.158700614786 -251.20744898003 -548.424871935222</f>
        <v>-1442.7910215300381</v>
      </c>
      <c r="O2401">
        <f>-560.761137003946 -358.769397974572 -525.144787330114</f>
        <v>-1444.6753223086321</v>
      </c>
      <c r="P2401">
        <f>-515.619267936738 -400.822892958265 -237.420944575023</f>
        <v>-1153.8631054700259</v>
      </c>
      <c r="Q2401">
        <f>-439.169343978818 -202.12512686977 -350.22828286275</f>
        <v>-991.52275371133805</v>
      </c>
      <c r="R2401">
        <f>-705.820723569659 -148.02139060105 -89.833135958698</f>
        <v>-943.675250129407</v>
      </c>
      <c r="S2401" t="s">
        <v>25910</v>
      </c>
      <c r="T2401" t="s">
        <v>25911</v>
      </c>
      <c r="U2401" t="s">
        <v>25912</v>
      </c>
      <c r="V2401">
        <f>-583.896960941902 -299.418764895449 -86.6877850377705</f>
        <v>-970.00351087512149</v>
      </c>
      <c r="W2401" t="s">
        <v>25913</v>
      </c>
      <c r="X2401" t="s">
        <v>25914</v>
      </c>
      <c r="Y2401" t="s">
        <v>25915</v>
      </c>
    </row>
    <row r="2402" spans="1:25" x14ac:dyDescent="0.3">
      <c r="A2402">
        <v>120050</v>
      </c>
      <c r="B2402" t="s">
        <v>25916</v>
      </c>
      <c r="C2402">
        <f>-642.277301895619 -224.162517258656 -87.2376382141181</f>
        <v>-953.67745736839311</v>
      </c>
      <c r="D2402">
        <f>-656.667774138572 -237.107655945936 -201.437312891921</f>
        <v>-1095.2127429764291</v>
      </c>
      <c r="E2402">
        <f>-661.697946416542 -240.108275185134 -299.886967745345</f>
        <v>-1201.693189347021</v>
      </c>
      <c r="F2402">
        <f>-663.769143245399 -239.953223184746 -388.959554459981</f>
        <v>-1292.6819208901261</v>
      </c>
      <c r="G2402">
        <f>-663.077579760496 -236.721191067717 -477.995109326375</f>
        <v>-1377.7938801545879</v>
      </c>
      <c r="H2402">
        <f>-659.207914286773 -228.986292346846 -602.277068340701</f>
        <v>-1490.4712749743198</v>
      </c>
      <c r="I2402">
        <f>-636.606893540627 -206.746714515861 -679.086154712</f>
        <v>-1522.439762768488</v>
      </c>
      <c r="J2402">
        <f>-677.835828358806 -210.466733848479 -546.749383572832</f>
        <v>-1435.051945780117</v>
      </c>
      <c r="K2402">
        <f>-765.285670261128 -105.137121580412 -533.896232312022</f>
        <v>-1404.3190241535619</v>
      </c>
      <c r="L2402">
        <f>-695.830324022634 -2.52703241520862 -266.991162324121</f>
        <v>-965.34851876196365</v>
      </c>
      <c r="M2402" t="s">
        <v>25917</v>
      </c>
      <c r="N2402">
        <f>-643.985678884677 -254.31334859397 -548.424251746924</f>
        <v>-1446.7232792255709</v>
      </c>
      <c r="O2402">
        <f>-561.976549426271 -362.057967189559 -524.837176480397</f>
        <v>-1448.8716930962271</v>
      </c>
      <c r="P2402">
        <f>-517.587525277633 -402.775501646573 -236.804291630995</f>
        <v>-1157.1673185552011</v>
      </c>
      <c r="Q2402">
        <f>-438.752005573689 -204.373077361185 -348.483927644693</f>
        <v>-991.60901057956698</v>
      </c>
      <c r="R2402">
        <f>-702.175370730996 -148.852079517828 -89.5708810319827</f>
        <v>-940.59833128080663</v>
      </c>
      <c r="S2402" t="s">
        <v>25918</v>
      </c>
      <c r="T2402" t="s">
        <v>25919</v>
      </c>
      <c r="U2402" t="s">
        <v>25920</v>
      </c>
      <c r="V2402">
        <f>-581.746453653296 -300.75247620116 -86.8273210075461</f>
        <v>-969.3262508620021</v>
      </c>
      <c r="W2402" t="s">
        <v>25921</v>
      </c>
      <c r="X2402" t="s">
        <v>25922</v>
      </c>
      <c r="Y2402" t="s">
        <v>25923</v>
      </c>
    </row>
    <row r="2403" spans="1:25" x14ac:dyDescent="0.3">
      <c r="A2403">
        <v>120100</v>
      </c>
      <c r="B2403" t="s">
        <v>25924</v>
      </c>
      <c r="C2403">
        <f>-635.74549631259 -222.934022736014 -86.8425633022214</f>
        <v>-945.52208235082537</v>
      </c>
      <c r="D2403">
        <f>-651.507074876506 -237.429863987443 -200.674233576321</f>
        <v>-1089.6111724402699</v>
      </c>
      <c r="E2403">
        <f>-657.977441386105 -241.331852580372 -299.008307926833</f>
        <v>-1198.31760189331</v>
      </c>
      <c r="F2403">
        <f>-661.443610308985 -241.826396521906 -388.036330497169</f>
        <v>-1291.30633732806</v>
      </c>
      <c r="G2403">
        <f>-662.233613913585 -239.080802486953 -477.087169737486</f>
        <v>-1378.401586138024</v>
      </c>
      <c r="H2403">
        <f>-660.518601004281 -231.857729005963 -601.44836670941</f>
        <v>-1493.824696719654</v>
      </c>
      <c r="I2403">
        <f>-638.639202377346 -210.149381439722 -678.61745770842</f>
        <v>-1527.406041525488</v>
      </c>
      <c r="J2403">
        <f>-678.160679940352 -213.092622837471 -545.681695515576</f>
        <v>-1436.9349982933991</v>
      </c>
      <c r="K2403">
        <f>-765.214759680714 -107.717616783097 -531.044608125331</f>
        <v>-1403.9769845891419</v>
      </c>
      <c r="L2403">
        <f>-694.752851432615 -9.22436526302704 -262.855696118515</f>
        <v>-966.832912814157</v>
      </c>
      <c r="M2403" t="s">
        <v>25925</v>
      </c>
      <c r="N2403">
        <f>-644.385927272514 -256.979878822608 -547.76480968276</f>
        <v>-1449.130615777882</v>
      </c>
      <c r="O2403">
        <f>-562.323964641326 -364.973129044157 -525.199710445531</f>
        <v>-1452.496804131014</v>
      </c>
      <c r="P2403">
        <f>-519.302729361995 -405.633990813851 -236.95131644308</f>
        <v>-1161.888036618926</v>
      </c>
      <c r="Q2403">
        <f>-438.510646762911 -206.130246446989 -345.218506377239</f>
        <v>-989.85939958713902</v>
      </c>
      <c r="R2403">
        <f>-696.730724649886 -146.95189023851 -89.2495169270067</f>
        <v>-932.93213181540273</v>
      </c>
      <c r="S2403" t="s">
        <v>25926</v>
      </c>
      <c r="T2403" t="s">
        <v>25927</v>
      </c>
      <c r="U2403" t="s">
        <v>25928</v>
      </c>
      <c r="V2403">
        <f>-574.902121960089 -298.917933846366 -86.583136095344</f>
        <v>-960.403191901799</v>
      </c>
      <c r="W2403" t="s">
        <v>25929</v>
      </c>
      <c r="X2403" t="s">
        <v>25930</v>
      </c>
      <c r="Y2403" t="s">
        <v>25931</v>
      </c>
    </row>
    <row r="2404" spans="1:25" x14ac:dyDescent="0.3">
      <c r="A2404">
        <v>120150</v>
      </c>
      <c r="B2404" t="s">
        <v>25932</v>
      </c>
      <c r="C2404">
        <f>-633.99220978047 -218.601009978254 -87.0915894431739</f>
        <v>-939.68480920189791</v>
      </c>
      <c r="D2404">
        <f>-650.476485562069 -233.912401287276 -200.714008211254</f>
        <v>-1085.1028950605989</v>
      </c>
      <c r="E2404">
        <f>-657.745943334302 -238.212058799646 -298.975508544281</f>
        <v>-1194.9335106782289</v>
      </c>
      <c r="F2404">
        <f>-662.001203241327 -238.946606037795 -387.967533504612</f>
        <v>-1288.9153427837339</v>
      </c>
      <c r="G2404">
        <f>-663.646036510479 -236.319952981818 -477.010524221565</f>
        <v>-1376.976513713862</v>
      </c>
      <c r="H2404">
        <f>-663.192452153177 -229.136284131283 -601.384962211061</f>
        <v>-1493.7136984955209</v>
      </c>
      <c r="I2404">
        <f>-641.838458320037 -207.410280703579 -678.69606041947</f>
        <v>-1527.9447994430861</v>
      </c>
      <c r="J2404">
        <f>-680.351488278587 -210.417723153174 -545.451983533053</f>
        <v>-1436.221194964814</v>
      </c>
      <c r="K2404">
        <f>-767.374441536635 -105.254106017461 -529.597197857417</f>
        <v>-1402.2257454115129</v>
      </c>
      <c r="L2404">
        <f>-695.700242907635 -9.53170107046253 -260.726768797308</f>
        <v>-965.9587127754055</v>
      </c>
      <c r="M2404" t="s">
        <v>25933</v>
      </c>
      <c r="N2404">
        <f>-646.432588674814 -254.177209249754 -547.855793101143</f>
        <v>-1448.4655910257111</v>
      </c>
      <c r="O2404">
        <f>-563.917595402355 -362.040777252452 -526.218961891836</f>
        <v>-1452.1773345466431</v>
      </c>
      <c r="P2404">
        <f>-519.825521989412 -403.586059438949 -238.258858958948</f>
        <v>-1161.6704403873089</v>
      </c>
      <c r="Q2404">
        <f>-439.777550914607 -202.475009639105 -344.077335311777</f>
        <v>-986.32989586548899</v>
      </c>
      <c r="R2404">
        <f>-695.45159017709 -142.99390430989 -89.6964113076326</f>
        <v>-928.14190579461263</v>
      </c>
      <c r="S2404" t="s">
        <v>25934</v>
      </c>
      <c r="T2404" t="s">
        <v>25935</v>
      </c>
      <c r="U2404" t="s">
        <v>25936</v>
      </c>
      <c r="V2404">
        <f>-572.806640897825 -293.694929545961 -86.9954191385259</f>
        <v>-953.49698958231193</v>
      </c>
      <c r="W2404" t="s">
        <v>25937</v>
      </c>
      <c r="X2404" t="s">
        <v>25938</v>
      </c>
      <c r="Y2404" t="s">
        <v>25939</v>
      </c>
    </row>
    <row r="2405" spans="1:25" x14ac:dyDescent="0.3">
      <c r="A2405">
        <v>120200</v>
      </c>
      <c r="B2405" t="s">
        <v>25940</v>
      </c>
      <c r="C2405">
        <f>-627.350983570092 -211.885993081844 -88.1443024658133</f>
        <v>-927.38127911774927</v>
      </c>
      <c r="D2405">
        <f>-645.101709101144 -228.828953752984 -201.343463233202</f>
        <v>-1075.2741260873299</v>
      </c>
      <c r="E2405">
        <f>-653.874801242878 -233.996364333774 -299.440336303333</f>
        <v>-1187.3115018799849</v>
      </c>
      <c r="F2405">
        <f>-659.655657818233 -235.297487947848 -388.33993025373</f>
        <v>-1283.293076019811</v>
      </c>
      <c r="G2405">
        <f>-662.994690249901 -233.013779949201 -477.344795064826</f>
        <v>-1373.3532652639281</v>
      </c>
      <c r="H2405">
        <f>-665.086450418062 -226.07117022187 -601.716165670702</f>
        <v>-1492.8737863106339</v>
      </c>
      <c r="I2405">
        <f>-644.902190805125 -204.13371099277 -679.281488458156</f>
        <v>-1528.3173902560511</v>
      </c>
      <c r="J2405">
        <f>-681.30189526961 -207.403111631327 -545.485769494441</f>
        <v>-1434.190776395378</v>
      </c>
      <c r="K2405">
        <f>-768.625087013507 -102.78291839042 -527.37436588531</f>
        <v>-1398.7823712892371</v>
      </c>
      <c r="L2405">
        <f>-694.7643548478 -11.5174672542512 -257.547723906225</f>
        <v>-963.82954600827611</v>
      </c>
      <c r="M2405" t="s">
        <v>25941</v>
      </c>
      <c r="N2405">
        <f>-647.030076686857 -250.84952425164 -548.487348441883</f>
        <v>-1446.36694938038</v>
      </c>
      <c r="O2405">
        <f>-563.47316296693 -358.120786806633 -528.38124219678</f>
        <v>-1449.9751919703431</v>
      </c>
      <c r="P2405">
        <f>-513.112379966197 -401.541722551835 -241.728846737531</f>
        <v>-1156.3829492555631</v>
      </c>
      <c r="Q2405">
        <f>-436.050647623324 -196.756608232251 -342.602047859474</f>
        <v>-975.40930371504896</v>
      </c>
      <c r="R2405">
        <f>-686.527964027296 -137.615739551813 -90.5674573118823</f>
        <v>-914.71116089099132</v>
      </c>
      <c r="S2405" t="s">
        <v>25942</v>
      </c>
      <c r="T2405" t="s">
        <v>25943</v>
      </c>
      <c r="U2405" t="s">
        <v>25944</v>
      </c>
      <c r="V2405">
        <f>-567.237813588597 -286.943333909926 -87.7470306432567</f>
        <v>-941.92817814177965</v>
      </c>
      <c r="W2405" t="s">
        <v>25945</v>
      </c>
      <c r="X2405" t="s">
        <v>25946</v>
      </c>
      <c r="Y2405" t="s">
        <v>25947</v>
      </c>
    </row>
    <row r="2406" spans="1:25" x14ac:dyDescent="0.3">
      <c r="A2406">
        <v>120250</v>
      </c>
      <c r="B2406" t="s">
        <v>25948</v>
      </c>
      <c r="C2406">
        <f>-625.552129234407 -208.892559895582 -88.6931464339181</f>
        <v>-923.13783556390706</v>
      </c>
      <c r="D2406">
        <f>-643.828238369302 -226.380601537051 -201.725815457114</f>
        <v>-1071.9346553634671</v>
      </c>
      <c r="E2406">
        <f>-653.200409341042 -231.807449167663 -299.753147115566</f>
        <v>-1184.7610056242711</v>
      </c>
      <c r="F2406">
        <f>-659.584010379411 -233.256476213147 -388.609130951123</f>
        <v>-1281.4496175436811</v>
      </c>
      <c r="G2406">
        <f>-663.588309307601 -231.031649811314 -477.588090460017</f>
        <v>-1372.2080495789319</v>
      </c>
      <c r="H2406">
        <f>-666.67656938495 -224.076396337702 -601.938022934061</f>
        <v>-1492.690988656713</v>
      </c>
      <c r="I2406">
        <f>-647.019567057362 -201.968976927542 -679.59035932856</f>
        <v>-1528.578903313464</v>
      </c>
      <c r="J2406">
        <f>-682.506308568259 -205.465607592914 -545.578709129427</f>
        <v>-1433.5506252906</v>
      </c>
      <c r="K2406">
        <f>-769.857054632305 -101.074573748761 -526.490630015357</f>
        <v>-1397.4222583964231</v>
      </c>
      <c r="L2406">
        <f>-695.094766993323 -11.3249738821512 -256.404104171854</f>
        <v>-962.82384504732818</v>
      </c>
      <c r="M2406" t="s">
        <v>25949</v>
      </c>
      <c r="N2406">
        <f>-648.128817298721 -248.808502681619 -548.856894538718</f>
        <v>-1445.794214519058</v>
      </c>
      <c r="O2406">
        <f>-564.05271346179 -355.831780192143 -529.426820428836</f>
        <v>-1449.3113140827691</v>
      </c>
      <c r="P2406">
        <f>-510.204208984375 -400.566375200267 -243.611607432906</f>
        <v>-1154.382191617548</v>
      </c>
      <c r="Q2406">
        <f>-435.285137004784 -193.587273996658 -341.579290313216</f>
        <v>-970.45170131465807</v>
      </c>
      <c r="R2406">
        <f>-685.672834877195 -134.658726056054 -91.1858624481114</f>
        <v>-911.51742338136035</v>
      </c>
      <c r="S2406" t="s">
        <v>25950</v>
      </c>
      <c r="T2406" t="s">
        <v>25951</v>
      </c>
      <c r="U2406" t="s">
        <v>25952</v>
      </c>
      <c r="V2406">
        <f>-565.619185084102 -282.888664215278 -87.9918263093102</f>
        <v>-936.49967560869027</v>
      </c>
      <c r="W2406" t="s">
        <v>25953</v>
      </c>
      <c r="X2406" t="s">
        <v>25954</v>
      </c>
      <c r="Y2406" t="s">
        <v>25955</v>
      </c>
    </row>
    <row r="2407" spans="1:25" x14ac:dyDescent="0.3">
      <c r="A2407">
        <v>120300</v>
      </c>
      <c r="B2407" t="s">
        <v>25956</v>
      </c>
      <c r="C2407">
        <f>-627.227159510388 -202.562311575877 -89.6730716501311</f>
        <v>-919.46254273639602</v>
      </c>
      <c r="D2407">
        <f>-646.283647134509 -220.874555627312 -202.44606195044</f>
        <v>-1069.6042647122611</v>
      </c>
      <c r="E2407">
        <f>-656.637097187864 -226.452317446035 -300.366144419222</f>
        <v>-1183.4555590531209</v>
      </c>
      <c r="F2407">
        <f>-664.030099963696 -227.811900986204 -389.145299913789</f>
        <v>-1280.9873008636891</v>
      </c>
      <c r="G2407">
        <f>-669.164822417824 -225.270606885713 -478.057663666559</f>
        <v>-1372.4930929700959</v>
      </c>
      <c r="H2407">
        <f>-673.958734250139 -217.634578451089 -602.313543934097</f>
        <v>-1493.9068566353249</v>
      </c>
      <c r="I2407">
        <f>-655.22010806053 -195.13208120436 -680.079422341137</f>
        <v>-1530.4316116060272</v>
      </c>
      <c r="J2407">
        <f>-689.027692002049 -199.34498662245 -545.641495109143</f>
        <v>-1434.0141737336421</v>
      </c>
      <c r="K2407">
        <f>-775.991616927042 -94.9944132124372 -524.57622458285</f>
        <v>-1395.5622547223293</v>
      </c>
      <c r="L2407">
        <f>-698.987498117891 -8.80691144020102 -253.959728197409</f>
        <v>-961.75413775550101</v>
      </c>
      <c r="M2407" t="s">
        <v>25957</v>
      </c>
      <c r="N2407">
        <f>-654.670592605161 -242.64467671242 -549.627940340149</f>
        <v>-1446.94320965773</v>
      </c>
      <c r="O2407">
        <f>-570.158564842637 -349.587396330283 -531.80024344519</f>
        <v>-1451.5462046181101</v>
      </c>
      <c r="P2407">
        <f>-510.791235460861 -396.580041606409 -247.444014937141</f>
        <v>-1154.815292004411</v>
      </c>
      <c r="Q2407">
        <f>-438.656202127828 -186.187965538146 -340.086031149415</f>
        <v>-964.93019881538908</v>
      </c>
      <c r="R2407">
        <f>-689.80497754925 -127.307926369439 -92.530400952841</f>
        <v>-909.64330487152995</v>
      </c>
      <c r="S2407" t="s">
        <v>25958</v>
      </c>
      <c r="T2407" t="s">
        <v>25959</v>
      </c>
      <c r="U2407" t="s">
        <v>25960</v>
      </c>
      <c r="V2407">
        <f>-565.807894149681 -278.160919418644 -88.7154626234448</f>
        <v>-932.68427619176975</v>
      </c>
      <c r="W2407" t="s">
        <v>25961</v>
      </c>
      <c r="X2407" t="s">
        <v>25962</v>
      </c>
      <c r="Y2407" t="s">
        <v>25963</v>
      </c>
    </row>
    <row r="2408" spans="1:25" x14ac:dyDescent="0.3">
      <c r="A2408">
        <v>120350</v>
      </c>
      <c r="B2408" t="s">
        <v>25964</v>
      </c>
      <c r="C2408">
        <f>-628.421466622643 -199.742118395107 -89.9706347336545</f>
        <v>-918.13421975140454</v>
      </c>
      <c r="D2408">
        <f>-647.958659543604 -218.368012348434 -202.60988006598</f>
        <v>-1068.9365519580181</v>
      </c>
      <c r="E2408">
        <f>-658.842703142592 -223.948907324035 -300.472247822564</f>
        <v>-1183.2638582891909</v>
      </c>
      <c r="F2408">
        <f>-666.760455383038 -225.203207400887 -389.20778016722</f>
        <v>-1281.1714429511449</v>
      </c>
      <c r="G2408">
        <f>-672.463487640901 -222.448960522926 -478.079215464483</f>
        <v>-1372.9916636283101</v>
      </c>
      <c r="H2408">
        <f>-678.096034217595 -214.402626308747 -602.273900086842</f>
        <v>-1494.7725606131839</v>
      </c>
      <c r="I2408">
        <f>-659.725819919352 -191.769084756963 -680.089728755217</f>
        <v>-1531.584633431532</v>
      </c>
      <c r="J2408">
        <f>-692.754651288525 -196.278844237426 -545.441088178043</f>
        <v>-1434.4745837039941</v>
      </c>
      <c r="K2408">
        <f>-779.35583771179 -91.8523654578594 -523.326269938734</f>
        <v>-1394.5344731083833</v>
      </c>
      <c r="L2408">
        <f>-701.017243783691 -7.35464723614086 -252.55985982374</f>
        <v>-960.93175084357188</v>
      </c>
      <c r="M2408" t="s">
        <v>25965</v>
      </c>
      <c r="N2408">
        <f>-658.480267190768 -239.607953841599 -549.802808710027</f>
        <v>-1447.891029742394</v>
      </c>
      <c r="O2408">
        <f>-573.957097075494 -346.694292222206 -532.860740855693</f>
        <v>-1453.5121301533932</v>
      </c>
      <c r="P2408">
        <f>-512.124059331963 -394.9949413106 -249.25016222994</f>
        <v>-1156.369162872503</v>
      </c>
      <c r="Q2408">
        <f>-441.206344222101 -183.107016904219 -339.389142939239</f>
        <v>-963.70250406555897</v>
      </c>
      <c r="R2408">
        <f>-691.37821927902 -123.926656131881 -92.894947891622</f>
        <v>-908.19982330252299</v>
      </c>
      <c r="S2408" t="s">
        <v>25966</v>
      </c>
      <c r="T2408" t="s">
        <v>25967</v>
      </c>
      <c r="U2408" t="s">
        <v>25968</v>
      </c>
      <c r="V2408">
        <f>-566.142971857149 -275.675724020201 -89.0704870853829</f>
        <v>-930.88918296273278</v>
      </c>
      <c r="W2408" t="s">
        <v>25969</v>
      </c>
      <c r="X2408" t="s">
        <v>25970</v>
      </c>
      <c r="Y2408" t="s">
        <v>25971</v>
      </c>
    </row>
    <row r="2409" spans="1:25" x14ac:dyDescent="0.3">
      <c r="A2409">
        <v>120400</v>
      </c>
      <c r="B2409" t="s">
        <v>25972</v>
      </c>
      <c r="C2409">
        <f>-629.494417491532 -194.080460883678 -90.285479206575</f>
        <v>-913.86035758178502</v>
      </c>
      <c r="D2409">
        <f>-649.887984479559 -213.153860713042 -202.697733103901</f>
        <v>-1065.739578296502</v>
      </c>
      <c r="E2409">
        <f>-661.692084915579 -218.729714764132 -300.453788708825</f>
        <v>-1180.875588388536</v>
      </c>
      <c r="F2409">
        <f>-670.512395761395 -219.820504582284 -389.1063048181</f>
        <v>-1279.439205161779</v>
      </c>
      <c r="G2409">
        <f>-677.185079116953 -216.745168528677 -477.89952524239</f>
        <v>-1371.82977288802</v>
      </c>
      <c r="H2409">
        <f>-684.240550519619 -208.085610428783 -601.980408281912</f>
        <v>-1494.3065692303139</v>
      </c>
      <c r="I2409">
        <f>-666.390278680216 -185.245306289808 -679.856669460387</f>
        <v>-1531.4922544304111</v>
      </c>
      <c r="J2409">
        <f>-698.137019622998 -190.157412537985 -544.894667644818</f>
        <v>-1433.1890998058011</v>
      </c>
      <c r="K2409">
        <f>-783.874997111649 -85.3970568696798 -520.920567158125</f>
        <v>-1390.1926211394539</v>
      </c>
      <c r="L2409">
        <f>-702.899706991602 -4.71727889108342 -249.765771123949</f>
        <v>-957.38275700663439</v>
      </c>
      <c r="M2409" t="s">
        <v>25973</v>
      </c>
      <c r="N2409">
        <f>-664.134601288456 -233.635195360029 -549.862347509707</f>
        <v>-1447.632144158192</v>
      </c>
      <c r="O2409">
        <f>-579.98644597543 -341.227678716469 -534.406811434345</f>
        <v>-1455.620936126244</v>
      </c>
      <c r="P2409">
        <f>-512.415960899408 -393.346250577795 -252.788153899471</f>
        <v>-1158.5503653766741</v>
      </c>
      <c r="Q2409">
        <f>-444.872177097929 -178.326453982256 -337.965583906222</f>
        <v>-961.16421498640693</v>
      </c>
      <c r="R2409">
        <f>-691.698439401217 -118.18904757511 -93.1693440550832</f>
        <v>-903.05683103141018</v>
      </c>
      <c r="S2409" t="s">
        <v>25974</v>
      </c>
      <c r="T2409" t="s">
        <v>25975</v>
      </c>
      <c r="U2409" t="s">
        <v>25976</v>
      </c>
      <c r="V2409">
        <f>-567.025862593684 -270.350225178439 -89.3022715225011</f>
        <v>-926.6783592946241</v>
      </c>
      <c r="W2409" t="s">
        <v>25977</v>
      </c>
      <c r="X2409" t="s">
        <v>25978</v>
      </c>
      <c r="Y2409" t="s">
        <v>25979</v>
      </c>
    </row>
    <row r="2410" spans="1:25" x14ac:dyDescent="0.3">
      <c r="A2410">
        <v>120450</v>
      </c>
      <c r="B2410" t="s">
        <v>25980</v>
      </c>
      <c r="C2410">
        <f>-629.106465708025 -191.690674639406 -90.3546260843752</f>
        <v>-911.15176643180621</v>
      </c>
      <c r="D2410">
        <f>-649.823722893799 -210.986248746131 -202.669811567149</f>
        <v>-1063.479783207079</v>
      </c>
      <c r="E2410">
        <f>-662.021619145056 -216.562888519916 -300.377388339529</f>
        <v>-1178.9618960045009</v>
      </c>
      <c r="F2410">
        <f>-671.240818401311 -217.577705424046 -388.99008584215</f>
        <v>-1277.808609667507</v>
      </c>
      <c r="G2410">
        <f>-678.35253802234 -214.351101610785 -477.74404508871</f>
        <v>-1370.447684721835</v>
      </c>
      <c r="H2410">
        <f>-686.061230277759 -205.402103980662 -601.765427974857</f>
        <v>-1493.2287622332778</v>
      </c>
      <c r="I2410">
        <f>-668.417268005147 -182.442348684217 -679.653524164908</f>
        <v>-1530.513140854272</v>
      </c>
      <c r="J2410">
        <f>-699.590834572287 -187.555754629826 -544.566005799334</f>
        <v>-1431.712595001447</v>
      </c>
      <c r="K2410">
        <f>-784.813839414882 -82.5887236626137 -519.786068151648</f>
        <v>-1387.1886312291435</v>
      </c>
      <c r="L2410">
        <f>-702.953663266534 -3.76302454837673 -248.351674776086</f>
        <v>-955.0683625909968</v>
      </c>
      <c r="M2410" t="s">
        <v>25981</v>
      </c>
      <c r="N2410">
        <f>-665.747102749173 -231.124485198833 -549.813412795826</f>
        <v>-1446.685000743832</v>
      </c>
      <c r="O2410">
        <f>-581.845333186413 -339.028182775459 -535.063638433671</f>
        <v>-1455.9371543955431</v>
      </c>
      <c r="P2410">
        <f>-511.396483887861 -393.678649503653 -254.632740558416</f>
        <v>-1159.70787394993</v>
      </c>
      <c r="Q2410">
        <f>-445.595555272184 -177.159475135296 -337.340418108045</f>
        <v>-960.09544851552505</v>
      </c>
      <c r="R2410">
        <f>-690.945853781075 -115.853433293371 -93.169758845789</f>
        <v>-899.96904592023509</v>
      </c>
      <c r="S2410" t="s">
        <v>25982</v>
      </c>
      <c r="T2410" t="s">
        <v>25983</v>
      </c>
      <c r="U2410" t="s">
        <v>25984</v>
      </c>
      <c r="V2410">
        <f>-566.936526301943 -267.943013585728 -89.361226154095</f>
        <v>-924.24076604176594</v>
      </c>
      <c r="W2410" t="s">
        <v>25985</v>
      </c>
      <c r="X2410" t="s">
        <v>25986</v>
      </c>
      <c r="Y2410" t="s">
        <v>25987</v>
      </c>
    </row>
    <row r="2411" spans="1:25" x14ac:dyDescent="0.3">
      <c r="A2411">
        <v>120500</v>
      </c>
      <c r="B2411" t="s">
        <v>25988</v>
      </c>
      <c r="C2411">
        <f>-628.711350764896 -187.388801517997 -90.156879214769</f>
        <v>-906.25703149766196</v>
      </c>
      <c r="D2411">
        <f>-650.026741478791 -206.920249943992 -202.319315260275</f>
        <v>-1059.266306683058</v>
      </c>
      <c r="E2411">
        <f>-662.965473441161 -212.320211963534 -299.941417743843</f>
        <v>-1175.2271031485379</v>
      </c>
      <c r="F2411">
        <f>-672.939885540923 -213.022382189128 -388.47536768362</f>
        <v>-1274.4376354136712</v>
      </c>
      <c r="G2411">
        <f>-680.887440426446 -209.33200384087 -477.140210917951</f>
        <v>-1367.359655185267</v>
      </c>
      <c r="H2411">
        <f>-689.845291771479 -199.577816770131 -601.016886554609</f>
        <v>-1490.4399950962188</v>
      </c>
      <c r="I2411">
        <f>-672.650490555468 -176.309041526788 -678.913814983699</f>
        <v>-1527.8733470659549</v>
      </c>
      <c r="J2411">
        <f>-702.704607317732 -182.032104481952 -543.570368499296</f>
        <v>-1428.3070802989801</v>
      </c>
      <c r="K2411">
        <f>-787.13929106418 -76.8188893554531 -517.152670570767</f>
        <v>-1381.1108509904002</v>
      </c>
      <c r="L2411">
        <f>-703.869739310778 -1.85782177194005 -245.052988525315</f>
        <v>-950.78054960803297</v>
      </c>
      <c r="M2411" t="s">
        <v>25989</v>
      </c>
      <c r="N2411">
        <f>-669.102216487125 -225.708214327509 -549.439375119004</f>
        <v>-1444.2498059336381</v>
      </c>
      <c r="O2411">
        <f>-585.629193704006 -334.13124195447 -536.196414463783</f>
        <v>-1455.9568501222589</v>
      </c>
      <c r="P2411">
        <f>-510.375013282176 -394.402397748534 -258.175813598768</f>
        <v>-1162.953224629478</v>
      </c>
      <c r="Q2411">
        <f>-447.761052427897 -175.108639553996 -335.897269884998</f>
        <v>-958.76696186689105</v>
      </c>
      <c r="R2411">
        <f>-691.059422484533 -111.047882036118 -92.9234643447415</f>
        <v>-895.03076886539259</v>
      </c>
      <c r="S2411" t="s">
        <v>25990</v>
      </c>
      <c r="T2411" t="s">
        <v>25991</v>
      </c>
      <c r="U2411" t="s">
        <v>25992</v>
      </c>
      <c r="V2411">
        <f>-566.511130431868 -263.856957519516 -89.2048423768013</f>
        <v>-919.57293032818529</v>
      </c>
      <c r="W2411" t="s">
        <v>25993</v>
      </c>
      <c r="X2411" t="s">
        <v>25994</v>
      </c>
      <c r="Y2411" t="s">
        <v>25995</v>
      </c>
    </row>
    <row r="2412" spans="1:25" x14ac:dyDescent="0.3">
      <c r="A2412">
        <v>120550</v>
      </c>
      <c r="B2412" t="s">
        <v>25996</v>
      </c>
      <c r="C2412">
        <f>-629.093368317088 -185.295494663952 -89.9683533083271</f>
        <v>-904.3572162893671</v>
      </c>
      <c r="D2412">
        <f>-650.67466148481 -205.021188656594 -202.045891027622</f>
        <v>-1057.741741169026</v>
      </c>
      <c r="E2412">
        <f>-663.929783594617 -210.329678025078 -299.630580713073</f>
        <v>-1173.890042332768</v>
      </c>
      <c r="F2412">
        <f>-674.2224017592 -210.844709943602 -388.129389811882</f>
        <v>-1273.1965015146839</v>
      </c>
      <c r="G2412">
        <f>-682.518615657458 -206.863193257156 -476.749815032047</f>
        <v>-1366.131623946661</v>
      </c>
      <c r="H2412">
        <f>-691.994035159786 -196.593924826439 -600.546204957552</f>
        <v>-1489.134164943777</v>
      </c>
      <c r="I2412">
        <f>-675.017133596681 -173.14974062351 -678.438335378438</f>
        <v>-1526.6052095986288</v>
      </c>
      <c r="J2412">
        <f>-704.588656894998 -179.268678144337 -542.974286242099</f>
        <v>-1426.8316212814341</v>
      </c>
      <c r="K2412">
        <f>-788.71443129711 -74.0356542933368 -515.716751993454</f>
        <v>-1378.4668375839008</v>
      </c>
      <c r="L2412">
        <f>-705.111898953915 -1.11004235203927 -243.166287195872</f>
        <v>-949.38822850182623</v>
      </c>
      <c r="M2412" t="s">
        <v>25997</v>
      </c>
      <c r="N2412">
        <f>-671.060134229619 -222.957205936317 -549.164677371323</f>
        <v>-1443.1820175372591</v>
      </c>
      <c r="O2412">
        <f>-587.706360971603 -331.571053944435 -536.702059600992</f>
        <v>-1455.97947451703</v>
      </c>
      <c r="P2412">
        <f>-511.065135166066 -394.297790639892 -259.605153981901</f>
        <v>-1164.9680797878591</v>
      </c>
      <c r="Q2412">
        <f>-449.351891353446 -173.877513886182 -334.81987892592</f>
        <v>-958.04928416554799</v>
      </c>
      <c r="R2412">
        <f>-691.805614205329 -108.628492403377 -92.7599248024194</f>
        <v>-893.19403141112537</v>
      </c>
      <c r="S2412" t="s">
        <v>25998</v>
      </c>
      <c r="T2412" t="s">
        <v>25999</v>
      </c>
      <c r="U2412" t="s">
        <v>26000</v>
      </c>
      <c r="V2412">
        <f>-566.631144128298 -262.250831044449 -89.0749744187796</f>
        <v>-917.95694959152661</v>
      </c>
      <c r="W2412" t="s">
        <v>26001</v>
      </c>
      <c r="X2412" t="s">
        <v>26002</v>
      </c>
      <c r="Y2412" t="s">
        <v>26003</v>
      </c>
    </row>
    <row r="2413" spans="1:25" x14ac:dyDescent="0.3">
      <c r="A2413">
        <v>120600</v>
      </c>
      <c r="B2413" t="s">
        <v>26004</v>
      </c>
      <c r="C2413">
        <f>-629.628636742218 -182.61865267209 -89.594205411986</f>
        <v>-901.84149482629391</v>
      </c>
      <c r="D2413">
        <f>-651.857436473978 -202.727308004747 -201.477023411229</f>
        <v>-1056.0617678899541</v>
      </c>
      <c r="E2413">
        <f>-665.660879305396 -207.885618055193 -298.993681721401</f>
        <v>-1172.5401790819901</v>
      </c>
      <c r="F2413">
        <f>-676.444761686865 -208.06824498425 -387.435300193221</f>
        <v>-1271.948306864336</v>
      </c>
      <c r="G2413">
        <f>-685.226185555282 -203.558224030586 -475.983495842897</f>
        <v>-1364.7679054287651</v>
      </c>
      <c r="H2413">
        <f>-695.372566218259 -192.345301461252 -599.644833764919</f>
        <v>-1487.3627014444301</v>
      </c>
      <c r="I2413">
        <f>-678.852687727657 -168.600457193855 -677.544095811745</f>
        <v>-1524.9972407332571</v>
      </c>
      <c r="J2413">
        <f>-707.615692949739 -175.430185697535 -541.875540941784</f>
        <v>-1424.9214195890581</v>
      </c>
      <c r="K2413">
        <f>-791.224941958296 -70.1544699472319 -513.183386145439</f>
        <v>-1374.5627980509669</v>
      </c>
      <c r="L2413">
        <f>-706.83095957942 -1.01119704617895 -239.892212978141</f>
        <v>-947.73436960373988</v>
      </c>
      <c r="M2413" t="s">
        <v>26005</v>
      </c>
      <c r="N2413">
        <f>-674.199572265082 -219.128944655877 -548.579680634526</f>
        <v>-1441.908197555485</v>
      </c>
      <c r="O2413">
        <f>-591.09623834911 -328.054706318692 -537.404370357854</f>
        <v>-1456.555315025656</v>
      </c>
      <c r="P2413">
        <f>-513.12932020153 -394.864216455091 -261.634765301581</f>
        <v>-1169.628301958202</v>
      </c>
      <c r="Q2413">
        <f>-451.818995790221 -172.998442102515 -332.821004516164</f>
        <v>-957.63844240890012</v>
      </c>
      <c r="R2413">
        <f>-692.557886775358 -105.527606536376 -92.2422952428365</f>
        <v>-890.32778855457047</v>
      </c>
      <c r="S2413" t="s">
        <v>26006</v>
      </c>
      <c r="T2413" t="s">
        <v>26007</v>
      </c>
      <c r="U2413" t="s">
        <v>26008</v>
      </c>
      <c r="V2413">
        <f>-566.906194764856 -260.360839339704 -88.8933478771322</f>
        <v>-916.16038198169224</v>
      </c>
      <c r="W2413" t="s">
        <v>26009</v>
      </c>
      <c r="X2413" t="s">
        <v>26010</v>
      </c>
      <c r="Y2413" t="s">
        <v>26011</v>
      </c>
    </row>
    <row r="2414" spans="1:25" x14ac:dyDescent="0.3">
      <c r="A2414">
        <v>120650</v>
      </c>
      <c r="B2414" t="s">
        <v>26012</v>
      </c>
      <c r="C2414">
        <f>-629.561419777177 -181.575045542781 -89.4025935312831</f>
        <v>-900.53905885124107</v>
      </c>
      <c r="D2414">
        <f>-651.984451793919 -201.765084599502 -201.231919512403</f>
        <v>-1054.9814559058241</v>
      </c>
      <c r="E2414">
        <f>-665.954995233418 -206.840773346334 -298.729116693039</f>
        <v>-1171.5248852727909</v>
      </c>
      <c r="F2414">
        <f>-676.89009767701 -206.885535308444 -387.15244447377</f>
        <v>-1270.9280774592239</v>
      </c>
      <c r="G2414">
        <f>-685.822184867377 -202.174947647296 -475.675102530668</f>
        <v>-1363.672235045341</v>
      </c>
      <c r="H2414">
        <f>-696.17849954937 -190.616500921175 -599.287201207326</f>
        <v>-1486.0822016778711</v>
      </c>
      <c r="I2414">
        <f>-679.850355376265 -166.762003656847 -677.193436757676</f>
        <v>-1523.8057957907881</v>
      </c>
      <c r="J2414">
        <f>-708.28059523194 -173.830077016379 -541.450662351606</f>
        <v>-1423.561334599925</v>
      </c>
      <c r="K2414">
        <f>-791.528166480436 -68.4031146305999 -512.241394797185</f>
        <v>-1372.1726759082208</v>
      </c>
      <c r="L2414">
        <f>-706.667759851686 -0.399394123928232 -238.808699907509</f>
        <v>-945.87585388312323</v>
      </c>
      <c r="M2414" t="s">
        <v>26013</v>
      </c>
      <c r="N2414">
        <f>-674.961792185399 -217.575504526913 -548.332556531564</f>
        <v>-1440.8698532438759</v>
      </c>
      <c r="O2414">
        <f>-592.051082512365 -326.682869169538 -537.539138945022</f>
        <v>-1456.2730906269251</v>
      </c>
      <c r="P2414">
        <f>-513.818500077008 -394.876183338051 -262.183909870015</f>
        <v>-1170.878593285074</v>
      </c>
      <c r="Q2414">
        <f>-452.647682153574 -172.425389087176 -331.643483921457</f>
        <v>-956.71655516220699</v>
      </c>
      <c r="R2414">
        <f>-692.135689291372 -104.279384131382 -91.9796232130234</f>
        <v>-888.39469663577745</v>
      </c>
      <c r="S2414" t="s">
        <v>26014</v>
      </c>
      <c r="T2414" t="s">
        <v>26015</v>
      </c>
      <c r="U2414" t="s">
        <v>26016</v>
      </c>
      <c r="V2414">
        <f>-567.07115308144 -259.351033055022 -88.7587758890363</f>
        <v>-915.18096202549827</v>
      </c>
      <c r="W2414" t="s">
        <v>26017</v>
      </c>
      <c r="X2414" t="s">
        <v>26018</v>
      </c>
      <c r="Y2414" t="s">
        <v>26019</v>
      </c>
    </row>
    <row r="2415" spans="1:25" x14ac:dyDescent="0.3">
      <c r="A2415">
        <v>120700</v>
      </c>
      <c r="B2415" t="s">
        <v>26020</v>
      </c>
      <c r="C2415">
        <f>-629.650242258468 -178.756344577553 -88.9495193643156</f>
        <v>-897.35610620033663</v>
      </c>
      <c r="D2415">
        <f>-652.286018633537 -198.955833641691 -200.734282124529</f>
        <v>-1051.976134399757</v>
      </c>
      <c r="E2415">
        <f>-666.441480956838 -203.829934210163 -298.215032891831</f>
        <v>-1168.4864480588319</v>
      </c>
      <c r="F2415">
        <f>-677.542509106916 -203.606176789447 -386.617369721458</f>
        <v>-1267.7660556178209</v>
      </c>
      <c r="G2415">
        <f>-686.635994012116 -198.543185910535 -475.104259654964</f>
        <v>-1360.2834395776149</v>
      </c>
      <c r="H2415">
        <f>-697.211491226091 -186.405641510104 -598.6423192191</f>
        <v>-1482.2594519552949</v>
      </c>
      <c r="I2415">
        <f>-681.265329955946 -162.465777086095 -676.601314267783</f>
        <v>-1520.332421309824</v>
      </c>
      <c r="J2415">
        <f>-709.076509864058 -169.788499667853 -540.707788425494</f>
        <v>-1419.5727979574049</v>
      </c>
      <c r="K2415">
        <f>-791.476610065817 -63.8748966189231 -510.908947897388</f>
        <v>-1366.2604545821282</v>
      </c>
      <c r="L2415" t="s">
        <v>26021</v>
      </c>
      <c r="M2415" t="s">
        <v>26022</v>
      </c>
      <c r="N2415">
        <f>-676.038991194217 -213.705107562144 -547.850704729713</f>
        <v>-1437.5948034860739</v>
      </c>
      <c r="O2415">
        <f>-593.768647169185 -323.350264573951 -537.462734283634</f>
        <v>-1454.5816460267699</v>
      </c>
      <c r="P2415">
        <f>-516.71241470964 -393.223818984929 -262.197168960525</f>
        <v>-1172.133402655094</v>
      </c>
      <c r="Q2415">
        <f>-454.40398547357 -170.528059306468 -329.837012183839</f>
        <v>-954.76905696387712</v>
      </c>
      <c r="R2415">
        <f>-691.38314097207 -101.422898059742 -91.4908321293915</f>
        <v>-884.29687116120351</v>
      </c>
      <c r="S2415" t="s">
        <v>26023</v>
      </c>
      <c r="T2415" t="s">
        <v>26024</v>
      </c>
      <c r="U2415" t="s">
        <v>26025</v>
      </c>
      <c r="V2415">
        <f>-568.122582366745 -256.211024741435 -88.3085611569032</f>
        <v>-912.64216826508311</v>
      </c>
      <c r="W2415" t="s">
        <v>26026</v>
      </c>
      <c r="X2415" t="s">
        <v>26027</v>
      </c>
      <c r="Y2415" t="s">
        <v>26028</v>
      </c>
    </row>
    <row r="2416" spans="1:25" x14ac:dyDescent="0.3">
      <c r="A2416">
        <v>120750</v>
      </c>
      <c r="B2416" t="s">
        <v>26029</v>
      </c>
      <c r="C2416">
        <f>-630.071936281628 -176.987596978153 -88.7076375480708</f>
        <v>-895.76717080785181</v>
      </c>
      <c r="D2416">
        <f>-652.750119947951 -197.049852459581 -200.508502772037</f>
        <v>-1050.3084751795691</v>
      </c>
      <c r="E2416">
        <f>-666.900295071103 -201.749151468244 -297.998592825454</f>
        <v>-1166.648039364801</v>
      </c>
      <c r="F2416">
        <f>-677.979762694667 -201.343445682665 -386.402948084363</f>
        <v>-1265.7261564616949</v>
      </c>
      <c r="G2416">
        <f>-687.033440594197 -196.076247801734 -474.881918921368</f>
        <v>-1357.991607317299</v>
      </c>
      <c r="H2416">
        <f>-697.533562850805 -183.630819407127 -598.395795495559</f>
        <v>-1479.560177753491</v>
      </c>
      <c r="I2416">
        <f>-681.76321686946 -159.713358700449 -676.397583567314</f>
        <v>-1517.8741591372232</v>
      </c>
      <c r="J2416">
        <f>-709.351465761855 -167.096163764389 -540.428152821492</f>
        <v>-1416.8757823477358</v>
      </c>
      <c r="K2416">
        <f>-791.348107600997 -60.9199436716759 -510.425130039282</f>
        <v>-1362.693181311955</v>
      </c>
      <c r="L2416" t="s">
        <v>26030</v>
      </c>
      <c r="M2416" t="s">
        <v>26031</v>
      </c>
      <c r="N2416">
        <f>-676.474493427818 -211.118718321646 -547.658785056569</f>
        <v>-1435.2519968060328</v>
      </c>
      <c r="O2416">
        <f>-594.611916406582 -321.079361685556 -537.38754011759</f>
        <v>-1453.0788182097281</v>
      </c>
      <c r="P2416">
        <f>-519.017199904783 -391.383631678509 -261.826291984656</f>
        <v>-1172.227123567948</v>
      </c>
      <c r="Q2416">
        <f>-455.543146828192 -168.92059031764 -329.147225009831</f>
        <v>-953.61096215566306</v>
      </c>
      <c r="R2416">
        <f>-691.559582145706 -99.5671134628235 -91.2679531398142</f>
        <v>-882.39464874834368</v>
      </c>
      <c r="S2416" t="s">
        <v>26032</v>
      </c>
      <c r="T2416" t="s">
        <v>26033</v>
      </c>
      <c r="U2416" t="s">
        <v>26034</v>
      </c>
      <c r="V2416">
        <f>-568.863521642763 -254.47848668096 -88.1018631831432</f>
        <v>-911.44387150686623</v>
      </c>
      <c r="W2416" t="s">
        <v>26035</v>
      </c>
      <c r="X2416" t="s">
        <v>26036</v>
      </c>
      <c r="Y2416" t="s">
        <v>26037</v>
      </c>
    </row>
    <row r="2417" spans="1:25" x14ac:dyDescent="0.3">
      <c r="A2417">
        <v>120800</v>
      </c>
      <c r="B2417" t="s">
        <v>26038</v>
      </c>
      <c r="C2417">
        <f>-631.403468088073 -173.312127954819 -88.2301618273405</f>
        <v>-892.94575787023246</v>
      </c>
      <c r="D2417">
        <f>-654.063550312895 -193.043667418366 -200.09355386898</f>
        <v>-1047.2007716002411</v>
      </c>
      <c r="E2417">
        <f>-668.093111686655 -197.355839914432 -297.619179505897</f>
        <v>-1163.0681311069839</v>
      </c>
      <c r="F2417">
        <f>-679.024135124071 -196.55545672771 -386.039211987285</f>
        <v>-1261.618803839066</v>
      </c>
      <c r="G2417">
        <f>-687.88841153929 -190.851988774597 -474.510404159521</f>
        <v>-1353.2508044734079</v>
      </c>
      <c r="H2417">
        <f>-698.081356937954 -177.754426333012 -597.982512837141</f>
        <v>-1473.818296108107</v>
      </c>
      <c r="I2417">
        <f>-682.596181464096 -153.896677838064 -676.059627260273</f>
        <v>-1512.5524865624329</v>
      </c>
      <c r="J2417">
        <f>-709.866767470548 -161.394768639673 -539.958462455861</f>
        <v>-1411.2199985660818</v>
      </c>
      <c r="K2417">
        <f>-790.935242905796 -54.6206469021874 -509.600614376129</f>
        <v>-1355.1565041841125</v>
      </c>
      <c r="L2417" t="s">
        <v>26039</v>
      </c>
      <c r="M2417" t="s">
        <v>26040</v>
      </c>
      <c r="N2417">
        <f>-677.325127708432 -205.641243062764 -547.338443880948</f>
        <v>-1430.3048146521442</v>
      </c>
      <c r="O2417">
        <f>-596.264256988322 -316.223725766728 -537.276797683145</f>
        <v>-1449.764780438195</v>
      </c>
      <c r="P2417">
        <f>-523.446468971818 -387.622272027263 -261.249573658653</f>
        <v>-1172.3183146577339</v>
      </c>
      <c r="Q2417">
        <f>-457.467214316303 -165.466356109346 -327.161280882204</f>
        <v>-950.09485130785299</v>
      </c>
      <c r="R2417">
        <f>-692.314955835912 -95.7538439493164 -90.8500783587856</f>
        <v>-878.918878144014</v>
      </c>
      <c r="S2417" t="s">
        <v>26041</v>
      </c>
      <c r="T2417" t="s">
        <v>26042</v>
      </c>
      <c r="U2417" t="s">
        <v>26043</v>
      </c>
      <c r="V2417">
        <f>-570.748878323345 -251.257741595602 -87.6430514590944</f>
        <v>-909.64967137804149</v>
      </c>
      <c r="W2417" t="s">
        <v>26044</v>
      </c>
      <c r="X2417" t="s">
        <v>26045</v>
      </c>
      <c r="Y2417" t="s">
        <v>26046</v>
      </c>
    </row>
    <row r="2418" spans="1:25" x14ac:dyDescent="0.3">
      <c r="A2418">
        <v>120850</v>
      </c>
      <c r="B2418" t="s">
        <v>26047</v>
      </c>
      <c r="C2418">
        <f>-632.012041681075 -171.46807763116 -88.0050921652403</f>
        <v>-891.48521147747522</v>
      </c>
      <c r="D2418">
        <f>-654.641585646984 -190.975446549705 -199.913938486253</f>
        <v>-1045.5309706829421</v>
      </c>
      <c r="E2418">
        <f>-668.625539285253 -195.059698715421 -297.455763214592</f>
        <v>-1161.141001215266</v>
      </c>
      <c r="F2418">
        <f>-679.510448812126 -194.037073611899 -385.879411373595</f>
        <v>-1259.42693379762</v>
      </c>
      <c r="G2418">
        <f>-688.323914097135 -188.096374355096 -474.339843178571</f>
        <v>-1350.7601316308021</v>
      </c>
      <c r="H2418">
        <f>-698.441588158267 -174.651797489122 -597.781023092664</f>
        <v>-1470.874408740053</v>
      </c>
      <c r="I2418">
        <f>-683.110192854675 -150.809216864509 -675.893080100096</f>
        <v>-1509.81248981928</v>
      </c>
      <c r="J2418">
        <f>-710.185549414836 -158.398935305926 -539.718548684273</f>
        <v>-1408.303033405035</v>
      </c>
      <c r="K2418">
        <f>-790.832524499819 -51.3536337960754 -509.176662440434</f>
        <v>-1351.3628207363283</v>
      </c>
      <c r="L2418" t="s">
        <v>26048</v>
      </c>
      <c r="M2418" t="s">
        <v>26049</v>
      </c>
      <c r="N2418">
        <f>-677.793020905175 -202.737205592682 -547.20275243213</f>
        <v>-1427.732978929987</v>
      </c>
      <c r="O2418">
        <f>-597.110166915358 -313.601163904183 -537.250415799006</f>
        <v>-1447.9617466185468</v>
      </c>
      <c r="P2418">
        <f>-525.250998291481 -385.755812031275 -261.168671316421</f>
        <v>-1172.175481639177</v>
      </c>
      <c r="Q2418">
        <f>-458.320928093 -163.627007174692 -326.207333801588</f>
        <v>-948.15526906928005</v>
      </c>
      <c r="R2418">
        <f>-692.50827615094 -93.7572861571135 -90.6560707414062</f>
        <v>-876.92163304945973</v>
      </c>
      <c r="S2418" t="s">
        <v>26050</v>
      </c>
      <c r="T2418" t="s">
        <v>26051</v>
      </c>
      <c r="U2418" t="s">
        <v>26052</v>
      </c>
      <c r="V2418">
        <f>-571.743980872404 -249.490445305266 -87.4470757233942</f>
        <v>-908.68150190106417</v>
      </c>
      <c r="W2418" t="s">
        <v>26053</v>
      </c>
      <c r="X2418" t="s">
        <v>26054</v>
      </c>
      <c r="Y2418" t="s">
        <v>26055</v>
      </c>
    </row>
    <row r="2419" spans="1:25" x14ac:dyDescent="0.3">
      <c r="A2419">
        <v>120900</v>
      </c>
      <c r="B2419" t="s">
        <v>26056</v>
      </c>
      <c r="C2419">
        <f>-633.22235760013 -167.206075396199 -87.5663915801865</f>
        <v>-887.9948245765155</v>
      </c>
      <c r="D2419">
        <f>-655.861313088649 -186.282071847881 -199.547630003154</f>
        <v>-1041.691014939684</v>
      </c>
      <c r="E2419">
        <f>-669.82529965796 -189.916559473294 -297.110295762403</f>
        <v>-1156.8521548936569</v>
      </c>
      <c r="F2419">
        <f>-680.685960447807 -188.452252281085 -385.530545384459</f>
        <v>-1254.668758113351</v>
      </c>
      <c r="G2419">
        <f>-689.469396385573 -182.036822309786 -473.96085230816</f>
        <v>-1345.4670710035189</v>
      </c>
      <c r="H2419">
        <f>-699.540786089074 -167.894677688742 -597.327698818995</f>
        <v>-1464.7631625968111</v>
      </c>
      <c r="I2419">
        <f>-684.49430381886 -143.974977822722 -675.471636148481</f>
        <v>-1503.9409177900629</v>
      </c>
      <c r="J2419">
        <f>-711.188583860914 -151.884478781788 -539.178722198848</f>
        <v>-1402.25178484155</v>
      </c>
      <c r="K2419">
        <f>-791.11492299076 -44.396374019164 -508.260709517635</f>
        <v>-1343.7720065275589</v>
      </c>
      <c r="L2419" t="s">
        <v>26057</v>
      </c>
      <c r="M2419" t="s">
        <v>26058</v>
      </c>
      <c r="N2419">
        <f>-679.029250868797 -196.351334745201 -546.901498927005</f>
        <v>-1422.2820845410031</v>
      </c>
      <c r="O2419">
        <f>-598.990178857766 -307.706914318698 -537.339855828402</f>
        <v>-1444.0369490048661</v>
      </c>
      <c r="P2419">
        <f>-527.864656546519 -381.693941551429 -261.553065171703</f>
        <v>-1171.111663269651</v>
      </c>
      <c r="Q2419">
        <f>-459.745559000908 -159.317847718264 -324.477805207305</f>
        <v>-943.54121192647699</v>
      </c>
      <c r="R2419">
        <f>-692.920000693345 -89.1972459671966 -90.1771649083169</f>
        <v>-872.29441156885844</v>
      </c>
      <c r="S2419" t="s">
        <v>26059</v>
      </c>
      <c r="T2419" t="s">
        <v>26060</v>
      </c>
      <c r="U2419" t="s">
        <v>26061</v>
      </c>
      <c r="V2419">
        <f>-573.756390878215 -245.36940157515 -87.0406243483837</f>
        <v>-906.16641680174871</v>
      </c>
      <c r="W2419" t="s">
        <v>26062</v>
      </c>
      <c r="X2419" t="s">
        <v>26063</v>
      </c>
      <c r="Y2419" t="s">
        <v>26064</v>
      </c>
    </row>
    <row r="2420" spans="1:25" x14ac:dyDescent="0.3">
      <c r="A2420">
        <v>120950</v>
      </c>
      <c r="B2420" t="s">
        <v>26065</v>
      </c>
      <c r="C2420">
        <f>-633.748710705933 -164.963175536293 -87.2763466673097</f>
        <v>-885.98823290953567</v>
      </c>
      <c r="D2420">
        <f>-656.417481342175 -183.875933376306 -199.279283097779</f>
        <v>-1039.57269781626</v>
      </c>
      <c r="E2420">
        <f>-670.39637666854 -187.30411938112 -296.847197272927</f>
        <v>-1154.5476933225871</v>
      </c>
      <c r="F2420">
        <f>-681.26873107835 -185.625123214725 -385.26213828641</f>
        <v>-1252.155992579485</v>
      </c>
      <c r="G2420">
        <f>-690.062798017654 -178.967451684126 -473.673673337035</f>
        <v>-1342.703923038815</v>
      </c>
      <c r="H2420">
        <f>-700.148965507034 -164.458150591771 -596.996550858009</f>
        <v>-1461.6036669568139</v>
      </c>
      <c r="I2420">
        <f>-685.254566920447 -140.443533782322 -675.140667848717</f>
        <v>-1500.8387685514861</v>
      </c>
      <c r="J2420">
        <f>-711.751614873456 -148.593632180326 -538.798555706474</f>
        <v>-1399.143802760256</v>
      </c>
      <c r="K2420">
        <f>-791.413867830503 -40.9833131774931 -507.624688907537</f>
        <v>-1340.021869915533</v>
      </c>
      <c r="L2420" t="s">
        <v>26066</v>
      </c>
      <c r="M2420" t="s">
        <v>26067</v>
      </c>
      <c r="N2420">
        <f>-679.669380831927 -193.092272790775 -546.657882080901</f>
        <v>-1419.4195357036031</v>
      </c>
      <c r="O2420">
        <f>-599.822559530159 -304.609116264053 -537.358292804893</f>
        <v>-1441.7899685991051</v>
      </c>
      <c r="P2420">
        <f>-528.799267166684 -379.536067788039 -261.79912116452</f>
        <v>-1170.1344561192432</v>
      </c>
      <c r="Q2420">
        <f>-460.452419536921 -156.999571726965 -323.904536700853</f>
        <v>-941.35652796473903</v>
      </c>
      <c r="R2420">
        <f>-693.187009243288 -86.913960010784 -89.8589864388323</f>
        <v>-869.95995569290426</v>
      </c>
      <c r="S2420" t="s">
        <v>26068</v>
      </c>
      <c r="T2420" t="s">
        <v>26069</v>
      </c>
      <c r="U2420" t="s">
        <v>26070</v>
      </c>
      <c r="V2420">
        <f>-574.507536009526 -243.220003099141 -86.7403809790519</f>
        <v>-904.46792008771888</v>
      </c>
      <c r="W2420" t="s">
        <v>26071</v>
      </c>
      <c r="X2420" t="s">
        <v>26072</v>
      </c>
      <c r="Y2420" t="s">
        <v>26073</v>
      </c>
    </row>
    <row r="2421" spans="1:25" x14ac:dyDescent="0.3">
      <c r="A2421">
        <v>121000</v>
      </c>
      <c r="B2421" t="s">
        <v>26074</v>
      </c>
      <c r="C2421">
        <f>-634.682718095051 -160.597253733288 -86.5570918365638</f>
        <v>-881.83706366490276</v>
      </c>
      <c r="D2421">
        <f>-657.503063742291 -179.344254221716 -198.557190008052</f>
        <v>-1035.404507972059</v>
      </c>
      <c r="E2421">
        <f>-671.61830638794 -182.44743474083 -296.11617803628</f>
        <v>-1150.18191916505</v>
      </c>
      <c r="F2421">
        <f>-682.618322376716 -180.399569951373 -384.507683649475</f>
        <v>-1247.5255759775641</v>
      </c>
      <c r="G2421">
        <f>-691.54496795979 -173.298682729035 -472.871401874557</f>
        <v>-1337.715052563382</v>
      </c>
      <c r="H2421">
        <f>-701.822530334966 -158.09297654839 -596.09462932584</f>
        <v>-1456.0101362091959</v>
      </c>
      <c r="I2421">
        <f>-687.28484634037 -133.806997961121 -674.221910059857</f>
        <v>-1495.3137543613479</v>
      </c>
      <c r="J2421">
        <f>-713.309738335816 -142.539547926126 -537.789830514187</f>
        <v>-1393.639116776129</v>
      </c>
      <c r="K2421">
        <f>-792.764786806514 -34.9457811525876 -505.996621437711</f>
        <v>-1333.7071893968127</v>
      </c>
      <c r="L2421" t="s">
        <v>26075</v>
      </c>
      <c r="M2421" t="s">
        <v>26076</v>
      </c>
      <c r="N2421">
        <f>-681.289996636134 -187.029003383675 -545.950451117601</f>
        <v>-1414.26945113741</v>
      </c>
      <c r="O2421">
        <f>-601.548772320146 -298.667828160744 -537.339893707276</f>
        <v>-1437.5564941881662</v>
      </c>
      <c r="P2421">
        <f>-530.503822189142 -375.446591895602 -262.296472633611</f>
        <v>-1168.2468867183552</v>
      </c>
      <c r="Q2421">
        <f>-462.427738549212 -152.241122854219 -322.26166860557</f>
        <v>-936.93053000900102</v>
      </c>
      <c r="R2421">
        <f>-693.976628715183 -82.5903307975805 -89.0629826783929</f>
        <v>-865.62994219115637</v>
      </c>
      <c r="S2421" t="s">
        <v>26077</v>
      </c>
      <c r="T2421" t="s">
        <v>26078</v>
      </c>
      <c r="U2421" t="s">
        <v>26079</v>
      </c>
      <c r="V2421">
        <f>-575.508934611807 -239.048474362603 -86.0746276232703</f>
        <v>-900.63203659768033</v>
      </c>
      <c r="W2421" t="s">
        <v>26080</v>
      </c>
      <c r="X2421" t="s">
        <v>26081</v>
      </c>
      <c r="Y2421" t="s">
        <v>26082</v>
      </c>
    </row>
    <row r="2422" spans="1:25" x14ac:dyDescent="0.3">
      <c r="A2422">
        <v>121050</v>
      </c>
      <c r="B2422" t="s">
        <v>26083</v>
      </c>
      <c r="C2422">
        <f>-634.747294793486 -158.862535534024 -86.1817677260865</f>
        <v>-879.79159805359654</v>
      </c>
      <c r="D2422">
        <f>-657.650115052689 -177.586298098793 -198.168799377159</f>
        <v>-1033.405212528641</v>
      </c>
      <c r="E2422">
        <f>-671.864476389984 -180.575918664961 -295.717077346594</f>
        <v>-1148.1574724015391</v>
      </c>
      <c r="F2422">
        <f>-682.964871006565 -178.387961584581 -384.092734074162</f>
        <v>-1245.445566665308</v>
      </c>
      <c r="G2422">
        <f>-692.002309617035 -171.109777097171 -472.430640184537</f>
        <v>-1335.542726898743</v>
      </c>
      <c r="H2422">
        <f>-702.445621452453 -155.617616807774 -595.604241553612</f>
        <v>-1453.667479813839</v>
      </c>
      <c r="I2422">
        <f>-688.100883520495 -131.167355383456 -673.715961758749</f>
        <v>-1492.9842006627</v>
      </c>
      <c r="J2422">
        <f>-713.864586395707 -140.207191330802 -537.248242026033</f>
        <v>-1391.3200197525421</v>
      </c>
      <c r="K2422">
        <f>-793.25328382736 -32.6949475319302 -505.025650127625</f>
        <v>-1330.9738814869152</v>
      </c>
      <c r="L2422" t="s">
        <v>26084</v>
      </c>
      <c r="M2422" t="s">
        <v>26085</v>
      </c>
      <c r="N2422">
        <f>-681.835415976544 -184.662687391524 -545.55505015178</f>
        <v>-1412.0531535198481</v>
      </c>
      <c r="O2422">
        <f>-601.973062741166 -296.244579980351 -537.350624965622</f>
        <v>-1435.568267687139</v>
      </c>
      <c r="P2422">
        <f>-530.860840811264 -373.776607353213 -262.536016750022</f>
        <v>-1167.1734649144992</v>
      </c>
      <c r="Q2422">
        <f>-462.732285696441 -150.285980001282 -321.368835524589</f>
        <v>-934.38710122231191</v>
      </c>
      <c r="R2422">
        <f>-694.282071809692 -80.6473437233504 -88.660684347469</f>
        <v>-863.59009988051139</v>
      </c>
      <c r="S2422" t="s">
        <v>26086</v>
      </c>
      <c r="T2422" t="s">
        <v>26087</v>
      </c>
      <c r="U2422" t="s">
        <v>26088</v>
      </c>
      <c r="V2422">
        <f>-575.271439717437 -237.515991019764 -85.8200773863282</f>
        <v>-898.60750812352921</v>
      </c>
      <c r="W2422" t="s">
        <v>26089</v>
      </c>
      <c r="X2422" t="s">
        <v>26090</v>
      </c>
      <c r="Y2422" t="s">
        <v>26091</v>
      </c>
    </row>
    <row r="2423" spans="1:25" x14ac:dyDescent="0.3">
      <c r="A2423">
        <v>121100</v>
      </c>
      <c r="B2423" t="s">
        <v>26092</v>
      </c>
      <c r="C2423">
        <f>-635.01093002625 -155.84857032458 -85.6866045827998</f>
        <v>-876.54610493362975</v>
      </c>
      <c r="D2423">
        <f>-658.052691124256 -174.464628364702 -197.663041192239</f>
        <v>-1030.1803606811968</v>
      </c>
      <c r="E2423">
        <f>-672.472764902071 -177.166101967973 -295.189661478302</f>
        <v>-1144.828528348346</v>
      </c>
      <c r="F2423">
        <f>-683.789315050444 -174.641126577829 -383.528727302931</f>
        <v>-1241.959168931204</v>
      </c>
      <c r="G2423">
        <f>-693.071708662051 -166.95035417065 -471.806322593521</f>
        <v>-1331.828385426222</v>
      </c>
      <c r="H2423">
        <f>-703.885894513444 -150.80407576779 -594.86392872294</f>
        <v>-1449.5538990041741</v>
      </c>
      <c r="I2423">
        <f>-690.010807226854 -125.947655843217 -672.932132504309</f>
        <v>-1488.8905955743801</v>
      </c>
      <c r="J2423">
        <f>-715.170648200525 -135.734072388539 -536.392879197722</f>
        <v>-1387.2975997867861</v>
      </c>
      <c r="K2423">
        <f>-794.467214681935 -28.4722417714361 -503.202162289033</f>
        <v>-1326.1416187424043</v>
      </c>
      <c r="L2423" t="s">
        <v>26093</v>
      </c>
      <c r="M2423" t="s">
        <v>26094</v>
      </c>
      <c r="N2423">
        <f>-683.083623320862 -180.084475406981 -545.031842142008</f>
        <v>-1408.1999408698512</v>
      </c>
      <c r="O2423">
        <f>-602.794551673494 -291.436553074984 -537.661297819724</f>
        <v>-1431.892402568202</v>
      </c>
      <c r="P2423">
        <f>-531.477384781849 -370.097804014489 -263.220929193089</f>
        <v>-1164.7961179894269</v>
      </c>
      <c r="Q2423">
        <f>-463.03640551916 -146.104838812219 -319.735081744137</f>
        <v>-928.87632607551598</v>
      </c>
      <c r="R2423">
        <f>-694.749722523992 -77.4771661549563 -87.9490608540866</f>
        <v>-860.1759495330349</v>
      </c>
      <c r="S2423" t="s">
        <v>26095</v>
      </c>
      <c r="T2423" t="s">
        <v>26096</v>
      </c>
      <c r="U2423" t="s">
        <v>26097</v>
      </c>
      <c r="V2423">
        <f>-575.511816420334 -234.4551165403 -85.4777047532748</f>
        <v>-895.44463771390872</v>
      </c>
      <c r="W2423" t="s">
        <v>26098</v>
      </c>
      <c r="X2423" t="s">
        <v>26099</v>
      </c>
      <c r="Y2423" t="s">
        <v>26100</v>
      </c>
    </row>
    <row r="2424" spans="1:25" x14ac:dyDescent="0.3">
      <c r="A2424">
        <v>121150</v>
      </c>
      <c r="B2424" t="s">
        <v>26101</v>
      </c>
      <c r="C2424">
        <f>-635.463453678552 -154.848016920045 -85.5357715888576</f>
        <v>-875.84724218745464</v>
      </c>
      <c r="D2424">
        <f>-658.673085779173 -173.330139271781 -197.499837542283</f>
        <v>-1029.503062593237</v>
      </c>
      <c r="E2424">
        <f>-673.224682613752 -175.809044586909 -295.012755911862</f>
        <v>-1144.0464831125228</v>
      </c>
      <c r="F2424">
        <f>-684.654165687985 -173.040332351143 -383.330000408403</f>
        <v>-1241.024498447531</v>
      </c>
      <c r="G2424">
        <f>-694.043574240289 -165.06360861804 -471.570883795635</f>
        <v>-1330.6780666539639</v>
      </c>
      <c r="H2424">
        <f>-705.000761521809 -148.474361056127 -594.556844100588</f>
        <v>-1448.031966678524</v>
      </c>
      <c r="I2424">
        <f>-691.373238973551 -123.358431511304 -672.585711667603</f>
        <v>-1487.3173821524581</v>
      </c>
      <c r="J2424">
        <f>-716.244766588032 -133.634697149039 -536.019038584944</f>
        <v>-1385.898502322015</v>
      </c>
      <c r="K2424">
        <f>-795.471438237654 -26.4937382000769 -502.263214095299</f>
        <v>-1324.2283905330298</v>
      </c>
      <c r="L2424" t="s">
        <v>26102</v>
      </c>
      <c r="M2424" t="s">
        <v>26103</v>
      </c>
      <c r="N2424">
        <f>-684.113289238874 -177.914158328385 -544.854577249049</f>
        <v>-1406.8820248163081</v>
      </c>
      <c r="O2424">
        <f>-603.527671502552 -289.084414982817 -537.934653828574</f>
        <v>-1430.546740313943</v>
      </c>
      <c r="P2424">
        <f>-532.09775393686 -368.711033302634 -263.802348109951</f>
        <v>-1164.611135349445</v>
      </c>
      <c r="Q2424">
        <f>-464.025794194282 -144.325579994796 -319.194008288971</f>
        <v>-927.54538247804908</v>
      </c>
      <c r="R2424">
        <f>-695.164475634931 -76.3174145499615 -87.5970700584861</f>
        <v>-859.07896024337867</v>
      </c>
      <c r="S2424" t="s">
        <v>26104</v>
      </c>
      <c r="T2424" t="s">
        <v>26105</v>
      </c>
      <c r="U2424" t="s">
        <v>26106</v>
      </c>
      <c r="V2424">
        <f>-576.164474651839 -233.701167208535 -85.386556200796</f>
        <v>-895.25219806117002</v>
      </c>
      <c r="W2424" t="s">
        <v>26107</v>
      </c>
      <c r="X2424" t="s">
        <v>26108</v>
      </c>
      <c r="Y2424" t="s">
        <v>26109</v>
      </c>
    </row>
    <row r="2425" spans="1:25" x14ac:dyDescent="0.3">
      <c r="A2425">
        <v>121200</v>
      </c>
      <c r="B2425" t="s">
        <v>26110</v>
      </c>
      <c r="C2425">
        <f>-636.333599599323 -154.68898738649 -85.2151587452313</f>
        <v>-876.23774573104424</v>
      </c>
      <c r="D2425">
        <f>-659.788418796784 -172.437957430493 -197.246835532335</f>
        <v>-1029.4732117596118</v>
      </c>
      <c r="E2425">
        <f>-674.542079061151 -174.159258707645 -294.745530047949</f>
        <v>-1143.446867816745</v>
      </c>
      <c r="F2425">
        <f>-686.14528278919 -170.659173192825 -383.014201257533</f>
        <v>-1239.818657239548</v>
      </c>
      <c r="G2425">
        <f>-695.697160422974 -161.906559197736 -471.164006056227</f>
        <v>-1328.7677256769371</v>
      </c>
      <c r="H2425">
        <f>-706.866944308995 -144.190034532635 -593.973589727186</f>
        <v>-1445.0305685688159</v>
      </c>
      <c r="I2425">
        <f>-693.774192173523 -118.48621317781 -671.902454979194</f>
        <v>-1484.1628603305271</v>
      </c>
      <c r="J2425">
        <f>-718.028171761995 -129.90157719254 -535.283001628724</f>
        <v>-1383.2127505832591</v>
      </c>
      <c r="K2425">
        <f>-796.8682879264 -22.89429317954 -500.206746043884</f>
        <v>-1319.969327149824</v>
      </c>
      <c r="L2425" t="s">
        <v>26111</v>
      </c>
      <c r="M2425" t="s">
        <v>26112</v>
      </c>
      <c r="N2425">
        <f>-685.875182068445 -174.070919117357 -544.579304319459</f>
        <v>-1404.525405505261</v>
      </c>
      <c r="O2425">
        <f>-604.952670043872 -285.045416696055 -538.698221488715</f>
        <v>-1428.696308228642</v>
      </c>
      <c r="P2425">
        <f>-533.298209841691 -366.6923547134 -265.219407815822</f>
        <v>-1165.209972370913</v>
      </c>
      <c r="Q2425">
        <f>-465.626675309212 -141.618677282181 -318.259690644422</f>
        <v>-925.50504323581492</v>
      </c>
      <c r="R2425">
        <f>-696.115551598699 -75.5905904731771 -86.6052308449093</f>
        <v>-858.31137291678544</v>
      </c>
      <c r="S2425" t="s">
        <v>26113</v>
      </c>
      <c r="T2425" t="s">
        <v>26114</v>
      </c>
      <c r="U2425" t="s">
        <v>26115</v>
      </c>
      <c r="V2425">
        <f>-576.653906897654 -234.122347826177 -85.5514854203349</f>
        <v>-896.32774014416589</v>
      </c>
      <c r="W2425" t="s">
        <v>26116</v>
      </c>
      <c r="X2425" t="s">
        <v>26117</v>
      </c>
      <c r="Y2425" t="s">
        <v>26118</v>
      </c>
    </row>
    <row r="2426" spans="1:25" x14ac:dyDescent="0.3">
      <c r="A2426">
        <v>121250</v>
      </c>
      <c r="B2426" t="s">
        <v>26119</v>
      </c>
      <c r="C2426">
        <f>-636.907510183891 -156.134793753922 -85.0269986422245</f>
        <v>-878.0693025800374</v>
      </c>
      <c r="D2426">
        <f>-660.502244865268 -173.383229192357 -197.10730282157</f>
        <v>-1030.9927768791949</v>
      </c>
      <c r="E2426">
        <f>-675.378898597297 -174.602756161862 -294.595010979135</f>
        <v>-1144.576665738294</v>
      </c>
      <c r="F2426">
        <f>-687.090487515905 -170.623353949428 -382.829077076588</f>
        <v>-1240.5429185419209</v>
      </c>
      <c r="G2426">
        <f>-696.745838386631 -161.367728389394 -470.916192089487</f>
        <v>-1329.0297588655121</v>
      </c>
      <c r="H2426">
        <f>-708.05322771433 -142.925442371775 -593.606240545255</f>
        <v>-1444.5849106313599</v>
      </c>
      <c r="I2426">
        <f>-695.222742009013 -116.890017428191 -671.468669813359</f>
        <v>-1483.5814292505629</v>
      </c>
      <c r="J2426">
        <f>-719.14865877704 -128.984306697715 -534.819791676711</f>
        <v>-1382.9527571514661</v>
      </c>
      <c r="K2426">
        <f>-797.794902476951 -22.0464743269472 -499.059268909833</f>
        <v>-1318.9006457137311</v>
      </c>
      <c r="L2426" t="s">
        <v>26120</v>
      </c>
      <c r="M2426" t="s">
        <v>26121</v>
      </c>
      <c r="N2426">
        <f>-687.006098372056 -173.097697052987 -544.41314079167</f>
        <v>-1404.516936216713</v>
      </c>
      <c r="O2426">
        <f>-606.045827303515 -284.067466304498 -539.275254600404</f>
        <v>-1429.388548208417</v>
      </c>
      <c r="P2426">
        <f>-534.307958730978 -367.208010435559 -266.268723199078</f>
        <v>-1167.784692365615</v>
      </c>
      <c r="Q2426">
        <f>-466.581289965372 -141.856115852662 -318.042275330972</f>
        <v>-926.47968114900596</v>
      </c>
      <c r="R2426">
        <f>-696.555277467173 -76.4389033641866 -86.0113384616661</f>
        <v>-859.00551929302571</v>
      </c>
      <c r="S2426" t="s">
        <v>26122</v>
      </c>
      <c r="T2426" t="s">
        <v>26123</v>
      </c>
      <c r="U2426" t="s">
        <v>26124</v>
      </c>
      <c r="V2426">
        <f>-577.727208217531 -236.416335218515 -85.9707135492979</f>
        <v>-900.1142569853439</v>
      </c>
      <c r="W2426" t="s">
        <v>26125</v>
      </c>
      <c r="X2426" t="s">
        <v>26126</v>
      </c>
      <c r="Y2426" t="s">
        <v>26127</v>
      </c>
    </row>
    <row r="2427" spans="1:25" x14ac:dyDescent="0.3">
      <c r="A2427">
        <v>121300</v>
      </c>
      <c r="B2427" t="s">
        <v>26128</v>
      </c>
      <c r="C2427">
        <f>-639.18495243603 -154.967849466203 -84.4068481009539</f>
        <v>-878.5596500031869</v>
      </c>
      <c r="D2427">
        <f>-662.896460238331 -171.722815702767 -196.537332200678</f>
        <v>-1031.1566081417759</v>
      </c>
      <c r="E2427">
        <f>-677.988977891981 -172.071088244295 -293.998813542133</f>
        <v>-1144.0588796784091</v>
      </c>
      <c r="F2427">
        <f>-689.934709330991 -167.128486803157 -382.152788453269</f>
        <v>-1239.2159845874171</v>
      </c>
      <c r="G2427">
        <f>-699.859268958992 -156.738125306557 -470.083356814907</f>
        <v>-1326.680751080456</v>
      </c>
      <c r="H2427">
        <f>-711.576549368679 -136.535465133307 -592.457262047839</f>
        <v>-1440.5692765498252</v>
      </c>
      <c r="I2427">
        <f>-699.381370214789 -109.727215719402 -670.159355691585</f>
        <v>-1479.2679416257761</v>
      </c>
      <c r="J2427">
        <f>-722.468038798779 -123.435523270853 -533.439677182841</f>
        <v>-1379.343239252473</v>
      </c>
      <c r="K2427">
        <f>-800.662741195813 -16.760692563322 -496.051773132361</f>
        <v>-1313.4752068914961</v>
      </c>
      <c r="L2427" t="s">
        <v>26129</v>
      </c>
      <c r="M2427" t="s">
        <v>26130</v>
      </c>
      <c r="N2427">
        <f>-690.372650656077 -167.415761700314 -543.773457982523</f>
        <v>-1401.5618703389141</v>
      </c>
      <c r="O2427">
        <f>-609.499027262224 -278.56088535247 -540.406976630653</f>
        <v>-1428.4668892453469</v>
      </c>
      <c r="P2427">
        <f>-537.151766000354 -364.740744302554 -268.506064287243</f>
        <v>-1170.3985745901509</v>
      </c>
      <c r="Q2427">
        <f>-469.211539245289 -138.911681692213 -317.864389978661</f>
        <v>-925.98761091616302</v>
      </c>
      <c r="R2427">
        <f>-697.630274776917 -76.3428627098118 -84.835681017015</f>
        <v>-858.80881850374374</v>
      </c>
      <c r="S2427" t="s">
        <v>26131</v>
      </c>
      <c r="T2427" t="s">
        <v>26132</v>
      </c>
      <c r="U2427" t="s">
        <v>26133</v>
      </c>
      <c r="V2427">
        <f>-581.054700568652 -232.735144878154 -86.3209321195378</f>
        <v>-900.11077756634381</v>
      </c>
      <c r="W2427" t="s">
        <v>26134</v>
      </c>
      <c r="X2427" t="s">
        <v>26135</v>
      </c>
      <c r="Y2427" t="s">
        <v>26136</v>
      </c>
    </row>
    <row r="2428" spans="1:25" x14ac:dyDescent="0.3">
      <c r="A2428">
        <v>121350</v>
      </c>
      <c r="B2428" t="s">
        <v>26137</v>
      </c>
      <c r="C2428">
        <f>-640.162522279534 -151.779096295534 -83.9644361486376</f>
        <v>-875.90605472370555</v>
      </c>
      <c r="D2428">
        <f>-663.857114546404 -168.390034838425 -196.119859240593</f>
        <v>-1028.3670086254219</v>
      </c>
      <c r="E2428">
        <f>-679.063356924448 -168.357404855561 -293.564428458576</f>
        <v>-1140.9851902385849</v>
      </c>
      <c r="F2428">
        <f>-691.165087110174 -162.966331077128 -381.670751782135</f>
        <v>-1235.802169969437</v>
      </c>
      <c r="G2428">
        <f>-701.299698867866 -152.02495672796 -469.510542182363</f>
        <v>-1322.835197778189</v>
      </c>
      <c r="H2428">
        <f>-713.368000904666 -130.94657253378 -591.702468872854</f>
        <v>-1436.0170423113</v>
      </c>
      <c r="I2428">
        <f>-701.516083377367 -103.691704801733 -669.302182862369</f>
        <v>-1474.5099710414688</v>
      </c>
      <c r="J2428">
        <f>-724.08071448276 -118.263083115146 -532.561226820328</f>
        <v>-1374.905024418234</v>
      </c>
      <c r="K2428">
        <f>-802.105415799073 -11.7786518489381 -494.308594903922</f>
        <v>-1308.1926625519332</v>
      </c>
      <c r="L2428" t="s">
        <v>26138</v>
      </c>
      <c r="M2428" t="s">
        <v>26139</v>
      </c>
      <c r="N2428">
        <f>-692.0338854915 -162.18117851743 -543.30230205639</f>
        <v>-1397.5173660653199</v>
      </c>
      <c r="O2428">
        <f>-611.144716972063 -273.341513670264 -540.78942793868</f>
        <v>-1425.2756585810071</v>
      </c>
      <c r="P2428">
        <f>-538.207479221665 -361.036083205302 -269.531198579487</f>
        <v>-1168.7747610064541</v>
      </c>
      <c r="Q2428">
        <f>-470.289974419623 -134.937278558892 -317.670449189542</f>
        <v>-922.89770216805709</v>
      </c>
      <c r="R2428">
        <f>-698.359386034273 -74.4448337057432 -84.2252901812806</f>
        <v>-857.02950992129684</v>
      </c>
      <c r="S2428" t="s">
        <v>26140</v>
      </c>
      <c r="T2428" t="s">
        <v>26141</v>
      </c>
      <c r="U2428" t="s">
        <v>26142</v>
      </c>
      <c r="V2428">
        <f>-582.040204976188 -228.72672814094 -86.1065715865999</f>
        <v>-896.87350470372792</v>
      </c>
      <c r="W2428" t="s">
        <v>26143</v>
      </c>
      <c r="X2428" t="s">
        <v>26144</v>
      </c>
      <c r="Y2428" t="s">
        <v>26145</v>
      </c>
    </row>
    <row r="2429" spans="1:25" x14ac:dyDescent="0.3">
      <c r="A2429">
        <v>121400</v>
      </c>
      <c r="B2429" t="s">
        <v>26146</v>
      </c>
      <c r="C2429">
        <f>-644.836917467526 -149.379082344713 -83.458997717659</f>
        <v>-877.67499752989795</v>
      </c>
      <c r="D2429">
        <f>-668.342731891058 -165.76576248234 -195.687276944728</f>
        <v>-1029.7957713181258</v>
      </c>
      <c r="E2429">
        <f>-683.76660943252 -165.105480588332 -293.095334239374</f>
        <v>-1141.9674242602259</v>
      </c>
      <c r="F2429">
        <f>-696.225580887402 -158.969563603234 -381.103015224088</f>
        <v>-1236.2981597147241</v>
      </c>
      <c r="G2429">
        <f>-706.881592639257 -147.108451683995 -468.761446259314</f>
        <v>-1322.751490582566</v>
      </c>
      <c r="H2429">
        <f>-719.854205350293 -124.564098587585 -590.598593384083</f>
        <v>-1435.0168973219611</v>
      </c>
      <c r="I2429">
        <f>-708.669294557293 -96.4162212090019 -667.978340928712</f>
        <v>-1473.063856695007</v>
      </c>
      <c r="J2429">
        <f>-730.114268237715 -112.582754365486 -531.231091641459</f>
        <v>-1373.92811424466</v>
      </c>
      <c r="K2429">
        <f>-807.76563161559 -6.40910777921636 -491.283767311605</f>
        <v>-1305.4585067064113</v>
      </c>
      <c r="L2429" t="s">
        <v>26147</v>
      </c>
      <c r="M2429" t="s">
        <v>26148</v>
      </c>
      <c r="N2429">
        <f>-698.176905772889 -156.386748792051 -542.736958806587</f>
        <v>-1397.3006133715271</v>
      </c>
      <c r="O2429">
        <f>-617.253048400407 -267.497796737421 -541.781621803984</f>
        <v>-1426.5324669418119</v>
      </c>
      <c r="P2429">
        <f>-543.12969752659 -357.552859192434 -271.620528056576</f>
        <v>-1172.3030847755999</v>
      </c>
      <c r="Q2429">
        <f>-475.015839317385 -130.9745017808 -317.157438642393</f>
        <v>-923.14777974057802</v>
      </c>
      <c r="R2429">
        <f>-701.457133301068 -72.0444515802199 -83.7066534579835</f>
        <v>-857.20823833927136</v>
      </c>
      <c r="S2429" t="s">
        <v>26149</v>
      </c>
      <c r="T2429" t="s">
        <v>26150</v>
      </c>
      <c r="U2429" t="s">
        <v>26151</v>
      </c>
      <c r="V2429">
        <f>-589.200022876242 -228.041431700477 -85.5916140052144</f>
        <v>-902.83306858193339</v>
      </c>
      <c r="W2429" t="s">
        <v>26152</v>
      </c>
      <c r="X2429" t="s">
        <v>26153</v>
      </c>
      <c r="Y2429" t="s">
        <v>26154</v>
      </c>
    </row>
    <row r="2430" spans="1:25" x14ac:dyDescent="0.3">
      <c r="A2430">
        <v>121450</v>
      </c>
      <c r="B2430" t="s">
        <v>26155</v>
      </c>
      <c r="C2430">
        <f>-647.800201694603 -149.867704912822 -83.5039487258531</f>
        <v>-881.17185533327802</v>
      </c>
      <c r="D2430">
        <f>-671.384608028533 -166.233224540806 -195.718757664829</f>
        <v>-1033.3365902341679</v>
      </c>
      <c r="E2430">
        <f>-686.983827592072 -165.305422849483 -293.096673533424</f>
        <v>-1145.3859239749791</v>
      </c>
      <c r="F2430">
        <f>-699.644612624538 -158.827822840547 -381.051273272353</f>
        <v>-1239.523708737438</v>
      </c>
      <c r="G2430">
        <f>-710.545095672106 -146.52680502524 -468.618921086225</f>
        <v>-1325.690821783571</v>
      </c>
      <c r="H2430">
        <f>-723.904303446698 -123.267110939283 -590.279683282694</f>
        <v>-1437.4510976686752</v>
      </c>
      <c r="I2430">
        <f>-712.964337794594 -94.7226710421388 -667.549001404976</f>
        <v>-1475.2360102417088</v>
      </c>
      <c r="J2430">
        <f>-733.969179519456 -111.630162043101 -530.810405850982</f>
        <v>-1376.409747413539</v>
      </c>
      <c r="K2430">
        <f>-811.415374496824 -5.61028128717794 -490.106407860655</f>
        <v>-1307.1320636446569</v>
      </c>
      <c r="L2430" t="s">
        <v>26156</v>
      </c>
      <c r="M2430" t="s">
        <v>26157</v>
      </c>
      <c r="N2430">
        <f>-702.082001422472 -155.374861712202 -542.675179573066</f>
        <v>-1400.1320427077399</v>
      </c>
      <c r="O2430">
        <f>-621.154559063196 -266.510766694305 -542.470164245382</f>
        <v>-1430.135490002883</v>
      </c>
      <c r="P2430">
        <f>-546.651736356757 -357.646044163125 -272.776253887898</f>
        <v>-1177.0740344077801</v>
      </c>
      <c r="Q2430">
        <f>-478.16237593584 -130.895153126822 -316.868233268342</f>
        <v>-925.92576233100397</v>
      </c>
      <c r="R2430">
        <f>-703.655506099445 -71.9429031763735 -83.6682982336407</f>
        <v>-859.26670750945925</v>
      </c>
      <c r="S2430" t="s">
        <v>26158</v>
      </c>
      <c r="T2430" t="s">
        <v>26159</v>
      </c>
      <c r="U2430" t="s">
        <v>26160</v>
      </c>
      <c r="V2430">
        <f>-592.640554783105 -228.77731861811 -85.709459284541</f>
        <v>-907.12733268575607</v>
      </c>
      <c r="W2430" t="s">
        <v>26161</v>
      </c>
      <c r="X2430" t="s">
        <v>26162</v>
      </c>
      <c r="Y2430" t="s">
        <v>26163</v>
      </c>
    </row>
    <row r="2431" spans="1:25" x14ac:dyDescent="0.3">
      <c r="A2431">
        <v>121500</v>
      </c>
      <c r="B2431" t="s">
        <v>26164</v>
      </c>
      <c r="C2431">
        <f>-649.511895361494 -148.792154805959 -83.4878663627413</f>
        <v>-881.79191653019427</v>
      </c>
      <c r="D2431">
        <f>-673.333500657434 -165.075295554782 -195.664630930794</f>
        <v>-1034.0734271430099</v>
      </c>
      <c r="E2431">
        <f>-689.262786873531 -163.763299029546 -292.984555706372</f>
        <v>-1146.0106416094491</v>
      </c>
      <c r="F2431">
        <f>-702.272822353757 -156.812540011565 -380.851876182725</f>
        <v>-1239.9372385480469</v>
      </c>
      <c r="G2431">
        <f>-713.573251366446 -143.915156617755 -468.283142413748</f>
        <v>-1325.7715503979489</v>
      </c>
      <c r="H2431">
        <f>-727.544934598722 -119.696117925094 -589.687509767152</f>
        <v>-1436.9285622909679</v>
      </c>
      <c r="I2431">
        <f>-716.881921196753 -90.6178861314721 -666.796458776451</f>
        <v>-1474.2962661046761</v>
      </c>
      <c r="J2431">
        <f>-737.30630978114 -108.526695259571 -530.078259721868</f>
        <v>-1375.9112647625789</v>
      </c>
      <c r="K2431">
        <f>-814.471335926898 -2.69491276114877 -488.271678005888</f>
        <v>-1305.4379266939347</v>
      </c>
      <c r="L2431" t="s">
        <v>26165</v>
      </c>
      <c r="M2431" t="s">
        <v>26166</v>
      </c>
      <c r="N2431">
        <f>-705.487074861214 -152.180759520936 -542.448579768101</f>
        <v>-1400.1164141502509</v>
      </c>
      <c r="O2431">
        <f>-624.685016027422 -263.358408571804 -543.390821217795</f>
        <v>-1431.4342458170208</v>
      </c>
      <c r="P2431">
        <f>-549.075635308378 -356.465309470938 -274.67992261558</f>
        <v>-1180.220867394896</v>
      </c>
      <c r="Q2431">
        <f>-480.734654415795 -129.313869288741 -316.900526021651</f>
        <v>-926.9490497261869</v>
      </c>
      <c r="R2431">
        <f>-705.124444871538 -71.0748161609482 -83.4263607517407</f>
        <v>-859.62562178422695</v>
      </c>
      <c r="S2431" t="s">
        <v>26167</v>
      </c>
      <c r="T2431" t="s">
        <v>26168</v>
      </c>
      <c r="U2431" t="s">
        <v>26169</v>
      </c>
      <c r="V2431">
        <f>-593.419073345144 -226.477045216495 -85.8103142783363</f>
        <v>-905.70643283997538</v>
      </c>
      <c r="W2431" t="s">
        <v>26170</v>
      </c>
      <c r="X2431" t="s">
        <v>26171</v>
      </c>
      <c r="Y2431" t="s">
        <v>26172</v>
      </c>
    </row>
    <row r="2432" spans="1:25" x14ac:dyDescent="0.3">
      <c r="A2432">
        <v>121550</v>
      </c>
      <c r="B2432" t="s">
        <v>26173</v>
      </c>
      <c r="C2432">
        <f>-649.420760521786 -147.96880449859 -83.4683261419914</f>
        <v>-880.85789116236731</v>
      </c>
      <c r="D2432">
        <f>-673.282530283817 -164.261937027973 -195.635073933209</f>
        <v>-1033.179541244999</v>
      </c>
      <c r="E2432">
        <f>-689.298957687097 -162.869400966521 -292.939624731885</f>
        <v>-1145.1079833855028</v>
      </c>
      <c r="F2432">
        <f>-702.407005471019 -155.810839266814 -380.783915145792</f>
        <v>-1239.001759883625</v>
      </c>
      <c r="G2432">
        <f>-713.823561461294 -142.771516975739 -468.178789574469</f>
        <v>-1324.7738680115021</v>
      </c>
      <c r="H2432">
        <f>-727.975285494297 -118.319292843161 -589.515725333197</f>
        <v>-1435.810303670655</v>
      </c>
      <c r="I2432">
        <f>-717.311137081391 -89.0788151247245 -666.563063501353</f>
        <v>-1472.9530157074687</v>
      </c>
      <c r="J2432">
        <f>-737.645937024905 -107.262774693399 -529.870479163468</f>
        <v>-1374.7791908817721</v>
      </c>
      <c r="K2432">
        <f>-814.683219938088 -1.5082660964606 -487.677572057359</f>
        <v>-1303.8690580919076</v>
      </c>
      <c r="L2432" t="s">
        <v>26174</v>
      </c>
      <c r="M2432" t="s">
        <v>26175</v>
      </c>
      <c r="N2432">
        <f>-705.849698998881 -150.896190792821 -542.372088816598</f>
        <v>-1399.1179786082998</v>
      </c>
      <c r="O2432">
        <f>-625.036410842194 -262.084258064127 -543.663173342551</f>
        <v>-1430.7838422488721</v>
      </c>
      <c r="P2432">
        <f>-548.968138063086 -355.783233224069 -275.287776834652</f>
        <v>-1180.0391481218071</v>
      </c>
      <c r="Q2432">
        <f>-480.615148469171 -128.53709279415 -316.976080401557</f>
        <v>-926.12832166487806</v>
      </c>
      <c r="R2432">
        <f>-704.603195761055 -70.7961103071583 -83.3210110164888</f>
        <v>-858.72031708470206</v>
      </c>
      <c r="S2432" t="s">
        <v>26176</v>
      </c>
      <c r="T2432" t="s">
        <v>26177</v>
      </c>
      <c r="U2432" t="s">
        <v>26178</v>
      </c>
      <c r="V2432">
        <f>-593.946415137295 -225.400279713585 -85.8051615776036</f>
        <v>-905.15185642848371</v>
      </c>
      <c r="W2432" t="s">
        <v>26179</v>
      </c>
      <c r="X2432" t="s">
        <v>26180</v>
      </c>
      <c r="Y2432" t="s">
        <v>26181</v>
      </c>
    </row>
    <row r="2433" spans="1:25" x14ac:dyDescent="0.3">
      <c r="A2433">
        <v>121600</v>
      </c>
      <c r="B2433" t="s">
        <v>26182</v>
      </c>
      <c r="C2433">
        <f>-648.620803905535 -146.368151359833 -83.3938683034272</f>
        <v>-878.38282356879529</v>
      </c>
      <c r="D2433">
        <f>-672.680269588442 -162.768322899766 -195.502711311561</f>
        <v>-1030.951303799769</v>
      </c>
      <c r="E2433">
        <f>-688.802504398826 -161.336174347203 -292.789259320556</f>
        <v>-1142.9279380665851</v>
      </c>
      <c r="F2433">
        <f>-701.978284101859 -154.188956497744 -380.616119762147</f>
        <v>-1236.7833603617501</v>
      </c>
      <c r="G2433">
        <f>-713.43377479509 -141.009027850732 -467.984964560686</f>
        <v>-1322.427767206508</v>
      </c>
      <c r="H2433">
        <f>-727.609029775594 -116.30740878683 -589.268519414178</f>
        <v>-1433.1849579766019</v>
      </c>
      <c r="I2433">
        <f>-716.770877976866 -86.831359687155 -666.201719734532</f>
        <v>-1469.8039573985529</v>
      </c>
      <c r="J2433">
        <f>-737.265248616616 -105.37145594122 -529.598841684626</f>
        <v>-1372.2355462424621</v>
      </c>
      <c r="K2433" t="s">
        <v>26183</v>
      </c>
      <c r="L2433" t="s">
        <v>26184</v>
      </c>
      <c r="M2433" t="s">
        <v>26185</v>
      </c>
      <c r="N2433">
        <f>-705.477151841987 -148.983250814733 -542.196484712704</f>
        <v>-1396.6568873694241</v>
      </c>
      <c r="O2433">
        <f>-624.638679012965 -260.155188933135 -543.699972044431</f>
        <v>-1428.4938399905309</v>
      </c>
      <c r="P2433">
        <f>-549.012476576461 -354.089725050655 -275.281996236983</f>
        <v>-1178.384197864099</v>
      </c>
      <c r="Q2433">
        <f>-480.109363313883 -126.851196091049 -316.097292034622</f>
        <v>-923.05785143955404</v>
      </c>
      <c r="R2433">
        <f>-703.833436590729 -69.553052769411 -83.2787375345284</f>
        <v>-856.66522689466842</v>
      </c>
      <c r="S2433" t="s">
        <v>26186</v>
      </c>
      <c r="T2433" t="s">
        <v>26187</v>
      </c>
      <c r="U2433" t="s">
        <v>26188</v>
      </c>
      <c r="V2433">
        <f>-593.370551691005 -223.635100080412 -85.4581523638051</f>
        <v>-902.46380413522206</v>
      </c>
      <c r="W2433" t="s">
        <v>26189</v>
      </c>
      <c r="X2433" t="s">
        <v>26190</v>
      </c>
      <c r="Y2433" t="s">
        <v>26191</v>
      </c>
    </row>
    <row r="2434" spans="1:25" x14ac:dyDescent="0.3">
      <c r="A2434">
        <v>121650</v>
      </c>
      <c r="B2434" t="s">
        <v>26192</v>
      </c>
      <c r="C2434">
        <f>-648.39355342902 -145.91467733016 -83.3025497139183</f>
        <v>-877.61078047309832</v>
      </c>
      <c r="D2434">
        <f>-672.547056775512 -162.416206760545 -195.376186783809</f>
        <v>-1030.339450319866</v>
      </c>
      <c r="E2434">
        <f>-688.680482352271 -161.033409597443 -292.661749889136</f>
        <v>-1142.37564183885</v>
      </c>
      <c r="F2434">
        <f>-701.839088425407 -153.914602891619 -380.493526268732</f>
        <v>-1236.2472175857579</v>
      </c>
      <c r="G2434">
        <f>-713.250366419066 -140.747105005787 -467.869843745407</f>
        <v>-1321.8673151702601</v>
      </c>
      <c r="H2434">
        <f>-727.335896584972 -116.045897328204 -589.163976814236</f>
        <v>-1432.545770727412</v>
      </c>
      <c r="I2434">
        <f>-716.378341166607 -86.5283234135792 -666.064364765064</f>
        <v>-1468.9710293452504</v>
      </c>
      <c r="J2434">
        <f>-737.026979060254 -105.103058440434 -529.501312922839</f>
        <v>-1371.631350423527</v>
      </c>
      <c r="K2434" t="s">
        <v>26193</v>
      </c>
      <c r="L2434" t="s">
        <v>26194</v>
      </c>
      <c r="M2434" t="s">
        <v>26195</v>
      </c>
      <c r="N2434">
        <f>-705.248240850661 -148.728204995242 -542.075821662195</f>
        <v>-1396.0522675080979</v>
      </c>
      <c r="O2434">
        <f>-624.398946947686 -259.894718939832 -543.505899923969</f>
        <v>-1427.7995658114869</v>
      </c>
      <c r="P2434">
        <f>-549.338996567221 -353.706904768067 -274.886386793966</f>
        <v>-1177.9322881292539</v>
      </c>
      <c r="Q2434">
        <f>-480.015375411219 -126.520968964661 -315.279882976843</f>
        <v>-921.81622735272299</v>
      </c>
      <c r="R2434">
        <f>-703.830791023965 -68.8197846415483 -83.2962419459327</f>
        <v>-855.94681761144602</v>
      </c>
      <c r="S2434" t="s">
        <v>26196</v>
      </c>
      <c r="T2434" t="s">
        <v>26197</v>
      </c>
      <c r="U2434" t="s">
        <v>26198</v>
      </c>
      <c r="V2434">
        <f>-593.153298549245 -223.604600502316 -85.268615902349</f>
        <v>-902.02651495391001</v>
      </c>
      <c r="W2434" t="s">
        <v>26199</v>
      </c>
      <c r="X2434" t="s">
        <v>26200</v>
      </c>
      <c r="Y2434" t="s">
        <v>26201</v>
      </c>
    </row>
    <row r="2435" spans="1:25" x14ac:dyDescent="0.3">
      <c r="A2435">
        <v>121700</v>
      </c>
      <c r="B2435" t="s">
        <v>26202</v>
      </c>
      <c r="C2435">
        <f>-648.083123048933 -145.331707763466 -83.1697704375151</f>
        <v>-876.58460124991416</v>
      </c>
      <c r="D2435">
        <f>-672.415306349574 -161.955626478842 -195.186892085701</f>
        <v>-1029.557824914117</v>
      </c>
      <c r="E2435">
        <f>-688.563273229356 -160.669192095354 -292.471183008782</f>
        <v>-1141.7036483334921</v>
      </c>
      <c r="F2435">
        <f>-701.679563844398 -153.631856790781 -380.31576684501</f>
        <v>-1235.6271874801891</v>
      </c>
      <c r="G2435">
        <f>-712.992387045972 -140.540756313317 -467.716507423603</f>
        <v>-1321.2496507828919</v>
      </c>
      <c r="H2435">
        <f>-726.881400356021 -115.940962260097 -589.053885156775</f>
        <v>-1431.8762477728928</v>
      </c>
      <c r="I2435">
        <f>-715.689356646165 -86.4910093733886 -665.946398554616</f>
        <v>-1468.1267645741696</v>
      </c>
      <c r="J2435">
        <f>-736.604192486134 -104.901744930946 -529.414092127016</f>
        <v>-1370.920029544096</v>
      </c>
      <c r="K2435" t="s">
        <v>26203</v>
      </c>
      <c r="L2435" t="s">
        <v>26204</v>
      </c>
      <c r="M2435" t="s">
        <v>26205</v>
      </c>
      <c r="N2435">
        <f>-704.934897733702 -148.63046570356 -541.904663129439</f>
        <v>-1395.4700265667011</v>
      </c>
      <c r="O2435">
        <f>-624.21214762482 -259.905343624687 -543.086732988014</f>
        <v>-1427.204224237521</v>
      </c>
      <c r="P2435">
        <f>-550.191645375518 -353.699496399431 -274.172559495045</f>
        <v>-1178.063701269994</v>
      </c>
      <c r="Q2435">
        <f>-480.66504409522 -126.475759452012 -314.000797118326</f>
        <v>-921.14160066555803</v>
      </c>
      <c r="R2435">
        <f>-703.892709663305 -67.301257331029 -83.3364027481363</f>
        <v>-854.53036974247027</v>
      </c>
      <c r="S2435" t="s">
        <v>26206</v>
      </c>
      <c r="T2435" t="s">
        <v>26207</v>
      </c>
      <c r="U2435" t="s">
        <v>26208</v>
      </c>
      <c r="V2435">
        <f>-592.603173791581 -223.782337814272 -85.1216096297178</f>
        <v>-901.50712123557082</v>
      </c>
      <c r="W2435" t="s">
        <v>26209</v>
      </c>
      <c r="X2435" t="s">
        <v>26210</v>
      </c>
      <c r="Y2435" t="s">
        <v>26211</v>
      </c>
    </row>
    <row r="2436" spans="1:25" x14ac:dyDescent="0.3">
      <c r="A2436">
        <v>121750</v>
      </c>
      <c r="B2436" t="s">
        <v>26212</v>
      </c>
      <c r="C2436">
        <f>-647.919207895553 -144.729996533515 -83.2046656058715</f>
        <v>-875.8538700349394</v>
      </c>
      <c r="D2436">
        <f>-672.285218588111 -161.353952103602 -195.21431201172</f>
        <v>-1028.853482703433</v>
      </c>
      <c r="E2436">
        <f>-688.420751992632 -160.095720275345 -292.501159071292</f>
        <v>-1141.017631339269</v>
      </c>
      <c r="F2436">
        <f>-701.508435018849 -153.094699648819 -380.352942513383</f>
        <v>-1234.9560771810511</v>
      </c>
      <c r="G2436">
        <f>-712.774199484944 -140.051033382583 -467.766876307616</f>
        <v>-1320.5921091751429</v>
      </c>
      <c r="H2436">
        <f>-726.577477305435 -115.529323305619 -589.12990206212</f>
        <v>-1431.236702673174</v>
      </c>
      <c r="I2436">
        <f>-715.263556076539 -86.1855941584621 -666.045096166078</f>
        <v>-1467.4942464010792</v>
      </c>
      <c r="J2436">
        <f>-736.294327928254 -104.417309945203 -529.502479153659</f>
        <v>-1370.2141170271161</v>
      </c>
      <c r="K2436" t="s">
        <v>26213</v>
      </c>
      <c r="L2436" t="s">
        <v>26214</v>
      </c>
      <c r="M2436" t="s">
        <v>26215</v>
      </c>
      <c r="N2436">
        <f>-704.712423949098 -148.222837743616 -541.945480252291</f>
        <v>-1394.880741945005</v>
      </c>
      <c r="O2436">
        <f>-624.152823032898 -259.607734689462 -543.019097097166</f>
        <v>-1426.7796548195261</v>
      </c>
      <c r="P2436">
        <f>-550.707513430291 -353.214842725236 -273.882171876292</f>
        <v>-1177.804528031819</v>
      </c>
      <c r="Q2436">
        <f>-480.954142208281 -126.049076064265 -313.644831337185</f>
        <v>-920.64804960973095</v>
      </c>
      <c r="R2436">
        <f>-703.640696299643 -66.4035642707706 -83.3983406749013</f>
        <v>-853.4426012453149</v>
      </c>
      <c r="S2436" t="s">
        <v>26216</v>
      </c>
      <c r="T2436" t="s">
        <v>26217</v>
      </c>
      <c r="U2436" t="s">
        <v>26218</v>
      </c>
      <c r="V2436">
        <f>-592.579390677617 -223.231413963436 -85.2112757128862</f>
        <v>-901.02208035393915</v>
      </c>
      <c r="W2436" t="s">
        <v>26219</v>
      </c>
      <c r="X2436" t="s">
        <v>26220</v>
      </c>
      <c r="Y2436" t="s">
        <v>26221</v>
      </c>
    </row>
    <row r="2437" spans="1:25" x14ac:dyDescent="0.3">
      <c r="A2437">
        <v>121800</v>
      </c>
      <c r="B2437" t="s">
        <v>26222</v>
      </c>
      <c r="C2437">
        <f>-647.513560132966 -142.344708928774 -83.342681361767</f>
        <v>-873.20095042350704</v>
      </c>
      <c r="D2437">
        <f>-671.913211316384 -158.951005650174 -195.34767357984</f>
        <v>-1026.2118905463981</v>
      </c>
      <c r="E2437">
        <f>-688.016260462092 -157.763760649162 -292.640764919733</f>
        <v>-1138.4207860309871</v>
      </c>
      <c r="F2437">
        <f>-701.046263284519 -150.861318417163 -380.508896153753</f>
        <v>-1232.416477855435</v>
      </c>
      <c r="G2437">
        <f>-712.22214917282 -137.95189266786 -467.954216160055</f>
        <v>-1318.1282580007351</v>
      </c>
      <c r="H2437">
        <f>-725.863597320554 -113.65517350411 -589.380693960143</f>
        <v>-1428.8994647848072</v>
      </c>
      <c r="I2437">
        <f>-714.253338041054 -84.634766781974 -666.374468698374</f>
        <v>-1465.2625735214019</v>
      </c>
      <c r="J2437">
        <f>-735.547431122786 -102.353039942427 -529.783746589085</f>
        <v>-1367.684217654298</v>
      </c>
      <c r="K2437" t="s">
        <v>26223</v>
      </c>
      <c r="L2437" t="s">
        <v>26224</v>
      </c>
      <c r="M2437" t="s">
        <v>26225</v>
      </c>
      <c r="N2437">
        <f>-704.173970026569 -146.340877933312 -542.110182148021</f>
        <v>-1392.6250301079019</v>
      </c>
      <c r="O2437">
        <f>-624.04256348141 -258.050169546831 -542.971903377198</f>
        <v>-1425.0646364054389</v>
      </c>
      <c r="P2437">
        <f>-551.409498926337 -351.29756619605 -273.489887041873</f>
        <v>-1176.19695216426</v>
      </c>
      <c r="Q2437">
        <f>-481.240716473112 -124.332829591949 -313.66730713686</f>
        <v>-919.24085320192103</v>
      </c>
      <c r="R2437">
        <f>-702.912981795448 -64.038484580039 -83.5256130375388</f>
        <v>-850.47707941302588</v>
      </c>
      <c r="S2437" t="s">
        <v>26226</v>
      </c>
      <c r="T2437" t="s">
        <v>26227</v>
      </c>
      <c r="U2437" t="s">
        <v>26228</v>
      </c>
      <c r="V2437">
        <f>-592.357374468247 -220.671455984566 -85.2412690421251</f>
        <v>-898.27009949493811</v>
      </c>
      <c r="W2437" t="s">
        <v>26229</v>
      </c>
      <c r="X2437" t="s">
        <v>26230</v>
      </c>
      <c r="Y2437" t="s">
        <v>26231</v>
      </c>
    </row>
    <row r="2438" spans="1:25" x14ac:dyDescent="0.3">
      <c r="A2438">
        <v>121850</v>
      </c>
      <c r="B2438" t="s">
        <v>26232</v>
      </c>
      <c r="C2438">
        <f>-647.158409887542 -141.036741871608 -83.3506726597753</f>
        <v>-871.54582441892535</v>
      </c>
      <c r="D2438">
        <f>-671.598690319735 -157.635308184876 -195.347897215478</f>
        <v>-1024.5818957200891</v>
      </c>
      <c r="E2438">
        <f>-687.693473615976 -156.472318274193 -292.642640162902</f>
        <v>-1136.8084320530711</v>
      </c>
      <c r="F2438">
        <f>-700.699174373934 -149.603094951388 -380.517040863527</f>
        <v>-1230.8193101888492</v>
      </c>
      <c r="G2438">
        <f>-711.833531923918 -136.738709959306 -467.974319638744</f>
        <v>-1316.546561521968</v>
      </c>
      <c r="H2438">
        <f>-725.39845940115 -112.517041829636 -589.424364794967</f>
        <v>-1427.3398660257531</v>
      </c>
      <c r="I2438">
        <f>-713.615486900908 -83.6495760803427 -666.449397869334</f>
        <v>-1463.7144608505846</v>
      </c>
      <c r="J2438">
        <f>-735.065530948201 -101.139912652053 -529.838997534092</f>
        <v>-1366.044441134346</v>
      </c>
      <c r="K2438" t="s">
        <v>26233</v>
      </c>
      <c r="L2438" t="s">
        <v>26234</v>
      </c>
      <c r="M2438" t="s">
        <v>26235</v>
      </c>
      <c r="N2438">
        <f>-703.792916413027 -145.211783560653 -542.121370770085</f>
        <v>-1391.126070743765</v>
      </c>
      <c r="O2438">
        <f>-623.904003022157 -257.092625291747 -542.92302448054</f>
        <v>-1423.9196527944441</v>
      </c>
      <c r="P2438">
        <f>-551.526631434301 -350.18027729695 -273.31696886948</f>
        <v>-1175.0238776007309</v>
      </c>
      <c r="Q2438">
        <f>-480.869812176655 -123.418799040754 -313.785664143784</f>
        <v>-918.07427536119303</v>
      </c>
      <c r="R2438">
        <f>-702.469328053285 -62.7972202858832 -83.5367790417249</f>
        <v>-848.80332738089317</v>
      </c>
      <c r="S2438" t="s">
        <v>26236</v>
      </c>
      <c r="T2438" t="s">
        <v>26237</v>
      </c>
      <c r="U2438" t="s">
        <v>26238</v>
      </c>
      <c r="V2438">
        <f>-592.033033510015 -219.412388610502 -85.1815009368645</f>
        <v>-896.62692305738153</v>
      </c>
      <c r="W2438" t="s">
        <v>26239</v>
      </c>
      <c r="X2438" t="s">
        <v>26240</v>
      </c>
      <c r="Y2438" t="s">
        <v>26241</v>
      </c>
    </row>
    <row r="2439" spans="1:25" x14ac:dyDescent="0.3">
      <c r="A2439">
        <v>121900</v>
      </c>
      <c r="B2439" t="s">
        <v>26242</v>
      </c>
      <c r="C2439">
        <f>-646.884181632596 -138.662672105736 -83.320160777614</f>
        <v>-868.86701451594593</v>
      </c>
      <c r="D2439">
        <f>-671.308223582546 -155.210950288466 -195.328405067905</f>
        <v>-1021.8475789389171</v>
      </c>
      <c r="E2439">
        <f>-687.303682170235 -154.050161424704 -292.639516137351</f>
        <v>-1133.9933597322899</v>
      </c>
      <c r="F2439">
        <f>-700.185688827574 -147.19943006491 -380.533548956418</f>
        <v>-1227.918667848902</v>
      </c>
      <c r="G2439">
        <f>-711.16068112013 -134.371507153908 -468.016277026014</f>
        <v>-1313.5484653000519</v>
      </c>
      <c r="H2439">
        <f>-724.465060170854 -110.219827379043 -589.509150356158</f>
        <v>-1424.194037906055</v>
      </c>
      <c r="I2439">
        <f>-712.34352163329 -81.5483117268362 -666.554914482779</f>
        <v>-1460.4467478429053</v>
      </c>
      <c r="J2439">
        <f>-734.136029405393 -98.7219447090649 -529.947487737859</f>
        <v>-1362.805461852317</v>
      </c>
      <c r="K2439" t="s">
        <v>26243</v>
      </c>
      <c r="L2439" t="s">
        <v>26244</v>
      </c>
      <c r="M2439" t="s">
        <v>26245</v>
      </c>
      <c r="N2439">
        <f>-703.084863547472 -142.973677449902 -542.144667850657</f>
        <v>-1388.203208848031</v>
      </c>
      <c r="O2439">
        <f>-623.819752228669 -255.288172790896 -542.724557131943</f>
        <v>-1421.832482151508</v>
      </c>
      <c r="P2439">
        <f>-552.023493564811 -348.490817605158 -273.002897628894</f>
        <v>-1173.5172087988631</v>
      </c>
      <c r="Q2439">
        <f>-480.151855814009 -122.161951038456 -313.753096775001</f>
        <v>-916.06690362746599</v>
      </c>
      <c r="R2439">
        <f>-702.138584568515 -60.4254828960261 -83.5719024777637</f>
        <v>-846.13596994230477</v>
      </c>
      <c r="S2439" t="s">
        <v>26246</v>
      </c>
      <c r="T2439" t="s">
        <v>26247</v>
      </c>
      <c r="U2439" t="s">
        <v>26248</v>
      </c>
      <c r="V2439">
        <f>-591.908553720151 -217.218461508022 -85.0943190458451</f>
        <v>-894.22133427401798</v>
      </c>
      <c r="W2439" t="s">
        <v>26249</v>
      </c>
      <c r="X2439" t="s">
        <v>26250</v>
      </c>
      <c r="Y2439" t="s">
        <v>26251</v>
      </c>
    </row>
    <row r="2440" spans="1:25" x14ac:dyDescent="0.3">
      <c r="A2440">
        <v>121950</v>
      </c>
      <c r="B2440" t="s">
        <v>26252</v>
      </c>
      <c r="C2440">
        <f>-646.781512288417 -137.636800023424 -83.2932607640259</f>
        <v>-867.71157307586702</v>
      </c>
      <c r="D2440">
        <f>-671.157259719243 -154.136105466677 -195.319233128028</f>
        <v>-1020.6125983139481</v>
      </c>
      <c r="E2440">
        <f>-687.061558817828 -152.972689658245 -292.645323056823</f>
        <v>-1132.679571532896</v>
      </c>
      <c r="F2440">
        <f>-699.841379649728 -146.13476681308 -380.555320658414</f>
        <v>-1226.531467121222</v>
      </c>
      <c r="G2440">
        <f>-710.693605037821 -133.335573472174 -468.057520706494</f>
        <v>-1312.086699216489</v>
      </c>
      <c r="H2440">
        <f>-723.804552796589 -109.240580147762 -589.582649019182</f>
        <v>-1422.6277819635329</v>
      </c>
      <c r="I2440">
        <f>-711.519450203539 -80.6484086201056 -666.631824970775</f>
        <v>-1458.7996837944197</v>
      </c>
      <c r="J2440">
        <f>-733.510627352062 -97.6735197012043 -530.040142233453</f>
        <v>-1361.2242892867193</v>
      </c>
      <c r="K2440" t="s">
        <v>26253</v>
      </c>
      <c r="L2440" t="s">
        <v>26254</v>
      </c>
      <c r="M2440" t="s">
        <v>26255</v>
      </c>
      <c r="N2440">
        <f>-702.559558194134 -142.013622135117 -542.170821202968</f>
        <v>-1386.744001532219</v>
      </c>
      <c r="O2440">
        <f>-623.572810226352 -254.525253559793 -542.580878998667</f>
        <v>-1420.6789427848121</v>
      </c>
      <c r="P2440">
        <f>-552.465192291268 -347.921743973623 -272.74392022166</f>
        <v>-1173.1308564865508</v>
      </c>
      <c r="Q2440">
        <f>-479.686983237447 -121.891615396602 -313.543673681964</f>
        <v>-915.1222723160131</v>
      </c>
      <c r="R2440">
        <f>-701.892083573671 -59.3422711844597 -83.5744592340363</f>
        <v>-844.80881399216707</v>
      </c>
      <c r="S2440" t="s">
        <v>26256</v>
      </c>
      <c r="T2440" t="s">
        <v>26257</v>
      </c>
      <c r="U2440" t="s">
        <v>26258</v>
      </c>
      <c r="V2440">
        <f>-591.92210172905 -216.270472673793 -85.0598684527401</f>
        <v>-893.25244285558324</v>
      </c>
      <c r="W2440" t="s">
        <v>26259</v>
      </c>
      <c r="X2440" t="s">
        <v>26260</v>
      </c>
      <c r="Y2440" t="s">
        <v>26261</v>
      </c>
    </row>
    <row r="2441" spans="1:25" x14ac:dyDescent="0.3">
      <c r="A2441">
        <v>122000</v>
      </c>
      <c r="B2441" t="s">
        <v>26262</v>
      </c>
      <c r="C2441">
        <f>-646.496014797897 -135.870039659921 -83.4037313281872</f>
        <v>-865.76978578600517</v>
      </c>
      <c r="D2441">
        <f>-670.800519821744 -152.259228808188 -195.461333481238</f>
        <v>-1018.52108211117</v>
      </c>
      <c r="E2441">
        <f>-686.520425980438 -151.118449573309 -292.817627998454</f>
        <v>-1130.456503552201</v>
      </c>
      <c r="F2441">
        <f>-699.085499451782 -144.346435537873 -380.763576990865</f>
        <v>-1224.19551198052</v>
      </c>
      <c r="G2441">
        <f>-709.674052741065 -131.659571909938 -468.314522860619</f>
        <v>-1309.648147511622</v>
      </c>
      <c r="H2441">
        <f>-722.365512420198 -107.769694596444 -589.924687567443</f>
        <v>-1420.059894584085</v>
      </c>
      <c r="I2441">
        <f>-709.753719406131 -79.3753805173963 -666.994255226311</f>
        <v>-1456.1233551498383</v>
      </c>
      <c r="J2441">
        <f>-732.169112729072 -96.0281614233631 -530.432393442623</f>
        <v>-1358.6296675950582</v>
      </c>
      <c r="K2441" t="s">
        <v>26263</v>
      </c>
      <c r="L2441" t="s">
        <v>26264</v>
      </c>
      <c r="M2441" t="s">
        <v>26265</v>
      </c>
      <c r="N2441">
        <f>-701.392185860808 -140.536735527583 -542.387807937725</f>
        <v>-1384.316729326116</v>
      </c>
      <c r="O2441">
        <f>-622.91934708101 -253.405592619651 -542.351617705405</f>
        <v>-1418.676557406066</v>
      </c>
      <c r="P2441">
        <f>-553.546022523772 -346.799948947135 -272.062886444509</f>
        <v>-1172.4088579154159</v>
      </c>
      <c r="Q2441">
        <f>-478.758756064796 -121.430058525017 -312.881290945242</f>
        <v>-913.07010553505495</v>
      </c>
      <c r="R2441">
        <f>-701.191619351285 -57.5677862484862 -83.6990685233428</f>
        <v>-842.458474123114</v>
      </c>
      <c r="S2441" t="s">
        <v>26266</v>
      </c>
      <c r="T2441" t="s">
        <v>26267</v>
      </c>
      <c r="U2441" t="s">
        <v>26268</v>
      </c>
      <c r="V2441">
        <f>-592.100865778978 -214.513120586141 -85.2137556586732</f>
        <v>-891.82774202379221</v>
      </c>
      <c r="W2441" t="s">
        <v>26269</v>
      </c>
      <c r="X2441" t="s">
        <v>26270</v>
      </c>
      <c r="Y2441" t="s">
        <v>26271</v>
      </c>
    </row>
    <row r="2442" spans="1:25" x14ac:dyDescent="0.3">
      <c r="A2442">
        <v>122050</v>
      </c>
      <c r="B2442" t="s">
        <v>26272</v>
      </c>
      <c r="C2442">
        <f>-646.374918269384 -134.607876108756 -83.5519146923004</f>
        <v>-864.53470907044039</v>
      </c>
      <c r="D2442">
        <f>-670.627397526667 -150.937532917191 -195.629526889213</f>
        <v>-1017.194457333071</v>
      </c>
      <c r="E2442">
        <f>-686.257817052061 -149.814907570803 -293.000356687206</f>
        <v>-1129.0730813100699</v>
      </c>
      <c r="F2442">
        <f>-698.725433993179 -143.086056615625 -380.96356344776</f>
        <v>-1222.7750540565639</v>
      </c>
      <c r="G2442">
        <f>-709.200123609239 -130.469452497842 -468.538398871997</f>
        <v>-1308.207974979078</v>
      </c>
      <c r="H2442">
        <f>-721.715627442132 -106.70563043006 -590.191343502257</f>
        <v>-1418.612601374449</v>
      </c>
      <c r="I2442">
        <f>-708.971270927344 -78.4329505474482 -667.283833420989</f>
        <v>-1454.6880548957811</v>
      </c>
      <c r="J2442">
        <f>-731.558640801638 -94.8706200951098 -530.724023859871</f>
        <v>-1357.1532847566186</v>
      </c>
      <c r="K2442" t="s">
        <v>26273</v>
      </c>
      <c r="L2442" t="s">
        <v>26274</v>
      </c>
      <c r="M2442" t="s">
        <v>26275</v>
      </c>
      <c r="N2442">
        <f>-700.857747790764 -139.455145687369 -542.591722030778</f>
        <v>-1382.9046155089109</v>
      </c>
      <c r="O2442">
        <f>-622.632958254208 -252.504572814018 -542.311289477075</f>
        <v>-1417.448820545301</v>
      </c>
      <c r="P2442">
        <f>-554.163440555673 -345.681826244433 -271.717215157447</f>
        <v>-1171.562481957553</v>
      </c>
      <c r="Q2442">
        <f>-478.468974146918 -120.638731261848 -312.666250189912</f>
        <v>-911.77395559867796</v>
      </c>
      <c r="R2442">
        <f>-700.889525650388 -56.3902181148871 -83.8717932889651</f>
        <v>-841.15153705424029</v>
      </c>
      <c r="S2442" t="s">
        <v>26276</v>
      </c>
      <c r="T2442" t="s">
        <v>26277</v>
      </c>
      <c r="U2442" t="s">
        <v>26278</v>
      </c>
      <c r="V2442">
        <f>-592.205440846118 -212.917164887992 -85.3709991441502</f>
        <v>-890.49360487826027</v>
      </c>
      <c r="W2442" t="s">
        <v>26279</v>
      </c>
      <c r="X2442" t="s">
        <v>26280</v>
      </c>
      <c r="Y2442" t="s">
        <v>26281</v>
      </c>
    </row>
    <row r="2443" spans="1:25" x14ac:dyDescent="0.3">
      <c r="A2443">
        <v>122100</v>
      </c>
      <c r="B2443" t="s">
        <v>26282</v>
      </c>
      <c r="C2443">
        <f>-646.54582196884 -132.092798417155 -84.0714466229629</f>
        <v>-862.71006700895782</v>
      </c>
      <c r="D2443">
        <f>-670.796998727159 -148.340528960494 -196.16118427898</f>
        <v>-1015.2987119666329</v>
      </c>
      <c r="E2443">
        <f>-686.270531018287 -147.259205680786 -293.557502990665</f>
        <v>-1127.087239689738</v>
      </c>
      <c r="F2443">
        <f>-698.538445474779 -140.60961879023 -381.554954137412</f>
        <v>-1220.7030184024211</v>
      </c>
      <c r="G2443">
        <f>-708.756690241428 -128.114525311975 -469.177447812834</f>
        <v>-1306.0486633662372</v>
      </c>
      <c r="H2443">
        <f>-720.856043572817 -104.563657126287 -590.913899062651</f>
        <v>-1416.3335997617551</v>
      </c>
      <c r="I2443">
        <f>-707.836695953624 -76.5708387807151 -668.062558981061</f>
        <v>-1452.4700937154003</v>
      </c>
      <c r="J2443">
        <f>-730.81401322087 -92.5648222300912 -531.49848887418</f>
        <v>-1354.8773243251412</v>
      </c>
      <c r="K2443" t="s">
        <v>26283</v>
      </c>
      <c r="L2443" t="s">
        <v>26284</v>
      </c>
      <c r="M2443" t="s">
        <v>26285</v>
      </c>
      <c r="N2443">
        <f>-700.249378463534 -137.289649473866 -543.188779865755</f>
        <v>-1380.727807803155</v>
      </c>
      <c r="O2443">
        <f>-622.350227703906 -250.550458803727 -542.489343642101</f>
        <v>-1415.3900301497338</v>
      </c>
      <c r="P2443">
        <f>-555.397327298473 -343.57910254869 -271.465064171868</f>
        <v>-1170.4414940190309</v>
      </c>
      <c r="Q2443">
        <f>-478.651027818211 -118.915800944647 -312.541647634386</f>
        <v>-910.10847639724398</v>
      </c>
      <c r="R2443">
        <f>-700.990955443811 -54.1236988162187 -84.430753809731</f>
        <v>-839.5454080697607</v>
      </c>
      <c r="S2443" t="s">
        <v>26286</v>
      </c>
      <c r="T2443" t="s">
        <v>26287</v>
      </c>
      <c r="U2443" t="s">
        <v>26288</v>
      </c>
      <c r="V2443">
        <f>-592.47642301791 -210.279794117673 -85.9462839525061</f>
        <v>-888.70250108808898</v>
      </c>
      <c r="W2443" t="s">
        <v>26289</v>
      </c>
      <c r="X2443" t="s">
        <v>26290</v>
      </c>
      <c r="Y2443" t="s">
        <v>26291</v>
      </c>
    </row>
    <row r="2444" spans="1:25" x14ac:dyDescent="0.3">
      <c r="A2444">
        <v>122150</v>
      </c>
      <c r="B2444" t="s">
        <v>26292</v>
      </c>
      <c r="C2444">
        <f>-646.717820123193 -131.136939872176 -84.4207374065778</f>
        <v>-862.27549740194672</v>
      </c>
      <c r="D2444">
        <f>-670.991369740912 -147.422647128437 -196.50009134175</f>
        <v>-1014.914108211099</v>
      </c>
      <c r="E2444">
        <f>-686.411915152052 -146.408066613318 -293.905673613972</f>
        <v>-1126.7256553793418</v>
      </c>
      <c r="F2444">
        <f>-698.603314685561 -139.831690092205 -381.919039437694</f>
        <v>-1220.3540442154599</v>
      </c>
      <c r="G2444">
        <f>-708.716394789041 -127.422648285454 -469.566077173855</f>
        <v>-1305.7051202483499</v>
      </c>
      <c r="H2444">
        <f>-720.638788188634 -104.005251513497 -591.345651111954</f>
        <v>-1415.989690814085</v>
      </c>
      <c r="I2444">
        <f>-707.493583433814 -76.1472470312075 -668.521808817124</f>
        <v>-1452.1626392821454</v>
      </c>
      <c r="J2444">
        <f>-730.656171975328 -91.9231225219282 -531.957322456155</f>
        <v>-1354.5366169534113</v>
      </c>
      <c r="K2444" t="s">
        <v>26293</v>
      </c>
      <c r="L2444" t="s">
        <v>26294</v>
      </c>
      <c r="M2444" t="s">
        <v>26295</v>
      </c>
      <c r="N2444">
        <f>-700.128485117797 -136.697048322456 -543.555809365177</f>
        <v>-1380.38134280543</v>
      </c>
      <c r="O2444">
        <f>-622.366314451927 -250.042289475792 -542.635830703259</f>
        <v>-1415.044434630978</v>
      </c>
      <c r="P2444">
        <f>-555.723363661999 -343.06378914495 -271.532718140924</f>
        <v>-1170.3198709478729</v>
      </c>
      <c r="Q2444">
        <f>-478.784848549458 -118.461405616709 -312.582275123579</f>
        <v>-909.82852928974603</v>
      </c>
      <c r="R2444">
        <f>-701.152581328625 -53.2155238733895 -84.762259783098</f>
        <v>-839.13036498511258</v>
      </c>
      <c r="S2444" t="s">
        <v>26296</v>
      </c>
      <c r="T2444" t="s">
        <v>26297</v>
      </c>
      <c r="U2444" t="s">
        <v>26298</v>
      </c>
      <c r="V2444">
        <f>-592.63921985427 -209.372195856341 -86.1944684720334</f>
        <v>-888.20588418264447</v>
      </c>
      <c r="W2444" t="s">
        <v>26299</v>
      </c>
      <c r="X2444" t="s">
        <v>26300</v>
      </c>
      <c r="Y2444" t="s">
        <v>26301</v>
      </c>
    </row>
    <row r="2445" spans="1:25" x14ac:dyDescent="0.3">
      <c r="A2445">
        <v>122200</v>
      </c>
      <c r="B2445" t="s">
        <v>26302</v>
      </c>
      <c r="C2445">
        <f>-646.351403975786 -130.516317986929 -85.0366884726778</f>
        <v>-861.90441043539283</v>
      </c>
      <c r="D2445">
        <f>-670.487737746897 -146.847784443316 -197.139085700373</f>
        <v>-1014.474607890586</v>
      </c>
      <c r="E2445">
        <f>-685.776170673381 -145.997985012028 -294.566887705568</f>
        <v>-1126.3410433909771</v>
      </c>
      <c r="F2445">
        <f>-697.838670768769 -139.622987016948 -382.612952595053</f>
        <v>-1220.0746103807701</v>
      </c>
      <c r="G2445">
        <f>-707.81150153699 -127.467240031703 -470.311489765759</f>
        <v>-1305.590231334452</v>
      </c>
      <c r="H2445">
        <f>-719.524346797854 -104.457282211789 -592.189116626292</f>
        <v>-1416.170745635935</v>
      </c>
      <c r="I2445">
        <f>-706.173544010366 -76.8251973745025 -669.411295000033</f>
        <v>-1452.4100363849016</v>
      </c>
      <c r="J2445">
        <f>-729.653920198604 -92.1834507221358 -532.859094994153</f>
        <v>-1354.696465914893</v>
      </c>
      <c r="K2445" t="s">
        <v>26303</v>
      </c>
      <c r="L2445" t="s">
        <v>26304</v>
      </c>
      <c r="M2445" t="s">
        <v>26305</v>
      </c>
      <c r="N2445">
        <f>-699.086181277551 -136.982160162392 -544.254456043956</f>
        <v>-1380.322797483899</v>
      </c>
      <c r="O2445">
        <f>-621.233147285585 -250.277330711524 -542.964878178369</f>
        <v>-1414.4753561754778</v>
      </c>
      <c r="P2445">
        <f>-555.225746233967 -342.845079431337 -271.55092461161</f>
        <v>-1169.6217502769141</v>
      </c>
      <c r="Q2445">
        <f>-478.098977606912 -118.238653569704 -312.223631663176</f>
        <v>-908.56126283979199</v>
      </c>
      <c r="R2445">
        <f>-700.752558013812 -52.6660074680316 -85.3518080101381</f>
        <v>-838.77037349198167</v>
      </c>
      <c r="S2445" t="s">
        <v>26306</v>
      </c>
      <c r="T2445" t="s">
        <v>26307</v>
      </c>
      <c r="U2445" t="s">
        <v>26308</v>
      </c>
      <c r="V2445">
        <f>-591.916437713257 -208.738348145917 -86.6900783484508</f>
        <v>-887.34486420762482</v>
      </c>
      <c r="W2445" t="s">
        <v>26309</v>
      </c>
      <c r="X2445" t="s">
        <v>26310</v>
      </c>
      <c r="Y2445" t="s">
        <v>26311</v>
      </c>
    </row>
    <row r="2446" spans="1:25" x14ac:dyDescent="0.3">
      <c r="A2446">
        <v>122250</v>
      </c>
      <c r="B2446" t="s">
        <v>26312</v>
      </c>
      <c r="C2446">
        <f>-646.0349873258 -130.735879664718 -85.2046414489013</f>
        <v>-861.97550843941929</v>
      </c>
      <c r="D2446">
        <f>-670.098943502283 -147.085446893735 -197.319999972545</f>
        <v>-1014.504390368563</v>
      </c>
      <c r="E2446">
        <f>-685.321242393188 -146.289605166061 -294.758570131001</f>
        <v>-1126.36941769025</v>
      </c>
      <c r="F2446">
        <f>-697.320495982678 -139.980363378901 -382.818068777743</f>
        <v>-1220.118928139322</v>
      </c>
      <c r="G2446">
        <f>-707.226245316932 -127.906638450771 -470.535396955635</f>
        <v>-1305.6682807233381</v>
      </c>
      <c r="H2446">
        <f>-718.840408281394 -105.028471949761 -592.447343246659</f>
        <v>-1416.316223477814</v>
      </c>
      <c r="I2446">
        <f>-705.390462824018 -77.4456906980245 -669.669827403221</f>
        <v>-1452.5059809252634</v>
      </c>
      <c r="J2446">
        <f>-729.04808540807 -92.7108172919982 -533.139731985249</f>
        <v>-1354.8986346853171</v>
      </c>
      <c r="K2446" t="s">
        <v>26313</v>
      </c>
      <c r="L2446" t="s">
        <v>26314</v>
      </c>
      <c r="M2446" t="s">
        <v>26315</v>
      </c>
      <c r="N2446">
        <f>-698.411118647644 -137.481215112685 -544.46012941596</f>
        <v>-1380.3524631762889</v>
      </c>
      <c r="O2446">
        <f>-620.46230349305 -250.715907524383 -543.039875881222</f>
        <v>-1414.2180868986547</v>
      </c>
      <c r="P2446">
        <f>-554.959256173478 -342.705761180449 -271.307667973069</f>
        <v>-1168.9726853269958</v>
      </c>
      <c r="Q2446">
        <f>-477.644660734914 -118.1242631194 -311.760783197093</f>
        <v>-907.52970705140706</v>
      </c>
      <c r="R2446">
        <f>-700.573393560505 -52.9535902311435 -85.5095779841325</f>
        <v>-839.03656177578102</v>
      </c>
      <c r="S2446" t="s">
        <v>26316</v>
      </c>
      <c r="T2446" t="s">
        <v>26317</v>
      </c>
      <c r="U2446" t="s">
        <v>26318</v>
      </c>
      <c r="V2446">
        <f>-591.639425291927 -208.911407023637 -86.7959049222035</f>
        <v>-887.34673723776746</v>
      </c>
      <c r="W2446" t="s">
        <v>26319</v>
      </c>
      <c r="X2446" t="s">
        <v>26320</v>
      </c>
      <c r="Y2446" t="s">
        <v>26321</v>
      </c>
    </row>
    <row r="2447" spans="1:25" x14ac:dyDescent="0.3">
      <c r="A2447">
        <v>122300</v>
      </c>
      <c r="B2447" t="s">
        <v>26322</v>
      </c>
      <c r="C2447">
        <f>-645.979744356969 -131.299538324287 -85.2499924056742</f>
        <v>-862.52927508693028</v>
      </c>
      <c r="D2447">
        <f>-669.952099278231 -147.658781497106 -197.38358813802</f>
        <v>-1014.994468913357</v>
      </c>
      <c r="E2447">
        <f>-684.989862271638 -146.905214712992 -294.85127755844</f>
        <v>-1126.7463545430701</v>
      </c>
      <c r="F2447">
        <f>-696.779961509032 -140.648852776424 -382.942696068664</f>
        <v>-1220.3715103541199</v>
      </c>
      <c r="G2447">
        <f>-706.435889222562 -128.641595785764 -470.697065388291</f>
        <v>-1305.7745503966171</v>
      </c>
      <c r="H2447">
        <f>-717.659365095996 -105.87026078918 -592.665506653281</f>
        <v>-1416.1951325384571</v>
      </c>
      <c r="I2447">
        <f>-704.020228929521 -78.3305588753524 -669.870213339231</f>
        <v>-1452.2210011441043</v>
      </c>
      <c r="J2447">
        <f>-728.134367745273 -93.5532446675695 -533.404375576855</f>
        <v>-1355.0919879896976</v>
      </c>
      <c r="K2447" t="s">
        <v>26323</v>
      </c>
      <c r="L2447" t="s">
        <v>26324</v>
      </c>
      <c r="M2447" t="s">
        <v>26325</v>
      </c>
      <c r="N2447">
        <f>-697.306513619848 -138.228359236415 -544.581897979299</f>
        <v>-1380.116770835562</v>
      </c>
      <c r="O2447">
        <f>-618.895553955926 -251.147273523297 -542.871007457425</f>
        <v>-1412.9138349366481</v>
      </c>
      <c r="P2447">
        <f>-554.088492354237 -342.474166374582 -270.748603935057</f>
        <v>-1167.3112626638761</v>
      </c>
      <c r="Q2447">
        <f>-477.081964059157 -117.752210045615 -311.009034607454</f>
        <v>-905.84320871222599</v>
      </c>
      <c r="R2447">
        <f>-700.689924498649 -53.5011793893918 -85.6068052619698</f>
        <v>-839.7979091500107</v>
      </c>
      <c r="S2447" t="s">
        <v>26326</v>
      </c>
      <c r="T2447" t="s">
        <v>26327</v>
      </c>
      <c r="U2447" t="s">
        <v>26328</v>
      </c>
      <c r="V2447">
        <f>-591.607173434606 -209.326371407228 -86.794965642095</f>
        <v>-887.72851048392897</v>
      </c>
      <c r="W2447" t="s">
        <v>26329</v>
      </c>
      <c r="X2447" t="s">
        <v>26330</v>
      </c>
      <c r="Y2447" t="s">
        <v>26331</v>
      </c>
    </row>
    <row r="2448" spans="1:25" x14ac:dyDescent="0.3">
      <c r="A2448">
        <v>122350</v>
      </c>
      <c r="B2448" t="s">
        <v>26332</v>
      </c>
      <c r="C2448">
        <f>-646.042487640679 -131.541354687902 -85.235726580104</f>
        <v>-862.81956890868503</v>
      </c>
      <c r="D2448">
        <f>-669.91537724291 -147.895486353644 -197.391066562588</f>
        <v>-1015.2019301591421</v>
      </c>
      <c r="E2448">
        <f>-684.829357388373 -147.119542961373 -294.877678358298</f>
        <v>-1126.8265787080441</v>
      </c>
      <c r="F2448">
        <f>-696.493058535121 -140.836049196272 -382.983950371738</f>
        <v>-1220.313058103131</v>
      </c>
      <c r="G2448">
        <f>-706.009104525982 -128.794294610554 -470.748936914376</f>
        <v>-1305.5523360509119</v>
      </c>
      <c r="H2448">
        <f>-717.023924653788 -105.967162093847 -592.726031269084</f>
        <v>-1415.717118016719</v>
      </c>
      <c r="I2448">
        <f>-703.25169311201 -78.3917801012159 -669.894351529403</f>
        <v>-1451.5378247426288</v>
      </c>
      <c r="J2448">
        <f>-727.633034788295 -93.6995877292688 -533.478556147632</f>
        <v>-1354.8111786651959</v>
      </c>
      <c r="K2448" t="s">
        <v>26333</v>
      </c>
      <c r="L2448" t="s">
        <v>26334</v>
      </c>
      <c r="M2448" t="s">
        <v>26335</v>
      </c>
      <c r="N2448">
        <f>-696.720609784519 -138.324967074631 -544.621272023125</f>
        <v>-1379.666848882275</v>
      </c>
      <c r="O2448">
        <f>-618.160359463189 -251.120666797045 -542.777975512495</f>
        <v>-1412.0590017727291</v>
      </c>
      <c r="P2448">
        <f>-553.215365899792 -342.411013891297 -270.676067757685</f>
        <v>-1166.3024475487741</v>
      </c>
      <c r="Q2448">
        <f>-476.831516937548 -117.479729412599 -310.953939175777</f>
        <v>-905.26518552592404</v>
      </c>
      <c r="R2448">
        <f>-700.770313079326 -53.8099763062278 -85.6199777444617</f>
        <v>-840.2002671300155</v>
      </c>
      <c r="S2448" t="s">
        <v>26336</v>
      </c>
      <c r="T2448" t="s">
        <v>26337</v>
      </c>
      <c r="U2448" t="s">
        <v>26338</v>
      </c>
      <c r="V2448">
        <f>-591.562978392907 -209.51341526314 -86.815769099083</f>
        <v>-887.89216275513002</v>
      </c>
      <c r="W2448" t="s">
        <v>26339</v>
      </c>
      <c r="X2448" t="s">
        <v>26340</v>
      </c>
      <c r="Y2448" t="s">
        <v>26341</v>
      </c>
    </row>
    <row r="2449" spans="1:25" x14ac:dyDescent="0.3">
      <c r="A2449">
        <v>122400</v>
      </c>
      <c r="B2449" t="s">
        <v>26342</v>
      </c>
      <c r="C2449">
        <f>-645.921551528341 -131.872121653505 -85.1692597921063</f>
        <v>-862.96293297395232</v>
      </c>
      <c r="D2449">
        <f>-669.635319090764 -148.301485945995 -197.347566831267</f>
        <v>-1015.284371868026</v>
      </c>
      <c r="E2449">
        <f>-684.422615410602 -147.600213920143 -294.8540099245</f>
        <v>-1126.8768392552452</v>
      </c>
      <c r="F2449">
        <f>-695.97456011806 -141.389644830962 -382.980000819622</f>
        <v>-1220.3442057686439</v>
      </c>
      <c r="G2449">
        <f>-705.382080084623 -129.425277304885 -470.767294595252</f>
        <v>-1305.5746519847598</v>
      </c>
      <c r="H2449">
        <f>-716.248674458405 -106.710891512443 -592.778705211428</f>
        <v>-1415.7382711822761</v>
      </c>
      <c r="I2449">
        <f>-702.211866617714 -79.126834616013 -669.896246885821</f>
        <v>-1451.2349481195479</v>
      </c>
      <c r="J2449">
        <f>-726.988585958877 -94.4288429122915 -533.557802566025</f>
        <v>-1354.9752314371935</v>
      </c>
      <c r="K2449" t="s">
        <v>26343</v>
      </c>
      <c r="L2449" t="s">
        <v>26344</v>
      </c>
      <c r="M2449" t="s">
        <v>26345</v>
      </c>
      <c r="N2449">
        <f>-695.945049376067 -138.983866788834 -544.61725854794</f>
        <v>-1379.5461747128411</v>
      </c>
      <c r="O2449">
        <f>-617.127470229613 -251.580727307533 -542.504103197236</f>
        <v>-1411.2123007343821</v>
      </c>
      <c r="P2449">
        <f>-551.886496547869 -342.204674365097 -270.250299344097</f>
        <v>-1164.3414702570631</v>
      </c>
      <c r="Q2449">
        <f>-476.440031049898 -117.042599434043 -311.002726202702</f>
        <v>-904.48535668664294</v>
      </c>
      <c r="R2449">
        <f>-700.662870172434 -54.3787678037997 -85.6631786860864</f>
        <v>-840.70481666232024</v>
      </c>
      <c r="S2449" t="s">
        <v>26346</v>
      </c>
      <c r="T2449" t="s">
        <v>26347</v>
      </c>
      <c r="U2449" t="s">
        <v>26348</v>
      </c>
      <c r="V2449">
        <f>-591.407566711251 -209.56349834353 -86.7444078832374</f>
        <v>-887.71547293801837</v>
      </c>
      <c r="W2449" t="s">
        <v>26349</v>
      </c>
      <c r="X2449" t="s">
        <v>26350</v>
      </c>
      <c r="Y2449" t="s">
        <v>26351</v>
      </c>
    </row>
    <row r="2450" spans="1:25" x14ac:dyDescent="0.3">
      <c r="A2450">
        <v>122450</v>
      </c>
      <c r="B2450" t="s">
        <v>26352</v>
      </c>
      <c r="C2450">
        <f>-645.896298190938 -131.879365596346 -85.1714926301836</f>
        <v>-862.94715641746757</v>
      </c>
      <c r="D2450">
        <f>-669.586575490025 -148.374876422295 -197.34503480685</f>
        <v>-1015.3064867191699</v>
      </c>
      <c r="E2450">
        <f>-684.345590205108 -147.774342545749 -294.85648249034</f>
        <v>-1126.9764152411972</v>
      </c>
      <c r="F2450">
        <f>-695.867454512547 -141.673200916818 -382.994170849726</f>
        <v>-1220.534826279091</v>
      </c>
      <c r="G2450">
        <f>-705.240239347957 -129.835919146196 -470.802301608748</f>
        <v>-1305.878460102901</v>
      </c>
      <c r="H2450">
        <f>-716.052515393575 -107.317396340558 -592.854814011418</f>
        <v>-1416.224725745551</v>
      </c>
      <c r="I2450">
        <f>-701.932775719654 -79.82503530119 -669.990120393691</f>
        <v>-1451.7479314145351</v>
      </c>
      <c r="J2450">
        <f>-726.836270414483 -94.9523602824269 -533.659208046978</f>
        <v>-1355.447838743888</v>
      </c>
      <c r="K2450" t="s">
        <v>26353</v>
      </c>
      <c r="L2450" t="s">
        <v>26354</v>
      </c>
      <c r="M2450" t="s">
        <v>26355</v>
      </c>
      <c r="N2450">
        <f>-695.752728490639 -139.501011728564 -544.632002683032</f>
        <v>-1379.8857429022351</v>
      </c>
      <c r="O2450">
        <f>-616.844659651165 -252.040433148536 -542.337940482458</f>
        <v>-1411.2230332821589</v>
      </c>
      <c r="P2450">
        <f>-551.703443115485 -342.164174895579 -269.894317599627</f>
        <v>-1163.7619356106911</v>
      </c>
      <c r="Q2450">
        <f>-476.443353778132 -117.017869600709 -311.075911597724</f>
        <v>-904.53713497656508</v>
      </c>
      <c r="R2450">
        <f>-700.748212337729 -54.4884973682193 -85.709444870933</f>
        <v>-840.94615457688133</v>
      </c>
      <c r="S2450" t="s">
        <v>26356</v>
      </c>
      <c r="T2450" t="s">
        <v>26357</v>
      </c>
      <c r="U2450" t="s">
        <v>26358</v>
      </c>
      <c r="V2450">
        <f>-591.281104231962 -209.571282215865 -86.7659864988872</f>
        <v>-887.6183729467142</v>
      </c>
      <c r="W2450" t="s">
        <v>26359</v>
      </c>
      <c r="X2450" t="s">
        <v>26360</v>
      </c>
      <c r="Y2450" t="s">
        <v>26361</v>
      </c>
    </row>
    <row r="2451" spans="1:25" x14ac:dyDescent="0.3">
      <c r="A2451">
        <v>122500</v>
      </c>
      <c r="B2451" t="s">
        <v>26362</v>
      </c>
      <c r="C2451">
        <f>-645.633679500394 -132.099662177949 -85.4112230705351</f>
        <v>-863.14456474887811</v>
      </c>
      <c r="D2451">
        <f>-669.276799078477 -148.715480757593 -197.576878294519</f>
        <v>-1015.569158130589</v>
      </c>
      <c r="E2451">
        <f>-683.998811257178 -148.323178568025 -295.094920941824</f>
        <v>-1127.416910767027</v>
      </c>
      <c r="F2451">
        <f>-695.487570908288 -142.452822665087 -383.252690484</f>
        <v>-1221.193084057375</v>
      </c>
      <c r="G2451">
        <f>-704.827093241632 -130.887860513464 -471.100664804356</f>
        <v>-1306.8156185594521</v>
      </c>
      <c r="H2451">
        <f>-715.592337392298 -108.792200551878 -593.234667298037</f>
        <v>-1417.619205242213</v>
      </c>
      <c r="I2451">
        <f>-701.391610669771 -81.5126863599228 -670.430530804134</f>
        <v>-1453.3348278338278</v>
      </c>
      <c r="J2451">
        <f>-726.42015083226 -96.2369000350408 -534.087007083893</f>
        <v>-1356.7440579511938</v>
      </c>
      <c r="K2451" t="s">
        <v>26363</v>
      </c>
      <c r="L2451" t="s">
        <v>26364</v>
      </c>
      <c r="M2451" t="s">
        <v>26365</v>
      </c>
      <c r="N2451">
        <f>-695.290064634774 -140.793999103264 -544.892000962033</f>
        <v>-1380.976064700071</v>
      </c>
      <c r="O2451">
        <f>-616.252033296141 -253.242031733888 -542.239144947899</f>
        <v>-1411.733209977928</v>
      </c>
      <c r="P2451">
        <f>-551.518125086414 -342.269844760005 -269.338501547308</f>
        <v>-1163.1264713937269</v>
      </c>
      <c r="Q2451">
        <f>-476.074250115242 -117.324220356315 -311.273521259815</f>
        <v>-904.67199173137215</v>
      </c>
      <c r="R2451">
        <f>-700.653990510323 -54.7490984372999 -85.9721804792241</f>
        <v>-841.37526942684701</v>
      </c>
      <c r="S2451" t="s">
        <v>26366</v>
      </c>
      <c r="T2451" t="s">
        <v>26367</v>
      </c>
      <c r="U2451" t="s">
        <v>26368</v>
      </c>
      <c r="V2451">
        <f>-590.831336587374 -209.829915796316 -87.0658132938534</f>
        <v>-887.72706567754335</v>
      </c>
      <c r="W2451" t="s">
        <v>26369</v>
      </c>
      <c r="X2451" t="s">
        <v>26370</v>
      </c>
      <c r="Y2451" t="s">
        <v>26371</v>
      </c>
    </row>
    <row r="2452" spans="1:25" x14ac:dyDescent="0.3">
      <c r="A2452">
        <v>122550</v>
      </c>
      <c r="B2452" t="s">
        <v>26372</v>
      </c>
      <c r="C2452">
        <f>-645.520498741495 -131.955731328826 -85.63641838181</f>
        <v>-863.112648452131</v>
      </c>
      <c r="D2452">
        <f>-669.153443939664 -148.657271804034 -197.791539419746</f>
        <v>-1015.6022551634439</v>
      </c>
      <c r="E2452">
        <f>-683.882519142272 -148.359223323166 -295.308744862654</f>
        <v>-1127.550487328092</v>
      </c>
      <c r="F2452">
        <f>-695.382800988487 -142.582628729875 -383.471275920954</f>
        <v>-1221.436705639316</v>
      </c>
      <c r="G2452">
        <f>-704.738462889568 -131.119760160955 -471.330977875346</f>
        <v>-1307.189200925869</v>
      </c>
      <c r="H2452">
        <f>-715.53029207218 -109.175298325331 -593.489683820282</f>
        <v>-1418.1952742177932</v>
      </c>
      <c r="I2452">
        <f>-701.354638612233 -81.9919718940315 -670.724109005244</f>
        <v>-1454.0707195115085</v>
      </c>
      <c r="J2452">
        <f>-726.350063397388 -96.5500806301922 -534.355618660302</f>
        <v>-1357.255762687882</v>
      </c>
      <c r="K2452" t="s">
        <v>26373</v>
      </c>
      <c r="L2452" t="s">
        <v>26374</v>
      </c>
      <c r="M2452" t="s">
        <v>26375</v>
      </c>
      <c r="N2452">
        <f>-695.212623226452 -141.113849491008 -545.111834216571</f>
        <v>-1381.4383069340311</v>
      </c>
      <c r="O2452">
        <f>-616.157436190625 -253.551239347535 -542.355372587742</f>
        <v>-1412.064048125902</v>
      </c>
      <c r="P2452">
        <f>-551.387330339932 -342.08889538211 -269.303992721146</f>
        <v>-1162.780218443188</v>
      </c>
      <c r="Q2452">
        <f>-475.828266595844 -117.224171815253 -311.464776149031</f>
        <v>-904.51721456012797</v>
      </c>
      <c r="R2452">
        <f>-700.622970530247 -54.6226649665603 -86.2159481670008</f>
        <v>-841.46158366380803</v>
      </c>
      <c r="S2452" t="s">
        <v>26376</v>
      </c>
      <c r="T2452" t="s">
        <v>26377</v>
      </c>
      <c r="U2452" t="s">
        <v>26378</v>
      </c>
      <c r="V2452">
        <f>-590.743372313024 -209.520130559361 -87.2658303214198</f>
        <v>-887.52933319380486</v>
      </c>
      <c r="W2452" t="s">
        <v>26379</v>
      </c>
      <c r="X2452" t="s">
        <v>26380</v>
      </c>
      <c r="Y2452" t="s">
        <v>26381</v>
      </c>
    </row>
    <row r="2453" spans="1:25" x14ac:dyDescent="0.3">
      <c r="A2453">
        <v>122600</v>
      </c>
      <c r="B2453" t="s">
        <v>26382</v>
      </c>
      <c r="C2453">
        <f>-645.710451802475 -131.627065209192 -86.2863420079344</f>
        <v>-863.62385901960135</v>
      </c>
      <c r="D2453">
        <f>-669.273590123205 -148.447680360872 -198.438185228935</f>
        <v>-1016.1594557130121</v>
      </c>
      <c r="E2453">
        <f>-684.014778093186 -148.250127824465 -295.95398026782</f>
        <v>-1128.2188861854711</v>
      </c>
      <c r="F2453">
        <f>-695.553926580143 -142.563996308648 -384.117221166507</f>
        <v>-1222.235144055298</v>
      </c>
      <c r="G2453">
        <f>-704.976174242502 -131.190678136958 -471.981329551067</f>
        <v>-1308.148181930527</v>
      </c>
      <c r="H2453">
        <f>-715.889505464761 -109.370037187855 -594.151705251996</f>
        <v>-1419.4112479046121</v>
      </c>
      <c r="I2453">
        <f>-701.811599971129 -82.3244281633616 -671.452172865534</f>
        <v>-1455.5882010000246</v>
      </c>
      <c r="J2453">
        <f>-726.66594824036 -96.6955549936143 -535.020112391805</f>
        <v>-1358.3816156257794</v>
      </c>
      <c r="K2453" t="s">
        <v>26383</v>
      </c>
      <c r="L2453" t="s">
        <v>26384</v>
      </c>
      <c r="M2453" t="s">
        <v>26385</v>
      </c>
      <c r="N2453">
        <f>-695.508287557126 -141.248872508328 -545.760917368036</f>
        <v>-1382.5180774334899</v>
      </c>
      <c r="O2453">
        <f>-616.376990179568 -253.628112009762 -542.93986899044</f>
        <v>-1412.9449711797702</v>
      </c>
      <c r="P2453">
        <f>-551.241586774378 -341.752863823642 -269.841567987713</f>
        <v>-1162.836018585733</v>
      </c>
      <c r="Q2453">
        <f>-475.745611723195 -116.920068675127 -312.285271409015</f>
        <v>-904.95095180733711</v>
      </c>
      <c r="R2453">
        <f>-700.873877652908 -54.2790907837449 -86.9060139833217</f>
        <v>-842.05898241997465</v>
      </c>
      <c r="S2453" t="s">
        <v>26386</v>
      </c>
      <c r="T2453" t="s">
        <v>26387</v>
      </c>
      <c r="U2453" t="s">
        <v>26388</v>
      </c>
      <c r="V2453">
        <f>-590.789717980205 -209.284846357666 -87.7972885775583</f>
        <v>-887.87185291542926</v>
      </c>
      <c r="W2453" t="s">
        <v>26389</v>
      </c>
      <c r="X2453" t="s">
        <v>26390</v>
      </c>
      <c r="Y2453" t="s">
        <v>26391</v>
      </c>
    </row>
    <row r="2454" spans="1:25" x14ac:dyDescent="0.3">
      <c r="A2454">
        <v>122650</v>
      </c>
      <c r="B2454" t="s">
        <v>26392</v>
      </c>
      <c r="C2454">
        <f>-646.020199447763 -131.536937395192 -86.6509212260637</f>
        <v>-864.20805806901876</v>
      </c>
      <c r="D2454">
        <f>-669.5180550299 -148.393302649973 -198.811320446694</f>
        <v>-1016.722678126567</v>
      </c>
      <c r="E2454">
        <f>-684.24995688517 -148.234000425298 -296.328461089464</f>
        <v>-1128.8124183999321</v>
      </c>
      <c r="F2454">
        <f>-695.799168154853 -142.585692968988 -384.492870623979</f>
        <v>-1222.87773174782</v>
      </c>
      <c r="G2454">
        <f>-705.249781585392 -131.253366273591 -472.359263486423</f>
        <v>-1308.8624113454061</v>
      </c>
      <c r="H2454">
        <f>-716.221887439712 -109.492948719074 -594.534912313443</f>
        <v>-1420.2497484722289</v>
      </c>
      <c r="I2454">
        <f>-702.224927522855 -82.5108160028532 -671.872421303929</f>
        <v>-1456.6081648296372</v>
      </c>
      <c r="J2454">
        <f>-726.980859347131 -96.7969686586722 -535.404821282542</f>
        <v>-1359.1826492883451</v>
      </c>
      <c r="K2454" t="s">
        <v>26393</v>
      </c>
      <c r="L2454" t="s">
        <v>26394</v>
      </c>
      <c r="M2454" t="s">
        <v>26395</v>
      </c>
      <c r="N2454">
        <f>-695.806310208006 -141.340273890586 -546.13803030525</f>
        <v>-1383.2846144038422</v>
      </c>
      <c r="O2454">
        <f>-616.640858425261 -253.687144677998 -543.308457979335</f>
        <v>-1413.636461082594</v>
      </c>
      <c r="P2454">
        <f>-551.239880828537 -341.75077645655 -270.254039966369</f>
        <v>-1163.244697251456</v>
      </c>
      <c r="Q2454">
        <f>-475.84920642144 -116.901251322395 -312.79563833756</f>
        <v>-905.54609608139504</v>
      </c>
      <c r="R2454">
        <f>-701.31192335516 -54.1379272186085 -87.2789021640782</f>
        <v>-842.72875273784678</v>
      </c>
      <c r="S2454" t="s">
        <v>26396</v>
      </c>
      <c r="T2454" t="s">
        <v>26397</v>
      </c>
      <c r="U2454" t="s">
        <v>26398</v>
      </c>
      <c r="V2454">
        <f>-591.009684023839 -209.156259304099 -88.0882366452886</f>
        <v>-888.25417997322654</v>
      </c>
      <c r="W2454" t="s">
        <v>26399</v>
      </c>
      <c r="X2454" t="s">
        <v>26400</v>
      </c>
      <c r="Y2454" t="s">
        <v>26401</v>
      </c>
    </row>
    <row r="2455" spans="1:25" x14ac:dyDescent="0.3">
      <c r="A2455">
        <v>122700</v>
      </c>
      <c r="B2455" t="s">
        <v>26402</v>
      </c>
      <c r="C2455">
        <f>-646.69082066312 -131.658393461146 -87.1862509256514</f>
        <v>-865.53546504991743</v>
      </c>
      <c r="D2455">
        <f>-670.085027449575 -148.574347312641 -199.359263692122</f>
        <v>-1018.018638454338</v>
      </c>
      <c r="E2455">
        <f>-684.769094977557 -148.48011573812 -296.883695955081</f>
        <v>-1130.1329066707581</v>
      </c>
      <c r="F2455">
        <f>-696.289684747629 -142.897392171131 -385.056057229397</f>
        <v>-1224.2431341481572</v>
      </c>
      <c r="G2455">
        <f>-705.725827082751 -131.636992017679 -472.933295796895</f>
        <v>-1310.296114897325</v>
      </c>
      <c r="H2455">
        <f>-716.691665225499 -109.983865871872 -595.128659202981</f>
        <v>-1421.804190300352</v>
      </c>
      <c r="I2455">
        <f>-702.776354786884 -83.058842560709 -672.500652419015</f>
        <v>-1458.3358497666079</v>
      </c>
      <c r="J2455">
        <f>-727.477621277256 -97.2525227280012 -536.011073229458</f>
        <v>-1360.7412172347154</v>
      </c>
      <c r="K2455" t="s">
        <v>26403</v>
      </c>
      <c r="L2455" t="s">
        <v>26404</v>
      </c>
      <c r="M2455" t="s">
        <v>26405</v>
      </c>
      <c r="N2455">
        <f>-696.254667388731 -141.772159578554 -546.701955308539</f>
        <v>-1384.728782275824</v>
      </c>
      <c r="O2455">
        <f>-616.986095423742 -254.043097405183 -543.833488187938</f>
        <v>-1414.862681016863</v>
      </c>
      <c r="P2455">
        <f>-551.512675446645 -341.865729646575 -270.718819010637</f>
        <v>-1164.0972241038569</v>
      </c>
      <c r="Q2455">
        <f>-476.181362487601 -117.059597123752 -313.593526385654</f>
        <v>-906.83448599700705</v>
      </c>
      <c r="R2455">
        <f>-702.100978322539 -54.31579236212 -87.8335191999042</f>
        <v>-844.25028988456324</v>
      </c>
      <c r="S2455" t="s">
        <v>26406</v>
      </c>
      <c r="T2455" t="s">
        <v>26407</v>
      </c>
      <c r="U2455" t="s">
        <v>26408</v>
      </c>
      <c r="V2455">
        <f>-591.45827785703 -209.305422153114 -88.4699188337952</f>
        <v>-889.23361884393921</v>
      </c>
      <c r="W2455" t="s">
        <v>26409</v>
      </c>
      <c r="X2455" t="s">
        <v>26410</v>
      </c>
      <c r="Y2455" t="s">
        <v>26411</v>
      </c>
    </row>
    <row r="2456" spans="1:25" x14ac:dyDescent="0.3">
      <c r="A2456">
        <v>122750</v>
      </c>
      <c r="B2456" t="s">
        <v>26412</v>
      </c>
      <c r="C2456">
        <f>-646.83585422669 -132.243583658222 -87.4405220145277</f>
        <v>-866.51995989943975</v>
      </c>
      <c r="D2456">
        <f>-670.222311886686 -149.211615146808 -199.607341525374</f>
        <v>-1019.0412685588681</v>
      </c>
      <c r="E2456">
        <f>-684.857374685059 -149.194264560931 -297.139184532331</f>
        <v>-1131.1908237783209</v>
      </c>
      <c r="F2456">
        <f>-696.314999598186 -143.69499888916 -385.324904128612</f>
        <v>-1225.3349026159578</v>
      </c>
      <c r="G2456">
        <f>-705.669034840705 -132.531490513057 -473.223172814076</f>
        <v>-1311.423698167838</v>
      </c>
      <c r="H2456">
        <f>-716.499357546368 -111.027861516197 -595.457009344816</f>
        <v>-1422.9842284073811</v>
      </c>
      <c r="I2456">
        <f>-702.538724334494 -84.1272637274342 -672.829379064218</f>
        <v>-1459.495367126146</v>
      </c>
      <c r="J2456">
        <f>-727.367190395152 -98.2354885099129 -536.3676201071</f>
        <v>-1361.970299012165</v>
      </c>
      <c r="K2456" t="s">
        <v>26413</v>
      </c>
      <c r="L2456" t="s">
        <v>26414</v>
      </c>
      <c r="M2456" t="s">
        <v>26415</v>
      </c>
      <c r="N2456">
        <f>-696.099831784281 -142.74557044686 -546.968284641123</f>
        <v>-1385.813686872264</v>
      </c>
      <c r="O2456">
        <f>-616.735666316978 -254.947917718917 -543.952594517286</f>
        <v>-1415.636178553181</v>
      </c>
      <c r="P2456">
        <f>-551.275680952181 -342.320338051799 -270.690344147983</f>
        <v>-1164.2863631519631</v>
      </c>
      <c r="Q2456">
        <f>-476.473798549801 -117.396752131387 -313.875031991911</f>
        <v>-907.74558267309897</v>
      </c>
      <c r="R2456">
        <f>-702.397046351257 -54.9853143243108 -88.1368406504274</f>
        <v>-845.51920132599525</v>
      </c>
      <c r="S2456" t="s">
        <v>26416</v>
      </c>
      <c r="T2456" t="s">
        <v>26417</v>
      </c>
      <c r="U2456" t="s">
        <v>26418</v>
      </c>
      <c r="V2456">
        <f>-591.361087016728 -209.900747053098 -88.6803572597476</f>
        <v>-889.94219132957357</v>
      </c>
      <c r="W2456" t="s">
        <v>26419</v>
      </c>
      <c r="X2456" t="s">
        <v>26420</v>
      </c>
      <c r="Y2456" t="s">
        <v>26421</v>
      </c>
    </row>
    <row r="2457" spans="1:25" x14ac:dyDescent="0.3">
      <c r="A2457">
        <v>122800</v>
      </c>
      <c r="B2457" t="s">
        <v>26422</v>
      </c>
      <c r="C2457">
        <f>-646.750137768443 -132.806006804939 -87.5186739629202</f>
        <v>-867.07481853630213</v>
      </c>
      <c r="D2457">
        <f>-670.151071926963 -149.819866179142 -199.675499459794</f>
        <v>-1019.646437565899</v>
      </c>
      <c r="E2457">
        <f>-684.784902384802 -149.848466045252 -297.207607768583</f>
        <v>-1131.8409761986368</v>
      </c>
      <c r="F2457">
        <f>-696.234309327033 -144.393966101392 -385.397164574964</f>
        <v>-1226.0254400033891</v>
      </c>
      <c r="G2457">
        <f>-705.572140999122 -133.278403437441 -473.303259492668</f>
        <v>-1312.1538039292311</v>
      </c>
      <c r="H2457">
        <f>-716.370771326698 -111.845362016068 -595.552363785832</f>
        <v>-1423.768497128598</v>
      </c>
      <c r="I2457">
        <f>-702.356879152983 -84.9594424383818 -672.920127119938</f>
        <v>-1460.2364487113027</v>
      </c>
      <c r="J2457">
        <f>-727.256095834727 -99.020432054347 -536.473176988344</f>
        <v>-1362.749704877418</v>
      </c>
      <c r="K2457" t="s">
        <v>26423</v>
      </c>
      <c r="L2457" t="s">
        <v>26424</v>
      </c>
      <c r="M2457" t="s">
        <v>26425</v>
      </c>
      <c r="N2457">
        <f>-695.981642006044 -143.533582255836 -547.039926000413</f>
        <v>-1386.555150262293</v>
      </c>
      <c r="O2457">
        <f>-616.600216368502 -255.730074514384 -543.936156220969</f>
        <v>-1416.2664471038549</v>
      </c>
      <c r="P2457">
        <f>-551.03465172363 -342.894777665473 -270.632938156654</f>
        <v>-1164.5623675457571</v>
      </c>
      <c r="Q2457">
        <f>-476.750463869165 -117.828522138206 -313.967963914046</f>
        <v>-908.54694992141697</v>
      </c>
      <c r="R2457">
        <f>-702.394815985571 -55.5436800280601 -88.2345946815511</f>
        <v>-846.17309069518217</v>
      </c>
      <c r="S2457" t="s">
        <v>26426</v>
      </c>
      <c r="T2457" t="s">
        <v>26427</v>
      </c>
      <c r="U2457" t="s">
        <v>26428</v>
      </c>
      <c r="V2457">
        <f>-591.245873788082 -210.422543537002 -88.728520221295</f>
        <v>-890.39693754637892</v>
      </c>
      <c r="W2457" t="s">
        <v>26429</v>
      </c>
      <c r="X2457" t="s">
        <v>26430</v>
      </c>
      <c r="Y2457" t="s">
        <v>26431</v>
      </c>
    </row>
    <row r="2458" spans="1:25" x14ac:dyDescent="0.3">
      <c r="A2458">
        <v>122850</v>
      </c>
      <c r="B2458" t="s">
        <v>26432</v>
      </c>
      <c r="C2458">
        <f>-646.685942482886 -133.286238254238 -87.564175117308</f>
        <v>-867.53635585443203</v>
      </c>
      <c r="D2458">
        <f>-670.067594552106 -150.343260070366 -199.718421426859</f>
        <v>-1020.129276049331</v>
      </c>
      <c r="E2458">
        <f>-684.702459184424 -150.431616374367 -297.250256624082</f>
        <v>-1132.3843321828731</v>
      </c>
      <c r="F2458">
        <f>-696.158228141663 -145.040769569883 -385.443046639781</f>
        <v>-1226.6420443513271</v>
      </c>
      <c r="G2458">
        <f>-705.506940739253 -133.99879301706 -473.357350350098</f>
        <v>-1312.863084106411</v>
      </c>
      <c r="H2458">
        <f>-716.324579301529 -112.678634306817 -595.624416435108</f>
        <v>-1424.6276300434538</v>
      </c>
      <c r="I2458">
        <f>-702.254088940674 -85.8259865299996 -672.993589574429</f>
        <v>-1461.0736650451026</v>
      </c>
      <c r="J2458">
        <f>-727.20125804908 -99.7995896048704 -536.555405483298</f>
        <v>-1363.5562531372484</v>
      </c>
      <c r="K2458" t="s">
        <v>26433</v>
      </c>
      <c r="L2458" t="s">
        <v>26434</v>
      </c>
      <c r="M2458" t="s">
        <v>26435</v>
      </c>
      <c r="N2458">
        <f>-695.927130615966 -144.321533995973 -547.08588496283</f>
        <v>-1387.334549574769</v>
      </c>
      <c r="O2458">
        <f>-616.576716974136 -256.529605314608 -543.897054783073</f>
        <v>-1417.0033770718169</v>
      </c>
      <c r="P2458">
        <f>-550.875946834719 -343.504382990674 -270.565810199359</f>
        <v>-1164.9461400247519</v>
      </c>
      <c r="Q2458">
        <f>-476.922043180356 -118.360816431526 -314.06357995607</f>
        <v>-909.34643956795207</v>
      </c>
      <c r="R2458">
        <f>-702.429896041377 -56.0433520858178 -88.3085303283254</f>
        <v>-846.78177845552023</v>
      </c>
      <c r="S2458" t="s">
        <v>26436</v>
      </c>
      <c r="T2458" t="s">
        <v>26437</v>
      </c>
      <c r="U2458" t="s">
        <v>26438</v>
      </c>
      <c r="V2458">
        <f>-591.115593397083 -210.848764831681 -88.7675691145868</f>
        <v>-890.73192734335078</v>
      </c>
      <c r="W2458" t="s">
        <v>26439</v>
      </c>
      <c r="X2458" t="s">
        <v>26440</v>
      </c>
      <c r="Y2458" t="s">
        <v>26441</v>
      </c>
    </row>
    <row r="2459" spans="1:25" x14ac:dyDescent="0.3">
      <c r="A2459">
        <v>122900</v>
      </c>
      <c r="B2459" t="s">
        <v>26442</v>
      </c>
      <c r="C2459">
        <f>-646.500438372164 -134.284598696234 -87.4777412788711</f>
        <v>-868.26277834726909</v>
      </c>
      <c r="D2459">
        <f>-669.891181359289 -151.40528035563 -199.620463540378</f>
        <v>-1020.916925255297</v>
      </c>
      <c r="E2459">
        <f>-684.531966361831 -151.611231319177 -297.151176018549</f>
        <v>-1133.2943736995571</v>
      </c>
      <c r="F2459">
        <f>-695.990217723842 -146.352858309492 -385.351641619465</f>
        <v>-1227.694717652799</v>
      </c>
      <c r="G2459">
        <f>-705.337565546496 -135.469011250461 -473.285713692132</f>
        <v>-1314.092290489089</v>
      </c>
      <c r="H2459">
        <f>-716.148164728094 -114.396777739991 -595.596334537454</f>
        <v>-1426.141277005539</v>
      </c>
      <c r="I2459">
        <f>-701.93858813644 -87.6243971381545 -672.967919471004</f>
        <v>-1462.5309047455985</v>
      </c>
      <c r="J2459">
        <f>-727.024046618167 -101.395008613749 -536.554172729874</f>
        <v>-1364.9732279617901</v>
      </c>
      <c r="K2459" t="s">
        <v>26443</v>
      </c>
      <c r="L2459" t="s">
        <v>26444</v>
      </c>
      <c r="M2459" t="s">
        <v>26445</v>
      </c>
      <c r="N2459">
        <f>-695.757914298569 -145.944240501788 -546.992803910035</f>
        <v>-1388.694958710392</v>
      </c>
      <c r="O2459">
        <f>-616.464105611882 -258.193946009082 -543.565414155916</f>
        <v>-1418.2234657768799</v>
      </c>
      <c r="P2459">
        <f>-550.509185031943 -344.865302491074 -270.199019131849</f>
        <v>-1165.5735066548659</v>
      </c>
      <c r="Q2459">
        <f>-477.291436852304 -119.547631474017 -314.039415918753</f>
        <v>-910.87848424507399</v>
      </c>
      <c r="R2459">
        <f>-702.292235910833 -57.2316420724061 -88.2656991066521</f>
        <v>-847.78957708989117</v>
      </c>
      <c r="S2459" t="s">
        <v>26446</v>
      </c>
      <c r="T2459" t="s">
        <v>26447</v>
      </c>
      <c r="U2459" t="s">
        <v>26448</v>
      </c>
      <c r="V2459">
        <f>-591.011114568856 -211.67643670919 -88.6970715849574</f>
        <v>-891.3846228630033</v>
      </c>
      <c r="W2459" t="s">
        <v>26449</v>
      </c>
      <c r="X2459" t="s">
        <v>26450</v>
      </c>
      <c r="Y2459" t="s">
        <v>26451</v>
      </c>
    </row>
    <row r="2460" spans="1:25" x14ac:dyDescent="0.3">
      <c r="A2460">
        <v>122950</v>
      </c>
      <c r="B2460" t="s">
        <v>26452</v>
      </c>
      <c r="C2460">
        <f>-646.307995243239 -134.830323624433 -87.3876936374354</f>
        <v>-868.52601250510747</v>
      </c>
      <c r="D2460">
        <f>-669.765248511147 -151.988535353256 -199.510681216539</f>
        <v>-1021.264465080942</v>
      </c>
      <c r="E2460">
        <f>-684.411346891682 -152.245786252894 -297.0406887744</f>
        <v>-1133.6978219189759</v>
      </c>
      <c r="F2460">
        <f>-695.853953319995 -147.040834238095 -385.246139438172</f>
        <v>-1228.1409269962619</v>
      </c>
      <c r="G2460">
        <f>-705.165365333063 -136.217297787059 -473.191602092175</f>
        <v>-1314.5742652122972</v>
      </c>
      <c r="H2460">
        <f>-715.904537129953 -115.236590969133 -595.52423266514</f>
        <v>-1426.6653607642261</v>
      </c>
      <c r="I2460">
        <f>-701.613908703034 -88.4981907264 -672.892688606539</f>
        <v>-1463.004788035973</v>
      </c>
      <c r="J2460">
        <f>-726.805321668254 -102.184068748867 -536.497834518354</f>
        <v>-1365.4872249354751</v>
      </c>
      <c r="K2460" t="s">
        <v>26453</v>
      </c>
      <c r="L2460" t="s">
        <v>26454</v>
      </c>
      <c r="M2460" t="s">
        <v>26455</v>
      </c>
      <c r="N2460">
        <f>-695.55213711327 -146.754315507029 -546.885528158146</f>
        <v>-1389.191980778445</v>
      </c>
      <c r="O2460">
        <f>-616.302690904869 -259.022445627297 -543.322350114529</f>
        <v>-1418.6474866466949</v>
      </c>
      <c r="P2460">
        <f>-550.267751130687 -345.344511004698 -269.864768133931</f>
        <v>-1165.4770302693159</v>
      </c>
      <c r="Q2460">
        <f>-477.427286209738 -119.95368713255 -313.956701385022</f>
        <v>-911.33767472731006</v>
      </c>
      <c r="R2460">
        <f>-702.076810268672 -57.709981225614 -88.2133488310614</f>
        <v>-848.00014032534739</v>
      </c>
      <c r="S2460" t="s">
        <v>26456</v>
      </c>
      <c r="T2460" t="s">
        <v>26457</v>
      </c>
      <c r="U2460" t="s">
        <v>26458</v>
      </c>
      <c r="V2460">
        <f>-590.812563002244 -212.348957806817 -88.6522202991807</f>
        <v>-891.81374110824174</v>
      </c>
      <c r="W2460" t="s">
        <v>26459</v>
      </c>
      <c r="X2460" t="s">
        <v>26460</v>
      </c>
      <c r="Y2460" t="s">
        <v>26461</v>
      </c>
    </row>
    <row r="2461" spans="1:25" x14ac:dyDescent="0.3">
      <c r="A2461">
        <v>123000</v>
      </c>
      <c r="B2461" t="s">
        <v>26462</v>
      </c>
      <c r="C2461">
        <f>-645.503907989549 -136.05284476186 -87.3499636492998</f>
        <v>-868.90671640070877</v>
      </c>
      <c r="D2461">
        <f>-669.117399480362 -153.336906245967 -199.420862024061</f>
        <v>-1021.87516775039</v>
      </c>
      <c r="E2461">
        <f>-683.807249462458 -153.742161968644 -296.943772769553</f>
        <v>-1134.4931842006549</v>
      </c>
      <c r="F2461">
        <f>-695.251411829863 -148.686453986013 -385.157743804632</f>
        <v>-1229.095609620508</v>
      </c>
      <c r="G2461">
        <f>-704.524915065811 -138.028308440197 -473.127251202083</f>
        <v>-1315.680474708091</v>
      </c>
      <c r="H2461">
        <f>-715.168776502852 -117.295152850583 -595.51056204995</f>
        <v>-1427.9744914033849</v>
      </c>
      <c r="I2461">
        <f>-700.713256897827 -90.682949869804 -672.891839980451</f>
        <v>-1464.288046748082</v>
      </c>
      <c r="J2461">
        <f>-726.071769826233 -104.092907404005 -536.517798362241</f>
        <v>-1366.682475592479</v>
      </c>
      <c r="K2461" t="s">
        <v>26463</v>
      </c>
      <c r="L2461" t="s">
        <v>26464</v>
      </c>
      <c r="M2461" t="s">
        <v>26465</v>
      </c>
      <c r="N2461">
        <f>-694.898168991951 -148.744661365977 -546.793568502377</f>
        <v>-1390.436398860305</v>
      </c>
      <c r="O2461">
        <f>-615.765350048213 -261.09693176253 -542.983075555356</f>
        <v>-1419.8453573660991</v>
      </c>
      <c r="P2461">
        <f>-549.515433432146 -346.581920183717 -269.31445394773</f>
        <v>-1165.4118075635929</v>
      </c>
      <c r="Q2461">
        <f>-476.635680848997 -121.265115988613 -313.718614609208</f>
        <v>-911.61941144681805</v>
      </c>
      <c r="R2461">
        <f>-701.292894549668 -58.8387710282835 -88.1883206737069</f>
        <v>-848.31998625165841</v>
      </c>
      <c r="S2461" t="s">
        <v>26466</v>
      </c>
      <c r="T2461" t="s">
        <v>26467</v>
      </c>
      <c r="U2461" t="s">
        <v>26468</v>
      </c>
      <c r="V2461">
        <f>-589.940431250948 -213.604670537263 -88.63829464539</f>
        <v>-892.18339643360105</v>
      </c>
      <c r="W2461" t="s">
        <v>26469</v>
      </c>
      <c r="X2461" t="s">
        <v>26470</v>
      </c>
      <c r="Y2461" t="s">
        <v>26471</v>
      </c>
    </row>
    <row r="2462" spans="1:25" x14ac:dyDescent="0.3">
      <c r="A2462">
        <v>123050</v>
      </c>
      <c r="B2462" t="s">
        <v>26472</v>
      </c>
      <c r="C2462">
        <f>-645.024335211382 -136.527998395997 -87.3589702688406</f>
        <v>-868.91130387621956</v>
      </c>
      <c r="D2462">
        <f>-668.691732998765 -153.872029982498 -199.409232387394</f>
        <v>-1021.9729953686571</v>
      </c>
      <c r="E2462">
        <f>-683.421892560296 -154.332186731254 -296.925728926249</f>
        <v>-1134.6798082177988</v>
      </c>
      <c r="F2462">
        <f>-694.89852842116 -149.32768520824 -385.138414824685</f>
        <v>-1229.3646284540851</v>
      </c>
      <c r="G2462">
        <f>-704.199395025612 -138.722551886894 -473.111536628423</f>
        <v>-1316.033483540929</v>
      </c>
      <c r="H2462">
        <f>-714.875200136808 -118.065565100921 -595.504823039354</f>
        <v>-1428.4455882770831</v>
      </c>
      <c r="I2462">
        <f>-700.372252885062 -91.5206162524476 -672.900411583218</f>
        <v>-1464.7932807207276</v>
      </c>
      <c r="J2462">
        <f>-725.73883612562 -104.810069038233 -536.516811639269</f>
        <v>-1367.0657168031221</v>
      </c>
      <c r="K2462" t="s">
        <v>26473</v>
      </c>
      <c r="L2462" t="s">
        <v>26474</v>
      </c>
      <c r="M2462" t="s">
        <v>26475</v>
      </c>
      <c r="N2462">
        <f>-694.615769565668 -149.501275937052 -546.774335846112</f>
        <v>-1390.8913813488321</v>
      </c>
      <c r="O2462">
        <f>-615.566820096048 -261.911089456681 -542.929573153138</f>
        <v>-1420.4074827058671</v>
      </c>
      <c r="P2462">
        <f>-549.167467118793 -347.115704491722 -269.209727915318</f>
        <v>-1165.4928995258329</v>
      </c>
      <c r="Q2462">
        <f>-476.149609522033 -121.876273809774 -313.779326391567</f>
        <v>-911.80520972337399</v>
      </c>
      <c r="R2462">
        <f>-700.864848889135 -59.347858559274 -88.2056947109874</f>
        <v>-848.41840215939635</v>
      </c>
      <c r="S2462" t="s">
        <v>26476</v>
      </c>
      <c r="T2462" t="s">
        <v>26477</v>
      </c>
      <c r="U2462" t="s">
        <v>26478</v>
      </c>
      <c r="V2462">
        <f>-589.398739330484 -213.996026460486 -88.6150464729095</f>
        <v>-892.00981226387955</v>
      </c>
      <c r="W2462" t="s">
        <v>26479</v>
      </c>
      <c r="X2462" t="s">
        <v>26480</v>
      </c>
      <c r="Y2462" t="s">
        <v>26481</v>
      </c>
    </row>
    <row r="2463" spans="1:25" x14ac:dyDescent="0.3">
      <c r="A2463">
        <v>123100</v>
      </c>
      <c r="B2463" t="s">
        <v>26482</v>
      </c>
      <c r="C2463">
        <f>-644.165050070367 -137.644440046104 -87.3943022963271</f>
        <v>-869.20379241279807</v>
      </c>
      <c r="D2463">
        <f>-667.944938904485 -155.062246631843 -199.40920375719</f>
        <v>-1022.4163892935179</v>
      </c>
      <c r="E2463">
        <f>-682.789716489363 -155.598901228056 -296.90797620441</f>
        <v>-1135.2965939218288</v>
      </c>
      <c r="F2463">
        <f>-694.375872397071 -150.668617473587 -385.110502678446</f>
        <v>-1230.154992549104</v>
      </c>
      <c r="G2463">
        <f>-703.790721158031 -140.143123200748 -473.08111857053</f>
        <v>-1317.0149629293089</v>
      </c>
      <c r="H2463">
        <f>-714.629516174373 -119.60291970186 -595.479787424384</f>
        <v>-1429.7122233006171</v>
      </c>
      <c r="I2463">
        <f>-700.127528887583 -93.1373481317137 -672.902605947125</f>
        <v>-1466.1674829664216</v>
      </c>
      <c r="J2463">
        <f>-725.39229321907 -106.275785302177 -536.489473903942</f>
        <v>-1368.1575524251889</v>
      </c>
      <c r="K2463" t="s">
        <v>26483</v>
      </c>
      <c r="L2463" t="s">
        <v>26484</v>
      </c>
      <c r="M2463" t="s">
        <v>26485</v>
      </c>
      <c r="N2463">
        <f>-694.327431624248 -151.00748995209 -546.746907993317</f>
        <v>-1392.0818295696549</v>
      </c>
      <c r="O2463">
        <f>-615.372468328204 -263.480851577208 -542.934697275532</f>
        <v>-1421.7880171809441</v>
      </c>
      <c r="P2463">
        <f>-548.285457597183 -348.450110627226 -269.309504259079</f>
        <v>-1166.045072483488</v>
      </c>
      <c r="Q2463">
        <f>-474.694828079954 -123.418485472354 -313.986657133307</f>
        <v>-912.09997068561506</v>
      </c>
      <c r="R2463">
        <f>-700.073013579787 -60.4061163827117 -88.247787682756</f>
        <v>-848.72691764525473</v>
      </c>
      <c r="S2463" t="s">
        <v>26486</v>
      </c>
      <c r="T2463" t="s">
        <v>26487</v>
      </c>
      <c r="U2463" t="s">
        <v>26488</v>
      </c>
      <c r="V2463">
        <f>-588.561330323589 -215.166332841351 -88.6254512603452</f>
        <v>-892.35311442528518</v>
      </c>
      <c r="W2463" t="s">
        <v>26489</v>
      </c>
      <c r="X2463" t="s">
        <v>26490</v>
      </c>
      <c r="Y2463" t="s">
        <v>26491</v>
      </c>
    </row>
    <row r="2464" spans="1:25" x14ac:dyDescent="0.3">
      <c r="A2464">
        <v>123150</v>
      </c>
      <c r="B2464" t="s">
        <v>26492</v>
      </c>
      <c r="C2464">
        <f>-643.895445040076 -138.176729292626 -87.4319647503906</f>
        <v>-869.50413908309258</v>
      </c>
      <c r="D2464">
        <f>-667.737668004908 -155.63307354323 -199.427680490316</f>
        <v>-1022.798422038454</v>
      </c>
      <c r="E2464">
        <f>-682.656514816008 -156.214038011179 -296.914841298026</f>
        <v>-1135.7853941252129</v>
      </c>
      <c r="F2464">
        <f>-694.318288401568 -151.327957953193 -385.109980958348</f>
        <v>-1230.7562273131089</v>
      </c>
      <c r="G2464">
        <f>-703.817816543016 -140.850320395567 -473.077080560673</f>
        <v>-1317.7452174992559</v>
      </c>
      <c r="H2464">
        <f>-714.78438144351 -120.380595484397 -595.476162062682</f>
        <v>-1430.6411389905888</v>
      </c>
      <c r="I2464">
        <f>-700.32634669379 -93.9187779284159 -672.908471616493</f>
        <v>-1467.1535962386988</v>
      </c>
      <c r="J2464">
        <f>-725.491668776181 -107.023754730164 -536.482403630093</f>
        <v>-1368.997827136438</v>
      </c>
      <c r="K2464" t="s">
        <v>26493</v>
      </c>
      <c r="L2464" t="s">
        <v>26494</v>
      </c>
      <c r="M2464" t="s">
        <v>26495</v>
      </c>
      <c r="N2464">
        <f>-694.42533094078 -151.75290108055 -546.746305176978</f>
        <v>-1392.9245371983079</v>
      </c>
      <c r="O2464">
        <f>-615.421070000751 -264.182730822921 -542.958627996732</f>
        <v>-1422.562428820404</v>
      </c>
      <c r="P2464">
        <f>-547.928268347262 -349.047664980638 -269.400866303082</f>
        <v>-1166.3767996309821</v>
      </c>
      <c r="Q2464">
        <f>-473.981278856473 -124.136262652618 -314.094989424511</f>
        <v>-912.21253093360201</v>
      </c>
      <c r="R2464">
        <f>-699.880331287815 -60.8673302963416 -88.2819315670238</f>
        <v>-849.02959315118039</v>
      </c>
      <c r="S2464" t="s">
        <v>26496</v>
      </c>
      <c r="T2464" t="s">
        <v>26497</v>
      </c>
      <c r="U2464" t="s">
        <v>26498</v>
      </c>
      <c r="V2464">
        <f>-588.233968243022 -215.742978879058 -88.6795660489654</f>
        <v>-892.65651317104539</v>
      </c>
      <c r="W2464" t="s">
        <v>26499</v>
      </c>
      <c r="X2464" t="s">
        <v>26500</v>
      </c>
      <c r="Y2464" t="s">
        <v>26501</v>
      </c>
    </row>
    <row r="2465" spans="1:25" x14ac:dyDescent="0.3">
      <c r="A2465">
        <v>123200</v>
      </c>
      <c r="B2465" t="s">
        <v>26502</v>
      </c>
      <c r="C2465">
        <f>-643.630295098699 -139.264188206055 -87.5398570719277</f>
        <v>-870.43434037668169</v>
      </c>
      <c r="D2465">
        <f>-667.468619336016 -156.80998107168 -199.522468010062</f>
        <v>-1023.801068417758</v>
      </c>
      <c r="E2465">
        <f>-682.475460157418 -157.438971795949 -296.995851531564</f>
        <v>-1136.9102834849309</v>
      </c>
      <c r="F2465">
        <f>-694.253140860008 -152.58513185891 -385.17723483272</f>
        <v>-1232.0155075516379</v>
      </c>
      <c r="G2465">
        <f>-703.905280935641 -142.127560484943 -473.130203617033</f>
        <v>-1319.1630450376169</v>
      </c>
      <c r="H2465">
        <f>-715.123714531534 -121.672965700657 -595.508996357076</f>
        <v>-1432.305676589267</v>
      </c>
      <c r="I2465">
        <f>-700.8107782092 -95.1549009076203 -672.94909396021</f>
        <v>-1468.9147730770303</v>
      </c>
      <c r="J2465">
        <f>-725.761017437754 -108.344310316754 -536.496224489753</f>
        <v>-1370.601552244261</v>
      </c>
      <c r="K2465">
        <f>-802.999402685131 -1.50351258821865 -497.54692550694</f>
        <v>-1302.0498407802897</v>
      </c>
      <c r="L2465" t="s">
        <v>26503</v>
      </c>
      <c r="M2465" t="s">
        <v>26504</v>
      </c>
      <c r="N2465">
        <f>-694.612971377035 -153.003777308016 -546.81612041948</f>
        <v>-1394.4328691045309</v>
      </c>
      <c r="O2465">
        <f>-615.36290841996 -265.273534406619 -543.18095950584</f>
        <v>-1423.8174023324191</v>
      </c>
      <c r="P2465">
        <f>-546.906354535688 -350.039542130828 -269.83205287603</f>
        <v>-1166.7779495425461</v>
      </c>
      <c r="Q2465">
        <f>-472.057943483766 -125.432604104925 -314.55708340114</f>
        <v>-912.04763098983108</v>
      </c>
      <c r="R2465">
        <f>-699.872205193388 -62.088462982493 -88.3935242074947</f>
        <v>-850.35419238337568</v>
      </c>
      <c r="S2465" t="s">
        <v>26505</v>
      </c>
      <c r="T2465" t="s">
        <v>26506</v>
      </c>
      <c r="U2465" t="s">
        <v>26507</v>
      </c>
      <c r="V2465">
        <f>-587.572485897861 -216.738570675136 -88.7571821366463</f>
        <v>-893.06823870964331</v>
      </c>
      <c r="W2465" t="s">
        <v>26508</v>
      </c>
      <c r="X2465" t="s">
        <v>26509</v>
      </c>
      <c r="Y2465" t="s">
        <v>26510</v>
      </c>
    </row>
    <row r="2466" spans="1:25" x14ac:dyDescent="0.3">
      <c r="A2466">
        <v>123250</v>
      </c>
      <c r="B2466" t="s">
        <v>26511</v>
      </c>
      <c r="C2466">
        <f>-643.585407790429 -139.869657937758 -87.6067955335752</f>
        <v>-871.06186126176226</v>
      </c>
      <c r="D2466">
        <f>-667.410538433972 -157.452077390336 -199.586407548426</f>
        <v>-1024.449023372734</v>
      </c>
      <c r="E2466">
        <f>-682.430375870612 -158.090179154912 -297.057770522616</f>
        <v>-1137.5783255481401</v>
      </c>
      <c r="F2466">
        <f>-694.228728923401 -153.236372126255 -385.236353597532</f>
        <v>-1232.701454647188</v>
      </c>
      <c r="G2466">
        <f>-703.911086672165 -142.769944803758 -473.184939441063</f>
        <v>-1319.865970916986</v>
      </c>
      <c r="H2466">
        <f>-715.181704828072 -122.293588178634 -595.555353470536</f>
        <v>-1433.030646477242</v>
      </c>
      <c r="I2466">
        <f>-700.929027771006 -95.7215126900782 -672.987944022074</f>
        <v>-1469.6384844831582</v>
      </c>
      <c r="J2466">
        <f>-725.835635587066 -109.004288223174 -536.536641310219</f>
        <v>-1371.376565120459</v>
      </c>
      <c r="K2466">
        <f>-803.269852146134 -2.33637305061529 -497.501870725269</f>
        <v>-1303.1080959220183</v>
      </c>
      <c r="L2466" t="s">
        <v>26512</v>
      </c>
      <c r="M2466" t="s">
        <v>26513</v>
      </c>
      <c r="N2466">
        <f>-694.60853205526 -153.604094037957 -546.87566226639</f>
        <v>-1395.0882883596068</v>
      </c>
      <c r="O2466">
        <f>-615.171424404948 -265.740183720551 -543.31591155709</f>
        <v>-1424.227519682589</v>
      </c>
      <c r="P2466">
        <f>-546.296597901993 -350.492271757704 -270.067731393523</f>
        <v>-1166.8566010532199</v>
      </c>
      <c r="Q2466">
        <f>-470.945331418167 -126.079931818838 -314.924831176559</f>
        <v>-911.95009441356399</v>
      </c>
      <c r="R2466">
        <f>-700.019268392062 -62.7752773533508 -88.4524416366983</f>
        <v>-851.24698738211112</v>
      </c>
      <c r="S2466" t="s">
        <v>26514</v>
      </c>
      <c r="T2466" t="s">
        <v>26515</v>
      </c>
      <c r="U2466" t="s">
        <v>26516</v>
      </c>
      <c r="V2466">
        <f>-587.382765629513 -217.261057375759 -88.801822651236</f>
        <v>-893.44564565650796</v>
      </c>
      <c r="W2466" t="s">
        <v>26517</v>
      </c>
      <c r="X2466" t="s">
        <v>26518</v>
      </c>
      <c r="Y2466" t="s">
        <v>26519</v>
      </c>
    </row>
    <row r="2467" spans="1:25" x14ac:dyDescent="0.3">
      <c r="A2467">
        <v>123300</v>
      </c>
      <c r="B2467" t="s">
        <v>26520</v>
      </c>
      <c r="C2467">
        <f>-643.459459713227 -141.008868999329 -87.7171130938041</f>
        <v>-872.18544180636013</v>
      </c>
      <c r="D2467">
        <f>-667.251048874968 -158.694701996214 -199.687614074742</f>
        <v>-1025.6333649459239</v>
      </c>
      <c r="E2467">
        <f>-682.291327423329 -159.362747758808 -297.155576888183</f>
        <v>-1138.80965207032</v>
      </c>
      <c r="F2467">
        <f>-694.127422072592 -154.513556335203 -385.329551790901</f>
        <v>-1233.970530198696</v>
      </c>
      <c r="G2467">
        <f>-703.867805101506 -144.027996409675 -473.269368467962</f>
        <v>-1321.165169979143</v>
      </c>
      <c r="H2467">
        <f>-715.241233180688 -123.499861889386 -595.621448344682</f>
        <v>-1434.3625434147561</v>
      </c>
      <c r="I2467">
        <f>-701.098785005915 -96.7898506938171 -673.026796866999</f>
        <v>-1470.9154325667312</v>
      </c>
      <c r="J2467">
        <f>-725.952158373031 -110.310019923615 -536.590863617814</f>
        <v>-1372.8530419144599</v>
      </c>
      <c r="K2467">
        <f>-803.857341584557 -4.02866065008561 -497.463610876014</f>
        <v>-1305.3496131106567</v>
      </c>
      <c r="L2467" t="s">
        <v>26521</v>
      </c>
      <c r="M2467" t="s">
        <v>26522</v>
      </c>
      <c r="N2467">
        <f>-694.520524353974 -154.756543763973 -546.969852443461</f>
        <v>-1396.2469205614079</v>
      </c>
      <c r="O2467">
        <f>-614.632911285272 -266.579332941094 -543.546142895845</f>
        <v>-1424.7583871222109</v>
      </c>
      <c r="P2467">
        <f>-544.80422070383 -351.390974478052 -270.558684586567</f>
        <v>-1166.7538797684488</v>
      </c>
      <c r="Q2467">
        <f>-468.873441663119 -127.208930917259 -315.589736163604</f>
        <v>-911.67210874398199</v>
      </c>
      <c r="R2467">
        <f>-700.149411670823 -64.124416621744 -88.5724501545452</f>
        <v>-852.84627844711224</v>
      </c>
      <c r="S2467" t="s">
        <v>26523</v>
      </c>
      <c r="T2467" t="s">
        <v>26524</v>
      </c>
      <c r="U2467" t="s">
        <v>26525</v>
      </c>
      <c r="V2467">
        <f>-586.933365089719 -218.165177647778 -88.9277153536178</f>
        <v>-894.02625809111487</v>
      </c>
      <c r="W2467" t="s">
        <v>26526</v>
      </c>
      <c r="X2467" t="s">
        <v>26527</v>
      </c>
      <c r="Y2467" t="s">
        <v>26528</v>
      </c>
    </row>
    <row r="2468" spans="1:25" x14ac:dyDescent="0.3">
      <c r="A2468">
        <v>123350</v>
      </c>
      <c r="B2468" t="s">
        <v>26529</v>
      </c>
      <c r="C2468">
        <f>-643.438789211869 -141.381904484685 -87.7817319953285</f>
        <v>-872.60242569188256</v>
      </c>
      <c r="D2468">
        <f>-667.215646317099 -159.132989825337 -199.745106829753</f>
        <v>-1026.0937429721889</v>
      </c>
      <c r="E2468">
        <f>-682.276533448643 -159.833417422363 -297.209604117609</f>
        <v>-1139.319554988615</v>
      </c>
      <c r="F2468">
        <f>-694.144004541948 -155.004686593241 -385.38027262508</f>
        <v>-1234.5289637602691</v>
      </c>
      <c r="G2468">
        <f>-703.929192442677 -144.530110129021 -473.316545042073</f>
        <v>-1321.775847613771</v>
      </c>
      <c r="H2468">
        <f>-715.379346120044 -124.006984100848 -595.662400595358</f>
        <v>-1435.0487308162501</v>
      </c>
      <c r="I2468">
        <f>-701.274365651659 -97.2318261727731 -673.052146727976</f>
        <v>-1471.5583385524083</v>
      </c>
      <c r="J2468">
        <f>-726.10617169148 -110.851895081766 -536.62686862008</f>
        <v>-1373.5849353933258</v>
      </c>
      <c r="K2468">
        <f>-804.254361579459 -4.7570048140185 -497.46018137217</f>
        <v>-1306.4715477656475</v>
      </c>
      <c r="L2468" t="s">
        <v>26530</v>
      </c>
      <c r="M2468" t="s">
        <v>26531</v>
      </c>
      <c r="N2468">
        <f>-694.575217008 -155.224445037436 -547.021152676826</f>
        <v>-1396.820814722262</v>
      </c>
      <c r="O2468">
        <f>-614.456287188031 -266.880923612823 -543.638542853555</f>
        <v>-1424.9757536544089</v>
      </c>
      <c r="P2468">
        <f>-544.071712896889 -351.637873723497 -270.776919434492</f>
        <v>-1166.4865060548782</v>
      </c>
      <c r="Q2468">
        <f>-468.057325905197 -127.505338943892 -315.913293484805</f>
        <v>-911.47595833389391</v>
      </c>
      <c r="R2468">
        <f>-700.290993944804 -64.5696132181852 -88.6303710167699</f>
        <v>-853.49097817975905</v>
      </c>
      <c r="S2468" t="s">
        <v>26532</v>
      </c>
      <c r="T2468" t="s">
        <v>26533</v>
      </c>
      <c r="U2468" t="s">
        <v>26534</v>
      </c>
      <c r="V2468">
        <f>-586.816770401677 -218.3912603034 -88.9684838749188</f>
        <v>-894.1765145799958</v>
      </c>
      <c r="W2468" t="s">
        <v>26535</v>
      </c>
      <c r="X2468" t="s">
        <v>26536</v>
      </c>
      <c r="Y2468" t="s">
        <v>26537</v>
      </c>
    </row>
    <row r="2469" spans="1:25" x14ac:dyDescent="0.3">
      <c r="A2469">
        <v>123400</v>
      </c>
      <c r="B2469" t="s">
        <v>26538</v>
      </c>
      <c r="C2469">
        <f>-643.538543183621 -142.060945161425 -87.8193389696315</f>
        <v>-873.41882731467751</v>
      </c>
      <c r="D2469">
        <f>-667.300113598798 -159.990600916745 -199.757384776994</f>
        <v>-1027.048099292537</v>
      </c>
      <c r="E2469">
        <f>-682.411101085809 -160.787893298378 -297.213490410466</f>
        <v>-1140.412484794653</v>
      </c>
      <c r="F2469">
        <f>-694.34722904358 -156.025401864149 -385.378554471972</f>
        <v>-1235.7511853797009</v>
      </c>
      <c r="G2469">
        <f>-704.225009359832 -145.594093972304 -473.309557749768</f>
        <v>-1323.1286610819041</v>
      </c>
      <c r="H2469">
        <f>-715.829458174208 -125.107634822287 -595.647049649276</f>
        <v>-1436.584142645771</v>
      </c>
      <c r="I2469">
        <f>-701.751103211945 -98.1988561024444 -672.995264363071</f>
        <v>-1472.9452236774605</v>
      </c>
      <c r="J2469">
        <f>-726.581316239388 -112.005331120314 -536.604344942991</f>
        <v>-1375.1909923026931</v>
      </c>
      <c r="K2469">
        <f>-805.16746191988 -6.23328566884561 -497.451371789298</f>
        <v>-1308.8521193780236</v>
      </c>
      <c r="L2469" t="s">
        <v>26539</v>
      </c>
      <c r="M2469" t="s">
        <v>26540</v>
      </c>
      <c r="N2469">
        <f>-694.864444217011 -156.240101893037 -547.020462660051</f>
        <v>-1398.1250087700992</v>
      </c>
      <c r="O2469">
        <f>-614.300489943561 -267.579970208179 -543.665408590395</f>
        <v>-1425.5458687421351</v>
      </c>
      <c r="P2469">
        <f>-542.813169409837 -352.013225719045 -270.990117385836</f>
        <v>-1165.8165125147179</v>
      </c>
      <c r="Q2469">
        <f>-467.177803506639 -127.73397387501 -316.034112542307</f>
        <v>-910.94588992395597</v>
      </c>
      <c r="R2469">
        <f>-700.697374840179 -65.4934983739778 -88.6903844628368</f>
        <v>-854.88125767699364</v>
      </c>
      <c r="S2469" t="s">
        <v>26541</v>
      </c>
      <c r="T2469" t="s">
        <v>26542</v>
      </c>
      <c r="U2469" t="s">
        <v>26543</v>
      </c>
      <c r="V2469">
        <f>-586.573381535911 -218.982027650708 -88.9662930758905</f>
        <v>-894.52170226250951</v>
      </c>
      <c r="W2469" t="s">
        <v>26544</v>
      </c>
      <c r="X2469" t="s">
        <v>26545</v>
      </c>
      <c r="Y2469" t="s">
        <v>26546</v>
      </c>
    </row>
    <row r="2470" spans="1:25" x14ac:dyDescent="0.3">
      <c r="A2470">
        <v>123450</v>
      </c>
      <c r="B2470" t="s">
        <v>26547</v>
      </c>
      <c r="C2470">
        <f>-643.555976230971 -142.507051312706 -87.8138873473589</f>
        <v>-873.87691489103599</v>
      </c>
      <c r="D2470">
        <f>-667.304278300945 -160.502834029164 -199.744245786529</f>
        <v>-1027.5513581166381</v>
      </c>
      <c r="E2470">
        <f>-682.443266834441 -161.350775998892 -297.19544854028</f>
        <v>-1140.989491373613</v>
      </c>
      <c r="F2470">
        <f>-694.420091799343 -156.632147522599 -385.357408850044</f>
        <v>-1236.409648171986</v>
      </c>
      <c r="G2470">
        <f>-704.354273232736 -146.242190233037 -473.286898047406</f>
        <v>-1323.8833615131789</v>
      </c>
      <c r="H2470">
        <f>-716.053860873492 -125.810444950925 -595.624494939355</f>
        <v>-1437.4888007637719</v>
      </c>
      <c r="I2470">
        <f>-701.977006641094 -98.8559962314375 -672.957033300639</f>
        <v>-1473.7900361731704</v>
      </c>
      <c r="J2470">
        <f>-726.803255749261 -112.712671678566 -536.580421712481</f>
        <v>-1376.0963491403081</v>
      </c>
      <c r="K2470">
        <f>-805.586334059635 -7.07696422858749 -497.451327476238</f>
        <v>-1310.1146257644605</v>
      </c>
      <c r="L2470" t="s">
        <v>26548</v>
      </c>
      <c r="M2470" t="s">
        <v>26549</v>
      </c>
      <c r="N2470">
        <f>-695.007662487009 -156.890232913321 -546.999220582027</f>
        <v>-1398.897115982357</v>
      </c>
      <c r="O2470">
        <f>-614.243900500267 -268.07880419297 -543.630405552056</f>
        <v>-1425.9531102452929</v>
      </c>
      <c r="P2470">
        <f>-542.256828100868 -352.283834801644 -271.016024549634</f>
        <v>-1165.556687452146</v>
      </c>
      <c r="Q2470">
        <f>-467.008388887302 -127.844153073541 -315.90880801254</f>
        <v>-910.76134997338295</v>
      </c>
      <c r="R2470">
        <f>-700.86177928308 -65.9592231424942 -88.7023495103113</f>
        <v>-855.52335193588544</v>
      </c>
      <c r="S2470" t="s">
        <v>26550</v>
      </c>
      <c r="T2470" t="s">
        <v>26551</v>
      </c>
      <c r="U2470" t="s">
        <v>26552</v>
      </c>
      <c r="V2470">
        <f>-586.439632012399 -219.390384116521 -88.9502457912758</f>
        <v>-894.78026192019581</v>
      </c>
      <c r="W2470" t="s">
        <v>26553</v>
      </c>
      <c r="X2470" t="s">
        <v>26554</v>
      </c>
      <c r="Y2470" t="s">
        <v>26555</v>
      </c>
    </row>
    <row r="2471" spans="1:25" x14ac:dyDescent="0.3">
      <c r="A2471">
        <v>123500</v>
      </c>
      <c r="B2471" t="s">
        <v>26556</v>
      </c>
      <c r="C2471">
        <f>-643.579667254095 -143.010196707172 -87.7840378159372</f>
        <v>-874.3739017772042</v>
      </c>
      <c r="D2471">
        <f>-667.350847899076 -161.147685962382 -199.686556487926</f>
        <v>-1028.1850903493842</v>
      </c>
      <c r="E2471">
        <f>-682.568501775644 -162.131526880183 -297.124362016746</f>
        <v>-1141.8243906725729</v>
      </c>
      <c r="F2471">
        <f>-694.638358858853 -157.542488132999 -385.280396706963</f>
        <v>-1237.461243698815</v>
      </c>
      <c r="G2471">
        <f>-704.687785062111 -147.287482523998 -473.212705534144</f>
        <v>-1325.187973120253</v>
      </c>
      <c r="H2471">
        <f>-716.571413894148 -127.049417409346 -595.564679272416</f>
        <v>-1439.18551057591</v>
      </c>
      <c r="I2471">
        <f>-702.452915623564 -100.061002924703 -672.877875893808</f>
        <v>-1475.391794442075</v>
      </c>
      <c r="J2471">
        <f>-727.30122920545 -113.907769222675 -536.526759809286</f>
        <v>-1377.7357582374111</v>
      </c>
      <c r="K2471">
        <f>-806.382252808818 -8.46450730553761 -497.474314655938</f>
        <v>-1312.3210747702935</v>
      </c>
      <c r="L2471" t="s">
        <v>26557</v>
      </c>
      <c r="M2471" t="s">
        <v>26558</v>
      </c>
      <c r="N2471">
        <f>-695.382822597966 -158.002538664712 -546.920470654162</f>
        <v>-1400.3058319168399</v>
      </c>
      <c r="O2471">
        <f>-614.270663945093 -268.938124171895 -543.443792271409</f>
        <v>-1426.6525803883969</v>
      </c>
      <c r="P2471">
        <f>-541.427297238029 -352.652549107723 -270.905886350488</f>
        <v>-1164.9857326962401</v>
      </c>
      <c r="Q2471">
        <f>-467.430921182745 -127.712653602314 -315.374196337369</f>
        <v>-910.51777112242803</v>
      </c>
      <c r="R2471">
        <f>-701.19073135291 -66.5465084788018 -88.7019318591931</f>
        <v>-856.43917169090491</v>
      </c>
      <c r="S2471" t="s">
        <v>26559</v>
      </c>
      <c r="T2471" t="s">
        <v>26560</v>
      </c>
      <c r="U2471" t="s">
        <v>26561</v>
      </c>
      <c r="V2471">
        <f>-586.226904700366 -219.712165732763 -88.885800684268</f>
        <v>-894.82487111739704</v>
      </c>
      <c r="W2471" t="s">
        <v>26562</v>
      </c>
      <c r="X2471" t="s">
        <v>26563</v>
      </c>
      <c r="Y2471" t="s">
        <v>26564</v>
      </c>
    </row>
    <row r="2472" spans="1:25" x14ac:dyDescent="0.3">
      <c r="A2472">
        <v>123550</v>
      </c>
      <c r="B2472" t="s">
        <v>26565</v>
      </c>
      <c r="C2472">
        <f>-643.596872132164 -143.37938534755 -87.7428400957134</f>
        <v>-874.71909757542733</v>
      </c>
      <c r="D2472">
        <f>-667.401391573588 -161.594959247262 -199.625609880786</f>
        <v>-1028.621960701636</v>
      </c>
      <c r="E2472">
        <f>-682.67197566146 -162.652998931726 -297.054256388977</f>
        <v>-1142.3792309821629</v>
      </c>
      <c r="F2472">
        <f>-694.798294387086 -158.134621029741 -385.206348819912</f>
        <v>-1238.1392642367391</v>
      </c>
      <c r="G2472">
        <f>-704.912836041978 -147.952927316977 -473.139724255246</f>
        <v>-1326.005487614201</v>
      </c>
      <c r="H2472">
        <f>-716.895843820661 -127.820186579454 -595.499338536015</f>
        <v>-1440.2153689361298</v>
      </c>
      <c r="I2472">
        <f>-702.74957989589 -100.824770096681 -672.804879248992</f>
        <v>-1476.3792292415628</v>
      </c>
      <c r="J2472">
        <f>-727.608907971304 -114.65017015453 -536.464651829822</f>
        <v>-1378.7237299556559</v>
      </c>
      <c r="K2472">
        <f>-806.801548404228 -9.28225149052969 -497.45338477764</f>
        <v>-1313.5371846723976</v>
      </c>
      <c r="L2472" t="s">
        <v>26566</v>
      </c>
      <c r="M2472" t="s">
        <v>26567</v>
      </c>
      <c r="N2472">
        <f>-695.636568717389 -158.709035294563 -546.845117986521</f>
        <v>-1401.190721998473</v>
      </c>
      <c r="O2472">
        <f>-614.37024683816 -269.532388002252 -543.309977567852</f>
        <v>-1427.212612408264</v>
      </c>
      <c r="P2472">
        <f>-541.226468026273 -353.046919262198 -270.791114071305</f>
        <v>-1165.0645013597759</v>
      </c>
      <c r="Q2472">
        <f>-467.780259239338 -127.879180520046 -315.017771963405</f>
        <v>-910.67721172278902</v>
      </c>
      <c r="R2472">
        <f>-701.360023949199 -66.9474941684286 -88.6708325844116</f>
        <v>-856.97835070203928</v>
      </c>
      <c r="S2472" t="s">
        <v>26568</v>
      </c>
      <c r="T2472" t="s">
        <v>26569</v>
      </c>
      <c r="U2472" t="s">
        <v>26570</v>
      </c>
      <c r="V2472">
        <f>-586.055514565219 -220.146235677339 -88.8370854767913</f>
        <v>-895.03883571934944</v>
      </c>
      <c r="W2472" t="s">
        <v>26571</v>
      </c>
      <c r="X2472" t="s">
        <v>26572</v>
      </c>
      <c r="Y2472" t="s">
        <v>26573</v>
      </c>
    </row>
    <row r="2473" spans="1:25" x14ac:dyDescent="0.3">
      <c r="A2473">
        <v>123600</v>
      </c>
      <c r="B2473" t="s">
        <v>26574</v>
      </c>
      <c r="C2473">
        <f>-643.552216395106 -144.101720891639 -87.5731238656349</f>
        <v>-875.22706115237997</v>
      </c>
      <c r="D2473">
        <f>-667.405221699772 -162.460696872976 -199.422169372503</f>
        <v>-1029.2880879452509</v>
      </c>
      <c r="E2473">
        <f>-682.757669512668 -163.657603066466 -296.836379183542</f>
        <v>-1143.2516517626759</v>
      </c>
      <c r="F2473">
        <f>-694.970937114876 -159.272360294259 -384.983038550899</f>
        <v>-1239.226335960034</v>
      </c>
      <c r="G2473">
        <f>-705.184338101336 -149.230856848349 -472.921144452349</f>
        <v>-1327.3363394020339</v>
      </c>
      <c r="H2473">
        <f>-717.316707949482 -129.300913164074 -595.29930150077</f>
        <v>-1441.9169226143258</v>
      </c>
      <c r="I2473">
        <f>-703.066575357842 -102.306105487804 -672.585975446948</f>
        <v>-1477.958656292594</v>
      </c>
      <c r="J2473">
        <f>-728.005107151757 -116.067360517079 -536.274358577976</f>
        <v>-1380.346826246812</v>
      </c>
      <c r="K2473">
        <f>-807.375987780379 -10.8131988660718 -497.297949347723</f>
        <v>-1315.4871359941737</v>
      </c>
      <c r="L2473" t="s">
        <v>26575</v>
      </c>
      <c r="M2473" t="s">
        <v>26576</v>
      </c>
      <c r="N2473">
        <f>-695.950516122083 -160.074837051247 -546.619122267129</f>
        <v>-1402.6444754404588</v>
      </c>
      <c r="O2473">
        <f>-614.477542615449 -270.741980539082 -543.005579572176</f>
        <v>-1428.2251027267071</v>
      </c>
      <c r="P2473">
        <f>-541.32315255528 -353.600693018056 -270.289524177002</f>
        <v>-1165.213369750338</v>
      </c>
      <c r="Q2473">
        <f>-468.011327287345 -128.419548680813 -314.670893504862</f>
        <v>-911.10176947302011</v>
      </c>
      <c r="R2473">
        <f>-701.628221754737 -67.6277067678091 -88.5369696339262</f>
        <v>-857.79289815647223</v>
      </c>
      <c r="S2473" t="s">
        <v>26577</v>
      </c>
      <c r="T2473" t="s">
        <v>26578</v>
      </c>
      <c r="U2473" t="s">
        <v>26579</v>
      </c>
      <c r="V2473">
        <f>-585.646141852443 -220.915038517094 -88.6395755691356</f>
        <v>-895.2007559386725</v>
      </c>
      <c r="W2473" t="s">
        <v>26580</v>
      </c>
      <c r="X2473" t="s">
        <v>26581</v>
      </c>
      <c r="Y2473" t="s">
        <v>26582</v>
      </c>
    </row>
    <row r="2474" spans="1:25" x14ac:dyDescent="0.3">
      <c r="A2474">
        <v>123650</v>
      </c>
      <c r="B2474" t="s">
        <v>26583</v>
      </c>
      <c r="C2474">
        <f>-643.423897974718 -144.526657085831 -87.4429757603883</f>
        <v>-875.39353082093737</v>
      </c>
      <c r="D2474">
        <f>-667.336289986824 -162.975617507765 -199.264535009455</f>
        <v>-1029.5764425040441</v>
      </c>
      <c r="E2474">
        <f>-682.731837336502 -164.231617747326 -296.671153315687</f>
        <v>-1143.6346083995149</v>
      </c>
      <c r="F2474">
        <f>-694.97850150514 -159.893267012375 -384.815623167244</f>
        <v>-1239.6873916847589</v>
      </c>
      <c r="G2474">
        <f>-705.21881780924 -149.89202652419 -472.75510456439</f>
        <v>-1327.8659488978201</v>
      </c>
      <c r="H2474">
        <f>-717.38116092511 -130.011663329717 -595.138334772873</f>
        <v>-1442.5311590277001</v>
      </c>
      <c r="I2474">
        <f>-703.050557524595 -103.012821765863 -672.408858783939</f>
        <v>-1478.472238074397</v>
      </c>
      <c r="J2474">
        <f>-728.070578045006 -116.765345421376 -536.116478076372</f>
        <v>-1380.9524015427539</v>
      </c>
      <c r="K2474">
        <f>-807.477489519059 -11.5400463056253 -497.146535740824</f>
        <v>-1316.1640715655083</v>
      </c>
      <c r="L2474" t="s">
        <v>26584</v>
      </c>
      <c r="M2474" t="s">
        <v>26585</v>
      </c>
      <c r="N2474">
        <f>-695.987717463837 -160.754701162388 -546.450576007567</f>
        <v>-1403.1929946337918</v>
      </c>
      <c r="O2474">
        <f>-614.46287005926 -271.388593493365 -542.809356721935</f>
        <v>-1428.6608202745601</v>
      </c>
      <c r="P2474">
        <f>-541.2496627278 -354.047784769309 -270.048666851902</f>
        <v>-1165.346114349011</v>
      </c>
      <c r="Q2474">
        <f>-467.799453420528 -128.953677431753 -314.642165402385</f>
        <v>-911.39529625466594</v>
      </c>
      <c r="R2474">
        <f>-701.671526854731 -68.0732734856125 -88.412294694309</f>
        <v>-858.15709503465257</v>
      </c>
      <c r="S2474" t="s">
        <v>26586</v>
      </c>
      <c r="T2474" t="s">
        <v>26587</v>
      </c>
      <c r="U2474" t="s">
        <v>26588</v>
      </c>
      <c r="V2474">
        <f>-585.357130682939 -221.380474020676 -88.4976204235662</f>
        <v>-895.23522512718125</v>
      </c>
      <c r="W2474" t="s">
        <v>26589</v>
      </c>
      <c r="X2474" t="s">
        <v>26590</v>
      </c>
      <c r="Y2474" t="s">
        <v>26591</v>
      </c>
    </row>
    <row r="2475" spans="1:25" x14ac:dyDescent="0.3">
      <c r="A2475">
        <v>123700</v>
      </c>
      <c r="B2475" t="s">
        <v>26592</v>
      </c>
      <c r="C2475">
        <f>-643.034676948388 -145.168778893681 -87.1592729261907</f>
        <v>-875.36272876825967</v>
      </c>
      <c r="D2475">
        <f>-667.031962846108 -163.728759165175 -198.944243699635</f>
        <v>-1029.704965710918</v>
      </c>
      <c r="E2475">
        <f>-682.467235122012 -165.064381888721 -296.343620360795</f>
        <v>-1143.8752373715279</v>
      </c>
      <c r="F2475">
        <f>-694.733900647067 -160.7925334974 -384.48845583188</f>
        <v>-1240.0148899763469</v>
      </c>
      <c r="G2475">
        <f>-704.977524816232 -150.852155977411 -472.434521982287</f>
        <v>-1328.26420277593</v>
      </c>
      <c r="H2475">
        <f>-717.125778887211 -131.051123934958 -594.831947036766</f>
        <v>-1443.008849858935</v>
      </c>
      <c r="I2475">
        <f>-702.608844260716 -104.04301589322 -672.064367652708</f>
        <v>-1478.7162278066439</v>
      </c>
      <c r="J2475">
        <f>-727.84196215192 -117.780993470667 -535.820366142675</f>
        <v>-1381.443321765262</v>
      </c>
      <c r="K2475">
        <f>-807.295607747099 -12.5896958225583 -496.838430619792</f>
        <v>-1316.7237341894493</v>
      </c>
      <c r="L2475" t="s">
        <v>26593</v>
      </c>
      <c r="M2475" t="s">
        <v>26594</v>
      </c>
      <c r="N2475">
        <f>-695.717948941219 -161.74806270693 -546.121502300091</f>
        <v>-1403.58751394824</v>
      </c>
      <c r="O2475">
        <f>-614.087371905502 -272.296979711271 -542.480675934198</f>
        <v>-1428.8650275509708</v>
      </c>
      <c r="P2475">
        <f>-540.588839969157 -354.804650415547 -269.750638145971</f>
        <v>-1165.1441285306748</v>
      </c>
      <c r="Q2475">
        <f>-467.006117805124 -129.810466791555 -314.628932686481</f>
        <v>-911.44551728316003</v>
      </c>
      <c r="R2475">
        <f>-701.579970838771 -68.6740700824053 -88.1167559230366</f>
        <v>-858.37079684421292</v>
      </c>
      <c r="S2475" t="s">
        <v>26595</v>
      </c>
      <c r="T2475" t="s">
        <v>26596</v>
      </c>
      <c r="U2475" t="s">
        <v>26597</v>
      </c>
      <c r="V2475">
        <f>-584.707685375103 -221.956717382026 -88.2278565099654</f>
        <v>-894.89225926709435</v>
      </c>
      <c r="W2475" t="s">
        <v>26598</v>
      </c>
      <c r="X2475" t="s">
        <v>26599</v>
      </c>
      <c r="Y2475" t="s">
        <v>26600</v>
      </c>
    </row>
    <row r="2476" spans="1:25" x14ac:dyDescent="0.3">
      <c r="A2476">
        <v>123750</v>
      </c>
      <c r="B2476" t="s">
        <v>26601</v>
      </c>
      <c r="C2476">
        <f>-642.876713414877 -145.238563506483 -87.0168992106167</f>
        <v>-875.13217613197662</v>
      </c>
      <c r="D2476">
        <f>-666.911367106436 -163.822034367986 -198.789910857933</f>
        <v>-1029.5233123323551</v>
      </c>
      <c r="E2476">
        <f>-682.389011167808 -165.201075123896 -296.181859767495</f>
        <v>-1143.7719460591989</v>
      </c>
      <c r="F2476">
        <f>-694.698162678658 -160.977869848938 -384.323167918953</f>
        <v>-1239.9992004465489</v>
      </c>
      <c r="G2476">
        <f>-704.98869209952 -151.094898595046 -472.270225648156</f>
        <v>-1328.353816342722</v>
      </c>
      <c r="H2476">
        <f>-717.207180847948 -131.383245314318 -594.675232711918</f>
        <v>-1443.2656588741843</v>
      </c>
      <c r="I2476">
        <f>-702.620593006292 -104.371554654185 -671.893191462428</f>
        <v>-1478.885339122905</v>
      </c>
      <c r="J2476">
        <f>-727.898526783888 -118.076662575314 -535.667242293539</f>
        <v>-1381.6424316527409</v>
      </c>
      <c r="K2476">
        <f>-807.353248527199 -12.8949074454918 -496.691633996024</f>
        <v>-1316.9397899687146</v>
      </c>
      <c r="L2476" t="s">
        <v>26602</v>
      </c>
      <c r="M2476" t="s">
        <v>26603</v>
      </c>
      <c r="N2476">
        <f>-695.762376332913 -162.038050887236 -545.954401682212</f>
        <v>-1403.7548289023612</v>
      </c>
      <c r="O2476">
        <f>-614.078348486531 -272.550956799239 -542.303737471043</f>
        <v>-1428.9330427568129</v>
      </c>
      <c r="P2476">
        <f>-540.368651852872 -354.931681700551 -269.592363465789</f>
        <v>-1164.8926970192119</v>
      </c>
      <c r="Q2476">
        <f>-466.958751219555 -129.886542740761 -314.498241132844</f>
        <v>-911.34353509315997</v>
      </c>
      <c r="R2476">
        <f>-701.542524135494 -68.7279439608728 -87.9798452348207</f>
        <v>-858.2503133311875</v>
      </c>
      <c r="S2476" t="s">
        <v>26604</v>
      </c>
      <c r="T2476" t="s">
        <v>26605</v>
      </c>
      <c r="U2476" t="s">
        <v>26606</v>
      </c>
      <c r="V2476">
        <f>-584.526641359403 -222.036342150963 -88.117388531006</f>
        <v>-894.68037204137204</v>
      </c>
      <c r="W2476" t="s">
        <v>26607</v>
      </c>
      <c r="X2476" t="s">
        <v>26608</v>
      </c>
      <c r="Y2476" t="s">
        <v>26609</v>
      </c>
    </row>
    <row r="2477" spans="1:25" x14ac:dyDescent="0.3">
      <c r="A2477">
        <v>123800</v>
      </c>
      <c r="B2477" t="s">
        <v>26610</v>
      </c>
      <c r="C2477">
        <f>-642.705102658641 -145.291929119377 -86.7891432886524</f>
        <v>-874.78617506667035</v>
      </c>
      <c r="D2477">
        <f>-666.802183434046 -163.97996083693 -198.53133534017</f>
        <v>-1029.313479611146</v>
      </c>
      <c r="E2477">
        <f>-682.400362742156 -165.49447383078 -295.902080983224</f>
        <v>-1143.7969175561598</v>
      </c>
      <c r="F2477">
        <f>-694.845589234304 -161.411552438487 -384.030811176531</f>
        <v>-1240.287952849322</v>
      </c>
      <c r="G2477">
        <f>-705.299595427983 -151.686029408074 -471.976132557498</f>
        <v>-1328.961757393555</v>
      </c>
      <c r="H2477">
        <f>-717.775021230546 -132.211272922533 -594.393013922558</f>
        <v>-1444.379308075637</v>
      </c>
      <c r="I2477">
        <f>-703.12046576656 -105.21397044276 -671.603344071519</f>
        <v>-1479.937780280839</v>
      </c>
      <c r="J2477">
        <f>-728.3547382812 -118.79939200211 -535.388806669721</f>
        <v>-1382.5429369530311</v>
      </c>
      <c r="K2477">
        <f>-807.788653770286 -13.6061195172001 -496.39380230483</f>
        <v>-1317.7885755923162</v>
      </c>
      <c r="L2477" t="s">
        <v>26611</v>
      </c>
      <c r="M2477" t="s">
        <v>26612</v>
      </c>
      <c r="N2477">
        <f>-696.215691631961 -162.762950088489 -545.658053659393</f>
        <v>-1404.6366953798429</v>
      </c>
      <c r="O2477">
        <f>-614.447516183881 -273.212491306867 -541.974855754929</f>
        <v>-1429.634863245677</v>
      </c>
      <c r="P2477">
        <f>-540.507207081495 -355.115931401314 -269.182025497054</f>
        <v>-1164.805163979863</v>
      </c>
      <c r="Q2477">
        <f>-467.184952319734 -130.085515337027 -314.304407267772</f>
        <v>-911.57487492453288</v>
      </c>
      <c r="R2477">
        <f>-701.402349086634 -68.8839558168463 -87.7801910607027</f>
        <v>-858.06649596418299</v>
      </c>
      <c r="S2477" t="s">
        <v>26613</v>
      </c>
      <c r="T2477" t="s">
        <v>26614</v>
      </c>
      <c r="U2477" t="s">
        <v>26615</v>
      </c>
      <c r="V2477">
        <f>-584.301395872437 -221.976646495755 -87.9800990787659</f>
        <v>-894.25814144695789</v>
      </c>
      <c r="W2477" t="s">
        <v>26616</v>
      </c>
      <c r="X2477" t="s">
        <v>26617</v>
      </c>
      <c r="Y2477" t="s">
        <v>26618</v>
      </c>
    </row>
    <row r="2478" spans="1:25" x14ac:dyDescent="0.3">
      <c r="A2478">
        <v>123850</v>
      </c>
      <c r="B2478" t="s">
        <v>26619</v>
      </c>
      <c r="C2478">
        <f>-642.694639086807 -145.218722092565 -86.7768786801383</f>
        <v>-874.69023985951037</v>
      </c>
      <c r="D2478">
        <f>-666.804994873707 -163.960128179394 -198.507162847492</f>
        <v>-1029.272285900593</v>
      </c>
      <c r="E2478">
        <f>-682.4704467139 -165.546854250696 -295.865975346704</f>
        <v>-1143.8832763113001</v>
      </c>
      <c r="F2478">
        <f>-694.999142672104 -161.53941870759 -383.986525061277</f>
        <v>-1240.5250864409709</v>
      </c>
      <c r="G2478">
        <f>-705.559209105873 -151.89933729148 -471.928376058124</f>
        <v>-1329.3869224554771</v>
      </c>
      <c r="H2478">
        <f>-718.206456538914 -132.553778604155 -594.348195480725</f>
        <v>-1445.108430623794</v>
      </c>
      <c r="I2478">
        <f>-703.579689411142 -105.589412069209 -671.575199952215</f>
        <v>-1480.7443014325659</v>
      </c>
      <c r="J2478">
        <f>-728.706057545286 -119.0816393121 -535.343371474607</f>
        <v>-1383.131068331993</v>
      </c>
      <c r="K2478">
        <f>-808.092719648604 -13.858534708346 -496.32166741221</f>
        <v>-1318.2729217691599</v>
      </c>
      <c r="L2478" t="s">
        <v>26620</v>
      </c>
      <c r="M2478" t="s">
        <v>26621</v>
      </c>
      <c r="N2478">
        <f>-696.575953895979 -163.051958656648 -545.611285648341</f>
        <v>-1405.2391982009681</v>
      </c>
      <c r="O2478">
        <f>-614.760507632382 -273.465776870053 -541.914850211267</f>
        <v>-1430.1411347137018</v>
      </c>
      <c r="P2478">
        <f>-540.692311499272 -355.178136094706 -269.099630610087</f>
        <v>-1164.970078204065</v>
      </c>
      <c r="Q2478">
        <f>-467.490750342276 -130.124866560975 -314.303879761892</f>
        <v>-911.91949666514301</v>
      </c>
      <c r="R2478">
        <f>-701.42283041033 -68.8256641116564 -87.7623268854885</f>
        <v>-858.01082140747485</v>
      </c>
      <c r="S2478" t="s">
        <v>26622</v>
      </c>
      <c r="T2478" t="s">
        <v>26623</v>
      </c>
      <c r="U2478" t="s">
        <v>26624</v>
      </c>
      <c r="V2478">
        <f>-584.246175880295 -221.915917280882 -87.9524160314234</f>
        <v>-894.11450919260039</v>
      </c>
      <c r="W2478" t="s">
        <v>26625</v>
      </c>
      <c r="X2478" t="s">
        <v>26626</v>
      </c>
      <c r="Y2478" t="s">
        <v>26627</v>
      </c>
    </row>
    <row r="2479" spans="1:25" x14ac:dyDescent="0.3">
      <c r="A2479">
        <v>123900</v>
      </c>
      <c r="B2479" t="s">
        <v>26628</v>
      </c>
      <c r="C2479">
        <f>-642.661727449524 -145.47387495989 -86.8313020741214</f>
        <v>-874.96690448353547</v>
      </c>
      <c r="D2479">
        <f>-666.754994778872 -164.291580977203 -198.552501110677</f>
        <v>-1029.5990768667521</v>
      </c>
      <c r="E2479">
        <f>-682.540890939258 -165.961397966736 -295.89053699609</f>
        <v>-1144.392825902084</v>
      </c>
      <c r="F2479">
        <f>-695.232557954538 -162.035979783304 -383.991293938348</f>
        <v>-1241.2598316761901</v>
      </c>
      <c r="G2479">
        <f>-706.009647021459 -152.484197180765 -471.916686093634</f>
        <v>-1330.4105302958581</v>
      </c>
      <c r="H2479">
        <f>-719.01646010835 -133.268099804211 -594.319070428216</f>
        <v>-1446.603630340777</v>
      </c>
      <c r="I2479">
        <f>-704.510230391683 -106.34152876625 -671.581993221603</f>
        <v>-1482.4337523795361</v>
      </c>
      <c r="J2479">
        <f>-729.348775604474 -119.737974961287 -535.298048565358</f>
        <v>-1384.3847991311191</v>
      </c>
      <c r="K2479">
        <f>-808.52467148214 -14.3963471667626 -496.163566183086</f>
        <v>-1319.0845848319886</v>
      </c>
      <c r="L2479" t="s">
        <v>26629</v>
      </c>
      <c r="M2479" t="s">
        <v>26630</v>
      </c>
      <c r="N2479">
        <f>-697.236850005884 -163.710433193873 -545.613659076893</f>
        <v>-1406.5609422766499</v>
      </c>
      <c r="O2479">
        <f>-615.422309221011 -274.121742262232 -541.978588195706</f>
        <v>-1431.522639678949</v>
      </c>
      <c r="P2479">
        <f>-541.407759062375 -355.650790702329 -269.09388220822</f>
        <v>-1166.152431972924</v>
      </c>
      <c r="Q2479">
        <f>-467.909258569594 -130.743026588616 -314.539665054552</f>
        <v>-913.19195021276209</v>
      </c>
      <c r="R2479">
        <f>-701.3398645015 -69.101959381904 -87.8093083048228</f>
        <v>-858.25113218822673</v>
      </c>
      <c r="S2479" t="s">
        <v>26631</v>
      </c>
      <c r="T2479" t="s">
        <v>26632</v>
      </c>
      <c r="U2479" t="s">
        <v>26633</v>
      </c>
      <c r="V2479">
        <f>-584.217699095988 -222.205323942378 -87.9247199603914</f>
        <v>-894.34774299875733</v>
      </c>
      <c r="W2479" t="s">
        <v>26634</v>
      </c>
      <c r="X2479" t="s">
        <v>26635</v>
      </c>
      <c r="Y2479" t="s">
        <v>26636</v>
      </c>
    </row>
    <row r="2480" spans="1:25" x14ac:dyDescent="0.3">
      <c r="A2480">
        <v>123950</v>
      </c>
      <c r="B2480" t="s">
        <v>26637</v>
      </c>
      <c r="C2480">
        <f>-642.6455479043 -145.480007305464 -86.8422253031271</f>
        <v>-874.96778051289107</v>
      </c>
      <c r="D2480">
        <f>-666.714192246651 -164.314845209703 -198.56594358043</f>
        <v>-1029.594981036784</v>
      </c>
      <c r="E2480">
        <f>-682.520052827182 -165.99366467145 -295.900374103791</f>
        <v>-1144.414091602423</v>
      </c>
      <c r="F2480">
        <f>-695.246550258322 -162.074014321746 -383.996474288115</f>
        <v>-1241.3170388681831</v>
      </c>
      <c r="G2480">
        <f>-706.074684859154 -152.52558686056 -471.915846720072</f>
        <v>-1330.5161184397859</v>
      </c>
      <c r="H2480">
        <f>-719.169799823488 -133.311406723838 -594.30935624959</f>
        <v>-1446.790562796916</v>
      </c>
      <c r="I2480">
        <f>-704.71327018306 -106.391526074786 -671.58381899941</f>
        <v>-1482.6886152572561</v>
      </c>
      <c r="J2480">
        <f>-729.453684069606 -119.77607442865 -535.280868052014</f>
        <v>-1384.51062655027</v>
      </c>
      <c r="K2480">
        <f>-808.483155942198 -14.3553495281185 -496.075725805371</f>
        <v>-1318.9142312756876</v>
      </c>
      <c r="L2480" t="s">
        <v>26638</v>
      </c>
      <c r="M2480" t="s">
        <v>26639</v>
      </c>
      <c r="N2480">
        <f>-697.360846897914 -163.757169687575 -545.619059500226</f>
        <v>-1406.737076085715</v>
      </c>
      <c r="O2480">
        <f>-615.579080972792 -274.198865888155 -542.024498429366</f>
        <v>-1431.8024452903128</v>
      </c>
      <c r="P2480">
        <f>-541.662434293739 -355.797083163514 -269.133949800674</f>
        <v>-1166.5934672579269</v>
      </c>
      <c r="Q2480">
        <f>-467.705888210118 -131.051113982743 -314.637483877687</f>
        <v>-913.39448607054806</v>
      </c>
      <c r="R2480">
        <f>-701.306855990544 -69.1222711419464 -87.832569363551</f>
        <v>-858.2616964960414</v>
      </c>
      <c r="S2480" t="s">
        <v>26640</v>
      </c>
      <c r="T2480" t="s">
        <v>26641</v>
      </c>
      <c r="U2480" t="s">
        <v>26642</v>
      </c>
      <c r="V2480">
        <f>-584.191339974125 -222.148606692882 -87.8885385416368</f>
        <v>-894.22848520864375</v>
      </c>
      <c r="W2480" t="s">
        <v>26643</v>
      </c>
      <c r="X2480" t="s">
        <v>26644</v>
      </c>
      <c r="Y2480" t="s">
        <v>26645</v>
      </c>
    </row>
    <row r="2481" spans="1:25" x14ac:dyDescent="0.3">
      <c r="A2481">
        <v>124000</v>
      </c>
      <c r="B2481" t="s">
        <v>26646</v>
      </c>
      <c r="C2481">
        <f>-642.596982508238 -145.357251094011 -86.8371445558186</f>
        <v>-874.79137815806757</v>
      </c>
      <c r="D2481">
        <f>-666.601955016879 -164.18752829924 -198.575172775167</f>
        <v>-1029.364656091286</v>
      </c>
      <c r="E2481">
        <f>-682.423530605932 -165.858549913708 -295.907411822444</f>
        <v>-1144.1894923420839</v>
      </c>
      <c r="F2481">
        <f>-695.19346707935 -161.929431582509 -383.996727121099</f>
        <v>-1241.1196257829579</v>
      </c>
      <c r="G2481">
        <f>-706.09426310627 -152.369440186443 -471.90590110851</f>
        <v>-1330.3696044012231</v>
      </c>
      <c r="H2481">
        <f>-719.321767416333 -133.136787841053 -594.282162189413</f>
        <v>-1446.740717446799</v>
      </c>
      <c r="I2481">
        <f>-704.951461582601 -106.233312502835 -671.578503075696</f>
        <v>-1482.763277161132</v>
      </c>
      <c r="J2481">
        <f>-729.519847438468 -119.594358572265 -535.240473181659</f>
        <v>-1384.354679192392</v>
      </c>
      <c r="K2481">
        <f>-808.199684679997 -13.9304462086714 -495.976388467336</f>
        <v>-1318.1065193560044</v>
      </c>
      <c r="L2481" t="s">
        <v>26647</v>
      </c>
      <c r="M2481" t="s">
        <v>26648</v>
      </c>
      <c r="N2481">
        <f>-697.482117393177 -163.605878395898 -545.620225899005</f>
        <v>-1406.7082216880799</v>
      </c>
      <c r="O2481">
        <f>-615.7978358411 -274.1196914014 -542.078656183726</f>
        <v>-1431.996183426226</v>
      </c>
      <c r="P2481">
        <f>-542.349306153445 -356.035273506484 -269.156671941208</f>
        <v>-1167.541251601137</v>
      </c>
      <c r="Q2481">
        <f>-467.236978036325 -131.585040589736 -314.224318864058</f>
        <v>-913.04633749011896</v>
      </c>
      <c r="R2481">
        <f>-701.188689811095 -69.0173988048368 -87.8679711204093</f>
        <v>-858.07405973634104</v>
      </c>
      <c r="S2481" t="s">
        <v>26649</v>
      </c>
      <c r="T2481" t="s">
        <v>26650</v>
      </c>
      <c r="U2481" t="s">
        <v>26651</v>
      </c>
      <c r="V2481">
        <f>-584.251098026926 -221.990376293326 -87.8155994216893</f>
        <v>-894.05707374194128</v>
      </c>
      <c r="W2481" t="s">
        <v>26652</v>
      </c>
      <c r="X2481" t="s">
        <v>26653</v>
      </c>
      <c r="Y2481" t="s">
        <v>26654</v>
      </c>
    </row>
    <row r="2482" spans="1:25" x14ac:dyDescent="0.3">
      <c r="A2482">
        <v>124050</v>
      </c>
      <c r="B2482" t="s">
        <v>26655</v>
      </c>
      <c r="C2482">
        <f>-642.692415294771 -145.025681857739 -86.8233937889119</f>
        <v>-874.54149094142178</v>
      </c>
      <c r="D2482">
        <f>-666.648399834279 -163.838282339535 -198.574989235559</f>
        <v>-1029.061671409373</v>
      </c>
      <c r="E2482">
        <f>-682.473328459748 -165.507026246204 -295.90655581751</f>
        <v>-1143.8869105234621</v>
      </c>
      <c r="F2482">
        <f>-695.265088514291 -161.580786661325 -383.992961189876</f>
        <v>-1240.8388363654919</v>
      </c>
      <c r="G2482">
        <f>-706.206690709705 -152.028536761686 -471.897832336073</f>
        <v>-1330.133059807464</v>
      </c>
      <c r="H2482">
        <f>-719.511086523238 -132.811709917564 -594.268332316285</f>
        <v>-1446.5911287570871</v>
      </c>
      <c r="I2482">
        <f>-705.18293795053 -105.938809331488 -671.583102342023</f>
        <v>-1482.7048496240409</v>
      </c>
      <c r="J2482">
        <f>-729.65361703072 -119.248213834424 -535.221889945362</f>
        <v>-1384.1237208105063</v>
      </c>
      <c r="K2482">
        <f>-808.136119608477 -13.4407475665384 -495.96001892346</f>
        <v>-1317.5368860984754</v>
      </c>
      <c r="L2482" t="s">
        <v>26656</v>
      </c>
      <c r="M2482" t="s">
        <v>26657</v>
      </c>
      <c r="N2482">
        <f>-697.659333749577 -163.287930359677 -545.616297181261</f>
        <v>-1406.5635612905148</v>
      </c>
      <c r="O2482">
        <f>-616.08798737474 -273.88345365545 -542.076117371883</f>
        <v>-1432.047558402073</v>
      </c>
      <c r="P2482">
        <f>-542.987022507564 -356.011038317371 -269.124594786558</f>
        <v>-1168.122655611493</v>
      </c>
      <c r="Q2482">
        <f>-467.331513177883 -131.708568892317 -314.019089046552</f>
        <v>-913.05917111675194</v>
      </c>
      <c r="R2482">
        <f>-701.219742878009 -68.6931944144873 -87.8979539235884</f>
        <v>-857.81089121608466</v>
      </c>
      <c r="S2482" t="s">
        <v>26658</v>
      </c>
      <c r="T2482" t="s">
        <v>26659</v>
      </c>
      <c r="U2482" t="s">
        <v>26660</v>
      </c>
      <c r="V2482">
        <f>-584.44832513986 -221.642588534576 -87.7640492799929</f>
        <v>-893.85496295442897</v>
      </c>
      <c r="W2482" t="s">
        <v>26661</v>
      </c>
      <c r="X2482" t="s">
        <v>26662</v>
      </c>
      <c r="Y2482" t="s">
        <v>26663</v>
      </c>
    </row>
    <row r="2483" spans="1:25" x14ac:dyDescent="0.3">
      <c r="A2483">
        <v>124100</v>
      </c>
      <c r="B2483" t="s">
        <v>26664</v>
      </c>
      <c r="C2483">
        <f>-642.839261893651 -144.209671739115 -86.7962139845413</f>
        <v>-873.84514761730736</v>
      </c>
      <c r="D2483">
        <f>-666.726410058788 -162.910202011798 -198.581235564232</f>
        <v>-1028.2178476348181</v>
      </c>
      <c r="E2483">
        <f>-682.54742123433 -164.56426590719 -295.913786127707</f>
        <v>-1143.0254732692269</v>
      </c>
      <c r="F2483">
        <f>-695.359501658941 -160.656642967517 -383.997927352132</f>
        <v>-1240.01407197859</v>
      </c>
      <c r="G2483">
        <f>-706.34492165547 -151.155302069395 -471.902956942442</f>
        <v>-1329.403180667307</v>
      </c>
      <c r="H2483">
        <f>-719.735650695606 -132.043111146005 -594.280470491266</f>
        <v>-1446.0592323328769</v>
      </c>
      <c r="I2483">
        <f>-705.479482713082 -105.329351049601 -671.663615235398</f>
        <v>-1482.4724489980808</v>
      </c>
      <c r="J2483">
        <f>-729.778550186431 -118.387295385385 -535.23829702827</f>
        <v>-1383.4041426000858</v>
      </c>
      <c r="K2483">
        <f>-807.889220980094 -12.2508769912579 -496.094705380783</f>
        <v>-1316.2348033521348</v>
      </c>
      <c r="L2483" t="s">
        <v>26665</v>
      </c>
      <c r="M2483" t="s">
        <v>26666</v>
      </c>
      <c r="N2483">
        <f>-697.907487633573 -162.519667084484 -545.617950571464</f>
        <v>-1406.045105289521</v>
      </c>
      <c r="O2483">
        <f>-616.640923372036 -273.333550064375 -541.960624277927</f>
        <v>-1431.9350977143381</v>
      </c>
      <c r="P2483">
        <f>-544.646951822506 -355.889645526629 -268.844131968285</f>
        <v>-1169.38072931742</v>
      </c>
      <c r="Q2483">
        <f>-467.880947507139 -131.856047464589 -313.192826870127</f>
        <v>-912.92982184185507</v>
      </c>
      <c r="R2483">
        <f>-701.128134925613 -67.8368358204763 -87.9400822568524</f>
        <v>-856.90505300294171</v>
      </c>
      <c r="S2483" t="s">
        <v>26667</v>
      </c>
      <c r="T2483" t="s">
        <v>26668</v>
      </c>
      <c r="U2483" t="s">
        <v>26669</v>
      </c>
      <c r="V2483">
        <f>-584.772837519292 -220.919182988918 -87.6996881383745</f>
        <v>-893.39170864658456</v>
      </c>
      <c r="W2483" t="s">
        <v>26670</v>
      </c>
      <c r="X2483" t="s">
        <v>26671</v>
      </c>
      <c r="Y2483" t="s">
        <v>26672</v>
      </c>
    </row>
    <row r="2484" spans="1:25" x14ac:dyDescent="0.3">
      <c r="A2484">
        <v>124150</v>
      </c>
      <c r="B2484" t="s">
        <v>26673</v>
      </c>
      <c r="C2484">
        <f>-642.772444192099 -143.666242614596 -86.7655084057815</f>
        <v>-873.20419521247641</v>
      </c>
      <c r="D2484">
        <f>-666.637196033604 -162.307229772418 -198.565350806772</f>
        <v>-1027.509776612794</v>
      </c>
      <c r="E2484">
        <f>-682.448245354485 -163.967926508965 -295.899309351446</f>
        <v>-1142.315481214896</v>
      </c>
      <c r="F2484">
        <f>-695.255765934738 -160.0891397602 -383.985471757413</f>
        <v>-1239.3303774523511</v>
      </c>
      <c r="G2484">
        <f>-706.241170501222 -150.639782969838 -471.896074984985</f>
        <v>-1328.7770284560449</v>
      </c>
      <c r="H2484">
        <f>-719.636297054729 -131.624111137517 -594.288061810843</f>
        <v>-1445.5484700030888</v>
      </c>
      <c r="I2484">
        <f>-705.413035453777 -105.019897932823 -671.715033094998</f>
        <v>-1482.1479664815979</v>
      </c>
      <c r="J2484">
        <f>-729.645767600839 -117.89913556612 -535.256197832379</f>
        <v>-1382.8011009993379</v>
      </c>
      <c r="K2484">
        <f>-807.6271083379 -11.626127053958 -496.233721698324</f>
        <v>-1315.4869570901822</v>
      </c>
      <c r="L2484" t="s">
        <v>26674</v>
      </c>
      <c r="M2484" t="s">
        <v>26675</v>
      </c>
      <c r="N2484">
        <f>-697.837756642276 -162.084821475966 -545.6025344762</f>
        <v>-1405.5251125944419</v>
      </c>
      <c r="O2484">
        <f>-616.759744035474 -273.037015121151 -541.841774665148</f>
        <v>-1431.6385338217731</v>
      </c>
      <c r="P2484">
        <f>-545.636052333049 -355.803350329899 -268.561083443244</f>
        <v>-1170.0004861061921</v>
      </c>
      <c r="Q2484">
        <f>-468.178203256562 -131.991131843187 -312.82469476729</f>
        <v>-912.99402986703899</v>
      </c>
      <c r="R2484">
        <f>-700.956692932984 -67.2825075660983 -87.9229508936044</f>
        <v>-856.16215139268661</v>
      </c>
      <c r="S2484" t="s">
        <v>26676</v>
      </c>
      <c r="T2484" t="s">
        <v>26677</v>
      </c>
      <c r="U2484" t="s">
        <v>26678</v>
      </c>
      <c r="V2484">
        <f>-584.758717412756 -220.382184230609 -87.6577595180522</f>
        <v>-892.79866116141727</v>
      </c>
      <c r="W2484" t="s">
        <v>26679</v>
      </c>
      <c r="X2484" t="s">
        <v>26680</v>
      </c>
      <c r="Y2484" t="s">
        <v>26681</v>
      </c>
    </row>
    <row r="2485" spans="1:25" x14ac:dyDescent="0.3">
      <c r="A2485">
        <v>124200</v>
      </c>
      <c r="B2485" t="s">
        <v>26682</v>
      </c>
      <c r="C2485">
        <f>-642.489702088512 -142.413712997505 -86.6223268464067</f>
        <v>-871.52574193242378</v>
      </c>
      <c r="D2485">
        <f>-666.287755924874 -160.935458713756 -198.456123360186</f>
        <v>-1025.679337998816</v>
      </c>
      <c r="E2485">
        <f>-682.050643733647 -162.615806534801 -295.797638481428</f>
        <v>-1140.4640887498761</v>
      </c>
      <c r="F2485">
        <f>-694.82064406081 -158.802841363994 -383.892179950362</f>
        <v>-1237.515665375166</v>
      </c>
      <c r="G2485">
        <f>-705.774745528771 -149.467745186862 -471.818803900106</f>
        <v>-1327.0612946157389</v>
      </c>
      <c r="H2485">
        <f>-719.133370719553 -130.661591259743 -594.247148980888</f>
        <v>-1444.0421109601839</v>
      </c>
      <c r="I2485">
        <f>-704.951867704054 -104.27852133148 -671.757432216373</f>
        <v>-1480.987821251907</v>
      </c>
      <c r="J2485">
        <f>-729.103547333956 -116.794817315139 -535.241867887366</f>
        <v>-1381.1402325364611</v>
      </c>
      <c r="K2485">
        <f>-806.873835638026 -10.2795182434147 -496.482053041332</f>
        <v>-1313.6354069227727</v>
      </c>
      <c r="L2485" t="s">
        <v>26683</v>
      </c>
      <c r="M2485" t="s">
        <v>26684</v>
      </c>
      <c r="N2485">
        <f>-697.406260306458 -161.079749927225 -545.503105883936</f>
        <v>-1403.9891161176188</v>
      </c>
      <c r="O2485">
        <f>-616.633517924024 -272.256686832918 -541.5489078337</f>
        <v>-1430.439112590642</v>
      </c>
      <c r="P2485">
        <f>-547.026648532446 -355.586156481649 -268.048985638458</f>
        <v>-1170.661790652553</v>
      </c>
      <c r="Q2485">
        <f>-468.517163459764 -132.117199429308 -312.193613484778</f>
        <v>-912.82797637384999</v>
      </c>
      <c r="R2485">
        <f>-700.578113468753 -65.9601725040286 -87.8299681724419</f>
        <v>-854.36825414522355</v>
      </c>
      <c r="S2485" t="s">
        <v>26685</v>
      </c>
      <c r="T2485" t="s">
        <v>26686</v>
      </c>
      <c r="U2485" t="s">
        <v>26687</v>
      </c>
      <c r="V2485">
        <f>-584.573875462146 -219.203594095435 -87.4846714645442</f>
        <v>-891.26214102212532</v>
      </c>
      <c r="W2485" t="s">
        <v>26688</v>
      </c>
      <c r="X2485" t="s">
        <v>26689</v>
      </c>
      <c r="Y2485" t="s">
        <v>26690</v>
      </c>
    </row>
    <row r="2486" spans="1:25" x14ac:dyDescent="0.3">
      <c r="A2486">
        <v>124250</v>
      </c>
      <c r="B2486" t="s">
        <v>26691</v>
      </c>
      <c r="C2486">
        <f>-642.328849262249 -141.744065698641 -86.5364090481589</f>
        <v>-870.60932400904903</v>
      </c>
      <c r="D2486">
        <f>-666.129855296224 -160.202435273387 -198.380080056291</f>
        <v>-1024.7123706259019</v>
      </c>
      <c r="E2486">
        <f>-681.88839549386 -161.877753833818 -295.722358593834</f>
        <v>-1139.4885079215119</v>
      </c>
      <c r="F2486">
        <f>-694.653652303698 -158.079259409968 -383.81817872406</f>
        <v>-1236.5510904377261</v>
      </c>
      <c r="G2486">
        <f>-705.602813592298 -148.777764116085 -471.749042270558</f>
        <v>-1326.129619978941</v>
      </c>
      <c r="H2486">
        <f>-718.955227122693 -130.038008235092 -594.188201595198</f>
        <v>-1443.1814369529829</v>
      </c>
      <c r="I2486">
        <f>-704.79515767671 -103.730575143545 -671.728145252463</f>
        <v>-1480.2538780727182</v>
      </c>
      <c r="J2486">
        <f>-728.904256783229 -116.12194031669 -535.19097186132</f>
        <v>-1380.2171689612392</v>
      </c>
      <c r="K2486">
        <f>-806.585037421931 -9.50467096108878 -496.518390968904</f>
        <v>-1312.6080993519238</v>
      </c>
      <c r="L2486" t="s">
        <v>26692</v>
      </c>
      <c r="M2486" t="s">
        <v>26693</v>
      </c>
      <c r="N2486">
        <f>-697.25475724217 -160.446925095407 -545.42659222496</f>
        <v>-1403.1282745625369</v>
      </c>
      <c r="O2486">
        <f>-616.620881360549 -271.713317882501 -541.397669657318</f>
        <v>-1429.731868900368</v>
      </c>
      <c r="P2486">
        <f>-547.741771752156 -355.18580412285 -267.757030619728</f>
        <v>-1170.684606494734</v>
      </c>
      <c r="Q2486">
        <f>-468.774048853426 -131.878562196167 -311.902481942108</f>
        <v>-912.55509299170103</v>
      </c>
      <c r="R2486">
        <f>-700.341157972431 -65.2388121538539 -87.7487051068489</f>
        <v>-853.32867523313382</v>
      </c>
      <c r="S2486" t="s">
        <v>26694</v>
      </c>
      <c r="T2486" t="s">
        <v>26695</v>
      </c>
      <c r="U2486" t="s">
        <v>26696</v>
      </c>
      <c r="V2486">
        <f>-584.521549985877 -218.591372994948 -87.3976526201789</f>
        <v>-890.51057560100378</v>
      </c>
      <c r="W2486" t="s">
        <v>26697</v>
      </c>
      <c r="X2486" t="s">
        <v>26698</v>
      </c>
      <c r="Y2486" t="s">
        <v>26699</v>
      </c>
    </row>
    <row r="2487" spans="1:25" x14ac:dyDescent="0.3">
      <c r="A2487">
        <v>124300</v>
      </c>
      <c r="B2487" t="s">
        <v>26700</v>
      </c>
      <c r="C2487">
        <f>-642.125151199763 -140.363647520187 -86.4196121229007</f>
        <v>-868.90841084285069</v>
      </c>
      <c r="D2487">
        <f>-665.934977509594 -158.766347007889 -198.270687378683</f>
        <v>-1022.972011896166</v>
      </c>
      <c r="E2487">
        <f>-681.700460599541 -160.429727315483 -295.612037304182</f>
        <v>-1137.7422252192059</v>
      </c>
      <c r="F2487">
        <f>-694.473545142505 -156.633805003325 -383.706665854969</f>
        <v>-1234.814016000799</v>
      </c>
      <c r="G2487">
        <f>-705.431782739426 -147.348704786182 -471.638156005491</f>
        <v>-1324.418643531099</v>
      </c>
      <c r="H2487">
        <f>-718.798446906164 -128.646282616993 -594.081526312571</f>
        <v>-1441.5262558357281</v>
      </c>
      <c r="I2487">
        <f>-704.689282026972 -102.425394522202 -671.659975345829</f>
        <v>-1478.774651895003</v>
      </c>
      <c r="J2487">
        <f>-728.68947194858 -114.675866078639 -535.087405811316</f>
        <v>-1378.4527438385351</v>
      </c>
      <c r="K2487">
        <f>-806.111529965837 -7.85776735342552 -496.468965618231</f>
        <v>-1310.4382629374936</v>
      </c>
      <c r="L2487" t="s">
        <v>26701</v>
      </c>
      <c r="M2487" t="s">
        <v>26702</v>
      </c>
      <c r="N2487">
        <f>-697.143366566923 -159.076777910004 -545.313161258012</f>
        <v>-1401.5333057349389</v>
      </c>
      <c r="O2487">
        <f>-616.74132646129 -270.513401784992 -541.248889817926</f>
        <v>-1428.503618064208</v>
      </c>
      <c r="P2487">
        <f>-548.741400528977 -354.354511335811 -267.501087014482</f>
        <v>-1170.5969988792699</v>
      </c>
      <c r="Q2487">
        <f>-469.34868545339 -131.062501842134 -310.95627583516</f>
        <v>-911.36746313068397</v>
      </c>
      <c r="R2487">
        <f>-700.041273574399 -63.7421956267996 -87.6362120208271</f>
        <v>-851.4196812220257</v>
      </c>
      <c r="S2487" t="s">
        <v>26703</v>
      </c>
      <c r="T2487" t="s">
        <v>26704</v>
      </c>
      <c r="U2487" t="s">
        <v>26705</v>
      </c>
      <c r="V2487">
        <f>-584.468681426644 -217.296123080429 -87.3022187651607</f>
        <v>-889.06702327223366</v>
      </c>
      <c r="W2487" t="s">
        <v>26706</v>
      </c>
      <c r="X2487" t="s">
        <v>26707</v>
      </c>
      <c r="Y2487" t="s">
        <v>26708</v>
      </c>
    </row>
    <row r="2488" spans="1:25" x14ac:dyDescent="0.3">
      <c r="A2488">
        <v>124350</v>
      </c>
      <c r="B2488" t="s">
        <v>26709</v>
      </c>
      <c r="C2488">
        <f>-642.069534267953 -139.641399418429 -86.4110244294787</f>
        <v>-868.12195811586082</v>
      </c>
      <c r="D2488">
        <f>-665.86357776284 -158.003242799746 -198.272140154224</f>
        <v>-1022.1389607168099</v>
      </c>
      <c r="E2488">
        <f>-681.651855512495 -159.641809868158 -295.610122613595</f>
        <v>-1136.903787994248</v>
      </c>
      <c r="F2488">
        <f>-694.460776263705 -155.827178826545 -383.698824071114</f>
        <v>-1233.9867791613642</v>
      </c>
      <c r="G2488">
        <f>-705.470250484644 -146.52724668093 -471.622410365639</f>
        <v>-1323.6199075312129</v>
      </c>
      <c r="H2488">
        <f>-718.924858344558 -127.807979423666 -594.053588797409</f>
        <v>-1440.7864265656331</v>
      </c>
      <c r="I2488">
        <f>-704.850985746114 -101.60500509197 -671.644540330816</f>
        <v>-1478.1005311689</v>
      </c>
      <c r="J2488">
        <f>-728.757415012324 -113.834272074511 -535.050350995465</f>
        <v>-1377.6420380823001</v>
      </c>
      <c r="K2488">
        <f>-806.029614490497 -6.930117502641 -496.341747479612</f>
        <v>-1309.3014794727501</v>
      </c>
      <c r="L2488" t="s">
        <v>26710</v>
      </c>
      <c r="M2488" t="s">
        <v>26711</v>
      </c>
      <c r="N2488">
        <f>-697.250830360944 -158.256598711963 -545.304747996912</f>
        <v>-1400.812177069819</v>
      </c>
      <c r="O2488">
        <f>-616.933892835369 -269.740455575098 -541.290353872438</f>
        <v>-1427.9647022829049</v>
      </c>
      <c r="P2488">
        <f>-549.2470484507 -353.332190382038 -267.388637997425</f>
        <v>-1169.967876830163</v>
      </c>
      <c r="Q2488">
        <f>-469.027535854736 -130.208389203686 -310.183907622506</f>
        <v>-909.41983268092804</v>
      </c>
      <c r="R2488">
        <f>-699.972463579395 -62.9769373276416 -87.6218655206325</f>
        <v>-850.57126642766912</v>
      </c>
      <c r="S2488" t="s">
        <v>26712</v>
      </c>
      <c r="T2488" t="s">
        <v>26713</v>
      </c>
      <c r="U2488" t="s">
        <v>26714</v>
      </c>
      <c r="V2488">
        <f>-584.401396577942 -216.599142013056 -87.3111993122359</f>
        <v>-888.31173790323396</v>
      </c>
      <c r="W2488" t="s">
        <v>26715</v>
      </c>
      <c r="X2488" t="s">
        <v>26716</v>
      </c>
      <c r="Y2488" t="s">
        <v>26717</v>
      </c>
    </row>
    <row r="2489" spans="1:25" x14ac:dyDescent="0.3">
      <c r="A2489">
        <v>124400</v>
      </c>
      <c r="B2489" t="s">
        <v>26718</v>
      </c>
      <c r="C2489">
        <f>-642.182993670492 -138.328920087384 -86.4316473431513</f>
        <v>-866.9435611010274</v>
      </c>
      <c r="D2489">
        <f>-665.936456853681 -156.579830545724 -198.319492676496</f>
        <v>-1020.835780075901</v>
      </c>
      <c r="E2489">
        <f>-681.687637295842 -158.090142849009 -295.665690005583</f>
        <v>-1135.443470150434</v>
      </c>
      <c r="F2489">
        <f>-694.462851674352 -154.145991037062 -383.753599526527</f>
        <v>-1232.362442237941</v>
      </c>
      <c r="G2489">
        <f>-705.438379244315 -144.70364383969 -471.666087297436</f>
        <v>-1321.8081103814411</v>
      </c>
      <c r="H2489">
        <f>-718.845335427641 -125.772500455471 -594.069892436316</f>
        <v>-1438.6877283194281</v>
      </c>
      <c r="I2489">
        <f>-704.810940646615 -99.526780691661 -671.653665882338</f>
        <v>-1475.9913872206139</v>
      </c>
      <c r="J2489">
        <f>-728.67355597587 -111.881477178564 -535.046460474604</f>
        <v>-1375.601493629038</v>
      </c>
      <c r="K2489">
        <f>-805.735370320108 -4.89916574838776 -496.154803174198</f>
        <v>-1306.7893392426938</v>
      </c>
      <c r="L2489" t="s">
        <v>26719</v>
      </c>
      <c r="M2489" t="s">
        <v>26720</v>
      </c>
      <c r="N2489">
        <f>-697.21768672789 -156.324816806315 -545.365649836902</f>
        <v>-1398.9081533711069</v>
      </c>
      <c r="O2489">
        <f>-616.993014267215 -267.901059888158 -541.50009119454</f>
        <v>-1426.394165349913</v>
      </c>
      <c r="P2489">
        <f>-549.651059282746 -352.467433027095 -267.812757969488</f>
        <v>-1169.9312502793291</v>
      </c>
      <c r="Q2489">
        <f>-469.528078253132 -129.220550180823 -310.144837007375</f>
        <v>-908.89346544132991</v>
      </c>
      <c r="R2489">
        <f>-699.921233596846 -61.6690933470844 -87.6147744742299</f>
        <v>-849.20510141816033</v>
      </c>
      <c r="S2489" t="s">
        <v>26721</v>
      </c>
      <c r="T2489" t="s">
        <v>26722</v>
      </c>
      <c r="U2489" t="s">
        <v>26723</v>
      </c>
      <c r="V2489">
        <f>-584.744722612906 -215.257626975224 -87.3042779597116</f>
        <v>-887.30662754784169</v>
      </c>
      <c r="W2489" t="s">
        <v>26724</v>
      </c>
      <c r="X2489" t="s">
        <v>26725</v>
      </c>
      <c r="Y2489" t="s">
        <v>26726</v>
      </c>
    </row>
    <row r="2490" spans="1:25" x14ac:dyDescent="0.3">
      <c r="A2490">
        <v>124450</v>
      </c>
      <c r="B2490" t="s">
        <v>26727</v>
      </c>
      <c r="C2490">
        <f>-642.366790543982 -137.692668523425 -86.4532198078205</f>
        <v>-866.51267887522749</v>
      </c>
      <c r="D2490">
        <f>-666.073848760086 -155.885148359466 -198.360485341523</f>
        <v>-1020.319482461075</v>
      </c>
      <c r="E2490">
        <f>-681.774115057145 -157.285640421606 -295.71651866254</f>
        <v>-1134.776274141291</v>
      </c>
      <c r="F2490">
        <f>-694.498608545249 -153.218332496739 -383.806152480711</f>
        <v>-1231.5230935226989</v>
      </c>
      <c r="G2490">
        <f>-705.418448351245 -143.629698148865 -471.709862116782</f>
        <v>-1320.7580086168921</v>
      </c>
      <c r="H2490">
        <f>-718.742160400208 -124.470388958179 -594.087202231572</f>
        <v>-1437.299751589959</v>
      </c>
      <c r="I2490">
        <f>-704.713240061328 -98.136884820417 -671.642015564114</f>
        <v>-1474.4921404458589</v>
      </c>
      <c r="J2490">
        <f>-728.59610288603 -110.679164610486 -535.044673799955</f>
        <v>-1374.3199412964711</v>
      </c>
      <c r="K2490">
        <f>-805.560042122715 -3.67572450469675 -496.031472245849</f>
        <v>-1305.2672388732608</v>
      </c>
      <c r="L2490" t="s">
        <v>26728</v>
      </c>
      <c r="M2490" t="s">
        <v>26729</v>
      </c>
      <c r="N2490">
        <f>-697.162036440737 -155.123633602881 -545.425141776728</f>
        <v>-1397.710811820346</v>
      </c>
      <c r="O2490">
        <f>-616.964794555571 -266.718359209859 -541.742422630504</f>
        <v>-1425.4255763959341</v>
      </c>
      <c r="P2490">
        <f>-549.950393405558 -351.937585590647 -268.177256012346</f>
        <v>-1170.0652350085511</v>
      </c>
      <c r="Q2490">
        <f>-470.451264035725 -128.387003400079 -310.080755968893</f>
        <v>-908.9190234046971</v>
      </c>
      <c r="R2490">
        <f>-699.998458472143 -61.0078502365999 -87.636832221057</f>
        <v>-848.64314092979998</v>
      </c>
      <c r="S2490" t="s">
        <v>26730</v>
      </c>
      <c r="T2490" t="s">
        <v>26731</v>
      </c>
      <c r="U2490" t="s">
        <v>26732</v>
      </c>
      <c r="V2490">
        <f>-584.993120445592 -214.652760498786 -87.3250872788768</f>
        <v>-886.97096822325477</v>
      </c>
      <c r="W2490" t="s">
        <v>26733</v>
      </c>
      <c r="X2490" t="s">
        <v>26734</v>
      </c>
      <c r="Y2490" t="s">
        <v>26735</v>
      </c>
    </row>
    <row r="2491" spans="1:25" x14ac:dyDescent="0.3">
      <c r="A2491">
        <v>124500</v>
      </c>
      <c r="B2491" t="s">
        <v>26736</v>
      </c>
      <c r="C2491">
        <f>-642.811300980266 -136.418010643669 -86.4359379913905</f>
        <v>-865.66524961532548</v>
      </c>
      <c r="D2491">
        <f>-666.443475637862 -154.514843137933 -198.374424054183</f>
        <v>-1019.332742829978</v>
      </c>
      <c r="E2491">
        <f>-682.068330281005 -155.730984021293 -295.745168096373</f>
        <v>-1133.5444823986711</v>
      </c>
      <c r="F2491">
        <f>-694.719229423138 -151.456165042769 -383.835597141376</f>
        <v>-1230.0109916072829</v>
      </c>
      <c r="G2491">
        <f>-705.558697909155 -141.620363472888 -471.721880098875</f>
        <v>-1318.9009414809179</v>
      </c>
      <c r="H2491">
        <f>-718.762977829207 -122.075415066128 -594.051228468664</f>
        <v>-1434.8896213639991</v>
      </c>
      <c r="I2491">
        <f>-704.696710595218 -95.5180635214274 -671.522886070588</f>
        <v>-1471.7376601872334</v>
      </c>
      <c r="J2491">
        <f>-728.634846873927 -108.442269504173 -534.975013289592</f>
        <v>-1372.052129667692</v>
      </c>
      <c r="K2491">
        <f>-805.448469030212 -1.41979556243246 -495.68748962862</f>
        <v>-1302.5557542212646</v>
      </c>
      <c r="L2491" t="s">
        <v>26737</v>
      </c>
      <c r="M2491" t="s">
        <v>26738</v>
      </c>
      <c r="N2491">
        <f>-697.270068315092 -152.910056400415 -545.465141962868</f>
        <v>-1395.6452666783748</v>
      </c>
      <c r="O2491">
        <f>-617.191199203263 -264.592968517337 -542.077921213698</f>
        <v>-1423.8620889342978</v>
      </c>
      <c r="P2491">
        <f>-550.723522775111 -351.016539972958 -268.757118194823</f>
        <v>-1170.4971809428921</v>
      </c>
      <c r="Q2491">
        <f>-471.951661356524 -127.163901616522 -310.420820660117</f>
        <v>-909.53638363316304</v>
      </c>
      <c r="R2491">
        <f>-700.310717640748 -59.7861413719103 -87.621290634443</f>
        <v>-847.7181496471012</v>
      </c>
      <c r="S2491" t="s">
        <v>26739</v>
      </c>
      <c r="T2491" t="s">
        <v>26740</v>
      </c>
      <c r="U2491" t="s">
        <v>26741</v>
      </c>
      <c r="V2491">
        <f>-585.568453370034 -213.308987824046 -87.2861666371329</f>
        <v>-886.16360783121286</v>
      </c>
      <c r="W2491" t="s">
        <v>26742</v>
      </c>
      <c r="X2491" t="s">
        <v>26743</v>
      </c>
      <c r="Y2491" t="s">
        <v>26744</v>
      </c>
    </row>
    <row r="2492" spans="1:25" x14ac:dyDescent="0.3">
      <c r="A2492">
        <v>124550</v>
      </c>
      <c r="B2492" t="s">
        <v>26745</v>
      </c>
      <c r="C2492">
        <f>-643.075950606968 -135.762883560751 -86.3736512204534</f>
        <v>-865.21248538817247</v>
      </c>
      <c r="D2492">
        <f>-666.67671372363 -153.824402682576 -198.3246045374</f>
        <v>-1018.8257209436059</v>
      </c>
      <c r="E2492">
        <f>-682.277019383716 -154.957158511352 -295.700196893687</f>
        <v>-1132.9343747887551</v>
      </c>
      <c r="F2492">
        <f>-694.906476641207 -150.585174354573 -383.788859941398</f>
        <v>-1229.280510937178</v>
      </c>
      <c r="G2492">
        <f>-705.725018074742 -140.631520727569 -471.664578156383</f>
        <v>-1318.0211169586939</v>
      </c>
      <c r="H2492">
        <f>-718.899948924469 -120.900748963526 -593.967110406615</f>
        <v>-1433.7678082946099</v>
      </c>
      <c r="I2492">
        <f>-704.794360530474 -94.2035830245663 -671.383686397425</f>
        <v>-1470.3816299524653</v>
      </c>
      <c r="J2492">
        <f>-728.761362018023 -107.340248919693 -534.872503965877</f>
        <v>-1370.9741149035929</v>
      </c>
      <c r="K2492">
        <f>-805.436050889694 -0.271218386126066 -495.475754694621</f>
        <v>-1301.1830239704411</v>
      </c>
      <c r="L2492" t="s">
        <v>26746</v>
      </c>
      <c r="M2492" t="s">
        <v>26747</v>
      </c>
      <c r="N2492">
        <f>-697.443190222778 -151.826452564374 -545.423111243177</f>
        <v>-1394.6927540303291</v>
      </c>
      <c r="O2492">
        <f>-617.466357825291 -263.598121664951 -542.188505106343</f>
        <v>-1423.2529845965851</v>
      </c>
      <c r="P2492">
        <f>-551.0757228834 -350.386513262049 -268.964723052383</f>
        <v>-1170.426959197832</v>
      </c>
      <c r="Q2492">
        <f>-472.378972337456 -126.487528180488 -310.521123499757</f>
        <v>-909.387624017701</v>
      </c>
      <c r="R2492">
        <f>-700.453179343347 -59.1471373033963 -87.5900040314516</f>
        <v>-847.19032067819489</v>
      </c>
      <c r="S2492" t="s">
        <v>26748</v>
      </c>
      <c r="T2492" t="s">
        <v>26749</v>
      </c>
      <c r="U2492" t="s">
        <v>26750</v>
      </c>
      <c r="V2492">
        <f>-585.922166205661 -212.677651777441 -87.2087630467823</f>
        <v>-885.80858102988441</v>
      </c>
      <c r="W2492" t="s">
        <v>26751</v>
      </c>
      <c r="X2492" t="s">
        <v>26752</v>
      </c>
      <c r="Y2492" t="s">
        <v>26753</v>
      </c>
    </row>
    <row r="2493" spans="1:25" x14ac:dyDescent="0.3">
      <c r="A2493">
        <v>124600</v>
      </c>
      <c r="B2493" t="s">
        <v>26754</v>
      </c>
      <c r="C2493">
        <f>-643.291410817278 -135.217717478542 -86.310643221286</f>
        <v>-864.81977151710601</v>
      </c>
      <c r="D2493">
        <f>-666.90798270747 -153.260671766077 -198.26113080559</f>
        <v>-1018.4297852791369</v>
      </c>
      <c r="E2493">
        <f>-682.512429847869 -154.320263113506 -295.637020562008</f>
        <v>-1132.469713523383</v>
      </c>
      <c r="F2493">
        <f>-695.141640731946 -149.858896165796 -383.721276467234</f>
        <v>-1228.721813364976</v>
      </c>
      <c r="G2493">
        <f>-705.9551304849 -139.793159053552 -471.584756942006</f>
        <v>-1317.3330464804581</v>
      </c>
      <c r="H2493">
        <f>-719.11778418869 -119.882757777449 -593.859603150723</f>
        <v>-1432.860145116862</v>
      </c>
      <c r="I2493">
        <f>-704.939814225289 -93.0369928228671 -671.211470890786</f>
        <v>-1469.1882779389421</v>
      </c>
      <c r="J2493">
        <f>-728.959293431134 -106.39084911781 -534.745934921295</f>
        <v>-1370.0960774702389</v>
      </c>
      <c r="K2493" t="s">
        <v>26755</v>
      </c>
      <c r="L2493" t="s">
        <v>26756</v>
      </c>
      <c r="M2493" t="s">
        <v>26757</v>
      </c>
      <c r="N2493">
        <f>-697.691874631898 -150.897823788318 -545.359017710733</f>
        <v>-1393.9487161309489</v>
      </c>
      <c r="O2493">
        <f>-617.816101839739 -262.736071986716 -542.261229464689</f>
        <v>-1422.8134032911439</v>
      </c>
      <c r="P2493">
        <f>-551.5431533065 -349.852821702323 -269.113289643871</f>
        <v>-1170.5092646526941</v>
      </c>
      <c r="Q2493">
        <f>-472.699476505051 -125.973774538508 -310.498274280291</f>
        <v>-909.17152532385012</v>
      </c>
      <c r="R2493">
        <f>-700.600173893321 -58.5360679860836 -87.5485913225232</f>
        <v>-846.68483320192774</v>
      </c>
      <c r="S2493" t="s">
        <v>26758</v>
      </c>
      <c r="T2493" t="s">
        <v>26759</v>
      </c>
      <c r="U2493" t="s">
        <v>26760</v>
      </c>
      <c r="V2493">
        <f>-586.213448235649 -212.249134337456 -87.1369591031391</f>
        <v>-885.59954167624414</v>
      </c>
      <c r="W2493" t="s">
        <v>26761</v>
      </c>
      <c r="X2493" t="s">
        <v>26762</v>
      </c>
      <c r="Y2493" t="s">
        <v>26763</v>
      </c>
    </row>
    <row r="2494" spans="1:25" x14ac:dyDescent="0.3">
      <c r="A2494">
        <v>124650</v>
      </c>
      <c r="B2494" t="s">
        <v>26764</v>
      </c>
      <c r="C2494">
        <f>-643.665454172341 -133.915042521149 -86.1610087528235</f>
        <v>-863.74150544631345</v>
      </c>
      <c r="D2494">
        <f>-667.338175893422 -151.90496369529 -198.108263173824</f>
        <v>-1017.3514027625361</v>
      </c>
      <c r="E2494">
        <f>-682.971358618743 -152.834231079887 -295.480709999912</f>
        <v>-1131.2862996985421</v>
      </c>
      <c r="F2494">
        <f>-695.616373231113 -148.220873820469 -383.554806356325</f>
        <v>-1227.392053407907</v>
      </c>
      <c r="G2494">
        <f>-706.433639830526 -137.970776081873 -471.396508740489</f>
        <v>-1315.8009246528879</v>
      </c>
      <c r="H2494">
        <f>-719.587557131693 -117.770043813517 -593.624743768825</f>
        <v>-1430.982344714035</v>
      </c>
      <c r="I2494">
        <f>-705.266976987589 -90.6920197177232 -670.869359802063</f>
        <v>-1466.8283565073752</v>
      </c>
      <c r="J2494">
        <f>-729.366209365155 -104.371635812754 -534.479344441528</f>
        <v>-1368.217189619437</v>
      </c>
      <c r="K2494" t="s">
        <v>26765</v>
      </c>
      <c r="L2494" t="s">
        <v>26766</v>
      </c>
      <c r="M2494" t="s">
        <v>26767</v>
      </c>
      <c r="N2494">
        <f>-698.232189231278 -148.947076835483 -545.197035028398</f>
        <v>-1392.3763010951589</v>
      </c>
      <c r="O2494">
        <f>-618.6988390989 -261.040493728865 -542.379907569364</f>
        <v>-1422.119240397129</v>
      </c>
      <c r="P2494">
        <f>-552.721068363652 -348.874382783628 -269.390350636593</f>
        <v>-1170.9858017838728</v>
      </c>
      <c r="Q2494">
        <f>-472.886750358624 -125.28157398893 -310.422002168973</f>
        <v>-908.59032651652706</v>
      </c>
      <c r="R2494">
        <f>-700.812936745543 -57.1769198930505 -87.3842227823048</f>
        <v>-845.37407942089828</v>
      </c>
      <c r="S2494" t="s">
        <v>26768</v>
      </c>
      <c r="T2494" t="s">
        <v>26769</v>
      </c>
      <c r="U2494" t="s">
        <v>26770</v>
      </c>
      <c r="V2494">
        <f>-586.703119431238 -211.013043688875 -86.9938769571961</f>
        <v>-884.71004007730903</v>
      </c>
      <c r="W2494" t="s">
        <v>26771</v>
      </c>
      <c r="X2494" t="s">
        <v>26772</v>
      </c>
      <c r="Y2494" t="s">
        <v>26773</v>
      </c>
    </row>
    <row r="2495" spans="1:25" x14ac:dyDescent="0.3">
      <c r="A2495">
        <v>124700</v>
      </c>
      <c r="B2495" t="s">
        <v>26774</v>
      </c>
      <c r="C2495">
        <f>-643.793269149557 -132.489315918159 -85.9497955624369</f>
        <v>-862.23238063015287</v>
      </c>
      <c r="D2495">
        <f>-667.497309849762 -150.363476956117 -197.908922617261</f>
        <v>-1015.7697094231401</v>
      </c>
      <c r="E2495">
        <f>-683.103802511413 -151.135594217873 -295.287115890962</f>
        <v>-1129.526512620248</v>
      </c>
      <c r="F2495">
        <f>-695.702988911957 -146.356387778345 -383.358920567921</f>
        <v>-1225.418297258223</v>
      </c>
      <c r="G2495">
        <f>-706.45094490786 -135.918427663917 -471.186982355782</f>
        <v>-1313.5563549275589</v>
      </c>
      <c r="H2495">
        <f>-719.48280739943 -115.433206841882 -593.380975884147</f>
        <v>-1428.2969901254592</v>
      </c>
      <c r="I2495">
        <f>-705.040362448951 -88.1983205755246 -670.547663991769</f>
        <v>-1463.7863470162447</v>
      </c>
      <c r="J2495">
        <f>-729.230647963228 -102.110172394848 -534.213431455367</f>
        <v>-1365.554251813443</v>
      </c>
      <c r="K2495" t="s">
        <v>26775</v>
      </c>
      <c r="L2495" t="s">
        <v>26776</v>
      </c>
      <c r="M2495" t="s">
        <v>26777</v>
      </c>
      <c r="N2495">
        <f>-698.265567876464 -146.785326151423 -545.005379113655</f>
        <v>-1390.0562731415421</v>
      </c>
      <c r="O2495">
        <f>-619.171918756206 -259.190124982851 -542.347702360999</f>
        <v>-1420.709746100056</v>
      </c>
      <c r="P2495">
        <f>-553.802590732795 -347.786365893029 -269.458171666913</f>
        <v>-1171.0471282927369</v>
      </c>
      <c r="Q2495">
        <f>-472.692754386922 -124.592048462258 -310.15665526826</f>
        <v>-907.44145811743999</v>
      </c>
      <c r="R2495">
        <f>-700.719998998429 -55.5359369614375 -87.1743709114185</f>
        <v>-843.43030687128498</v>
      </c>
      <c r="S2495" t="s">
        <v>26778</v>
      </c>
      <c r="T2495" t="s">
        <v>26779</v>
      </c>
      <c r="U2495" t="s">
        <v>26780</v>
      </c>
      <c r="V2495">
        <f>-587.091203561026 -209.772384234376 -86.7610485538337</f>
        <v>-883.62463634923563</v>
      </c>
      <c r="W2495" t="s">
        <v>26781</v>
      </c>
      <c r="X2495" t="s">
        <v>26782</v>
      </c>
      <c r="Y2495" t="s">
        <v>26783</v>
      </c>
    </row>
    <row r="2496" spans="1:25" x14ac:dyDescent="0.3">
      <c r="A2496">
        <v>124750</v>
      </c>
      <c r="B2496" t="s">
        <v>26784</v>
      </c>
      <c r="C2496">
        <f>-643.760900866993 -131.657635410808 -85.8145935014813</f>
        <v>-861.23312977928231</v>
      </c>
      <c r="D2496">
        <f>-667.468257429057 -149.469194329635 -197.783074723098</f>
        <v>-1014.72052648179</v>
      </c>
      <c r="E2496">
        <f>-683.043337253938 -150.161917419536 -295.166747449345</f>
        <v>-1128.3720021228189</v>
      </c>
      <c r="F2496">
        <f>-695.60022859406 -145.300187525612 -383.240211882856</f>
        <v>-1224.140628002528</v>
      </c>
      <c r="G2496">
        <f>-706.291454589761 -134.770058942316 -471.064197674522</f>
        <v>-1312.1257112065991</v>
      </c>
      <c r="H2496">
        <f>-719.228592325182 -114.146369934532 -593.244843724688</f>
        <v>-1426.6198059844021</v>
      </c>
      <c r="I2496">
        <f>-704.749858426303 -86.8569168018889 -670.38554156459</f>
        <v>-1461.9923167927818</v>
      </c>
      <c r="J2496">
        <f>-728.976983031575 -100.859156586978 -534.069441274404</f>
        <v>-1363.905580892957</v>
      </c>
      <c r="K2496" t="s">
        <v>26785</v>
      </c>
      <c r="L2496" t="s">
        <v>26786</v>
      </c>
      <c r="M2496" t="s">
        <v>26787</v>
      </c>
      <c r="N2496">
        <f>-698.094155933424 -145.584517434958 -544.888934063583</f>
        <v>-1388.5676074319649</v>
      </c>
      <c r="O2496">
        <f>-619.21002297552 -258.140831849662 -542.273141908761</f>
        <v>-1419.6239967339429</v>
      </c>
      <c r="P2496">
        <f>-554.266341491519 -347.086542870067 -269.395517087459</f>
        <v>-1170.7484014490451</v>
      </c>
      <c r="Q2496">
        <f>-472.501992793881 -124.10730464431 -309.963170306994</f>
        <v>-906.57246774518501</v>
      </c>
      <c r="R2496">
        <f>-700.606858702827 -54.5968600507208 -87.047972989977</f>
        <v>-842.25169174352482</v>
      </c>
      <c r="S2496" t="s">
        <v>26788</v>
      </c>
      <c r="T2496" t="s">
        <v>26789</v>
      </c>
      <c r="U2496" t="s">
        <v>26790</v>
      </c>
      <c r="V2496">
        <f>-587.115003827056 -209.089198746568 -86.6402353528448</f>
        <v>-882.84443792646869</v>
      </c>
      <c r="W2496" t="s">
        <v>26791</v>
      </c>
      <c r="X2496" t="s">
        <v>26792</v>
      </c>
      <c r="Y2496" t="s">
        <v>26793</v>
      </c>
    </row>
    <row r="2497" spans="1:25" x14ac:dyDescent="0.3">
      <c r="A2497">
        <v>124800</v>
      </c>
      <c r="B2497" t="s">
        <v>26794</v>
      </c>
      <c r="C2497">
        <f>-643.537538088511 -129.918099563096 -85.4811543304347</f>
        <v>-858.93679198204177</v>
      </c>
      <c r="D2497">
        <f>-667.257709737803 -147.605149746764 -197.46658358033</f>
        <v>-1012.3294430648971</v>
      </c>
      <c r="E2497">
        <f>-682.753901246338 -148.124739168037 -294.86408157982</f>
        <v>-1125.7427219941951</v>
      </c>
      <c r="F2497">
        <f>-695.202867008773 -143.079325149473 -382.942502444207</f>
        <v>-1221.2246946024529</v>
      </c>
      <c r="G2497">
        <f>-705.74840636515 -132.340433343318 -470.758714628933</f>
        <v>-1308.8475543374009</v>
      </c>
      <c r="H2497">
        <f>-718.441575773682 -111.400116990528 -592.911141167801</f>
        <v>-1422.7528339320111</v>
      </c>
      <c r="I2497">
        <f>-703.89778365818 -84.0449126689533 -670.0162529204</f>
        <v>-1457.9589492475334</v>
      </c>
      <c r="J2497">
        <f>-728.224583799003 -98.2090141019576 -533.719842537082</f>
        <v>-1360.1534404380425</v>
      </c>
      <c r="K2497" t="s">
        <v>26795</v>
      </c>
      <c r="L2497" t="s">
        <v>26796</v>
      </c>
      <c r="M2497" t="s">
        <v>26797</v>
      </c>
      <c r="N2497">
        <f>-697.487289315704 -143.020830031631 -544.595918061471</f>
        <v>-1385.1040374088061</v>
      </c>
      <c r="O2497">
        <f>-618.966395268431 -255.828231099953 -542.108532155629</f>
        <v>-1416.903158524013</v>
      </c>
      <c r="P2497">
        <f>-554.687925756052 -345.597399180034 -269.343097389764</f>
        <v>-1169.6284223258499</v>
      </c>
      <c r="Q2497">
        <f>-472.006475425707 -122.825392320018 -309.183757507382</f>
        <v>-904.01562525310692</v>
      </c>
      <c r="R2497">
        <f>-700.228074673934 -52.6214648100339 -86.7196745037515</f>
        <v>-839.56921398771942</v>
      </c>
      <c r="S2497" t="s">
        <v>26798</v>
      </c>
      <c r="T2497" t="s">
        <v>26799</v>
      </c>
      <c r="U2497" t="s">
        <v>26800</v>
      </c>
      <c r="V2497">
        <f>-587.062470239385 -207.520528598124 -86.3122949658227</f>
        <v>-880.8952938033317</v>
      </c>
      <c r="W2497" t="s">
        <v>26801</v>
      </c>
      <c r="X2497" t="s">
        <v>26802</v>
      </c>
      <c r="Y2497" t="s">
        <v>26803</v>
      </c>
    </row>
    <row r="2498" spans="1:25" x14ac:dyDescent="0.3">
      <c r="A2498">
        <v>124850</v>
      </c>
      <c r="B2498" t="s">
        <v>26804</v>
      </c>
      <c r="C2498">
        <f>-643.422295961235 -129.013522175911 -85.3238699870109</f>
        <v>-857.75968812415692</v>
      </c>
      <c r="D2498">
        <f>-667.1411193268 -146.647444176906 -197.317974195016</f>
        <v>-1011.1065376987219</v>
      </c>
      <c r="E2498">
        <f>-682.597983838853 -147.087201905817 -294.72197195521</f>
        <v>-1124.4071576998799</v>
      </c>
      <c r="F2498">
        <f>-694.995447854417 -141.95584953394 -382.802702008138</f>
        <v>-1219.7539993964951</v>
      </c>
      <c r="G2498">
        <f>-705.472412863545 -131.118240140258 -470.615167583646</f>
        <v>-1307.2058205874489</v>
      </c>
      <c r="H2498">
        <f>-718.051721868026 -110.027397461455 -592.753499120891</f>
        <v>-1420.8326184503721</v>
      </c>
      <c r="I2498">
        <f>-703.480621961265 -82.6527352796913 -669.846477976093</f>
        <v>-1455.9798352170492</v>
      </c>
      <c r="J2498">
        <f>-727.851938958299 -96.8833524412031 -533.554585680718</f>
        <v>-1358.2898770802201</v>
      </c>
      <c r="K2498" t="s">
        <v>26805</v>
      </c>
      <c r="L2498" t="s">
        <v>26806</v>
      </c>
      <c r="M2498" t="s">
        <v>26807</v>
      </c>
      <c r="N2498">
        <f>-697.180479639585 -141.733529834993 -544.45821392527</f>
        <v>-1383.3722233998478</v>
      </c>
      <c r="O2498">
        <f>-618.802599301106 -254.641456530292 -542.031431618959</f>
        <v>-1415.4754874503569</v>
      </c>
      <c r="P2498">
        <f>-554.726471162661 -344.747723572208 -269.329626242814</f>
        <v>-1168.803820977683</v>
      </c>
      <c r="Q2498">
        <f>-471.784451267094 -121.963800382355 -308.557047025034</f>
        <v>-902.30529867448308</v>
      </c>
      <c r="R2498">
        <f>-700.042036380554 -51.5812576427667 -86.5558346791296</f>
        <v>-838.17912870245027</v>
      </c>
      <c r="S2498" t="s">
        <v>26808</v>
      </c>
      <c r="T2498" t="s">
        <v>26809</v>
      </c>
      <c r="U2498" t="s">
        <v>26810</v>
      </c>
      <c r="V2498">
        <f>-587.011535352681 -206.781894188375 -86.1723545878955</f>
        <v>-879.96578412895144</v>
      </c>
      <c r="W2498" t="s">
        <v>26811</v>
      </c>
      <c r="X2498" t="s">
        <v>26812</v>
      </c>
      <c r="Y2498" t="s">
        <v>26813</v>
      </c>
    </row>
    <row r="2499" spans="1:25" x14ac:dyDescent="0.3">
      <c r="A2499">
        <v>124900</v>
      </c>
      <c r="B2499" t="s">
        <v>26814</v>
      </c>
      <c r="C2499">
        <f>-642.970910919054 -127.271014221312 -85.1285939691917</f>
        <v>-855.37051910955768</v>
      </c>
      <c r="D2499">
        <f>-666.66128020156 -144.726421715214 -197.156701848295</f>
        <v>-1008.544403765069</v>
      </c>
      <c r="E2499">
        <f>-682.024844162727 -144.993537562116 -294.576116105775</f>
        <v>-1121.5944978306179</v>
      </c>
      <c r="F2499">
        <f>-694.31052888752 -139.698382848772 -382.662795882408</f>
        <v>-1216.6717076187001</v>
      </c>
      <c r="G2499">
        <f>-704.647434549047 -128.690699058789 -470.470623080369</f>
        <v>-1303.808756688205</v>
      </c>
      <c r="H2499">
        <f>-717.001372375413 -107.356567043127 -592.589657780968</f>
        <v>-1416.947597199508</v>
      </c>
      <c r="I2499">
        <f>-702.374480314233 -79.9309954177211 -669.654061862933</f>
        <v>-1451.959537594887</v>
      </c>
      <c r="J2499">
        <f>-726.850059495901 -94.2891939974259 -533.381925155806</f>
        <v>-1354.5211786491327</v>
      </c>
      <c r="K2499" t="s">
        <v>26815</v>
      </c>
      <c r="L2499" t="s">
        <v>26816</v>
      </c>
      <c r="M2499" t="s">
        <v>26817</v>
      </c>
      <c r="N2499">
        <f>-696.279999867114 -139.200089838039 -544.320359030297</f>
        <v>-1379.8004487354501</v>
      </c>
      <c r="O2499">
        <f>-618.133543750055 -252.27464914178 -541.984787578612</f>
        <v>-1412.3929804704469</v>
      </c>
      <c r="P2499">
        <f>-554.425656652033 -342.965841188186 -269.390601455466</f>
        <v>-1166.7820992956849</v>
      </c>
      <c r="Q2499">
        <f>-471.480647966323 -120.052716095881 -307.87072191762</f>
        <v>-899.404085979824</v>
      </c>
      <c r="R2499">
        <f>-699.462164399031 -49.591198653932 -86.2871531244605</f>
        <v>-835.34051617742352</v>
      </c>
      <c r="S2499" t="s">
        <v>26818</v>
      </c>
      <c r="T2499" t="s">
        <v>26819</v>
      </c>
      <c r="U2499" t="s">
        <v>26820</v>
      </c>
      <c r="V2499">
        <f>-586.710009654208 -205.216990554216 -86.0579815477907</f>
        <v>-877.98498175621478</v>
      </c>
      <c r="W2499" t="s">
        <v>26821</v>
      </c>
      <c r="X2499" t="s">
        <v>26822</v>
      </c>
      <c r="Y2499" t="s">
        <v>26823</v>
      </c>
    </row>
    <row r="2500" spans="1:25" x14ac:dyDescent="0.3">
      <c r="A2500">
        <v>124950</v>
      </c>
      <c r="B2500" t="s">
        <v>26824</v>
      </c>
      <c r="C2500">
        <f>-642.824381336709 -126.479307299346 -85.0293329659988</f>
        <v>-854.33302160205392</v>
      </c>
      <c r="D2500">
        <f>-666.503246982071 -143.832372815623 -197.075797120863</f>
        <v>-1007.4114169185571</v>
      </c>
      <c r="E2500">
        <f>-681.820628143791 -143.995080663792 -294.502795021999</f>
        <v>-1120.3185038295821</v>
      </c>
      <c r="F2500">
        <f>-694.050276024346 -138.598788568337 -382.591091684969</f>
        <v>-1215.240156277652</v>
      </c>
      <c r="G2500">
        <f>-704.317045867033 -127.484010966538 -470.393598600138</f>
        <v>-1302.1946554337089</v>
      </c>
      <c r="H2500">
        <f>-716.558007431977 -105.994529318197 -592.496792435155</f>
        <v>-1415.049329185329</v>
      </c>
      <c r="I2500">
        <f>-701.911065453625 -78.5149561400489 -669.538168270443</f>
        <v>-1449.9641898641169</v>
      </c>
      <c r="J2500">
        <f>-726.439242444144 -92.9875393588674 -533.281194631715</f>
        <v>-1352.7079764347263</v>
      </c>
      <c r="K2500" t="s">
        <v>26825</v>
      </c>
      <c r="L2500" t="s">
        <v>26826</v>
      </c>
      <c r="M2500" t="s">
        <v>26827</v>
      </c>
      <c r="N2500">
        <f>-695.903441685517 -137.914417508266 -544.249319629597</f>
        <v>-1378.0671788233801</v>
      </c>
      <c r="O2500">
        <f>-617.847889949527 -251.056399010581 -541.984067241524</f>
        <v>-1410.8883562016322</v>
      </c>
      <c r="P2500">
        <f>-554.375841703464 -342.037345740094 -269.431381011727</f>
        <v>-1165.8445684552848</v>
      </c>
      <c r="Q2500">
        <f>-471.667612699057 -119.009685833244 -307.757207200748</f>
        <v>-898.43450573304892</v>
      </c>
      <c r="R2500">
        <f>-699.227482740213 -48.6416341834148 -86.1635476478609</f>
        <v>-834.03266457148868</v>
      </c>
      <c r="S2500" t="s">
        <v>26828</v>
      </c>
      <c r="T2500" t="s">
        <v>26829</v>
      </c>
      <c r="U2500" t="s">
        <v>26830</v>
      </c>
      <c r="V2500">
        <f>-586.72222912546 -204.596370780814 -85.9786868657815</f>
        <v>-877.29728677205549</v>
      </c>
      <c r="W2500" t="s">
        <v>26831</v>
      </c>
      <c r="X2500" t="s">
        <v>26832</v>
      </c>
      <c r="Y2500" t="s">
        <v>26833</v>
      </c>
    </row>
    <row r="2501" spans="1:25" x14ac:dyDescent="0.3">
      <c r="A2501">
        <v>125000</v>
      </c>
      <c r="B2501" t="s">
        <v>26834</v>
      </c>
      <c r="C2501">
        <f>-642.537395023533 -124.673572730442 -84.8457395008348</f>
        <v>-852.05670725480979</v>
      </c>
      <c r="D2501">
        <f>-666.272176444236 -141.859057413233 -196.906253500874</f>
        <v>-1005.037487358343</v>
      </c>
      <c r="E2501">
        <f>-681.54309642391 -141.787895454277 -294.34046196791</f>
        <v>-1117.6714538460969</v>
      </c>
      <c r="F2501">
        <f>-693.693118273404 -136.144135728026 -382.424264446556</f>
        <v>-1212.261518447986</v>
      </c>
      <c r="G2501">
        <f>-703.842205875514 -124.74740936285 -470.204533187359</f>
        <v>-1298.7941484257231</v>
      </c>
      <c r="H2501">
        <f>-715.879297498004 -102.829143651611 -592.251643070138</f>
        <v>-1410.9600842197531</v>
      </c>
      <c r="I2501">
        <f>-701.176058574896 -75.1586024561508 -669.213876837464</f>
        <v>-1445.5485378685107</v>
      </c>
      <c r="J2501">
        <f>-725.821773193756 -90.0048059312851 -533.006354182049</f>
        <v>-1348.8329333070901</v>
      </c>
      <c r="K2501" t="s">
        <v>26835</v>
      </c>
      <c r="L2501" t="s">
        <v>26836</v>
      </c>
      <c r="M2501" t="s">
        <v>26837</v>
      </c>
      <c r="N2501">
        <f>-695.34296493197 -134.943780722174 -544.08288854507</f>
        <v>-1374.369634199214</v>
      </c>
      <c r="O2501">
        <f>-617.414212449205 -248.17304694288 -542.044440677663</f>
        <v>-1407.6317000697481</v>
      </c>
      <c r="P2501">
        <f>-554.27746778561 -339.933235113093 -269.675076496391</f>
        <v>-1163.885779395094</v>
      </c>
      <c r="Q2501">
        <f>-472.086458902686 -116.60208643012 -307.340601340684</f>
        <v>-896.02914667349</v>
      </c>
      <c r="R2501">
        <f>-698.768119481242 -46.7866457839147 -85.8819818774415</f>
        <v>-831.43674714259816</v>
      </c>
      <c r="S2501" t="s">
        <v>26838</v>
      </c>
      <c r="T2501" t="s">
        <v>26839</v>
      </c>
      <c r="U2501" t="s">
        <v>26840</v>
      </c>
      <c r="V2501">
        <f>-586.537243283357 -202.891847638676 -85.8793503334061</f>
        <v>-875.30844125543922</v>
      </c>
      <c r="W2501" t="s">
        <v>26841</v>
      </c>
      <c r="X2501" t="s">
        <v>26842</v>
      </c>
      <c r="Y2501" t="s">
        <v>26843</v>
      </c>
    </row>
    <row r="2502" spans="1:25" x14ac:dyDescent="0.3">
      <c r="A2502">
        <v>125050</v>
      </c>
      <c r="B2502" t="s">
        <v>26844</v>
      </c>
      <c r="C2502">
        <f>-642.235325402923 -124.001950518831 -84.7416510498792</f>
        <v>-850.9789269716332</v>
      </c>
      <c r="D2502">
        <f>-666.00781737074 -141.109824841683 -196.805979790792</f>
        <v>-1003.923622003215</v>
      </c>
      <c r="E2502">
        <f>-681.27967375357 -140.924144437028 -294.240018837774</f>
        <v>-1116.4438370283719</v>
      </c>
      <c r="F2502">
        <f>-693.41780264977 -135.157709497034 -382.31757934686</f>
        <v>-1210.8930914936641</v>
      </c>
      <c r="G2502">
        <f>-703.541851283445 -123.61993493482 -470.08212859903</f>
        <v>-1297.243914817295</v>
      </c>
      <c r="H2502">
        <f>-715.530078337352 -101.486230889178 -592.095274567976</f>
        <v>-1409.1115837945063</v>
      </c>
      <c r="I2502">
        <f>-700.784268840413 -73.690820421717 -669.004252503047</f>
        <v>-1443.4793417651772</v>
      </c>
      <c r="J2502">
        <f>-725.480330341147 -88.7558020727583 -532.831049157496</f>
        <v>-1347.0671815714013</v>
      </c>
      <c r="K2502" t="s">
        <v>26845</v>
      </c>
      <c r="L2502" t="s">
        <v>26846</v>
      </c>
      <c r="M2502" t="s">
        <v>26847</v>
      </c>
      <c r="N2502">
        <f>-695.028886202203 -133.696643484201 -543.975614136694</f>
        <v>-1372.7011438230979</v>
      </c>
      <c r="O2502">
        <f>-617.148751576568 -246.963898900703 -542.085678134315</f>
        <v>-1406.198328611586</v>
      </c>
      <c r="P2502">
        <f>-553.983032177553 -339.266766243134 -269.906532586185</f>
        <v>-1163.1563310068721</v>
      </c>
      <c r="Q2502">
        <f>-472.076254713378 -115.722872885741 -306.923668901693</f>
        <v>-894.72279650081191</v>
      </c>
      <c r="R2502">
        <f>-698.373708130611 -46.0145159173819 -85.7094097256935</f>
        <v>-830.09763377368643</v>
      </c>
      <c r="S2502" t="s">
        <v>26848</v>
      </c>
      <c r="T2502" t="s">
        <v>26849</v>
      </c>
      <c r="U2502" t="s">
        <v>26850</v>
      </c>
      <c r="V2502">
        <f>-586.239719845896 -202.353867390985 -85.8456990428249</f>
        <v>-874.43928627970593</v>
      </c>
      <c r="W2502" t="s">
        <v>26851</v>
      </c>
      <c r="X2502" t="s">
        <v>26852</v>
      </c>
      <c r="Y2502" t="s">
        <v>26853</v>
      </c>
    </row>
    <row r="2503" spans="1:25" x14ac:dyDescent="0.3">
      <c r="A2503">
        <v>125100</v>
      </c>
      <c r="B2503" t="s">
        <v>26854</v>
      </c>
      <c r="C2503">
        <f>-641.476559715844 -122.813546446885 -84.4858581776003</f>
        <v>-848.77596434032932</v>
      </c>
      <c r="D2503">
        <f>-665.330826867072 -139.73994728385 -196.560312340289</f>
        <v>-1001.631086491211</v>
      </c>
      <c r="E2503">
        <f>-680.597702850754 -139.314558739491 -293.994390342722</f>
        <v>-1113.906651932967</v>
      </c>
      <c r="F2503">
        <f>-692.70043363748 -133.298181788719 -382.06010694369</f>
        <v>-1208.058722369889</v>
      </c>
      <c r="G2503">
        <f>-702.757496168253 -121.479095421076 -469.794888508725</f>
        <v>-1294.0314800980541</v>
      </c>
      <c r="H2503">
        <f>-714.618701501582 -98.9207435428472 -591.742688682086</f>
        <v>-1405.2821337265152</v>
      </c>
      <c r="I2503">
        <f>-699.74850170604 -70.8241763978847 -668.518335986114</f>
        <v>-1439.0910140900387</v>
      </c>
      <c r="J2503">
        <f>-724.603267502914 -86.3782428706726 -532.444330485805</f>
        <v>-1343.4258408593917</v>
      </c>
      <c r="K2503" t="s">
        <v>26855</v>
      </c>
      <c r="L2503" t="s">
        <v>26856</v>
      </c>
      <c r="M2503" t="s">
        <v>26857</v>
      </c>
      <c r="N2503">
        <f>-694.195095076045 -131.316977143057 -543.714869832788</f>
        <v>-1369.2269420518901</v>
      </c>
      <c r="O2503">
        <f>-616.431236734812 -244.666844000827 -542.142512011168</f>
        <v>-1403.2405927468071</v>
      </c>
      <c r="P2503">
        <f>-553.410203560442 -338.029646734389 -270.291525831496</f>
        <v>-1161.7313761263272</v>
      </c>
      <c r="Q2503">
        <f>-471.44697550383 -114.267576590481 -305.836835737367</f>
        <v>-891.55138783167797</v>
      </c>
      <c r="R2503">
        <f>-697.56185214883 -44.5936156131905 -85.3279702428605</f>
        <v>-827.48343800488101</v>
      </c>
      <c r="S2503" t="s">
        <v>26858</v>
      </c>
      <c r="T2503" t="s">
        <v>26859</v>
      </c>
      <c r="U2503" t="s">
        <v>26860</v>
      </c>
      <c r="V2503">
        <f>-585.635609056679 -201.343144221784 -85.701795905696</f>
        <v>-872.68054918415896</v>
      </c>
      <c r="W2503" t="s">
        <v>26861</v>
      </c>
      <c r="X2503" t="s">
        <v>26862</v>
      </c>
      <c r="Y2503" t="s">
        <v>26863</v>
      </c>
    </row>
    <row r="2504" spans="1:25" x14ac:dyDescent="0.3">
      <c r="A2504">
        <v>125150</v>
      </c>
      <c r="B2504" t="s">
        <v>26864</v>
      </c>
      <c r="C2504">
        <f>-641.238760326509 -122.228329880499 -84.3491296746103</f>
        <v>-847.81621988161828</v>
      </c>
      <c r="D2504">
        <f>-665.143157877319 -139.046948715199 -196.429106237441</f>
        <v>-1000.6192128299591</v>
      </c>
      <c r="E2504">
        <f>-680.397006263896 -138.508443241675 -293.86469035409</f>
        <v>-1112.770139859661</v>
      </c>
      <c r="F2504">
        <f>-692.464999516812 -132.381935684599 -381.927711519202</f>
        <v>-1206.774646720613</v>
      </c>
      <c r="G2504">
        <f>-702.463807327297 -120.445542380846 -469.653219355382</f>
        <v>-1292.5625690635252</v>
      </c>
      <c r="H2504">
        <f>-714.219000168716 -97.7167314733131 -591.579561671036</f>
        <v>-1403.5152933130651</v>
      </c>
      <c r="I2504">
        <f>-699.258621474669 -69.4770109215468 -668.285002791004</f>
        <v>-1437.0206351872198</v>
      </c>
      <c r="J2504">
        <f>-724.230741405336 -85.2408396397836 -532.271663509833</f>
        <v>-1341.7432445549525</v>
      </c>
      <c r="K2504" t="s">
        <v>26865</v>
      </c>
      <c r="L2504" t="s">
        <v>26866</v>
      </c>
      <c r="M2504" t="s">
        <v>26867</v>
      </c>
      <c r="N2504">
        <f>-693.861582223208 -130.196342883921 -543.580016965201</f>
        <v>-1367.6379420723301</v>
      </c>
      <c r="O2504">
        <f>-616.192625754769 -243.61289942345 -542.13943571138</f>
        <v>-1401.9449608895989</v>
      </c>
      <c r="P2504">
        <f>-553.336004693219 -337.407939058853 -270.399343294545</f>
        <v>-1161.1432870466169</v>
      </c>
      <c r="Q2504">
        <f>-471.251611188988 -113.586163865997 -305.282624519961</f>
        <v>-890.12039957494608</v>
      </c>
      <c r="R2504">
        <f>-697.309622188179 -43.8841808227492 -85.1069301675383</f>
        <v>-826.30073317846643</v>
      </c>
      <c r="S2504" t="s">
        <v>26868</v>
      </c>
      <c r="T2504" t="s">
        <v>26869</v>
      </c>
      <c r="U2504" t="s">
        <v>26870</v>
      </c>
      <c r="V2504">
        <f>-585.461326888554 -200.856928270239 -85.6275085862607</f>
        <v>-871.94576374505368</v>
      </c>
      <c r="W2504" t="s">
        <v>26871</v>
      </c>
      <c r="X2504" t="s">
        <v>26872</v>
      </c>
      <c r="Y2504" t="s">
        <v>26873</v>
      </c>
    </row>
    <row r="2505" spans="1:25" x14ac:dyDescent="0.3">
      <c r="A2505">
        <v>125200</v>
      </c>
      <c r="B2505" t="s">
        <v>26874</v>
      </c>
      <c r="C2505">
        <f>-640.845698977819 -121.088493132203 -84.1030756952784</f>
        <v>-846.03726780530042</v>
      </c>
      <c r="D2505">
        <f>-664.819978529385 -137.692327110266 -196.200148975727</f>
        <v>-998.71245461537796</v>
      </c>
      <c r="E2505">
        <f>-680.061039601715 -136.944929190713 -293.636392192132</f>
        <v>-1110.6423609845601</v>
      </c>
      <c r="F2505">
        <f>-692.088455360848 -130.61982889852 -381.690773221068</f>
        <v>-1204.3990574804361</v>
      </c>
      <c r="G2505">
        <f>-702.01710913553 -118.476734665168 -469.395921134858</f>
        <v>-1289.8897649355558</v>
      </c>
      <c r="H2505">
        <f>-713.643046484902 -95.4514976116028 -591.279034852819</f>
        <v>-1400.3735789493239</v>
      </c>
      <c r="I2505">
        <f>-698.49386712044 -66.9883119168447 -667.864817124333</f>
        <v>-1433.3469961616177</v>
      </c>
      <c r="J2505">
        <f>-723.661083494488 -83.0820662809782 -531.949990592015</f>
        <v>-1338.6931403674812</v>
      </c>
      <c r="K2505" t="s">
        <v>26875</v>
      </c>
      <c r="L2505" t="s">
        <v>26876</v>
      </c>
      <c r="M2505" t="s">
        <v>26877</v>
      </c>
      <c r="N2505">
        <f>-693.393058904626 -128.085453248682 -543.338801474382</f>
        <v>-1364.8173136276901</v>
      </c>
      <c r="O2505">
        <f>-615.968249917687 -241.670283039908 -542.113082498699</f>
        <v>-1399.7516154562941</v>
      </c>
      <c r="P2505">
        <f>-553.405154223429 -336.171477069604 -270.549903869368</f>
        <v>-1160.1265351624011</v>
      </c>
      <c r="Q2505">
        <f>-470.847486638802 -112.356194777501 -304.341258665777</f>
        <v>-887.54494008207996</v>
      </c>
      <c r="R2505">
        <f>-696.771957304039 -42.4778282893303 -84.7399908565092</f>
        <v>-823.98977644987849</v>
      </c>
      <c r="S2505" t="s">
        <v>26878</v>
      </c>
      <c r="T2505" t="s">
        <v>26879</v>
      </c>
      <c r="U2505" t="s">
        <v>26880</v>
      </c>
      <c r="V2505">
        <f>-585.148208733414 -199.952339694393 -85.5491645882109</f>
        <v>-870.64971301601793</v>
      </c>
      <c r="W2505" t="s">
        <v>26881</v>
      </c>
      <c r="X2505" t="s">
        <v>26882</v>
      </c>
      <c r="Y2505" t="s">
        <v>26883</v>
      </c>
    </row>
    <row r="2506" spans="1:25" x14ac:dyDescent="0.3">
      <c r="A2506">
        <v>125250</v>
      </c>
      <c r="B2506" t="s">
        <v>26884</v>
      </c>
      <c r="C2506">
        <f>-640.71354659084 -120.439161214431 -83.9646484553713</f>
        <v>-845.11735626064228</v>
      </c>
      <c r="D2506">
        <f>-664.726195341829 -136.965844901801 -196.064891324647</f>
        <v>-997.75693156827697</v>
      </c>
      <c r="E2506">
        <f>-679.95259115425 -136.133941275093 -293.502732503146</f>
        <v>-1109.589264932489</v>
      </c>
      <c r="F2506">
        <f>-691.946983427814 -129.725086762805 -381.555547014713</f>
        <v>-1203.2276172053321</v>
      </c>
      <c r="G2506">
        <f>-701.822349994676 -117.492020857595 -469.254245743081</f>
        <v>-1288.5686165953521</v>
      </c>
      <c r="H2506">
        <f>-713.352090861802 -94.3352463864611 -591.121694952393</f>
        <v>-1398.809032200656</v>
      </c>
      <c r="I2506">
        <f>-698.094899705961 -65.7945226614047 -667.656940965044</f>
        <v>-1431.5463633324098</v>
      </c>
      <c r="J2506">
        <f>-723.380878220612 -82.0058709374498 -531.785921224262</f>
        <v>-1337.1726703823238</v>
      </c>
      <c r="K2506" t="s">
        <v>26885</v>
      </c>
      <c r="L2506" t="s">
        <v>26886</v>
      </c>
      <c r="M2506" t="s">
        <v>26887</v>
      </c>
      <c r="N2506">
        <f>-693.175988448767 -127.044846417083 -543.201713790526</f>
        <v>-1363.422548656376</v>
      </c>
      <c r="O2506">
        <f>-615.908501036303 -240.741066477441 -542.078718818968</f>
        <v>-1398.7282863327121</v>
      </c>
      <c r="P2506">
        <f>-553.523115641387 -335.646066814329 -270.615422667806</f>
        <v>-1159.7846051235219</v>
      </c>
      <c r="Q2506">
        <f>-470.683955673181 -111.860994628113 -303.914077990892</f>
        <v>-886.45902829218596</v>
      </c>
      <c r="R2506">
        <f>-696.552351639608 -41.7107073493369 -84.5659533469116</f>
        <v>-822.82901233585642</v>
      </c>
      <c r="S2506" t="s">
        <v>26888</v>
      </c>
      <c r="T2506" t="s">
        <v>26889</v>
      </c>
      <c r="U2506" t="s">
        <v>26890</v>
      </c>
      <c r="V2506">
        <f>-585.151940460791 -199.392351500915 -85.4462660956666</f>
        <v>-869.9905580573726</v>
      </c>
      <c r="W2506" t="s">
        <v>26891</v>
      </c>
      <c r="X2506" t="s">
        <v>26892</v>
      </c>
      <c r="Y2506" t="s">
        <v>26893</v>
      </c>
    </row>
    <row r="2507" spans="1:25" x14ac:dyDescent="0.3">
      <c r="A2507">
        <v>125300</v>
      </c>
      <c r="B2507" t="s">
        <v>26894</v>
      </c>
      <c r="C2507">
        <f>-640.55057963452 -119.357014987935 -83.7478163913059</f>
        <v>-843.65541101376095</v>
      </c>
      <c r="D2507">
        <f>-664.599671064701 -135.765282895052 -195.857679519473</f>
        <v>-996.22263347922603</v>
      </c>
      <c r="E2507">
        <f>-679.785325205404 -134.811407990033 -293.300777169214</f>
        <v>-1107.897510364651</v>
      </c>
      <c r="F2507">
        <f>-691.71285632486 -128.284243398365 -381.353928939082</f>
        <v>-1201.351028662307</v>
      </c>
      <c r="G2507">
        <f>-701.489734098485 -115.926572455815 -469.046281972369</f>
        <v>-1286.4625885266692</v>
      </c>
      <c r="H2507">
        <f>-712.848032822986 -92.5901949690568 -590.895393728881</f>
        <v>-1396.3336215209238</v>
      </c>
      <c r="I2507">
        <f>-697.424088815784 -63.9660872619324 -667.366293021713</f>
        <v>-1428.7564690994295</v>
      </c>
      <c r="J2507">
        <f>-722.896618529502 -80.3061609492303 -531.55366715363</f>
        <v>-1334.7564466323624</v>
      </c>
      <c r="K2507" t="s">
        <v>26895</v>
      </c>
      <c r="L2507" t="s">
        <v>26896</v>
      </c>
      <c r="M2507" t="s">
        <v>26897</v>
      </c>
      <c r="N2507">
        <f>-692.803048097009 -125.412526509693 -542.997646805428</f>
        <v>-1361.2132214121298</v>
      </c>
      <c r="O2507">
        <f>-615.808398206347 -239.289292248052 -541.979226420072</f>
        <v>-1397.076916874471</v>
      </c>
      <c r="P2507">
        <f>-553.792816914897 -334.665908537743 -270.596571007021</f>
        <v>-1159.0552964596609</v>
      </c>
      <c r="Q2507">
        <f>-470.382492374782 -110.988699509365 -303.186184068744</f>
        <v>-884.55737595289111</v>
      </c>
      <c r="R2507">
        <f>-696.238817865115 -40.54786757442 -84.2920850788034</f>
        <v>-821.0787705183385</v>
      </c>
      <c r="S2507" t="s">
        <v>26898</v>
      </c>
      <c r="T2507" t="s">
        <v>26899</v>
      </c>
      <c r="U2507" t="s">
        <v>26900</v>
      </c>
      <c r="V2507">
        <f>-585.090403872917 -198.410826708705 -85.2726724188024</f>
        <v>-868.77390300042441</v>
      </c>
      <c r="W2507" t="s">
        <v>26901</v>
      </c>
      <c r="X2507" t="s">
        <v>26902</v>
      </c>
      <c r="Y2507" t="s">
        <v>26903</v>
      </c>
    </row>
    <row r="2508" spans="1:25" x14ac:dyDescent="0.3">
      <c r="A2508">
        <v>125350</v>
      </c>
      <c r="B2508" t="s">
        <v>26904</v>
      </c>
      <c r="C2508">
        <f>-640.479896066089 -118.350834680139 -83.4681135329375</f>
        <v>-842.29884427916556</v>
      </c>
      <c r="D2508">
        <f>-664.58648632249 -134.650583213985 -195.581487964198</f>
        <v>-994.81855750067302</v>
      </c>
      <c r="E2508">
        <f>-679.726928085505 -133.576420145661 -293.030323757658</f>
        <v>-1106.3336719888241</v>
      </c>
      <c r="F2508">
        <f>-691.574197577967 -126.930074916428 -381.085401914254</f>
        <v>-1199.589674408649</v>
      </c>
      <c r="G2508">
        <f>-701.229914165114 -114.444414863671 -468.773017181734</f>
        <v>-1284.4473462105191</v>
      </c>
      <c r="H2508">
        <f>-712.375111807932 -90.9213287770758 -590.606031520856</f>
        <v>-1393.9024721058638</v>
      </c>
      <c r="I2508">
        <f>-696.78418806543 -62.232250966081 -667.018618099773</f>
        <v>-1426.035057131284</v>
      </c>
      <c r="J2508">
        <f>-722.462516297567 -78.6855822218211 -531.260914449377</f>
        <v>-1332.4090129687652</v>
      </c>
      <c r="K2508" t="s">
        <v>26905</v>
      </c>
      <c r="L2508" t="s">
        <v>26906</v>
      </c>
      <c r="M2508" t="s">
        <v>26907</v>
      </c>
      <c r="N2508">
        <f>-692.478804261676 -123.859735046204 -542.725913851178</f>
        <v>-1359.0644531590581</v>
      </c>
      <c r="O2508">
        <f>-615.762273646362 -237.928141513616 -541.764084168946</f>
        <v>-1395.4544993289242</v>
      </c>
      <c r="P2508">
        <f>-554.18747293122 -333.940768153477 -270.505426082842</f>
        <v>-1158.633667167539</v>
      </c>
      <c r="Q2508">
        <f>-470.214520101859 -110.367860517915 -302.357439525991</f>
        <v>-882.93982014576511</v>
      </c>
      <c r="R2508">
        <f>-695.996130758588 -39.4270700339173 -83.9551515937379</f>
        <v>-819.37835238624325</v>
      </c>
      <c r="S2508" t="s">
        <v>26908</v>
      </c>
      <c r="T2508" t="s">
        <v>26909</v>
      </c>
      <c r="U2508" t="s">
        <v>26910</v>
      </c>
      <c r="V2508">
        <f>-585.169972725517 -197.614464150272 -85.0121040038409</f>
        <v>-867.7965408796299</v>
      </c>
      <c r="W2508" t="s">
        <v>26911</v>
      </c>
      <c r="X2508" t="s">
        <v>26912</v>
      </c>
      <c r="Y2508" t="s">
        <v>26913</v>
      </c>
    </row>
    <row r="2509" spans="1:25" x14ac:dyDescent="0.3">
      <c r="A2509">
        <v>125400</v>
      </c>
      <c r="B2509" t="s">
        <v>26914</v>
      </c>
      <c r="C2509">
        <f>-640.031015952524 -117.547460345613 -82.9610484931313</f>
        <v>-840.53952479126826</v>
      </c>
      <c r="D2509">
        <f>-664.259994571938 -133.622617130189 -195.080394217022</f>
        <v>-992.96300591914905</v>
      </c>
      <c r="E2509">
        <f>-679.331054941361 -132.392240653095 -292.53815586798</f>
        <v>-1104.2614514624361</v>
      </c>
      <c r="F2509">
        <f>-691.044760869039 -125.619687101827 -380.60159299618</f>
        <v>-1197.2660409670461</v>
      </c>
      <c r="G2509">
        <f>-700.494506831976 -113.025006633982 -468.296012287937</f>
        <v>-1281.8155257538949</v>
      </c>
      <c r="H2509">
        <f>-711.275122644153 -89.3686871479996 -590.135977135755</f>
        <v>-1390.7797869279075</v>
      </c>
      <c r="I2509">
        <f>-695.42055686498 -60.6616850145091 -666.48759288352</f>
        <v>-1422.5698347630091</v>
      </c>
      <c r="J2509">
        <f>-721.443907987849 -77.1351195970841 -530.804335496449</f>
        <v>-1329.383363081382</v>
      </c>
      <c r="K2509" t="s">
        <v>26915</v>
      </c>
      <c r="L2509" t="s">
        <v>26916</v>
      </c>
      <c r="M2509" t="s">
        <v>26917</v>
      </c>
      <c r="N2509">
        <f>-691.618363914624 -122.422189266154 -542.236248792805</f>
        <v>-1356.2768019735829</v>
      </c>
      <c r="O2509">
        <f>-615.312181189401 -236.764532173234 -541.216616615927</f>
        <v>-1393.293329978562</v>
      </c>
      <c r="P2509">
        <f>-554.399761922475 -333.370455560556 -270.019051973058</f>
        <v>-1157.7892694560892</v>
      </c>
      <c r="Q2509">
        <f>-469.562061855158 -110.001061854268 -300.995716282023</f>
        <v>-880.55883999144908</v>
      </c>
      <c r="R2509">
        <f>-695.412315473739 -38.3209097604913 -83.3003802405192</f>
        <v>-817.03360547474949</v>
      </c>
      <c r="S2509" t="s">
        <v>26918</v>
      </c>
      <c r="T2509" t="s">
        <v>26919</v>
      </c>
      <c r="U2509" t="s">
        <v>26920</v>
      </c>
      <c r="V2509">
        <f>-584.795323055162 -197.131120250331 -84.6450986163012</f>
        <v>-866.57154192179428</v>
      </c>
      <c r="W2509" t="s">
        <v>26921</v>
      </c>
      <c r="X2509" t="s">
        <v>26922</v>
      </c>
      <c r="Y2509" t="s">
        <v>26923</v>
      </c>
    </row>
    <row r="2510" spans="1:25" x14ac:dyDescent="0.3">
      <c r="A2510">
        <v>125450</v>
      </c>
      <c r="B2510" t="s">
        <v>26924</v>
      </c>
      <c r="C2510">
        <f>-639.742662499066 -117.136240363278 -82.6804141423685</f>
        <v>-839.55931700471251</v>
      </c>
      <c r="D2510">
        <f>-664.069088514068 -133.065524372156 -194.799610436152</f>
        <v>-991.93422332237594</v>
      </c>
      <c r="E2510">
        <f>-679.122597613648 -131.762058802075 -292.259158732273</f>
        <v>-1103.1438151479961</v>
      </c>
      <c r="F2510">
        <f>-690.779427250087 -124.944560411476 -380.326535729948</f>
        <v>-1196.050523391511</v>
      </c>
      <c r="G2510">
        <f>-700.130331919921 -112.327113612102 -468.028263449248</f>
        <v>-1280.485708981271</v>
      </c>
      <c r="H2510">
        <f>-710.728656460909 -88.6629540273799 -589.882731175507</f>
        <v>-1389.2743416637959</v>
      </c>
      <c r="I2510">
        <f>-694.730318366056 -59.9958722301824 -666.219335880146</f>
        <v>-1420.9455264763844</v>
      </c>
      <c r="J2510">
        <f>-720.93096311431 -76.3975605789517 -530.563401999457</f>
        <v>-1327.8919256927188</v>
      </c>
      <c r="K2510" t="s">
        <v>26925</v>
      </c>
      <c r="L2510" t="s">
        <v>26926</v>
      </c>
      <c r="M2510" t="s">
        <v>26927</v>
      </c>
      <c r="N2510">
        <f>-691.198718193604 -121.755290185534 -541.957830038789</f>
        <v>-1354.9118384179269</v>
      </c>
      <c r="O2510">
        <f>-615.151516614006 -236.269221781385 -540.879752531142</f>
        <v>-1392.300490926533</v>
      </c>
      <c r="P2510">
        <f>-554.656774534956 -333.047305019757 -269.650072663463</f>
        <v>-1157.3541522181758</v>
      </c>
      <c r="Q2510">
        <f>-469.208542831378 -109.869591842369 -300.328408089052</f>
        <v>-879.40654276279895</v>
      </c>
      <c r="R2510">
        <f>-695.056554325714 -37.7057879451515 -82.891396798499</f>
        <v>-815.65373906936463</v>
      </c>
      <c r="S2510" t="s">
        <v>26928</v>
      </c>
      <c r="T2510" t="s">
        <v>26929</v>
      </c>
      <c r="U2510" t="s">
        <v>26930</v>
      </c>
      <c r="V2510">
        <f>-584.624858862974 -196.871292625249 -84.4843284119731</f>
        <v>-865.98047990019609</v>
      </c>
      <c r="W2510" t="s">
        <v>26931</v>
      </c>
      <c r="X2510" t="s">
        <v>26932</v>
      </c>
      <c r="Y2510" t="s">
        <v>26933</v>
      </c>
    </row>
    <row r="2511" spans="1:25" x14ac:dyDescent="0.3">
      <c r="A2511">
        <v>125500</v>
      </c>
      <c r="B2511" t="s">
        <v>26934</v>
      </c>
      <c r="C2511">
        <f>-638.877252048189 -116.383888672442 -82.337490770686</f>
        <v>-837.59863149131706</v>
      </c>
      <c r="D2511">
        <f>-663.418708731832 -131.933226685626 -194.463152654694</f>
        <v>-989.81508807215198</v>
      </c>
      <c r="E2511">
        <f>-678.468135466848 -130.452210326983 -291.920702403948</f>
        <v>-1100.8410481977789</v>
      </c>
      <c r="F2511">
        <f>-690.04624835218 -123.533962096684 -379.990723681691</f>
        <v>-1193.5709341305551</v>
      </c>
      <c r="G2511">
        <f>-699.242164922166 -110.877662065344 -467.70321408435</f>
        <v>-1277.82304107186</v>
      </c>
      <c r="H2511">
        <f>-709.543748889227 -87.2243061318352 -589.585258826772</f>
        <v>-1386.3533138478342</v>
      </c>
      <c r="I2511">
        <f>-693.291905508452 -58.7098808871068 -665.925528777376</f>
        <v>-1417.9273151729349</v>
      </c>
      <c r="J2511">
        <f>-719.774064081972 -74.8787512117982 -530.287434316059</f>
        <v>-1324.9402496098292</v>
      </c>
      <c r="K2511" t="s">
        <v>26935</v>
      </c>
      <c r="L2511" t="s">
        <v>26936</v>
      </c>
      <c r="M2511" t="s">
        <v>26937</v>
      </c>
      <c r="N2511">
        <f>-690.247010716822 -120.387175563356 -541.614688148086</f>
        <v>-1352.2488744282641</v>
      </c>
      <c r="O2511">
        <f>-614.786597750895 -235.289453302911 -540.365384985151</f>
        <v>-1390.4414360389569</v>
      </c>
      <c r="P2511">
        <f>-555.135695583336 -332.420826841932 -269.07511332949</f>
        <v>-1156.631635754758</v>
      </c>
      <c r="Q2511">
        <f>-468.605501031699 -109.610764670776 -299.391178157376</f>
        <v>-877.60744385985106</v>
      </c>
      <c r="R2511">
        <f>-694.037345280845 -36.6206089558525 -82.2674548963173</f>
        <v>-812.9254091330148</v>
      </c>
      <c r="S2511" t="s">
        <v>26938</v>
      </c>
      <c r="T2511" t="s">
        <v>26939</v>
      </c>
      <c r="U2511" t="s">
        <v>26940</v>
      </c>
      <c r="V2511">
        <f>-583.891290663166 -196.372394729619 -84.4576897411076</f>
        <v>-864.72137513389271</v>
      </c>
      <c r="W2511" t="s">
        <v>26941</v>
      </c>
      <c r="X2511" t="s">
        <v>26942</v>
      </c>
      <c r="Y2511" t="s">
        <v>26943</v>
      </c>
    </row>
    <row r="2512" spans="1:25" x14ac:dyDescent="0.3">
      <c r="A2512">
        <v>125550</v>
      </c>
      <c r="B2512" t="s">
        <v>26944</v>
      </c>
      <c r="C2512">
        <f>-638.46630769287 -115.805475287487 -82.2508147903953</f>
        <v>-836.52259777075233</v>
      </c>
      <c r="D2512">
        <f>-663.123495376547 -131.139644270623 -194.380678935625</f>
        <v>-988.64381858279501</v>
      </c>
      <c r="E2512">
        <f>-678.174289316723 -129.550289150723 -291.836427177893</f>
        <v>-1099.561005645339</v>
      </c>
      <c r="F2512">
        <f>-689.714737133601 -122.564952451872 -379.906103452811</f>
        <v>-1192.1857930382841</v>
      </c>
      <c r="G2512">
        <f>-698.833347563172 -109.873406630948 -467.621544645412</f>
        <v>-1276.328298839532</v>
      </c>
      <c r="H2512">
        <f>-708.985244415602 -86.2046384588314 -589.513105870606</f>
        <v>-1384.7029887450394</v>
      </c>
      <c r="I2512">
        <f>-692.610941891005 -57.7808027275316 -665.860941509517</f>
        <v>-1416.2526861280537</v>
      </c>
      <c r="J2512">
        <f>-719.228639188985 -73.8286447478839 -530.22387572379</f>
        <v>-1323.2811596606589</v>
      </c>
      <c r="K2512" t="s">
        <v>26945</v>
      </c>
      <c r="L2512" t="s">
        <v>26946</v>
      </c>
      <c r="M2512" t="s">
        <v>26947</v>
      </c>
      <c r="N2512">
        <f>-689.807034497907 -119.411584833759 -541.525465932929</f>
        <v>-1350.744085264595</v>
      </c>
      <c r="O2512">
        <f>-614.650428520335 -234.510664735453 -540.238627835645</f>
        <v>-1389.3997210914331</v>
      </c>
      <c r="P2512">
        <f>-555.520835789081 -331.735757260252 -268.867739318234</f>
        <v>-1156.1243323675671</v>
      </c>
      <c r="Q2512">
        <f>-468.322385431097 -109.170147351685 -299.0647106871</f>
        <v>-876.557243469882</v>
      </c>
      <c r="R2512">
        <f>-693.677763473184 -35.8355643842415 -82.0635578818574</f>
        <v>-811.57688573928283</v>
      </c>
      <c r="S2512" t="s">
        <v>26948</v>
      </c>
      <c r="T2512" t="s">
        <v>26949</v>
      </c>
      <c r="U2512" t="s">
        <v>26950</v>
      </c>
      <c r="V2512">
        <f>-583.54474123124 -195.951720752324 -84.4947914474058</f>
        <v>-863.99125343096978</v>
      </c>
      <c r="W2512" t="s">
        <v>26951</v>
      </c>
      <c r="X2512" t="s">
        <v>26952</v>
      </c>
      <c r="Y2512" t="s">
        <v>26953</v>
      </c>
    </row>
    <row r="2513" spans="1:25" x14ac:dyDescent="0.3">
      <c r="A2513">
        <v>125600</v>
      </c>
      <c r="B2513" t="s">
        <v>26954</v>
      </c>
      <c r="C2513">
        <f>-638.021673859929 -114.613753185647 -82.2498093028204</f>
        <v>-834.88523634839646</v>
      </c>
      <c r="D2513">
        <f>-662.844376496714 -129.525830031284 -194.400016605952</f>
        <v>-986.77022313394991</v>
      </c>
      <c r="E2513">
        <f>-677.879766099459 -127.701067974758 -291.853985960356</f>
        <v>-1097.434820034573</v>
      </c>
      <c r="F2513">
        <f>-689.343540089774 -120.554166742129 -379.92075542534</f>
        <v>-1189.818462257243</v>
      </c>
      <c r="G2513">
        <f>-698.321530906372 -107.754686962149 -467.63507025975</f>
        <v>-1273.711288128271</v>
      </c>
      <c r="H2513">
        <f>-708.209246938725 -83.9923109965961 -589.530083834166</f>
        <v>-1381.7316417694869</v>
      </c>
      <c r="I2513">
        <f>-691.620070574591 -55.7110809252616 -665.884512183234</f>
        <v>-1413.2156636830866</v>
      </c>
      <c r="J2513">
        <f>-718.461982607864 -71.5865402833771 -530.248707266333</f>
        <v>-1320.2972301575742</v>
      </c>
      <c r="K2513" t="s">
        <v>26955</v>
      </c>
      <c r="L2513" t="s">
        <v>26956</v>
      </c>
      <c r="M2513" t="s">
        <v>26957</v>
      </c>
      <c r="N2513">
        <f>-689.254278959348 -117.311397818841 -541.531661311508</f>
        <v>-1348.0973380896969</v>
      </c>
      <c r="O2513">
        <f>-614.65512037231 -232.780212620657 -540.244786785331</f>
        <v>-1387.6801197782979</v>
      </c>
      <c r="P2513">
        <f>-556.112248211473 -330.461451486135 -268.910438344216</f>
        <v>-1155.4841380418238</v>
      </c>
      <c r="Q2513">
        <f>-468.194826078817 -108.092205274448 -298.462095744374</f>
        <v>-874.74912709763896</v>
      </c>
      <c r="R2513">
        <f>-693.070038891995 -34.3567603095185 -81.8334018898371</f>
        <v>-809.2602010913505</v>
      </c>
      <c r="S2513" t="s">
        <v>26958</v>
      </c>
      <c r="T2513" t="s">
        <v>26959</v>
      </c>
      <c r="U2513" t="s">
        <v>26960</v>
      </c>
      <c r="V2513">
        <f>-583.232781701656 -195.084879586882 -84.7246648892184</f>
        <v>-863.04232617775642</v>
      </c>
      <c r="W2513" t="s">
        <v>26961</v>
      </c>
      <c r="X2513" t="s">
        <v>26962</v>
      </c>
      <c r="Y2513" t="s">
        <v>26963</v>
      </c>
    </row>
    <row r="2514" spans="1:25" x14ac:dyDescent="0.3">
      <c r="A2514">
        <v>125650</v>
      </c>
      <c r="B2514" t="s">
        <v>26964</v>
      </c>
      <c r="C2514">
        <f>-637.852703096624 -113.983139874245 -82.2802107193263</f>
        <v>-834.11605369019537</v>
      </c>
      <c r="D2514">
        <f>-662.724850180006 -128.685204661092 -194.447318186829</f>
        <v>-985.857373027927</v>
      </c>
      <c r="E2514">
        <f>-677.736650134499 -126.720636739475 -291.902103719311</f>
        <v>-1096.3593905932851</v>
      </c>
      <c r="F2514">
        <f>-689.15279467838 -119.463719044004 -379.966014531542</f>
        <v>-1188.5825282539261</v>
      </c>
      <c r="G2514">
        <f>-698.056404482303 -106.572051852224 -467.674549160317</f>
        <v>-1272.303005494844</v>
      </c>
      <c r="H2514">
        <f>-707.812100653905 -82.6995656457789 -589.558658877322</f>
        <v>-1380.070325177006</v>
      </c>
      <c r="I2514">
        <f>-691.127802922627 -54.445794378977 -665.902422926459</f>
        <v>-1411.4760202280631</v>
      </c>
      <c r="J2514">
        <f>-718.076454565712 -70.3142809336591 -530.274910056875</f>
        <v>-1318.6656455562461</v>
      </c>
      <c r="K2514" t="s">
        <v>26965</v>
      </c>
      <c r="L2514" t="s">
        <v>26966</v>
      </c>
      <c r="M2514" t="s">
        <v>26967</v>
      </c>
      <c r="N2514">
        <f>-688.961766755684 -116.094974974229 -541.57194452302</f>
        <v>-1346.628686252933</v>
      </c>
      <c r="O2514">
        <f>-614.636023720083 -231.736720011715 -540.346924708222</f>
        <v>-1386.7196684400201</v>
      </c>
      <c r="P2514">
        <f>-556.336737410016 -329.701673900515 -269.062505583661</f>
        <v>-1155.1009168941921</v>
      </c>
      <c r="Q2514">
        <f>-468.166046396507 -107.37391181195 -298.168341464313</f>
        <v>-873.70829967276995</v>
      </c>
      <c r="R2514">
        <f>-692.743955510999 -33.6775164564883 -81.7387080096865</f>
        <v>-808.16017997717381</v>
      </c>
      <c r="S2514" t="s">
        <v>26968</v>
      </c>
      <c r="T2514" t="s">
        <v>26969</v>
      </c>
      <c r="U2514" t="s">
        <v>26970</v>
      </c>
      <c r="V2514">
        <f>-583.180570667375 -194.471847348909 -84.8806801727649</f>
        <v>-862.53309818904893</v>
      </c>
      <c r="W2514" t="s">
        <v>26971</v>
      </c>
      <c r="X2514" t="s">
        <v>26972</v>
      </c>
      <c r="Y2514" t="s">
        <v>26973</v>
      </c>
    </row>
    <row r="2515" spans="1:25" x14ac:dyDescent="0.3">
      <c r="A2515">
        <v>125700</v>
      </c>
      <c r="B2515" t="s">
        <v>26974</v>
      </c>
      <c r="C2515">
        <f>-637.500112123098 -113.310554779136 -82.3608163107591</f>
        <v>-833.17148321299317</v>
      </c>
      <c r="D2515">
        <f>-662.498945880494 -127.626583336165 -194.549720937495</f>
        <v>-984.67525015415413</v>
      </c>
      <c r="E2515">
        <f>-677.469536092383 -125.398938578005 -292.005160038393</f>
        <v>-1094.8736347087811</v>
      </c>
      <c r="F2515">
        <f>-688.788324004271 -117.932241910681 -380.064031791793</f>
        <v>-1186.784597706745</v>
      </c>
      <c r="G2515">
        <f>-697.53304474657 -104.861420082611 -467.761965523713</f>
        <v>-1270.1564303528939</v>
      </c>
      <c r="H2515">
        <f>-707.001922754875 -80.7720536063466 -589.626081549615</f>
        <v>-1377.4000579108365</v>
      </c>
      <c r="I2515">
        <f>-690.140855612431 -52.5181634862927 -665.931062595247</f>
        <v>-1408.5900816939707</v>
      </c>
      <c r="J2515">
        <f>-717.297536541826 -68.4248993400913 -530.339820858648</f>
        <v>-1316.0622567405653</v>
      </c>
      <c r="K2515" t="s">
        <v>26975</v>
      </c>
      <c r="L2515" t="s">
        <v>26976</v>
      </c>
      <c r="M2515" t="s">
        <v>26977</v>
      </c>
      <c r="N2515">
        <f>-688.372720484551 -114.320233312779 -541.659555766017</f>
        <v>-1344.352509563347</v>
      </c>
      <c r="O2515">
        <f>-614.591292562799 -230.303558006266 -540.558559974182</f>
        <v>-1385.4534105432472</v>
      </c>
      <c r="P2515">
        <f>-556.626272607914 -328.808494808218 -269.397973050121</f>
        <v>-1154.832740466253</v>
      </c>
      <c r="Q2515">
        <f>-468.217057938601 -106.319077768875 -296.474076183391</f>
        <v>-871.01021189086691</v>
      </c>
      <c r="R2515">
        <f>-692.326235921319 -32.6628768783851 -81.5747643108622</f>
        <v>-806.5638771105663</v>
      </c>
      <c r="S2515" t="s">
        <v>26978</v>
      </c>
      <c r="T2515" t="s">
        <v>26979</v>
      </c>
      <c r="U2515" t="s">
        <v>26980</v>
      </c>
      <c r="V2515">
        <f>-582.923895136905 -194.19008620456 -85.2278827666728</f>
        <v>-862.34186410813777</v>
      </c>
      <c r="W2515" t="s">
        <v>26981</v>
      </c>
      <c r="X2515" t="s">
        <v>26982</v>
      </c>
      <c r="Y2515" t="s">
        <v>26983</v>
      </c>
    </row>
    <row r="2516" spans="1:25" x14ac:dyDescent="0.3">
      <c r="A2516">
        <v>125750</v>
      </c>
      <c r="B2516" t="s">
        <v>26984</v>
      </c>
      <c r="C2516">
        <f>-637.457526665017 -112.910884024204 -82.4289976175518</f>
        <v>-832.79740830677281</v>
      </c>
      <c r="D2516">
        <f>-662.509931175823 -127.076966669166 -194.624822468669</f>
        <v>-984.21172031365802</v>
      </c>
      <c r="E2516">
        <f>-677.470194234044 -124.762000453808 -292.079943968761</f>
        <v>-1094.3121386566131</v>
      </c>
      <c r="F2516">
        <f>-688.757483222901 -117.232839875853 -380.137531457466</f>
        <v>-1186.12785455622</v>
      </c>
      <c r="G2516">
        <f>-697.447835543503 -104.117078828221 -467.834185681815</f>
        <v>-1269.3991000535389</v>
      </c>
      <c r="H2516">
        <f>-706.816680855704 -79.9836913329469 -589.697251415064</f>
        <v>-1376.4976236037151</v>
      </c>
      <c r="I2516">
        <f>-689.903245520137 -51.7509585147524 -665.998536411256</f>
        <v>-1407.6527404461453</v>
      </c>
      <c r="J2516">
        <f>-717.111139233035 -67.6272621716515 -530.412845872698</f>
        <v>-1315.1512472773845</v>
      </c>
      <c r="K2516" t="s">
        <v>26985</v>
      </c>
      <c r="L2516" t="s">
        <v>26986</v>
      </c>
      <c r="M2516" t="s">
        <v>26987</v>
      </c>
      <c r="N2516">
        <f>-688.276718006871 -113.58001738387 -541.729975279892</f>
        <v>-1343.5867106706328</v>
      </c>
      <c r="O2516">
        <f>-614.745832847508 -229.719928328489 -540.589400250619</f>
        <v>-1385.055161426616</v>
      </c>
      <c r="P2516">
        <f>-556.887629638574 -328.502251515214 -269.507012792138</f>
        <v>-1154.8968939459262</v>
      </c>
      <c r="Q2516">
        <f>-468.571728861893 -105.754717105064 -294.701145601128</f>
        <v>-869.02759156808497</v>
      </c>
      <c r="R2516">
        <f>-692.278741267245 -32.1248493252449 -81.5327440929647</f>
        <v>-805.93633468545454</v>
      </c>
      <c r="S2516" t="s">
        <v>26988</v>
      </c>
      <c r="T2516" t="s">
        <v>26989</v>
      </c>
      <c r="U2516" t="s">
        <v>26990</v>
      </c>
      <c r="V2516">
        <f>-582.917871281861 -193.949354366471 -85.3860855934715</f>
        <v>-862.25331124180354</v>
      </c>
      <c r="W2516" t="s">
        <v>26991</v>
      </c>
      <c r="X2516" t="s">
        <v>26992</v>
      </c>
      <c r="Y2516" t="s">
        <v>26993</v>
      </c>
    </row>
    <row r="2517" spans="1:25" x14ac:dyDescent="0.3">
      <c r="A2517">
        <v>125800</v>
      </c>
      <c r="B2517" t="s">
        <v>26994</v>
      </c>
      <c r="C2517">
        <f>-637.354421097982 -112.606932640159 -82.6117461247336</f>
        <v>-832.57309986287464</v>
      </c>
      <c r="D2517">
        <f>-662.526478085217 -126.49533871197 -194.815605781229</f>
        <v>-983.83742257841607</v>
      </c>
      <c r="E2517">
        <f>-677.452195490025 -124.019716666695 -292.272068739566</f>
        <v>-1093.7439808962861</v>
      </c>
      <c r="F2517">
        <f>-688.653743265341 -116.376831353914 -380.330785626599</f>
        <v>-1185.361360245854</v>
      </c>
      <c r="G2517">
        <f>-697.203732112167 -103.180191236517 -468.029065145508</f>
        <v>-1268.4129884941919</v>
      </c>
      <c r="H2517">
        <f>-706.318921261255 -78.9691904831482 -589.895924638891</f>
        <v>-1375.1840363832941</v>
      </c>
      <c r="I2517">
        <f>-689.317408864309 -50.8030149326995 -666.202205709797</f>
        <v>-1406.3226295068055</v>
      </c>
      <c r="J2517">
        <f>-716.66132759009 -66.6041220607866 -530.621661789745</f>
        <v>-1313.8871114406215</v>
      </c>
      <c r="K2517" t="s">
        <v>26995</v>
      </c>
      <c r="L2517" t="s">
        <v>26996</v>
      </c>
      <c r="M2517" t="s">
        <v>26997</v>
      </c>
      <c r="N2517">
        <f>-687.954262657592 -112.642393266634 -541.915148055869</f>
        <v>-1342.511803980095</v>
      </c>
      <c r="O2517">
        <f>-614.79109257377 -229.021567582961 -540.651418312254</f>
        <v>-1384.464078468985</v>
      </c>
      <c r="P2517">
        <f>-557.504072131667 -328.866954389788 -269.837370523267</f>
        <v>-1156.208397044722</v>
      </c>
      <c r="Q2517">
        <f>-468.955378251374 -105.974121242228 -292.83268323572</f>
        <v>-867.76218272932192</v>
      </c>
      <c r="R2517">
        <f>-692.20232782352 -31.3422215800683 -81.562828157536</f>
        <v>-805.10737756112439</v>
      </c>
      <c r="S2517" t="s">
        <v>26998</v>
      </c>
      <c r="T2517" t="s">
        <v>26999</v>
      </c>
      <c r="U2517" t="s">
        <v>27000</v>
      </c>
      <c r="V2517">
        <f>-582.779656642905 -194.102441313086 -85.7411978734553</f>
        <v>-862.62329582944631</v>
      </c>
      <c r="W2517" t="s">
        <v>27001</v>
      </c>
      <c r="X2517" t="s">
        <v>27002</v>
      </c>
      <c r="Y2517" t="s">
        <v>27003</v>
      </c>
    </row>
    <row r="2518" spans="1:25" x14ac:dyDescent="0.3">
      <c r="A2518">
        <v>125850</v>
      </c>
      <c r="B2518" t="s">
        <v>27004</v>
      </c>
      <c r="C2518">
        <f>-637.404581570243 -112.451868307156 -82.7335163918364</f>
        <v>-832.58996626923533</v>
      </c>
      <c r="D2518">
        <f>-662.662911839112 -126.261482332122 -194.927732252599</f>
        <v>-983.85212642383294</v>
      </c>
      <c r="E2518">
        <f>-677.576906667735 -123.73833785804 -292.384665323755</f>
        <v>-1093.6999098495301</v>
      </c>
      <c r="F2518">
        <f>-688.731480451458 -116.061781593378 -380.446456486568</f>
        <v>-1185.2397185314039</v>
      </c>
      <c r="G2518">
        <f>-697.196399685964 -102.842054453279 -468.149493965426</f>
        <v>-1268.187948104669</v>
      </c>
      <c r="H2518">
        <f>-706.152095455063 -78.6105323660107 -590.024260241396</f>
        <v>-1374.7868880624696</v>
      </c>
      <c r="I2518">
        <f>-689.137165986983 -50.5051197736293 -666.349931033664</f>
        <v>-1405.9922167942764</v>
      </c>
      <c r="J2518">
        <f>-716.540594818713 -66.2361803842915 -530.759854086126</f>
        <v>-1313.5366292891304</v>
      </c>
      <c r="K2518" t="s">
        <v>27005</v>
      </c>
      <c r="L2518" t="s">
        <v>27006</v>
      </c>
      <c r="M2518" t="s">
        <v>27007</v>
      </c>
      <c r="N2518">
        <f>-687.881700097663 -112.311109168685 -542.026570403757</f>
        <v>-1342.2193796701049</v>
      </c>
      <c r="O2518">
        <f>-614.904507591948 -228.80004101097 -540.746209668295</f>
        <v>-1384.4507582712131</v>
      </c>
      <c r="P2518">
        <f>-558.260377970801 -328.833486937964 -269.866253133284</f>
        <v>-1156.9601180420491</v>
      </c>
      <c r="Q2518">
        <f>-468.864035658123 -106.252747266216 -292.603404495641</f>
        <v>-867.72018741997999</v>
      </c>
      <c r="R2518">
        <f>-692.312312094131 -30.9929501543284 -81.5967128177792</f>
        <v>-804.90197506623861</v>
      </c>
      <c r="S2518" t="s">
        <v>27008</v>
      </c>
      <c r="T2518" t="s">
        <v>27009</v>
      </c>
      <c r="U2518" t="s">
        <v>27010</v>
      </c>
      <c r="V2518">
        <f>-582.798004056193 -194.079569336456 -85.9337948124302</f>
        <v>-862.81136820507913</v>
      </c>
      <c r="W2518" t="s">
        <v>27011</v>
      </c>
      <c r="X2518" t="s">
        <v>27012</v>
      </c>
      <c r="Y2518" t="s">
        <v>27013</v>
      </c>
    </row>
    <row r="2519" spans="1:25" x14ac:dyDescent="0.3">
      <c r="A2519">
        <v>125900</v>
      </c>
      <c r="B2519" t="s">
        <v>27014</v>
      </c>
      <c r="C2519">
        <f>-637.504642270255 -112.517230492666 -83.0476226654206</f>
        <v>-833.06949542834161</v>
      </c>
      <c r="D2519">
        <f>-662.909036876981 -126.15065300552 -195.230345048331</f>
        <v>-984.29003493083201</v>
      </c>
      <c r="E2519">
        <f>-677.834061710548 -123.530347516604 -292.683033379473</f>
        <v>-1094.0474426066251</v>
      </c>
      <c r="F2519">
        <f>-688.946737566119 -115.791551632529 -380.744753437283</f>
        <v>-1185.483042635931</v>
      </c>
      <c r="G2519">
        <f>-697.314615768425 -102.537403134249 -468.451899890578</f>
        <v>-1268.303918793252</v>
      </c>
      <c r="H2519">
        <f>-706.073611284237 -78.288999763563 -590.337616905261</f>
        <v>-1374.7002279530611</v>
      </c>
      <c r="I2519">
        <f>-689.110929623155 -50.3105962476952 -666.721406935746</f>
        <v>-1406.1429328065963</v>
      </c>
      <c r="J2519">
        <f>-716.525264385909 -65.9030605120674 -531.086681698653</f>
        <v>-1313.5150065966295</v>
      </c>
      <c r="K2519" t="s">
        <v>27015</v>
      </c>
      <c r="L2519" t="s">
        <v>27016</v>
      </c>
      <c r="M2519" t="s">
        <v>27017</v>
      </c>
      <c r="N2519">
        <f>-687.913121090857 -112.015949286996 -542.316626993889</f>
        <v>-1342.2456973717422</v>
      </c>
      <c r="O2519">
        <f>-615.062095141998 -228.590255994749 -541.059707881154</f>
        <v>-1384.7120590179011</v>
      </c>
      <c r="P2519">
        <f>-558.299101682425 -329.478532596475 -270.521882503753</f>
        <v>-1158.299516782653</v>
      </c>
      <c r="Q2519">
        <f>-470.858613469669 -105.902819077073 -290.989451171841</f>
        <v>-867.75088371858305</v>
      </c>
      <c r="R2519">
        <f>-692.640624304022 -30.7751630525045 -81.6594676126072</f>
        <v>-805.07525496913365</v>
      </c>
      <c r="S2519" t="s">
        <v>27018</v>
      </c>
      <c r="T2519" t="s">
        <v>27019</v>
      </c>
      <c r="U2519" t="s">
        <v>27020</v>
      </c>
      <c r="V2519">
        <f>-582.618214300075 -194.471653893977 -86.496326409955</f>
        <v>-863.58619460400701</v>
      </c>
      <c r="W2519" t="s">
        <v>27021</v>
      </c>
      <c r="X2519" t="s">
        <v>27022</v>
      </c>
      <c r="Y2519" t="s">
        <v>27023</v>
      </c>
    </row>
    <row r="2520" spans="1:25" x14ac:dyDescent="0.3">
      <c r="A2520">
        <v>125950</v>
      </c>
      <c r="B2520" t="s">
        <v>27024</v>
      </c>
      <c r="C2520">
        <f>-637.43756089096 -112.412041129155 -83.2131416930953</f>
        <v>-833.06274371321024</v>
      </c>
      <c r="D2520">
        <f>-662.942284825282 -125.939290423342 -195.385969927956</f>
        <v>-984.26754517657992</v>
      </c>
      <c r="E2520">
        <f>-677.91823407245 -123.259422633087 -292.829291475295</f>
        <v>-1094.0069481808318</v>
      </c>
      <c r="F2520">
        <f>-689.061337043362 -115.480913936664 -380.883586942114</f>
        <v>-1185.4258379221401</v>
      </c>
      <c r="G2520">
        <f>-697.443448843452 -102.201456908647 -468.585600085445</f>
        <v>-1268.2305058375441</v>
      </c>
      <c r="H2520">
        <f>-706.204781438436 -77.9331797376603 -590.467077716075</f>
        <v>-1374.6050388921713</v>
      </c>
      <c r="I2520">
        <f>-689.306128774079 -49.9911590109859 -666.878531882529</f>
        <v>-1406.1758196675939</v>
      </c>
      <c r="J2520">
        <f>-716.660099387336 -65.5597680366727 -531.214364632714</f>
        <v>-1313.4342320567227</v>
      </c>
      <c r="K2520" t="s">
        <v>27025</v>
      </c>
      <c r="L2520" t="s">
        <v>27026</v>
      </c>
      <c r="M2520" t="s">
        <v>27027</v>
      </c>
      <c r="N2520">
        <f>-688.038602360239 -111.665083207132 -542.451908166158</f>
        <v>-1342.1555937335288</v>
      </c>
      <c r="O2520">
        <f>-615.119941215088 -228.192885546817 -541.245649596496</f>
        <v>-1384.5584763584011</v>
      </c>
      <c r="P2520">
        <f>-557.724232148602 -329.541698656822 -271.01375765743</f>
        <v>-1158.279688462854</v>
      </c>
      <c r="Q2520">
        <f>-472.460703963227 -105.022910018567 -290.309101073661</f>
        <v>-867.79271505545489</v>
      </c>
      <c r="R2520">
        <f>-692.668975333752 -30.6209679921483 -81.6973682822735</f>
        <v>-804.98731160817374</v>
      </c>
      <c r="S2520" t="s">
        <v>27028</v>
      </c>
      <c r="T2520" t="s">
        <v>27029</v>
      </c>
      <c r="U2520" t="s">
        <v>27030</v>
      </c>
      <c r="V2520">
        <f>-582.495642632013 -194.351822073752 -86.7916378999491</f>
        <v>-863.63910260571413</v>
      </c>
      <c r="W2520" t="s">
        <v>27031</v>
      </c>
      <c r="X2520" t="s">
        <v>27032</v>
      </c>
      <c r="Y2520" t="s">
        <v>27033</v>
      </c>
    </row>
    <row r="2521" spans="1:25" x14ac:dyDescent="0.3">
      <c r="A2521">
        <v>126000</v>
      </c>
      <c r="B2521" t="s">
        <v>27034</v>
      </c>
      <c r="C2521">
        <f>-637.089246587902 -112.660146457786 -83.5630736410834</f>
        <v>-833.31246668677147</v>
      </c>
      <c r="D2521">
        <f>-662.767172916541 -125.96851528636 -195.722486269562</f>
        <v>-984.45817447246304</v>
      </c>
      <c r="E2521">
        <f>-677.882888041729 -123.155338397365 -293.140475275069</f>
        <v>-1094.1787017141628</v>
      </c>
      <c r="F2521">
        <f>-689.146319866615 -115.280745329928 -381.171041357492</f>
        <v>-1185.598106554035</v>
      </c>
      <c r="G2521">
        <f>-697.641971440325 -101.929680443024 -468.851164078907</f>
        <v>-1268.4228159622562</v>
      </c>
      <c r="H2521">
        <f>-706.553750598295 -77.5875495491629 -590.707072876209</f>
        <v>-1374.8483730236669</v>
      </c>
      <c r="I2521">
        <f>-689.919094018565 -49.6783864801063 -667.188406714912</f>
        <v>-1406.7858872135835</v>
      </c>
      <c r="J2521">
        <f>-716.964806436536 -65.267794866944 -531.435291911373</f>
        <v>-1313.6678932148529</v>
      </c>
      <c r="K2521" t="s">
        <v>27035</v>
      </c>
      <c r="L2521" t="s">
        <v>27036</v>
      </c>
      <c r="M2521" t="s">
        <v>27037</v>
      </c>
      <c r="N2521">
        <f>-688.299368441583 -111.330867764929 -542.733315947626</f>
        <v>-1342.3635521541382</v>
      </c>
      <c r="O2521">
        <f>-615.024213518098 -227.63678015778 -541.664668513581</f>
        <v>-1384.3256621894589</v>
      </c>
      <c r="P2521">
        <f>-555.624702865472 -329.900246340548 -272.211353362845</f>
        <v>-1157.7363025688651</v>
      </c>
      <c r="Q2521">
        <f>-475.971892965384 -103.098191677888 -288.554506741755</f>
        <v>-867.62459138502686</v>
      </c>
      <c r="R2521">
        <f>-692.461225061982 -30.7683471513403 -81.7413495237736</f>
        <v>-804.97092173709586</v>
      </c>
      <c r="S2521" t="s">
        <v>27038</v>
      </c>
      <c r="T2521" t="s">
        <v>27039</v>
      </c>
      <c r="U2521" t="s">
        <v>27040</v>
      </c>
      <c r="V2521">
        <f>-581.939816159269 -194.684958558741 -87.4049749188949</f>
        <v>-864.02974963690485</v>
      </c>
      <c r="W2521" t="s">
        <v>27041</v>
      </c>
      <c r="X2521" t="s">
        <v>27042</v>
      </c>
      <c r="Y2521" t="s">
        <v>27043</v>
      </c>
    </row>
    <row r="2522" spans="1:25" x14ac:dyDescent="0.3">
      <c r="A2522">
        <v>126050</v>
      </c>
      <c r="B2522" t="s">
        <v>27044</v>
      </c>
      <c r="C2522">
        <f>-637.06729175976 -112.699056047345 -83.6909367828316</f>
        <v>-833.45728458993665</v>
      </c>
      <c r="D2522">
        <f>-662.832549250724 -125.904356876312 -195.842605272937</f>
        <v>-984.57951139997306</v>
      </c>
      <c r="E2522">
        <f>-678.03608083886 -122.996984460599 -293.244186085852</f>
        <v>-1094.277251385311</v>
      </c>
      <c r="F2522">
        <f>-689.382528969121 -115.036354151668 -381.256235463639</f>
        <v>-1185.675118584428</v>
      </c>
      <c r="G2522">
        <f>-697.964559475043 -101.598502697331 -468.914809926784</f>
        <v>-1268.477872099158</v>
      </c>
      <c r="H2522">
        <f>-706.999736414689 -77.1346409762373 -590.737122791837</f>
        <v>-1374.8715001827632</v>
      </c>
      <c r="I2522">
        <f>-690.54894621518 -49.1905465631081 -667.245507003972</f>
        <v>-1406.98499978226</v>
      </c>
      <c r="J2522">
        <f>-717.381902016469 -64.8931182042064 -531.444159437519</f>
        <v>-1313.7191796581944</v>
      </c>
      <c r="K2522" t="s">
        <v>27045</v>
      </c>
      <c r="L2522" t="s">
        <v>27046</v>
      </c>
      <c r="M2522" t="s">
        <v>27047</v>
      </c>
      <c r="N2522">
        <f>-688.665697559248 -110.90691511851 -542.814192670157</f>
        <v>-1342.386805347915</v>
      </c>
      <c r="O2522">
        <f>-615.136431713579 -227.067351506105 -541.877346884441</f>
        <v>-1384.0811301041249</v>
      </c>
      <c r="P2522">
        <f>-555.481736171706 -329.318494731683 -272.475890581506</f>
        <v>-1157.2761214848949</v>
      </c>
      <c r="Q2522">
        <f>-476.234188540465 -102.353041731699 -288.519180478105</f>
        <v>-867.10641075026899</v>
      </c>
      <c r="R2522">
        <f>-692.665894115005 -30.7883698148601 -81.72766111482</f>
        <v>-805.18192504468504</v>
      </c>
      <c r="S2522" t="s">
        <v>27048</v>
      </c>
      <c r="T2522" t="s">
        <v>27049</v>
      </c>
      <c r="U2522" t="s">
        <v>27050</v>
      </c>
      <c r="V2522">
        <f>-581.836213441574 -194.787472628405 -87.6781899010031</f>
        <v>-864.30187597098211</v>
      </c>
      <c r="W2522" t="s">
        <v>27051</v>
      </c>
      <c r="X2522" t="s">
        <v>27052</v>
      </c>
      <c r="Y2522" t="s">
        <v>27053</v>
      </c>
    </row>
    <row r="2523" spans="1:25" x14ac:dyDescent="0.3">
      <c r="A2523">
        <v>126100</v>
      </c>
      <c r="B2523" t="s">
        <v>27054</v>
      </c>
      <c r="C2523">
        <f>-636.884735348892 -113.003789041802 -83.901860862273</f>
        <v>-833.79038525296698</v>
      </c>
      <c r="D2523">
        <f>-662.799722708382 -126.026618687204 -196.040289465631</f>
        <v>-984.866630861217</v>
      </c>
      <c r="E2523">
        <f>-678.190552889075 -122.875574271755 -293.404864187275</f>
        <v>-1094.4709913481049</v>
      </c>
      <c r="F2523">
        <f>-689.72860909773 -114.661386027753 -381.36875756055</f>
        <v>-1185.7587526860329</v>
      </c>
      <c r="G2523">
        <f>-698.52457002439 -100.936633784777 -468.961615906951</f>
        <v>-1268.4228197161178</v>
      </c>
      <c r="H2523">
        <f>-707.882052709179 -76.0376474348486 -590.671371021078</f>
        <v>-1374.5910711651056</v>
      </c>
      <c r="I2523">
        <f>-691.952245342864 -47.9147105053258 -667.224441516952</f>
        <v>-1407.0913973651418</v>
      </c>
      <c r="J2523">
        <f>-718.186615925126 -64.0568271992162 -531.311587303053</f>
        <v>-1313.5550304273952</v>
      </c>
      <c r="K2523" t="s">
        <v>27055</v>
      </c>
      <c r="L2523" t="s">
        <v>27056</v>
      </c>
      <c r="M2523" t="s">
        <v>27057</v>
      </c>
      <c r="N2523">
        <f>-689.341950714108 -109.93198697739 -542.914184862717</f>
        <v>-1342.1881225542149</v>
      </c>
      <c r="O2523">
        <f>-615.325405618231 -225.790434753075 -542.48618632593</f>
        <v>-1383.6020266972359</v>
      </c>
      <c r="P2523">
        <f>-555.713272480796 -328.365997212475 -273.198481605756</f>
        <v>-1157.2777512990269</v>
      </c>
      <c r="Q2523">
        <f>-475.726433416889 -101.734459300861 -290.261338077112</f>
        <v>-867.72223079486196</v>
      </c>
      <c r="R2523">
        <f>-692.681207915006 -31.0719313386885 -81.6942401537644</f>
        <v>-805.44737940745893</v>
      </c>
      <c r="S2523" t="s">
        <v>27058</v>
      </c>
      <c r="T2523" t="s">
        <v>27059</v>
      </c>
      <c r="U2523" t="s">
        <v>27060</v>
      </c>
      <c r="V2523">
        <f>-581.390894620588 -195.166385189947 -88.1949732349096</f>
        <v>-864.7522530454446</v>
      </c>
      <c r="W2523" t="s">
        <v>27061</v>
      </c>
      <c r="X2523" t="s">
        <v>27062</v>
      </c>
      <c r="Y2523" t="s">
        <v>27063</v>
      </c>
    </row>
    <row r="2524" spans="1:25" x14ac:dyDescent="0.3">
      <c r="A2524">
        <v>126150</v>
      </c>
      <c r="B2524" t="s">
        <v>27064</v>
      </c>
      <c r="C2524">
        <f>-636.666889648179 -113.1008961568 -83.9791281253906</f>
        <v>-833.7469139303696</v>
      </c>
      <c r="D2524">
        <f>-662.673176237143 -126.086793251039 -196.100667463892</f>
        <v>-984.86063695207406</v>
      </c>
      <c r="E2524">
        <f>-678.172291221984 -122.771401987743 -293.442622638553</f>
        <v>-1094.38631584828</v>
      </c>
      <c r="F2524">
        <f>-689.81799544322 -114.357012553673 -381.373308970605</f>
        <v>-1185.5483169674981</v>
      </c>
      <c r="G2524">
        <f>-698.731018032194 -100.380552884687 -468.914461916147</f>
        <v>-1268.026032833028</v>
      </c>
      <c r="H2524">
        <f>-708.261267656258 -75.0773533777432 -590.527614947688</f>
        <v>-1373.8662359816892</v>
      </c>
      <c r="I2524">
        <f>-692.621998677565 -46.7754850605857 -667.074657059694</f>
        <v>-1406.4721407978445</v>
      </c>
      <c r="J2524">
        <f>-718.530561313772 -63.3242189570416 -531.11622121371</f>
        <v>-1312.9710014845236</v>
      </c>
      <c r="K2524" t="s">
        <v>27065</v>
      </c>
      <c r="L2524" t="s">
        <v>27066</v>
      </c>
      <c r="M2524" t="s">
        <v>27067</v>
      </c>
      <c r="N2524">
        <f>-689.60450612753 -109.099915367759 -542.907240418491</f>
        <v>-1341.6116619137802</v>
      </c>
      <c r="O2524">
        <f>-615.368535567968 -224.823382995095 -542.916738740669</f>
        <v>-1383.1086573037319</v>
      </c>
      <c r="P2524">
        <f>-556.236972549717 -327.904197093589 -273.716101683504</f>
        <v>-1157.85727132681</v>
      </c>
      <c r="Q2524">
        <f>-474.978013768679 -101.784536673466 -291.541800805418</f>
        <v>-868.30435124756298</v>
      </c>
      <c r="R2524">
        <f>-692.571068611461 -31.2059444725414 -81.6625002211993</f>
        <v>-805.43951330520167</v>
      </c>
      <c r="S2524" t="s">
        <v>27068</v>
      </c>
      <c r="T2524" t="s">
        <v>27069</v>
      </c>
      <c r="U2524" t="s">
        <v>27070</v>
      </c>
      <c r="V2524">
        <f>-581.064311862521 -195.199193045529 -88.4058388535673</f>
        <v>-864.66934376161726</v>
      </c>
      <c r="W2524" t="s">
        <v>27071</v>
      </c>
      <c r="X2524" t="s">
        <v>27072</v>
      </c>
      <c r="Y2524" t="s">
        <v>27073</v>
      </c>
    </row>
    <row r="2525" spans="1:25" x14ac:dyDescent="0.3">
      <c r="A2525">
        <v>126200</v>
      </c>
      <c r="B2525" t="s">
        <v>27074</v>
      </c>
      <c r="C2525">
        <f>-636.139650238498 -113.185518096682 -84.1004389848395</f>
        <v>-833.42560732001948</v>
      </c>
      <c r="D2525">
        <f>-662.34198344599 -126.16449980894 -196.17717626655</f>
        <v>-984.68365952147997</v>
      </c>
      <c r="E2525">
        <f>-678.11213563065 -122.480394524431 -293.462336338189</f>
        <v>-1094.0548664932701</v>
      </c>
      <c r="F2525">
        <f>-690.036491240172 -113.591126252541 -381.308863204462</f>
        <v>-1184.9364806971751</v>
      </c>
      <c r="G2525">
        <f>-699.25944469506 -98.9998661070053 -468.717596497934</f>
        <v>-1266.9769072999993</v>
      </c>
      <c r="H2525">
        <f>-709.253003449613 -72.6948884946812 -590.080602823088</f>
        <v>-1372.0284947673822</v>
      </c>
      <c r="I2525">
        <f>-694.164306675382 -43.885726130412 -666.548826041864</f>
        <v>-1404.598858847658</v>
      </c>
      <c r="J2525">
        <f>-719.394562249145 -61.4936776567093 -530.540827796679</f>
        <v>-1311.4290677025333</v>
      </c>
      <c r="K2525" t="s">
        <v>27075</v>
      </c>
      <c r="L2525" t="s">
        <v>27076</v>
      </c>
      <c r="M2525" t="s">
        <v>27077</v>
      </c>
      <c r="N2525">
        <f>-690.316109430167 -107.047052553782 -542.808720632814</f>
        <v>-1340.171882616763</v>
      </c>
      <c r="O2525">
        <f>-615.634621208295 -222.458436841216 -543.973780070972</f>
        <v>-1382.066838120483</v>
      </c>
      <c r="P2525">
        <f>-556.249528083842 -327.532289816621 -275.600589372757</f>
        <v>-1159.38240727322</v>
      </c>
      <c r="Q2525">
        <f>-474.149624818052 -101.681449451984 -292.974192524361</f>
        <v>-868.80526679439697</v>
      </c>
      <c r="R2525">
        <f>-692.265871275909 -31.4143476191493 -81.5154116339506</f>
        <v>-805.19563052900901</v>
      </c>
      <c r="S2525" t="s">
        <v>27078</v>
      </c>
      <c r="T2525" t="s">
        <v>27079</v>
      </c>
      <c r="U2525" t="s">
        <v>27080</v>
      </c>
      <c r="V2525">
        <f>-580.273814423389 -195.214138136301 -88.7795406276227</f>
        <v>-864.26749318731277</v>
      </c>
      <c r="W2525" t="s">
        <v>27081</v>
      </c>
      <c r="X2525" t="s">
        <v>27082</v>
      </c>
      <c r="Y2525" t="s">
        <v>27083</v>
      </c>
    </row>
    <row r="2526" spans="1:25" x14ac:dyDescent="0.3">
      <c r="A2526">
        <v>126250</v>
      </c>
      <c r="B2526" t="s">
        <v>27084</v>
      </c>
      <c r="C2526">
        <f>-635.808865191601 -113.094973727374 -84.1936255757481</f>
        <v>-833.09746449472311</v>
      </c>
      <c r="D2526">
        <f>-662.108887791597 -126.058964018419 -196.249232510023</f>
        <v>-984.41708432003907</v>
      </c>
      <c r="E2526">
        <f>-678.036329665524 -122.194569910809 -293.501774999005</f>
        <v>-1093.732674575338</v>
      </c>
      <c r="F2526">
        <f>-690.12913721918 -113.076463181536 -381.301939891567</f>
        <v>-1184.507540292283</v>
      </c>
      <c r="G2526">
        <f>-699.545698083832 -98.1917259075783 -468.640329595505</f>
        <v>-1266.3777535869153</v>
      </c>
      <c r="H2526">
        <f>-709.835084103901 -71.4101823940738 -589.874387892543</f>
        <v>-1371.1196543905178</v>
      </c>
      <c r="I2526">
        <f>-695.005821850897 -42.3169153312081 -666.285866470579</f>
        <v>-1403.608603652684</v>
      </c>
      <c r="J2526">
        <f>-719.882021623158 -60.474787679152 -530.269117618973</f>
        <v>-1310.6259269212831</v>
      </c>
      <c r="K2526" t="s">
        <v>27085</v>
      </c>
      <c r="L2526" t="s">
        <v>27086</v>
      </c>
      <c r="M2526" t="s">
        <v>27087</v>
      </c>
      <c r="N2526">
        <f>-690.732475910988 -105.916049807867 -542.781462246399</f>
        <v>-1339.429987965254</v>
      </c>
      <c r="O2526">
        <f>-615.781257603204 -221.142466159435 -544.484008464173</f>
        <v>-1381.4077322268122</v>
      </c>
      <c r="P2526">
        <f>-556.040514880692 -327.362536410258 -276.641657494052</f>
        <v>-1160.0447087850018</v>
      </c>
      <c r="Q2526">
        <f>-474.329344671821 -101.294004268504 -292.986534646035</f>
        <v>-868.60988358635996</v>
      </c>
      <c r="R2526">
        <f>-692.125684109823 -31.3400723585382 -81.4687912682826</f>
        <v>-804.93454773664394</v>
      </c>
      <c r="S2526" t="s">
        <v>27088</v>
      </c>
      <c r="T2526" t="s">
        <v>27089</v>
      </c>
      <c r="U2526" t="s">
        <v>27090</v>
      </c>
      <c r="V2526">
        <f>-579.767992420675 -195.064617164334 -88.9866418916602</f>
        <v>-863.81925147666914</v>
      </c>
      <c r="W2526" t="s">
        <v>27091</v>
      </c>
      <c r="X2526" t="s">
        <v>27092</v>
      </c>
      <c r="Y2526" t="s">
        <v>27093</v>
      </c>
    </row>
    <row r="2527" spans="1:25" x14ac:dyDescent="0.3">
      <c r="A2527">
        <v>126300</v>
      </c>
      <c r="B2527" t="s">
        <v>27094</v>
      </c>
      <c r="C2527">
        <f>-635.226208914281 -112.465381302047 -84.4954653355826</f>
        <v>-832.18705555191059</v>
      </c>
      <c r="D2527">
        <f>-661.683408881463 -125.248823756533 -196.5348372104</f>
        <v>-983.46706984839614</v>
      </c>
      <c r="E2527">
        <f>-677.875838495968 -121.069254205631 -293.730344252728</f>
        <v>-1092.6754369543269</v>
      </c>
      <c r="F2527">
        <f>-690.255272532065 -111.605342850341 -381.454038509024</f>
        <v>-1183.31465389143</v>
      </c>
      <c r="G2527">
        <f>-700.003530352473 -96.3147074599557 -468.685915333398</f>
        <v>-1265.0041531458266</v>
      </c>
      <c r="H2527">
        <f>-710.801083053353 -68.9054180121059 -589.73524740123</f>
        <v>-1369.4417484666888</v>
      </c>
      <c r="I2527">
        <f>-696.429320656206 -39.3652646582445 -666.062598070794</f>
        <v>-1401.8571833852445</v>
      </c>
      <c r="J2527">
        <f>-720.650968686977 -58.3125575751392 -530.035398548284</f>
        <v>-1308.9989248104002</v>
      </c>
      <c r="K2527" t="s">
        <v>27095</v>
      </c>
      <c r="L2527" t="s">
        <v>27096</v>
      </c>
      <c r="M2527" t="s">
        <v>27097</v>
      </c>
      <c r="N2527">
        <f>-691.448294105895 -103.621347409105 -542.899583700297</f>
        <v>-1337.969225215297</v>
      </c>
      <c r="O2527">
        <f>-616.172098729866 -218.619209281541 -545.413364656174</f>
        <v>-1380.204672667581</v>
      </c>
      <c r="P2527">
        <f>-555.79398880645 -327.135499279927 -278.636492971436</f>
        <v>-1161.5659810578129</v>
      </c>
      <c r="Q2527">
        <f>-475.382530741267 -100.408515627802 -292.043140181004</f>
        <v>-867.83418655007301</v>
      </c>
      <c r="R2527">
        <f>-691.708756374304 -30.8176799895816 -81.4834056672644</f>
        <v>-804.00984203115001</v>
      </c>
      <c r="S2527" t="s">
        <v>27098</v>
      </c>
      <c r="T2527" t="s">
        <v>27099</v>
      </c>
      <c r="U2527" t="s">
        <v>27100</v>
      </c>
      <c r="V2527">
        <f>-578.990214556286 -194.356917731016 -89.4720476864435</f>
        <v>-862.81917997374546</v>
      </c>
      <c r="W2527" t="s">
        <v>27101</v>
      </c>
      <c r="X2527" t="s">
        <v>27102</v>
      </c>
      <c r="Y2527" t="s">
        <v>27103</v>
      </c>
    </row>
    <row r="2528" spans="1:25" x14ac:dyDescent="0.3">
      <c r="A2528">
        <v>126350</v>
      </c>
      <c r="B2528" t="s">
        <v>27104</v>
      </c>
      <c r="C2528">
        <f>-635.03048899484 -112.025700387162 -84.6855576528155</f>
        <v>-831.74174703481754</v>
      </c>
      <c r="D2528">
        <f>-661.514859330213 -124.650280408352 -196.736533172504</f>
        <v>-982.901672911069</v>
      </c>
      <c r="E2528">
        <f>-677.803109328415 -120.318687572715 -293.90943317907</f>
        <v>-1092.0312300802</v>
      </c>
      <c r="F2528">
        <f>-690.296433589823 -110.712139805658 -381.601351521439</f>
        <v>-1182.6099249169201</v>
      </c>
      <c r="G2528">
        <f>-700.184914753206 -95.2744692187184 -468.791720446906</f>
        <v>-1264.2511044188304</v>
      </c>
      <c r="H2528">
        <f>-711.204866740038 -67.6557469808239 -589.77339367234</f>
        <v>-1368.634007393202</v>
      </c>
      <c r="I2528">
        <f>-697.016780916924 -37.9755544928955 -666.080761710238</f>
        <v>-1401.0730971200574</v>
      </c>
      <c r="J2528">
        <f>-720.946260798268 -57.1670200895971 -530.037406219718</f>
        <v>-1308.1506871075831</v>
      </c>
      <c r="K2528" t="s">
        <v>27105</v>
      </c>
      <c r="L2528" t="s">
        <v>27106</v>
      </c>
      <c r="M2528" t="s">
        <v>27107</v>
      </c>
      <c r="N2528">
        <f>-691.764824554639 -102.451787704666 -543.033391338605</f>
        <v>-1337.2500035979101</v>
      </c>
      <c r="O2528">
        <f>-616.429973556875 -217.401744363611 -545.816624084672</f>
        <v>-1379.6483420051579</v>
      </c>
      <c r="P2528">
        <f>-556.165711770677 -326.813296949058 -279.37985149912</f>
        <v>-1162.3588602188549</v>
      </c>
      <c r="Q2528">
        <f>-476.440641812559 -99.7725620275384 -291.51610655191</f>
        <v>-867.72931039200739</v>
      </c>
      <c r="R2528">
        <f>-691.554101143524 -30.3292182444297 -81.5314626952315</f>
        <v>-803.41478208318529</v>
      </c>
      <c r="S2528" t="s">
        <v>27108</v>
      </c>
      <c r="T2528" t="s">
        <v>27109</v>
      </c>
      <c r="U2528" t="s">
        <v>27110</v>
      </c>
      <c r="V2528">
        <f>-578.764867825316 -193.969179397982 -89.8365040809981</f>
        <v>-862.57055130429603</v>
      </c>
      <c r="W2528" t="s">
        <v>27111</v>
      </c>
      <c r="X2528" t="s">
        <v>27112</v>
      </c>
      <c r="Y2528" t="s">
        <v>27113</v>
      </c>
    </row>
    <row r="2529" spans="1:25" x14ac:dyDescent="0.3">
      <c r="A2529">
        <v>126400</v>
      </c>
      <c r="B2529" t="s">
        <v>27114</v>
      </c>
      <c r="C2529">
        <f>-634.515975021201 -110.657904354345 -85.0482445597427</f>
        <v>-830.22212393528866</v>
      </c>
      <c r="D2529">
        <f>-661.07166955915 -122.901780399485 -197.124471014247</f>
        <v>-981.09792097288198</v>
      </c>
      <c r="E2529">
        <f>-677.45071676937 -118.283466908894 -294.269064180296</f>
        <v>-1090.0032478585599</v>
      </c>
      <c r="F2529">
        <f>-690.034142873286 -108.437071333939 -381.921414674244</f>
        <v>-1180.3926288814689</v>
      </c>
      <c r="G2529">
        <f>-700.018031086231 -92.780506296443 -469.061866544945</f>
        <v>-1261.860403927619</v>
      </c>
      <c r="H2529">
        <f>-711.174516816964 -64.8794556907326 -589.966243448103</f>
        <v>-1366.0202159557996</v>
      </c>
      <c r="I2529">
        <f>-697.184306716098 -35.1099434576895 -666.275353311181</f>
        <v>-1398.5696034849684</v>
      </c>
      <c r="J2529">
        <f>-720.814557704857 -54.5088692449028 -530.193037298261</f>
        <v>-1305.5164642480208</v>
      </c>
      <c r="K2529" t="s">
        <v>27115</v>
      </c>
      <c r="L2529" t="s">
        <v>27116</v>
      </c>
      <c r="M2529" t="s">
        <v>27117</v>
      </c>
      <c r="N2529">
        <f>-691.715651370255 -99.8057383059869 -543.331238773638</f>
        <v>-1334.8526284498798</v>
      </c>
      <c r="O2529">
        <f>-616.407753732405 -214.769006198114 -546.470706816974</f>
        <v>-1377.6474667474931</v>
      </c>
      <c r="P2529">
        <f>-557.105763215506 -325.612262051502 -280.410098469293</f>
        <v>-1163.1281237363009</v>
      </c>
      <c r="Q2529">
        <f>-477.627326870287 -98.3971321498885 -290.771221361904</f>
        <v>-866.79568038207958</v>
      </c>
      <c r="R2529">
        <f>-691.088032788985 -28.9420283627037 -81.5827733667818</f>
        <v>-801.61283451847044</v>
      </c>
      <c r="S2529" t="s">
        <v>27118</v>
      </c>
      <c r="T2529" t="s">
        <v>27119</v>
      </c>
      <c r="U2529" t="s">
        <v>27120</v>
      </c>
      <c r="V2529">
        <f>-578.1587619935 -192.523761563909 -90.5400401788145</f>
        <v>-861.22256373622349</v>
      </c>
      <c r="W2529" t="s">
        <v>27121</v>
      </c>
      <c r="X2529" t="s">
        <v>27122</v>
      </c>
      <c r="Y2529" t="s">
        <v>27123</v>
      </c>
    </row>
    <row r="2530" spans="1:25" x14ac:dyDescent="0.3">
      <c r="A2530">
        <v>126450</v>
      </c>
      <c r="B2530" t="s">
        <v>27124</v>
      </c>
      <c r="C2530">
        <f>-634.281481462615 -109.792390046219 -85.1767174710923</f>
        <v>-829.25058897992631</v>
      </c>
      <c r="D2530">
        <f>-660.878723656774 -121.833853089823 -197.265047267287</f>
        <v>-979.977624013884</v>
      </c>
      <c r="E2530">
        <f>-677.277046480842 -117.095631034814 -294.400531280518</f>
        <v>-1088.773208796174</v>
      </c>
      <c r="F2530">
        <f>-689.871240075545 -107.163265433933 -382.041775228026</f>
        <v>-1179.076280737504</v>
      </c>
      <c r="G2530">
        <f>-699.858561009747 -91.4438075915854 -469.170324756786</f>
        <v>-1260.4726933581182</v>
      </c>
      <c r="H2530">
        <f>-711.011905124695 -63.4790707200614 -590.060360426276</f>
        <v>-1364.5513362710324</v>
      </c>
      <c r="I2530">
        <f>-697.035689708163 -33.7312501895722 -666.380425491626</f>
        <v>-1397.1473653893613</v>
      </c>
      <c r="J2530">
        <f>-720.627770082717 -53.1239742723546 -530.280534391106</f>
        <v>-1304.0322787461778</v>
      </c>
      <c r="K2530" t="s">
        <v>27125</v>
      </c>
      <c r="L2530" t="s">
        <v>27126</v>
      </c>
      <c r="M2530" t="s">
        <v>27127</v>
      </c>
      <c r="N2530">
        <f>-691.579970435489 -98.4460048487322 -543.444681852863</f>
        <v>-1333.4706571370843</v>
      </c>
      <c r="O2530">
        <f>-616.370174881567 -213.474962792299 -546.710096529399</f>
        <v>-1376.5552342032652</v>
      </c>
      <c r="P2530">
        <f>-557.380955018175 -324.960631166173 -280.848422911525</f>
        <v>-1163.1900090958729</v>
      </c>
      <c r="Q2530">
        <f>-477.639033066743 -97.8064007013797 -290.495297486644</f>
        <v>-865.94073125476666</v>
      </c>
      <c r="R2530">
        <f>-690.784461765127 -28.0583678539922 -81.5693183314976</f>
        <v>-800.41214795061683</v>
      </c>
      <c r="S2530" t="s">
        <v>27128</v>
      </c>
      <c r="T2530" t="s">
        <v>27129</v>
      </c>
      <c r="U2530" t="s">
        <v>27130</v>
      </c>
      <c r="V2530">
        <f>-578.023082373667 -191.720247086879 -90.7817570047049</f>
        <v>-860.52508646525087</v>
      </c>
      <c r="W2530" t="s">
        <v>27131</v>
      </c>
      <c r="X2530" t="s">
        <v>27132</v>
      </c>
      <c r="Y2530" t="s">
        <v>27133</v>
      </c>
    </row>
    <row r="2531" spans="1:25" x14ac:dyDescent="0.3">
      <c r="A2531">
        <v>126500</v>
      </c>
      <c r="B2531" t="s">
        <v>27134</v>
      </c>
      <c r="C2531">
        <f>-633.850615498758 -107.718677171778 -85.3796674363539</f>
        <v>-826.9489601068899</v>
      </c>
      <c r="D2531">
        <f>-660.540421914026 -119.424241067873 -197.481576620405</f>
        <v>-977.44623960230399</v>
      </c>
      <c r="E2531">
        <f>-676.984037725976 -114.469401264177 -294.598773493066</f>
        <v>-1086.0522124832191</v>
      </c>
      <c r="F2531">
        <f>-689.606255583113 -104.370690306912 -382.216830111472</f>
        <v>-1176.1937760014971</v>
      </c>
      <c r="G2531">
        <f>-699.608465608106 -88.5152816205592 -469.319099122809</f>
        <v>-1257.4428463514741</v>
      </c>
      <c r="H2531">
        <f>-710.768870387831 -60.3929070241413 -590.171805671701</f>
        <v>-1361.3335830836734</v>
      </c>
      <c r="I2531">
        <f>-696.681618819537 -30.6944572009095 -666.490879932805</f>
        <v>-1393.8669559532514</v>
      </c>
      <c r="J2531">
        <f>-720.337268978195 -50.0882988846531 -530.375666879297</f>
        <v>-1300.801234742145</v>
      </c>
      <c r="K2531" t="s">
        <v>27135</v>
      </c>
      <c r="L2531" t="s">
        <v>27136</v>
      </c>
      <c r="M2531" t="s">
        <v>27137</v>
      </c>
      <c r="N2531">
        <f>-691.378162335186 -95.4480556397301 -543.605315287731</f>
        <v>-1330.431533262647</v>
      </c>
      <c r="O2531">
        <f>-616.473667466658 -210.669726164085 -547.134052685471</f>
        <v>-1374.2774463162141</v>
      </c>
      <c r="P2531">
        <f>-557.84367808096 -323.174447680749 -281.622507963848</f>
        <v>-1162.6406337255569</v>
      </c>
      <c r="Q2531">
        <f>-477.138310022361 -96.3117247754176 -290.037954179354</f>
        <v>-863.48798897713255</v>
      </c>
      <c r="R2531">
        <f>-690.208404154242 -25.9680575137058 -81.5478018925385</f>
        <v>-797.72426356048629</v>
      </c>
      <c r="S2531" t="s">
        <v>27138</v>
      </c>
      <c r="T2531" t="s">
        <v>27139</v>
      </c>
      <c r="U2531" t="s">
        <v>27140</v>
      </c>
      <c r="V2531">
        <f>-577.728756884238 -189.639885043031 -91.2424822669814</f>
        <v>-858.61112419425035</v>
      </c>
      <c r="W2531" t="s">
        <v>27141</v>
      </c>
      <c r="X2531" t="s">
        <v>27142</v>
      </c>
      <c r="Y2531" t="s">
        <v>27143</v>
      </c>
    </row>
    <row r="2532" spans="1:25" x14ac:dyDescent="0.3">
      <c r="A2532">
        <v>126550</v>
      </c>
      <c r="B2532" t="s">
        <v>27144</v>
      </c>
      <c r="C2532">
        <f>-633.7472850223 -106.385815513545 -85.461267545332</f>
        <v>-825.59436808117709</v>
      </c>
      <c r="D2532">
        <f>-660.46262773636 -117.943603848005 -197.572489737982</f>
        <v>-975.97872132234693</v>
      </c>
      <c r="E2532">
        <f>-676.906769549585 -112.89330303129 -294.684545594175</f>
        <v>-1084.4846181750499</v>
      </c>
      <c r="F2532">
        <f>-689.520955940346 -102.721283056343 -382.29538671877</f>
        <v>-1174.5376257154589</v>
      </c>
      <c r="G2532">
        <f>-699.506179242215 -86.806245333592 -469.38870866041</f>
        <v>-1255.7011332362169</v>
      </c>
      <c r="H2532">
        <f>-710.633276113047 -58.6149814680609 -590.228499439823</f>
        <v>-1359.476757020931</v>
      </c>
      <c r="I2532">
        <f>-696.435578521004 -28.9342439783045 -666.533773018277</f>
        <v>-1391.9035955175855</v>
      </c>
      <c r="J2532">
        <f>-720.188933626432 -48.3262476474232 -530.427653259882</f>
        <v>-1298.9428345337374</v>
      </c>
      <c r="K2532" t="s">
        <v>27145</v>
      </c>
      <c r="L2532" t="s">
        <v>27146</v>
      </c>
      <c r="M2532" t="s">
        <v>27147</v>
      </c>
      <c r="N2532">
        <f>-691.284675081471 -93.714934244019 -543.678015499854</f>
        <v>-1328.6776248253441</v>
      </c>
      <c r="O2532">
        <f>-616.596982709702 -209.06880837561 -547.316787065168</f>
        <v>-1372.9825781504801</v>
      </c>
      <c r="P2532">
        <f>-558.172075856193 -322.045752431142 -281.960534227315</f>
        <v>-1162.17836251465</v>
      </c>
      <c r="Q2532">
        <f>-476.880075405297 -95.3768978250258 -289.943952132529</f>
        <v>-862.20092536285188</v>
      </c>
      <c r="R2532">
        <f>-690.089842258033 -24.6306210990811 -81.542747466922</f>
        <v>-796.26321082403604</v>
      </c>
      <c r="S2532" t="s">
        <v>27148</v>
      </c>
      <c r="T2532" t="s">
        <v>27149</v>
      </c>
      <c r="U2532" t="s">
        <v>27150</v>
      </c>
      <c r="V2532">
        <f>-577.712079549971 -188.273042256876 -91.4117482970557</f>
        <v>-857.39687010390276</v>
      </c>
      <c r="W2532" t="s">
        <v>27151</v>
      </c>
      <c r="X2532" t="s">
        <v>27152</v>
      </c>
      <c r="Y2532" t="s">
        <v>27153</v>
      </c>
    </row>
    <row r="2533" spans="1:25" x14ac:dyDescent="0.3">
      <c r="A2533">
        <v>126600</v>
      </c>
      <c r="B2533" t="s">
        <v>27154</v>
      </c>
      <c r="C2533">
        <f>-633.503842676827 -104.006763517266 -85.6373873434504</f>
        <v>-823.14799353754347</v>
      </c>
      <c r="D2533">
        <f>-660.213933437037 -115.244967782618 -197.782436119979</f>
        <v>-973.24133733963401</v>
      </c>
      <c r="E2533">
        <f>-676.603253972509 -110.006733458878 -294.893664569696</f>
        <v>-1081.5036520010831</v>
      </c>
      <c r="F2533">
        <f>-689.150075397383 -99.6989679807242 -382.498321868143</f>
        <v>-1171.3473652462503</v>
      </c>
      <c r="G2533">
        <f>-699.050400074371 -83.6836846390873 -469.583006761765</f>
        <v>-1252.3170914752234</v>
      </c>
      <c r="H2533">
        <f>-710.041132516855 -55.3895171534678 -590.411136477258</f>
        <v>-1355.8417861475807</v>
      </c>
      <c r="I2533">
        <f>-695.502645678618 -25.7199874960015 -666.656690672195</f>
        <v>-1387.8793238468147</v>
      </c>
      <c r="J2533">
        <f>-719.587936127182 -45.1044405706847 -530.608311132533</f>
        <v>-1295.3006878303997</v>
      </c>
      <c r="K2533" t="s">
        <v>27155</v>
      </c>
      <c r="L2533" t="s">
        <v>27156</v>
      </c>
      <c r="M2533" t="s">
        <v>27157</v>
      </c>
      <c r="N2533">
        <f>-690.821397990729 -90.5763475113247 -543.872966828188</f>
        <v>-1325.2707123302416</v>
      </c>
      <c r="O2533">
        <f>-616.589221008334 -206.223409092183 -547.605102848126</f>
        <v>-1370.4177329486429</v>
      </c>
      <c r="P2533">
        <f>-559.062200414632 -320.024788810822 -282.405057314178</f>
        <v>-1161.4920465396319</v>
      </c>
      <c r="Q2533">
        <f>-476.717773692635 -93.7186099000588 -289.874033724001</f>
        <v>-860.31041731669484</v>
      </c>
      <c r="R2533">
        <f>-689.656307650868 -22.0556211693033 -81.5656539698361</f>
        <v>-793.2775827900075</v>
      </c>
      <c r="S2533" t="s">
        <v>27158</v>
      </c>
      <c r="T2533" t="s">
        <v>27159</v>
      </c>
      <c r="U2533" t="s">
        <v>27160</v>
      </c>
      <c r="V2533">
        <f>-577.594804562749 -186.226964644006 -91.7689269016032</f>
        <v>-855.5906961083582</v>
      </c>
      <c r="W2533" t="s">
        <v>27161</v>
      </c>
      <c r="X2533" t="s">
        <v>27162</v>
      </c>
      <c r="Y2533" t="s">
        <v>27163</v>
      </c>
    </row>
    <row r="2534" spans="1:25" x14ac:dyDescent="0.3">
      <c r="A2534">
        <v>126650</v>
      </c>
      <c r="B2534" t="s">
        <v>27164</v>
      </c>
      <c r="C2534">
        <f>-633.439518815466 -102.73928375281 -85.752132880721</f>
        <v>-821.93093544899705</v>
      </c>
      <c r="D2534">
        <f>-660.153181946887 -113.795387709866 -197.914270231286</f>
        <v>-971.86283988803893</v>
      </c>
      <c r="E2534">
        <f>-676.509372158586 -108.489674555559 -295.027570556892</f>
        <v>-1080.0266172710369</v>
      </c>
      <c r="F2534">
        <f>-689.013876819588 -98.1556567241347 -382.635080472828</f>
        <v>-1169.8046140165507</v>
      </c>
      <c r="G2534">
        <f>-698.859914365587 -82.1493359641886 -469.727552554956</f>
        <v>-1250.7368028847316</v>
      </c>
      <c r="H2534">
        <f>-709.762913786961 -53.904192962248 -590.575267351935</f>
        <v>-1354.2423741011439</v>
      </c>
      <c r="I2534">
        <f>-694.995872783389 -24.2664656164663 -666.789177822933</f>
        <v>-1386.0515162227885</v>
      </c>
      <c r="J2534">
        <f>-719.302319012657 -43.5635247033674 -530.780655423205</f>
        <v>-1293.6464991392295</v>
      </c>
      <c r="K2534" t="s">
        <v>27165</v>
      </c>
      <c r="L2534" t="s">
        <v>27166</v>
      </c>
      <c r="M2534" t="s">
        <v>27167</v>
      </c>
      <c r="N2534">
        <f>-690.62781610776 -89.1035228379094 -544.011598169837</f>
        <v>-1323.7429371155065</v>
      </c>
      <c r="O2534">
        <f>-616.667077432362 -204.912192875239 -547.722729011353</f>
        <v>-1369.3019993189541</v>
      </c>
      <c r="P2534">
        <f>-559.673495424932 -319.023262071176 -282.540591005302</f>
        <v>-1161.23734850141</v>
      </c>
      <c r="Q2534">
        <f>-476.852175812425 -92.8870159915722 -289.880963561103</f>
        <v>-859.62015536510012</v>
      </c>
      <c r="R2534">
        <f>-689.491867546688 -20.6132069073713 -81.5968379377283</f>
        <v>-791.70191239178757</v>
      </c>
      <c r="S2534" t="s">
        <v>27168</v>
      </c>
      <c r="T2534" t="s">
        <v>27169</v>
      </c>
      <c r="U2534" t="s">
        <v>27170</v>
      </c>
      <c r="V2534">
        <f>-577.716956029932 -185.015887877572 -91.9630780449388</f>
        <v>-854.69592195244286</v>
      </c>
      <c r="W2534" t="s">
        <v>27171</v>
      </c>
      <c r="X2534" t="s">
        <v>27172</v>
      </c>
      <c r="Y2534" t="s">
        <v>27173</v>
      </c>
    </row>
    <row r="2535" spans="1:25" x14ac:dyDescent="0.3">
      <c r="A2535">
        <v>126700</v>
      </c>
      <c r="B2535" t="s">
        <v>27174</v>
      </c>
      <c r="C2535">
        <f>-633.303925242677 -100.219401701477 -85.8495429343197</f>
        <v>-819.37286987847369</v>
      </c>
      <c r="D2535">
        <f>-660.117488197344 -111.066974962887 -198.008270804371</f>
        <v>-969.19273396460198</v>
      </c>
      <c r="E2535">
        <f>-676.431871506341 -105.717335173042 -295.12618139264</f>
        <v>-1077.2753880720229</v>
      </c>
      <c r="F2535">
        <f>-688.84911038755 -95.3971437318561 -382.747765906373</f>
        <v>-1166.994020025779</v>
      </c>
      <c r="G2535">
        <f>-698.557752011268 -79.4594241372705 -469.868167012102</f>
        <v>-1247.8853431606406</v>
      </c>
      <c r="H2535">
        <f>-709.21644880319 -51.3676898001811 -590.77345556526</f>
        <v>-1351.3575941686311</v>
      </c>
      <c r="I2535">
        <f>-693.899885422508 -21.7872665696407 -666.901192624434</f>
        <v>-1382.5883446165826</v>
      </c>
      <c r="J2535">
        <f>-718.766375196449 -40.8837449521254 -531.00543248113</f>
        <v>-1290.6555526297043</v>
      </c>
      <c r="K2535" t="s">
        <v>27175</v>
      </c>
      <c r="L2535" t="s">
        <v>27176</v>
      </c>
      <c r="M2535" t="s">
        <v>27177</v>
      </c>
      <c r="N2535">
        <f>-690.285793703306 -86.5751919830794 -544.132433344405</f>
        <v>-1320.9934190307904</v>
      </c>
      <c r="O2535">
        <f>-616.913777028592 -202.765600205053 -547.746351889325</f>
        <v>-1367.4257291229701</v>
      </c>
      <c r="P2535">
        <f>-561.029726084513 -317.533396119288 -282.611311054824</f>
        <v>-1161.174433258625</v>
      </c>
      <c r="Q2535">
        <f>-477.325822624441 -91.7173169981467 -289.797178072539</f>
        <v>-858.84031769512671</v>
      </c>
      <c r="R2535">
        <f>-688.993533817569 -18.0696421308496 -81.6075569913565</f>
        <v>-788.67073293977512</v>
      </c>
      <c r="S2535" t="s">
        <v>27178</v>
      </c>
      <c r="T2535" t="s">
        <v>27179</v>
      </c>
      <c r="U2535" t="s">
        <v>27180</v>
      </c>
      <c r="V2535">
        <f>-577.89505201321 -182.577664325324 -92.1994047240534</f>
        <v>-852.67212106258739</v>
      </c>
      <c r="W2535" t="s">
        <v>27181</v>
      </c>
      <c r="X2535" t="s">
        <v>27182</v>
      </c>
      <c r="Y2535" t="s">
        <v>27183</v>
      </c>
    </row>
    <row r="2536" spans="1:25" x14ac:dyDescent="0.3">
      <c r="A2536">
        <v>126750</v>
      </c>
      <c r="B2536" t="s">
        <v>27184</v>
      </c>
      <c r="C2536">
        <f>-633.231254338481 -99.0703662681877 -85.8500150711478</f>
        <v>-818.15163567781656</v>
      </c>
      <c r="D2536">
        <f>-660.106216313861 -109.862885781484 -197.999449900133</f>
        <v>-967.96855199547792</v>
      </c>
      <c r="E2536">
        <f>-676.410953069608 -104.516705368065 -295.119079285784</f>
        <v>-1076.046737723457</v>
      </c>
      <c r="F2536">
        <f>-688.794271330748 -94.2196862067397 -382.748247709652</f>
        <v>-1165.7622052471397</v>
      </c>
      <c r="G2536">
        <f>-698.442898422933 -78.3262025419112 -469.883472446199</f>
        <v>-1246.6525734110432</v>
      </c>
      <c r="H2536">
        <f>-708.989952126198 -50.3185563823503 -590.81785570613</f>
        <v>-1350.1263642146782</v>
      </c>
      <c r="I2536">
        <f>-693.370027562382 -20.7668253116744 -666.895012844583</f>
        <v>-1381.0318657186394</v>
      </c>
      <c r="J2536">
        <f>-718.531614637963 -39.7546046467887 -531.062704288042</f>
        <v>-1289.3489235727939</v>
      </c>
      <c r="K2536" t="s">
        <v>27185</v>
      </c>
      <c r="L2536" t="s">
        <v>27186</v>
      </c>
      <c r="M2536" t="s">
        <v>27187</v>
      </c>
      <c r="N2536">
        <f>-690.165839880499 -85.5320850339149 -544.1383862264</f>
        <v>-1319.8363111408139</v>
      </c>
      <c r="O2536">
        <f>-617.093543368259 -201.918657573118 -547.70820824826</f>
        <v>-1366.7204091896369</v>
      </c>
      <c r="P2536">
        <f>-561.784895696751 -316.879920024312 -282.536364697998</f>
        <v>-1161.2011804190611</v>
      </c>
      <c r="Q2536">
        <f>-477.465881710277 -91.2919759502452 -289.695759060473</f>
        <v>-858.45361672099511</v>
      </c>
      <c r="R2536">
        <f>-688.765960865142 -16.7591747056963 -81.5790178171254</f>
        <v>-787.10415338796372</v>
      </c>
      <c r="S2536" t="s">
        <v>27188</v>
      </c>
      <c r="T2536" t="s">
        <v>27189</v>
      </c>
      <c r="U2536" t="s">
        <v>27190</v>
      </c>
      <c r="V2536">
        <f>-578.020211392936 -181.563907946352 -92.211409966258</f>
        <v>-851.79552930554598</v>
      </c>
      <c r="W2536" t="s">
        <v>27191</v>
      </c>
      <c r="X2536" t="s">
        <v>27192</v>
      </c>
      <c r="Y2536" t="s">
        <v>27193</v>
      </c>
    </row>
    <row r="2537" spans="1:25" x14ac:dyDescent="0.3">
      <c r="A2537">
        <v>126800</v>
      </c>
      <c r="B2537" t="s">
        <v>27194</v>
      </c>
      <c r="C2537">
        <f>-633.06983215592 -97.1205771754589 -85.8766798154542</f>
        <v>-816.06708914683315</v>
      </c>
      <c r="D2537">
        <f>-660.053163281304 -107.806988950776 -198.010195452062</f>
        <v>-965.87034768414208</v>
      </c>
      <c r="E2537">
        <f>-676.356450550991 -102.461148073356 -295.130111559844</f>
        <v>-1073.947710184191</v>
      </c>
      <c r="F2537">
        <f>-688.700004885763 -92.2001060445991 -382.769076920761</f>
        <v>-1163.6691878511231</v>
      </c>
      <c r="G2537">
        <f>-698.268267290879 -76.3808603534794 -469.926679188763</f>
        <v>-1244.5758068331213</v>
      </c>
      <c r="H2537">
        <f>-708.659284734525 -48.5173817428318 -590.907957960923</f>
        <v>-1348.0846244382799</v>
      </c>
      <c r="I2537">
        <f>-692.44103499134 -18.9979191679574 -666.872423399681</f>
        <v>-1378.3113775589784</v>
      </c>
      <c r="J2537">
        <f>-718.12703223787 -37.7915812342014 -531.169847981929</f>
        <v>-1287.0884614540005</v>
      </c>
      <c r="K2537" t="s">
        <v>27195</v>
      </c>
      <c r="L2537" t="s">
        <v>27196</v>
      </c>
      <c r="M2537" t="s">
        <v>27197</v>
      </c>
      <c r="N2537">
        <f>-690.046289930234 -83.7658152551323 -544.17016513448</f>
        <v>-1317.9822703198465</v>
      </c>
      <c r="O2537">
        <f>-617.679090140909 -200.605244356248 -547.677292064304</f>
        <v>-1365.9616265614609</v>
      </c>
      <c r="P2537">
        <f>-563.329251771268 -315.785725446048 -282.402326439316</f>
        <v>-1161.5173036566321</v>
      </c>
      <c r="Q2537">
        <f>-478.155087367111 -90.5118108118331 -289.324056400892</f>
        <v>-857.99095457983606</v>
      </c>
      <c r="R2537">
        <f>-688.141682901486 -14.6891748343157 -81.5328491783622</f>
        <v>-784.36370691416391</v>
      </c>
      <c r="S2537" t="s">
        <v>27198</v>
      </c>
      <c r="T2537" t="s">
        <v>27199</v>
      </c>
      <c r="U2537" t="s">
        <v>27200</v>
      </c>
      <c r="V2537">
        <f>-578.318866912756 -179.743604551583 -92.2622728252403</f>
        <v>-850.32474428957926</v>
      </c>
      <c r="W2537" t="s">
        <v>27201</v>
      </c>
      <c r="X2537" t="s">
        <v>27202</v>
      </c>
      <c r="Y2537" t="s">
        <v>27203</v>
      </c>
    </row>
    <row r="2538" spans="1:25" x14ac:dyDescent="0.3">
      <c r="A2538">
        <v>126850</v>
      </c>
      <c r="B2538" t="s">
        <v>27204</v>
      </c>
      <c r="C2538">
        <f>-633.175132211565 -96.0763690333551 -85.8844409625386</f>
        <v>-815.13594220745881</v>
      </c>
      <c r="D2538">
        <f>-660.195164288135 -106.694317906448 -198.015657521963</f>
        <v>-964.90513971654593</v>
      </c>
      <c r="E2538">
        <f>-676.493464653719 -101.328227645341 -295.135264767416</f>
        <v>-1072.956957066476</v>
      </c>
      <c r="F2538">
        <f>-688.818037941818 -91.0638730096288 -382.776562596279</f>
        <v>-1162.6584735477259</v>
      </c>
      <c r="G2538">
        <f>-698.35170320445 -75.2575783429209 -469.940311400966</f>
        <v>-1243.5495929483368</v>
      </c>
      <c r="H2538">
        <f>-708.67748027834 -47.4293047135621 -590.935228518006</f>
        <v>-1347.0420135099082</v>
      </c>
      <c r="I2538">
        <f>-692.177342130445 -17.9051016280216 -666.837083954465</f>
        <v>-1376.9195277129315</v>
      </c>
      <c r="J2538">
        <f>-718.094654327896 -36.6368906082193 -531.201244972752</f>
        <v>-1285.9327899088673</v>
      </c>
      <c r="K2538" t="s">
        <v>27205</v>
      </c>
      <c r="L2538" t="s">
        <v>27206</v>
      </c>
      <c r="M2538" t="s">
        <v>27207</v>
      </c>
      <c r="N2538">
        <f>-690.172623387427 -82.7133641926644 -544.181424528487</f>
        <v>-1317.0674121085785</v>
      </c>
      <c r="O2538">
        <f>-618.238935397439 -199.814413845163 -547.668238557689</f>
        <v>-1365.7215878002912</v>
      </c>
      <c r="P2538">
        <f>-564.349927920611 -315.146013156223 -282.365050729425</f>
        <v>-1161.8609918062589</v>
      </c>
      <c r="Q2538">
        <f>-478.532456676657 -90.1116886074763 -289.128691446955</f>
        <v>-857.77283673108832</v>
      </c>
      <c r="R2538">
        <f>-688.104740352046 -13.4675705232548 -81.5175332596408</f>
        <v>-783.08984413494159</v>
      </c>
      <c r="S2538" t="s">
        <v>27208</v>
      </c>
      <c r="T2538" t="s">
        <v>27209</v>
      </c>
      <c r="U2538" t="s">
        <v>27210</v>
      </c>
      <c r="V2538">
        <f>-578.626948245806 -178.805039632579 -92.2771692168243</f>
        <v>-849.70915709520932</v>
      </c>
      <c r="W2538" t="s">
        <v>27211</v>
      </c>
      <c r="X2538" t="s">
        <v>27212</v>
      </c>
      <c r="Y2538" t="s">
        <v>27213</v>
      </c>
    </row>
    <row r="2539" spans="1:25" x14ac:dyDescent="0.3">
      <c r="A2539">
        <v>126900</v>
      </c>
      <c r="B2539" t="s">
        <v>27214</v>
      </c>
      <c r="C2539">
        <f>-633.302355752118 -94.4332192542915 -85.8907848911005</f>
        <v>-813.62635989751004</v>
      </c>
      <c r="D2539">
        <f>-660.380616718303 -104.87190182588 -198.024709618297</f>
        <v>-963.27722816248001</v>
      </c>
      <c r="E2539">
        <f>-676.618952241626 -99.4050012241074 -295.14875100577</f>
        <v>-1071.1727044715035</v>
      </c>
      <c r="F2539">
        <f>-688.84563073121 -89.069573486798 -382.79544893521</f>
        <v>-1160.7106531532181</v>
      </c>
      <c r="G2539">
        <f>-698.235238218241 -73.2155736188676 -469.966006970805</f>
        <v>-1241.4168188079134</v>
      </c>
      <c r="H2539">
        <f>-708.310552481183 -45.3464674594011 -590.972749771349</f>
        <v>-1344.629769711933</v>
      </c>
      <c r="I2539">
        <f>-691.234864431724 -15.7970716788 -666.737473300343</f>
        <v>-1373.769409410867</v>
      </c>
      <c r="J2539">
        <f>-717.659552400051 -34.4618006684441 -531.244744483669</f>
        <v>-1283.3660975521641</v>
      </c>
      <c r="K2539" t="s">
        <v>27215</v>
      </c>
      <c r="L2539" t="s">
        <v>27216</v>
      </c>
      <c r="M2539" t="s">
        <v>27217</v>
      </c>
      <c r="N2539">
        <f>-690.09436028692 -80.7587745913197 -544.202673784372</f>
        <v>-1315.0558086626118</v>
      </c>
      <c r="O2539">
        <f>-619.149880110975 -198.452784501462 -547.707402246373</f>
        <v>-1365.3100668588099</v>
      </c>
      <c r="P2539">
        <f>-566.316091633032 -314.299084843343 -282.416234584737</f>
        <v>-1163.0314110611121</v>
      </c>
      <c r="Q2539">
        <f>-478.772649555497 -89.9292670916711 -289.138436113844</f>
        <v>-857.84035276101213</v>
      </c>
      <c r="R2539">
        <f>-687.632549921969 -11.6790842385367 -81.50670640822</f>
        <v>-780.81834056872572</v>
      </c>
      <c r="S2539" t="s">
        <v>27218</v>
      </c>
      <c r="T2539" t="s">
        <v>27219</v>
      </c>
      <c r="U2539" t="s">
        <v>27220</v>
      </c>
      <c r="V2539">
        <f>-579.221194920755 -177.375584855032 -92.2861082113774</f>
        <v>-848.88288798716439</v>
      </c>
      <c r="W2539" t="s">
        <v>27221</v>
      </c>
      <c r="X2539" t="s">
        <v>27222</v>
      </c>
      <c r="Y2539" t="s">
        <v>27223</v>
      </c>
    </row>
    <row r="2540" spans="1:25" x14ac:dyDescent="0.3">
      <c r="A2540">
        <v>126950</v>
      </c>
      <c r="B2540" t="s">
        <v>27224</v>
      </c>
      <c r="C2540">
        <f>-633.147405535838 -93.8530744175688 -85.8864754351604</f>
        <v>-812.88695538856712</v>
      </c>
      <c r="D2540">
        <f>-660.268759569432 -104.203028752607 -198.018311359742</f>
        <v>-962.49009968178098</v>
      </c>
      <c r="E2540">
        <f>-676.476879812429 -98.6777465905742 -295.144100679812</f>
        <v>-1070.2987270828153</v>
      </c>
      <c r="F2540">
        <f>-688.649333232992 -88.2959307188264 -382.792726173925</f>
        <v>-1159.7379901257434</v>
      </c>
      <c r="G2540">
        <f>-697.956903466933 -72.4038784568181 -469.965247020088</f>
        <v>-1240.326028943839</v>
      </c>
      <c r="H2540">
        <f>-707.887763036689 -44.4911633253855 -590.973825676471</f>
        <v>-1343.3527520385455</v>
      </c>
      <c r="I2540">
        <f>-690.524750390846 -14.9437940928406 -666.673886878641</f>
        <v>-1372.1424313623274</v>
      </c>
      <c r="J2540">
        <f>-717.203452128868 -33.5674753833725 -531.247814762928</f>
        <v>-1282.0187422751685</v>
      </c>
      <c r="K2540" t="s">
        <v>27225</v>
      </c>
      <c r="L2540" t="s">
        <v>27226</v>
      </c>
      <c r="M2540" t="s">
        <v>27227</v>
      </c>
      <c r="N2540">
        <f>-689.831893129859 -79.9807530627747 -544.200170789379</f>
        <v>-1314.0128169820127</v>
      </c>
      <c r="O2540">
        <f>-619.448111443906 -198.011616747632 -547.74513861735</f>
        <v>-1365.204866808888</v>
      </c>
      <c r="P2540">
        <f>-567.055038655017 -314.148380557006 -282.49342625008</f>
        <v>-1163.6968454621031</v>
      </c>
      <c r="Q2540">
        <f>-478.460782643143 -90.188614162552 -289.123453297188</f>
        <v>-857.77285010288301</v>
      </c>
      <c r="R2540">
        <f>-687.187504734839 -11.0273363201486 -81.4947325936606</f>
        <v>-779.70957364864819</v>
      </c>
      <c r="S2540" t="s">
        <v>27228</v>
      </c>
      <c r="T2540" t="s">
        <v>27229</v>
      </c>
      <c r="U2540" t="s">
        <v>27230</v>
      </c>
      <c r="V2540">
        <f>-579.260696197385 -176.925102333993 -92.3420318706577</f>
        <v>-848.52783040203565</v>
      </c>
      <c r="W2540" t="s">
        <v>27231</v>
      </c>
      <c r="X2540" t="s">
        <v>27232</v>
      </c>
      <c r="Y2540" t="s">
        <v>27233</v>
      </c>
    </row>
    <row r="2541" spans="1:25" x14ac:dyDescent="0.3">
      <c r="A2541">
        <v>127000</v>
      </c>
      <c r="B2541" t="s">
        <v>27234</v>
      </c>
      <c r="C2541">
        <f>-632.90411930757 -92.8901434147433 -85.8663734659385</f>
        <v>-811.66063618825183</v>
      </c>
      <c r="D2541">
        <f>-660.113787556599 -103.034607991169 -197.995435956782</f>
        <v>-961.14383150455001</v>
      </c>
      <c r="E2541">
        <f>-676.28034585405 -97.3888287319322 -295.121342813805</f>
        <v>-1068.7905173997872</v>
      </c>
      <c r="F2541">
        <f>-688.369678281192 -86.918392617001 -382.770882017845</f>
        <v>-1158.0589529160379</v>
      </c>
      <c r="G2541">
        <f>-697.546743099087 -70.9614718853054 -469.945514651096</f>
        <v>-1238.4537296354883</v>
      </c>
      <c r="H2541">
        <f>-707.245519675736 -42.9841762506423 -590.957914719682</f>
        <v>-1341.1876106460604</v>
      </c>
      <c r="I2541">
        <f>-689.296400430225 -13.4625136759771 -666.531333173832</f>
        <v>-1369.2902472800342</v>
      </c>
      <c r="J2541">
        <f>-716.476296525531 -31.9787015556542 -531.23369073544</f>
        <v>-1279.688688816625</v>
      </c>
      <c r="K2541" t="s">
        <v>27235</v>
      </c>
      <c r="L2541" t="s">
        <v>27236</v>
      </c>
      <c r="M2541" t="s">
        <v>27237</v>
      </c>
      <c r="N2541">
        <f>-689.478837766478 -78.6125986547985 -544.17895181277</f>
        <v>-1312.2703882340465</v>
      </c>
      <c r="O2541">
        <f>-620.109418673448 -197.234326645668 -547.820668385635</f>
        <v>-1365.164413704751</v>
      </c>
      <c r="P2541">
        <f>-568.477607905608 -314.026778255584 -282.707787870514</f>
        <v>-1165.2121740317061</v>
      </c>
      <c r="Q2541">
        <f>-477.726909287024 -90.9295585139927 -289.24927992677</f>
        <v>-857.90574772778666</v>
      </c>
      <c r="R2541">
        <f>-686.443981201758 -9.88951615907467 -81.4363275469032</f>
        <v>-777.76982490773582</v>
      </c>
      <c r="S2541" t="s">
        <v>27238</v>
      </c>
      <c r="T2541" t="s">
        <v>27239</v>
      </c>
      <c r="U2541" t="s">
        <v>27240</v>
      </c>
      <c r="V2541">
        <f>-579.686078730861 -175.992322414282 -92.3241589422429</f>
        <v>-848.00256008738586</v>
      </c>
      <c r="W2541" t="s">
        <v>27241</v>
      </c>
      <c r="X2541" t="s">
        <v>27242</v>
      </c>
      <c r="Y2541" t="s">
        <v>27243</v>
      </c>
    </row>
    <row r="2542" spans="1:25" x14ac:dyDescent="0.3">
      <c r="A2542">
        <v>127050</v>
      </c>
      <c r="B2542" t="s">
        <v>27244</v>
      </c>
      <c r="C2542">
        <f>-632.855470431341 -92.423486212678 -85.8497143983419</f>
        <v>-811.12867104236091</v>
      </c>
      <c r="D2542">
        <f>-660.082004620027 -102.438980558898 -197.986406517498</f>
        <v>-960.50739169642304</v>
      </c>
      <c r="E2542">
        <f>-676.220923764213 -96.7392794038684 -295.113618058281</f>
        <v>-1068.0738212263625</v>
      </c>
      <c r="F2542">
        <f>-688.270585350867 -86.2414285795463 -382.765457075729</f>
        <v>-1157.2774710061424</v>
      </c>
      <c r="G2542">
        <f>-697.393106356918 -70.279475454641 -469.944806442326</f>
        <v>-1237.6173882538851</v>
      </c>
      <c r="H2542">
        <f>-707.000590796416 -42.3183883230463 -590.968309118013</f>
        <v>-1340.2872882374754</v>
      </c>
      <c r="I2542">
        <f>-688.738262066345 -12.8093538220799 -666.471479681766</f>
        <v>-1368.019095570191</v>
      </c>
      <c r="J2542">
        <f>-716.180687164378 -31.251053089838 -531.247732731211</f>
        <v>-1278.6794729854271</v>
      </c>
      <c r="K2542" t="s">
        <v>27245</v>
      </c>
      <c r="L2542" t="s">
        <v>27246</v>
      </c>
      <c r="M2542" t="s">
        <v>27247</v>
      </c>
      <c r="N2542">
        <f>-689.364968586798 -77.9943478845389 -544.175908760298</f>
        <v>-1311.5352252316347</v>
      </c>
      <c r="O2542">
        <f>-620.489877308493 -196.910461173235 -547.856088995665</f>
        <v>-1365.2564274773931</v>
      </c>
      <c r="P2542">
        <f>-569.212370121416 -313.923322906887 -282.771509834298</f>
        <v>-1165.907202862601</v>
      </c>
      <c r="Q2542">
        <f>-477.201019116592 -91.3503726697146 -289.557948481936</f>
        <v>-858.10934026824259</v>
      </c>
      <c r="R2542">
        <f>-686.064112821801 -9.35329247368736 -81.4139412111871</f>
        <v>-776.83134650667546</v>
      </c>
      <c r="S2542" t="s">
        <v>27248</v>
      </c>
      <c r="T2542" t="s">
        <v>27249</v>
      </c>
      <c r="U2542" t="s">
        <v>27250</v>
      </c>
      <c r="V2542">
        <f>-579.950285509421 -175.622543259559 -92.3196776870478</f>
        <v>-847.89250645602772</v>
      </c>
      <c r="W2542" t="s">
        <v>27251</v>
      </c>
      <c r="X2542" t="s">
        <v>27252</v>
      </c>
      <c r="Y2542" t="s">
        <v>27253</v>
      </c>
    </row>
    <row r="2543" spans="1:25" x14ac:dyDescent="0.3">
      <c r="A2543">
        <v>127100</v>
      </c>
      <c r="B2543" t="s">
        <v>27254</v>
      </c>
      <c r="C2543">
        <f>-632.84453960246 -91.5913392306441 -85.8653403749502</f>
        <v>-810.30121920805425</v>
      </c>
      <c r="D2543">
        <f>-660.114393799425 -101.377277327549 -198.011804184192</f>
        <v>-959.50347531116597</v>
      </c>
      <c r="E2543">
        <f>-676.223648276305 -95.5402868976344 -295.135828584355</f>
        <v>-1066.8997637582943</v>
      </c>
      <c r="F2543">
        <f>-688.224054033696 -84.9387278176848 -382.781901614983</f>
        <v>-1155.9446834663638</v>
      </c>
      <c r="G2543">
        <f>-697.27480019035 -68.8957349106529 -469.953885760304</f>
        <v>-1236.1244208613068</v>
      </c>
      <c r="H2543">
        <f>-706.759521363611 -40.8451857267708 -590.966390149314</f>
        <v>-1338.5710972396957</v>
      </c>
      <c r="I2543">
        <f>-687.836559204474 -11.2762572495146 -666.283100165734</f>
        <v>-1365.3959166197228</v>
      </c>
      <c r="J2543">
        <f>-715.828039552438 -29.7264928650839 -531.238259493274</f>
        <v>-1276.7927919107958</v>
      </c>
      <c r="K2543" t="s">
        <v>27255</v>
      </c>
      <c r="L2543" t="s">
        <v>27256</v>
      </c>
      <c r="M2543" t="s">
        <v>27257</v>
      </c>
      <c r="N2543">
        <f>-689.343452978618 -76.6514605691892 -544.19123841953</f>
        <v>-1310.1861519673371</v>
      </c>
      <c r="O2543">
        <f>-621.414924744344 -196.108370180976 -547.939869471616</f>
        <v>-1365.463164396936</v>
      </c>
      <c r="P2543">
        <f>-570.638833874367 -313.504716220119 -282.928474251798</f>
        <v>-1167.072024346284</v>
      </c>
      <c r="Q2543">
        <f>-476.428323132069 -91.8659430707041 -290.106293848693</f>
        <v>-858.40056005146607</v>
      </c>
      <c r="R2543">
        <f>-685.487575988847 -8.5097577612521 -81.4047683782649</f>
        <v>-775.40210212836394</v>
      </c>
      <c r="S2543" t="s">
        <v>27258</v>
      </c>
      <c r="T2543" t="s">
        <v>27259</v>
      </c>
      <c r="U2543" t="s">
        <v>27260</v>
      </c>
      <c r="V2543">
        <f>-580.586710638398 -174.709563771028 -92.366828096163</f>
        <v>-847.66310250558899</v>
      </c>
      <c r="W2543" t="s">
        <v>27261</v>
      </c>
      <c r="X2543" t="s">
        <v>27262</v>
      </c>
      <c r="Y2543" t="s">
        <v>27263</v>
      </c>
    </row>
    <row r="2544" spans="1:25" x14ac:dyDescent="0.3">
      <c r="A2544">
        <v>127150</v>
      </c>
      <c r="B2544" t="s">
        <v>27264</v>
      </c>
      <c r="C2544">
        <f>-632.93484804977 -91.2550410311309 -85.8296471386632</f>
        <v>-810.01953621956409</v>
      </c>
      <c r="D2544">
        <f>-660.216293132584 -100.990605163289 -197.977607669647</f>
        <v>-959.18450596552009</v>
      </c>
      <c r="E2544">
        <f>-676.292726074778 -95.1072119406175 -295.104278273673</f>
        <v>-1066.5042162890686</v>
      </c>
      <c r="F2544">
        <f>-688.246863856684 -84.4617794075934 -382.75132853368</f>
        <v>-1155.4599717979575</v>
      </c>
      <c r="G2544">
        <f>-697.234192169903 -68.3741275134531 -469.921609452616</f>
        <v>-1235.5299291359722</v>
      </c>
      <c r="H2544">
        <f>-706.612473256232 -40.2608609656518 -590.92787916251</f>
        <v>-1337.8012133843936</v>
      </c>
      <c r="I2544">
        <f>-687.29900838488 -10.6364593295643 -666.123600904258</f>
        <v>-1364.0590686187024</v>
      </c>
      <c r="J2544">
        <f>-715.662585818774 -29.1341723287717 -531.198387578346</f>
        <v>-1275.9951457258917</v>
      </c>
      <c r="K2544" t="s">
        <v>27265</v>
      </c>
      <c r="L2544" t="s">
        <v>27266</v>
      </c>
      <c r="M2544" t="s">
        <v>27267</v>
      </c>
      <c r="N2544">
        <f>-689.30855258751 -76.1303094360899 -544.159484621661</f>
        <v>-1309.5983466452608</v>
      </c>
      <c r="O2544">
        <f>-621.776253898923 -195.801653091972 -547.958190158667</f>
        <v>-1365.536097149562</v>
      </c>
      <c r="P2544">
        <f>-571.264510984333 -313.256325027056 -282.922083268724</f>
        <v>-1167.4429192801131</v>
      </c>
      <c r="Q2544">
        <f>-475.645622130699 -92.2326779170669 -290.434419793259</f>
        <v>-858.31271984102477</v>
      </c>
      <c r="R2544">
        <f>-685.321710567688 -8.21131840104476 -81.3904200206109</f>
        <v>-774.92344898934368</v>
      </c>
      <c r="S2544" t="s">
        <v>27268</v>
      </c>
      <c r="T2544" t="s">
        <v>27269</v>
      </c>
      <c r="U2544" t="s">
        <v>27270</v>
      </c>
      <c r="V2544">
        <f>-580.853396901855 -174.346705431355 -92.3187169378222</f>
        <v>-847.51881927103216</v>
      </c>
      <c r="W2544" t="s">
        <v>27271</v>
      </c>
      <c r="X2544" t="s">
        <v>27272</v>
      </c>
      <c r="Y2544" t="s">
        <v>27273</v>
      </c>
    </row>
    <row r="2545" spans="1:25" x14ac:dyDescent="0.3">
      <c r="A2545">
        <v>127200</v>
      </c>
      <c r="B2545" t="s">
        <v>27274</v>
      </c>
      <c r="C2545">
        <f>-633.317249017658 -91.0057208905542 -85.7587151717926</f>
        <v>-810.08168508000483</v>
      </c>
      <c r="D2545">
        <f>-660.617066052865 -100.745890910296 -197.901889323081</f>
        <v>-959.264846286242</v>
      </c>
      <c r="E2545">
        <f>-676.596174651346 -94.8416613100602 -295.043343466097</f>
        <v>-1066.4811794275033</v>
      </c>
      <c r="F2545">
        <f>-688.414905419656 -84.1673747222411 -382.70535970445</f>
        <v>-1155.287639846347</v>
      </c>
      <c r="G2545">
        <f>-697.21663950314 -68.0443472117224 -469.887876589174</f>
        <v>-1235.1488633040365</v>
      </c>
      <c r="H2545">
        <f>-706.281807903885 -39.8766251465511 -590.905439162742</f>
        <v>-1337.063872213178</v>
      </c>
      <c r="I2545">
        <f>-686.030817004084 -10.1213979410245 -665.802337753848</f>
        <v>-1361.9545526989564</v>
      </c>
      <c r="J2545">
        <f>-715.350026772335 -28.7025043759354 -531.187591307891</f>
        <v>-1275.2401224561613</v>
      </c>
      <c r="K2545" t="s">
        <v>27275</v>
      </c>
      <c r="L2545" t="s">
        <v>27276</v>
      </c>
      <c r="M2545" t="s">
        <v>27277</v>
      </c>
      <c r="N2545">
        <f>-689.235367331953 -75.8411259256294 -544.11558615607</f>
        <v>-1309.1920794136522</v>
      </c>
      <c r="O2545">
        <f>-622.364533669517 -195.882159674885 -547.965481064287</f>
        <v>-1366.212174408689</v>
      </c>
      <c r="P2545">
        <f>-572.047513298032 -313.69433552949 -283.051052067667</f>
        <v>-1168.792900895189</v>
      </c>
      <c r="Q2545">
        <f>-474.132133171931 -93.7011463633481 -291.200793342108</f>
        <v>-859.03407287738708</v>
      </c>
      <c r="R2545">
        <f>-685.403314579492 -8.11015075459341 -81.4103814626047</f>
        <v>-774.9238467966901</v>
      </c>
      <c r="S2545" t="s">
        <v>27278</v>
      </c>
      <c r="T2545" t="s">
        <v>27279</v>
      </c>
      <c r="U2545" t="s">
        <v>27280</v>
      </c>
      <c r="V2545">
        <f>-581.509810339375 -173.995091709947 -92.1637333778064</f>
        <v>-847.66863542712838</v>
      </c>
      <c r="W2545" t="s">
        <v>27281</v>
      </c>
      <c r="X2545" t="s">
        <v>27282</v>
      </c>
      <c r="Y2545" t="s">
        <v>27283</v>
      </c>
    </row>
    <row r="2546" spans="1:25" x14ac:dyDescent="0.3">
      <c r="A2546">
        <v>127250</v>
      </c>
      <c r="B2546" t="s">
        <v>27284</v>
      </c>
      <c r="C2546">
        <f>-633.553544089712 -91.1976009936421 -85.7571981576465</f>
        <v>-810.5083432410006</v>
      </c>
      <c r="D2546">
        <f>-660.819064473277 -101.022577418958 -197.901149853092</f>
        <v>-959.74279174532694</v>
      </c>
      <c r="E2546">
        <f>-676.719538061399 -95.1560417058232 -295.057871434847</f>
        <v>-1066.9334512020691</v>
      </c>
      <c r="F2546">
        <f>-688.444217663122 -84.5028785917112 -382.734998680595</f>
        <v>-1155.6820949354283</v>
      </c>
      <c r="G2546">
        <f>-697.126730612166 -68.3901203895043 -469.931571787069</f>
        <v>-1235.4484227887394</v>
      </c>
      <c r="H2546">
        <f>-705.997108752654 -40.2267208033907 -590.964510156333</f>
        <v>-1337.1883397123775</v>
      </c>
      <c r="I2546">
        <f>-685.20437639007 -10.385040576688 -665.678284329823</f>
        <v>-1361.267701296581</v>
      </c>
      <c r="J2546">
        <f>-715.097205409369 -29.0157835729219 -531.258420937139</f>
        <v>-1275.3714099194299</v>
      </c>
      <c r="K2546" t="s">
        <v>27285</v>
      </c>
      <c r="L2546" t="s">
        <v>27286</v>
      </c>
      <c r="M2546" t="s">
        <v>27287</v>
      </c>
      <c r="N2546">
        <f>-689.090199866103 -76.2241992293889 -544.149427524037</f>
        <v>-1309.4638266195288</v>
      </c>
      <c r="O2546">
        <f>-622.499636985408 -196.421702315294 -547.989374749145</f>
        <v>-1366.9107140498468</v>
      </c>
      <c r="P2546">
        <f>-572.38770257289 -314.367908724311 -283.095663754503</f>
        <v>-1169.8512750517041</v>
      </c>
      <c r="Q2546">
        <f>-473.132968461071 -95.0030237894372 -291.949963089688</f>
        <v>-860.08595534019628</v>
      </c>
      <c r="R2546">
        <f>-685.610383965087 -8.30264145404044 -81.4821409159184</f>
        <v>-775.39516633504581</v>
      </c>
      <c r="S2546" t="s">
        <v>27288</v>
      </c>
      <c r="T2546" t="s">
        <v>27289</v>
      </c>
      <c r="U2546" t="s">
        <v>27290</v>
      </c>
      <c r="V2546">
        <f>-581.756064084778 -174.259212651881 -92.077082727101</f>
        <v>-848.09235946375998</v>
      </c>
      <c r="W2546" t="s">
        <v>27291</v>
      </c>
      <c r="X2546" t="s">
        <v>27292</v>
      </c>
      <c r="Y2546" t="s">
        <v>27293</v>
      </c>
    </row>
    <row r="2547" spans="1:25" x14ac:dyDescent="0.3">
      <c r="A2547">
        <v>127300</v>
      </c>
      <c r="B2547" t="s">
        <v>27294</v>
      </c>
      <c r="C2547">
        <f>-634.098044332354 -92.2019140937039 -85.7666810927285</f>
        <v>-812.06663951878636</v>
      </c>
      <c r="D2547">
        <f>-661.221792494007 -102.359831367513 -197.915400615518</f>
        <v>-961.49702447703805</v>
      </c>
      <c r="E2547">
        <f>-676.989920773908 -96.6609411202887 -295.103688089029</f>
        <v>-1068.7545499832258</v>
      </c>
      <c r="F2547">
        <f>-688.580940864261 -86.1157670083405 -382.811562051975</f>
        <v>-1157.5082699245766</v>
      </c>
      <c r="G2547">
        <f>-697.10996563974 -70.0706819310413 -470.035793872613</f>
        <v>-1237.2164414433944</v>
      </c>
      <c r="H2547">
        <f>-705.740044160488 -41.9632686799257 -591.099098757756</f>
        <v>-1338.8024115981698</v>
      </c>
      <c r="I2547">
        <f>-683.877594305583 -11.9369610184549 -665.432622771743</f>
        <v>-1361.2471780957808</v>
      </c>
      <c r="J2547">
        <f>-714.870971349585 -30.6779672716073 -531.411586086232</f>
        <v>-1276.9605247074242</v>
      </c>
      <c r="K2547" t="s">
        <v>27295</v>
      </c>
      <c r="L2547" t="s">
        <v>27296</v>
      </c>
      <c r="M2547" t="s">
        <v>27297</v>
      </c>
      <c r="N2547">
        <f>-689.013716632301 -77.9858555306987 -544.238483966765</f>
        <v>-1311.2380561297646</v>
      </c>
      <c r="O2547">
        <f>-622.770367734424 -198.391684234356 -548.079784522457</f>
        <v>-1369.2418364912369</v>
      </c>
      <c r="P2547">
        <f>-573.162920926503 -316.844845521453 -283.317470903568</f>
        <v>-1173.325237351524</v>
      </c>
      <c r="Q2547">
        <f>-471.935446113159 -98.4353275511857 -293.374802192681</f>
        <v>-863.74557585702564</v>
      </c>
      <c r="R2547">
        <f>-686.773903217214 -9.19483476245387 -81.744828324529</f>
        <v>-777.71356630419677</v>
      </c>
      <c r="S2547" t="s">
        <v>27298</v>
      </c>
      <c r="T2547" t="s">
        <v>27299</v>
      </c>
      <c r="U2547" t="s">
        <v>27300</v>
      </c>
      <c r="V2547">
        <f>-581.718229592549 -175.327199592163 -91.8865940976206</f>
        <v>-848.93202328233258</v>
      </c>
      <c r="W2547" t="s">
        <v>27301</v>
      </c>
      <c r="X2547" t="s">
        <v>27302</v>
      </c>
      <c r="Y2547" t="s">
        <v>27303</v>
      </c>
    </row>
    <row r="2548" spans="1:25" x14ac:dyDescent="0.3">
      <c r="A2548">
        <v>127350</v>
      </c>
      <c r="B2548" t="s">
        <v>27304</v>
      </c>
      <c r="C2548">
        <f>-634.417686813473 -92.9264533760987 -85.8633044391452</f>
        <v>-813.20744462871687</v>
      </c>
      <c r="D2548">
        <f>-661.436726019192 -103.325290999912 -198.015299507155</f>
        <v>-962.77731652625891</v>
      </c>
      <c r="E2548">
        <f>-677.191851425415 -97.7428853352375 -295.212316173026</f>
        <v>-1070.1470529336784</v>
      </c>
      <c r="F2548">
        <f>-688.796585184985 -87.2686452485475 -382.927020696016</f>
        <v>-1158.9922511295485</v>
      </c>
      <c r="G2548">
        <f>-697.362118141934 -71.2607586906047 -470.15444470331</f>
        <v>-1238.7773215358488</v>
      </c>
      <c r="H2548">
        <f>-706.064697104634 -43.1709534965025 -591.216496927941</f>
        <v>-1340.4521475290776</v>
      </c>
      <c r="I2548">
        <f>-683.729705653555 -13.0320319683412 -665.363773160625</f>
        <v>-1362.1255107825214</v>
      </c>
      <c r="J2548">
        <f>-715.174311089309 -31.8847555101822 -531.526085445305</f>
        <v>-1278.5851520447961</v>
      </c>
      <c r="K2548" t="s">
        <v>27305</v>
      </c>
      <c r="L2548" t="s">
        <v>27306</v>
      </c>
      <c r="M2548" t="s">
        <v>27307</v>
      </c>
      <c r="N2548">
        <f>-689.295899686063 -79.179048063852 -544.360041370866</f>
        <v>-1312.8349891207808</v>
      </c>
      <c r="O2548">
        <f>-622.9542081627 -199.520606820246 -548.234204537228</f>
        <v>-1370.709019520174</v>
      </c>
      <c r="P2548">
        <f>-573.45063989861 -318.411715857049 -283.648661205895</f>
        <v>-1175.5110169615541</v>
      </c>
      <c r="Q2548">
        <f>-472.073138648678 -100.114955307698 -294.604314390563</f>
        <v>-866.79240834693906</v>
      </c>
      <c r="R2548">
        <f>-687.683521659899 -10.0640684118443 -81.95023724012</f>
        <v>-779.69782731186342</v>
      </c>
      <c r="S2548" t="s">
        <v>27308</v>
      </c>
      <c r="T2548" t="s">
        <v>27309</v>
      </c>
      <c r="U2548" t="s">
        <v>27310</v>
      </c>
      <c r="V2548">
        <f>-581.517821658422 -175.839790186938 -91.8500493656234</f>
        <v>-849.20766121098336</v>
      </c>
      <c r="W2548" t="s">
        <v>27311</v>
      </c>
      <c r="X2548" t="s">
        <v>27312</v>
      </c>
      <c r="Y2548" t="s">
        <v>27313</v>
      </c>
    </row>
    <row r="2549" spans="1:25" x14ac:dyDescent="0.3">
      <c r="A2549">
        <v>127400</v>
      </c>
      <c r="B2549" t="s">
        <v>27314</v>
      </c>
      <c r="C2549">
        <f>-635.145322835891 -95.4925945850729 -85.937184987999</f>
        <v>-816.57510240896283</v>
      </c>
      <c r="D2549">
        <f>-661.839315900107 -106.53822125597 -198.1052137701</f>
        <v>-966.482750926177</v>
      </c>
      <c r="E2549">
        <f>-677.641862445889 -101.274246236689 -295.312226633194</f>
        <v>-1074.228335315772</v>
      </c>
      <c r="F2549">
        <f>-689.411052158911 -90.9959836461028 -383.028251986613</f>
        <v>-1163.4352877916267</v>
      </c>
      <c r="G2549">
        <f>-698.260170456668 -75.0889970811598 -470.245747250622</f>
        <v>-1243.5949147884498</v>
      </c>
      <c r="H2549">
        <f>-707.480005353655 -47.0406137220483 -591.279183941591</f>
        <v>-1345.7998030172944</v>
      </c>
      <c r="I2549">
        <f>-684.353448491763 -16.5898621381982 -665.055601719927</f>
        <v>-1365.9989123498881</v>
      </c>
      <c r="J2549">
        <f>-716.540078542764 -35.8446119013722 -531.5642319614</f>
        <v>-1283.9489224055362</v>
      </c>
      <c r="K2549" t="s">
        <v>27315</v>
      </c>
      <c r="L2549" t="s">
        <v>27316</v>
      </c>
      <c r="M2549" t="s">
        <v>27317</v>
      </c>
      <c r="N2549">
        <f>-690.305532464784 -82.9220162353662 -544.472496712235</f>
        <v>-1317.7000454123854</v>
      </c>
      <c r="O2549">
        <f>-622.967842268408 -202.68665588115 -548.517849750651</f>
        <v>-1374.1723479002089</v>
      </c>
      <c r="P2549">
        <f>-573.041687641473 -321.964804206027 -284.186018447504</f>
        <v>-1179.192510295004</v>
      </c>
      <c r="Q2549">
        <f>-472.098597555761 -103.650069464829 -298.329177013491</f>
        <v>-874.07784403408095</v>
      </c>
      <c r="R2549">
        <f>-689.755081094759 -12.9806610960457 -82.3513960497555</f>
        <v>-785.08713824056019</v>
      </c>
      <c r="S2549" t="s">
        <v>27318</v>
      </c>
      <c r="T2549" t="s">
        <v>27319</v>
      </c>
      <c r="U2549" t="s">
        <v>27320</v>
      </c>
      <c r="V2549">
        <f>-581.030445547619 -178.345327318569 -91.6938736813155</f>
        <v>-851.06964654750357</v>
      </c>
      <c r="W2549" t="s">
        <v>27321</v>
      </c>
      <c r="X2549" t="s">
        <v>27322</v>
      </c>
      <c r="Y2549" t="s">
        <v>27323</v>
      </c>
    </row>
    <row r="2550" spans="1:25" x14ac:dyDescent="0.3">
      <c r="A2550">
        <v>127450</v>
      </c>
      <c r="B2550" t="s">
        <v>27324</v>
      </c>
      <c r="C2550">
        <f>-635.40336094557 -97.5030939909731 -85.9146424860912</f>
        <v>-818.82109742263424</v>
      </c>
      <c r="D2550">
        <f>-661.994120572087 -108.948883962993 -198.066979500699</f>
        <v>-969.0099840357791</v>
      </c>
      <c r="E2550">
        <f>-677.845263957378 -103.836429596383 -295.274337830649</f>
        <v>-1076.9560313844102</v>
      </c>
      <c r="F2550">
        <f>-689.707543393965 -93.6206618084411 -382.985096037617</f>
        <v>-1166.3133012400231</v>
      </c>
      <c r="G2550">
        <f>-698.698061804214 -77.6996196203097 -470.185531081673</f>
        <v>-1246.5832125061968</v>
      </c>
      <c r="H2550">
        <f>-708.164285066242 -49.5521606956771 -591.176977925913</f>
        <v>-1348.8934236878322</v>
      </c>
      <c r="I2550">
        <f>-684.742566324758 -18.8656779287981 -664.762244865041</f>
        <v>-1368.3704891185971</v>
      </c>
      <c r="J2550">
        <f>-717.280811873115 -38.5026579000228 -531.443281386643</f>
        <v>-1287.2267511597806</v>
      </c>
      <c r="K2550" t="s">
        <v>27325</v>
      </c>
      <c r="L2550" t="s">
        <v>27326</v>
      </c>
      <c r="M2550" t="s">
        <v>27327</v>
      </c>
      <c r="N2550">
        <f>-690.716554554474 -85.3743454086106 -544.425880755648</f>
        <v>-1320.5167807187327</v>
      </c>
      <c r="O2550">
        <f>-622.598426386887 -204.706155599292 -548.684889241837</f>
        <v>-1375.9894712280161</v>
      </c>
      <c r="P2550">
        <f>-571.864565836329 -324.120354377052 -284.56831814013</f>
        <v>-1180.553238353511</v>
      </c>
      <c r="Q2550">
        <f>-471.154247998785 -105.839222731906 -300.744292088018</f>
        <v>-877.73776281870903</v>
      </c>
      <c r="R2550">
        <f>-690.38609358198 -15.3846316503514 -82.4978565469813</f>
        <v>-788.26858177931274</v>
      </c>
      <c r="S2550" t="s">
        <v>27328</v>
      </c>
      <c r="T2550" t="s">
        <v>27329</v>
      </c>
      <c r="U2550" t="s">
        <v>27330</v>
      </c>
      <c r="V2550">
        <f>-580.909403905981 -179.922325938269 -91.5622878664313</f>
        <v>-852.3940177106814</v>
      </c>
      <c r="W2550" t="s">
        <v>27331</v>
      </c>
      <c r="X2550" t="s">
        <v>27332</v>
      </c>
      <c r="Y2550" t="s">
        <v>27333</v>
      </c>
    </row>
    <row r="2551" spans="1:25" x14ac:dyDescent="0.3">
      <c r="A2551">
        <v>127500</v>
      </c>
      <c r="B2551" t="s">
        <v>27334</v>
      </c>
      <c r="C2551">
        <f>-635.338369140247 -101.178310357006 -86.0426597917456</f>
        <v>-822.55933928899856</v>
      </c>
      <c r="D2551">
        <f>-661.795543048081 -113.239713093587 -198.162093732471</f>
        <v>-973.19734987413904</v>
      </c>
      <c r="E2551">
        <f>-677.723125315201 -108.220472979272 -295.36169536608</f>
        <v>-1081.3052936605529</v>
      </c>
      <c r="F2551">
        <f>-689.72101596745 -97.9204943571848 -383.044112709874</f>
        <v>-1170.6856230345088</v>
      </c>
      <c r="G2551">
        <f>-698.914537667839 -81.7426709488082 -470.176156731062</f>
        <v>-1250.8333653477091</v>
      </c>
      <c r="H2551">
        <f>-708.732858453589 -53.0577272894205 -591.013251531601</f>
        <v>-1352.8038372746105</v>
      </c>
      <c r="I2551">
        <f>-684.932917718234 -21.7003332323923 -664.19327016563</f>
        <v>-1370.8265211162561</v>
      </c>
      <c r="J2551">
        <f>-718.095783290256 -42.5108596962914 -531.226907698267</f>
        <v>-1291.8335506848143</v>
      </c>
      <c r="K2551" t="s">
        <v>27335</v>
      </c>
      <c r="L2551" t="s">
        <v>27336</v>
      </c>
      <c r="M2551" t="s">
        <v>27337</v>
      </c>
      <c r="N2551">
        <f>-690.728844525908 -88.8503123627459 -544.450802693877</f>
        <v>-1324.0299595825309</v>
      </c>
      <c r="O2551">
        <f>-620.732313246352 -207.069765124683 -549.432201854128</f>
        <v>-1377.2342802251628</v>
      </c>
      <c r="P2551">
        <f>-567.561910872248 -327.501303003177 -286.258570764432</f>
        <v>-1181.321784639857</v>
      </c>
      <c r="Q2551">
        <f>-468.210189686227 -108.788172342262 -304.823158393566</f>
        <v>-881.82152042205507</v>
      </c>
      <c r="R2551">
        <f>-691.126411642425 -19.9131532497299 -82.7345780507719</f>
        <v>-793.7741429429268</v>
      </c>
      <c r="S2551" t="s">
        <v>27338</v>
      </c>
      <c r="T2551" t="s">
        <v>27339</v>
      </c>
      <c r="U2551" t="s">
        <v>27340</v>
      </c>
      <c r="V2551">
        <f>-579.99007892919 -182.448989830363 -91.4038898862874</f>
        <v>-853.84295864584033</v>
      </c>
      <c r="W2551" t="s">
        <v>27341</v>
      </c>
      <c r="X2551" t="s">
        <v>27342</v>
      </c>
      <c r="Y2551" t="s">
        <v>27343</v>
      </c>
    </row>
    <row r="2552" spans="1:25" x14ac:dyDescent="0.3">
      <c r="A2552">
        <v>127550</v>
      </c>
      <c r="B2552" t="s">
        <v>27344</v>
      </c>
      <c r="C2552">
        <f>-635.211669317131 -103.166998953907 -86.0916407629944</f>
        <v>-824.47030903403243</v>
      </c>
      <c r="D2552">
        <f>-661.566880545029 -115.500617739013 -198.205426333684</f>
        <v>-975.27292461772595</v>
      </c>
      <c r="E2552">
        <f>-677.530688566249 -110.488076316358 -295.399566641532</f>
        <v>-1083.4183315241389</v>
      </c>
      <c r="F2552">
        <f>-689.6062930971 -100.105959665763 -383.061602473691</f>
        <v>-1172.773855236554</v>
      </c>
      <c r="G2552">
        <f>-698.923348302937 -83.755791643418 -470.148330211499</f>
        <v>-1252.8274701578539</v>
      </c>
      <c r="H2552">
        <f>-708.961254642286 -54.7363183285808 -590.887440741456</f>
        <v>-1354.5850137123227</v>
      </c>
      <c r="I2552">
        <f>-685.097161686994 -22.9732741480195 -663.871284951925</f>
        <v>-1371.9417207869385</v>
      </c>
      <c r="J2552">
        <f>-718.435583250894 -44.4829422152577 -531.067558076087</f>
        <v>-1293.9860835422387</v>
      </c>
      <c r="K2552" t="s">
        <v>27345</v>
      </c>
      <c r="L2552" t="s">
        <v>27346</v>
      </c>
      <c r="M2552" t="s">
        <v>27347</v>
      </c>
      <c r="N2552">
        <f>-690.652546700196 -90.5298879355591 -544.444600227207</f>
        <v>-1325.6270348629623</v>
      </c>
      <c r="O2552">
        <f>-619.70469789666 -208.143569913782 -549.89970814006</f>
        <v>-1377.7479759505022</v>
      </c>
      <c r="P2552">
        <f>-565.203206640922 -328.948306558532 -287.16973034418</f>
        <v>-1181.321243543634</v>
      </c>
      <c r="Q2552">
        <f>-466.546351440111 -110.010136302862 -306.759813711603</f>
        <v>-883.31630145457598</v>
      </c>
      <c r="R2552">
        <f>-691.408359279935 -22.4182863471447 -82.8032233379982</f>
        <v>-796.62986896507789</v>
      </c>
      <c r="S2552" t="s">
        <v>27348</v>
      </c>
      <c r="T2552" t="s">
        <v>27349</v>
      </c>
      <c r="U2552" t="s">
        <v>27350</v>
      </c>
      <c r="V2552">
        <f>-579.348773663028 -184.0487363313 -91.3616483867219</f>
        <v>-854.75915838104993</v>
      </c>
      <c r="W2552" t="s">
        <v>27351</v>
      </c>
      <c r="X2552" t="s">
        <v>27352</v>
      </c>
      <c r="Y2552" t="s">
        <v>27353</v>
      </c>
    </row>
    <row r="2553" spans="1:25" x14ac:dyDescent="0.3">
      <c r="A2553">
        <v>127600</v>
      </c>
      <c r="B2553" t="s">
        <v>27354</v>
      </c>
      <c r="C2553">
        <f>-634.500455977194 -107.436049089917 -86.2106975867048</f>
        <v>-828.14720265381573</v>
      </c>
      <c r="D2553">
        <f>-660.631810473332 -120.224843060089 -198.325958500969</f>
        <v>-979.1826120343901</v>
      </c>
      <c r="E2553">
        <f>-676.707835612203 -115.262934081393 -295.504067491637</f>
        <v>-1087.4748371852329</v>
      </c>
      <c r="F2553">
        <f>-688.997625049456 -104.79613497595 -383.126231370908</f>
        <v>-1176.9199913963141</v>
      </c>
      <c r="G2553">
        <f>-698.642222156589 -88.226152278668 -470.135770709419</f>
        <v>-1257.0041451446759</v>
      </c>
      <c r="H2553">
        <f>-709.254562723843 -58.7591906838906 -590.717283151611</f>
        <v>-1358.7310365593446</v>
      </c>
      <c r="I2553">
        <f>-685.481957735764 -26.2202390296754 -663.388449204337</f>
        <v>-1375.0906459697765</v>
      </c>
      <c r="J2553">
        <f>-718.852333967236 -48.9717625134447 -530.839071052374</f>
        <v>-1298.6631675330545</v>
      </c>
      <c r="K2553" t="s">
        <v>27355</v>
      </c>
      <c r="L2553" t="s">
        <v>27356</v>
      </c>
      <c r="M2553" t="s">
        <v>27357</v>
      </c>
      <c r="N2553">
        <f>-690.316834418637 -94.4804601108021 -544.471684421139</f>
        <v>-1329.268978950578</v>
      </c>
      <c r="O2553">
        <f>-617.553278901479 -210.939679370814 -550.650708108984</f>
        <v>-1379.1436663812769</v>
      </c>
      <c r="P2553">
        <f>-559.946477961496 -331.611681414793 -288.523035230635</f>
        <v>-1180.0811946069241</v>
      </c>
      <c r="Q2553">
        <f>-462.861916250845 -112.249150448078 -311.00687303813</f>
        <v>-886.11793973705289</v>
      </c>
      <c r="R2553">
        <f>-691.792308981696 -27.7417314736024 -82.9494805759463</f>
        <v>-802.48352103124466</v>
      </c>
      <c r="S2553" t="s">
        <v>27358</v>
      </c>
      <c r="T2553" t="s">
        <v>27359</v>
      </c>
      <c r="U2553" t="s">
        <v>27360</v>
      </c>
      <c r="V2553">
        <f>-577.602793288333 -187.309848187499 -91.5100679764272</f>
        <v>-856.42270945225926</v>
      </c>
      <c r="W2553" t="s">
        <v>27361</v>
      </c>
      <c r="X2553" t="s">
        <v>27362</v>
      </c>
      <c r="Y2553" t="s">
        <v>27363</v>
      </c>
    </row>
    <row r="2554" spans="1:25" x14ac:dyDescent="0.3">
      <c r="A2554">
        <v>127650</v>
      </c>
      <c r="B2554" t="s">
        <v>27364</v>
      </c>
      <c r="C2554">
        <f>-634.166757835383 -109.657150975895 -86.3322862150366</f>
        <v>-830.15619502631455</v>
      </c>
      <c r="D2554">
        <f>-660.184831668963 -122.641116817078 -198.451322653853</f>
        <v>-981.27727113989408</v>
      </c>
      <c r="E2554">
        <f>-676.322389704527 -117.756925100227 -295.623307202953</f>
        <v>-1089.7026220077071</v>
      </c>
      <c r="F2554">
        <f>-688.725762290681 -107.327595918399 -383.233989699261</f>
        <v>-1179.287347908341</v>
      </c>
      <c r="G2554">
        <f>-698.541038453756 -90.7600680157893 -470.224798320882</f>
        <v>-1259.5259047904274</v>
      </c>
      <c r="H2554">
        <f>-709.449745156311 -61.2598452576999 -590.771719836306</f>
        <v>-1361.4813102503169</v>
      </c>
      <c r="I2554">
        <f>-685.767051537761 -28.4040942271176 -663.329695297605</f>
        <v>-1377.5008410624837</v>
      </c>
      <c r="J2554">
        <f>-719.077151700482 -51.59751220971 -530.877933329207</f>
        <v>-1301.5525972393989</v>
      </c>
      <c r="K2554" t="s">
        <v>27365</v>
      </c>
      <c r="L2554" t="s">
        <v>27366</v>
      </c>
      <c r="M2554" t="s">
        <v>27367</v>
      </c>
      <c r="N2554">
        <f>-690.221466339853 -96.8853391884387 -544.572089389897</f>
        <v>-1331.6788949181887</v>
      </c>
      <c r="O2554">
        <f>-616.669327212658 -212.840403697149 -550.931850550775</f>
        <v>-1380.441581460582</v>
      </c>
      <c r="P2554">
        <f>-557.656148737361 -333.089841099641 -288.922771407001</f>
        <v>-1179.668761244003</v>
      </c>
      <c r="Q2554">
        <f>-461.146728762725 -113.671028614492 -313.258113292269</f>
        <v>-888.07587066948599</v>
      </c>
      <c r="R2554">
        <f>-691.820575159263 -30.5153370225021 -83.04505562082</f>
        <v>-805.38096780258502</v>
      </c>
      <c r="S2554" t="s">
        <v>27368</v>
      </c>
      <c r="T2554" t="s">
        <v>27369</v>
      </c>
      <c r="U2554" t="s">
        <v>27370</v>
      </c>
      <c r="V2554">
        <f>-576.902124709736 -189.056601255963 -91.6950351529642</f>
        <v>-857.65376111866317</v>
      </c>
      <c r="W2554" t="s">
        <v>27371</v>
      </c>
      <c r="X2554" t="s">
        <v>27372</v>
      </c>
      <c r="Y2554" t="s">
        <v>27373</v>
      </c>
    </row>
    <row r="2555" spans="1:25" x14ac:dyDescent="0.3">
      <c r="A2555">
        <v>127700</v>
      </c>
      <c r="B2555" t="s">
        <v>27374</v>
      </c>
      <c r="C2555">
        <f>-633.173086825162 -114.323862856576 -86.3535768103333</f>
        <v>-833.85052649207125</v>
      </c>
      <c r="D2555">
        <f>-658.85006550376 -127.665014154756 -198.509473183541</f>
        <v>-985.02455284205701</v>
      </c>
      <c r="E2555">
        <f>-675.055902617439 -122.960175108745 -295.678847657221</f>
        <v>-1093.694925383405</v>
      </c>
      <c r="F2555">
        <f>-687.662539455823 -112.644889192873 -383.274023215439</f>
        <v>-1183.581451864135</v>
      </c>
      <c r="G2555">
        <f>-697.826144604821 -96.1361572707211 -470.236074555271</f>
        <v>-1264.1983764308131</v>
      </c>
      <c r="H2555">
        <f>-709.373815930409 -66.6583259622458 -590.728844061095</f>
        <v>-1366.7609859537497</v>
      </c>
      <c r="I2555">
        <f>-686.085844509234 -33.2308049276382 -663.153318929977</f>
        <v>-1382.4699683668491</v>
      </c>
      <c r="J2555">
        <f>-719.072575500807 -57.2298487710722 -530.809261277854</f>
        <v>-1307.1116855497332</v>
      </c>
      <c r="K2555" t="s">
        <v>27375</v>
      </c>
      <c r="L2555" t="s">
        <v>27376</v>
      </c>
      <c r="M2555" t="s">
        <v>27377</v>
      </c>
      <c r="N2555">
        <f>-689.511885932085 -102.030311969709 -544.602506312492</f>
        <v>-1336.1447042142859</v>
      </c>
      <c r="O2555">
        <f>-614.30544308641 -216.924844376915 -551.13918710059</f>
        <v>-1382.369474563915</v>
      </c>
      <c r="P2555">
        <f>-553.280792197282 -336.320165478748 -289.200351676103</f>
        <v>-1178.8013093521331</v>
      </c>
      <c r="Q2555">
        <f>-457.86462289353 -116.8536421581 -317.147597710979</f>
        <v>-891.86586276260891</v>
      </c>
      <c r="R2555">
        <f>-691.40471769899 -36.097918541737 -83.1070640385786</f>
        <v>-810.60970027930568</v>
      </c>
      <c r="S2555" t="s">
        <v>27378</v>
      </c>
      <c r="T2555" t="s">
        <v>27379</v>
      </c>
      <c r="U2555" t="s">
        <v>27380</v>
      </c>
      <c r="V2555">
        <f>-575.187725074005 -192.885835665568 -91.7416723945</f>
        <v>-859.81523313407308</v>
      </c>
      <c r="W2555" t="s">
        <v>27381</v>
      </c>
      <c r="X2555" t="s">
        <v>27382</v>
      </c>
      <c r="Y2555" t="s">
        <v>27383</v>
      </c>
    </row>
    <row r="2556" spans="1:25" x14ac:dyDescent="0.3">
      <c r="A2556">
        <v>127750</v>
      </c>
      <c r="B2556" t="s">
        <v>27384</v>
      </c>
      <c r="C2556">
        <f>-632.41799451123 -116.503662104752 -86.2509344882396</f>
        <v>-835.17259110422162</v>
      </c>
      <c r="D2556">
        <f>-657.963036364225 -130.051727901493 -198.412071245569</f>
        <v>-986.42683551128698</v>
      </c>
      <c r="E2556">
        <f>-674.179477501534 -125.420626363657 -295.583307071298</f>
        <v>-1095.1834109364891</v>
      </c>
      <c r="F2556">
        <f>-686.845923300766 -115.131440578408 -383.172823246523</f>
        <v>-1185.1501871256971</v>
      </c>
      <c r="G2556">
        <f>-697.123012006443 -98.6048463195517 -470.118149683405</f>
        <v>-1265.8460080093996</v>
      </c>
      <c r="H2556">
        <f>-708.887111529004 -69.054781267263 -590.57237548592</f>
        <v>-1368.514268282187</v>
      </c>
      <c r="I2556">
        <f>-685.842712385859 -35.3237555873127 -662.933924887307</f>
        <v>-1384.1003928604787</v>
      </c>
      <c r="J2556">
        <f>-718.698115231879 -59.8045423437595 -530.643297613299</f>
        <v>-1309.1459551889375</v>
      </c>
      <c r="K2556" t="s">
        <v>27385</v>
      </c>
      <c r="L2556" t="s">
        <v>27386</v>
      </c>
      <c r="M2556" t="s">
        <v>27387</v>
      </c>
      <c r="N2556">
        <f>-688.72251136179 -104.312043947035 -544.489593179362</f>
        <v>-1337.5241484881872</v>
      </c>
      <c r="O2556">
        <f>-612.534817604768 -218.554015367376 -551.111679934974</f>
        <v>-1382.2005129071181</v>
      </c>
      <c r="P2556">
        <f>-550.857307536181 -337.718012602964 -289.220364415864</f>
        <v>-1177.7956845550091</v>
      </c>
      <c r="Q2556">
        <f>-456.188921695625 -118.131803995574 -318.727748463226</f>
        <v>-893.04847415442509</v>
      </c>
      <c r="R2556">
        <f>-690.994299208736 -38.7757831096374 -83.0374609577312</f>
        <v>-812.80754327610464</v>
      </c>
      <c r="S2556" t="s">
        <v>27388</v>
      </c>
      <c r="T2556" t="s">
        <v>27389</v>
      </c>
      <c r="U2556" t="s">
        <v>27390</v>
      </c>
      <c r="V2556">
        <f>-574.082392316053 -194.481011625901 -91.5909486891481</f>
        <v>-860.15435263110214</v>
      </c>
      <c r="W2556" t="s">
        <v>27391</v>
      </c>
      <c r="X2556" t="s">
        <v>27392</v>
      </c>
      <c r="Y2556" t="s">
        <v>27393</v>
      </c>
    </row>
    <row r="2557" spans="1:25" x14ac:dyDescent="0.3">
      <c r="A2557">
        <v>127800</v>
      </c>
      <c r="B2557" t="s">
        <v>27394</v>
      </c>
      <c r="C2557">
        <f>-630.573101227637 -120.572997554665 -85.9785380012312</f>
        <v>-837.12463678353322</v>
      </c>
      <c r="D2557">
        <f>-656.020720711011 -134.711922958033 -198.088945873983</f>
        <v>-988.82158954302702</v>
      </c>
      <c r="E2557">
        <f>-672.326615419325 -130.233878829619 -295.252342051701</f>
        <v>-1097.8128363006449</v>
      </c>
      <c r="F2557">
        <f>-685.137426092722 -119.945445650136 -382.820911836848</f>
        <v>-1187.903783579706</v>
      </c>
      <c r="G2557">
        <f>-695.626543937638 -103.276984390053 -469.713908997559</f>
        <v>-1268.61743732525</v>
      </c>
      <c r="H2557">
        <f>-707.758336356467 -73.3807201014142 -590.046077729987</f>
        <v>-1371.1851341878682</v>
      </c>
      <c r="I2557">
        <f>-685.286928347566 -39.0627844830876 -662.311885653252</f>
        <v>-1386.6615984839057</v>
      </c>
      <c r="J2557">
        <f>-717.83415821466 -64.6018484620608 -530.090130280722</f>
        <v>-1312.5261369574428</v>
      </c>
      <c r="K2557" t="s">
        <v>27395</v>
      </c>
      <c r="L2557" t="s">
        <v>27396</v>
      </c>
      <c r="M2557" t="s">
        <v>27397</v>
      </c>
      <c r="N2557">
        <f>-687.005175983576 -108.471327163376 -544.097648288502</f>
        <v>-1339.574151435454</v>
      </c>
      <c r="O2557">
        <f>-608.798578315422 -221.310282907007 -551.12607436203</f>
        <v>-1381.234935584459</v>
      </c>
      <c r="P2557">
        <f>-544.891041741407 -340.397719425258 -289.735098063418</f>
        <v>-1175.023859230083</v>
      </c>
      <c r="Q2557">
        <f>-452.841610524143 -119.931672002365 -320.919638722969</f>
        <v>-893.69292124947697</v>
      </c>
      <c r="R2557">
        <f>-690.259619907622 -43.672511078428 -82.790316273054</f>
        <v>-816.722447259104</v>
      </c>
      <c r="S2557" t="s">
        <v>27398</v>
      </c>
      <c r="T2557" t="s">
        <v>27399</v>
      </c>
      <c r="U2557" t="s">
        <v>27400</v>
      </c>
      <c r="V2557">
        <f>-571.0743381225 -197.696912622069 -91.2552220930703</f>
        <v>-860.02647283763929</v>
      </c>
      <c r="W2557" t="s">
        <v>27401</v>
      </c>
      <c r="X2557" t="s">
        <v>27402</v>
      </c>
      <c r="Y2557" t="s">
        <v>27403</v>
      </c>
    </row>
    <row r="2558" spans="1:25" x14ac:dyDescent="0.3">
      <c r="A2558">
        <v>127850</v>
      </c>
      <c r="B2558" t="s">
        <v>27404</v>
      </c>
      <c r="C2558">
        <f>-629.556084723573 -122.616384358628 -85.8786646864661</f>
        <v>-838.05113376866711</v>
      </c>
      <c r="D2558">
        <f>-654.918011635999 -137.063259502784 -197.969154311249</f>
        <v>-989.95042545003207</v>
      </c>
      <c r="E2558">
        <f>-671.312646117553 -132.69016924441 -295.122366842776</f>
        <v>-1099.1251822047388</v>
      </c>
      <c r="F2558">
        <f>-684.261563346836 -122.436252626119 -382.674882818483</f>
        <v>-1189.3726987914381</v>
      </c>
      <c r="G2558">
        <f>-694.946052239859 -105.739658770746 -469.538525588904</f>
        <v>-1270.2242365995089</v>
      </c>
      <c r="H2558">
        <f>-707.408539540355 -75.7388802508701 -589.810863083161</f>
        <v>-1372.9582828743862</v>
      </c>
      <c r="I2558">
        <f>-685.283273940704 -41.180355466287 -662.068860889886</f>
        <v>-1388.5324902968769</v>
      </c>
      <c r="J2558">
        <f>-717.534404931829 -67.1597724140707 -529.834483842489</f>
        <v>-1314.5286611883889</v>
      </c>
      <c r="K2558" t="s">
        <v>27405</v>
      </c>
      <c r="L2558" t="s">
        <v>27406</v>
      </c>
      <c r="M2558" t="s">
        <v>27407</v>
      </c>
      <c r="N2558">
        <f>-686.314401087746 -110.72165278901 -543.935505515077</f>
        <v>-1340.9715593918331</v>
      </c>
      <c r="O2558">
        <f>-607.083880818339 -222.821359151247 -551.242692205646</f>
        <v>-1381.1479321752322</v>
      </c>
      <c r="P2558">
        <f>-541.56716280871 -341.712488321586 -290.161009106872</f>
        <v>-1173.440660237168</v>
      </c>
      <c r="Q2558">
        <f>-451.410595906621 -120.475937896108 -321.419055239049</f>
        <v>-893.30558904177792</v>
      </c>
      <c r="R2558">
        <f>-689.8966986938 -46.2299709657846 -82.6835668891071</f>
        <v>-818.81023654869159</v>
      </c>
      <c r="S2558" t="s">
        <v>27408</v>
      </c>
      <c r="T2558" t="s">
        <v>27409</v>
      </c>
      <c r="U2558" t="s">
        <v>27410</v>
      </c>
      <c r="V2558">
        <f>-569.40318796735 -199.320062756135 -91.1345828434715</f>
        <v>-859.85783356695663</v>
      </c>
      <c r="W2558" t="s">
        <v>27411</v>
      </c>
      <c r="X2558" t="s">
        <v>27412</v>
      </c>
      <c r="Y2558" t="s">
        <v>27413</v>
      </c>
    </row>
    <row r="2559" spans="1:25" x14ac:dyDescent="0.3">
      <c r="A2559">
        <v>127900</v>
      </c>
      <c r="B2559" t="s">
        <v>27414</v>
      </c>
      <c r="C2559">
        <f>-628.307993742989 -124.446292925526 -85.789816810335</f>
        <v>-838.54410347884993</v>
      </c>
      <c r="D2559">
        <f>-653.535897451725 -139.201656968425 -197.870311045483</f>
        <v>-990.60786546563304</v>
      </c>
      <c r="E2559">
        <f>-670.043785167975 -134.976298679329 -295.010950337243</f>
        <v>-1100.031034184547</v>
      </c>
      <c r="F2559">
        <f>-683.176641786713 -124.81275115279 -382.546524586826</f>
        <v>-1190.5359175263291</v>
      </c>
      <c r="G2559">
        <f>-694.124553841715 -108.160651032587 -469.385947856429</f>
        <v>-1271.6711527307311</v>
      </c>
      <c r="H2559">
        <f>-707.034308335392 -78.1747504787436 -589.614924942391</f>
        <v>-1374.8239837565266</v>
      </c>
      <c r="I2559">
        <f>-685.303746611505 -43.4386281021168 -661.907451583464</f>
        <v>-1390.6498262970858</v>
      </c>
      <c r="J2559">
        <f>-717.126129979011 -69.7206275289548 -529.615058052602</f>
        <v>-1316.4618155605676</v>
      </c>
      <c r="K2559" t="s">
        <v>27415</v>
      </c>
      <c r="L2559" t="s">
        <v>27416</v>
      </c>
      <c r="M2559" t="s">
        <v>27417</v>
      </c>
      <c r="N2559">
        <f>-685.580559096962 -113.019464018443 -543.801321326261</f>
        <v>-1342.401344441666</v>
      </c>
      <c r="O2559">
        <f>-605.420737716872 -224.429670033471 -551.371629355194</f>
        <v>-1381.2220371055371</v>
      </c>
      <c r="P2559">
        <f>-537.837083146008 -343.029832586628 -290.684745034428</f>
        <v>-1171.551660767064</v>
      </c>
      <c r="Q2559">
        <f>-449.902675243198 -120.879615975528 -321.792391087914</f>
        <v>-892.57468230663994</v>
      </c>
      <c r="R2559">
        <f>-689.365012545244 -48.6263163176834 -82.6061967172562</f>
        <v>-820.59752558018363</v>
      </c>
      <c r="S2559" t="s">
        <v>27418</v>
      </c>
      <c r="T2559" t="s">
        <v>27419</v>
      </c>
      <c r="U2559" t="s">
        <v>27420</v>
      </c>
      <c r="V2559">
        <f>-567.349937695708 -200.483644432432 -91.0198815729547</f>
        <v>-858.85346370109471</v>
      </c>
      <c r="W2559" t="s">
        <v>27421</v>
      </c>
      <c r="X2559" t="s">
        <v>27422</v>
      </c>
      <c r="Y2559" t="s">
        <v>27423</v>
      </c>
    </row>
    <row r="2560" spans="1:25" x14ac:dyDescent="0.3">
      <c r="A2560">
        <v>127950</v>
      </c>
      <c r="B2560" t="s">
        <v>27424</v>
      </c>
      <c r="C2560">
        <f>-625.652051145244 -127.75050381561 -85.6920569970233</f>
        <v>-839.09461195787731</v>
      </c>
      <c r="D2560">
        <f>-650.51222142643 -143.094447358426 -197.775736199893</f>
        <v>-991.38240498474897</v>
      </c>
      <c r="E2560">
        <f>-667.156740454636 -139.230587829963 -294.908152243235</f>
        <v>-1101.2954805278341</v>
      </c>
      <c r="F2560">
        <f>-680.575047869063 -129.342015793986 -382.431926622</f>
        <v>-1192.348990285049</v>
      </c>
      <c r="G2560">
        <f>-691.964600038104 -112.908399292853 -469.256082375799</f>
        <v>-1274.1290817067561</v>
      </c>
      <c r="H2560">
        <f>-705.646487618543 -83.1682987022846 -589.460631378774</f>
        <v>-1378.2754176996016</v>
      </c>
      <c r="I2560">
        <f>-684.752594861635 -48.2430160926318 -661.908513397573</f>
        <v>-1394.9041243518398</v>
      </c>
      <c r="J2560">
        <f>-715.656213407399 -74.808705034039 -529.433834692544</f>
        <v>-1319.8987531339822</v>
      </c>
      <c r="K2560" t="s">
        <v>27425</v>
      </c>
      <c r="L2560" t="s">
        <v>27426</v>
      </c>
      <c r="M2560" t="s">
        <v>27427</v>
      </c>
      <c r="N2560">
        <f>-683.59529419044 -117.702333405068 -543.695526010127</f>
        <v>-1344.9931536056349</v>
      </c>
      <c r="O2560">
        <f>-601.861594388002 -227.959988940192 -551.354219344291</f>
        <v>-1381.1758026724851</v>
      </c>
      <c r="P2560">
        <f>-529.909068576745 -345.595433741261 -291.400324647875</f>
        <v>-1166.9048269658811</v>
      </c>
      <c r="Q2560">
        <f>-447.028239117275 -121.560009773417 -322.86075687765</f>
        <v>-891.44900576834198</v>
      </c>
      <c r="R2560">
        <f>-688.262152326962 -52.8639833776643 -82.6655408206326</f>
        <v>-823.79167652525894</v>
      </c>
      <c r="S2560" t="s">
        <v>27428</v>
      </c>
      <c r="T2560" t="s">
        <v>27429</v>
      </c>
      <c r="U2560" t="s">
        <v>27430</v>
      </c>
      <c r="V2560">
        <f>-563.181858220747 -202.984384122284 -90.7824064941987</f>
        <v>-856.94864883722971</v>
      </c>
      <c r="W2560" t="s">
        <v>27431</v>
      </c>
      <c r="X2560" t="s">
        <v>27432</v>
      </c>
      <c r="Y2560" t="s">
        <v>27433</v>
      </c>
    </row>
    <row r="2561" spans="1:25" x14ac:dyDescent="0.3">
      <c r="A2561">
        <v>128000</v>
      </c>
      <c r="B2561" t="s">
        <v>27434</v>
      </c>
      <c r="C2561">
        <f>-623.480951864744 -130.449574952418 -85.7143095119767</f>
        <v>-839.64483632913868</v>
      </c>
      <c r="D2561">
        <f>-648.045371489445 -146.168501345326 -197.811203661251</f>
        <v>-992.02507649602194</v>
      </c>
      <c r="E2561">
        <f>-664.638700741397 -142.615711374171 -294.964205638183</f>
        <v>-1102.218617753751</v>
      </c>
      <c r="F2561">
        <f>-678.079285223156 -133.008810460812 -382.515880104461</f>
        <v>-1193.6039757884291</v>
      </c>
      <c r="G2561">
        <f>-689.557147707906 -116.853146042947 -469.380747652859</f>
        <v>-1275.7910414037119</v>
      </c>
      <c r="H2561">
        <f>-703.426720766951 -87.4968120191504 -589.658073392355</f>
        <v>-1380.5816061784565</v>
      </c>
      <c r="I2561">
        <f>-683.268393675222 -52.5844981975425 -662.320266665926</f>
        <v>-1398.1731585386906</v>
      </c>
      <c r="J2561">
        <f>-713.573920418217 -79.1150342828154 -529.657315517996</f>
        <v>-1322.3462702190284</v>
      </c>
      <c r="K2561" t="s">
        <v>27435</v>
      </c>
      <c r="L2561" t="s">
        <v>27436</v>
      </c>
      <c r="M2561" t="s">
        <v>27437</v>
      </c>
      <c r="N2561">
        <f>-681.072994403718 -121.715097756459 -543.8026283534</f>
        <v>-1346.590720513577</v>
      </c>
      <c r="O2561">
        <f>-598.025863495285 -231.03941656961 -550.999979168806</f>
        <v>-1380.065259233701</v>
      </c>
      <c r="P2561">
        <f>-523.217635796854 -347.056784837448 -291.125135284908</f>
        <v>-1161.3995559192101</v>
      </c>
      <c r="Q2561">
        <f>-444.843609670039 -121.61704481155 -324.069175507575</f>
        <v>-890.529829989164</v>
      </c>
      <c r="R2561">
        <f>-687.604796665742 -56.0481523033756 -82.7831754814121</f>
        <v>-826.43612445052963</v>
      </c>
      <c r="S2561" t="s">
        <v>27438</v>
      </c>
      <c r="T2561" t="s">
        <v>27439</v>
      </c>
      <c r="U2561" t="s">
        <v>27440</v>
      </c>
      <c r="V2561">
        <f>-559.677857686556 -204.964342113553 -90.7506398421262</f>
        <v>-855.39283964223523</v>
      </c>
      <c r="W2561" t="s">
        <v>27441</v>
      </c>
      <c r="X2561" t="s">
        <v>27442</v>
      </c>
      <c r="Y2561" t="s">
        <v>27443</v>
      </c>
    </row>
    <row r="2562" spans="1:25" x14ac:dyDescent="0.3">
      <c r="A2562">
        <v>128050</v>
      </c>
      <c r="B2562" t="s">
        <v>27444</v>
      </c>
      <c r="C2562">
        <f>-622.705777505201 -131.631812508754 -85.6184555056764</f>
        <v>-839.9560455196314</v>
      </c>
      <c r="D2562">
        <f>-647.07878424856 -147.524927265038 -197.732569693458</f>
        <v>-992.336281207056</v>
      </c>
      <c r="E2562">
        <f>-663.589521457066 -144.092665208526 -294.90396464376</f>
        <v>-1102.5861513093519</v>
      </c>
      <c r="F2562">
        <f>-676.987360061053 -134.584210125049 -382.472934469693</f>
        <v>-1194.044504655795</v>
      </c>
      <c r="G2562">
        <f>-688.455995356759 -118.51408639746 -469.354852100387</f>
        <v>-1276.3249338546061</v>
      </c>
      <c r="H2562">
        <f>-702.348086325464 -89.2628836237502 -589.655337833931</f>
        <v>-1381.2663077831453</v>
      </c>
      <c r="I2562">
        <f>-682.581535688309 -54.3898492242748 -662.443879626829</f>
        <v>-1399.4152645394129</v>
      </c>
      <c r="J2562">
        <f>-712.611859108067 -80.924036259482 -529.668274478673</f>
        <v>-1323.2041698462222</v>
      </c>
      <c r="K2562" t="s">
        <v>27445</v>
      </c>
      <c r="L2562" t="s">
        <v>27446</v>
      </c>
      <c r="M2562" t="s">
        <v>27447</v>
      </c>
      <c r="N2562">
        <f>-679.857867438056 -123.345766267627 -543.765692989557</f>
        <v>-1346.9693266952399</v>
      </c>
      <c r="O2562">
        <f>-596.221815574217 -232.239988320147 -550.716770543717</f>
        <v>-1379.1785744380809</v>
      </c>
      <c r="P2562">
        <f>-520.555931285801 -347.489561839036 -290.74866436529</f>
        <v>-1158.794157490127</v>
      </c>
      <c r="Q2562">
        <f>-444.246634129806 -121.469335984547 -324.551209651839</f>
        <v>-890.26717976619193</v>
      </c>
      <c r="R2562">
        <f>-687.141916965018 -57.663838568324 -82.7762794534721</f>
        <v>-827.58203498681405</v>
      </c>
      <c r="S2562" t="s">
        <v>27448</v>
      </c>
      <c r="T2562" t="s">
        <v>27449</v>
      </c>
      <c r="U2562" t="s">
        <v>27450</v>
      </c>
      <c r="V2562">
        <f>-558.611105392939 -205.919170597696 -90.4937908027395</f>
        <v>-855.02406679337435</v>
      </c>
      <c r="W2562" t="s">
        <v>27451</v>
      </c>
      <c r="X2562" t="s">
        <v>27452</v>
      </c>
      <c r="Y2562" t="s">
        <v>27453</v>
      </c>
    </row>
    <row r="2563" spans="1:25" x14ac:dyDescent="0.3">
      <c r="A2563">
        <v>128100</v>
      </c>
      <c r="B2563" t="s">
        <v>27454</v>
      </c>
      <c r="C2563">
        <f>-621.616121276906 -133.950719488095 -85.174425272642</f>
        <v>-840.74126603764296</v>
      </c>
      <c r="D2563">
        <f>-645.450992084045 -150.110941492556 -197.366128416315</f>
        <v>-992.9280619929159</v>
      </c>
      <c r="E2563">
        <f>-661.575268583896 -146.984789069524 -294.612708986189</f>
        <v>-1103.1727666396091</v>
      </c>
      <c r="F2563">
        <f>-674.666413490204 -137.781782025576 -382.260568926943</f>
        <v>-1194.7087644427231</v>
      </c>
      <c r="G2563">
        <f>-685.882112123787 -122.039417155051 -469.23544806851</f>
        <v>-1277.1569773473479</v>
      </c>
      <c r="H2563">
        <f>-699.485208027582 -93.2653105687275 -589.68381259264</f>
        <v>-1382.4343311889495</v>
      </c>
      <c r="I2563">
        <f>-680.330974527728 -58.6134171119944 -662.741238372716</f>
        <v>-1401.6856300124384</v>
      </c>
      <c r="J2563">
        <f>-710.143551125346 -84.8790525057497 -529.772456349966</f>
        <v>-1324.7950599810615</v>
      </c>
      <c r="K2563" t="s">
        <v>27455</v>
      </c>
      <c r="L2563" t="s">
        <v>27456</v>
      </c>
      <c r="M2563" t="s">
        <v>27457</v>
      </c>
      <c r="N2563">
        <f>-676.854685844172 -126.975786599474 -543.588602018032</f>
        <v>-1347.4190744616781</v>
      </c>
      <c r="O2563">
        <f>-591.930635956842 -234.889079228299 -549.728438999823</f>
        <v>-1376.548154184964</v>
      </c>
      <c r="P2563">
        <f>-514.862240749165 -348.611377134359 -289.499874069791</f>
        <v>-1152.973491953315</v>
      </c>
      <c r="Q2563">
        <f>-442.803423341256 -121.437522892152 -324.861561881072</f>
        <v>-889.10250811448009</v>
      </c>
      <c r="R2563">
        <f>-685.83929075818 -60.4863169907969 -82.6842277038891</f>
        <v>-829.00983545286601</v>
      </c>
      <c r="S2563" t="s">
        <v>27458</v>
      </c>
      <c r="T2563" t="s">
        <v>27459</v>
      </c>
      <c r="U2563" t="s">
        <v>27460</v>
      </c>
      <c r="V2563">
        <f>-557.67874963051 -207.638409418832 -89.710748112249</f>
        <v>-855.02790716159097</v>
      </c>
      <c r="W2563" t="s">
        <v>27461</v>
      </c>
      <c r="X2563" t="s">
        <v>27462</v>
      </c>
      <c r="Y2563" t="s">
        <v>27463</v>
      </c>
    </row>
    <row r="2564" spans="1:25" x14ac:dyDescent="0.3">
      <c r="A2564">
        <v>128150</v>
      </c>
      <c r="B2564" t="s">
        <v>27464</v>
      </c>
      <c r="C2564">
        <f>-621.33186953767 -134.638882202766 -84.9541076778285</f>
        <v>-840.92485941826442</v>
      </c>
      <c r="D2564">
        <f>-644.878785321395 -150.910805722268 -197.190411056951</f>
        <v>-992.980002100614</v>
      </c>
      <c r="E2564">
        <f>-660.705077990181 -147.971844107733 -294.491706643514</f>
        <v>-1103.1686287414282</v>
      </c>
      <c r="F2564">
        <f>-673.514556595481 -138.973331938544 -382.202452582473</f>
        <v>-1194.6903411164981</v>
      </c>
      <c r="G2564">
        <f>-684.441842402593 -123.467872298274 -469.256523254196</f>
        <v>-1277.166237955063</v>
      </c>
      <c r="H2564">
        <f>-697.639707010308 -95.0564063802965 -589.836163480341</f>
        <v>-1382.5322768709457</v>
      </c>
      <c r="I2564">
        <f>-678.683513586317 -60.6231287766382 -663.048353997941</f>
        <v>-1402.3549963608962</v>
      </c>
      <c r="J2564">
        <f>-708.571386206901 -86.5453293805773 -529.991611997751</f>
        <v>-1325.1083275852293</v>
      </c>
      <c r="K2564" t="s">
        <v>27465</v>
      </c>
      <c r="L2564" t="s">
        <v>27466</v>
      </c>
      <c r="M2564" t="s">
        <v>27467</v>
      </c>
      <c r="N2564">
        <f>-675.092683192378 -128.572429267162 -543.558533108539</f>
        <v>-1347.2236455680791</v>
      </c>
      <c r="O2564">
        <f>-589.736557163832 -236.188974607985 -549.078405805679</f>
        <v>-1375.0039375774959</v>
      </c>
      <c r="P2564">
        <f>-512.118876395746 -348.991479917992 -288.612915399974</f>
        <v>-1149.7232717137122</v>
      </c>
      <c r="Q2564">
        <f>-442.048068229824 -121.31701048875 -324.741836821359</f>
        <v>-888.10691553993308</v>
      </c>
      <c r="R2564">
        <f>-685.304414927674 -61.4645366867924 -82.6648029848019</f>
        <v>-829.43375459926824</v>
      </c>
      <c r="S2564" t="s">
        <v>27468</v>
      </c>
      <c r="T2564" t="s">
        <v>27469</v>
      </c>
      <c r="U2564" t="s">
        <v>27470</v>
      </c>
      <c r="V2564">
        <f>-557.574360697971 -207.975621136285 -89.4118292262048</f>
        <v>-854.96181106046072</v>
      </c>
      <c r="W2564" t="s">
        <v>27471</v>
      </c>
      <c r="X2564" t="s">
        <v>27472</v>
      </c>
      <c r="Y2564" t="s">
        <v>27473</v>
      </c>
    </row>
    <row r="2565" spans="1:25" x14ac:dyDescent="0.3">
      <c r="A2565">
        <v>128200</v>
      </c>
      <c r="B2565" t="s">
        <v>27474</v>
      </c>
      <c r="C2565">
        <f>-621.206765054508 -134.797615032904 -84.6744427224791</f>
        <v>-840.67882280989102</v>
      </c>
      <c r="D2565">
        <f>-644.228357337401 -151.109092487851 -197.013907781947</f>
        <v>-992.35135760719891</v>
      </c>
      <c r="E2565">
        <f>-659.467195356254 -148.485442007211 -294.41795838283</f>
        <v>-1102.3705957462951</v>
      </c>
      <c r="F2565">
        <f>-671.706365172524 -139.881582599881 -382.249816291144</f>
        <v>-1193.837764063549</v>
      </c>
      <c r="G2565">
        <f>-682.033837786305 -124.87624856785 -469.464507933702</f>
        <v>-1276.374594287857</v>
      </c>
      <c r="H2565">
        <f>-694.370947741161 -97.2689906638415 -590.321680582498</f>
        <v>-1381.9616189875005</v>
      </c>
      <c r="I2565">
        <f>-675.699321561382 -63.5331972779925 -663.930746926243</f>
        <v>-1403.1632657656176</v>
      </c>
      <c r="J2565">
        <f>-705.781625623619 -88.4006741722794 -530.618662441173</f>
        <v>-1324.8009622370714</v>
      </c>
      <c r="K2565" t="s">
        <v>27475</v>
      </c>
      <c r="L2565" t="s">
        <v>27476</v>
      </c>
      <c r="M2565" t="s">
        <v>27477</v>
      </c>
      <c r="N2565">
        <f>-672.10242864017 -130.434541540099 -543.658370253445</f>
        <v>-1346.1953404337141</v>
      </c>
      <c r="O2565">
        <f>-586.351128377788 -237.809730110881 -547.713686650707</f>
        <v>-1371.8745451393761</v>
      </c>
      <c r="P2565">
        <f>-508.933325964825 -348.094344562846 -286.112879146892</f>
        <v>-1143.1405496745631</v>
      </c>
      <c r="Q2565">
        <f>-441.072828980388 -119.96227563687 -323.550642410539</f>
        <v>-884.58574702779697</v>
      </c>
      <c r="R2565">
        <f>-685.088006740616 -62.0426874958536 -82.7153094873863</f>
        <v>-829.84600372385592</v>
      </c>
      <c r="S2565" t="s">
        <v>27478</v>
      </c>
      <c r="T2565" t="s">
        <v>27479</v>
      </c>
      <c r="U2565" t="s">
        <v>27480</v>
      </c>
      <c r="V2565">
        <f>-557.591095216793 -207.770586423434 -88.7941033691421</f>
        <v>-854.15578500936908</v>
      </c>
      <c r="W2565" t="s">
        <v>27481</v>
      </c>
      <c r="X2565" t="s">
        <v>27482</v>
      </c>
      <c r="Y2565" t="s">
        <v>27483</v>
      </c>
    </row>
    <row r="2566" spans="1:25" x14ac:dyDescent="0.3">
      <c r="A2566">
        <v>128250</v>
      </c>
      <c r="B2566" t="s">
        <v>27484</v>
      </c>
      <c r="C2566">
        <f>-621.412397321474 -134.705737559135 -84.5677234477313</f>
        <v>-840.68585832834026</v>
      </c>
      <c r="D2566">
        <f>-644.179484279827 -150.992935936237 -196.962492194751</f>
        <v>-992.13491241081499</v>
      </c>
      <c r="E2566">
        <f>-659.145049164188 -148.534566849669 -294.413353984624</f>
        <v>-1102.0929699984808</v>
      </c>
      <c r="F2566">
        <f>-671.121603201031 -140.15352311372 -382.302830808198</f>
        <v>-1193.5779571229491</v>
      </c>
      <c r="G2566">
        <f>-681.174463743618 -125.442191376085 -469.599725129309</f>
        <v>-1276.216380249012</v>
      </c>
      <c r="H2566">
        <f>-693.118886860054 -98.3180771011857 -590.605686380616</f>
        <v>-1382.0426503418557</v>
      </c>
      <c r="I2566">
        <f>-674.490493057539 -65.0487765592376 -664.437663594768</f>
        <v>-1403.9769332115445</v>
      </c>
      <c r="J2566">
        <f>-704.728866907938 -89.2157216990021 -530.976314584256</f>
        <v>-1324.920903191196</v>
      </c>
      <c r="K2566" t="s">
        <v>27485</v>
      </c>
      <c r="L2566" t="s">
        <v>27486</v>
      </c>
      <c r="M2566" t="s">
        <v>27487</v>
      </c>
      <c r="N2566">
        <f>-670.996624072814 -131.292330820319 -543.737648581382</f>
        <v>-1346.026603474515</v>
      </c>
      <c r="O2566">
        <f>-585.166778104702 -238.612240775197 -547.051753963803</f>
        <v>-1370.8307728437021</v>
      </c>
      <c r="P2566">
        <f>-508.169341794772 -347.744728842369 -284.844558754625</f>
        <v>-1140.7586293917659</v>
      </c>
      <c r="Q2566">
        <f>-440.901885686695 -119.515429190433 -322.756974292602</f>
        <v>-883.17428916972995</v>
      </c>
      <c r="R2566">
        <f>-685.272440638304 -62.0550131116569 -82.7498001553666</f>
        <v>-830.07725390532755</v>
      </c>
      <c r="S2566" t="s">
        <v>27488</v>
      </c>
      <c r="T2566" t="s">
        <v>27489</v>
      </c>
      <c r="U2566" t="s">
        <v>27490</v>
      </c>
      <c r="V2566">
        <f>-557.756396892077 -207.556525671703 -88.4725220190202</f>
        <v>-853.7854445828001</v>
      </c>
      <c r="W2566" t="s">
        <v>27491</v>
      </c>
      <c r="X2566" t="s">
        <v>27492</v>
      </c>
      <c r="Y2566" t="s">
        <v>27493</v>
      </c>
    </row>
    <row r="2567" spans="1:25" x14ac:dyDescent="0.3">
      <c r="A2567">
        <v>128300</v>
      </c>
      <c r="B2567" t="s">
        <v>27494</v>
      </c>
      <c r="C2567">
        <f>-621.475814699795 -134.864495413999 -84.4658418290524</f>
        <v>-840.80615194284633</v>
      </c>
      <c r="D2567">
        <f>-643.994293164441 -151.167238718326 -196.908504782768</f>
        <v>-992.07003666553499</v>
      </c>
      <c r="E2567">
        <f>-658.694748058213 -148.898436294625 -294.404200033703</f>
        <v>-1101.9973843865409</v>
      </c>
      <c r="F2567">
        <f>-670.414723235354 -140.75877714297 -382.351120244081</f>
        <v>-1193.5246206224051</v>
      </c>
      <c r="G2567">
        <f>-680.19634578472 -126.357450495069 -469.730441768496</f>
        <v>-1276.284238048285</v>
      </c>
      <c r="H2567">
        <f>-691.747995066739 -99.7357358410281 -590.885946392502</f>
        <v>-1382.3696773002691</v>
      </c>
      <c r="I2567">
        <f>-673.118019404896 -66.9798938913509 -664.94675201218</f>
        <v>-1405.0446653084268</v>
      </c>
      <c r="J2567">
        <f>-703.550183477422 -90.3852453680927 -531.332645651922</f>
        <v>-1325.2680744974368</v>
      </c>
      <c r="K2567" t="s">
        <v>27495</v>
      </c>
      <c r="L2567" t="s">
        <v>27496</v>
      </c>
      <c r="M2567" t="s">
        <v>27497</v>
      </c>
      <c r="N2567">
        <f>-669.779158162868 -132.515976954435 -543.810064542826</f>
        <v>-1346.1051996601291</v>
      </c>
      <c r="O2567">
        <f>-583.930408459627 -239.83377446688 -546.419163663937</f>
        <v>-1370.1833465904438</v>
      </c>
      <c r="P2567">
        <f>-507.50765394599 -347.661262053397 -283.504831650635</f>
        <v>-1138.6737476500221</v>
      </c>
      <c r="Q2567">
        <f>-440.400746040854 -119.459484607376 -321.864868364023</f>
        <v>-881.72509901225305</v>
      </c>
      <c r="R2567">
        <f>-685.370675074153 -62.3210513341571 -82.8122653571094</f>
        <v>-830.50399176541953</v>
      </c>
      <c r="S2567" t="s">
        <v>27498</v>
      </c>
      <c r="T2567" t="s">
        <v>27499</v>
      </c>
      <c r="U2567" t="s">
        <v>27500</v>
      </c>
      <c r="V2567">
        <f>-557.66625246647 -207.744024562408 -88.2214785192874</f>
        <v>-853.63175554816542</v>
      </c>
      <c r="W2567" t="s">
        <v>27501</v>
      </c>
      <c r="X2567" t="s">
        <v>27502</v>
      </c>
      <c r="Y2567" t="s">
        <v>27503</v>
      </c>
    </row>
    <row r="2568" spans="1:25" x14ac:dyDescent="0.3">
      <c r="A2568">
        <v>128350</v>
      </c>
      <c r="B2568" t="s">
        <v>27504</v>
      </c>
      <c r="C2568">
        <f>-621.192532280094 -135.546832115252 -84.1794714920879</f>
        <v>-840.91883588743394</v>
      </c>
      <c r="D2568">
        <f>-643.270700282047 -151.998415154355 -196.687829460343</f>
        <v>-991.95694489674497</v>
      </c>
      <c r="E2568">
        <f>-657.545084621057 -150.088868639452 -294.254398457481</f>
        <v>-1101.88835171799</v>
      </c>
      <c r="F2568">
        <f>-668.860127362335 -142.367797604165 -382.291875793093</f>
        <v>-1193.5198007595932</v>
      </c>
      <c r="G2568">
        <f>-678.217571595604 -128.476454045454 -469.800271208647</f>
        <v>-1276.4942968497051</v>
      </c>
      <c r="H2568">
        <f>-689.156434832881 -102.661100901251 -591.186959248769</f>
        <v>-1383.004494982901</v>
      </c>
      <c r="I2568">
        <f>-670.587512075051 -70.7973512371025 -665.651121099833</f>
        <v>-1407.0359844119864</v>
      </c>
      <c r="J2568">
        <f>-701.275170672829 -92.9275320060336 -531.758773388906</f>
        <v>-1325.9614760677687</v>
      </c>
      <c r="K2568" t="s">
        <v>27505</v>
      </c>
      <c r="L2568" t="s">
        <v>27506</v>
      </c>
      <c r="M2568" t="s">
        <v>27507</v>
      </c>
      <c r="N2568">
        <f>-667.410325352871 -135.114835401842 -543.782475998985</f>
        <v>-1346.307636753698</v>
      </c>
      <c r="O2568">
        <f>-581.437710093139 -242.391522260428 -545.256101410478</f>
        <v>-1369.0853337640451</v>
      </c>
      <c r="P2568">
        <f>-506.359043686472 -348.425420695815 -281.227229274125</f>
        <v>-1136.011693656412</v>
      </c>
      <c r="Q2568">
        <f>-439.433346056496 -120.327124852459 -320.508084275301</f>
        <v>-880.268555184256</v>
      </c>
      <c r="R2568">
        <f>-685.213717183849 -63.2152189249673 -82.8243894606138</f>
        <v>-831.2533255694301</v>
      </c>
      <c r="S2568" t="s">
        <v>27508</v>
      </c>
      <c r="T2568" t="s">
        <v>27509</v>
      </c>
      <c r="U2568" t="s">
        <v>27510</v>
      </c>
      <c r="V2568">
        <f>-557.352352488442 -208.21628845465 -87.5732967258958</f>
        <v>-853.14193766898779</v>
      </c>
      <c r="W2568" t="s">
        <v>27511</v>
      </c>
      <c r="X2568" t="s">
        <v>27512</v>
      </c>
      <c r="Y2568" t="s">
        <v>27513</v>
      </c>
    </row>
    <row r="2569" spans="1:25" x14ac:dyDescent="0.3">
      <c r="A2569">
        <v>128400</v>
      </c>
      <c r="B2569" t="s">
        <v>27514</v>
      </c>
      <c r="C2569">
        <f>-620.892868589906 -135.691788910705 -83.7538824664481</f>
        <v>-840.33853996705909</v>
      </c>
      <c r="D2569">
        <f>-642.673911665 -152.334074609372 -196.292036931849</f>
        <v>-991.300023206221</v>
      </c>
      <c r="E2569">
        <f>-656.75124495522 -150.675679813749 -293.89198258287</f>
        <v>-1101.318907351839</v>
      </c>
      <c r="F2569">
        <f>-667.916137514233 -143.215657325126 -381.971097172592</f>
        <v>-1193.1028920119511</v>
      </c>
      <c r="G2569">
        <f>-677.155636429579 -129.616079193284 -469.537826193766</f>
        <v>-1276.309541816629</v>
      </c>
      <c r="H2569">
        <f>-687.966289277052 -104.237928772576 -591.028039820112</f>
        <v>-1383.2322578697399</v>
      </c>
      <c r="I2569">
        <f>-669.537454925793 -72.8894531811476 -665.745358924611</f>
        <v>-1408.1722670315517</v>
      </c>
      <c r="J2569">
        <f>-700.244656026763 -94.3665407694771 -531.655432217247</f>
        <v>-1326.2666290134871</v>
      </c>
      <c r="K2569" t="s">
        <v>27515</v>
      </c>
      <c r="L2569" t="s">
        <v>27516</v>
      </c>
      <c r="M2569" t="s">
        <v>27517</v>
      </c>
      <c r="N2569">
        <f>-666.173412538095 -136.444660970134 -543.476905801933</f>
        <v>-1346.094979310162</v>
      </c>
      <c r="O2569">
        <f>-579.829946526244 -243.421644987612 -544.362954800273</f>
        <v>-1367.614546314129</v>
      </c>
      <c r="P2569">
        <f>-506.062952219965 -348.910568871677 -279.746851158501</f>
        <v>-1134.7203722501429</v>
      </c>
      <c r="Q2569">
        <f>-439.458748017123 -120.766229532026 -319.305821759527</f>
        <v>-879.53079930867602</v>
      </c>
      <c r="R2569">
        <f>-685.092023873833 -63.4986838255053 -82.7095594188355</f>
        <v>-831.30026711817379</v>
      </c>
      <c r="S2569" t="s">
        <v>27518</v>
      </c>
      <c r="T2569" t="s">
        <v>27519</v>
      </c>
      <c r="U2569" t="s">
        <v>27520</v>
      </c>
      <c r="V2569">
        <f>-556.941677370132 -208.136688890482 -86.9108125052973</f>
        <v>-851.98917876591122</v>
      </c>
      <c r="W2569" t="s">
        <v>27521</v>
      </c>
      <c r="X2569" t="s">
        <v>27522</v>
      </c>
      <c r="Y2569" t="s">
        <v>27523</v>
      </c>
    </row>
    <row r="2570" spans="1:25" x14ac:dyDescent="0.3">
      <c r="A2570">
        <v>128450</v>
      </c>
      <c r="B2570" t="s">
        <v>27524</v>
      </c>
      <c r="C2570">
        <f>-620.814037737276 -135.538777662829 -83.5984823185605</f>
        <v>-839.9512977186655</v>
      </c>
      <c r="D2570">
        <f>-642.516245328722 -152.264979560742 -196.139419991298</f>
        <v>-990.9206448807621</v>
      </c>
      <c r="E2570">
        <f>-656.577361001992 -150.698458191688 -293.743187645104</f>
        <v>-1101.019006838784</v>
      </c>
      <c r="F2570">
        <f>-667.751131644247 -143.328379554788 -381.828715509255</f>
        <v>-1192.9082267082902</v>
      </c>
      <c r="G2570">
        <f>-677.025484990141 -129.82399383548 -469.406442331233</f>
        <v>-1276.2559211568539</v>
      </c>
      <c r="H2570">
        <f>-687.913781942891 -104.583070885036 -590.918450158846</f>
        <v>-1383.415302986773</v>
      </c>
      <c r="I2570">
        <f>-669.574637205198 -73.38570516089 -665.720948773182</f>
        <v>-1408.6812911392699</v>
      </c>
      <c r="J2570">
        <f>-700.209102787073 -94.6879791117299 -531.553159668768</f>
        <v>-1326.4502415675709</v>
      </c>
      <c r="K2570" t="s">
        <v>27525</v>
      </c>
      <c r="L2570" t="s">
        <v>27526</v>
      </c>
      <c r="M2570" t="s">
        <v>27527</v>
      </c>
      <c r="N2570">
        <f>-666.035633322239 -136.692657521412 -543.340778006712</f>
        <v>-1346.069068850363</v>
      </c>
      <c r="O2570">
        <f>-579.502670288573 -243.513509148922 -544.05948645081</f>
        <v>-1367.0756658883051</v>
      </c>
      <c r="P2570">
        <f>-506.041274598952 -348.807451130523 -279.280828128468</f>
        <v>-1134.1295538579429</v>
      </c>
      <c r="Q2570">
        <f>-439.755487866258 -120.545691618165 -318.696895282002</f>
        <v>-878.99807476642513</v>
      </c>
      <c r="R2570">
        <f>-684.994685194281 -63.406284656498 -82.6563250226802</f>
        <v>-831.05729487345923</v>
      </c>
      <c r="S2570" t="s">
        <v>27528</v>
      </c>
      <c r="T2570" t="s">
        <v>27529</v>
      </c>
      <c r="U2570" t="s">
        <v>27530</v>
      </c>
      <c r="V2570">
        <f>-556.910785357313 -207.95269871822 -86.6538773350106</f>
        <v>-851.51736141054369</v>
      </c>
      <c r="W2570" t="s">
        <v>27531</v>
      </c>
      <c r="X2570" t="s">
        <v>27532</v>
      </c>
      <c r="Y2570" t="s">
        <v>27533</v>
      </c>
    </row>
    <row r="2571" spans="1:25" x14ac:dyDescent="0.3">
      <c r="A2571">
        <v>128500</v>
      </c>
      <c r="B2571" t="s">
        <v>27534</v>
      </c>
      <c r="C2571">
        <f>-620.566357743444 -134.850179183223 -83.3594248712111</f>
        <v>-838.77596179787804</v>
      </c>
      <c r="D2571">
        <f>-642.10843659445 -151.755578893431 -195.904393391724</f>
        <v>-989.76840887960498</v>
      </c>
      <c r="E2571">
        <f>-656.145691520379 -150.348967398841 -293.514010270838</f>
        <v>-1100.0086691900581</v>
      </c>
      <c r="F2571">
        <f>-667.343527225031 -143.125469320776 -381.608680995729</f>
        <v>-1192.0776775415361</v>
      </c>
      <c r="G2571">
        <f>-676.688695007759 -129.767854254507 -469.201365549469</f>
        <v>-1275.6579148117351</v>
      </c>
      <c r="H2571">
        <f>-687.725197843061 -104.730798287744 -590.742071461601</f>
        <v>-1383.198067592406</v>
      </c>
      <c r="I2571">
        <f>-669.450260868076 -73.7578533866691 -665.653530896696</f>
        <v>-1408.8616451514413</v>
      </c>
      <c r="J2571">
        <f>-700.01265250641 -94.7874074891572 -531.383244348707</f>
        <v>-1326.1833043442741</v>
      </c>
      <c r="K2571" t="s">
        <v>27535</v>
      </c>
      <c r="L2571" t="s">
        <v>27536</v>
      </c>
      <c r="M2571" t="s">
        <v>27537</v>
      </c>
      <c r="N2571">
        <f>-665.724530546624 -136.709301775477 -543.132660292723</f>
        <v>-1345.566492614824</v>
      </c>
      <c r="O2571">
        <f>-578.906176660044 -243.271065642197 -543.744262934364</f>
        <v>-1365.9215052366048</v>
      </c>
      <c r="P2571">
        <f>-505.791616889764 -348.254619329872 -278.746268090919</f>
        <v>-1132.7925043105552</v>
      </c>
      <c r="Q2571">
        <f>-440.919485221327 -119.522400674946 -317.785615223684</f>
        <v>-878.22750111995697</v>
      </c>
      <c r="R2571">
        <f>-684.857986623785 -62.9022082599784 -82.5625278252993</f>
        <v>-830.32272270906265</v>
      </c>
      <c r="S2571" t="s">
        <v>27538</v>
      </c>
      <c r="T2571" t="s">
        <v>27539</v>
      </c>
      <c r="U2571" t="s">
        <v>27540</v>
      </c>
      <c r="V2571">
        <f>-556.422187792913 -207.08167310661 -86.2467412974424</f>
        <v>-849.75060219696536</v>
      </c>
      <c r="W2571" t="s">
        <v>27541</v>
      </c>
      <c r="X2571" t="s">
        <v>27542</v>
      </c>
      <c r="Y2571" t="s">
        <v>27543</v>
      </c>
    </row>
    <row r="2572" spans="1:25" x14ac:dyDescent="0.3">
      <c r="A2572">
        <v>128550</v>
      </c>
      <c r="B2572" t="s">
        <v>27544</v>
      </c>
      <c r="C2572">
        <f>-620.319593900268 -134.547877810055 -83.2916109804123</f>
        <v>-838.15908269073543</v>
      </c>
      <c r="D2572">
        <f>-641.785004377608 -151.507080325134 -195.843076647458</f>
        <v>-989.13516135019995</v>
      </c>
      <c r="E2572">
        <f>-655.795890723145 -150.165135838926 -293.457412216745</f>
        <v>-1099.4184387788162</v>
      </c>
      <c r="F2572">
        <f>-666.982313611448 -143.008338356339 -381.558917381478</f>
        <v>-1191.5495693492651</v>
      </c>
      <c r="G2572">
        <f>-676.326346314269 -129.725593706401 -469.163131591942</f>
        <v>-1275.2150716126121</v>
      </c>
      <c r="H2572">
        <f>-687.370362505863 -104.801995923374 -590.726463247479</f>
        <v>-1382.8988216767161</v>
      </c>
      <c r="I2572">
        <f>-669.063476135872 -73.940030384673 -665.676038699135</f>
        <v>-1408.67954521968</v>
      </c>
      <c r="J2572">
        <f>-699.645457484454 -94.7963239317921 -531.375697491943</f>
        <v>-1325.8174789081891</v>
      </c>
      <c r="K2572" t="s">
        <v>27545</v>
      </c>
      <c r="L2572" t="s">
        <v>27546</v>
      </c>
      <c r="M2572" t="s">
        <v>27547</v>
      </c>
      <c r="N2572">
        <f>-665.375397006118 -136.742936487905 -543.089301627513</f>
        <v>-1345.207635121536</v>
      </c>
      <c r="O2572">
        <f>-578.559980948082 -243.322308425598 -543.630850682826</f>
        <v>-1365.513140056506</v>
      </c>
      <c r="P2572">
        <f>-505.60935833869 -348.04659950971 -278.485128713911</f>
        <v>-1132.1410865623111</v>
      </c>
      <c r="Q2572">
        <f>-441.697786261297 -119.037491192578 -317.485330703629</f>
        <v>-878.2206081575041</v>
      </c>
      <c r="R2572">
        <f>-684.60954163814 -62.682633977236 -82.5391208767445</f>
        <v>-829.83129649212049</v>
      </c>
      <c r="S2572" t="s">
        <v>27548</v>
      </c>
      <c r="T2572" t="s">
        <v>27549</v>
      </c>
      <c r="U2572" t="s">
        <v>27550</v>
      </c>
      <c r="V2572">
        <f>-556.109783724569 -206.809332418548 -86.1219037666989</f>
        <v>-849.04101990981587</v>
      </c>
      <c r="W2572" t="s">
        <v>27551</v>
      </c>
      <c r="X2572" t="s">
        <v>27552</v>
      </c>
      <c r="Y2572" t="s">
        <v>27553</v>
      </c>
    </row>
    <row r="2573" spans="1:25" x14ac:dyDescent="0.3">
      <c r="A2573">
        <v>128600</v>
      </c>
      <c r="B2573" t="s">
        <v>27554</v>
      </c>
      <c r="C2573">
        <f>-619.484000755932 -133.473130875961 -83.2253531870779</f>
        <v>-836.18248481897092</v>
      </c>
      <c r="D2573">
        <f>-640.931311553863 -150.405322187808 -195.784464125151</f>
        <v>-987.12109786682197</v>
      </c>
      <c r="E2573">
        <f>-654.926359727646 -149.159692618836 -293.40225564956</f>
        <v>-1097.4883079960418</v>
      </c>
      <c r="F2573">
        <f>-666.0969932914 -142.138282783785 -381.516646609499</f>
        <v>-1189.7519226846841</v>
      </c>
      <c r="G2573">
        <f>-675.422474656843 -129.038905951365 -469.150510274107</f>
        <v>-1273.611890882315</v>
      </c>
      <c r="H2573">
        <f>-686.436643998982 -104.421109957144 -590.778895533959</f>
        <v>-1381.6366494900851</v>
      </c>
      <c r="I2573">
        <f>-667.947232648389 -73.7699914447117 -665.770143583342</f>
        <v>-1407.4873676764428</v>
      </c>
      <c r="J2573">
        <f>-698.691088788383 -94.2380995082436 -531.453951367398</f>
        <v>-1324.3831396640246</v>
      </c>
      <c r="K2573" t="s">
        <v>27555</v>
      </c>
      <c r="L2573" t="s">
        <v>27556</v>
      </c>
      <c r="M2573" t="s">
        <v>27557</v>
      </c>
      <c r="N2573">
        <f>-664.488695411844 -136.270238694636 -543.058516080788</f>
        <v>-1343.8174501872679</v>
      </c>
      <c r="O2573">
        <f>-577.814214793966 -242.978526063262 -543.398214074098</f>
        <v>-1364.1909549313259</v>
      </c>
      <c r="P2573">
        <f>-505.977685017807 -347.210427714152 -277.754941427807</f>
        <v>-1130.943054159766</v>
      </c>
      <c r="Q2573">
        <f>-444.231557889577 -117.587797511628 -316.636052231239</f>
        <v>-878.45540763244401</v>
      </c>
      <c r="R2573">
        <f>-683.924979353614 -61.5827856013919 -82.502225925056</f>
        <v>-828.00999088006199</v>
      </c>
      <c r="S2573" t="s">
        <v>27558</v>
      </c>
      <c r="T2573" t="s">
        <v>27559</v>
      </c>
      <c r="U2573" t="s">
        <v>27560</v>
      </c>
      <c r="V2573">
        <f>-555.251814970239 -205.578275668412 -85.9982367620887</f>
        <v>-846.82832740073968</v>
      </c>
      <c r="W2573" t="s">
        <v>27561</v>
      </c>
      <c r="X2573" t="s">
        <v>27562</v>
      </c>
      <c r="Y2573" t="s">
        <v>27563</v>
      </c>
    </row>
    <row r="2574" spans="1:25" x14ac:dyDescent="0.3">
      <c r="A2574">
        <v>128650</v>
      </c>
      <c r="B2574" t="s">
        <v>27564</v>
      </c>
      <c r="C2574">
        <f>-619.276881967799 -132.715257968116 -83.137218941299</f>
        <v>-835.12935887721403</v>
      </c>
      <c r="D2574">
        <f>-640.752371633501 -149.627748952759 -195.693871269789</f>
        <v>-986.07399185604902</v>
      </c>
      <c r="E2574">
        <f>-654.755859299041 -148.418519449152 -293.310845834973</f>
        <v>-1096.485224583166</v>
      </c>
      <c r="F2574">
        <f>-665.928539385234 -141.450911686829 -381.429350009157</f>
        <v>-1188.8088010812198</v>
      </c>
      <c r="G2574">
        <f>-675.250746852102 -128.426443935271 -469.074694941071</f>
        <v>-1272.751885728444</v>
      </c>
      <c r="H2574">
        <f>-686.254600991909 -103.934684114062 -590.729442934343</f>
        <v>-1380.9187280403139</v>
      </c>
      <c r="I2574">
        <f>-667.610805196724 -73.3782986211081 -665.721207112582</f>
        <v>-1406.7103109304139</v>
      </c>
      <c r="J2574">
        <f>-698.493837810425 -93.6741729592886 -531.414741729444</f>
        <v>-1323.5827524991578</v>
      </c>
      <c r="K2574" t="s">
        <v>27565</v>
      </c>
      <c r="L2574" t="s">
        <v>27566</v>
      </c>
      <c r="M2574" t="s">
        <v>27567</v>
      </c>
      <c r="N2574">
        <f>-664.330809198206 -135.750344552097 -542.975680961579</f>
        <v>-1343.0568347118819</v>
      </c>
      <c r="O2574">
        <f>-577.740590779844 -242.521282324475 -543.209861371637</f>
        <v>-1363.4717344759561</v>
      </c>
      <c r="P2574">
        <f>-506.596484981602 -346.507000782443 -277.28375919954</f>
        <v>-1130.3872449635851</v>
      </c>
      <c r="Q2574">
        <f>-446.037254303285 -116.510693296058 -315.821445954727</f>
        <v>-878.36939355407003</v>
      </c>
      <c r="R2574">
        <f>-683.660418206748 -60.7920471579714 -82.4390770583249</f>
        <v>-826.89154242304426</v>
      </c>
      <c r="S2574" t="s">
        <v>27568</v>
      </c>
      <c r="T2574" t="s">
        <v>27569</v>
      </c>
      <c r="U2574" t="s">
        <v>27570</v>
      </c>
      <c r="V2574">
        <f>-555.175999936568 -204.92827728721 -85.8483270948174</f>
        <v>-845.95260431859538</v>
      </c>
      <c r="W2574" t="s">
        <v>27571</v>
      </c>
      <c r="X2574" t="s">
        <v>27572</v>
      </c>
      <c r="Y2574" t="s">
        <v>27573</v>
      </c>
    </row>
    <row r="2575" spans="1:25" x14ac:dyDescent="0.3">
      <c r="A2575">
        <v>128700</v>
      </c>
      <c r="B2575" t="s">
        <v>27574</v>
      </c>
      <c r="C2575">
        <f>-618.987021770224 -131.147494800933 -82.9588517033708</f>
        <v>-833.09336827452785</v>
      </c>
      <c r="D2575">
        <f>-640.567120155971 -148.016903166618 -195.501904181321</f>
        <v>-984.08592750391006</v>
      </c>
      <c r="E2575">
        <f>-654.607074555105 -146.84095137957 -293.114226321571</f>
        <v>-1094.562252256246</v>
      </c>
      <c r="F2575">
        <f>-665.795913732628 -139.930440399375 -381.235048339132</f>
        <v>-1186.961402471135</v>
      </c>
      <c r="G2575">
        <f>-675.119495832562 -126.989301421852 -468.892606194269</f>
        <v>-1271.001403448683</v>
      </c>
      <c r="H2575">
        <f>-686.111957260194 -102.640598309631 -590.577126678905</f>
        <v>-1379.32968224873</v>
      </c>
      <c r="I2575">
        <f>-667.083304969995 -72.2046845960895 -665.520995121308</f>
        <v>-1404.8089846873925</v>
      </c>
      <c r="J2575">
        <f>-698.349677334576 -92.3048369692851 -531.275189619066</f>
        <v>-1321.9297039229273</v>
      </c>
      <c r="K2575" t="s">
        <v>27575</v>
      </c>
      <c r="L2575" t="s">
        <v>27576</v>
      </c>
      <c r="M2575" t="s">
        <v>27577</v>
      </c>
      <c r="N2575">
        <f>-664.199762274821 -134.405724518191 -542.784362079162</f>
        <v>-1341.3898488721738</v>
      </c>
      <c r="O2575">
        <f>-577.602278177118 -241.174455466869 -543.032290170993</f>
        <v>-1361.8090238149798</v>
      </c>
      <c r="P2575">
        <f>-506.858740720864 -345.539501956833 -277.148053471092</f>
        <v>-1129.546296148789</v>
      </c>
      <c r="Q2575">
        <f>-450.149481222645 -114.174708327416 -313.276496180927</f>
        <v>-877.60068573098795</v>
      </c>
      <c r="R2575">
        <f>-683.209883268342 -59.1170493932093 -82.2798772411522</f>
        <v>-824.6068099027035</v>
      </c>
      <c r="S2575" t="s">
        <v>27578</v>
      </c>
      <c r="T2575" t="s">
        <v>27579</v>
      </c>
      <c r="U2575" t="s">
        <v>27580</v>
      </c>
      <c r="V2575">
        <f>-555.009911986849 -203.426941637823 -85.7250427942362</f>
        <v>-844.16189641890821</v>
      </c>
      <c r="W2575" t="s">
        <v>27581</v>
      </c>
      <c r="X2575" t="s">
        <v>27582</v>
      </c>
      <c r="Y2575" t="s">
        <v>27583</v>
      </c>
    </row>
    <row r="2576" spans="1:25" x14ac:dyDescent="0.3">
      <c r="A2576">
        <v>128750</v>
      </c>
      <c r="B2576" t="s">
        <v>27584</v>
      </c>
      <c r="C2576">
        <f>-618.81655513812 -130.405776052379 -82.8846815700465</f>
        <v>-832.10701276054544</v>
      </c>
      <c r="D2576">
        <f>-640.419273975011 -147.252876889708 -195.426755122395</f>
        <v>-983.09890598711399</v>
      </c>
      <c r="E2576">
        <f>-654.480982979638 -146.049135680604 -293.035574431466</f>
        <v>-1093.565693091708</v>
      </c>
      <c r="F2576">
        <f>-665.692045225136 -139.109443746754 -381.151322863898</f>
        <v>-1185.952811835788</v>
      </c>
      <c r="G2576">
        <f>-675.041163246531 -126.135028124611 -468.801225555108</f>
        <v>-1269.97741692625</v>
      </c>
      <c r="H2576">
        <f>-686.073743952805 -101.735214924591 -590.471785411761</f>
        <v>-1378.2807442891569</v>
      </c>
      <c r="I2576">
        <f>-666.838403402593 -71.3047602021989 -665.365195462554</f>
        <v>-1403.5083590673457</v>
      </c>
      <c r="J2576">
        <f>-698.294855270345 -91.4266718549308 -531.161700288516</f>
        <v>-1320.8832274137917</v>
      </c>
      <c r="K2576" t="s">
        <v>27585</v>
      </c>
      <c r="L2576" t="s">
        <v>27586</v>
      </c>
      <c r="M2576" t="s">
        <v>27587</v>
      </c>
      <c r="N2576">
        <f>-664.142872540483 -133.518118155395 -542.699521508719</f>
        <v>-1340.3605122045969</v>
      </c>
      <c r="O2576">
        <f>-577.564374021079 -240.296000336917 -543.046506983596</f>
        <v>-1360.906881341592</v>
      </c>
      <c r="P2576">
        <f>-506.508268498554 -345.032231477498 -277.39150988717</f>
        <v>-1128.932009863222</v>
      </c>
      <c r="Q2576">
        <f>-451.913314479392 -112.904465463045 -311.843966287711</f>
        <v>-876.66174623014808</v>
      </c>
      <c r="R2576">
        <f>-682.914618356308 -58.3354896133482 -82.2068252266816</f>
        <v>-823.45693319633779</v>
      </c>
      <c r="S2576" t="s">
        <v>27588</v>
      </c>
      <c r="T2576" t="s">
        <v>27589</v>
      </c>
      <c r="U2576" t="s">
        <v>27590</v>
      </c>
      <c r="V2576">
        <f>-554.871056383887 -202.789348898309 -85.6406894554781</f>
        <v>-843.30109473767402</v>
      </c>
      <c r="W2576" t="s">
        <v>27591</v>
      </c>
      <c r="X2576" t="s">
        <v>27592</v>
      </c>
      <c r="Y2576" t="s">
        <v>27593</v>
      </c>
    </row>
    <row r="2577" spans="1:25" x14ac:dyDescent="0.3">
      <c r="A2577">
        <v>128800</v>
      </c>
      <c r="B2577" t="s">
        <v>27594</v>
      </c>
      <c r="C2577">
        <f>-618.226604325625 -128.987523844098 -82.8470608999768</f>
        <v>-830.06118906969971</v>
      </c>
      <c r="D2577">
        <f>-639.75511867372 -145.771445527505 -195.41281866917</f>
        <v>-980.93938287039487</v>
      </c>
      <c r="E2577">
        <f>-653.80794263863 -144.515305354295 -293.022127987489</f>
        <v>-1091.345375980414</v>
      </c>
      <c r="F2577">
        <f>-665.036861173241 -137.527623405796 -381.131948417657</f>
        <v>-1183.6964329966941</v>
      </c>
      <c r="G2577">
        <f>-674.431637465982 -124.504116604312 -468.769724728436</f>
        <v>-1267.7054787987299</v>
      </c>
      <c r="H2577">
        <f>-685.559177178838 -100.033811599731 -590.417427820827</f>
        <v>-1376.010416599396</v>
      </c>
      <c r="I2577">
        <f>-665.886106692515 -69.5942860833784 -665.193421578082</f>
        <v>-1400.6738143539756</v>
      </c>
      <c r="J2577">
        <f>-697.737981974809 -89.7627428127125 -531.09214479289</f>
        <v>-1318.5928695804116</v>
      </c>
      <c r="K2577" t="s">
        <v>27595</v>
      </c>
      <c r="L2577" t="s">
        <v>27596</v>
      </c>
      <c r="M2577" t="s">
        <v>27597</v>
      </c>
      <c r="N2577">
        <f>-663.587058819961 -131.841206854847 -542.680462370821</f>
        <v>-1338.1087280456291</v>
      </c>
      <c r="O2577">
        <f>-576.980231602226 -238.5884698333 -543.248989107926</f>
        <v>-1358.817690543452</v>
      </c>
      <c r="P2577">
        <f>-505.754484583558 -343.841021219242 -277.843651260713</f>
        <v>-1127.439157063513</v>
      </c>
      <c r="Q2577">
        <f>-455.013270311668 -110.477636966791 -309.74554580556</f>
        <v>-875.23645308401899</v>
      </c>
      <c r="R2577">
        <f>-682.351963467395 -56.6456164931236 -82.1844728562884</f>
        <v>-821.18205281680696</v>
      </c>
      <c r="S2577" t="s">
        <v>27598</v>
      </c>
      <c r="T2577" t="s">
        <v>27599</v>
      </c>
      <c r="U2577" t="s">
        <v>27600</v>
      </c>
      <c r="V2577">
        <f>-554.229158268743 -201.612169939429 -85.581038192514</f>
        <v>-841.42236640068609</v>
      </c>
      <c r="W2577" t="s">
        <v>27601</v>
      </c>
      <c r="X2577" t="s">
        <v>27602</v>
      </c>
      <c r="Y2577" t="s">
        <v>27603</v>
      </c>
    </row>
    <row r="2578" spans="1:25" x14ac:dyDescent="0.3">
      <c r="A2578">
        <v>128850</v>
      </c>
      <c r="B2578" t="s">
        <v>27604</v>
      </c>
      <c r="C2578">
        <f>-617.887559850492 -128.27533453683 -82.9071448100575</f>
        <v>-829.07003919737951</v>
      </c>
      <c r="D2578">
        <f>-639.382777642319 -144.975650724831 -195.491685135915</f>
        <v>-979.8501135030649</v>
      </c>
      <c r="E2578">
        <f>-653.425366186653 -143.687548689637 -293.102132364801</f>
        <v>-1090.215047241091</v>
      </c>
      <c r="F2578">
        <f>-664.654168587062 -136.686528267293 -381.210816300664</f>
        <v>-1182.5515131550189</v>
      </c>
      <c r="G2578">
        <f>-674.058550330298 -123.665143945685 -468.847838615291</f>
        <v>-1266.571532891274</v>
      </c>
      <c r="H2578">
        <f>-685.210272410524 -99.2135422669135 -590.49717247416</f>
        <v>-1374.9209871515975</v>
      </c>
      <c r="I2578">
        <f>-665.302561079038 -68.7844510393026 -665.215254795635</f>
        <v>-1399.3022669139755</v>
      </c>
      <c r="J2578">
        <f>-697.366820130623 -88.9251423500928 -531.170402269272</f>
        <v>-1317.4623647499877</v>
      </c>
      <c r="K2578" t="s">
        <v>27605</v>
      </c>
      <c r="L2578" t="s">
        <v>27606</v>
      </c>
      <c r="M2578" t="s">
        <v>27607</v>
      </c>
      <c r="N2578">
        <f>-663.239090184692 -131.021837733812 -542.760274518347</f>
        <v>-1337.0212024368511</v>
      </c>
      <c r="O2578">
        <f>-576.677239702725 -237.813577597111 -543.348503029951</f>
        <v>-1357.8393203297869</v>
      </c>
      <c r="P2578">
        <f>-505.826394076755 -343.049928759986 -277.836381189342</f>
        <v>-1126.712704026083</v>
      </c>
      <c r="Q2578">
        <f>-456.29702310366 -109.356209977583 -309.220402092476</f>
        <v>-874.87363517371898</v>
      </c>
      <c r="R2578">
        <f>-682.074396137461 -55.7720900236682 -82.2267982132676</f>
        <v>-820.07328437439674</v>
      </c>
      <c r="S2578" t="s">
        <v>27608</v>
      </c>
      <c r="T2578" t="s">
        <v>27609</v>
      </c>
      <c r="U2578" t="s">
        <v>27610</v>
      </c>
      <c r="V2578">
        <f>-553.819962129856 -201.143779672273 -85.6777582137254</f>
        <v>-840.64150001585438</v>
      </c>
      <c r="W2578" t="s">
        <v>27611</v>
      </c>
      <c r="X2578" t="s">
        <v>27612</v>
      </c>
      <c r="Y2578" t="s">
        <v>27613</v>
      </c>
    </row>
    <row r="2579" spans="1:25" x14ac:dyDescent="0.3">
      <c r="A2579">
        <v>128900</v>
      </c>
      <c r="B2579" t="s">
        <v>27614</v>
      </c>
      <c r="C2579">
        <f>-617.695250586448 -126.483635158099 -83.0664673214303</f>
        <v>-827.24535306597727</v>
      </c>
      <c r="D2579">
        <f>-639.171912214494 -142.943699225793 -195.689899137291</f>
        <v>-977.80551057757805</v>
      </c>
      <c r="E2579">
        <f>-653.174404199464 -141.625887221347 -293.305771616591</f>
        <v>-1088.106063037402</v>
      </c>
      <c r="F2579">
        <f>-664.361537887844 -134.668244006 -381.423283127175</f>
        <v>-1180.453065021019</v>
      </c>
      <c r="G2579">
        <f>-673.720548508319 -121.759991470379 -469.081732539145</f>
        <v>-1264.562272517843</v>
      </c>
      <c r="H2579">
        <f>-684.806647898622 -97.5379569372834 -590.783103241812</f>
        <v>-1373.1277080777174</v>
      </c>
      <c r="I2579">
        <f>-664.401265247118 -67.2152129754746 -665.410048196876</f>
        <v>-1397.0265264194686</v>
      </c>
      <c r="J2579">
        <f>-696.964291985141 -87.1131679664293 -531.480272900855</f>
        <v>-1315.5577328524253</v>
      </c>
      <c r="K2579" t="s">
        <v>27615</v>
      </c>
      <c r="L2579" t="s">
        <v>27616</v>
      </c>
      <c r="M2579" t="s">
        <v>27617</v>
      </c>
      <c r="N2579">
        <f>-662.892072331117 -129.280554413455 -542.976554424836</f>
        <v>-1335.1491811694079</v>
      </c>
      <c r="O2579">
        <f>-576.537882796378 -236.243329600066 -543.407100551074</f>
        <v>-1356.1883129475179</v>
      </c>
      <c r="P2579">
        <f>-507.294196089017 -340.917229991739 -277.249342875972</f>
        <v>-1125.4607689567281</v>
      </c>
      <c r="Q2579">
        <f>-457.750333345479 -107.273902238241 -308.983666470915</f>
        <v>-874.007902054635</v>
      </c>
      <c r="R2579">
        <f>-681.814683653376 -53.6809593273154 -82.303111330541</f>
        <v>-817.79875431123241</v>
      </c>
      <c r="S2579" t="s">
        <v>27618</v>
      </c>
      <c r="T2579" t="s">
        <v>27619</v>
      </c>
      <c r="U2579" t="s">
        <v>27620</v>
      </c>
      <c r="V2579">
        <f>-553.899588951399 -199.410096255165 -85.8714304257384</f>
        <v>-839.18111563230229</v>
      </c>
      <c r="W2579" t="s">
        <v>27621</v>
      </c>
      <c r="X2579" t="s">
        <v>27622</v>
      </c>
      <c r="Y2579" t="s">
        <v>27623</v>
      </c>
    </row>
    <row r="2580" spans="1:25" x14ac:dyDescent="0.3">
      <c r="A2580">
        <v>128950</v>
      </c>
      <c r="B2580" t="s">
        <v>27624</v>
      </c>
      <c r="C2580">
        <f>-617.678007659283 -125.382216816861 -83.0832670332715</f>
        <v>-826.14349150941553</v>
      </c>
      <c r="D2580">
        <f>-639.156099991954 -141.705654607363 -195.726295390455</f>
        <v>-976.588049989772</v>
      </c>
      <c r="E2580">
        <f>-653.1175044221 -140.372569779371 -293.347886211212</f>
        <v>-1086.8379604126831</v>
      </c>
      <c r="F2580">
        <f>-664.252557616825 -133.441818812957 -381.473891913762</f>
        <v>-1179.168268343544</v>
      </c>
      <c r="G2580">
        <f>-673.545062722616 -120.601003566223 -469.149513356709</f>
        <v>-1263.2955796455481</v>
      </c>
      <c r="H2580">
        <f>-684.523612291799 -96.5153824176469 -590.887599769206</f>
        <v>-1371.9265944786521</v>
      </c>
      <c r="I2580">
        <f>-663.799657104501 -66.2713706078339 -665.458631855237</f>
        <v>-1395.5296595675718</v>
      </c>
      <c r="J2580">
        <f>-696.696200576089 -85.99463946345 -531.604794682119</f>
        <v>-1314.295634721658</v>
      </c>
      <c r="K2580" t="s">
        <v>27625</v>
      </c>
      <c r="L2580" t="s">
        <v>27626</v>
      </c>
      <c r="M2580" t="s">
        <v>27627</v>
      </c>
      <c r="N2580">
        <f>-662.688734415149 -128.233929676981 -543.028636779852</f>
        <v>-1333.9513008719821</v>
      </c>
      <c r="O2580">
        <f>-576.512931362716 -235.341911386623 -543.352881712823</f>
        <v>-1355.2077244621619</v>
      </c>
      <c r="P2580">
        <f>-507.954631280399 -339.81352770705 -276.938470776152</f>
        <v>-1124.7066297636009</v>
      </c>
      <c r="Q2580">
        <f>-457.717334734627 -106.332766522298 -308.778705051155</f>
        <v>-872.82880630807995</v>
      </c>
      <c r="R2580">
        <f>-681.620719036554 -52.6420146275876 -82.2860739518491</f>
        <v>-816.54880761599065</v>
      </c>
      <c r="S2580" t="s">
        <v>27628</v>
      </c>
      <c r="T2580" t="s">
        <v>27629</v>
      </c>
      <c r="U2580" t="s">
        <v>27630</v>
      </c>
      <c r="V2580">
        <f>-553.96889758898 -198.256228348998 -85.9089675541935</f>
        <v>-838.13409349217147</v>
      </c>
      <c r="W2580" t="s">
        <v>27631</v>
      </c>
      <c r="X2580" t="s">
        <v>27632</v>
      </c>
      <c r="Y2580" t="s">
        <v>27633</v>
      </c>
    </row>
    <row r="2581" spans="1:25" x14ac:dyDescent="0.3">
      <c r="A2581">
        <v>129000</v>
      </c>
      <c r="B2581" t="s">
        <v>27634</v>
      </c>
      <c r="C2581">
        <f>-617.620431136379 -123.070345353177 -83.0349915422993</f>
        <v>-823.7257680318553</v>
      </c>
      <c r="D2581">
        <f>-639.107266014232 -139.096104105519 -195.719131049523</f>
        <v>-973.92250116927403</v>
      </c>
      <c r="E2581">
        <f>-652.950173031567 -137.688436938593 -293.356457675909</f>
        <v>-1083.9950676460689</v>
      </c>
      <c r="F2581">
        <f>-663.932777378247 -130.761265250266 -381.502120317876</f>
        <v>-1176.196162946389</v>
      </c>
      <c r="G2581">
        <f>-673.027446217892 -117.996562012572 -469.209432081011</f>
        <v>-1260.2334403114751</v>
      </c>
      <c r="H2581">
        <f>-683.683685859301 -94.092601773788 -591.012015564808</f>
        <v>-1368.7883031978972</v>
      </c>
      <c r="I2581">
        <f>-662.223832699165 -64.0367566278187 -665.450830832588</f>
        <v>-1391.7114201595718</v>
      </c>
      <c r="J2581">
        <f>-695.874235350696 -83.3747122924611 -531.768217280754</f>
        <v>-1311.0171649239112</v>
      </c>
      <c r="K2581" t="s">
        <v>27635</v>
      </c>
      <c r="L2581" t="s">
        <v>27636</v>
      </c>
      <c r="M2581" t="s">
        <v>27637</v>
      </c>
      <c r="N2581">
        <f>-662.114571472078 -125.848311212221 -543.057332118115</f>
        <v>-1331.0202148024141</v>
      </c>
      <c r="O2581">
        <f>-576.525514866786 -233.428548835531 -543.154544736586</f>
        <v>-1353.108608438903</v>
      </c>
      <c r="P2581">
        <f>-509.068190844302 -337.785119181795 -276.414046877908</f>
        <v>-1123.2673569040051</v>
      </c>
      <c r="Q2581">
        <f>-457.520477720431 -104.547327995095 -307.939447018929</f>
        <v>-870.00725273445505</v>
      </c>
      <c r="R2581">
        <f>-681.013838400743 -50.2691979515058 -82.2018493485239</f>
        <v>-813.48488570077268</v>
      </c>
      <c r="S2581" t="s">
        <v>27638</v>
      </c>
      <c r="T2581" t="s">
        <v>27639</v>
      </c>
      <c r="U2581" t="s">
        <v>27640</v>
      </c>
      <c r="V2581">
        <f>-554.402333956739 -196.117953703806 -85.9404629735097</f>
        <v>-836.46075063405465</v>
      </c>
      <c r="W2581" t="s">
        <v>27641</v>
      </c>
      <c r="X2581" t="s">
        <v>27642</v>
      </c>
      <c r="Y2581" t="s">
        <v>27643</v>
      </c>
    </row>
    <row r="2582" spans="1:25" x14ac:dyDescent="0.3">
      <c r="A2582">
        <v>129050</v>
      </c>
      <c r="B2582" t="s">
        <v>27644</v>
      </c>
      <c r="C2582">
        <f>-617.649013080665 -121.840988361659 -83.046593320593</f>
        <v>-822.53659476291705</v>
      </c>
      <c r="D2582">
        <f>-639.161175423491 -137.726505335364 -195.745672822366</f>
        <v>-972.63335358122106</v>
      </c>
      <c r="E2582">
        <f>-652.94394373308 -136.287127053311 -293.391128772455</f>
        <v>-1082.622199558846</v>
      </c>
      <c r="F2582">
        <f>-663.841211505267 -129.365544818435 -381.547700791517</f>
        <v>-1174.7544571152189</v>
      </c>
      <c r="G2582">
        <f>-672.818579314635 -116.642448094316 -469.273368281534</f>
        <v>-1258.7343956904851</v>
      </c>
      <c r="H2582">
        <f>-683.277321380106 -92.834235321641 -591.11167160888</f>
        <v>-1367.2232283106268</v>
      </c>
      <c r="I2582">
        <f>-661.405558712328 -62.9157469022958 -665.486141060241</f>
        <v>-1389.8074466748649</v>
      </c>
      <c r="J2582">
        <f>-695.450271235563 -81.9819995026145 -531.888751171453</f>
        <v>-1309.3210219096304</v>
      </c>
      <c r="K2582" t="s">
        <v>27645</v>
      </c>
      <c r="L2582" t="s">
        <v>27646</v>
      </c>
      <c r="M2582" t="s">
        <v>27647</v>
      </c>
      <c r="N2582">
        <f>-661.899547923199 -124.640144885736 -543.104602797944</f>
        <v>-1329.644295606879</v>
      </c>
      <c r="O2582">
        <f>-576.842070822781 -232.630736889537 -543.014876272391</f>
        <v>-1352.4876839847088</v>
      </c>
      <c r="P2582">
        <f>-510.139189475317 -336.777996458164 -276.003143402894</f>
        <v>-1122.9203293363751</v>
      </c>
      <c r="Q2582">
        <f>-457.347436988012 -103.823515200168 -307.56424187504</f>
        <v>-868.73519406322009</v>
      </c>
      <c r="R2582">
        <f>-680.800780201247 -48.8385071958836 -82.2017014059512</f>
        <v>-811.84098880308181</v>
      </c>
      <c r="S2582" t="s">
        <v>27648</v>
      </c>
      <c r="T2582" t="s">
        <v>27649</v>
      </c>
      <c r="U2582" t="s">
        <v>27650</v>
      </c>
      <c r="V2582">
        <f>-554.705474989245 -195.102633972308 -85.9688907747613</f>
        <v>-835.77699973631434</v>
      </c>
      <c r="W2582" t="s">
        <v>27651</v>
      </c>
      <c r="X2582" t="s">
        <v>27652</v>
      </c>
      <c r="Y2582" t="s">
        <v>27653</v>
      </c>
    </row>
    <row r="2583" spans="1:25" x14ac:dyDescent="0.3">
      <c r="A2583">
        <v>129100</v>
      </c>
      <c r="B2583" t="s">
        <v>27654</v>
      </c>
      <c r="C2583">
        <f>-617.884465151117 -119.491494339936 -83.1015259810875</f>
        <v>-820.47748547214053</v>
      </c>
      <c r="D2583">
        <f>-639.487250349834 -135.012825506452 -195.83412568858</f>
        <v>-970.334201544866</v>
      </c>
      <c r="E2583">
        <f>-653.094527002464 -133.433716275902 -293.501953914823</f>
        <v>-1080.030197193189</v>
      </c>
      <c r="F2583">
        <f>-663.735021270669 -126.453291334734 -381.685306992399</f>
        <v>-1171.873619597802</v>
      </c>
      <c r="G2583">
        <f>-672.354826712657 -113.743174025567 -469.448443241824</f>
        <v>-1255.546443980048</v>
      </c>
      <c r="H2583">
        <f>-682.208298191649 -90.0292516244026 -591.355688663289</f>
        <v>-1363.5932384793405</v>
      </c>
      <c r="I2583">
        <f>-659.454755913725 -60.4678813663902 -665.608200051649</f>
        <v>-1385.5308373317641</v>
      </c>
      <c r="J2583">
        <f>-694.398473301813 -78.9207700505935 -532.183873248307</f>
        <v>-1305.5031166007136</v>
      </c>
      <c r="K2583" t="s">
        <v>27655</v>
      </c>
      <c r="L2583" t="s">
        <v>27656</v>
      </c>
      <c r="M2583" t="s">
        <v>27657</v>
      </c>
      <c r="N2583">
        <f>-661.34602199182 -122.008327250824 -543.236943125925</f>
        <v>-1326.5912923685689</v>
      </c>
      <c r="O2583">
        <f>-577.573302962586 -231.005430006231 -542.715730045035</f>
        <v>-1351.294463013852</v>
      </c>
      <c r="P2583">
        <f>-513.064382893139 -335.033185038985 -275.118923947973</f>
        <v>-1123.216491880097</v>
      </c>
      <c r="Q2583">
        <f>-457.499593051598 -102.799089260221 -307.224232331158</f>
        <v>-867.52291464297696</v>
      </c>
      <c r="R2583">
        <f>-680.40556196948 -46.0183151098083 -82.2061624823572</f>
        <v>-808.6300395616455</v>
      </c>
      <c r="S2583" t="s">
        <v>27658</v>
      </c>
      <c r="T2583" t="s">
        <v>27659</v>
      </c>
      <c r="U2583" t="s">
        <v>27660</v>
      </c>
      <c r="V2583">
        <f>-555.621403632905 -193.218522179224 -86.1063453453158</f>
        <v>-834.94627115744481</v>
      </c>
      <c r="W2583" t="s">
        <v>27661</v>
      </c>
      <c r="X2583" t="s">
        <v>27662</v>
      </c>
      <c r="Y2583" t="s">
        <v>27663</v>
      </c>
    </row>
    <row r="2584" spans="1:25" x14ac:dyDescent="0.3">
      <c r="A2584">
        <v>129150</v>
      </c>
      <c r="B2584" t="s">
        <v>27664</v>
      </c>
      <c r="C2584">
        <f>-617.935307068505 -118.265506956765 -83.0960175870123</f>
        <v>-819.29683161228229</v>
      </c>
      <c r="D2584">
        <f>-639.609067646301 -133.595489121259 -195.841132798172</f>
        <v>-969.045689565732</v>
      </c>
      <c r="E2584">
        <f>-653.123391136832 -131.931198886249 -293.520397552638</f>
        <v>-1078.574987575719</v>
      </c>
      <c r="F2584">
        <f>-663.620148875647 -124.90439338559 -381.717358443455</f>
        <v>-1170.2419007046919</v>
      </c>
      <c r="G2584">
        <f>-672.034841753705 -112.18127294899 -469.498609030296</f>
        <v>-1253.7147237329909</v>
      </c>
      <c r="H2584">
        <f>-681.537465611392 -88.4848122195019 -591.437114463884</f>
        <v>-1361.4593922947779</v>
      </c>
      <c r="I2584">
        <f>-658.348687975391 -59.1364530558084 -665.639398672493</f>
        <v>-1383.1245397036923</v>
      </c>
      <c r="J2584">
        <f>-693.748460524578 -77.256559394501 -532.292053846897</f>
        <v>-1303.2970737659762</v>
      </c>
      <c r="K2584" t="s">
        <v>27665</v>
      </c>
      <c r="L2584" t="s">
        <v>27666</v>
      </c>
      <c r="M2584" t="s">
        <v>27667</v>
      </c>
      <c r="N2584">
        <f>-660.963171306478 -120.568351281724 -543.263847804532</f>
        <v>-1324.7953703927342</v>
      </c>
      <c r="O2584">
        <f>-577.899327541493 -230.101987938809 -542.593337670626</f>
        <v>-1350.594653150928</v>
      </c>
      <c r="P2584">
        <f>-514.652893907456 -334.061598351172 -274.668909902853</f>
        <v>-1123.3834021614812</v>
      </c>
      <c r="Q2584">
        <f>-457.444947339796 -102.302090299552 -307.313049498637</f>
        <v>-867.06008713798497</v>
      </c>
      <c r="R2584">
        <f>-680.059578503646 -44.5335400617998 -82.1761194249657</f>
        <v>-806.76923799041151</v>
      </c>
      <c r="S2584" t="s">
        <v>27668</v>
      </c>
      <c r="T2584" t="s">
        <v>27669</v>
      </c>
      <c r="U2584" t="s">
        <v>27670</v>
      </c>
      <c r="V2584">
        <f>-556.04887096793 -192.234858862391 -86.10155440779</f>
        <v>-834.38528423811101</v>
      </c>
      <c r="W2584" t="s">
        <v>27671</v>
      </c>
      <c r="X2584" t="s">
        <v>27672</v>
      </c>
      <c r="Y2584" t="s">
        <v>27673</v>
      </c>
    </row>
    <row r="2585" spans="1:25" x14ac:dyDescent="0.3">
      <c r="A2585">
        <v>129200</v>
      </c>
      <c r="B2585" t="s">
        <v>27674</v>
      </c>
      <c r="C2585">
        <f>-617.870635888541 -115.790796050103 -83.0847098217477</f>
        <v>-816.74614176039165</v>
      </c>
      <c r="D2585">
        <f>-639.652569920769 -130.76611470679 -195.856757002383</f>
        <v>-966.27544162994207</v>
      </c>
      <c r="E2585">
        <f>-653.010857927814 -128.960423022254 -293.554944800023</f>
        <v>-1075.5262257500908</v>
      </c>
      <c r="F2585">
        <f>-663.269530248485 -121.869256197776 -381.774625209323</f>
        <v>-1166.913411655584</v>
      </c>
      <c r="G2585">
        <f>-671.345923055185 -109.150204355819 -469.588368313099</f>
        <v>-1250.0844957241031</v>
      </c>
      <c r="H2585">
        <f>-680.269995260925 -85.5325084236132 -591.585853279279</f>
        <v>-1357.3883569638174</v>
      </c>
      <c r="I2585">
        <f>-656.250042097012 -56.6278269177451 -665.697730620526</f>
        <v>-1378.5755996352832</v>
      </c>
      <c r="J2585">
        <f>-692.464077765391 -74.0488126294763 -532.48635097783</f>
        <v>-1298.9992413726973</v>
      </c>
      <c r="K2585" t="s">
        <v>27675</v>
      </c>
      <c r="L2585" t="s">
        <v>27676</v>
      </c>
      <c r="M2585" t="s">
        <v>27677</v>
      </c>
      <c r="N2585">
        <f>-660.221829258807 -117.802009177058 -543.315009969093</f>
        <v>-1321.3388484049581</v>
      </c>
      <c r="O2585">
        <f>-578.593759456429 -228.406113350828 -542.306730178188</f>
        <v>-1349.3066029854449</v>
      </c>
      <c r="P2585">
        <f>-517.021070343555 -332.573782886569 -274.073398677326</f>
        <v>-1123.66825190745</v>
      </c>
      <c r="Q2585">
        <f>-456.816617364545 -101.680480802498 -307.458432272467</f>
        <v>-865.95553043950997</v>
      </c>
      <c r="R2585">
        <f>-679.137811085566 -41.6667149838668 -82.0772036038446</f>
        <v>-802.88172967327739</v>
      </c>
      <c r="S2585" t="s">
        <v>27678</v>
      </c>
      <c r="T2585" t="s">
        <v>27679</v>
      </c>
      <c r="U2585" t="s">
        <v>27680</v>
      </c>
      <c r="V2585">
        <f>-556.736760428729 -190.161562647063 -86.1666186460482</f>
        <v>-833.06494172184011</v>
      </c>
      <c r="W2585" t="s">
        <v>27681</v>
      </c>
      <c r="X2585" t="s">
        <v>27682</v>
      </c>
      <c r="Y2585" t="s">
        <v>27683</v>
      </c>
    </row>
    <row r="2586" spans="1:25" x14ac:dyDescent="0.3">
      <c r="A2586">
        <v>129250</v>
      </c>
      <c r="B2586" t="s">
        <v>27684</v>
      </c>
      <c r="C2586">
        <f>-617.6874661456 -114.635307861271 -83.0622596424341</f>
        <v>-815.38503364930511</v>
      </c>
      <c r="D2586">
        <f>-639.521290446257 -129.448181673265 -195.845622872539</f>
        <v>-964.81509499206106</v>
      </c>
      <c r="E2586">
        <f>-652.801339788895 -127.566935759697 -293.553154033785</f>
        <v>-1073.921429582377</v>
      </c>
      <c r="F2586">
        <f>-662.942346679544 -120.431927907578 -381.782903467558</f>
        <v>-1165.1571780546801</v>
      </c>
      <c r="G2586">
        <f>-670.853353109482 -107.69538713961 -469.609083763793</f>
        <v>-1248.1578240128852</v>
      </c>
      <c r="H2586">
        <f>-679.496571743586 -84.0816819768035 -591.62752569326</f>
        <v>-1355.2057794136495</v>
      </c>
      <c r="I2586">
        <f>-655.102810309444 -55.3629864896236 -665.689644080288</f>
        <v>-1376.1554408793554</v>
      </c>
      <c r="J2586">
        <f>-691.691977390917 -72.4997102823635 -532.547603832959</f>
        <v>-1296.7392915062396</v>
      </c>
      <c r="K2586" t="s">
        <v>27685</v>
      </c>
      <c r="L2586" t="s">
        <v>27686</v>
      </c>
      <c r="M2586" t="s">
        <v>27687</v>
      </c>
      <c r="N2586">
        <f>-659.694326555834 -116.446163317287 -543.318890759347</f>
        <v>-1319.4593806324679</v>
      </c>
      <c r="O2586">
        <f>-578.736310300274 -227.550094287299 -542.168698152624</f>
        <v>-1348.4551027401969</v>
      </c>
      <c r="P2586">
        <f>-517.983532879046 -331.820617384508 -273.78837828321</f>
        <v>-1123.592528546764</v>
      </c>
      <c r="Q2586">
        <f>-456.365912634675 -101.339124382443 -307.439750871207</f>
        <v>-865.14478788832503</v>
      </c>
      <c r="R2586">
        <f>-678.632845788884 -40.3029211493094 -82.0341231590295</f>
        <v>-800.9698900972229</v>
      </c>
      <c r="S2586" t="s">
        <v>27688</v>
      </c>
      <c r="T2586" t="s">
        <v>27689</v>
      </c>
      <c r="U2586" t="s">
        <v>27690</v>
      </c>
      <c r="V2586">
        <f>-556.884471406644 -189.242779905266 -86.1961048886817</f>
        <v>-832.32335620059166</v>
      </c>
      <c r="W2586" t="s">
        <v>27691</v>
      </c>
      <c r="X2586" t="s">
        <v>27692</v>
      </c>
      <c r="Y2586" t="s">
        <v>27693</v>
      </c>
    </row>
    <row r="2587" spans="1:25" x14ac:dyDescent="0.3">
      <c r="A2587">
        <v>129300</v>
      </c>
      <c r="B2587" t="s">
        <v>27694</v>
      </c>
      <c r="C2587">
        <f>-617.519883439727 -113.435942802117 -83.0525540605368</f>
        <v>-814.00838030238083</v>
      </c>
      <c r="D2587">
        <f>-639.384080810509 -128.067882527353 -195.853690357412</f>
        <v>-963.30565369527403</v>
      </c>
      <c r="E2587">
        <f>-652.567026579937 -126.092672274836 -293.572406587321</f>
        <v>-1072.2321054420941</v>
      </c>
      <c r="F2587">
        <f>-662.573900586105 -118.895818010052 -381.812506923489</f>
        <v>-1163.2822255196461</v>
      </c>
      <c r="G2587">
        <f>-670.304127835407 -106.122858613066 -469.64943640525</f>
        <v>-1246.076422853723</v>
      </c>
      <c r="H2587">
        <f>-678.646910091186 -82.4849984593563 -591.684219793165</f>
        <v>-1352.8161283437073</v>
      </c>
      <c r="I2587">
        <f>-653.914012546753 -53.9288096970223 -665.696796144233</f>
        <v>-1373.5396183880084</v>
      </c>
      <c r="J2587">
        <f>-690.865280025717 -70.8279739005952 -532.623654883637</f>
        <v>-1294.3169088099492</v>
      </c>
      <c r="K2587" t="s">
        <v>27695</v>
      </c>
      <c r="L2587" t="s">
        <v>27696</v>
      </c>
      <c r="M2587" t="s">
        <v>27697</v>
      </c>
      <c r="N2587">
        <f>-659.08604539854 -114.945684364362 -543.341831802631</f>
        <v>-1317.373561565533</v>
      </c>
      <c r="O2587">
        <f>-578.734091877803 -226.474386917848 -542.043287061448</f>
        <v>-1347.2517658570991</v>
      </c>
      <c r="P2587">
        <f>-518.780619749368 -330.97666666072 -273.573543002411</f>
        <v>-1123.330829412499</v>
      </c>
      <c r="Q2587">
        <f>-455.954750271484 -100.83746985542 -307.333431296891</f>
        <v>-864.12565142379503</v>
      </c>
      <c r="R2587">
        <f>-678.168235427676 -38.8734740298321 -81.9939233397944</f>
        <v>-799.03563279730247</v>
      </c>
      <c r="S2587" t="s">
        <v>27698</v>
      </c>
      <c r="T2587" t="s">
        <v>27699</v>
      </c>
      <c r="U2587" t="s">
        <v>27700</v>
      </c>
      <c r="V2587">
        <f>-557.103119006104 -188.159431189997 -86.2005554464262</f>
        <v>-831.46310564252713</v>
      </c>
      <c r="W2587" t="s">
        <v>27701</v>
      </c>
      <c r="X2587" t="s">
        <v>27702</v>
      </c>
      <c r="Y2587" t="s">
        <v>27703</v>
      </c>
    </row>
    <row r="2588" spans="1:25" x14ac:dyDescent="0.3">
      <c r="A2588">
        <v>129350</v>
      </c>
      <c r="B2588" t="s">
        <v>27704</v>
      </c>
      <c r="C2588">
        <f>-617.55597137809 -110.837744671902 -83.0766613782536</f>
        <v>-811.47037742824557</v>
      </c>
      <c r="D2588">
        <f>-639.446637079401 -125.146579916349 -195.914145068251</f>
        <v>-960.50736206400097</v>
      </c>
      <c r="E2588">
        <f>-652.375114957508 -123.010968797581 -293.663507225589</f>
        <v>-1069.049590980678</v>
      </c>
      <c r="F2588">
        <f>-662.045223037758 -115.714509629329 -381.932957037439</f>
        <v>-1159.6926897045259</v>
      </c>
      <c r="G2588">
        <f>-669.330971169083 -102.891376507243 -469.800693406287</f>
        <v>-1242.023041082613</v>
      </c>
      <c r="H2588">
        <f>-676.940675444135 -79.2364842986939 -591.879957501524</f>
        <v>-1348.0571172443529</v>
      </c>
      <c r="I2588">
        <f>-651.573532528396 -50.9786262408145 -665.792196214622</f>
        <v>-1368.3443549838325</v>
      </c>
      <c r="J2588">
        <f>-689.288014708569 -67.4306343679629 -532.87594438434</f>
        <v>-1289.5945934608717</v>
      </c>
      <c r="K2588" t="s">
        <v>27705</v>
      </c>
      <c r="L2588" t="s">
        <v>27706</v>
      </c>
      <c r="M2588" t="s">
        <v>27707</v>
      </c>
      <c r="N2588">
        <f>-657.895982975536 -111.86107553618 -543.441856643903</f>
        <v>-1313.198915155619</v>
      </c>
      <c r="O2588">
        <f>-578.54891138463 -224.098906533823 -541.825387787735</f>
        <v>-1344.4732057061879</v>
      </c>
      <c r="P2588">
        <f>-519.827297408698 -328.887944721913 -273.195025195137</f>
        <v>-1121.910267325748</v>
      </c>
      <c r="Q2588">
        <f>-455.805090796828 -99.0698606417918 -306.89467573144</f>
        <v>-861.76962717005972</v>
      </c>
      <c r="R2588">
        <f>-677.523656452196 -35.9826209612461 -81.9757726859037</f>
        <v>-795.48205009934577</v>
      </c>
      <c r="S2588" t="s">
        <v>27708</v>
      </c>
      <c r="T2588" t="s">
        <v>27709</v>
      </c>
      <c r="U2588" t="s">
        <v>27710</v>
      </c>
      <c r="V2588">
        <f>-557.857357878587 -185.830106477667 -86.2230615614374</f>
        <v>-829.9105259176913</v>
      </c>
      <c r="W2588" t="s">
        <v>27711</v>
      </c>
      <c r="X2588" t="s">
        <v>27712</v>
      </c>
      <c r="Y2588" t="s">
        <v>27713</v>
      </c>
    </row>
    <row r="2589" spans="1:25" x14ac:dyDescent="0.3">
      <c r="A2589">
        <v>129400</v>
      </c>
      <c r="B2589" t="s">
        <v>27714</v>
      </c>
      <c r="C2589">
        <f>-617.552761353278 -108.408920509243 -83.0609861807114</f>
        <v>-809.02266804323244</v>
      </c>
      <c r="D2589">
        <f>-639.359809983224 -122.344057357504 -195.961280732679</f>
        <v>-957.66514807340695</v>
      </c>
      <c r="E2589">
        <f>-652.010191509569 -120.023735246552 -293.742952280585</f>
        <v>-1065.7768790367059</v>
      </c>
      <c r="F2589">
        <f>-661.353311186503 -112.61261688094 -382.037989809846</f>
        <v>-1156.003917877289</v>
      </c>
      <c r="G2589">
        <f>-668.237997646173 -99.7295861214549 -469.92926645793</f>
        <v>-1237.896850225558</v>
      </c>
      <c r="H2589">
        <f>-675.212510690195 -76.048522899476 -592.041383456932</f>
        <v>-1343.3024170466028</v>
      </c>
      <c r="I2589">
        <f>-649.346167432728 -48.0472322796503 -665.878420010907</f>
        <v>-1363.2718197232853</v>
      </c>
      <c r="J2589">
        <f>-687.715354953374 -64.1516568185453 -533.088529130363</f>
        <v>-1284.9555409022823</v>
      </c>
      <c r="K2589" t="s">
        <v>27715</v>
      </c>
      <c r="L2589" t="s">
        <v>27716</v>
      </c>
      <c r="M2589" t="s">
        <v>27717</v>
      </c>
      <c r="N2589">
        <f>-656.5712894177 -108.787061648399 -543.523357127074</f>
        <v>-1308.8817081931729</v>
      </c>
      <c r="O2589">
        <f>-577.937197402333 -221.529835647698 -541.603904202923</f>
        <v>-1341.0709372529541</v>
      </c>
      <c r="P2589">
        <f>-519.688255963807 -326.467584206889 -272.928714317423</f>
        <v>-1119.084554488119</v>
      </c>
      <c r="Q2589">
        <f>-456.9027717366 -96.2289795772302 -306.080545138161</f>
        <v>-859.21229645199128</v>
      </c>
      <c r="R2589">
        <f>-676.805409710691 -33.4146688109586 -81.8829145440504</f>
        <v>-792.10299306570005</v>
      </c>
      <c r="S2589" t="s">
        <v>27718</v>
      </c>
      <c r="T2589" t="s">
        <v>27719</v>
      </c>
      <c r="U2589" t="s">
        <v>27720</v>
      </c>
      <c r="V2589">
        <f>-558.422805208014 -183.570271717468 -86.2829072156597</f>
        <v>-828.27598414114175</v>
      </c>
      <c r="W2589" t="s">
        <v>27721</v>
      </c>
      <c r="X2589" t="s">
        <v>27722</v>
      </c>
      <c r="Y2589" t="s">
        <v>27723</v>
      </c>
    </row>
    <row r="2590" spans="1:25" x14ac:dyDescent="0.3">
      <c r="A2590">
        <v>129450</v>
      </c>
      <c r="B2590" t="s">
        <v>27724</v>
      </c>
      <c r="C2590">
        <f>-617.526037060912 -107.334887217798 -82.9963203759152</f>
        <v>-807.85724465462522</v>
      </c>
      <c r="D2590">
        <f>-639.275042247001 -121.115780444558 -195.926783678164</f>
        <v>-956.31760636972308</v>
      </c>
      <c r="E2590">
        <f>-651.791167479192 -118.715599310638 -293.72364869</f>
        <v>-1064.2304154798301</v>
      </c>
      <c r="F2590">
        <f>-660.982128310417 -111.252408922418 -382.030405828274</f>
        <v>-1154.2649430611091</v>
      </c>
      <c r="G2590">
        <f>-667.684751345045 -98.3383244108468 -469.931123756491</f>
        <v>-1235.9541995123827</v>
      </c>
      <c r="H2590">
        <f>-674.375036682448 -74.6359875481206 -592.05503570556</f>
        <v>-1341.0660599361286</v>
      </c>
      <c r="I2590">
        <f>-648.282075151309 -46.7361360730561 -665.850596945462</f>
        <v>-1360.8688081698269</v>
      </c>
      <c r="J2590">
        <f>-686.963961078002 -62.7146472178262 -533.125306858397</f>
        <v>-1282.8039151542253</v>
      </c>
      <c r="K2590" t="s">
        <v>27725</v>
      </c>
      <c r="L2590" t="s">
        <v>27726</v>
      </c>
      <c r="M2590" t="s">
        <v>27727</v>
      </c>
      <c r="N2590">
        <f>-655.897932749438 -107.417703601064 -543.503340800686</f>
        <v>-1306.8189771511879</v>
      </c>
      <c r="O2590">
        <f>-577.613346694227 -220.392977619019 -541.547672259265</f>
        <v>-1339.5539965725111</v>
      </c>
      <c r="P2590">
        <f>-519.299829222954 -325.056209976904 -272.779419099093</f>
        <v>-1117.1354582989511</v>
      </c>
      <c r="Q2590">
        <f>-458.065757712061 -94.2905973275484 -305.159872717092</f>
        <v>-857.51622775670148</v>
      </c>
      <c r="R2590">
        <f>-676.539664059272 -32.2321369916313 -81.794488886989</f>
        <v>-790.56628993789229</v>
      </c>
      <c r="S2590" t="s">
        <v>27728</v>
      </c>
      <c r="T2590" t="s">
        <v>27729</v>
      </c>
      <c r="U2590" t="s">
        <v>27730</v>
      </c>
      <c r="V2590">
        <f>-558.696084398611 -182.611031434147 -86.2071554555033</f>
        <v>-827.51427128826128</v>
      </c>
      <c r="W2590" t="s">
        <v>27731</v>
      </c>
      <c r="X2590" t="s">
        <v>27732</v>
      </c>
      <c r="Y2590" t="s">
        <v>27733</v>
      </c>
    </row>
    <row r="2591" spans="1:25" x14ac:dyDescent="0.3">
      <c r="A2591">
        <v>129500</v>
      </c>
      <c r="B2591" t="s">
        <v>27734</v>
      </c>
      <c r="C2591">
        <f>-617.85127932763 -105.597995348748 -82.8037043572183</f>
        <v>-806.25297903359626</v>
      </c>
      <c r="D2591">
        <f>-639.420031206723 -119.173918522897 -195.793548214354</f>
        <v>-954.38749794397404</v>
      </c>
      <c r="E2591">
        <f>-651.635550402111 -116.666586396076 -293.625769909607</f>
        <v>-1061.9279067077941</v>
      </c>
      <c r="F2591">
        <f>-660.497860827168 -109.134436413156 -381.960233921762</f>
        <v>-1151.5925311620858</v>
      </c>
      <c r="G2591">
        <f>-666.814650721756 -96.1814039615397 -469.883815121688</f>
        <v>-1232.8798698049836</v>
      </c>
      <c r="H2591">
        <f>-672.906036550281 -72.4572652604538 -592.034806668839</f>
        <v>-1337.3981084795737</v>
      </c>
      <c r="I2591">
        <f>-646.337392283491 -44.697139560553 -665.713211131801</f>
        <v>-1356.7477429758451</v>
      </c>
      <c r="J2591">
        <f>-685.682732222502 -60.4783451329199 -533.15722524118</f>
        <v>-1279.3183025966018</v>
      </c>
      <c r="K2591" t="s">
        <v>27735</v>
      </c>
      <c r="L2591" t="s">
        <v>27736</v>
      </c>
      <c r="M2591" t="s">
        <v>27737</v>
      </c>
      <c r="N2591">
        <f>-654.768352355484 -105.315813437741 -543.407185745107</f>
        <v>-1303.4913515383319</v>
      </c>
      <c r="O2591">
        <f>-577.290217049685 -218.855738975887 -541.485550105982</f>
        <v>-1337.631506131554</v>
      </c>
      <c r="P2591">
        <f>-518.242805697716 -321.895717099796 -272.250713651253</f>
        <v>-1112.3892364487651</v>
      </c>
      <c r="Q2591">
        <f>-462.67524279649 -89.3699500806343 -302.165078040151</f>
        <v>-854.21027091727535</v>
      </c>
      <c r="R2591">
        <f>-676.592119220562 -30.4012200758013 -81.6358759653765</f>
        <v>-788.62921526173989</v>
      </c>
      <c r="S2591" t="s">
        <v>27738</v>
      </c>
      <c r="T2591" t="s">
        <v>27739</v>
      </c>
      <c r="U2591" t="s">
        <v>27740</v>
      </c>
      <c r="V2591">
        <f>-559.27583982118 -181.063276353964 -86.0097037319204</f>
        <v>-826.34881990706435</v>
      </c>
      <c r="W2591" t="s">
        <v>27741</v>
      </c>
      <c r="X2591" t="s">
        <v>27742</v>
      </c>
      <c r="Y2591" t="s">
        <v>27743</v>
      </c>
    </row>
    <row r="2592" spans="1:25" x14ac:dyDescent="0.3">
      <c r="A2592">
        <v>129550</v>
      </c>
      <c r="B2592" t="s">
        <v>27744</v>
      </c>
      <c r="C2592">
        <f>-617.95179890279 -104.92662902107 -82.7364306475748</f>
        <v>-805.61485857143475</v>
      </c>
      <c r="D2592">
        <f>-639.452428904492 -118.409164717864 -195.750361450719</f>
        <v>-953.61195507307491</v>
      </c>
      <c r="E2592">
        <f>-651.51442348618 -115.85030639987 -293.600446211301</f>
        <v>-1060.9651760973511</v>
      </c>
      <c r="F2592">
        <f>-660.200268950656 -108.283399303234 -381.949377895267</f>
        <v>-1150.433046149157</v>
      </c>
      <c r="G2592">
        <f>-666.302829191015 -95.3087073425822 -469.884883363987</f>
        <v>-1231.4964198975842</v>
      </c>
      <c r="H2592">
        <f>-672.055595572027 -71.5685608803005 -592.049197529433</f>
        <v>-1335.6733539817606</v>
      </c>
      <c r="I2592">
        <f>-645.236945157453 -43.865161875408 -665.65846759775</f>
        <v>-1354.760574630611</v>
      </c>
      <c r="J2592">
        <f>-684.949369645971 -59.5664786584764 -533.201934710999</f>
        <v>-1277.7177830154465</v>
      </c>
      <c r="K2592" t="s">
        <v>27745</v>
      </c>
      <c r="L2592" t="s">
        <v>27746</v>
      </c>
      <c r="M2592" t="s">
        <v>27747</v>
      </c>
      <c r="N2592">
        <f>-654.098793327495 -104.464393014745 -543.37964650905</f>
        <v>-1301.9428328512899</v>
      </c>
      <c r="O2592">
        <f>-577.00155403443 -218.267037374931 -541.420449423338</f>
        <v>-1336.689040832699</v>
      </c>
      <c r="P2592">
        <f>-518.176331000615 -320.299436522511 -271.753674987676</f>
        <v>-1110.2294425108021</v>
      </c>
      <c r="Q2592">
        <f>-464.425239808909 -87.2493730667177 -300.897475195878</f>
        <v>-852.57208807150471</v>
      </c>
      <c r="R2592">
        <f>-676.611892751469 -29.6096506888159 -81.6049034344355</f>
        <v>-787.82644687472043</v>
      </c>
      <c r="S2592" t="s">
        <v>27748</v>
      </c>
      <c r="T2592" t="s">
        <v>27749</v>
      </c>
      <c r="U2592" t="s">
        <v>27750</v>
      </c>
      <c r="V2592">
        <f>-559.467862941305 -180.495734818307 -85.9794003842673</f>
        <v>-825.94299814387932</v>
      </c>
      <c r="W2592" t="s">
        <v>27751</v>
      </c>
      <c r="X2592" t="s">
        <v>27752</v>
      </c>
      <c r="Y2592" t="s">
        <v>27753</v>
      </c>
    </row>
    <row r="2593" spans="1:25" x14ac:dyDescent="0.3">
      <c r="A2593">
        <v>129600</v>
      </c>
      <c r="B2593" t="s">
        <v>27754</v>
      </c>
      <c r="C2593">
        <f>-618.450202813093 -103.368790293109 -82.6974210552336</f>
        <v>-804.51641416143559</v>
      </c>
      <c r="D2593">
        <f>-639.713224124317 -116.758845426315 -195.767363540956</f>
        <v>-952.23943309158801</v>
      </c>
      <c r="E2593">
        <f>-651.387127315348 -114.212009587339 -293.664682043918</f>
        <v>-1059.2638189466052</v>
      </c>
      <c r="F2593">
        <f>-659.648438255767 -106.693713837286 -382.058539683194</f>
        <v>-1148.4006917762472</v>
      </c>
      <c r="G2593">
        <f>-665.251976051392 -93.8078297018061 -470.040226071627</f>
        <v>-1229.1000318248252</v>
      </c>
      <c r="H2593">
        <f>-670.229234024508 -70.2351890890384 -592.271045728774</f>
        <v>-1332.7354688423202</v>
      </c>
      <c r="I2593">
        <f>-642.853857977918 -42.7190553231972 -665.745525693541</f>
        <v>-1351.3184389946562</v>
      </c>
      <c r="J2593">
        <f>-683.39519016803 -58.0853352781553 -533.514402740167</f>
        <v>-1274.9949281863524</v>
      </c>
      <c r="K2593" t="s">
        <v>27755</v>
      </c>
      <c r="L2593" t="s">
        <v>27756</v>
      </c>
      <c r="M2593" t="s">
        <v>27757</v>
      </c>
      <c r="N2593">
        <f>-652.682787853241 -103.131479513556 -543.452378843547</f>
        <v>-1299.2666462103439</v>
      </c>
      <c r="O2593">
        <f>-576.313547307757 -217.422337519787 -541.291613826318</f>
        <v>-1335.027498653862</v>
      </c>
      <c r="P2593">
        <f>-519.538003335685 -318.293719028894 -270.750118738559</f>
        <v>-1108.581841103138</v>
      </c>
      <c r="Q2593">
        <f>-465.20714919653 -85.5292250885935 -301.076723972914</f>
        <v>-851.81309825803748</v>
      </c>
      <c r="R2593">
        <f>-676.906254406272 -27.9508278892854 -81.6754941070757</f>
        <v>-786.53257640263303</v>
      </c>
      <c r="S2593" t="s">
        <v>27758</v>
      </c>
      <c r="T2593" t="s">
        <v>27759</v>
      </c>
      <c r="U2593" t="s">
        <v>27760</v>
      </c>
      <c r="V2593">
        <f>-560.14888360321 -178.984087320904 -85.7824770732901</f>
        <v>-824.91544799740416</v>
      </c>
      <c r="W2593" t="s">
        <v>27761</v>
      </c>
      <c r="X2593" t="s">
        <v>27762</v>
      </c>
      <c r="Y2593" t="s">
        <v>27763</v>
      </c>
    </row>
    <row r="2594" spans="1:25" x14ac:dyDescent="0.3">
      <c r="A2594">
        <v>129650</v>
      </c>
      <c r="B2594" t="s">
        <v>27764</v>
      </c>
      <c r="C2594">
        <f>-618.793225017957 -102.741607851016 -82.6973859346699</f>
        <v>-804.23221880364281</v>
      </c>
      <c r="D2594">
        <f>-639.899245256006 -116.112362648588 -195.799004724912</f>
        <v>-951.81061262950607</v>
      </c>
      <c r="E2594">
        <f>-651.377460388801 -113.60226705636 -293.720469135998</f>
        <v>-1058.7001965811589</v>
      </c>
      <c r="F2594">
        <f>-659.437661567182 -106.138863125329 -382.137485924277</f>
        <v>-1147.7140106167878</v>
      </c>
      <c r="G2594">
        <f>-664.815022370233 -93.3306259003764 -470.144728950595</f>
        <v>-1228.2903772212044</v>
      </c>
      <c r="H2594">
        <f>-669.449809972956 -69.8907729370392 -592.414452478284</f>
        <v>-1331.7550353882793</v>
      </c>
      <c r="I2594">
        <f>-641.777101072945 -42.4806654688341 -665.817071538604</f>
        <v>-1350.074838080383</v>
      </c>
      <c r="J2594">
        <f>-682.7221631271 -57.6386396318121 -533.703017422916</f>
        <v>-1274.0638201818281</v>
      </c>
      <c r="K2594" t="s">
        <v>27765</v>
      </c>
      <c r="L2594" t="s">
        <v>27766</v>
      </c>
      <c r="M2594" t="s">
        <v>27767</v>
      </c>
      <c r="N2594">
        <f>-652.098304757463 -102.772276091229 -543.516270529574</f>
        <v>-1298.3868513782659</v>
      </c>
      <c r="O2594">
        <f>-576.07845329308 -217.309887235966 -541.125288892077</f>
        <v>-1334.5136294211229</v>
      </c>
      <c r="P2594">
        <f>-521.328490494105 -318.174813083716 -270.164101001653</f>
        <v>-1109.6674045794741</v>
      </c>
      <c r="Q2594">
        <f>-463.950863192085 -86.3838938850432 -302.283937161659</f>
        <v>-852.61869423878716</v>
      </c>
      <c r="R2594">
        <f>-677.197819626368 -27.2764816312697 -81.7386437053451</f>
        <v>-786.21294496298276</v>
      </c>
      <c r="S2594" t="s">
        <v>27768</v>
      </c>
      <c r="T2594" t="s">
        <v>27769</v>
      </c>
      <c r="U2594" t="s">
        <v>27770</v>
      </c>
      <c r="V2594">
        <f>-560.520815553808 -178.441009254927 -85.6998997571909</f>
        <v>-824.66172456592585</v>
      </c>
      <c r="W2594" t="s">
        <v>27771</v>
      </c>
      <c r="X2594" t="s">
        <v>27772</v>
      </c>
      <c r="Y2594" t="s">
        <v>27773</v>
      </c>
    </row>
    <row r="2595" spans="1:25" x14ac:dyDescent="0.3">
      <c r="A2595">
        <v>129700</v>
      </c>
      <c r="B2595" t="s">
        <v>27774</v>
      </c>
      <c r="C2595">
        <f>-619.70256963684 -101.056814241792 -82.6692310936864</f>
        <v>-803.42861497231854</v>
      </c>
      <c r="D2595">
        <f>-640.549483110429 -114.356324397579 -195.827338709113</f>
        <v>-950.73314621712098</v>
      </c>
      <c r="E2595">
        <f>-651.668532526325 -111.94134357155 -293.792508937061</f>
        <v>-1057.4023850349358</v>
      </c>
      <c r="F2595">
        <f>-659.353002917719 -104.625077294546 -382.255350539968</f>
        <v>-1146.2334307522331</v>
      </c>
      <c r="G2595">
        <f>-664.303534514581 -92.0268450301618 -470.317954924753</f>
        <v>-1226.6483344694957</v>
      </c>
      <c r="H2595">
        <f>-668.289268400508 -68.9462751530285 -592.678927779112</f>
        <v>-1329.9144713326486</v>
      </c>
      <c r="I2595">
        <f>-639.956016487753 -41.8017167887713 -665.927946855951</f>
        <v>-1347.6856801324752</v>
      </c>
      <c r="J2595">
        <f>-681.717016693035 -56.4197671402768 -534.060763337177</f>
        <v>-1272.1975471704889</v>
      </c>
      <c r="K2595" t="s">
        <v>27775</v>
      </c>
      <c r="L2595" t="s">
        <v>27776</v>
      </c>
      <c r="M2595" t="s">
        <v>27777</v>
      </c>
      <c r="N2595">
        <f>-651.353594926126 -101.785994444611 -543.607056175265</f>
        <v>-1296.7466455460021</v>
      </c>
      <c r="O2595">
        <f>-576.159244316975 -216.794127473518 -540.493239059566</f>
        <v>-1333.446610850059</v>
      </c>
      <c r="P2595">
        <f>-524.875039180352 -316.771676571547 -268.527005078135</f>
        <v>-1110.173720830034</v>
      </c>
      <c r="Q2595">
        <f>-462.963840648287 -86.3778687335018 -302.240010778651</f>
        <v>-851.58172016043977</v>
      </c>
      <c r="R2595">
        <f>-677.739316042411 -25.4463377712905 -81.930811067327</f>
        <v>-785.11646488102849</v>
      </c>
      <c r="S2595" t="s">
        <v>27778</v>
      </c>
      <c r="T2595" t="s">
        <v>27779</v>
      </c>
      <c r="U2595" t="s">
        <v>27780</v>
      </c>
      <c r="V2595">
        <f>-561.890989996131 -176.789959595577 -85.5238404128939</f>
        <v>-824.20479000460193</v>
      </c>
      <c r="W2595" t="s">
        <v>27781</v>
      </c>
      <c r="X2595" t="s">
        <v>27782</v>
      </c>
      <c r="Y2595" t="s">
        <v>27783</v>
      </c>
    </row>
    <row r="2596" spans="1:25" x14ac:dyDescent="0.3">
      <c r="A2596">
        <v>129750</v>
      </c>
      <c r="B2596" t="s">
        <v>27784</v>
      </c>
      <c r="C2596">
        <f>-620.221322921084 -100.195527295187 -82.6739632003902</f>
        <v>-803.09081341666126</v>
      </c>
      <c r="D2596">
        <f>-641.050210419452 -113.475363241451 -195.837701681843</f>
        <v>-950.36327534274596</v>
      </c>
      <c r="E2596">
        <f>-652.056278171664 -111.220145707252 -293.819414051146</f>
        <v>-1057.0958379300619</v>
      </c>
      <c r="F2596">
        <f>-659.603057682053 -104.117793399092 -382.311534824353</f>
        <v>-1146.0323859054979</v>
      </c>
      <c r="G2596">
        <f>-664.381360804609 -91.8027759401252 -470.423704219229</f>
        <v>-1226.6078409639633</v>
      </c>
      <c r="H2596">
        <f>-668.091693216475 -69.1896227657163 -592.880512356595</f>
        <v>-1330.1618283387863</v>
      </c>
      <c r="I2596">
        <f>-639.445344515403 -42.3103178724862 -666.105650359987</f>
        <v>-1347.8613127478761</v>
      </c>
      <c r="J2596">
        <f>-681.59595788242 -56.4035202013367 -534.33602132288</f>
        <v>-1272.3354994066367</v>
      </c>
      <c r="K2596" t="s">
        <v>27785</v>
      </c>
      <c r="L2596" t="s">
        <v>27786</v>
      </c>
      <c r="M2596" t="s">
        <v>27787</v>
      </c>
      <c r="N2596">
        <f>-651.321883192727 -101.877565820421 -543.650647106643</f>
        <v>-1296.850096119791</v>
      </c>
      <c r="O2596">
        <f>-576.366081940304 -217.035081304649 -539.818396268496</f>
        <v>-1333.219559513449</v>
      </c>
      <c r="P2596">
        <f>-526.886119033163 -315.03647998487 -266.800652649607</f>
        <v>-1108.7232516676399</v>
      </c>
      <c r="Q2596">
        <f>-463.554255936082 -85.3027559615813 -302.330664166835</f>
        <v>-851.18767606449819</v>
      </c>
      <c r="R2596">
        <f>-678.03937179393 -24.5274557496743 -81.9941354909221</f>
        <v>-784.56096303452637</v>
      </c>
      <c r="S2596" t="s">
        <v>27788</v>
      </c>
      <c r="T2596" t="s">
        <v>27789</v>
      </c>
      <c r="U2596" t="s">
        <v>27790</v>
      </c>
      <c r="V2596">
        <f>-562.680187626224 -176.028390615543 -85.5031260793107</f>
        <v>-824.21170432107772</v>
      </c>
      <c r="W2596" t="s">
        <v>27791</v>
      </c>
      <c r="X2596" t="s">
        <v>27792</v>
      </c>
      <c r="Y2596" t="s">
        <v>27793</v>
      </c>
    </row>
    <row r="2597" spans="1:25" x14ac:dyDescent="0.3">
      <c r="A2597">
        <v>129800</v>
      </c>
      <c r="B2597" t="s">
        <v>27794</v>
      </c>
      <c r="C2597">
        <f>-621.464887137962 -98.0995750915622 -82.5871085854934</f>
        <v>-802.15157081501764</v>
      </c>
      <c r="D2597">
        <f>-642.301741836234 -111.317364817218 -195.756604061294</f>
        <v>-949.37571071474599</v>
      </c>
      <c r="E2597">
        <f>-653.054130849599 -109.412240304994 -293.774066587461</f>
        <v>-1056.2404377420539</v>
      </c>
      <c r="F2597">
        <f>-660.273235681263 -102.786951303939 -382.330380428917</f>
        <v>-1145.390567414119</v>
      </c>
      <c r="G2597">
        <f>-664.627626915502 -91.1098212322024 -470.551264435664</f>
        <v>-1226.2887125833684</v>
      </c>
      <c r="H2597">
        <f>-667.646876484964 -69.5545002628265 -593.217770107182</f>
        <v>-1330.4191468549725</v>
      </c>
      <c r="I2597">
        <f>-638.321364122095 -43.4007609399164 -666.436831181181</f>
        <v>-1348.1589562431923</v>
      </c>
      <c r="J2597">
        <f>-681.376422973838 -56.1965995202585 -534.853596356187</f>
        <v>-1272.4266188502834</v>
      </c>
      <c r="K2597" t="s">
        <v>27795</v>
      </c>
      <c r="L2597" t="s">
        <v>27796</v>
      </c>
      <c r="M2597" t="s">
        <v>27797</v>
      </c>
      <c r="N2597">
        <f>-651.260083202531 -101.883218159327 -543.623100724997</f>
        <v>-1296.7664020868551</v>
      </c>
      <c r="O2597">
        <f>-576.935039447772 -217.450597654158 -538.710367445945</f>
        <v>-1333.0960045478751</v>
      </c>
      <c r="P2597">
        <f>-530.051527522172 -313.861225266211 -264.670002316911</f>
        <v>-1108.5827551052939</v>
      </c>
      <c r="Q2597">
        <f>-465.171798211323 -84.8812013652663 -302.214913227793</f>
        <v>-852.26791280438226</v>
      </c>
      <c r="R2597">
        <f>-678.715210526656 -22.5708542910477 -81.943021375955</f>
        <v>-783.22908619365876</v>
      </c>
      <c r="S2597" t="s">
        <v>27798</v>
      </c>
      <c r="T2597" t="s">
        <v>27799</v>
      </c>
      <c r="U2597" t="s">
        <v>27800</v>
      </c>
      <c r="V2597">
        <f>-564.441435287216 -173.674373929198 -85.3285466546159</f>
        <v>-823.44435587102987</v>
      </c>
      <c r="W2597" t="s">
        <v>27801</v>
      </c>
      <c r="X2597" t="s">
        <v>27802</v>
      </c>
      <c r="Y2597" t="s">
        <v>27803</v>
      </c>
    </row>
    <row r="2598" spans="1:25" x14ac:dyDescent="0.3">
      <c r="A2598">
        <v>129850</v>
      </c>
      <c r="B2598" t="s">
        <v>27804</v>
      </c>
      <c r="C2598">
        <f>-622.131239633738 -96.2733102251638 -82.4032044767488</f>
        <v>-800.80775433565054</v>
      </c>
      <c r="D2598">
        <f>-642.911837939567 -109.499831006792 -195.581966687315</f>
        <v>-947.99363563367399</v>
      </c>
      <c r="E2598">
        <f>-653.464336356371 -107.78054927705 -293.624602749618</f>
        <v>-1054.869488383039</v>
      </c>
      <c r="F2598">
        <f>-660.44285007782 -101.394549473285 -382.217814769226</f>
        <v>-1144.0552143203311</v>
      </c>
      <c r="G2598">
        <f>-664.495918128886 -90.0300506858916 -470.493889271484</f>
        <v>-1225.0198580862616</v>
      </c>
      <c r="H2598">
        <f>-667.030149726764 -68.9887260278856 -593.260584917728</f>
        <v>-1329.2794606723776</v>
      </c>
      <c r="I2598">
        <f>-637.156315647736 -43.4743348990986 -666.483442173832</f>
        <v>-1347.1140927206666</v>
      </c>
      <c r="J2598">
        <f>-680.855133785449 -55.3003765588287 -534.995589360014</f>
        <v>-1271.1510997042917</v>
      </c>
      <c r="K2598" t="s">
        <v>27805</v>
      </c>
      <c r="L2598" t="s">
        <v>27806</v>
      </c>
      <c r="M2598" t="s">
        <v>27807</v>
      </c>
      <c r="N2598">
        <f>-650.974810180844 -101.195549148947 -543.478436223972</f>
        <v>-1295.648795553763</v>
      </c>
      <c r="O2598">
        <f>-577.452178523857 -217.216163044852 -537.96432253117</f>
        <v>-1332.6326640998791</v>
      </c>
      <c r="P2598">
        <f>-531.939527072907 -313.166386387472 -263.531626268855</f>
        <v>-1108.637539729234</v>
      </c>
      <c r="Q2598">
        <f>-464.324539304551 -85.0954770340126 -301.777076288439</f>
        <v>-851.19709262700258</v>
      </c>
      <c r="R2598">
        <f>-679.079062524602 -20.777463353402 -81.8711504895185</f>
        <v>-781.72767636752258</v>
      </c>
      <c r="S2598" t="s">
        <v>27808</v>
      </c>
      <c r="T2598" t="s">
        <v>27809</v>
      </c>
      <c r="U2598" t="s">
        <v>27810</v>
      </c>
      <c r="V2598">
        <f>-565.110983830974 -172.158106123524 -84.9874745076222</f>
        <v>-822.2565644621202</v>
      </c>
      <c r="W2598" t="s">
        <v>27811</v>
      </c>
      <c r="X2598" t="s">
        <v>27812</v>
      </c>
      <c r="Y2598" t="s">
        <v>27813</v>
      </c>
    </row>
    <row r="2599" spans="1:25" x14ac:dyDescent="0.3">
      <c r="A2599">
        <v>129900</v>
      </c>
      <c r="B2599" t="s">
        <v>27814</v>
      </c>
      <c r="C2599">
        <f>-622.509301509037 -95.1305820401316 -82.3133035024674</f>
        <v>-799.95318705163595</v>
      </c>
      <c r="D2599">
        <f>-643.237827966704 -108.397094229188 -195.496940932243</f>
        <v>-947.13186312813502</v>
      </c>
      <c r="E2599">
        <f>-653.611312441589 -106.877241510494 -293.561978842556</f>
        <v>-1054.0505327946391</v>
      </c>
      <c r="F2599">
        <f>-660.375046554301 -100.737426821591 -382.189186060504</f>
        <v>-1143.301659436396</v>
      </c>
      <c r="G2599">
        <f>-664.158053255448 -89.6874605808424 -470.517235198597</f>
        <v>-1224.3627490348874</v>
      </c>
      <c r="H2599">
        <f>-666.256515186949 -69.1580391350494 -593.378663442918</f>
        <v>-1328.7932177649163</v>
      </c>
      <c r="I2599">
        <f>-635.875357332015 -44.3140146412815 -666.623531336385</f>
        <v>-1346.8129033096816</v>
      </c>
      <c r="J2599">
        <f>-680.121948758558 -55.1224471637238 -535.206013883745</f>
        <v>-1270.4504098060268</v>
      </c>
      <c r="K2599" t="s">
        <v>27815</v>
      </c>
      <c r="L2599" t="s">
        <v>27816</v>
      </c>
      <c r="M2599" t="s">
        <v>27817</v>
      </c>
      <c r="N2599">
        <f>-650.544149004934 -101.261671390469 -543.4207609689</f>
        <v>-1295.226581364303</v>
      </c>
      <c r="O2599">
        <f>-577.925032910381 -217.829957035271 -537.276947299276</f>
        <v>-1333.031937244928</v>
      </c>
      <c r="P2599">
        <f>-533.952343436231 -313.067739147475 -262.34537752348</f>
        <v>-1109.365460107186</v>
      </c>
      <c r="Q2599">
        <f>-463.25089716957 -86.0282817831517 -301.143160411133</f>
        <v>-850.42233936385469</v>
      </c>
      <c r="R2599">
        <f>-679.319646806362 -19.2347894687014 -81.8823822315746</f>
        <v>-780.43681850663802</v>
      </c>
      <c r="S2599" t="s">
        <v>27818</v>
      </c>
      <c r="T2599" t="s">
        <v>27819</v>
      </c>
      <c r="U2599" t="s">
        <v>27820</v>
      </c>
      <c r="V2599">
        <f>-565.842157464042 -171.442808456179 -84.7865245233587</f>
        <v>-822.07149044357971</v>
      </c>
      <c r="W2599" t="s">
        <v>27821</v>
      </c>
      <c r="X2599" t="s">
        <v>27822</v>
      </c>
      <c r="Y2599" t="s">
        <v>27823</v>
      </c>
    </row>
    <row r="2600" spans="1:25" x14ac:dyDescent="0.3">
      <c r="A2600">
        <v>129950</v>
      </c>
      <c r="B2600" t="s">
        <v>27824</v>
      </c>
      <c r="C2600">
        <f>-622.991578186837 -94.248068676761 -82.2358288291485</f>
        <v>-799.47547569274661</v>
      </c>
      <c r="D2600">
        <f>-643.64396728181 -107.521155153207 -195.432657045698</f>
        <v>-946.59777948071496</v>
      </c>
      <c r="E2600">
        <f>-653.887354532072 -106.121725389636 -293.513107556452</f>
        <v>-1053.52218747816</v>
      </c>
      <c r="F2600">
        <f>-660.508957760838 -100.135621426243 -382.161688653056</f>
        <v>-1142.806267840137</v>
      </c>
      <c r="G2600">
        <f>-664.124584629467 -89.2858923667646 -470.521365696868</f>
        <v>-1223.9318426930995</v>
      </c>
      <c r="H2600">
        <f>-665.962777987193 -69.0850964856168 -593.441535402165</f>
        <v>-1328.4894098749746</v>
      </c>
      <c r="I2600">
        <f>-635.238480766972 -44.6696955392521 -666.68731888326</f>
        <v>-1346.5954951894842</v>
      </c>
      <c r="J2600">
        <f>-679.838738177854 -54.8238305074923 -535.326320753436</f>
        <v>-1269.9888894387823</v>
      </c>
      <c r="K2600" t="s">
        <v>27825</v>
      </c>
      <c r="L2600" t="s">
        <v>27826</v>
      </c>
      <c r="M2600" t="s">
        <v>27827</v>
      </c>
      <c r="N2600">
        <f>-650.469044697671 -101.125134073277 -543.374791484321</f>
        <v>-1294.9689702552691</v>
      </c>
      <c r="O2600">
        <f>-578.491565632006 -218.058754618208 -536.82808589042</f>
        <v>-1333.3784061406341</v>
      </c>
      <c r="P2600">
        <f>-535.591953251267 -312.970357519629 -261.614190076925</f>
        <v>-1110.176500847821</v>
      </c>
      <c r="Q2600">
        <f>-463.186717557922 -86.5182870102022 -300.701530499952</f>
        <v>-850.40653506807621</v>
      </c>
      <c r="R2600">
        <f>-679.670025695882 -18.1462317778717 -81.9280526874597</f>
        <v>-779.74431016121343</v>
      </c>
      <c r="S2600" t="s">
        <v>27828</v>
      </c>
      <c r="T2600" t="s">
        <v>27829</v>
      </c>
      <c r="U2600" t="s">
        <v>27830</v>
      </c>
      <c r="V2600">
        <f>-566.568451892414 -170.585891377851 -84.6180981170821</f>
        <v>-821.77244138734716</v>
      </c>
      <c r="W2600" t="s">
        <v>27831</v>
      </c>
      <c r="X2600" t="s">
        <v>27832</v>
      </c>
      <c r="Y2600" t="s">
        <v>27833</v>
      </c>
    </row>
    <row r="2601" spans="1:25" x14ac:dyDescent="0.3">
      <c r="A2601">
        <v>130000</v>
      </c>
      <c r="B2601" t="s">
        <v>27834</v>
      </c>
      <c r="C2601">
        <f>-624.302653030184 -91.9682864312637 -81.9131551155766</f>
        <v>-798.18409457702433</v>
      </c>
      <c r="D2601">
        <f>-644.895112956631 -105.153319435509 -195.131271257135</f>
        <v>-945.1797036492751</v>
      </c>
      <c r="E2601">
        <f>-654.832398106554 -103.955859543148 -293.245833232794</f>
        <v>-1052.034090882496</v>
      </c>
      <c r="F2601">
        <f>-661.081329490348 -98.2606514623458 -381.94053259845</f>
        <v>-1141.2825135511439</v>
      </c>
      <c r="G2601">
        <f>-664.228091668956 -87.8135520844534 -470.366754806936</f>
        <v>-1222.4083985603454</v>
      </c>
      <c r="H2601">
        <f>-665.311798070612 -68.2927204570104 -593.405674322801</f>
        <v>-1327.0101928504234</v>
      </c>
      <c r="I2601">
        <f>-633.878409327123 -44.7564769686206 -666.638278589499</f>
        <v>-1345.2731648852427</v>
      </c>
      <c r="J2601">
        <f>-679.27989317431 -53.5489435459485 -535.433052139941</f>
        <v>-1268.2618888601996</v>
      </c>
      <c r="K2601" t="s">
        <v>27835</v>
      </c>
      <c r="L2601" t="s">
        <v>27836</v>
      </c>
      <c r="M2601" t="s">
        <v>27837</v>
      </c>
      <c r="N2601">
        <f>-650.389947105309 -100.216726855475 -543.091590692564</f>
        <v>-1293.6982646533479</v>
      </c>
      <c r="O2601">
        <f>-579.847998758921 -217.971188263177 -535.581052562372</f>
        <v>-1333.40023958447</v>
      </c>
      <c r="P2601">
        <f>-540.050873416528 -311.60398789877 -259.464632840774</f>
        <v>-1111.1194941560721</v>
      </c>
      <c r="Q2601">
        <f>-461.903578093192 -87.2849623717111 -299.774026391068</f>
        <v>-848.96256685597109</v>
      </c>
      <c r="R2601">
        <f>-680.208021502765 -15.7351129300894 -81.8105008175886</f>
        <v>-777.75363525044293</v>
      </c>
      <c r="S2601" t="s">
        <v>27838</v>
      </c>
      <c r="T2601" t="s">
        <v>27839</v>
      </c>
      <c r="U2601" t="s">
        <v>27840</v>
      </c>
      <c r="V2601">
        <f>-568.566154791243 -168.353358072294 -84.0965979484498</f>
        <v>-821.01611081198678</v>
      </c>
      <c r="W2601" t="s">
        <v>27841</v>
      </c>
      <c r="X2601" t="s">
        <v>27842</v>
      </c>
      <c r="Y2601" t="s">
        <v>27843</v>
      </c>
    </row>
    <row r="2602" spans="1:25" x14ac:dyDescent="0.3">
      <c r="A2602">
        <v>130050</v>
      </c>
      <c r="B2602" t="s">
        <v>27844</v>
      </c>
      <c r="C2602">
        <f>-625.055415992524 -90.8552032324922 -81.8034505799325</f>
        <v>-797.71406980494862</v>
      </c>
      <c r="D2602">
        <f>-645.642769611967 -103.980864921209 -195.029303591314</f>
        <v>-944.65293812448999</v>
      </c>
      <c r="E2602">
        <f>-655.396668996358 -102.876529516445 -293.163394972068</f>
        <v>-1051.4365934848711</v>
      </c>
      <c r="F2602">
        <f>-661.411103909982 -97.3216443191656 -381.883266888067</f>
        <v>-1140.6160151172146</v>
      </c>
      <c r="G2602">
        <f>-664.25431935139 -87.0737675057643 -470.343089613919</f>
        <v>-1221.6711764710733</v>
      </c>
      <c r="H2602">
        <f>-664.842084014637 -67.8934206119823 -593.438921594267</f>
        <v>-1326.1744262208863</v>
      </c>
      <c r="I2602">
        <f>-633.029508287861 -44.8134644056626 -666.652987998856</f>
        <v>-1344.4959606923794</v>
      </c>
      <c r="J2602">
        <f>-678.87841134406 -52.890196182464 -535.549422285803</f>
        <v>-1267.318029812327</v>
      </c>
      <c r="K2602" t="s">
        <v>27845</v>
      </c>
      <c r="L2602" t="s">
        <v>27846</v>
      </c>
      <c r="M2602" t="s">
        <v>27847</v>
      </c>
      <c r="N2602">
        <f>-650.288441443924 -99.7772402855886 -542.991627005586</f>
        <v>-1293.0573087350986</v>
      </c>
      <c r="O2602">
        <f>-580.597163232507 -217.99036765941 -534.942279080446</f>
        <v>-1333.5298099723632</v>
      </c>
      <c r="P2602">
        <f>-542.423151661108 -310.961084851772 -258.37343394617</f>
        <v>-1111.7576704590501</v>
      </c>
      <c r="Q2602">
        <f>-461.386913280662 -87.7527927562826 -299.141651707151</f>
        <v>-848.28135774409566</v>
      </c>
      <c r="R2602">
        <f>-680.555691200862 -14.4689232596736 -81.7788631326735</f>
        <v>-776.8034775932091</v>
      </c>
      <c r="S2602" t="s">
        <v>27848</v>
      </c>
      <c r="T2602" t="s">
        <v>27849</v>
      </c>
      <c r="U2602" t="s">
        <v>27850</v>
      </c>
      <c r="V2602">
        <f>-569.73682823992 -167.486760950231 -83.9212495580114</f>
        <v>-821.14483874816233</v>
      </c>
      <c r="W2602" t="s">
        <v>27851</v>
      </c>
      <c r="X2602" t="s">
        <v>27852</v>
      </c>
      <c r="Y2602" t="s">
        <v>27853</v>
      </c>
    </row>
    <row r="2603" spans="1:25" x14ac:dyDescent="0.3">
      <c r="A2603">
        <v>130100</v>
      </c>
      <c r="B2603" t="s">
        <v>27854</v>
      </c>
      <c r="C2603">
        <f>-626.376997467708 -88.879353697832 -81.5426944214985</f>
        <v>-796.79904558703845</v>
      </c>
      <c r="D2603">
        <f>-647.013225193927 -101.914928167944 -194.770138508675</f>
        <v>-943.69829187054609</v>
      </c>
      <c r="E2603">
        <f>-656.454971826346 -100.999687736493 -292.936667822917</f>
        <v>-1050.3913273857561</v>
      </c>
      <c r="F2603">
        <f>-662.051268262115 -95.7194577124009 -381.700611218168</f>
        <v>-1139.4713371926837</v>
      </c>
      <c r="G2603">
        <f>-664.339128674031 -85.8552545186824 -470.220078656401</f>
        <v>-1220.4144618491143</v>
      </c>
      <c r="H2603">
        <f>-664.008637892777 -67.3267608388197 -593.416755126251</f>
        <v>-1324.7521538578476</v>
      </c>
      <c r="I2603">
        <f>-631.410740017597 -45.1243259907437 -666.556567379331</f>
        <v>-1343.0916333876717</v>
      </c>
      <c r="J2603">
        <f>-678.139592409387 -51.8201216290749 -535.683100528155</f>
        <v>-1265.6428145666168</v>
      </c>
      <c r="K2603" t="s">
        <v>27855</v>
      </c>
      <c r="L2603" t="s">
        <v>27856</v>
      </c>
      <c r="M2603" t="s">
        <v>27857</v>
      </c>
      <c r="N2603">
        <f>-650.168604421359 -99.1403417196377 -542.724969871393</f>
        <v>-1292.0339160123897</v>
      </c>
      <c r="O2603">
        <f>-582.201660719016 -218.282735266585 -533.560131010624</f>
        <v>-1334.0445269962249</v>
      </c>
      <c r="P2603">
        <f>-547.120706915825 -310.394871552337 -256.295093546406</f>
        <v>-1113.8106720145681</v>
      </c>
      <c r="Q2603">
        <f>-462.432858851099 -88.5011154526377 -296.817076177208</f>
        <v>-847.75105048094474</v>
      </c>
      <c r="R2603">
        <f>-681.049080958989 -11.7999580226949 -81.6171764250589</f>
        <v>-774.46621540674278</v>
      </c>
      <c r="S2603" t="s">
        <v>27858</v>
      </c>
      <c r="T2603" t="s">
        <v>27859</v>
      </c>
      <c r="U2603" t="s">
        <v>27860</v>
      </c>
      <c r="V2603">
        <f>-571.806938149088 -166.266427963018 -83.5311004094486</f>
        <v>-821.60446652155463</v>
      </c>
      <c r="W2603" t="s">
        <v>27861</v>
      </c>
      <c r="X2603" t="s">
        <v>27862</v>
      </c>
      <c r="Y2603" t="s">
        <v>27863</v>
      </c>
    </row>
    <row r="2604" spans="1:25" x14ac:dyDescent="0.3">
      <c r="A2604">
        <v>130150</v>
      </c>
      <c r="B2604" t="s">
        <v>27864</v>
      </c>
      <c r="C2604">
        <f>-627.090863320704 -87.9572279700733 -81.3483147021159</f>
        <v>-796.39640599289316</v>
      </c>
      <c r="D2604">
        <f>-647.759146589217 -100.950165623216 -194.574702098698</f>
        <v>-943.28401431113105</v>
      </c>
      <c r="E2604">
        <f>-657.053266580193 -100.109495113259 -292.756054466399</f>
        <v>-1049.9188161598511</v>
      </c>
      <c r="F2604">
        <f>-662.448712892155 -94.9394914423966 -381.538864752328</f>
        <v>-1138.9270690868796</v>
      </c>
      <c r="G2604">
        <f>-664.468004754417 -85.2309924734251 -470.082242731651</f>
        <v>-1219.7812399594932</v>
      </c>
      <c r="H2604">
        <f>-663.692042121507 -66.9684012794098 -593.316462036008</f>
        <v>-1323.9769054369249</v>
      </c>
      <c r="I2604">
        <f>-630.741706645162 -45.1465165310835 -666.413114786803</f>
        <v>-1342.3013379630486</v>
      </c>
      <c r="J2604">
        <f>-677.878230147316 -51.2492747575467 -535.653875269631</f>
        <v>-1264.7813801744937</v>
      </c>
      <c r="K2604" t="s">
        <v>27865</v>
      </c>
      <c r="L2604" t="s">
        <v>27866</v>
      </c>
      <c r="M2604" t="s">
        <v>27867</v>
      </c>
      <c r="N2604">
        <f>-650.188778551288 -98.7604506074188 -542.520454976568</f>
        <v>-1291.4696841352747</v>
      </c>
      <c r="O2604">
        <f>-583.051514626068 -218.333290139496 -532.881274166033</f>
        <v>-1334.2660789315969</v>
      </c>
      <c r="P2604">
        <f>-549.239205950227 -310.402258653486 -255.444304155747</f>
        <v>-1115.0857687594601</v>
      </c>
      <c r="Q2604">
        <f>-463.641381145357 -88.7983353829042 -295.638515527486</f>
        <v>-848.07823205574721</v>
      </c>
      <c r="R2604">
        <f>-681.509416364558 -10.3916777951836 -81.5356483862862</f>
        <v>-773.43674254602774</v>
      </c>
      <c r="S2604" t="s">
        <v>27868</v>
      </c>
      <c r="T2604" t="s">
        <v>27869</v>
      </c>
      <c r="U2604" t="s">
        <v>27870</v>
      </c>
      <c r="V2604">
        <f>-572.830105646068 -165.704528329548 -83.2136926586752</f>
        <v>-821.74832663429117</v>
      </c>
      <c r="W2604" t="s">
        <v>27871</v>
      </c>
      <c r="X2604" t="s">
        <v>27872</v>
      </c>
      <c r="Y2604" t="s">
        <v>27873</v>
      </c>
    </row>
    <row r="2605" spans="1:25" x14ac:dyDescent="0.3">
      <c r="A2605">
        <v>130200</v>
      </c>
      <c r="B2605" t="s">
        <v>27874</v>
      </c>
      <c r="C2605">
        <f>-628.334956019462 -86.4018348248242 -81.1551433379669</f>
        <v>-795.89193418225307</v>
      </c>
      <c r="D2605">
        <f>-649.052688201158 -99.440331347029 -194.367327826589</f>
        <v>-942.86034737477598</v>
      </c>
      <c r="E2605">
        <f>-658.119707644825 -98.7670118354841 -292.571101779429</f>
        <v>-1049.457821259738</v>
      </c>
      <c r="F2605">
        <f>-663.206577651467 -93.7959196551791 -381.383541762901</f>
        <v>-1138.3860390695472</v>
      </c>
      <c r="G2605">
        <f>-664.813800394078 -84.3378081688709 -469.962330165177</f>
        <v>-1219.113938728126</v>
      </c>
      <c r="H2605">
        <f>-663.354823171487 -66.4798563629161 -593.249757704283</f>
        <v>-1323.084437238686</v>
      </c>
      <c r="I2605">
        <f>-629.743119363048 -45.2215028594399 -666.211100770794</f>
        <v>-1341.1757229932819</v>
      </c>
      <c r="J2605">
        <f>-677.61682312005 -50.4344880196188 -535.695851424723</f>
        <v>-1263.7471625643916</v>
      </c>
      <c r="K2605" t="s">
        <v>27875</v>
      </c>
      <c r="L2605" t="s">
        <v>27876</v>
      </c>
      <c r="M2605" t="s">
        <v>27877</v>
      </c>
      <c r="N2605">
        <f>-650.376800216693 -98.2419766242482 -542.298429903878</f>
        <v>-1290.9172067448192</v>
      </c>
      <c r="O2605">
        <f>-584.513609166248 -218.452536530828 -532.0095153932</f>
        <v>-1334.9756610902759</v>
      </c>
      <c r="P2605">
        <f>-551.762662378302 -310.853946955315 -254.55581133624</f>
        <v>-1117.172420669857</v>
      </c>
      <c r="Q2605">
        <f>-469.020132498977 -87.7934535511565 -292.615694339446</f>
        <v>-849.4292803895795</v>
      </c>
      <c r="R2605">
        <f>-682.228948968516 -8.11345081431296 -81.5537212942484</f>
        <v>-771.89612107707728</v>
      </c>
      <c r="S2605" t="s">
        <v>27878</v>
      </c>
      <c r="T2605" t="s">
        <v>27879</v>
      </c>
      <c r="U2605" t="s">
        <v>27880</v>
      </c>
      <c r="V2605">
        <f>-574.563385442568 -164.921533933447 -82.8625740390053</f>
        <v>-822.34749341502027</v>
      </c>
      <c r="W2605" t="s">
        <v>27881</v>
      </c>
      <c r="X2605" t="s">
        <v>27882</v>
      </c>
      <c r="Y2605" t="s">
        <v>27883</v>
      </c>
    </row>
    <row r="2606" spans="1:25" x14ac:dyDescent="0.3">
      <c r="A2606">
        <v>130250</v>
      </c>
      <c r="B2606" t="s">
        <v>27884</v>
      </c>
      <c r="C2606">
        <f>-629.125658662044 -85.643982443468 -81.0572504644242</f>
        <v>-795.82689156993615</v>
      </c>
      <c r="D2606">
        <f>-649.860207533713 -98.7535113170769 -194.258132964549</f>
        <v>-942.87185181533891</v>
      </c>
      <c r="E2606">
        <f>-658.866355652481 -98.1738152250762 -292.468223959526</f>
        <v>-1049.5083948370832</v>
      </c>
      <c r="F2606">
        <f>-663.870405353405 -93.2982517392763 -381.290633772796</f>
        <v>-1138.4592908654772</v>
      </c>
      <c r="G2606">
        <f>-665.367114226058 -83.9473225281938 -469.882763182539</f>
        <v>-1219.1971999367909</v>
      </c>
      <c r="H2606">
        <f>-663.725766900115 -66.2509638329431 -593.191067695753</f>
        <v>-1323.167798428811</v>
      </c>
      <c r="I2606">
        <f>-629.85992235089 -45.178278069975 -666.088825786172</f>
        <v>-1341.127026207037</v>
      </c>
      <c r="J2606">
        <f>-677.994221579883 -50.0864803686916 -535.67209956084</f>
        <v>-1263.7528015094144</v>
      </c>
      <c r="K2606" t="s">
        <v>27885</v>
      </c>
      <c r="L2606" t="s">
        <v>27886</v>
      </c>
      <c r="M2606" t="s">
        <v>27887</v>
      </c>
      <c r="N2606">
        <f>-650.901822845539 -97.9899416517018 -542.186292853385</f>
        <v>-1291.0780573506258</v>
      </c>
      <c r="O2606">
        <f>-585.526240411355 -218.465308920135 -531.72041602087</f>
        <v>-1335.71196535236</v>
      </c>
      <c r="P2606">
        <f>-552.173245067763 -310.715618090599 -254.28801667584</f>
        <v>-1117.1768798342021</v>
      </c>
      <c r="Q2606">
        <f>-472.934019261348 -86.2890475938858 -291.76742188408</f>
        <v>-850.99048873931383</v>
      </c>
      <c r="R2606">
        <f>-682.61487833357 -7.11385541869572 -81.5986657478974</f>
        <v>-771.3273995001631</v>
      </c>
      <c r="S2606" t="s">
        <v>27888</v>
      </c>
      <c r="T2606" t="s">
        <v>27889</v>
      </c>
      <c r="U2606" t="s">
        <v>27890</v>
      </c>
      <c r="V2606">
        <f>-575.865462322779 -164.334810425343 -82.6125119139097</f>
        <v>-822.81278466203162</v>
      </c>
      <c r="W2606" t="s">
        <v>27891</v>
      </c>
      <c r="X2606" t="s">
        <v>27892</v>
      </c>
      <c r="Y2606" t="s">
        <v>27893</v>
      </c>
    </row>
    <row r="2607" spans="1:25" x14ac:dyDescent="0.3">
      <c r="A2607">
        <v>130300</v>
      </c>
      <c r="B2607" t="s">
        <v>27894</v>
      </c>
      <c r="C2607">
        <f>-630.233389453185 -84.8722168879152 -80.9373177354046</f>
        <v>-796.04292407650485</v>
      </c>
      <c r="D2607">
        <f>-651.009507762107 -98.028276188855 -194.125226387385</f>
        <v>-943.16301033834702</v>
      </c>
      <c r="E2607">
        <f>-660.000279760835 -97.5337941001912 -292.337195472676</f>
        <v>-1049.8712693337022</v>
      </c>
      <c r="F2607">
        <f>-664.973015776807 -92.7507038605017 -381.166383763037</f>
        <v>-1138.8901034003457</v>
      </c>
      <c r="G2607">
        <f>-666.421852011295 -83.5075902044105 -469.770627329808</f>
        <v>-1219.7000695455135</v>
      </c>
      <c r="H2607">
        <f>-664.697479282359 -65.9771239799431 -593.101608481106</f>
        <v>-1323.7762117434081</v>
      </c>
      <c r="I2607">
        <f>-630.653021521081 -45.0432845467623 -665.95603373658</f>
        <v>-1341.6523398044233</v>
      </c>
      <c r="J2607">
        <f>-678.938812402527 -49.6991594690404 -535.607862247516</f>
        <v>-1264.2458341190834</v>
      </c>
      <c r="K2607" t="s">
        <v>27895</v>
      </c>
      <c r="L2607" t="s">
        <v>27896</v>
      </c>
      <c r="M2607" t="s">
        <v>27897</v>
      </c>
      <c r="N2607">
        <f>-651.97377775741 -97.6837848901339 -542.051478618799</f>
        <v>-1291.7090412663429</v>
      </c>
      <c r="O2607">
        <f>-587.134781770353 -218.433835137508 -531.512618036794</f>
        <v>-1337.0812349446551</v>
      </c>
      <c r="P2607">
        <f>-552.127700626545 -310.391267118843 -254.186952285783</f>
        <v>-1116.705920031171</v>
      </c>
      <c r="Q2607">
        <f>-476.931945812015 -84.4798677530848 -291.071858819096</f>
        <v>-852.48367238419587</v>
      </c>
      <c r="R2607">
        <f>-683.311048976868 -6.02642928894738 -81.6153647586968</f>
        <v>-770.95284302451228</v>
      </c>
      <c r="S2607" t="s">
        <v>27898</v>
      </c>
      <c r="T2607" t="s">
        <v>27899</v>
      </c>
      <c r="U2607" t="s">
        <v>27900</v>
      </c>
      <c r="V2607">
        <f>-577.492162059256 -163.821732212996 -82.3286602012605</f>
        <v>-823.64255447351252</v>
      </c>
      <c r="W2607" t="s">
        <v>27901</v>
      </c>
      <c r="X2607" t="s">
        <v>27902</v>
      </c>
      <c r="Y2607" t="s">
        <v>27903</v>
      </c>
    </row>
    <row r="2608" spans="1:25" x14ac:dyDescent="0.3">
      <c r="A2608">
        <v>130350</v>
      </c>
      <c r="B2608" t="s">
        <v>27904</v>
      </c>
      <c r="C2608">
        <f>-632.955936866365 -83.2063521460323 -80.8350797802751</f>
        <v>-796.99736879267243</v>
      </c>
      <c r="D2608">
        <f>-653.80851930955 -96.4363210390904 -194.000307296866</f>
        <v>-944.24514764550645</v>
      </c>
      <c r="E2608">
        <f>-662.732696683719 -96.0208510716055 -292.218539198822</f>
        <v>-1050.9720869541466</v>
      </c>
      <c r="F2608">
        <f>-667.598678335443 -91.3090615108192 -381.057536738596</f>
        <v>-1139.9652765848582</v>
      </c>
      <c r="G2608">
        <f>-668.895810156929 -82.1376584591878 -469.671561858681</f>
        <v>-1220.7050304747977</v>
      </c>
      <c r="H2608">
        <f>-666.915280578661 -64.7063247760186 -593.012739156062</f>
        <v>-1324.6343445107418</v>
      </c>
      <c r="I2608">
        <f>-632.546124495057 -43.8813241968669 -665.745852426229</f>
        <v>-1342.1733011181529</v>
      </c>
      <c r="J2608">
        <f>-681.157374958076 -48.3173322850022 -535.550755876057</f>
        <v>-1265.0254631191351</v>
      </c>
      <c r="K2608" t="s">
        <v>27905</v>
      </c>
      <c r="L2608" t="s">
        <v>27906</v>
      </c>
      <c r="M2608" t="s">
        <v>27907</v>
      </c>
      <c r="N2608">
        <f>-654.416157278857 -96.4366626134378 -541.921928141728</f>
        <v>-1292.7747480340227</v>
      </c>
      <c r="O2608">
        <f>-590.701772225145 -217.834170530633 -531.748879087164</f>
        <v>-1340.2848218429422</v>
      </c>
      <c r="P2608">
        <f>-553.120682124673 -309.62246449198 -254.704099615602</f>
        <v>-1117.4472462322549</v>
      </c>
      <c r="Q2608">
        <f>-484.487833947543 -81.5122059246273 -290.844118905281</f>
        <v>-856.8441587774513</v>
      </c>
      <c r="R2608">
        <f>-685.31615952055 -3.88877659446121 -81.7371391096473</f>
        <v>-770.94207522465842</v>
      </c>
      <c r="S2608" t="s">
        <v>27908</v>
      </c>
      <c r="T2608" t="s">
        <v>27909</v>
      </c>
      <c r="U2608" t="s">
        <v>27910</v>
      </c>
      <c r="V2608">
        <f>-580.885463161591 -162.61907672105 -82.0298475439856</f>
        <v>-825.53438742662661</v>
      </c>
      <c r="W2608" t="s">
        <v>27911</v>
      </c>
      <c r="X2608" t="s">
        <v>27912</v>
      </c>
      <c r="Y2608" t="s">
        <v>27913</v>
      </c>
    </row>
    <row r="2609" spans="1:25" x14ac:dyDescent="0.3">
      <c r="A2609">
        <v>130400</v>
      </c>
      <c r="B2609" t="s">
        <v>27914</v>
      </c>
      <c r="C2609">
        <f>-635.599075640957 -81.4313120798744 -80.7715761363033</f>
        <v>-797.80196385713475</v>
      </c>
      <c r="D2609">
        <f>-656.283352871916 -94.8320689627769 -193.94761783888</f>
        <v>-945.06303967357292</v>
      </c>
      <c r="E2609">
        <f>-665.009565319009 -94.4261099056538 -292.183653429382</f>
        <v>-1051.6193286540447</v>
      </c>
      <c r="F2609">
        <f>-669.679626366357 -89.6616217182982 -381.030416867154</f>
        <v>-1140.3716649518092</v>
      </c>
      <c r="G2609">
        <f>-670.764244431011 -80.3774433473308 -469.635438397312</f>
        <v>-1220.7771261756538</v>
      </c>
      <c r="H2609">
        <f>-668.471141305361 -62.7254433395105 -592.939898118477</f>
        <v>-1324.1364827633486</v>
      </c>
      <c r="I2609">
        <f>-633.891532967943 -41.8817003964296 -665.567805082641</f>
        <v>-1341.3410384470135</v>
      </c>
      <c r="J2609">
        <f>-682.701705488341 -46.3544189667412 -535.469937315369</f>
        <v>-1264.5260617704512</v>
      </c>
      <c r="K2609" t="s">
        <v>27915</v>
      </c>
      <c r="L2609" t="s">
        <v>27916</v>
      </c>
      <c r="M2609" t="s">
        <v>27917</v>
      </c>
      <c r="N2609">
        <f>-656.2588092626 -94.6320770147003 -541.889499295249</f>
        <v>-1292.7803855725492</v>
      </c>
      <c r="O2609">
        <f>-593.700071045447 -216.657569890766 -532.073955255553</f>
        <v>-1342.4315961917659</v>
      </c>
      <c r="P2609">
        <f>-556.308606593697 -308.61930030035 -255.061079232801</f>
        <v>-1119.988986126848</v>
      </c>
      <c r="Q2609">
        <f>-487.728570390262 -80.5126679733665 -291.324155942246</f>
        <v>-859.56539430587463</v>
      </c>
      <c r="R2609">
        <f>-687.205085116619 -1.80803818071968 -82.074667788735</f>
        <v>-771.08779108607371</v>
      </c>
      <c r="S2609" t="s">
        <v>27918</v>
      </c>
      <c r="T2609" t="s">
        <v>27919</v>
      </c>
      <c r="U2609" t="s">
        <v>27920</v>
      </c>
      <c r="V2609">
        <f>-584.189956583149 -161.20848001078 -81.4962571167885</f>
        <v>-826.89469371071743</v>
      </c>
      <c r="W2609" t="s">
        <v>27921</v>
      </c>
      <c r="X2609" t="s">
        <v>27922</v>
      </c>
      <c r="Y2609" t="s">
        <v>27923</v>
      </c>
    </row>
    <row r="2610" spans="1:25" x14ac:dyDescent="0.3">
      <c r="A2610">
        <v>130450</v>
      </c>
      <c r="B2610" t="s">
        <v>27924</v>
      </c>
      <c r="C2610">
        <f>-636.750770752988 -80.5175165950412 -80.7333587457405</f>
        <v>-798.00164609376975</v>
      </c>
      <c r="D2610">
        <f>-657.305893828914 -93.995171304746 -193.923643379152</f>
        <v>-945.22470851281196</v>
      </c>
      <c r="E2610">
        <f>-665.897474879934 -93.5957511233424 -292.171798927911</f>
        <v>-1051.6650249311874</v>
      </c>
      <c r="F2610">
        <f>-670.438308655664 -88.8102395485216 -381.024079838889</f>
        <v>-1140.2726280430745</v>
      </c>
      <c r="G2610">
        <f>-671.385937060871 -79.4795599707541 -469.625859737575</f>
        <v>-1220.4913567692001</v>
      </c>
      <c r="H2610">
        <f>-668.893882921156 -61.7356381182483 -592.913124185233</f>
        <v>-1323.5426452246372</v>
      </c>
      <c r="I2610">
        <f>-634.213834509996 -40.8890692223576 -665.492438407485</f>
        <v>-1340.5953421398385</v>
      </c>
      <c r="J2610">
        <f>-683.102091333139 -45.3462776764533 -535.4429259982</f>
        <v>-1263.8912950077925</v>
      </c>
      <c r="K2610" t="s">
        <v>27925</v>
      </c>
      <c r="L2610" t="s">
        <v>27926</v>
      </c>
      <c r="M2610" t="s">
        <v>27927</v>
      </c>
      <c r="N2610">
        <f>-656.878932062465 -93.7415047274382 -541.878086473212</f>
        <v>-1292.4985232631152</v>
      </c>
      <c r="O2610">
        <f>-594.985603030771 -216.09986763469 -532.094821678413</f>
        <v>-1343.180292343874</v>
      </c>
      <c r="P2610">
        <f>-558.188548261884 -308.407039574719 -255.117131988129</f>
        <v>-1121.7127198247319</v>
      </c>
      <c r="Q2610">
        <f>-488.73403759696 -80.6108978913916 -291.666730001425</f>
        <v>-861.01166548977653</v>
      </c>
      <c r="R2610">
        <f>-688.032633218607 -0.637977302941181 -82.307925350534</f>
        <v>-770.97853587208215</v>
      </c>
      <c r="S2610" t="s">
        <v>27928</v>
      </c>
      <c r="T2610" t="s">
        <v>27929</v>
      </c>
      <c r="U2610" t="s">
        <v>27930</v>
      </c>
      <c r="V2610">
        <f>-585.639960535459 -160.663937288293 -81.2094510372076</f>
        <v>-827.51334886095958</v>
      </c>
      <c r="W2610" t="s">
        <v>27931</v>
      </c>
      <c r="X2610" t="s">
        <v>27932</v>
      </c>
      <c r="Y2610" t="s">
        <v>27933</v>
      </c>
    </row>
    <row r="2611" spans="1:25" x14ac:dyDescent="0.3">
      <c r="A2611">
        <v>130500</v>
      </c>
      <c r="B2611" t="s">
        <v>27934</v>
      </c>
      <c r="C2611">
        <f>-638.612723616118 -79.132028544003 -81.1761221234257</f>
        <v>-798.92087428354671</v>
      </c>
      <c r="D2611">
        <f>-658.907765713397 -92.5053701342767 -194.425752887128</f>
        <v>-945.83888873480169</v>
      </c>
      <c r="E2611">
        <f>-667.257651941195 -92.0544868968809 -292.694484302204</f>
        <v>-1052.00662314028</v>
      </c>
      <c r="F2611">
        <f>-671.581341247694 -87.2290885212065 -381.555326504176</f>
        <v>-1140.3657562730766</v>
      </c>
      <c r="G2611">
        <f>-672.314825348644 -77.8666497674708 -470.155956498152</f>
        <v>-1220.3374316142667</v>
      </c>
      <c r="H2611">
        <f>-669.529650915779 -60.0849684715888 -593.431415029098</f>
        <v>-1323.0460344164658</v>
      </c>
      <c r="I2611">
        <f>-634.745797412251 -39.2750150298134 -665.971554457089</f>
        <v>-1339.9923668991535</v>
      </c>
      <c r="J2611">
        <f>-683.648167026467 -43.5947399862064 -535.968035136615</f>
        <v>-1263.2109421492883</v>
      </c>
      <c r="K2611" t="s">
        <v>27935</v>
      </c>
      <c r="L2611" t="s">
        <v>27936</v>
      </c>
      <c r="M2611" t="s">
        <v>27937</v>
      </c>
      <c r="N2611">
        <f>-657.86243205565 -92.2248281720437 -542.399893711411</f>
        <v>-1292.4871539391047</v>
      </c>
      <c r="O2611">
        <f>-597.301997731596 -215.218112217877 -532.32289896702</f>
        <v>-1344.8430089164931</v>
      </c>
      <c r="P2611">
        <f>-563.127132454737 -307.461467745913 -254.988419903802</f>
        <v>-1125.577020104452</v>
      </c>
      <c r="Q2611">
        <f>-490.727092773279 -80.6672806368683 -292.048881203168</f>
        <v>-863.44325461331528</v>
      </c>
      <c r="R2611" t="s">
        <v>27938</v>
      </c>
      <c r="S2611" t="s">
        <v>27939</v>
      </c>
      <c r="T2611" t="s">
        <v>27940</v>
      </c>
      <c r="U2611" t="s">
        <v>27941</v>
      </c>
      <c r="V2611">
        <f>-588.184793392967 -159.968267607195 -81.4913477360145</f>
        <v>-829.6444087361765</v>
      </c>
      <c r="W2611" t="s">
        <v>27942</v>
      </c>
      <c r="X2611" t="s">
        <v>27943</v>
      </c>
      <c r="Y2611" t="s">
        <v>27944</v>
      </c>
    </row>
    <row r="2612" spans="1:25" x14ac:dyDescent="0.3">
      <c r="A2612">
        <v>130550</v>
      </c>
      <c r="B2612" t="s">
        <v>27945</v>
      </c>
      <c r="C2612">
        <f>-639.362091355136 -78.4807416557735 -81.4863178869033</f>
        <v>-799.32915089781284</v>
      </c>
      <c r="D2612">
        <f>-659.483920433082 -91.659772778595 -194.789752458289</f>
        <v>-945.93344566996598</v>
      </c>
      <c r="E2612">
        <f>-667.679202911881 -91.1676336142175 -293.071124499026</f>
        <v>-1051.9179610251244</v>
      </c>
      <c r="F2612">
        <f>-671.867562523171 -86.3502459158368 -381.938943520956</f>
        <v>-1140.1567519599639</v>
      </c>
      <c r="G2612">
        <f>-672.47214057346 -77.0409964175843 -470.546078236131</f>
        <v>-1220.0592152271754</v>
      </c>
      <c r="H2612">
        <f>-669.516162584939 -59.3790398057332 -593.834845540381</f>
        <v>-1322.7300479310534</v>
      </c>
      <c r="I2612">
        <f>-634.811623155764 -38.6502363454788 -666.436210313638</f>
        <v>-1339.8980698148807</v>
      </c>
      <c r="J2612">
        <f>-683.610832817457 -42.7797366864488 -536.397076424325</f>
        <v>-1262.7876459282306</v>
      </c>
      <c r="K2612" t="s">
        <v>27946</v>
      </c>
      <c r="L2612" t="s">
        <v>27947</v>
      </c>
      <c r="M2612" t="s">
        <v>27948</v>
      </c>
      <c r="N2612">
        <f>-658.02304055786 -91.5225373320948 -542.766118025953</f>
        <v>-1292.3116959159079</v>
      </c>
      <c r="O2612">
        <f>-598.075744112957 -214.798920927436 -532.436340850017</f>
        <v>-1345.3110058904099</v>
      </c>
      <c r="P2612">
        <f>-565.309993653313 -307.020349123804 -254.924380174299</f>
        <v>-1127.2547229514159</v>
      </c>
      <c r="Q2612">
        <f>-491.190097123375 -80.8066383137473 -292.132910277504</f>
        <v>-864.12964571462635</v>
      </c>
      <c r="R2612" t="s">
        <v>27949</v>
      </c>
      <c r="S2612" t="s">
        <v>27950</v>
      </c>
      <c r="T2612" t="s">
        <v>27951</v>
      </c>
      <c r="U2612" t="s">
        <v>27952</v>
      </c>
      <c r="V2612">
        <f>-589.180701105934 -159.549165319661 -81.700512020118</f>
        <v>-830.43037844571302</v>
      </c>
      <c r="W2612" t="s">
        <v>27953</v>
      </c>
      <c r="X2612" t="s">
        <v>27954</v>
      </c>
      <c r="Y2612" t="s">
        <v>27955</v>
      </c>
    </row>
    <row r="2613" spans="1:25" x14ac:dyDescent="0.3">
      <c r="A2613">
        <v>130600</v>
      </c>
      <c r="B2613" t="s">
        <v>27956</v>
      </c>
      <c r="C2613">
        <f>-639.879472827395 -77.9237737375199 -82.0127132472164</f>
        <v>-799.81595981213138</v>
      </c>
      <c r="D2613">
        <f>-659.578479392741 -90.7458986204493 -195.431148842641</f>
        <v>-945.75552685583125</v>
      </c>
      <c r="E2613">
        <f>-667.399359735472 -90.1027191879764 -293.742364032628</f>
        <v>-1051.2444429560765</v>
      </c>
      <c r="F2613">
        <f>-671.254591010248 -85.2047925333204 -382.620857170473</f>
        <v>-1139.0802407140413</v>
      </c>
      <c r="G2613">
        <f>-671.53459966965 -75.8706674442224 -471.226867028984</f>
        <v>-1218.6321341428563</v>
      </c>
      <c r="H2613">
        <f>-668.137919665586 -58.2300948507009 -594.507419284229</f>
        <v>-1320.8754338005158</v>
      </c>
      <c r="I2613">
        <f>-633.785909166312 -37.6573288931743 -667.320524464204</f>
        <v>-1338.7637625236903</v>
      </c>
      <c r="J2613">
        <f>-682.314192529022 -41.5579989803184 -537.110728301469</f>
        <v>-1260.9829198108093</v>
      </c>
      <c r="K2613" t="s">
        <v>27957</v>
      </c>
      <c r="L2613" t="s">
        <v>27958</v>
      </c>
      <c r="M2613" t="s">
        <v>27959</v>
      </c>
      <c r="N2613">
        <f>-656.951083337172 -90.4277949193217 -543.404917938093</f>
        <v>-1290.7837961945868</v>
      </c>
      <c r="O2613">
        <f>-597.622641945058 -213.960863683908 -532.535311124712</f>
        <v>-1344.1188167536779</v>
      </c>
      <c r="P2613">
        <f>-568.082017195937 -307.214371242961 -255.006420572391</f>
        <v>-1130.3028090112889</v>
      </c>
      <c r="Q2613">
        <f>-490.433264227696 -81.9532172244001 -290.769289813686</f>
        <v>-863.15577126578205</v>
      </c>
      <c r="R2613" t="s">
        <v>27960</v>
      </c>
      <c r="S2613" t="s">
        <v>27961</v>
      </c>
      <c r="T2613" t="s">
        <v>27962</v>
      </c>
      <c r="U2613" t="s">
        <v>27963</v>
      </c>
      <c r="V2613">
        <f>-589.849548654798 -159.440405723572 -82.210123210575</f>
        <v>-831.50007758894503</v>
      </c>
      <c r="W2613" t="s">
        <v>27964</v>
      </c>
      <c r="X2613" t="s">
        <v>27965</v>
      </c>
      <c r="Y2613" t="s">
        <v>27966</v>
      </c>
    </row>
    <row r="2614" spans="1:25" x14ac:dyDescent="0.3">
      <c r="A2614">
        <v>130650</v>
      </c>
      <c r="B2614" t="s">
        <v>27967</v>
      </c>
      <c r="C2614">
        <f>-639.93823452613 -77.6417611525156 -82.2166387158903</f>
        <v>-799.796634394536</v>
      </c>
      <c r="D2614">
        <f>-659.501937258242 -90.3724245819128 -195.668975884217</f>
        <v>-945.5433377243719</v>
      </c>
      <c r="E2614">
        <f>-667.209745024551 -89.6827115780895 -293.988576988852</f>
        <v>-1050.8810335914925</v>
      </c>
      <c r="F2614">
        <f>-670.965104166911 -84.7550201669631 -382.869698174963</f>
        <v>-1138.5898225088372</v>
      </c>
      <c r="G2614">
        <f>-671.148218110102 -75.4037962170233 -471.4742574062</f>
        <v>-1218.0262717333253</v>
      </c>
      <c r="H2614">
        <f>-667.61962727087 -57.7520558819666 -594.749550546117</f>
        <v>-1320.1212336989536</v>
      </c>
      <c r="I2614">
        <f>-633.478960957137 -37.2463314623378 -667.680580428473</f>
        <v>-1338.4058728479479</v>
      </c>
      <c r="J2614">
        <f>-681.841772055537 -41.0772108989001 -537.365008086403</f>
        <v>-1260.2839910408402</v>
      </c>
      <c r="K2614" t="s">
        <v>27968</v>
      </c>
      <c r="L2614" t="s">
        <v>27969</v>
      </c>
      <c r="M2614" t="s">
        <v>27970</v>
      </c>
      <c r="N2614">
        <f>-656.503019520356 -89.9621808350256 -543.639526855292</f>
        <v>-1290.1047272106737</v>
      </c>
      <c r="O2614">
        <f>-597.157049349597 -213.462571005052 -532.50314265363</f>
        <v>-1343.122763008279</v>
      </c>
      <c r="P2614">
        <f>-569.740593793379 -307.36395269181 -254.97462638321</f>
        <v>-1132.0791728683992</v>
      </c>
      <c r="Q2614">
        <f>-489.565967255844 -82.812358918918 -289.608370634965</f>
        <v>-861.98669680972694</v>
      </c>
      <c r="R2614" t="s">
        <v>27971</v>
      </c>
      <c r="S2614" t="s">
        <v>27972</v>
      </c>
      <c r="T2614" t="s">
        <v>27973</v>
      </c>
      <c r="U2614" t="s">
        <v>27974</v>
      </c>
      <c r="V2614">
        <f>-589.950518602517 -159.211697709064 -82.4671704163811</f>
        <v>-831.62938672796213</v>
      </c>
      <c r="W2614" t="s">
        <v>27975</v>
      </c>
      <c r="X2614" t="s">
        <v>27976</v>
      </c>
      <c r="Y2614" t="s">
        <v>27977</v>
      </c>
    </row>
    <row r="2615" spans="1:25" x14ac:dyDescent="0.3">
      <c r="A2615">
        <v>130700</v>
      </c>
      <c r="B2615" t="s">
        <v>27978</v>
      </c>
      <c r="C2615">
        <f>-639.946439135823 -77.6152307711753 -82.377545734502</f>
        <v>-799.93921564150025</v>
      </c>
      <c r="D2615">
        <f>-659.38103075463 -90.2825964218886 -195.859154023931</f>
        <v>-945.52278120044957</v>
      </c>
      <c r="E2615">
        <f>-667.004332250309 -89.5734960277537 -294.185357986311</f>
        <v>-1050.7631862643736</v>
      </c>
      <c r="F2615">
        <f>-670.693522525365 -84.6435009597886 -383.069091876372</f>
        <v>-1138.4061153615257</v>
      </c>
      <c r="G2615">
        <f>-670.820494022519 -75.3050834362086 -471.675055868426</f>
        <v>-1217.8006333271537</v>
      </c>
      <c r="H2615">
        <f>-667.223821579727 -57.687351629531 -594.953119536728</f>
        <v>-1319.8642927459859</v>
      </c>
      <c r="I2615">
        <f>-633.315591957905 -37.2066942373281 -667.999795983097</f>
        <v>-1338.52208217833</v>
      </c>
      <c r="J2615">
        <f>-681.478350114018 -40.9970736367172 -537.581140008663</f>
        <v>-1260.0565637593982</v>
      </c>
      <c r="K2615" t="s">
        <v>27979</v>
      </c>
      <c r="L2615" t="s">
        <v>27980</v>
      </c>
      <c r="M2615" t="s">
        <v>27981</v>
      </c>
      <c r="N2615">
        <f>-656.134757722724 -89.8830910160772 -543.828067200643</f>
        <v>-1289.8459159394442</v>
      </c>
      <c r="O2615">
        <f>-596.724467974471 -213.314714726913 -532.514414566821</f>
        <v>-1342.5535972682051</v>
      </c>
      <c r="P2615">
        <f>-570.714731281346 -307.750618857283 -255.031825504533</f>
        <v>-1133.4971756431619</v>
      </c>
      <c r="Q2615">
        <f>-488.693598654888 -83.7307595645105 -288.773627535728</f>
        <v>-861.19798575512652</v>
      </c>
      <c r="R2615" t="s">
        <v>27982</v>
      </c>
      <c r="S2615" t="s">
        <v>27983</v>
      </c>
      <c r="T2615" t="s">
        <v>27984</v>
      </c>
      <c r="U2615" t="s">
        <v>27985</v>
      </c>
      <c r="V2615">
        <f>-589.953549314586 -159.14487413965 -82.6709056446556</f>
        <v>-831.7693290988916</v>
      </c>
      <c r="W2615" t="s">
        <v>27986</v>
      </c>
      <c r="X2615" t="s">
        <v>27987</v>
      </c>
      <c r="Y2615" t="s">
        <v>27988</v>
      </c>
    </row>
    <row r="2616" spans="1:25" x14ac:dyDescent="0.3">
      <c r="A2616">
        <v>130750</v>
      </c>
      <c r="B2616" t="s">
        <v>27989</v>
      </c>
      <c r="C2616">
        <f>-639.646871676195 -78.0162950561485 -82.2882971669435</f>
        <v>-799.95146389928698</v>
      </c>
      <c r="D2616">
        <f>-658.792579695087 -90.7188150163947 -195.814940650911</f>
        <v>-945.3263353623928</v>
      </c>
      <c r="E2616">
        <f>-666.192228456322 -90.0590192464558 -294.158507901658</f>
        <v>-1050.4097556044358</v>
      </c>
      <c r="F2616">
        <f>-669.68655914163 -85.1843515902131 -383.053320338008</f>
        <v>-1137.924231069851</v>
      </c>
      <c r="G2616">
        <f>-669.624984282439 -75.9126448061451 -471.666321130557</f>
        <v>-1217.203950219141</v>
      </c>
      <c r="H2616">
        <f>-665.7703082558 -58.401398576128 -594.951777985108</f>
        <v>-1319.1234848170361</v>
      </c>
      <c r="I2616">
        <f>-632.229084443219 -37.8156677380603 -668.138233876436</f>
        <v>-1338.1829860577152</v>
      </c>
      <c r="J2616">
        <f>-680.160912072551 -41.669677470559 -537.625783098824</f>
        <v>-1259.456372641934</v>
      </c>
      <c r="K2616" t="s">
        <v>27990</v>
      </c>
      <c r="L2616" t="s">
        <v>27991</v>
      </c>
      <c r="M2616" t="s">
        <v>27992</v>
      </c>
      <c r="N2616">
        <f>-654.772110263454 -90.5447239126211 -543.774124932097</f>
        <v>-1289.0909591081722</v>
      </c>
      <c r="O2616">
        <f>-595.084201692473 -213.855836715675 -532.316112136271</f>
        <v>-1341.2561505444191</v>
      </c>
      <c r="P2616">
        <f>-571.08270994471 -308.827687372195 -254.835548827631</f>
        <v>-1134.745946144536</v>
      </c>
      <c r="Q2616">
        <f>-486.824548405336 -85.537110511667 -287.892043188834</f>
        <v>-860.25370210583696</v>
      </c>
      <c r="R2616" t="s">
        <v>27993</v>
      </c>
      <c r="S2616" t="s">
        <v>27994</v>
      </c>
      <c r="T2616" t="s">
        <v>27995</v>
      </c>
      <c r="U2616" t="s">
        <v>27996</v>
      </c>
      <c r="V2616">
        <f>-589.821320716321 -158.945795045199 -82.4455538123168</f>
        <v>-831.21266957383682</v>
      </c>
      <c r="W2616" t="s">
        <v>27997</v>
      </c>
      <c r="X2616" t="s">
        <v>27998</v>
      </c>
      <c r="Y2616" t="s">
        <v>27999</v>
      </c>
    </row>
    <row r="2617" spans="1:25" x14ac:dyDescent="0.3">
      <c r="A2617">
        <v>130800</v>
      </c>
      <c r="B2617" t="s">
        <v>28000</v>
      </c>
      <c r="C2617">
        <f>-639.286918503074 -79.0287020504887 -81.9211012862118</f>
        <v>-800.23672183977453</v>
      </c>
      <c r="D2617">
        <f>-658.258200222453 -91.6644391192283 -195.48454909117</f>
        <v>-945.40718843285129</v>
      </c>
      <c r="E2617">
        <f>-665.428817465805 -90.970252664274 -293.844900598877</f>
        <v>-1050.2439707289559</v>
      </c>
      <c r="F2617">
        <f>-668.683992009541 -86.0747745180674 -382.747478143348</f>
        <v>-1137.5062446709564</v>
      </c>
      <c r="G2617">
        <f>-668.351407425464 -76.7938567772916 -471.359055061956</f>
        <v>-1216.5043192647115</v>
      </c>
      <c r="H2617">
        <f>-664.084686273937 -59.2826247451146 -594.630929962814</f>
        <v>-1317.9982409818656</v>
      </c>
      <c r="I2617">
        <f>-630.803220396979 -38.5522014795154 -667.894924717402</f>
        <v>-1337.2503465938962</v>
      </c>
      <c r="J2617">
        <f>-678.637392928785 -42.5360704424604 -537.350215912324</f>
        <v>-1258.5236792835694</v>
      </c>
      <c r="K2617" t="s">
        <v>28001</v>
      </c>
      <c r="L2617" t="s">
        <v>28002</v>
      </c>
      <c r="M2617" t="s">
        <v>28003</v>
      </c>
      <c r="N2617">
        <f>-653.28714293221 -91.4409736089495 -543.419874194482</f>
        <v>-1288.1479907356415</v>
      </c>
      <c r="O2617">
        <f>-593.539438575013 -214.713969107705 -531.836468941161</f>
        <v>-1340.089876623879</v>
      </c>
      <c r="P2617">
        <f>-572.133347689102 -310.489483000389 -254.419827030578</f>
        <v>-1137.042657720069</v>
      </c>
      <c r="Q2617">
        <f>-483.766726404374 -88.7075113773544 -286.900182281178</f>
        <v>-859.37442006290644</v>
      </c>
      <c r="R2617" t="s">
        <v>28004</v>
      </c>
      <c r="S2617" t="s">
        <v>28005</v>
      </c>
      <c r="T2617" t="s">
        <v>28006</v>
      </c>
      <c r="U2617" t="s">
        <v>28007</v>
      </c>
      <c r="V2617">
        <f>-589.972665130324 -159.816011515285 -82.0481406505965</f>
        <v>-831.83681729620548</v>
      </c>
      <c r="W2617" t="s">
        <v>28008</v>
      </c>
      <c r="X2617" t="s">
        <v>28009</v>
      </c>
      <c r="Y2617" t="s">
        <v>28010</v>
      </c>
    </row>
    <row r="2618" spans="1:25" x14ac:dyDescent="0.3">
      <c r="A2618">
        <v>130850</v>
      </c>
      <c r="B2618" t="s">
        <v>28011</v>
      </c>
      <c r="C2618">
        <f>-639.258969349854 -79.0771296897991 -81.8200351266553</f>
        <v>-800.15613416630845</v>
      </c>
      <c r="D2618">
        <f>-658.203205103159 -91.6378475440767 -195.396217133779</f>
        <v>-945.23726978101479</v>
      </c>
      <c r="E2618">
        <f>-665.308351514852 -90.8895436342883 -293.760910568143</f>
        <v>-1049.9588057172832</v>
      </c>
      <c r="F2618">
        <f>-668.48873850837 -85.9485695950945 -382.66379095776</f>
        <v>-1137.1010990612244</v>
      </c>
      <c r="G2618">
        <f>-668.065638050043 -76.6264139247161 -471.270618209717</f>
        <v>-1215.9626701844761</v>
      </c>
      <c r="H2618">
        <f>-663.656583347141 -59.0618880944384 -594.529829537366</f>
        <v>-1317.2483009789453</v>
      </c>
      <c r="I2618">
        <f>-630.491555604627 -38.2800599954824 -667.832185610836</f>
        <v>-1336.6038012109452</v>
      </c>
      <c r="J2618">
        <f>-678.241409255262 -42.3229464638721 -537.255138187939</f>
        <v>-1257.8194939070731</v>
      </c>
      <c r="K2618" t="s">
        <v>28012</v>
      </c>
      <c r="L2618" t="s">
        <v>28013</v>
      </c>
      <c r="M2618" t="s">
        <v>28014</v>
      </c>
      <c r="N2618">
        <f>-652.952157846972 -91.2594224589602 -543.323971345452</f>
        <v>-1287.5355516513841</v>
      </c>
      <c r="O2618">
        <f>-593.301283789096 -214.582133244317 -531.686241209825</f>
        <v>-1339.5696582432379</v>
      </c>
      <c r="P2618">
        <f>-573.590445320686 -310.579696331198 -254.220581453929</f>
        <v>-1138.3907231058131</v>
      </c>
      <c r="Q2618">
        <f>-482.265401773522 -89.9518430211969 -286.375871261667</f>
        <v>-858.59311605638595</v>
      </c>
      <c r="R2618" t="s">
        <v>28015</v>
      </c>
      <c r="S2618" t="s">
        <v>28016</v>
      </c>
      <c r="T2618" t="s">
        <v>28017</v>
      </c>
      <c r="U2618" t="s">
        <v>28018</v>
      </c>
      <c r="V2618">
        <f>-590.078246258124 -159.707819302662 -81.9932717943916</f>
        <v>-831.77933735517752</v>
      </c>
      <c r="W2618" t="s">
        <v>28019</v>
      </c>
      <c r="X2618" t="s">
        <v>28020</v>
      </c>
      <c r="Y2618" t="s">
        <v>28021</v>
      </c>
    </row>
    <row r="2619" spans="1:25" x14ac:dyDescent="0.3">
      <c r="A2619">
        <v>130900</v>
      </c>
      <c r="B2619" t="s">
        <v>28022</v>
      </c>
      <c r="C2619">
        <f>-638.832981533266 -78.8747406308408 -81.755739232862</f>
        <v>-799.4634613969688</v>
      </c>
      <c r="D2619">
        <f>-657.724175144926 -91.169995602132 -195.369884129844</f>
        <v>-944.26405487690192</v>
      </c>
      <c r="E2619">
        <f>-664.689547458438 -90.2523694517706 -293.743106422724</f>
        <v>-1048.6850233329326</v>
      </c>
      <c r="F2619">
        <f>-667.70837229955 -85.1800202830269 -382.644209590568</f>
        <v>-1135.5326021731448</v>
      </c>
      <c r="G2619">
        <f>-667.088616021747 -75.7502599900055 -471.238420561016</f>
        <v>-1214.0772965727685</v>
      </c>
      <c r="H2619">
        <f>-662.368819457242 -58.0613984483547 -594.468395339801</f>
        <v>-1314.8986132453977</v>
      </c>
      <c r="I2619">
        <f>-629.390236985124 -37.2792993786293 -667.854779407016</f>
        <v>-1334.5243157707694</v>
      </c>
      <c r="J2619">
        <f>-676.968117241949 -41.315126260914 -537.199486320143</f>
        <v>-1255.4827298230061</v>
      </c>
      <c r="K2619" t="s">
        <v>28023</v>
      </c>
      <c r="L2619" t="s">
        <v>28024</v>
      </c>
      <c r="M2619" t="s">
        <v>28025</v>
      </c>
      <c r="N2619">
        <f>-651.923357420046 -90.3755752714367 -543.282530105038</f>
        <v>-1285.5814627965206</v>
      </c>
      <c r="O2619">
        <f>-592.85555912455 -213.955740937229 -531.620706619055</f>
        <v>-1338.4320066808341</v>
      </c>
      <c r="P2619">
        <f>-576.159487473766 -310.715518145133 -254.222065258084</f>
        <v>-1141.097070876983</v>
      </c>
      <c r="Q2619">
        <f>-479.894401585356 -92.216665303044 -286.504596576079</f>
        <v>-858.61566346447898</v>
      </c>
      <c r="R2619" t="s">
        <v>28026</v>
      </c>
      <c r="S2619" t="s">
        <v>28027</v>
      </c>
      <c r="T2619" t="s">
        <v>28028</v>
      </c>
      <c r="U2619" t="s">
        <v>28029</v>
      </c>
      <c r="V2619">
        <f>-589.872920842431 -159.584984965115 -81.9805360634901</f>
        <v>-831.43844187103616</v>
      </c>
      <c r="W2619" t="s">
        <v>28030</v>
      </c>
      <c r="X2619" t="s">
        <v>28031</v>
      </c>
      <c r="Y2619" t="s">
        <v>28032</v>
      </c>
    </row>
    <row r="2620" spans="1:25" x14ac:dyDescent="0.3">
      <c r="A2620">
        <v>130950</v>
      </c>
      <c r="B2620" t="s">
        <v>28033</v>
      </c>
      <c r="C2620">
        <f>-638.445060213622 -78.8258060977148 -81.7927868270623</f>
        <v>-799.0636531383991</v>
      </c>
      <c r="D2620">
        <f>-657.303804094548 -90.969362869596 -195.428568795305</f>
        <v>-943.70173575944909</v>
      </c>
      <c r="E2620">
        <f>-664.160179689784 -89.9323540847926 -293.808391916206</f>
        <v>-1047.9009256907825</v>
      </c>
      <c r="F2620">
        <f>-667.048103100834 -84.7565164068575 -382.707798444052</f>
        <v>-1134.5124179517436</v>
      </c>
      <c r="G2620">
        <f>-666.264669338387 -75.2297343329579 -471.290303879698</f>
        <v>-1212.7847075510429</v>
      </c>
      <c r="H2620">
        <f>-661.281788691052 -57.4129772260535 -594.491662993415</f>
        <v>-1313.1864289105206</v>
      </c>
      <c r="I2620">
        <f>-628.345547324616 -36.6403980457294 -667.899549576104</f>
        <v>-1332.8854949464494</v>
      </c>
      <c r="J2620">
        <f>-675.918407338217 -40.68419109513 -537.227009893844</f>
        <v>-1253.829608327191</v>
      </c>
      <c r="K2620" t="s">
        <v>28034</v>
      </c>
      <c r="L2620" t="s">
        <v>28035</v>
      </c>
      <c r="M2620" t="s">
        <v>28036</v>
      </c>
      <c r="N2620">
        <f>-651.030697987292 -89.822363335418 -543.3264938763</f>
        <v>-1284.1795551990099</v>
      </c>
      <c r="O2620">
        <f>-592.353866320555 -213.59917563309 -531.717440084297</f>
        <v>-1337.6704820379418</v>
      </c>
      <c r="P2620">
        <f>-577.139344747328 -310.463044920366 -254.269986724953</f>
        <v>-1141.8723763926469</v>
      </c>
      <c r="Q2620">
        <f>-478.618787841127 -93.0876470891542 -287.322573353175</f>
        <v>-859.02900828345628</v>
      </c>
      <c r="R2620" t="s">
        <v>28037</v>
      </c>
      <c r="S2620" t="s">
        <v>28038</v>
      </c>
      <c r="T2620" t="s">
        <v>28039</v>
      </c>
      <c r="U2620" t="s">
        <v>28040</v>
      </c>
      <c r="V2620">
        <f>-589.658207489784 -159.677196807292 -82.0061307487797</f>
        <v>-831.34153504585572</v>
      </c>
      <c r="W2620" t="s">
        <v>28041</v>
      </c>
      <c r="X2620" t="s">
        <v>28042</v>
      </c>
      <c r="Y2620" t="s">
        <v>28043</v>
      </c>
    </row>
    <row r="2621" spans="1:25" x14ac:dyDescent="0.3">
      <c r="A2621">
        <v>131000</v>
      </c>
      <c r="B2621" t="s">
        <v>28044</v>
      </c>
      <c r="C2621">
        <f>-637.467202217637 -79.5001618871204 -81.8334631546946</f>
        <v>-798.80082725945203</v>
      </c>
      <c r="D2621">
        <f>-656.381757952769 -91.373865447713 -195.488544369916</f>
        <v>-943.24416777039801</v>
      </c>
      <c r="E2621">
        <f>-663.080889139712 -90.0995760070332 -293.876355653536</f>
        <v>-1047.0568208002812</v>
      </c>
      <c r="F2621">
        <f>-665.744907304793 -84.7069531799045 -382.769817928993</f>
        <v>-1133.2216784136904</v>
      </c>
      <c r="G2621">
        <f>-664.65437778197 -74.96558079215 -471.325773631798</f>
        <v>-1210.9457322059179</v>
      </c>
      <c r="H2621">
        <f>-659.155598730634 -56.8540516020668 -594.462063675565</f>
        <v>-1310.4717140082657</v>
      </c>
      <c r="I2621">
        <f>-626.201395282519 -36.0196184261874 -667.844597129708</f>
        <v>-1330.0656108384144</v>
      </c>
      <c r="J2621">
        <f>-673.86503919739 -40.1807626926441 -537.19998679282</f>
        <v>-1251.2457886828543</v>
      </c>
      <c r="K2621" t="s">
        <v>28045</v>
      </c>
      <c r="L2621" t="s">
        <v>28046</v>
      </c>
      <c r="M2621" t="s">
        <v>28047</v>
      </c>
      <c r="N2621">
        <f>-649.285733844039 -89.4674025383654 -543.351780865788</f>
        <v>-1282.1049172481924</v>
      </c>
      <c r="O2621">
        <f>-591.391121666625 -213.624161110838 -531.961599861576</f>
        <v>-1336.9768826390391</v>
      </c>
      <c r="P2621">
        <f>-578.403610683543 -310.161875196944 -254.287166428373</f>
        <v>-1142.8526523088599</v>
      </c>
      <c r="Q2621">
        <f>-476.630574472716 -94.5113603501649 -288.754432027528</f>
        <v>-859.89636685040887</v>
      </c>
      <c r="R2621" t="s">
        <v>28048</v>
      </c>
      <c r="S2621" t="s">
        <v>28049</v>
      </c>
      <c r="T2621" t="s">
        <v>28050</v>
      </c>
      <c r="U2621" t="s">
        <v>28051</v>
      </c>
      <c r="V2621">
        <f>-589.029554830713 -161.010038250128 -82.2002743619104</f>
        <v>-832.23986744275135</v>
      </c>
      <c r="W2621" t="s">
        <v>28052</v>
      </c>
      <c r="X2621" t="s">
        <v>28053</v>
      </c>
      <c r="Y2621" t="s">
        <v>28054</v>
      </c>
    </row>
    <row r="2622" spans="1:25" x14ac:dyDescent="0.3">
      <c r="A2622">
        <v>131050</v>
      </c>
      <c r="B2622" t="s">
        <v>28055</v>
      </c>
      <c r="C2622">
        <f>-636.962563845102 -79.7240296710764 -81.7749495635039</f>
        <v>-798.46154307968231</v>
      </c>
      <c r="D2622">
        <f>-655.938925432409 -91.4623905702896 -195.43367985584</f>
        <v>-942.8349958585386</v>
      </c>
      <c r="E2622">
        <f>-662.578800217761 -90.0920003949838 -293.824319381022</f>
        <v>-1046.4951199937668</v>
      </c>
      <c r="F2622">
        <f>-665.14487401432 -84.6199990168934 -382.715811011649</f>
        <v>-1132.4806840428623</v>
      </c>
      <c r="G2622">
        <f>-663.912342777195 -74.8084921056462 -471.262312831966</f>
        <v>-1209.9831477148073</v>
      </c>
      <c r="H2622">
        <f>-658.169136572996 -56.6095007786221 -594.374457279996</f>
        <v>-1309.1530946316141</v>
      </c>
      <c r="I2622">
        <f>-625.165287750499 -35.7144225242632 -667.717320360037</f>
        <v>-1328.5970306347992</v>
      </c>
      <c r="J2622">
        <f>-672.916084427249 -39.9401220412428 -537.12087101408</f>
        <v>-1249.9770774825718</v>
      </c>
      <c r="K2622" t="s">
        <v>28056</v>
      </c>
      <c r="L2622" t="s">
        <v>28057</v>
      </c>
      <c r="M2622" t="s">
        <v>28058</v>
      </c>
      <c r="N2622">
        <f>-648.476803323252 -89.2958818541111 -543.27671468247</f>
        <v>-1281.0493998598331</v>
      </c>
      <c r="O2622">
        <f>-590.900127898465 -213.6111878455 -531.950971440709</f>
        <v>-1336.4622871846741</v>
      </c>
      <c r="P2622">
        <f>-578.630510798858 -309.93936740508 -254.171407947706</f>
        <v>-1142.7412861516441</v>
      </c>
      <c r="Q2622">
        <f>-475.695067042955 -94.9410178015119 -289.254971327259</f>
        <v>-859.89105617172584</v>
      </c>
      <c r="R2622" t="s">
        <v>28059</v>
      </c>
      <c r="S2622" t="s">
        <v>28060</v>
      </c>
      <c r="T2622" t="s">
        <v>28061</v>
      </c>
      <c r="U2622" t="s">
        <v>28062</v>
      </c>
      <c r="V2622">
        <f>-588.772834873752 -161.251625220546 -82.2340145934762</f>
        <v>-832.2584746877742</v>
      </c>
      <c r="W2622" t="s">
        <v>28063</v>
      </c>
      <c r="X2622" t="s">
        <v>28064</v>
      </c>
      <c r="Y2622" t="s">
        <v>28065</v>
      </c>
    </row>
    <row r="2623" spans="1:25" x14ac:dyDescent="0.3">
      <c r="A2623">
        <v>131100</v>
      </c>
      <c r="B2623" t="s">
        <v>28066</v>
      </c>
      <c r="C2623">
        <f>-636.220336784976 -79.3022285998012 -81.5969983407588</f>
        <v>-797.11956372553595</v>
      </c>
      <c r="D2623">
        <f>-655.230007152041 -90.8127654977282 -195.273566355922</f>
        <v>-941.31633900569113</v>
      </c>
      <c r="E2623">
        <f>-661.731782440939 -89.3020511822543 -293.671235230298</f>
        <v>-1044.7050688534914</v>
      </c>
      <c r="F2623">
        <f>-664.109603708776 -83.7230602089842 -382.561409143523</f>
        <v>-1130.3940730612833</v>
      </c>
      <c r="G2623">
        <f>-662.625797541576 -73.8268069961707 -471.094445926551</f>
        <v>-1207.5470504642976</v>
      </c>
      <c r="H2623">
        <f>-656.467019600906 -55.5332218229339 -594.17259336388</f>
        <v>-1306.1728347877199</v>
      </c>
      <c r="I2623">
        <f>-623.294247951295 -34.4855008353113 -667.395451162707</f>
        <v>-1325.1751999493133</v>
      </c>
      <c r="J2623">
        <f>-671.282848354043 -38.8484617343199 -536.941289771932</f>
        <v>-1247.072599860295</v>
      </c>
      <c r="K2623" t="s">
        <v>28067</v>
      </c>
      <c r="L2623" t="s">
        <v>28068</v>
      </c>
      <c r="M2623" t="s">
        <v>28069</v>
      </c>
      <c r="N2623">
        <f>-647.071545399557 -88.3181978166335 -543.08271947146</f>
        <v>-1278.4724626876505</v>
      </c>
      <c r="O2623">
        <f>-589.960720982468 -212.867815857757 -531.908841955341</f>
        <v>-1334.7373787955662</v>
      </c>
      <c r="P2623">
        <f>-578.617495648482 -309.284021342937 -254.120417173367</f>
        <v>-1142.021934164786</v>
      </c>
      <c r="Q2623">
        <f>-473.97346138089 -95.2179939434235 -289.844864367713</f>
        <v>-859.03631969202638</v>
      </c>
      <c r="R2623" t="s">
        <v>28070</v>
      </c>
      <c r="S2623" t="s">
        <v>28071</v>
      </c>
      <c r="T2623" t="s">
        <v>28072</v>
      </c>
      <c r="U2623" t="s">
        <v>28073</v>
      </c>
      <c r="V2623">
        <f>-588.633605050404 -160.575399916365 -82.0649684446539</f>
        <v>-831.27397341142284</v>
      </c>
      <c r="W2623" t="s">
        <v>28074</v>
      </c>
      <c r="X2623" t="s">
        <v>28075</v>
      </c>
      <c r="Y2623" t="s">
        <v>28076</v>
      </c>
    </row>
    <row r="2624" spans="1:25" x14ac:dyDescent="0.3">
      <c r="A2624">
        <v>131150</v>
      </c>
      <c r="B2624" t="s">
        <v>28077</v>
      </c>
      <c r="C2624">
        <f>-636.06802290575 -78.9364310283264 -81.5000045461944</f>
        <v>-796.50445848027084</v>
      </c>
      <c r="D2624">
        <f>-654.994565252927 -90.3488459795068 -195.200383079347</f>
        <v>-940.54379431178086</v>
      </c>
      <c r="E2624">
        <f>-661.391305383814 -88.7608448695338 -293.603608883803</f>
        <v>-1043.7557591371508</v>
      </c>
      <c r="F2624">
        <f>-663.662074138411 -83.1137112659786 -382.492344844371</f>
        <v>-1129.2681302487606</v>
      </c>
      <c r="G2624">
        <f>-662.059267284732 -73.1520866444755 -471.015985203097</f>
        <v>-1206.2273391323045</v>
      </c>
      <c r="H2624">
        <f>-655.722384041714 -54.7701546927186 -594.071845350248</f>
        <v>-1304.5643840846806</v>
      </c>
      <c r="I2624">
        <f>-622.431539797412 -33.6234064333901 -667.212542851156</f>
        <v>-1323.267489081958</v>
      </c>
      <c r="J2624">
        <f>-670.565848935616 -38.1003415342168 -536.843487536029</f>
        <v>-1245.5096780058618</v>
      </c>
      <c r="K2624" t="s">
        <v>28078</v>
      </c>
      <c r="L2624" t="s">
        <v>28079</v>
      </c>
      <c r="M2624" t="s">
        <v>28080</v>
      </c>
      <c r="N2624">
        <f>-646.456011184121 -87.6179346961981 -542.998775029009</f>
        <v>-1277.0727209093282</v>
      </c>
      <c r="O2624">
        <f>-589.572056027699 -212.274712004739 -531.92749389737</f>
        <v>-1333.7742619298078</v>
      </c>
      <c r="P2624">
        <f>-578.642420642053 -308.924320087989 -254.203590927722</f>
        <v>-1141.770331657764</v>
      </c>
      <c r="Q2624">
        <f>-472.929359047618 -95.3747192400089 -289.871046280212</f>
        <v>-858.17512456783891</v>
      </c>
      <c r="R2624" t="s">
        <v>28081</v>
      </c>
      <c r="S2624" t="s">
        <v>28082</v>
      </c>
      <c r="T2624" t="s">
        <v>28083</v>
      </c>
      <c r="U2624" t="s">
        <v>28084</v>
      </c>
      <c r="V2624">
        <f>-588.712112421043 -160.245533214888 -81.9384445061903</f>
        <v>-830.89609014212135</v>
      </c>
      <c r="W2624" t="s">
        <v>28085</v>
      </c>
      <c r="X2624" t="s">
        <v>28086</v>
      </c>
      <c r="Y2624" t="s">
        <v>28087</v>
      </c>
    </row>
    <row r="2625" spans="1:25" x14ac:dyDescent="0.3">
      <c r="A2625">
        <v>131200</v>
      </c>
      <c r="B2625" t="s">
        <v>28088</v>
      </c>
      <c r="C2625">
        <f>-635.928097749004 -78.5109478610703 -81.4453321477966</f>
        <v>-795.88437775787099</v>
      </c>
      <c r="D2625">
        <f>-654.706992397136 -89.6954349748562 -195.192905155147</f>
        <v>-939.59533252713913</v>
      </c>
      <c r="E2625">
        <f>-660.853047120007 -87.891724731336 -293.608323747971</f>
        <v>-1042.353095599314</v>
      </c>
      <c r="F2625">
        <f>-662.848548131896 -82.0416358337243 -382.490617673307</f>
        <v>-1127.3808016389273</v>
      </c>
      <c r="G2625">
        <f>-660.921483458676 -71.8718795224991 -470.984118336576</f>
        <v>-1203.7774813177512</v>
      </c>
      <c r="H2625">
        <f>-654.080957722852 -53.1955859121408 -593.968728628011</f>
        <v>-1301.2452722630037</v>
      </c>
      <c r="I2625">
        <f>-620.490433011891 -31.805439787863 -666.901392797562</f>
        <v>-1319.1972655973159</v>
      </c>
      <c r="J2625">
        <f>-669.046400821862 -36.6100228093626 -536.747491790546</f>
        <v>-1242.4039154217705</v>
      </c>
      <c r="K2625" t="s">
        <v>28089</v>
      </c>
      <c r="L2625" t="s">
        <v>28090</v>
      </c>
      <c r="M2625" t="s">
        <v>28091</v>
      </c>
      <c r="N2625">
        <f>-645.135884715227 -86.2181109438671 -542.951030453744</f>
        <v>-1274.3050261128383</v>
      </c>
      <c r="O2625">
        <f>-588.713828900141 -211.104436783428 -532.057894003628</f>
        <v>-1331.8761596871971</v>
      </c>
      <c r="P2625">
        <f>-579.331827571773 -308.289642175632 -254.46428250319</f>
        <v>-1142.0857522505951</v>
      </c>
      <c r="Q2625">
        <f>-469.80568602409 -96.7748661948798 -290.745934530842</f>
        <v>-857.32648674981192</v>
      </c>
      <c r="R2625" t="s">
        <v>28092</v>
      </c>
      <c r="S2625" t="s">
        <v>28093</v>
      </c>
      <c r="T2625" t="s">
        <v>28094</v>
      </c>
      <c r="U2625" t="s">
        <v>28095</v>
      </c>
      <c r="V2625">
        <f>-588.838433754629 -160.227289317132 -81.9842647216683</f>
        <v>-831.0499877934293</v>
      </c>
      <c r="W2625" t="s">
        <v>28096</v>
      </c>
      <c r="X2625" t="s">
        <v>28097</v>
      </c>
      <c r="Y2625" t="s">
        <v>28098</v>
      </c>
    </row>
    <row r="2626" spans="1:25" x14ac:dyDescent="0.3">
      <c r="A2626">
        <v>131250</v>
      </c>
      <c r="B2626" t="s">
        <v>28099</v>
      </c>
      <c r="C2626">
        <f>-635.960191672144 -78.1809622696694 -81.4768858866632</f>
        <v>-795.61803982847664</v>
      </c>
      <c r="D2626">
        <f>-654.683197172282 -89.2364773987415 -195.246115837253</f>
        <v>-939.16579040827651</v>
      </c>
      <c r="E2626">
        <f>-660.695485968874 -87.3245902217108 -293.667994112795</f>
        <v>-1041.6880703033798</v>
      </c>
      <c r="F2626">
        <f>-662.536096982439 -81.3777115476071 -382.547066826474</f>
        <v>-1126.4608753565201</v>
      </c>
      <c r="G2626">
        <f>-660.420197590841 -71.1141884750738 -471.025507389449</f>
        <v>-1202.5598934553636</v>
      </c>
      <c r="H2626">
        <f>-653.280483080898 -52.3110264207287 -593.97369712319</f>
        <v>-1299.5652066248167</v>
      </c>
      <c r="I2626">
        <f>-619.495715130089 -30.8110357034282 -666.784241073923</f>
        <v>-1317.0909919074402</v>
      </c>
      <c r="J2626">
        <f>-668.323208181227 -35.7557002824738 -536.764049992494</f>
        <v>-1240.8429584561948</v>
      </c>
      <c r="K2626" t="s">
        <v>28100</v>
      </c>
      <c r="L2626" t="s">
        <v>28101</v>
      </c>
      <c r="M2626" t="s">
        <v>28102</v>
      </c>
      <c r="N2626">
        <f>-644.521443051919 -85.4150487213169 -542.976465901858</f>
        <v>-1272.9129576750938</v>
      </c>
      <c r="O2626">
        <f>-588.40308087847 -210.442397422574 -532.139651311162</f>
        <v>-1330.985129612206</v>
      </c>
      <c r="P2626">
        <f>-580.004451497733 -308.059949743439 -254.666312740804</f>
        <v>-1142.7307139819761</v>
      </c>
      <c r="Q2626">
        <f>-468.781211622584 -97.4461701178674 -291.027300600958</f>
        <v>-857.25468234140931</v>
      </c>
      <c r="R2626" t="s">
        <v>28103</v>
      </c>
      <c r="S2626" t="s">
        <v>28104</v>
      </c>
      <c r="T2626" t="s">
        <v>28105</v>
      </c>
      <c r="U2626" t="s">
        <v>28106</v>
      </c>
      <c r="V2626">
        <f>-589.112498529475 -159.884851679259 -82.0571507503333</f>
        <v>-831.05450095906735</v>
      </c>
      <c r="W2626" t="s">
        <v>28107</v>
      </c>
      <c r="X2626" t="s">
        <v>28108</v>
      </c>
      <c r="Y2626" t="s">
        <v>28109</v>
      </c>
    </row>
    <row r="2627" spans="1:25" x14ac:dyDescent="0.3">
      <c r="A2627">
        <v>131300</v>
      </c>
      <c r="B2627" t="s">
        <v>28110</v>
      </c>
      <c r="C2627">
        <f>-636.13581793333 -77.3377840457415 -81.4884005632298</f>
        <v>-794.96200254230132</v>
      </c>
      <c r="D2627">
        <f>-654.682813305222 -88.100193884231 -195.314554764899</f>
        <v>-938.09756195435193</v>
      </c>
      <c r="E2627">
        <f>-660.421570062353 -85.9641544893501 -293.748041906015</f>
        <v>-1040.1337664577181</v>
      </c>
      <c r="F2627">
        <f>-661.968623728228 -79.8242829560965 -382.619602289676</f>
        <v>-1124.4125089740005</v>
      </c>
      <c r="G2627">
        <f>-659.51331284296 -69.3801513036087 -471.068127307762</f>
        <v>-1199.9615914543306</v>
      </c>
      <c r="H2627">
        <f>-651.852783143751 -50.3388458731276 -593.948448989433</f>
        <v>-1296.1400780063118</v>
      </c>
      <c r="I2627">
        <f>-617.619689532736 -28.678204766479 -666.501473512414</f>
        <v>-1312.7993678116291</v>
      </c>
      <c r="J2627">
        <f>-667.008620576814 -33.8349090055854 -536.753632617924</f>
        <v>-1237.5971622003235</v>
      </c>
      <c r="K2627" t="s">
        <v>28111</v>
      </c>
      <c r="L2627" t="s">
        <v>28112</v>
      </c>
      <c r="M2627" t="s">
        <v>28113</v>
      </c>
      <c r="N2627">
        <f>-643.439032413098 -83.6010240164774 -542.996015606704</f>
        <v>-1270.0360720362792</v>
      </c>
      <c r="O2627">
        <f>-588.05074195442 -208.968811438436 -532.305230305546</f>
        <v>-1329.3247836984019</v>
      </c>
      <c r="P2627">
        <f>-582.179440747301 -307.966707960528 -255.256277516766</f>
        <v>-1145.402426224595</v>
      </c>
      <c r="Q2627">
        <f>-469.55901503391 -97.6687227774643 -289.053841509789</f>
        <v>-856.28157932116324</v>
      </c>
      <c r="R2627" t="s">
        <v>28114</v>
      </c>
      <c r="S2627" t="s">
        <v>28115</v>
      </c>
      <c r="T2627" t="s">
        <v>28116</v>
      </c>
      <c r="U2627" t="s">
        <v>28117</v>
      </c>
      <c r="V2627">
        <f>-589.802895737981 -159.133102892277 -82.1062377474892</f>
        <v>-831.04223637774714</v>
      </c>
      <c r="W2627" t="s">
        <v>28118</v>
      </c>
      <c r="X2627" t="s">
        <v>28119</v>
      </c>
      <c r="Y2627" t="s">
        <v>28120</v>
      </c>
    </row>
    <row r="2628" spans="1:25" x14ac:dyDescent="0.3">
      <c r="A2628">
        <v>131350</v>
      </c>
      <c r="B2628" t="s">
        <v>28121</v>
      </c>
      <c r="C2628">
        <f>-636.296733707987 -76.8763910111223 -81.4843890778285</f>
        <v>-794.65751379693779</v>
      </c>
      <c r="D2628">
        <f>-654.794023184762 -87.5210119339725 -195.329817353189</f>
        <v>-937.64485247192351</v>
      </c>
      <c r="E2628">
        <f>-660.414334543476 -85.2887998155662 -293.767958341261</f>
        <v>-1039.4710927003032</v>
      </c>
      <c r="F2628">
        <f>-661.824909008237 -79.0635699065093 -382.635863853278</f>
        <v>-1123.5243427680243</v>
      </c>
      <c r="G2628">
        <f>-659.203726756926 -68.5371026517867 -471.069835669847</f>
        <v>-1198.8106650785596</v>
      </c>
      <c r="H2628">
        <f>-651.280934125141 -49.3849729989663 -593.916208997908</f>
        <v>-1294.5821161220153</v>
      </c>
      <c r="I2628">
        <f>-616.792061939718 -27.6812853866238 -666.335170332281</f>
        <v>-1310.8085176586228</v>
      </c>
      <c r="J2628">
        <f>-666.486396544204 -32.8996067606213 -536.729346292493</f>
        <v>-1236.1153495973183</v>
      </c>
      <c r="K2628" t="s">
        <v>28122</v>
      </c>
      <c r="L2628" t="s">
        <v>28123</v>
      </c>
      <c r="M2628" t="s">
        <v>28124</v>
      </c>
      <c r="N2628">
        <f>-643.048334216297 -82.7260921052936 -542.985819560595</f>
        <v>-1268.7602458821857</v>
      </c>
      <c r="O2628">
        <f>-588.04073818542 -208.256245060404 -532.336781650973</f>
        <v>-1328.6337648967969</v>
      </c>
      <c r="P2628">
        <f>-583.13769234258 -309.0343885634 -255.911489169962</f>
        <v>-1148.0835700759421</v>
      </c>
      <c r="Q2628">
        <f>-471.788580363895 -97.64585243184 -287.010231893784</f>
        <v>-856.44466468951896</v>
      </c>
      <c r="R2628" t="s">
        <v>28125</v>
      </c>
      <c r="S2628" t="s">
        <v>28126</v>
      </c>
      <c r="T2628" t="s">
        <v>28127</v>
      </c>
      <c r="U2628" t="s">
        <v>28128</v>
      </c>
      <c r="V2628">
        <f>-590.248978588321 -158.737960424653 -82.1046342375472</f>
        <v>-831.09157325052126</v>
      </c>
      <c r="W2628" t="s">
        <v>28129</v>
      </c>
      <c r="X2628" t="s">
        <v>28130</v>
      </c>
      <c r="Y2628" t="s">
        <v>28131</v>
      </c>
    </row>
    <row r="2629" spans="1:25" x14ac:dyDescent="0.3">
      <c r="A2629">
        <v>131400</v>
      </c>
      <c r="B2629" t="s">
        <v>28132</v>
      </c>
      <c r="C2629">
        <f>-636.603784962894 -76.2082962158471 -81.4332775564022</f>
        <v>-794.24535873514333</v>
      </c>
      <c r="D2629">
        <f>-655.089530937763 -86.6506081590334 -195.299320643914</f>
        <v>-937.03945974071041</v>
      </c>
      <c r="E2629">
        <f>-660.516467550492 -84.2863880326333 -293.745241971037</f>
        <v>-1038.5480975541623</v>
      </c>
      <c r="F2629">
        <f>-661.681870788344 -77.9561421273734 -382.609249763306</f>
        <v>-1122.2472626790234</v>
      </c>
      <c r="G2629">
        <f>-658.745596629741 -67.3421602960466 -471.022890458783</f>
        <v>-1197.1106473845707</v>
      </c>
      <c r="H2629">
        <f>-650.310843768132 -48.0867487805896 -593.818931393838</f>
        <v>-1292.2165239425597</v>
      </c>
      <c r="I2629">
        <f>-615.250803541523 -26.3653184790878 -665.957840424104</f>
        <v>-1307.5739624447149</v>
      </c>
      <c r="J2629">
        <f>-665.601615798785 -31.5806067652425 -536.660873318334</f>
        <v>-1233.8430958823615</v>
      </c>
      <c r="K2629" t="s">
        <v>28133</v>
      </c>
      <c r="L2629" t="s">
        <v>28134</v>
      </c>
      <c r="M2629" t="s">
        <v>28135</v>
      </c>
      <c r="N2629">
        <f>-642.443546950761 -81.5395461077663 -542.90408506328</f>
        <v>-1266.8871781218072</v>
      </c>
      <c r="O2629">
        <f>-588.307792887749 -207.432937737454 -532.329588216015</f>
        <v>-1328.0703188412181</v>
      </c>
      <c r="P2629">
        <f>-584.3159758412 -310.338087908917 -256.674454334154</f>
        <v>-1151.3285180842711</v>
      </c>
      <c r="Q2629">
        <f>-475.156033996184 -97.1173843048683 -282.595403224852</f>
        <v>-854.86882152590431</v>
      </c>
      <c r="R2629" t="s">
        <v>28136</v>
      </c>
      <c r="S2629" t="s">
        <v>28137</v>
      </c>
      <c r="T2629" t="s">
        <v>28138</v>
      </c>
      <c r="U2629" t="s">
        <v>28139</v>
      </c>
      <c r="V2629">
        <f>-590.932802957646 -158.522588010479 -82.1237514126664</f>
        <v>-831.57914238079138</v>
      </c>
      <c r="W2629" t="s">
        <v>28140</v>
      </c>
      <c r="X2629" t="s">
        <v>28141</v>
      </c>
      <c r="Y2629" t="s">
        <v>28142</v>
      </c>
    </row>
    <row r="2630" spans="1:25" x14ac:dyDescent="0.3">
      <c r="A2630">
        <v>131450</v>
      </c>
      <c r="B2630" t="s">
        <v>28143</v>
      </c>
      <c r="C2630">
        <f>-636.798022797268 -75.8292729494401 -81.3977448589009</f>
        <v>-794.02504060560898</v>
      </c>
      <c r="D2630">
        <f>-655.331718119042 -86.2097529440326 -195.261544851974</f>
        <v>-936.8030159150486</v>
      </c>
      <c r="E2630">
        <f>-660.694012207637 -83.8175616764313 -293.71040778646</f>
        <v>-1038.2219816705283</v>
      </c>
      <c r="F2630">
        <f>-661.759897524258 -77.4707930308799 -382.574508722275</f>
        <v>-1121.8051992774131</v>
      </c>
      <c r="G2630">
        <f>-658.683422112039 -66.8501869355511 -470.982580349251</f>
        <v>-1196.5161893968411</v>
      </c>
      <c r="H2630">
        <f>-650.011024250934 -47.5966634449508 -593.762442867172</f>
        <v>-1291.3701305630568</v>
      </c>
      <c r="I2630">
        <f>-614.656711350832 -25.9071532645976 -665.767048049596</f>
        <v>-1306.3309126650256</v>
      </c>
      <c r="J2630">
        <f>-665.344588441712 -31.0595771685203 -536.624660104541</f>
        <v>-1233.0288257147731</v>
      </c>
      <c r="K2630" t="s">
        <v>28144</v>
      </c>
      <c r="L2630" t="s">
        <v>28145</v>
      </c>
      <c r="M2630" t="s">
        <v>28146</v>
      </c>
      <c r="N2630">
        <f>-642.309990368427 -81.0788761860413 -542.841435345733</f>
        <v>-1266.2303019002011</v>
      </c>
      <c r="O2630">
        <f>-588.526602937697 -207.15025544515 -532.250647407273</f>
        <v>-1327.92750579012</v>
      </c>
      <c r="P2630">
        <f>-584.868910784266 -310.269679824813 -256.670976423025</f>
        <v>-1151.809567032104</v>
      </c>
      <c r="Q2630">
        <f>-475.357341265238 -97.1142158151235 -281.627125040987</f>
        <v>-854.09868212134847</v>
      </c>
      <c r="R2630" t="s">
        <v>28147</v>
      </c>
      <c r="S2630" t="s">
        <v>28148</v>
      </c>
      <c r="T2630" t="s">
        <v>28149</v>
      </c>
      <c r="U2630" t="s">
        <v>28150</v>
      </c>
      <c r="V2630">
        <f>-591.349815514495 -158.301183019952 -82.0983959408869</f>
        <v>-831.74939447533393</v>
      </c>
      <c r="W2630" t="s">
        <v>28151</v>
      </c>
      <c r="X2630" t="s">
        <v>28152</v>
      </c>
      <c r="Y2630" t="s">
        <v>28153</v>
      </c>
    </row>
    <row r="2631" spans="1:25" x14ac:dyDescent="0.3">
      <c r="A2631">
        <v>131500</v>
      </c>
      <c r="B2631" t="s">
        <v>28154</v>
      </c>
      <c r="C2631">
        <f>-637.14843517966 -75.4767891836877 -81.3361305281926</f>
        <v>-793.9613548915404</v>
      </c>
      <c r="D2631">
        <f>-655.793527430439 -85.8086211465514 -195.186168247304</f>
        <v>-936.7883168242945</v>
      </c>
      <c r="E2631">
        <f>-661.12012924146 -83.3941095968713 -293.636456702336</f>
        <v>-1038.1506955406671</v>
      </c>
      <c r="F2631">
        <f>-662.10057617782 -77.0355020782652 -382.500655369886</f>
        <v>-1121.6367336259711</v>
      </c>
      <c r="G2631">
        <f>-658.884758447973 -66.4139458303249 -470.903600303219</f>
        <v>-1196.202304581517</v>
      </c>
      <c r="H2631">
        <f>-649.961158936607 -47.1719059334825 -593.667279495665</f>
        <v>-1290.8003443657544</v>
      </c>
      <c r="I2631">
        <f>-614.099474516354 -25.5652007390172 -665.445551168669</f>
        <v>-1305.1102264240403</v>
      </c>
      <c r="J2631">
        <f>-665.315414855101 -30.5870477936355 -536.549000190181</f>
        <v>-1232.4514628389175</v>
      </c>
      <c r="K2631" t="s">
        <v>28155</v>
      </c>
      <c r="L2631" t="s">
        <v>28156</v>
      </c>
      <c r="M2631" t="s">
        <v>28157</v>
      </c>
      <c r="N2631">
        <f>-642.460608097689 -80.6917767173029 -542.741157450315</f>
        <v>-1265.8935422653069</v>
      </c>
      <c r="O2631">
        <f>-589.150935921283 -206.961726987907 -532.146563256556</f>
        <v>-1328.259226165746</v>
      </c>
      <c r="P2631">
        <f>-585.420135809713 -310.223833077684 -256.621067372864</f>
        <v>-1152.265036260261</v>
      </c>
      <c r="Q2631">
        <f>-475.535791070812 -97.2329127217747 -281.342717757756</f>
        <v>-854.11142155034281</v>
      </c>
      <c r="R2631" t="s">
        <v>28158</v>
      </c>
      <c r="S2631" t="s">
        <v>28159</v>
      </c>
      <c r="T2631" t="s">
        <v>28160</v>
      </c>
      <c r="U2631" t="s">
        <v>28161</v>
      </c>
      <c r="V2631">
        <f>-591.922879714705 -158.239199315744 -82.0567925768332</f>
        <v>-832.21887160728227</v>
      </c>
      <c r="W2631" t="s">
        <v>28162</v>
      </c>
      <c r="X2631" t="s">
        <v>28163</v>
      </c>
      <c r="Y2631" t="s">
        <v>28164</v>
      </c>
    </row>
    <row r="2632" spans="1:25" x14ac:dyDescent="0.3">
      <c r="A2632">
        <v>131550</v>
      </c>
      <c r="B2632" t="s">
        <v>28165</v>
      </c>
      <c r="C2632">
        <f>-637.15503734482 -75.1409680214884 -81.2693841892283</f>
        <v>-793.56538955553674</v>
      </c>
      <c r="D2632">
        <f>-655.831219918445 -85.5171779011807 -195.110226755838</f>
        <v>-936.45862457546366</v>
      </c>
      <c r="E2632">
        <f>-661.166927359408 -83.1398163570051 -293.560878479023</f>
        <v>-1037.8676221954361</v>
      </c>
      <c r="F2632">
        <f>-662.147152502144 -76.8153522516066 -382.427672452968</f>
        <v>-1121.3901772067186</v>
      </c>
      <c r="G2632">
        <f>-658.921601630863 -66.229736169027 -470.834478629359</f>
        <v>-1195.9858164292491</v>
      </c>
      <c r="H2632">
        <f>-649.973306711787 -47.0407782440415 -593.604811399711</f>
        <v>-1290.6188963555396</v>
      </c>
      <c r="I2632">
        <f>-613.910448483732 -25.4862484484813 -665.297813904302</f>
        <v>-1304.6945108365153</v>
      </c>
      <c r="J2632">
        <f>-665.296873623199 -30.412753017499 -536.490735327787</f>
        <v>-1232.2003619684849</v>
      </c>
      <c r="K2632" t="s">
        <v>28166</v>
      </c>
      <c r="L2632" t="s">
        <v>28167</v>
      </c>
      <c r="M2632" t="s">
        <v>28168</v>
      </c>
      <c r="N2632">
        <f>-642.525113656021 -80.556978396953 -542.668641132993</f>
        <v>-1265.750733185967</v>
      </c>
      <c r="O2632">
        <f>-589.430073583969 -206.916136092877 -532.118862208091</f>
        <v>-1328.4650718849371</v>
      </c>
      <c r="P2632">
        <f>-585.680170306884 -310.102913988399 -256.565571836425</f>
        <v>-1152.3486561317079</v>
      </c>
      <c r="Q2632">
        <f>-475.650653938696 -97.2789103538939 -282.067124960699</f>
        <v>-854.99668925328888</v>
      </c>
      <c r="R2632" t="s">
        <v>28169</v>
      </c>
      <c r="S2632" t="s">
        <v>28170</v>
      </c>
      <c r="T2632" t="s">
        <v>28171</v>
      </c>
      <c r="U2632" t="s">
        <v>28172</v>
      </c>
      <c r="V2632">
        <f>-592.032820569801 -157.811567986579 -81.9512280914109</f>
        <v>-831.79561664779089</v>
      </c>
      <c r="W2632" t="s">
        <v>28173</v>
      </c>
      <c r="X2632" t="s">
        <v>28174</v>
      </c>
      <c r="Y2632" t="s">
        <v>28175</v>
      </c>
    </row>
    <row r="2633" spans="1:25" x14ac:dyDescent="0.3">
      <c r="A2633">
        <v>131600</v>
      </c>
      <c r="B2633" t="s">
        <v>28176</v>
      </c>
      <c r="C2633">
        <f>-636.967583203584 -74.4007227201267 -81.1658372875532</f>
        <v>-792.53414321126399</v>
      </c>
      <c r="D2633">
        <f>-655.758022934889 -84.8557345689098 -194.980725985725</f>
        <v>-935.5944834895239</v>
      </c>
      <c r="E2633">
        <f>-661.186489980135 -82.5757456849038 -293.428691724616</f>
        <v>-1037.1909273896549</v>
      </c>
      <c r="F2633">
        <f>-662.246520456402 -76.3518613083024 -382.301482395791</f>
        <v>-1120.8998641604953</v>
      </c>
      <c r="G2633">
        <f>-659.094879360819 -65.8811205157511 -470.724772049447</f>
        <v>-1195.7007719260173</v>
      </c>
      <c r="H2633">
        <f>-650.242458633053 -46.8682609448557 -593.529363925874</f>
        <v>-1290.6400835037828</v>
      </c>
      <c r="I2633">
        <f>-613.862874511503 -25.4246629509116 -665.095470985422</f>
        <v>-1304.3830084478368</v>
      </c>
      <c r="J2633">
        <f>-665.442232243451 -30.1238570165037 -536.416223320687</f>
        <v>-1231.9823125806417</v>
      </c>
      <c r="K2633" t="s">
        <v>28177</v>
      </c>
      <c r="L2633" t="s">
        <v>28178</v>
      </c>
      <c r="M2633" t="s">
        <v>28179</v>
      </c>
      <c r="N2633">
        <f>-642.833724432336 -80.3458732810204 -542.561845049484</f>
        <v>-1265.7414427628405</v>
      </c>
      <c r="O2633">
        <f>-590.107623985713 -206.869952627594 -532.076398828516</f>
        <v>-1329.0539754418228</v>
      </c>
      <c r="P2633">
        <f>-585.703646789447 -309.86376588904 -256.460504418629</f>
        <v>-1152.027917097116</v>
      </c>
      <c r="Q2633">
        <f>-476.463328592877 -96.9230415806691 -284.275511250013</f>
        <v>-857.66188142355907</v>
      </c>
      <c r="R2633" t="s">
        <v>28180</v>
      </c>
      <c r="S2633" t="s">
        <v>28181</v>
      </c>
      <c r="T2633" t="s">
        <v>28182</v>
      </c>
      <c r="U2633" t="s">
        <v>28183</v>
      </c>
      <c r="V2633">
        <f>-592.144283584255 -157.222276996874 -81.8094203763616</f>
        <v>-831.17598095749065</v>
      </c>
      <c r="W2633" t="s">
        <v>28184</v>
      </c>
      <c r="X2633" t="s">
        <v>28185</v>
      </c>
      <c r="Y2633" t="s">
        <v>28186</v>
      </c>
    </row>
    <row r="2634" spans="1:25" x14ac:dyDescent="0.3">
      <c r="A2634">
        <v>131650</v>
      </c>
      <c r="B2634" t="s">
        <v>28187</v>
      </c>
      <c r="C2634">
        <f>-636.885864383761 -74.0043091917706 -81.1228998287146</f>
        <v>-792.01307340424626</v>
      </c>
      <c r="D2634">
        <f>-655.776999798977 -84.4851779991013 -194.918732643204</f>
        <v>-935.18091044128232</v>
      </c>
      <c r="E2634">
        <f>-661.282804438177 -82.2641252369536 -293.363656884427</f>
        <v>-1036.9105865595575</v>
      </c>
      <c r="F2634">
        <f>-662.408968300977 -76.1075584967315 -382.240312913196</f>
        <v>-1120.7568397109044</v>
      </c>
      <c r="G2634">
        <f>-659.319200809306 -65.7188290627715 -470.675566384433</f>
        <v>-1195.7135962565105</v>
      </c>
      <c r="H2634">
        <f>-650.548271668499 -46.8359606153656 -593.506026655017</f>
        <v>-1290.8902589388815</v>
      </c>
      <c r="I2634">
        <f>-614.041795686485 -25.490819517298 -665.037021008342</f>
        <v>-1304.5696362121248</v>
      </c>
      <c r="J2634">
        <f>-665.659485054798 -30.0092032805653 -536.393714651488</f>
        <v>-1232.0624029868513</v>
      </c>
      <c r="K2634" t="s">
        <v>28188</v>
      </c>
      <c r="L2634" t="s">
        <v>28189</v>
      </c>
      <c r="M2634" t="s">
        <v>28190</v>
      </c>
      <c r="N2634">
        <f>-643.156371254782 -80.2815908440265 -542.515119354526</f>
        <v>-1265.9530814533346</v>
      </c>
      <c r="O2634">
        <f>-590.691685402918 -206.915770336509 -532.034100966034</f>
        <v>-1329.641556705461</v>
      </c>
      <c r="P2634">
        <f>-585.994767228748 -309.345787233125 -256.213116480828</f>
        <v>-1151.5536709427008</v>
      </c>
      <c r="Q2634">
        <f>-476.656104837377 -96.617937313539 -285.243898217449</f>
        <v>-858.51794036836498</v>
      </c>
      <c r="R2634" t="s">
        <v>28191</v>
      </c>
      <c r="S2634" t="s">
        <v>28192</v>
      </c>
      <c r="T2634" t="s">
        <v>28193</v>
      </c>
      <c r="U2634" t="s">
        <v>28194</v>
      </c>
      <c r="V2634">
        <f>-592.226093085465 -156.853133244215 -81.7335898056247</f>
        <v>-830.81281613530462</v>
      </c>
      <c r="W2634" t="s">
        <v>28195</v>
      </c>
      <c r="X2634" t="s">
        <v>28196</v>
      </c>
      <c r="Y2634" t="s">
        <v>28197</v>
      </c>
    </row>
    <row r="2635" spans="1:25" x14ac:dyDescent="0.3">
      <c r="A2635">
        <v>131700</v>
      </c>
      <c r="B2635" t="s">
        <v>28198</v>
      </c>
      <c r="C2635">
        <f>-636.619706553457 -73.3118306426608 -81.0198373067991</f>
        <v>-790.95137450291691</v>
      </c>
      <c r="D2635">
        <f>-655.693319906696 -83.7610073056762 -194.788197137429</f>
        <v>-934.24252434980122</v>
      </c>
      <c r="E2635">
        <f>-661.327057921624 -81.5897471667862 -293.226946796835</f>
        <v>-1036.1437518852454</v>
      </c>
      <c r="F2635">
        <f>-662.55826635235 -75.5069159203771 -382.107418029885</f>
        <v>-1120.172600302612</v>
      </c>
      <c r="G2635">
        <f>-659.561277895566 -65.222480636775 -470.557898680545</f>
        <v>-1195.341657212886</v>
      </c>
      <c r="H2635">
        <f>-650.906768526173 -46.5178608298035 -593.423802549001</f>
        <v>-1290.8484319049776</v>
      </c>
      <c r="I2635">
        <f>-614.155427100132 -25.4335342003451 -664.906891776087</f>
        <v>-1304.4958530765641</v>
      </c>
      <c r="J2635">
        <f>-665.81188289941 -29.5433652815643 -536.301039250203</f>
        <v>-1231.6562874311771</v>
      </c>
      <c r="K2635" t="s">
        <v>28199</v>
      </c>
      <c r="L2635" t="s">
        <v>28200</v>
      </c>
      <c r="M2635" t="s">
        <v>28201</v>
      </c>
      <c r="N2635">
        <f>-643.618487201886 -79.9543219969059 -542.412148653067</f>
        <v>-1265.9849578518588</v>
      </c>
      <c r="O2635">
        <f>-591.906500922358 -206.901092477645 -531.969651466562</f>
        <v>-1330.7772448665651</v>
      </c>
      <c r="P2635">
        <f>-586.191945448793 -308.431877216595 -255.83548035717</f>
        <v>-1150.4593030225581</v>
      </c>
      <c r="Q2635">
        <f>-477.238343331746 -95.6490641345541 -285.893177480846</f>
        <v>-858.78058494714617</v>
      </c>
      <c r="R2635" t="s">
        <v>28202</v>
      </c>
      <c r="S2635" t="s">
        <v>28203</v>
      </c>
      <c r="T2635" t="s">
        <v>28204</v>
      </c>
      <c r="U2635" t="s">
        <v>28205</v>
      </c>
      <c r="V2635">
        <f>-592.287100021102 -156.429106376083 -81.6257984933212</f>
        <v>-830.34200489050625</v>
      </c>
      <c r="W2635" t="s">
        <v>28206</v>
      </c>
      <c r="X2635" t="s">
        <v>28207</v>
      </c>
      <c r="Y2635" t="s">
        <v>28208</v>
      </c>
    </row>
    <row r="2636" spans="1:25" x14ac:dyDescent="0.3">
      <c r="A2636">
        <v>131750</v>
      </c>
      <c r="B2636" t="s">
        <v>28209</v>
      </c>
      <c r="C2636">
        <f>-636.642764903369 -73.2148169653972 -80.9816910322024</f>
        <v>-790.83927290096858</v>
      </c>
      <c r="D2636">
        <f>-655.792955877769 -83.6599327762341 -194.737577511369</f>
        <v>-934.19046616537207</v>
      </c>
      <c r="E2636">
        <f>-661.455790556421 -81.4834454876874 -293.174582799348</f>
        <v>-1036.1138188434563</v>
      </c>
      <c r="F2636">
        <f>-662.697868381439 -75.3952666978777 -382.054438230671</f>
        <v>-1120.1475733099876</v>
      </c>
      <c r="G2636">
        <f>-659.695103200847 -65.1068948651466 -470.504361566125</f>
        <v>-1195.3063596321185</v>
      </c>
      <c r="H2636">
        <f>-651.014246952624 -46.399044756999 -593.367966027342</f>
        <v>-1290.781257736965</v>
      </c>
      <c r="I2636">
        <f>-614.131721383471 -25.449708074827 -664.823142454118</f>
        <v>-1304.404571912416</v>
      </c>
      <c r="J2636">
        <f>-665.849647770724 -29.3914430190557 -536.236839678069</f>
        <v>-1231.4779304678486</v>
      </c>
      <c r="K2636" t="s">
        <v>28210</v>
      </c>
      <c r="L2636" t="s">
        <v>28211</v>
      </c>
      <c r="M2636" t="s">
        <v>28212</v>
      </c>
      <c r="N2636">
        <f>-643.818831986955 -79.8715873466467 -542.366603700177</f>
        <v>-1266.0570230337789</v>
      </c>
      <c r="O2636">
        <f>-592.470676782283 -206.960005752776 -531.99162950921</f>
        <v>-1331.4223120442691</v>
      </c>
      <c r="P2636">
        <f>-586.413392288634 -308.340756096709 -255.809684850783</f>
        <v>-1150.5638332361259</v>
      </c>
      <c r="Q2636">
        <f>-477.985077620152 -95.3289421455246 -286.143331623812</f>
        <v>-859.45735138948862</v>
      </c>
      <c r="R2636" t="s">
        <v>28213</v>
      </c>
      <c r="S2636" t="s">
        <v>28214</v>
      </c>
      <c r="T2636" t="s">
        <v>28215</v>
      </c>
      <c r="U2636" t="s">
        <v>28216</v>
      </c>
      <c r="V2636">
        <f>-592.4381797541 -156.478229515355 -81.5808942141203</f>
        <v>-830.49730348357537</v>
      </c>
      <c r="W2636" t="s">
        <v>28217</v>
      </c>
      <c r="X2636" t="s">
        <v>28218</v>
      </c>
      <c r="Y2636" t="s">
        <v>28219</v>
      </c>
    </row>
    <row r="2637" spans="1:25" x14ac:dyDescent="0.3">
      <c r="A2637">
        <v>131800</v>
      </c>
      <c r="B2637" t="s">
        <v>28220</v>
      </c>
      <c r="C2637">
        <f>-637.184627062986 -73.451985016751 -81.0457929318017</f>
        <v>-791.68240501153866</v>
      </c>
      <c r="D2637">
        <f>-656.28929762362 -83.9101398321355 -194.808083304887</f>
        <v>-935.00752076064248</v>
      </c>
      <c r="E2637">
        <f>-661.904143169059 -81.7088350935771 -293.247371300895</f>
        <v>-1036.8603495635311</v>
      </c>
      <c r="F2637">
        <f>-663.092248938215 -75.5897548782825 -382.125957224583</f>
        <v>-1120.8079610410805</v>
      </c>
      <c r="G2637">
        <f>-660.020728462669 -65.2672055717035 -470.56934289537</f>
        <v>-1195.8572769297425</v>
      </c>
      <c r="H2637">
        <f>-651.224692447361 -46.5125103249726 -593.417589181752</f>
        <v>-1291.1547919540856</v>
      </c>
      <c r="I2637">
        <f>-614.045139661943 -25.7743828482121 -664.78036564707</f>
        <v>-1304.599888157225</v>
      </c>
      <c r="J2637">
        <f>-665.989559463869 -29.4749734709783 -536.277317943589</f>
        <v>-1231.7418508784363</v>
      </c>
      <c r="K2637" t="s">
        <v>28221</v>
      </c>
      <c r="L2637" t="s">
        <v>28222</v>
      </c>
      <c r="M2637" t="s">
        <v>28223</v>
      </c>
      <c r="N2637">
        <f>-644.20120383436 -80.0561273721097 -542.439151708065</f>
        <v>-1266.6964829145345</v>
      </c>
      <c r="O2637">
        <f>-593.533593810616 -207.443286014658 -532.414920794295</f>
        <v>-1333.391800619569</v>
      </c>
      <c r="P2637">
        <f>-587.405738409635 -308.272029396644 -256.032657115274</f>
        <v>-1151.7104249215531</v>
      </c>
      <c r="Q2637">
        <f>-478.153290061465 -95.8463338592871 -287.49838377925</f>
        <v>-861.49800770000206</v>
      </c>
      <c r="R2637" t="s">
        <v>28224</v>
      </c>
      <c r="S2637" t="s">
        <v>28225</v>
      </c>
      <c r="T2637" t="s">
        <v>28226</v>
      </c>
      <c r="U2637" t="s">
        <v>28227</v>
      </c>
      <c r="V2637">
        <f>-592.915229751342 -156.825305513366 -81.5720631979841</f>
        <v>-831.31259846269222</v>
      </c>
      <c r="W2637" t="s">
        <v>28228</v>
      </c>
      <c r="X2637" t="s">
        <v>28229</v>
      </c>
      <c r="Y2637" t="s">
        <v>28230</v>
      </c>
    </row>
    <row r="2638" spans="1:25" x14ac:dyDescent="0.3">
      <c r="A2638">
        <v>131850</v>
      </c>
      <c r="B2638" t="s">
        <v>28231</v>
      </c>
      <c r="C2638">
        <f>-637.525106482371 -73.9590536662251 -81.1717998973205</f>
        <v>-792.65596004591669</v>
      </c>
      <c r="D2638">
        <f>-656.552094646379 -84.3757828494098 -194.950889361072</f>
        <v>-935.87876685686081</v>
      </c>
      <c r="E2638">
        <f>-662.095069027317 -82.150565996378 -293.393761185894</f>
        <v>-1037.639396209589</v>
      </c>
      <c r="F2638">
        <f>-663.213689501337 -76.0175109818016 -382.272183905958</f>
        <v>-1121.5033843890965</v>
      </c>
      <c r="G2638">
        <f>-660.066607979725 -65.6907994282184 -470.712568962209</f>
        <v>-1196.4699763701524</v>
      </c>
      <c r="H2638">
        <f>-651.157373929256 -46.942183872224 -593.553503764474</f>
        <v>-1291.653061565954</v>
      </c>
      <c r="I2638">
        <f>-613.833122236599 -26.2469419316728 -664.853211981532</f>
        <v>-1304.933276149804</v>
      </c>
      <c r="J2638">
        <f>-665.951021088036 -29.8919297373311 -536.424266724935</f>
        <v>-1232.2672175503021</v>
      </c>
      <c r="K2638" t="s">
        <v>28232</v>
      </c>
      <c r="L2638" t="s">
        <v>28233</v>
      </c>
      <c r="M2638" t="s">
        <v>28234</v>
      </c>
      <c r="N2638">
        <f>-644.204717717354 -80.4931519759873 -542.57021251469</f>
        <v>-1267.2680822080313</v>
      </c>
      <c r="O2638">
        <f>-593.709868267955 -207.963440947986 -532.621731798322</f>
        <v>-1334.295041014263</v>
      </c>
      <c r="P2638">
        <f>-587.681262563693 -308.622878224362 -256.175499391442</f>
        <v>-1152.479640179497</v>
      </c>
      <c r="Q2638">
        <f>-478.086869149928 -96.375506280403 -287.655418973937</f>
        <v>-862.11779440426801</v>
      </c>
      <c r="R2638" t="s">
        <v>28235</v>
      </c>
      <c r="S2638" t="s">
        <v>28236</v>
      </c>
      <c r="T2638" t="s">
        <v>28237</v>
      </c>
      <c r="U2638" t="s">
        <v>28238</v>
      </c>
      <c r="V2638">
        <f>-593.086858617714 -157.529006024664 -81.752868622109</f>
        <v>-832.36873326448699</v>
      </c>
      <c r="W2638" t="s">
        <v>28239</v>
      </c>
      <c r="X2638" t="s">
        <v>28240</v>
      </c>
      <c r="Y2638" t="s">
        <v>28241</v>
      </c>
    </row>
    <row r="2639" spans="1:25" x14ac:dyDescent="0.3">
      <c r="A2639">
        <v>131900</v>
      </c>
      <c r="B2639" t="s">
        <v>28242</v>
      </c>
      <c r="C2639">
        <f>-638.605758617726 -75.2647340989433 -81.6317589246497</f>
        <v>-795.50225164131905</v>
      </c>
      <c r="D2639">
        <f>-657.400765085428 -85.5895085096479 -195.457914661265</f>
        <v>-938.44818825634093</v>
      </c>
      <c r="E2639">
        <f>-662.704288868064 -83.2728506290048 -293.911630123315</f>
        <v>-1039.8887696203838</v>
      </c>
      <c r="F2639">
        <f>-663.585295286301 -77.0601906885527 -382.787225615566</f>
        <v>-1123.4327115904196</v>
      </c>
      <c r="G2639">
        <f>-660.177919970183 -66.6585477132749 -471.209211745616</f>
        <v>-1198.045679429074</v>
      </c>
      <c r="H2639">
        <f>-650.879826154876 -47.8139957565904 -594.006818429412</f>
        <v>-1292.7006403408784</v>
      </c>
      <c r="I2639">
        <f>-613.226465275347 -27.0504306242369 -665.113208298755</f>
        <v>-1305.390104198339</v>
      </c>
      <c r="J2639">
        <f>-665.913641083274 -30.8328639100835 -536.919673259772</f>
        <v>-1233.6661782531296</v>
      </c>
      <c r="K2639" t="s">
        <v>28243</v>
      </c>
      <c r="L2639" t="s">
        <v>28244</v>
      </c>
      <c r="M2639" t="s">
        <v>28245</v>
      </c>
      <c r="N2639">
        <f>-644.029279712553 -81.3802426675999 -543.019586221697</f>
        <v>-1268.4291086018497</v>
      </c>
      <c r="O2639">
        <f>-593.148433881216 -208.704458641111 -533.132144357478</f>
        <v>-1334.985036879805</v>
      </c>
      <c r="P2639">
        <f>-588.105762242316 -309.27243421242 -256.632922954848</f>
        <v>-1154.0111194095841</v>
      </c>
      <c r="Q2639">
        <f>-478.727759253515 -96.8343649329938 -287.574905367187</f>
        <v>-863.13702955369581</v>
      </c>
      <c r="R2639" t="s">
        <v>28246</v>
      </c>
      <c r="S2639" t="s">
        <v>28247</v>
      </c>
      <c r="T2639" t="s">
        <v>28248</v>
      </c>
      <c r="U2639" t="s">
        <v>28249</v>
      </c>
      <c r="V2639">
        <f>-593.701637759556 -159.096946793954 -82.2701714335436</f>
        <v>-835.06875598705358</v>
      </c>
      <c r="W2639" t="s">
        <v>28250</v>
      </c>
      <c r="X2639" t="s">
        <v>28251</v>
      </c>
      <c r="Y2639" t="s">
        <v>28252</v>
      </c>
    </row>
    <row r="2640" spans="1:25" x14ac:dyDescent="0.3">
      <c r="A2640">
        <v>131950</v>
      </c>
      <c r="B2640" t="s">
        <v>28253</v>
      </c>
      <c r="C2640">
        <f>-639.524585799636 -75.5664865748681 -81.9364096149769</f>
        <v>-797.02748198948109</v>
      </c>
      <c r="D2640">
        <f>-658.116781977454 -85.8355453983786 -195.800763298632</f>
        <v>-939.7530906744646</v>
      </c>
      <c r="E2640">
        <f>-663.262264242558 -83.4641897738007 -294.261825140447</f>
        <v>-1040.9882791568057</v>
      </c>
      <c r="F2640">
        <f>-664.003791864347 -77.2038811174257 -383.135271440346</f>
        <v>-1124.3429444221188</v>
      </c>
      <c r="G2640">
        <f>-660.459632516709 -66.7576211751034 -471.546509704628</f>
        <v>-1198.7637633964405</v>
      </c>
      <c r="H2640">
        <f>-650.972072920785 -47.8550702702478 -594.320629935892</f>
        <v>-1293.1477731269247</v>
      </c>
      <c r="I2640">
        <f>-613.156942493549 -27.0049019690616 -665.315904341168</f>
        <v>-1305.4777488037785</v>
      </c>
      <c r="J2640">
        <f>-666.14881492656 -30.9237550370713 -537.256475703298</f>
        <v>-1234.3290456669292</v>
      </c>
      <c r="K2640" t="s">
        <v>28254</v>
      </c>
      <c r="L2640" t="s">
        <v>28255</v>
      </c>
      <c r="M2640" t="s">
        <v>28256</v>
      </c>
      <c r="N2640">
        <f>-644.145352102105 -81.4224634006245 -543.331071046161</f>
        <v>-1268.8988865488905</v>
      </c>
      <c r="O2640">
        <f>-592.868404880692 -208.585386160842 -533.399095078882</f>
        <v>-1334.8528861204161</v>
      </c>
      <c r="P2640">
        <f>-587.747473832009 -309.071366688922 -256.871498839971</f>
        <v>-1153.690339360902</v>
      </c>
      <c r="Q2640">
        <f>-478.875146266094 -96.3273677022449 -287.493062156042</f>
        <v>-862.69557612438098</v>
      </c>
      <c r="R2640" t="s">
        <v>28257</v>
      </c>
      <c r="S2640" t="s">
        <v>28258</v>
      </c>
      <c r="T2640" t="s">
        <v>28259</v>
      </c>
      <c r="U2640" t="s">
        <v>28260</v>
      </c>
      <c r="V2640">
        <f>-594.273165881998 -158.950061516778 -82.5262506021251</f>
        <v>-835.74947800090104</v>
      </c>
      <c r="W2640" t="s">
        <v>28261</v>
      </c>
      <c r="X2640" t="s">
        <v>28262</v>
      </c>
      <c r="Y2640" t="s">
        <v>28263</v>
      </c>
    </row>
    <row r="2641" spans="1:25" x14ac:dyDescent="0.3">
      <c r="A2641">
        <v>132000</v>
      </c>
      <c r="B2641" t="s">
        <v>28264</v>
      </c>
      <c r="C2641">
        <f>-641.761919876725 -75.5981915363387 -82.2831367846628</f>
        <v>-799.64324819772651</v>
      </c>
      <c r="D2641">
        <f>-659.98023168965 -85.9194607582572 -196.203143380057</f>
        <v>-942.10283582796421</v>
      </c>
      <c r="E2641">
        <f>-664.85553919358 -83.377756418175 -294.673650226623</f>
        <v>-1042.9069458383779</v>
      </c>
      <c r="F2641">
        <f>-665.363512293767 -76.8882845677315 -383.532261488746</f>
        <v>-1125.7840583502445</v>
      </c>
      <c r="G2641">
        <f>-661.594060150445 -66.1393945882618 -471.898035873047</f>
        <v>-1199.6314906117536</v>
      </c>
      <c r="H2641">
        <f>-651.797160120666 -46.7421439473303 -594.570661518652</f>
        <v>-1293.1099655866483</v>
      </c>
      <c r="I2641">
        <f>-613.719949124229 -25.4907491482772 -665.306437631942</f>
        <v>-1304.5171359044482</v>
      </c>
      <c r="J2641">
        <f>-667.282664708109 -30.1105117010604 -537.50135363561</f>
        <v>-1234.8945300447795</v>
      </c>
      <c r="K2641" t="s">
        <v>28265</v>
      </c>
      <c r="L2641" t="s">
        <v>28266</v>
      </c>
      <c r="M2641" t="s">
        <v>28267</v>
      </c>
      <c r="N2641">
        <f>-644.933955460357 -80.4452215478141 -543.675710404152</f>
        <v>-1269.0548874123231</v>
      </c>
      <c r="O2641">
        <f>-592.585810640601 -207.174032950042 -533.802025570648</f>
        <v>-1333.561869161291</v>
      </c>
      <c r="P2641">
        <f>-585.33096262565 -307.721769505032 -257.344553732731</f>
        <v>-1150.3972858634129</v>
      </c>
      <c r="Q2641">
        <f>-478.156749894831 -93.9695269576875 -286.917168356263</f>
        <v>-859.04344520878158</v>
      </c>
      <c r="R2641" t="s">
        <v>28268</v>
      </c>
      <c r="S2641" t="s">
        <v>28269</v>
      </c>
      <c r="T2641" t="s">
        <v>28270</v>
      </c>
      <c r="U2641" t="s">
        <v>28271</v>
      </c>
      <c r="V2641">
        <f>-595.280487217169 -158.611278264428 -82.8226140905575</f>
        <v>-836.7143795721546</v>
      </c>
      <c r="W2641" t="s">
        <v>28272</v>
      </c>
      <c r="X2641" t="s">
        <v>28273</v>
      </c>
      <c r="Y2641" t="s">
        <v>28274</v>
      </c>
    </row>
    <row r="2642" spans="1:25" x14ac:dyDescent="0.3">
      <c r="A2642">
        <v>132050</v>
      </c>
      <c r="B2642" t="s">
        <v>28275</v>
      </c>
      <c r="C2642">
        <f>-642.49153354896 -76.2576194825572 -82.3771041781964</f>
        <v>-801.12625720971357</v>
      </c>
      <c r="D2642">
        <f>-660.529649890614 -86.652658766769 -196.319139356413</f>
        <v>-943.50144801379599</v>
      </c>
      <c r="E2642">
        <f>-665.270584784937 -83.9837759027421 -294.79280333955</f>
        <v>-1044.047164027229</v>
      </c>
      <c r="F2642">
        <f>-665.661257238028 -77.3067370060685 -383.638221875244</f>
        <v>-1126.6062161193406</v>
      </c>
      <c r="G2642">
        <f>-661.778384857715 -66.2981044029561 -471.967016226047</f>
        <v>-1200.043505486718</v>
      </c>
      <c r="H2642">
        <f>-651.826148670245 -46.4639106331763 -594.55725843418</f>
        <v>-1292.8473177376013</v>
      </c>
      <c r="I2642">
        <f>-613.647670848221 -24.9330668271621 -665.153723108757</f>
        <v>-1303.7344607841401</v>
      </c>
      <c r="J2642">
        <f>-667.495295480808 -30.0832960688626 -537.465386885867</f>
        <v>-1235.0439784355376</v>
      </c>
      <c r="K2642" t="s">
        <v>28276</v>
      </c>
      <c r="L2642" t="s">
        <v>28277</v>
      </c>
      <c r="M2642" t="s">
        <v>28278</v>
      </c>
      <c r="N2642">
        <f>-644.915981573856 -80.3004329606191 -543.757213738896</f>
        <v>-1268.9736282733711</v>
      </c>
      <c r="O2642">
        <f>-591.803208901808 -206.715514554972 -533.990481343851</f>
        <v>-1332.5092048006309</v>
      </c>
      <c r="P2642">
        <f>-582.6711108074 -307.609539572886 -257.714898575864</f>
        <v>-1147.9955489561501</v>
      </c>
      <c r="Q2642">
        <f>-476.297613748736 -93.3367363501053 -286.397669507754</f>
        <v>-856.03201960659533</v>
      </c>
      <c r="R2642" t="s">
        <v>28279</v>
      </c>
      <c r="S2642" t="s">
        <v>28280</v>
      </c>
      <c r="T2642" t="s">
        <v>28281</v>
      </c>
      <c r="U2642" t="s">
        <v>28282</v>
      </c>
      <c r="V2642">
        <f>-595.515899175115 -159.212430726508 -82.9696667467625</f>
        <v>-837.69799664838558</v>
      </c>
      <c r="W2642" t="s">
        <v>28283</v>
      </c>
      <c r="X2642" t="s">
        <v>28284</v>
      </c>
      <c r="Y2642" t="s">
        <v>28285</v>
      </c>
    </row>
    <row r="2643" spans="1:25" x14ac:dyDescent="0.3">
      <c r="A2643">
        <v>132100</v>
      </c>
      <c r="B2643" t="s">
        <v>28286</v>
      </c>
      <c r="C2643">
        <f>-643.794573895703 -78.3094770401131 -82.6234063193957</f>
        <v>-804.72745725521179</v>
      </c>
      <c r="D2643">
        <f>-661.590904364367 -88.8996847223018 -196.585558970041</f>
        <v>-947.07614805670983</v>
      </c>
      <c r="E2643">
        <f>-666.102065885397 -86.0377954948301 -295.064510465167</f>
        <v>-1047.2043718453942</v>
      </c>
      <c r="F2643">
        <f>-666.269122723383 -79.0485751688173 -383.886632295206</f>
        <v>-1129.2043301874064</v>
      </c>
      <c r="G2643">
        <f>-662.146315597723 -67.5904006950794 -472.147303160345</f>
        <v>-1201.8840194531474</v>
      </c>
      <c r="H2643">
        <f>-651.84094933044 -46.9884283863032 -594.581690604526</f>
        <v>-1293.4110683212693</v>
      </c>
      <c r="I2643">
        <f>-613.487292450991 -24.8562145456276 -664.8966810523</f>
        <v>-1303.2401880489188</v>
      </c>
      <c r="J2643">
        <f>-667.873233817732 -31.0523031266373 -537.465057348873</f>
        <v>-1236.3905942932422</v>
      </c>
      <c r="K2643" t="s">
        <v>28287</v>
      </c>
      <c r="L2643" t="s">
        <v>28288</v>
      </c>
      <c r="M2643" t="s">
        <v>28289</v>
      </c>
      <c r="N2643">
        <f>-644.878461341304 -81.0566008662819 -543.943741053318</f>
        <v>-1269.8788032609041</v>
      </c>
      <c r="O2643">
        <f>-590.427345794022 -206.93235290979 -534.44819112517</f>
        <v>-1331.8078898289818</v>
      </c>
      <c r="P2643">
        <f>-574.919982986146 -307.481707208014 -258.331336659102</f>
        <v>-1140.7330268532619</v>
      </c>
      <c r="Q2643">
        <f>-468.861912554454 -92.9045808815561 -285.885348708459</f>
        <v>-847.65184214446913</v>
      </c>
      <c r="R2643" t="s">
        <v>28290</v>
      </c>
      <c r="S2643" t="s">
        <v>28291</v>
      </c>
      <c r="T2643" t="s">
        <v>28292</v>
      </c>
      <c r="U2643" t="s">
        <v>28293</v>
      </c>
      <c r="V2643">
        <f>-596.6574994346 -160.760084762075 -83.1912775012059</f>
        <v>-840.60886169788103</v>
      </c>
      <c r="W2643" t="s">
        <v>28294</v>
      </c>
      <c r="X2643" t="s">
        <v>28295</v>
      </c>
      <c r="Y2643" t="s">
        <v>28296</v>
      </c>
    </row>
    <row r="2644" spans="1:25" x14ac:dyDescent="0.3">
      <c r="A2644">
        <v>132150</v>
      </c>
      <c r="B2644" t="s">
        <v>28297</v>
      </c>
      <c r="C2644">
        <f>-644.851871556931 -78.786805527252 -82.7611964337045</f>
        <v>-806.3998735178875</v>
      </c>
      <c r="D2644">
        <f>-662.478636525846 -89.3927645905532 -196.748133129896</f>
        <v>-948.61953424629519</v>
      </c>
      <c r="E2644">
        <f>-666.855059963769 -86.4137704605216 -295.229886431652</f>
        <v>-1048.4987168559426</v>
      </c>
      <c r="F2644">
        <f>-666.902834870129 -79.2684907335093 -384.039703950163</f>
        <v>-1130.2110295538014</v>
      </c>
      <c r="G2644">
        <f>-662.663772479317 -67.6041078351022 -472.267807290078</f>
        <v>-1202.5356876044973</v>
      </c>
      <c r="H2644">
        <f>-652.199117515046 -46.6621517976776 -594.631022342838</f>
        <v>-1293.4922916555615</v>
      </c>
      <c r="I2644">
        <f>-613.79403240254 -24.2209415516616 -664.819732018391</f>
        <v>-1302.8347059725925</v>
      </c>
      <c r="J2644">
        <f>-668.395302380639 -30.9240188768522 -537.505539107836</f>
        <v>-1236.8248603653271</v>
      </c>
      <c r="K2644" t="s">
        <v>28298</v>
      </c>
      <c r="L2644" t="s">
        <v>28299</v>
      </c>
      <c r="M2644" t="s">
        <v>28300</v>
      </c>
      <c r="N2644">
        <f>-645.212962972525 -80.8312977267537 -544.064499107986</f>
        <v>-1270.1087598072647</v>
      </c>
      <c r="O2644">
        <f>-590.290950877217 -206.493238350478 -534.590500900283</f>
        <v>-1331.3746901279781</v>
      </c>
      <c r="P2644">
        <f>-569.140331637581 -305.75316303428 -258.381710267753</f>
        <v>-1133.275204939614</v>
      </c>
      <c r="Q2644">
        <f>-462.337547874882 -91.4540575361192 -285.21331771054</f>
        <v>-839.0049231215412</v>
      </c>
      <c r="R2644" t="s">
        <v>28301</v>
      </c>
      <c r="S2644" t="s">
        <v>28302</v>
      </c>
      <c r="T2644" t="s">
        <v>28303</v>
      </c>
      <c r="U2644" t="s">
        <v>28304</v>
      </c>
      <c r="V2644">
        <f>-597.714684776811 -160.837960743861 -83.213404097839</f>
        <v>-841.76604961851103</v>
      </c>
      <c r="W2644" t="s">
        <v>28305</v>
      </c>
      <c r="X2644" t="s">
        <v>28306</v>
      </c>
      <c r="Y2644" t="s">
        <v>28307</v>
      </c>
    </row>
    <row r="2645" spans="1:25" x14ac:dyDescent="0.3">
      <c r="A2645">
        <v>132200</v>
      </c>
      <c r="B2645" t="s">
        <v>28308</v>
      </c>
      <c r="C2645">
        <f>-647.716486662605 -79.7232101213606 -82.8640307581384</f>
        <v>-810.30372754210396</v>
      </c>
      <c r="D2645">
        <f>-664.959795940902 -90.2552793454961 -196.916508798456</f>
        <v>-952.13158408485413</v>
      </c>
      <c r="E2645">
        <f>-669.108883531308 -87.0558174898119 -295.401202483652</f>
        <v>-1051.565903504772</v>
      </c>
      <c r="F2645">
        <f>-668.997052212835 -79.6457439010059 -384.189094879792</f>
        <v>-1132.8318909936329</v>
      </c>
      <c r="G2645">
        <f>-664.650128205534 -67.644791053002 -472.366993377425</f>
        <v>-1204.661912635961</v>
      </c>
      <c r="H2645">
        <f>-654.092718976483 -46.1541026950922 -594.626985544286</f>
        <v>-1294.8738072158612</v>
      </c>
      <c r="I2645">
        <f>-615.785118961226 -23.0936725979329 -664.668081140797</f>
        <v>-1303.5468726999559</v>
      </c>
      <c r="J2645">
        <f>-670.604261183977 -30.7946032577004 -537.488814894699</f>
        <v>-1238.8876793363763</v>
      </c>
      <c r="K2645" t="s">
        <v>28309</v>
      </c>
      <c r="L2645" t="s">
        <v>28310</v>
      </c>
      <c r="M2645" t="s">
        <v>28311</v>
      </c>
      <c r="N2645">
        <f>-646.87278272732 -80.4275997497847 -544.16395088894</f>
        <v>-1271.4643333660447</v>
      </c>
      <c r="O2645">
        <f>-590.39225655015 -205.398810828336 -534.703970296647</f>
        <v>-1330.4950376751331</v>
      </c>
      <c r="P2645">
        <f>-551.957732393272 -300.235405970632 -258.805373742487</f>
        <v>-1110.998512106391</v>
      </c>
      <c r="Q2645">
        <f>-447.053379201057 -84.4249835881401 -280.526147675445</f>
        <v>-812.00451046464195</v>
      </c>
      <c r="R2645" t="s">
        <v>28312</v>
      </c>
      <c r="S2645" t="s">
        <v>28313</v>
      </c>
      <c r="T2645" t="s">
        <v>28314</v>
      </c>
      <c r="U2645" t="s">
        <v>28315</v>
      </c>
      <c r="V2645">
        <f>-600.275258226505 -161.555192615389 -83.403933221776</f>
        <v>-845.23438406366995</v>
      </c>
      <c r="W2645" t="s">
        <v>28316</v>
      </c>
      <c r="X2645" t="s">
        <v>28317</v>
      </c>
      <c r="Y2645" t="s">
        <v>28318</v>
      </c>
    </row>
    <row r="2646" spans="1:25" x14ac:dyDescent="0.3">
      <c r="A2646">
        <v>132250</v>
      </c>
      <c r="B2646" t="s">
        <v>28319</v>
      </c>
      <c r="C2646">
        <f>-648.790799931714 -80.0644033053845 -82.8991073279582</f>
        <v>-811.7543105650567</v>
      </c>
      <c r="D2646">
        <f>-665.911808354845 -90.5380412026517 -196.975429203148</f>
        <v>-953.42527876064469</v>
      </c>
      <c r="E2646">
        <f>-669.958659467553 -87.2202513554838 -295.46023051153</f>
        <v>-1052.6391413345668</v>
      </c>
      <c r="F2646">
        <f>-669.762414889173 -79.6711942818716 -384.236504779515</f>
        <v>-1133.6701139505597</v>
      </c>
      <c r="G2646">
        <f>-665.344158997349 -67.4945802555553 -472.386606799134</f>
        <v>-1205.2253460520383</v>
      </c>
      <c r="H2646">
        <f>-654.705417900955 -45.7164621261886 -594.588647154983</f>
        <v>-1295.0105271821267</v>
      </c>
      <c r="I2646">
        <f>-616.515356001458 -22.3537245248606 -664.59391770083</f>
        <v>-1303.4629982271485</v>
      </c>
      <c r="J2646">
        <f>-671.426806763055 -30.5702992348265 -537.45455256466</f>
        <v>-1239.4516585625415</v>
      </c>
      <c r="K2646" t="s">
        <v>28320</v>
      </c>
      <c r="L2646" t="s">
        <v>28321</v>
      </c>
      <c r="M2646" t="s">
        <v>28322</v>
      </c>
      <c r="N2646">
        <f>-647.347135394313 -80.0293785438319 -544.172614296352</f>
        <v>-1271.5491282344969</v>
      </c>
      <c r="O2646">
        <f>-589.81103353583 -204.505508581382 -534.601180294799</f>
        <v>-1328.917722412011</v>
      </c>
      <c r="P2646">
        <f>-540.30318766528 -296.334664783929 -259.451034451933</f>
        <v>-1096.0888869011421</v>
      </c>
      <c r="Q2646">
        <f>-437.55091789164 -79.1299252202128 -277.197391745262</f>
        <v>-793.87823485711488</v>
      </c>
      <c r="R2646" t="s">
        <v>28323</v>
      </c>
      <c r="S2646" t="s">
        <v>28324</v>
      </c>
      <c r="T2646" t="s">
        <v>28325</v>
      </c>
      <c r="U2646" t="s">
        <v>28326</v>
      </c>
      <c r="V2646">
        <f>-601.332671603235 -161.797144438469 -83.5453882768595</f>
        <v>-846.67520431856349</v>
      </c>
      <c r="W2646" t="s">
        <v>28327</v>
      </c>
      <c r="X2646" t="s">
        <v>28328</v>
      </c>
      <c r="Y2646" t="s">
        <v>28329</v>
      </c>
    </row>
    <row r="2647" spans="1:25" x14ac:dyDescent="0.3">
      <c r="A2647">
        <v>132300</v>
      </c>
      <c r="B2647" t="s">
        <v>28330</v>
      </c>
      <c r="C2647">
        <f>-649.655337610462 -79.89398789897 -83.2480935214639</f>
        <v>-812.79741903089587</v>
      </c>
      <c r="D2647">
        <f>-666.596572449887 -90.1205639873098 -197.373688256027</f>
        <v>-954.09082469322379</v>
      </c>
      <c r="E2647">
        <f>-670.434129609782 -86.5223819761148 -295.857008617278</f>
        <v>-1052.8135202031749</v>
      </c>
      <c r="F2647">
        <f>-670.042341011548 -78.6829684819994 -384.607495042562</f>
        <v>-1133.3328045361095</v>
      </c>
      <c r="G2647">
        <f>-665.434841336166 -66.1684420945181 -472.700494193112</f>
        <v>-1204.3037776237961</v>
      </c>
      <c r="H2647">
        <f>-654.548461975166 -43.8612265432311 -594.785306283195</f>
        <v>-1293.1949948015922</v>
      </c>
      <c r="I2647">
        <f>-616.583459692639 -19.9737452772899 -664.735776252279</f>
        <v>-1301.292981222208</v>
      </c>
      <c r="J2647">
        <f>-671.750743147249 -29.1349913307301 -537.684269891966</f>
        <v>-1238.5700043699451</v>
      </c>
      <c r="K2647" t="s">
        <v>28331</v>
      </c>
      <c r="L2647" t="s">
        <v>28332</v>
      </c>
      <c r="M2647" t="s">
        <v>28333</v>
      </c>
      <c r="N2647">
        <f>-646.927295978222 -78.2200088768525 -544.439529747185</f>
        <v>-1269.5868346022594</v>
      </c>
      <c r="O2647">
        <f>-586.904346259299 -201.452995976462 -534.12982776376</f>
        <v>-1322.487169999521</v>
      </c>
      <c r="P2647">
        <f>-515.548462457911 -285.728628465823 -261.371441658594</f>
        <v>-1062.648532582328</v>
      </c>
      <c r="Q2647">
        <f>-419.575281241017 -64.9360555246275 -270.893554926042</f>
        <v>-755.40489169168654</v>
      </c>
      <c r="R2647" t="s">
        <v>28334</v>
      </c>
      <c r="S2647" t="s">
        <v>28335</v>
      </c>
      <c r="T2647" t="s">
        <v>28336</v>
      </c>
      <c r="U2647" t="s">
        <v>28337</v>
      </c>
      <c r="V2647">
        <f>-602.038648724354 -161.493827501553 -84.014222062555</f>
        <v>-847.54669828846204</v>
      </c>
      <c r="W2647" t="s">
        <v>28338</v>
      </c>
      <c r="X2647" t="s">
        <v>28339</v>
      </c>
      <c r="Y2647" t="s">
        <v>28340</v>
      </c>
    </row>
    <row r="2648" spans="1:25" x14ac:dyDescent="0.3">
      <c r="A2648">
        <v>132350</v>
      </c>
      <c r="B2648" t="s">
        <v>28341</v>
      </c>
      <c r="C2648">
        <f>-649.78621503948 -79.7849817929451 -83.4597540850601</f>
        <v>-813.03095091748526</v>
      </c>
      <c r="D2648">
        <f>-666.550341024661 -89.7695321496046 -197.632878360495</f>
        <v>-953.95275153476064</v>
      </c>
      <c r="E2648">
        <f>-670.238668319478 -86.0089430374622 -296.115847768619</f>
        <v>-1052.3634591255593</v>
      </c>
      <c r="F2648">
        <f>-669.719533288848 -78.0385938723589 -384.853942712646</f>
        <v>-1132.6120698738528</v>
      </c>
      <c r="G2648">
        <f>-664.99850828188 -65.4033551460151 -472.923921190432</f>
        <v>-1203.3257846183271</v>
      </c>
      <c r="H2648">
        <f>-653.971986579766 -42.9350167925127 -594.966491840161</f>
        <v>-1291.8734952124396</v>
      </c>
      <c r="I2648">
        <f>-616.157274224489 -18.8709786902168 -664.937890876053</f>
        <v>-1299.9661437907589</v>
      </c>
      <c r="J2648">
        <f>-671.455476365497 -28.3891804823072 -537.904618553831</f>
        <v>-1237.7492754016353</v>
      </c>
      <c r="K2648" t="s">
        <v>28342</v>
      </c>
      <c r="L2648" t="s">
        <v>28343</v>
      </c>
      <c r="M2648" t="s">
        <v>28344</v>
      </c>
      <c r="N2648">
        <f>-646.19294723797 -77.2552239620884 -544.618498632866</f>
        <v>-1268.0666698329244</v>
      </c>
      <c r="O2648">
        <f>-584.831397497245 -199.775028901948 -533.977969316879</f>
        <v>-1318.5843957160719</v>
      </c>
      <c r="P2648">
        <f>-505.195043994702 -280.200747627982 -262.351390025727</f>
        <v>-1047.7471816484112</v>
      </c>
      <c r="Q2648">
        <f>-410.71744942769 -58.6943000063955 -270.080850710181</f>
        <v>-739.49260014426648</v>
      </c>
      <c r="R2648" t="s">
        <v>28345</v>
      </c>
      <c r="S2648" t="s">
        <v>28346</v>
      </c>
      <c r="T2648" t="s">
        <v>28347</v>
      </c>
      <c r="U2648" t="s">
        <v>28348</v>
      </c>
      <c r="V2648">
        <f>-602.028457318265 -160.988634893513 -84.3890559972264</f>
        <v>-847.40614820900441</v>
      </c>
      <c r="W2648" t="s">
        <v>28349</v>
      </c>
      <c r="X2648" t="s">
        <v>28350</v>
      </c>
      <c r="Y2648" t="s">
        <v>28351</v>
      </c>
    </row>
    <row r="2649" spans="1:25" x14ac:dyDescent="0.3">
      <c r="A2649">
        <v>132400</v>
      </c>
      <c r="B2649" t="s">
        <v>28352</v>
      </c>
      <c r="C2649">
        <f>-648.966663815192 -78.5272830046713 -83.6222153382724</f>
        <v>-811.11616215813569</v>
      </c>
      <c r="D2649">
        <f>-665.505345938649 -87.9801327051439 -197.873377950118</f>
        <v>-951.3588565939109</v>
      </c>
      <c r="E2649">
        <f>-669.017321773183 -84.0386462259329 -296.355807134037</f>
        <v>-1049.4117751331528</v>
      </c>
      <c r="F2649">
        <f>-668.349342574338 -76.0192135456417 -385.088449726871</f>
        <v>-1129.4570058468507</v>
      </c>
      <c r="G2649">
        <f>-663.496558347127 -63.4415370297886 -473.159427717039</f>
        <v>-1200.0975230939546</v>
      </c>
      <c r="H2649">
        <f>-652.307070520355 -41.1609022796611 -595.221682084154</f>
        <v>-1288.6896548841701</v>
      </c>
      <c r="I2649">
        <f>-614.870163006422 -16.9694803407879 -665.352210307879</f>
        <v>-1297.1918536550888</v>
      </c>
      <c r="J2649">
        <f>-670.27120277118 -26.7307544315915 -538.279842812349</f>
        <v>-1235.2818000151206</v>
      </c>
      <c r="K2649" t="s">
        <v>28353</v>
      </c>
      <c r="L2649" t="s">
        <v>28354</v>
      </c>
      <c r="M2649" t="s">
        <v>28355</v>
      </c>
      <c r="N2649">
        <f>-644.19090582911 -75.2003079659038 -544.736420697595</f>
        <v>-1264.1276344926086</v>
      </c>
      <c r="O2649">
        <f>-580.291319955221 -196.36218459912 -533.247119557366</f>
        <v>-1309.900624111707</v>
      </c>
      <c r="P2649">
        <f>-488.533979220539 -267.154225792463 -262.765537956809</f>
        <v>-1018.4537429698111</v>
      </c>
      <c r="Q2649">
        <f>-398.21924494475 -43.7980239223547 -265.243170360249</f>
        <v>-707.26043922735369</v>
      </c>
      <c r="R2649" t="s">
        <v>28356</v>
      </c>
      <c r="S2649" t="s">
        <v>28357</v>
      </c>
      <c r="T2649" t="s">
        <v>28358</v>
      </c>
      <c r="U2649" t="s">
        <v>28359</v>
      </c>
      <c r="V2649">
        <f>-600.3909128453 -158.955242776194 -85.0765203180475</f>
        <v>-844.42267593954159</v>
      </c>
      <c r="W2649" t="s">
        <v>28360</v>
      </c>
      <c r="X2649" t="s">
        <v>28361</v>
      </c>
      <c r="Y2649" t="s">
        <v>28362</v>
      </c>
    </row>
    <row r="2650" spans="1:25" x14ac:dyDescent="0.3">
      <c r="A2650">
        <v>132450</v>
      </c>
      <c r="B2650" t="s">
        <v>28363</v>
      </c>
      <c r="C2650">
        <f>-647.904964468786 -77.7246477914109 -83.539071506476</f>
        <v>-809.16868376667298</v>
      </c>
      <c r="D2650">
        <f>-664.408274076289 -86.8921695308655 -197.818656588806</f>
        <v>-949.11910019596053</v>
      </c>
      <c r="E2650">
        <f>-667.866601631343 -82.8678651347741 -296.299606173771</f>
        <v>-1047.0340729398881</v>
      </c>
      <c r="F2650">
        <f>-667.143799283746 -74.8394718387456 -385.031084280469</f>
        <v>-1127.0143554029605</v>
      </c>
      <c r="G2650">
        <f>-662.234081747593 -62.3137666471923 -473.106203999334</f>
        <v>-1197.6540523941194</v>
      </c>
      <c r="H2650">
        <f>-650.965266246922 -40.1669366872738 -595.185435707547</f>
        <v>-1286.3176386417429</v>
      </c>
      <c r="I2650">
        <f>-613.716127362947 -15.9242444416523 -665.39813616093</f>
        <v>-1295.0385079655293</v>
      </c>
      <c r="J2650">
        <f>-669.188566685237 -25.7897454885576 -538.312665421303</f>
        <v>-1233.2909775950975</v>
      </c>
      <c r="K2650" t="s">
        <v>28364</v>
      </c>
      <c r="L2650" t="s">
        <v>28365</v>
      </c>
      <c r="M2650" t="s">
        <v>28366</v>
      </c>
      <c r="N2650">
        <f>-642.65968799233 -74.0354458394314 -544.616274463927</f>
        <v>-1261.3114082956884</v>
      </c>
      <c r="O2650">
        <f>-577.474031772929 -194.473051267792 -532.536534574375</f>
        <v>-1304.4836176150961</v>
      </c>
      <c r="P2650">
        <f>-482.171008698129 -259.847356386541 -261.917316925739</f>
        <v>-1003.935682010409</v>
      </c>
      <c r="Q2650">
        <f>-392.571823759766 -36.1913724766973 -262.85329900687</f>
        <v>-691.61649524333325</v>
      </c>
      <c r="R2650" t="s">
        <v>28367</v>
      </c>
      <c r="S2650" t="s">
        <v>28368</v>
      </c>
      <c r="T2650" t="s">
        <v>28369</v>
      </c>
      <c r="U2650" t="s">
        <v>28370</v>
      </c>
      <c r="V2650">
        <f>-599.046349413688 -157.771460067982 -85.2661521056972</f>
        <v>-842.08396158736707</v>
      </c>
      <c r="W2650" t="s">
        <v>28371</v>
      </c>
      <c r="X2650" t="s">
        <v>28372</v>
      </c>
      <c r="Y2650" t="s">
        <v>28373</v>
      </c>
    </row>
    <row r="2651" spans="1:25" x14ac:dyDescent="0.3">
      <c r="A2651">
        <v>132500</v>
      </c>
      <c r="B2651" t="s">
        <v>28374</v>
      </c>
      <c r="C2651">
        <f>-645.703745463515 -76.421757800616 -83.2973173221311</f>
        <v>-805.42282058626211</v>
      </c>
      <c r="D2651">
        <f>-662.023280508995 -85.0755022567155 -197.643333760998</f>
        <v>-944.7421165267084</v>
      </c>
      <c r="E2651">
        <f>-665.386337812869 -80.8716296889628 -296.120144407729</f>
        <v>-1042.3781119095609</v>
      </c>
      <c r="F2651">
        <f>-664.609250171183 -72.785601451018 -384.845762786415</f>
        <v>-1122.240614408616</v>
      </c>
      <c r="G2651">
        <f>-659.685795636629 -60.295929835937 -472.925492278451</f>
        <v>-1192.907217751017</v>
      </c>
      <c r="H2651">
        <f>-648.444990936183 -38.2916930227263 -595.033130938185</f>
        <v>-1281.7698148970944</v>
      </c>
      <c r="I2651">
        <f>-611.787293499465 -13.9368252747026 -665.517717121567</f>
        <v>-1291.2418358957348</v>
      </c>
      <c r="J2651">
        <f>-667.113680426087 -24.0948090036877 -538.259522587926</f>
        <v>-1229.4680120177006</v>
      </c>
      <c r="K2651" t="s">
        <v>28375</v>
      </c>
      <c r="L2651" t="s">
        <v>28376</v>
      </c>
      <c r="M2651" t="s">
        <v>28377</v>
      </c>
      <c r="N2651">
        <f>-639.66932783435 -71.8545387709667 -544.339529616026</f>
        <v>-1255.8633962213426</v>
      </c>
      <c r="O2651">
        <f>-572.097255744833 -190.862571261951 -531.157730628986</f>
        <v>-1294.11755763577</v>
      </c>
      <c r="P2651">
        <f>-473.907054985242 -245.131372236262 -259.119576566256</f>
        <v>-978.15800378775998</v>
      </c>
      <c r="Q2651">
        <f>-383.326042350886 -21.8787557280834 -257.063121876254</f>
        <v>-662.26791995522331</v>
      </c>
      <c r="R2651" t="s">
        <v>28378</v>
      </c>
      <c r="S2651" t="s">
        <v>28379</v>
      </c>
      <c r="T2651" t="s">
        <v>28380</v>
      </c>
      <c r="U2651" t="s">
        <v>28381</v>
      </c>
      <c r="V2651">
        <f>-596.213281404635 -156.186206708261 -85.5508910844356</f>
        <v>-837.9503791973317</v>
      </c>
      <c r="W2651" t="s">
        <v>28382</v>
      </c>
      <c r="X2651" t="s">
        <v>28383</v>
      </c>
      <c r="Y2651" t="s">
        <v>28384</v>
      </c>
    </row>
    <row r="2652" spans="1:25" x14ac:dyDescent="0.3">
      <c r="A2652">
        <v>132550</v>
      </c>
      <c r="B2652" t="s">
        <v>28385</v>
      </c>
      <c r="C2652">
        <f>-644.934381574247 -75.4527056573255 -83.1557276331611</f>
        <v>-803.5428148647336</v>
      </c>
      <c r="D2652">
        <f>-661.089342358277 -83.8777503859194 -197.542095795131</f>
        <v>-942.5091885393274</v>
      </c>
      <c r="E2652">
        <f>-664.367101515483 -79.5979082749989 -296.018609946142</f>
        <v>-1039.983619736624</v>
      </c>
      <c r="F2652">
        <f>-663.538586978856 -71.4912242592375 -384.741886677132</f>
        <v>-1119.7716979152256</v>
      </c>
      <c r="G2652">
        <f>-658.593816871309 -59.0235510015337 -472.82341231475</f>
        <v>-1190.4407801875927</v>
      </c>
      <c r="H2652">
        <f>-647.356947230646 -37.0911412490148 -594.944310480368</f>
        <v>-1279.3923989600289</v>
      </c>
      <c r="I2652">
        <f>-611.143192453905 -12.6984832095804 -665.644984778988</f>
        <v>-1289.4866604424735</v>
      </c>
      <c r="J2652">
        <f>-666.247782331347 -22.9855490990294 -538.221435211655</f>
        <v>-1227.4547666420315</v>
      </c>
      <c r="K2652" t="s">
        <v>28386</v>
      </c>
      <c r="L2652" t="s">
        <v>28387</v>
      </c>
      <c r="M2652" t="s">
        <v>28388</v>
      </c>
      <c r="N2652">
        <f>-638.355610719933 -70.4995109189608 -544.188324066351</f>
        <v>-1253.0434457052447</v>
      </c>
      <c r="O2652">
        <f>-569.71658806109 -188.772269471365 -530.247297031759</f>
        <v>-1288.7361545642138</v>
      </c>
      <c r="P2652">
        <f>-470.29580483806 -236.631743530766 -257.454006992468</f>
        <v>-964.38155536129398</v>
      </c>
      <c r="Q2652">
        <f>-378.060343223208 -14.1011603530401 -252.590548877875</f>
        <v>-644.75205245412303</v>
      </c>
      <c r="R2652" t="s">
        <v>28389</v>
      </c>
      <c r="S2652" t="s">
        <v>28390</v>
      </c>
      <c r="T2652" t="s">
        <v>28391</v>
      </c>
      <c r="U2652" t="s">
        <v>28392</v>
      </c>
      <c r="V2652">
        <f>-594.888328412414 -155.130658695688 -85.5528244985532</f>
        <v>-835.57181160665527</v>
      </c>
      <c r="W2652" t="s">
        <v>28393</v>
      </c>
      <c r="X2652" t="s">
        <v>28394</v>
      </c>
      <c r="Y2652" t="s">
        <v>28395</v>
      </c>
    </row>
    <row r="2653" spans="1:25" x14ac:dyDescent="0.3">
      <c r="A2653">
        <v>132600</v>
      </c>
      <c r="B2653" t="s">
        <v>28396</v>
      </c>
      <c r="C2653">
        <f>-644.122778953181 -72.8588229864259 -82.9918675480154</f>
        <v>-799.97346948762231</v>
      </c>
      <c r="D2653">
        <f>-659.814336115952 -80.8218244574325 -197.47590075299</f>
        <v>-938.11206132637449</v>
      </c>
      <c r="E2653">
        <f>-662.60414918189 -76.4326219975525 -295.962482366191</f>
        <v>-1034.9992535456336</v>
      </c>
      <c r="F2653">
        <f>-661.311324747518 -68.3361905524851 -384.681206513658</f>
        <v>-1114.3287218136611</v>
      </c>
      <c r="G2653">
        <f>-655.891342592319 -55.9763485523698 -472.749947165683</f>
        <v>-1184.6176383103718</v>
      </c>
      <c r="H2653">
        <f>-643.987525906467 -34.2890320209033 -594.85139031941</f>
        <v>-1273.1279482467803</v>
      </c>
      <c r="I2653">
        <f>-608.623061546703 -10.0368460968987 -666.028821047004</f>
        <v>-1284.6887286906058</v>
      </c>
      <c r="J2653">
        <f>-663.583854468008 -20.2973520374881 -538.340068859443</f>
        <v>-1222.2212753649392</v>
      </c>
      <c r="K2653" t="s">
        <v>28397</v>
      </c>
      <c r="L2653" t="s">
        <v>28398</v>
      </c>
      <c r="M2653" t="s">
        <v>28399</v>
      </c>
      <c r="N2653">
        <f>-634.867690167377 -67.3677965156735 -543.900982612257</f>
        <v>-1246.1364692953075</v>
      </c>
      <c r="O2653">
        <f>-563.732988567095 -183.869979063255 -527.582127443851</f>
        <v>-1275.1850950742009</v>
      </c>
      <c r="P2653">
        <f>-461.138325860928 -217.110276199173 -253.792652350969</f>
        <v>-932.04125441106999</v>
      </c>
      <c r="Q2653" t="s">
        <v>28400</v>
      </c>
      <c r="R2653" t="s">
        <v>28401</v>
      </c>
      <c r="S2653" t="s">
        <v>28402</v>
      </c>
      <c r="T2653" t="s">
        <v>28403</v>
      </c>
      <c r="U2653" t="s">
        <v>28404</v>
      </c>
      <c r="V2653">
        <f>-593.473534657422 -152.44904015212 -85.5255673489974</f>
        <v>-831.44814215853933</v>
      </c>
      <c r="W2653" t="s">
        <v>28405</v>
      </c>
      <c r="X2653" t="s">
        <v>28406</v>
      </c>
      <c r="Y2653" t="s">
        <v>28407</v>
      </c>
    </row>
    <row r="2654" spans="1:25" x14ac:dyDescent="0.3">
      <c r="A2654">
        <v>132650</v>
      </c>
      <c r="B2654" t="s">
        <v>28408</v>
      </c>
      <c r="C2654">
        <f>-643.908397053319 -71.3788366281091 -83.0485617005965</f>
        <v>-798.33579538202457</v>
      </c>
      <c r="D2654">
        <f>-659.24168951617 -79.0725345264229 -197.599582871372</f>
        <v>-935.913806913965</v>
      </c>
      <c r="E2654">
        <f>-661.619650830398 -74.5685935322798 -296.091749416699</f>
        <v>-1032.2799937793768</v>
      </c>
      <c r="F2654">
        <f>-659.921914821281 -66.4102100532878 -384.797910716706</f>
        <v>-1111.1300355912747</v>
      </c>
      <c r="G2654">
        <f>-654.072386186346 -54.0234002285126 -472.835523748013</f>
        <v>-1180.9313101628716</v>
      </c>
      <c r="H2654">
        <f>-641.549163363679 -32.330298269221 -594.873957998697</f>
        <v>-1268.7534196315969</v>
      </c>
      <c r="I2654">
        <f>-606.591423213774 -8.15719983492727 -666.278753123551</f>
        <v>-1281.0273761722524</v>
      </c>
      <c r="J2654">
        <f>-661.645737410072 -18.467977783303 -538.506698972578</f>
        <v>-1218.620414165953</v>
      </c>
      <c r="K2654" t="s">
        <v>28409</v>
      </c>
      <c r="L2654" t="s">
        <v>28410</v>
      </c>
      <c r="M2654" t="s">
        <v>28411</v>
      </c>
      <c r="N2654">
        <f>-632.47436759209 -65.2846698052973 -543.835087857087</f>
        <v>-1241.5941252544744</v>
      </c>
      <c r="O2654">
        <f>-559.809559941466 -180.628048958482 -526.230413624236</f>
        <v>-1266.6680225241839</v>
      </c>
      <c r="P2654">
        <f>-456.489449026282 -206.181309378445 -251.889090967577</f>
        <v>-914.55984937230392</v>
      </c>
      <c r="Q2654" t="s">
        <v>28412</v>
      </c>
      <c r="R2654" t="s">
        <v>28413</v>
      </c>
      <c r="S2654" t="s">
        <v>28414</v>
      </c>
      <c r="T2654" t="s">
        <v>28415</v>
      </c>
      <c r="U2654" t="s">
        <v>28416</v>
      </c>
      <c r="V2654">
        <f>-593.13430052811 -150.888916297052 -85.6737407489894</f>
        <v>-829.69695757415138</v>
      </c>
      <c r="W2654" t="s">
        <v>28417</v>
      </c>
      <c r="X2654" t="s">
        <v>28418</v>
      </c>
      <c r="Y2654" t="s">
        <v>28419</v>
      </c>
    </row>
    <row r="2655" spans="1:25" x14ac:dyDescent="0.3">
      <c r="A2655">
        <v>132700</v>
      </c>
      <c r="B2655" t="s">
        <v>28420</v>
      </c>
      <c r="C2655">
        <f>-643.971423433534 -67.262616249876 -83.2531430351173</f>
        <v>-794.48718271852738</v>
      </c>
      <c r="D2655">
        <f>-658.429351594294 -74.3699979085142 -197.955729030236</f>
        <v>-930.75507853304407</v>
      </c>
      <c r="E2655">
        <f>-659.786553556742 -69.5798532162864 -296.453895954488</f>
        <v>-1025.8203027275165</v>
      </c>
      <c r="F2655">
        <f>-657.073452532797 -61.2427826640977 -385.118159576151</f>
        <v>-1103.4343947730458</v>
      </c>
      <c r="G2655">
        <f>-650.131760636445 -48.7454098766962 -473.0606469558</f>
        <v>-1171.9378174689411</v>
      </c>
      <c r="H2655">
        <f>-636.014002364938 -26.961487664531 -594.908743236468</f>
        <v>-1257.8842332659369</v>
      </c>
      <c r="I2655">
        <f>-601.7537412711 -2.94625223580101 -666.703661217591</f>
        <v>-1271.4036547244921</v>
      </c>
      <c r="J2655">
        <f>-657.293962055091 -13.4161998389689 -538.899746298789</f>
        <v>-1209.6099081928487</v>
      </c>
      <c r="K2655" t="s">
        <v>28421</v>
      </c>
      <c r="L2655" t="s">
        <v>28422</v>
      </c>
      <c r="M2655" t="s">
        <v>28423</v>
      </c>
      <c r="N2655">
        <f>-627.159204774188 -59.6787758495565 -543.679081469076</f>
        <v>-1230.5170620928204</v>
      </c>
      <c r="O2655">
        <f>-551.347478224337 -172.5978625804 -523.737737324979</f>
        <v>-1247.683078129716</v>
      </c>
      <c r="P2655">
        <f>-450.439425471105 -182.94224601633 -247.50993299339</f>
        <v>-880.89160448082498</v>
      </c>
      <c r="Q2655" t="s">
        <v>28424</v>
      </c>
      <c r="R2655" t="s">
        <v>28425</v>
      </c>
      <c r="S2655" t="s">
        <v>28426</v>
      </c>
      <c r="T2655" t="s">
        <v>28427</v>
      </c>
      <c r="U2655" t="s">
        <v>28428</v>
      </c>
      <c r="V2655">
        <f>-592.796455724115 -146.200991338832 -86.0180818476503</f>
        <v>-825.01552891059725</v>
      </c>
      <c r="W2655" t="s">
        <v>28429</v>
      </c>
      <c r="X2655" t="s">
        <v>28430</v>
      </c>
      <c r="Y2655" t="s">
        <v>28431</v>
      </c>
    </row>
    <row r="2656" spans="1:25" x14ac:dyDescent="0.3">
      <c r="A2656">
        <v>132750</v>
      </c>
      <c r="B2656" t="s">
        <v>28432</v>
      </c>
      <c r="C2656">
        <f>-643.724086647327 -64.6488954859536 -83.5093527512597</f>
        <v>-791.88233488454034</v>
      </c>
      <c r="D2656">
        <f>-657.757102651218 -71.5035702599072 -198.279995109677</f>
        <v>-927.54066802080217</v>
      </c>
      <c r="E2656">
        <f>-658.678750160435 -66.6547941729236 -296.780273150292</f>
        <v>-1022.1138174836506</v>
      </c>
      <c r="F2656">
        <f>-655.547887545533 -58.3269638714658 -385.431784605559</f>
        <v>-1099.3066360225578</v>
      </c>
      <c r="G2656">
        <f>-648.17027222627 -45.895809157802 -473.348178824466</f>
        <v>-1167.4142602085381</v>
      </c>
      <c r="H2656">
        <f>-633.427807128466 -24.2610821518558 -595.148728262788</f>
        <v>-1252.8376175431099</v>
      </c>
      <c r="I2656">
        <f>-599.376577179538 -0.383602445436281 -667.089126777342</f>
        <v>-1266.8493064023164</v>
      </c>
      <c r="J2656">
        <f>-655.205358765566 -10.7812722752356 -539.315624716002</f>
        <v>-1205.3022557568036</v>
      </c>
      <c r="K2656" t="s">
        <v>28433</v>
      </c>
      <c r="L2656" t="s">
        <v>28434</v>
      </c>
      <c r="M2656" t="s">
        <v>28435</v>
      </c>
      <c r="N2656">
        <f>-624.625144632747 -56.7816825493397 -543.784959088572</f>
        <v>-1225.1917862706587</v>
      </c>
      <c r="O2656">
        <f>-547.428783641521 -168.588086746582 -522.708100893929</f>
        <v>-1238.7249712820321</v>
      </c>
      <c r="P2656">
        <f>-448.794146061828 -172.315988321789 -245.49244031577</f>
        <v>-866.60257469938688</v>
      </c>
      <c r="Q2656" t="s">
        <v>28436</v>
      </c>
      <c r="R2656" t="s">
        <v>28437</v>
      </c>
      <c r="S2656" t="s">
        <v>28438</v>
      </c>
      <c r="T2656" t="s">
        <v>28439</v>
      </c>
      <c r="U2656" t="s">
        <v>28440</v>
      </c>
      <c r="V2656">
        <f>-592.291188191104 -143.12504955087 -86.3398562583524</f>
        <v>-821.75609400032636</v>
      </c>
      <c r="W2656" t="s">
        <v>28441</v>
      </c>
      <c r="X2656" t="s">
        <v>28442</v>
      </c>
      <c r="Y2656" t="s">
        <v>28443</v>
      </c>
    </row>
    <row r="2657" spans="1:25" x14ac:dyDescent="0.3">
      <c r="A2657">
        <v>132800</v>
      </c>
      <c r="B2657" t="s">
        <v>28444</v>
      </c>
      <c r="C2657">
        <f>-642.393066649724 -60.3186740739274 -83.9889565673424</f>
        <v>-786.70069729099373</v>
      </c>
      <c r="D2657">
        <f>-655.879028735624 -66.7932215123789 -198.847313045939</f>
        <v>-921.51956329394193</v>
      </c>
      <c r="E2657">
        <f>-656.310021738339 -61.8768953609499 -297.347568919245</f>
        <v>-1015.5344860185339</v>
      </c>
      <c r="F2657">
        <f>-652.729341584641 -53.5935851597234 -385.986220519946</f>
        <v>-1092.3091472643105</v>
      </c>
      <c r="G2657">
        <f>-644.902610454465 -41.3039368755353 -473.883575097895</f>
        <v>-1160.0901224278955</v>
      </c>
      <c r="H2657">
        <f>-629.536762217188 -19.9650182979276 -595.659343418966</f>
        <v>-1245.1611239340816</v>
      </c>
      <c r="I2657" t="s">
        <v>28445</v>
      </c>
      <c r="J2657">
        <f>-651.966569926921 -6.59003615590291 -540.059669046053</f>
        <v>-1198.6162751288771</v>
      </c>
      <c r="K2657" t="s">
        <v>28446</v>
      </c>
      <c r="L2657" t="s">
        <v>28447</v>
      </c>
      <c r="M2657" t="s">
        <v>28448</v>
      </c>
      <c r="N2657">
        <f>-620.630441144062 -52.1203785795567 -544.084032404294</f>
        <v>-1216.8348521279127</v>
      </c>
      <c r="O2657">
        <f>-541.366838390475 -162.175818977692 -521.538074927549</f>
        <v>-1225.080732295716</v>
      </c>
      <c r="P2657">
        <f>-446.132655967625 -157.624953765897 -243.148208496228</f>
        <v>-846.90581822975003</v>
      </c>
      <c r="Q2657" t="s">
        <v>28449</v>
      </c>
      <c r="R2657" t="s">
        <v>28450</v>
      </c>
      <c r="S2657" t="s">
        <v>28451</v>
      </c>
      <c r="T2657" t="s">
        <v>28452</v>
      </c>
      <c r="U2657" t="s">
        <v>28453</v>
      </c>
      <c r="V2657">
        <f>-590.118417752989 -138.576824915304 -87.0094260241743</f>
        <v>-815.70466869246729</v>
      </c>
      <c r="W2657" t="s">
        <v>28454</v>
      </c>
      <c r="X2657" t="s">
        <v>28455</v>
      </c>
      <c r="Y2657" t="s">
        <v>28456</v>
      </c>
    </row>
    <row r="2658" spans="1:25" x14ac:dyDescent="0.3">
      <c r="A2658">
        <v>132850</v>
      </c>
      <c r="B2658" t="s">
        <v>28457</v>
      </c>
      <c r="C2658">
        <f>-641.511778342952 -58.7591526772231 -84.1526349044984</f>
        <v>-784.42356592467354</v>
      </c>
      <c r="D2658">
        <f>-654.876654523576 -65.1284960620866 -199.030986253158</f>
        <v>-919.03613683882054</v>
      </c>
      <c r="E2658">
        <f>-655.258879294411 -60.1876511933125 -297.530245874118</f>
        <v>-1012.9767763618415</v>
      </c>
      <c r="F2658">
        <f>-651.654319013278 -51.9115533739281 -386.168456205091</f>
        <v>-1089.7343285922971</v>
      </c>
      <c r="G2658">
        <f>-643.824997055604 -39.6562657412476 -474.07043846463</f>
        <v>-1157.5517012614814</v>
      </c>
      <c r="H2658">
        <f>-628.477599788096 -18.3931174288289 -595.861917336349</f>
        <v>-1242.7326345532738</v>
      </c>
      <c r="I2658" t="s">
        <v>28458</v>
      </c>
      <c r="J2658">
        <f>-651.042164542313 -5.07964064610405 -540.302095033534</f>
        <v>-1196.423900221951</v>
      </c>
      <c r="K2658" t="s">
        <v>28459</v>
      </c>
      <c r="L2658" t="s">
        <v>28460</v>
      </c>
      <c r="M2658" t="s">
        <v>28461</v>
      </c>
      <c r="N2658">
        <f>-619.420393578347 -50.4202470016523 -544.233063169492</f>
        <v>-1214.0737037494914</v>
      </c>
      <c r="O2658">
        <f>-539.474184969376 -159.91527662262 -521.424683752545</f>
        <v>-1220.814145344541</v>
      </c>
      <c r="P2658">
        <f>-444.645788229343 -153.026293300995 -242.944294961234</f>
        <v>-840.61637649157205</v>
      </c>
      <c r="Q2658" t="s">
        <v>28462</v>
      </c>
      <c r="R2658" t="s">
        <v>28463</v>
      </c>
      <c r="S2658" t="s">
        <v>28464</v>
      </c>
      <c r="T2658" t="s">
        <v>28465</v>
      </c>
      <c r="U2658" t="s">
        <v>28466</v>
      </c>
      <c r="V2658">
        <f>-588.873421729387 -136.997789885758 -87.2349787734343</f>
        <v>-813.10619038857931</v>
      </c>
      <c r="W2658" t="s">
        <v>28467</v>
      </c>
      <c r="X2658" t="s">
        <v>28468</v>
      </c>
      <c r="Y2658" t="s">
        <v>28469</v>
      </c>
    </row>
    <row r="2659" spans="1:25" x14ac:dyDescent="0.3">
      <c r="A2659">
        <v>132900</v>
      </c>
      <c r="B2659" t="s">
        <v>28470</v>
      </c>
      <c r="C2659">
        <f>-640.516020648023 -57.6176996777739 -84.2196930559926</f>
        <v>-782.35341338178944</v>
      </c>
      <c r="D2659">
        <f>-653.818695427467 -63.9373386257475 -199.107906872265</f>
        <v>-916.86394092547948</v>
      </c>
      <c r="E2659">
        <f>-654.230036443497 -58.9957030577876 -297.60702367025</f>
        <v>-1010.8327631715347</v>
      </c>
      <c r="F2659">
        <f>-650.682432517359 -50.7384964001923 -386.249502593747</f>
        <v>-1087.6704315112984</v>
      </c>
      <c r="G2659">
        <f>-642.941195673655 -38.5201159768212 -474.164366954502</f>
        <v>-1155.6256786049782</v>
      </c>
      <c r="H2659">
        <f>-627.748587382166 -17.3268055734761 -595.987341464336</f>
        <v>-1241.0627344199781</v>
      </c>
      <c r="I2659" t="s">
        <v>28471</v>
      </c>
      <c r="J2659">
        <f>-650.364718652212 -4.06460905618223 -540.436072645243</f>
        <v>-1194.8654003536371</v>
      </c>
      <c r="K2659" t="s">
        <v>28472</v>
      </c>
      <c r="L2659" t="s">
        <v>28473</v>
      </c>
      <c r="M2659" t="s">
        <v>28474</v>
      </c>
      <c r="N2659">
        <f>-618.503453852278 -49.2412335605868 -544.321987303844</f>
        <v>-1212.0666747167088</v>
      </c>
      <c r="O2659">
        <f>-537.982484575284 -158.29856404545 -521.393605101531</f>
        <v>-1217.674653722265</v>
      </c>
      <c r="P2659">
        <f>-442.928499138186 -149.489802673157 -243.044328182279</f>
        <v>-835.46262999362193</v>
      </c>
      <c r="Q2659" t="s">
        <v>28475</v>
      </c>
      <c r="R2659" t="s">
        <v>28476</v>
      </c>
      <c r="S2659" t="s">
        <v>28477</v>
      </c>
      <c r="T2659" t="s">
        <v>28478</v>
      </c>
      <c r="U2659" t="s">
        <v>28479</v>
      </c>
      <c r="V2659">
        <f>-587.376635835813 -135.759470850262 -87.3330883822338</f>
        <v>-810.46919506830875</v>
      </c>
      <c r="W2659" t="s">
        <v>28480</v>
      </c>
      <c r="X2659" t="s">
        <v>28481</v>
      </c>
      <c r="Y2659" t="s">
        <v>28482</v>
      </c>
    </row>
    <row r="2660" spans="1:25" x14ac:dyDescent="0.3">
      <c r="A2660">
        <v>132950</v>
      </c>
      <c r="B2660" t="s">
        <v>28483</v>
      </c>
      <c r="C2660">
        <f>-638.357143426703 -55.9255757249383 -84.1383213100186</f>
        <v>-778.42104046165991</v>
      </c>
      <c r="D2660">
        <f>-651.68970337933 -62.2561000751311 -199.022598232631</f>
        <v>-912.96840168709218</v>
      </c>
      <c r="E2660">
        <f>-652.290578849149 -57.3387822565428 -297.521951627623</f>
        <v>-1007.1513127333149</v>
      </c>
      <c r="F2660">
        <f>-648.977562191263 -49.1122441444027 -386.176255600461</f>
        <v>-1084.2660619361268</v>
      </c>
      <c r="G2660">
        <f>-641.535426148125 -36.9292376811402 -474.121835399878</f>
        <v>-1152.5864992291431</v>
      </c>
      <c r="H2660">
        <f>-626.827312487079 -15.7891908928052 -596.013450987659</f>
        <v>-1238.6299543675432</v>
      </c>
      <c r="I2660" t="s">
        <v>28484</v>
      </c>
      <c r="J2660">
        <f>-649.425949033745 -2.64320940183188 -540.42757840517</f>
        <v>-1192.496736840747</v>
      </c>
      <c r="K2660" t="s">
        <v>28485</v>
      </c>
      <c r="L2660" t="s">
        <v>28486</v>
      </c>
      <c r="M2660" t="s">
        <v>28487</v>
      </c>
      <c r="N2660">
        <f>-617.173317063821 -47.540473571412 -544.322503176464</f>
        <v>-1209.0362938116969</v>
      </c>
      <c r="O2660">
        <f>-535.849360784824 -156.009353385488 -521.470511072775</f>
        <v>-1213.329225243087</v>
      </c>
      <c r="P2660">
        <f>-439.675742891106 -144.891406337126 -243.588770835507</f>
        <v>-828.15592006373902</v>
      </c>
      <c r="Q2660" t="s">
        <v>28488</v>
      </c>
      <c r="R2660" t="s">
        <v>28489</v>
      </c>
      <c r="S2660" t="s">
        <v>28490</v>
      </c>
      <c r="T2660" t="s">
        <v>28491</v>
      </c>
      <c r="U2660" t="s">
        <v>28492</v>
      </c>
      <c r="V2660">
        <f>-584.107094142853 -133.83080170856 -87.2936737019432</f>
        <v>-805.23156955335628</v>
      </c>
      <c r="W2660" t="s">
        <v>28493</v>
      </c>
      <c r="X2660" t="s">
        <v>28494</v>
      </c>
      <c r="Y2660" t="s">
        <v>28495</v>
      </c>
    </row>
    <row r="2661" spans="1:25" x14ac:dyDescent="0.3">
      <c r="A2661">
        <v>133000</v>
      </c>
      <c r="B2661" t="s">
        <v>28496</v>
      </c>
      <c r="C2661">
        <f>-636.453147585234 -55.1432967746233 -84.0678012801603</f>
        <v>-775.66424564001761</v>
      </c>
      <c r="D2661">
        <f>-649.88222667145 -61.5137566643411 -198.93856708335</f>
        <v>-910.33455041914112</v>
      </c>
      <c r="E2661">
        <f>-650.730562329327 -56.7555083560097 -297.443961904144</f>
        <v>-1004.9300325894807</v>
      </c>
      <c r="F2661">
        <f>-647.705845903322 -48.7230039474116 -386.126340747896</f>
        <v>-1082.5551905986297</v>
      </c>
      <c r="G2661">
        <f>-640.616166449345 -36.7811986167133 -474.134111790783</f>
        <v>-1151.5314768568412</v>
      </c>
      <c r="H2661">
        <f>-626.466487652015 -16.0252340338504 -596.157872752976</f>
        <v>-1238.6495944388414</v>
      </c>
      <c r="I2661" t="s">
        <v>28497</v>
      </c>
      <c r="J2661">
        <f>-648.91390812601 -2.77672523337969 -540.535068648734</f>
        <v>-1192.2257020081238</v>
      </c>
      <c r="K2661" t="s">
        <v>28498</v>
      </c>
      <c r="L2661" t="s">
        <v>28499</v>
      </c>
      <c r="M2661" t="s">
        <v>28500</v>
      </c>
      <c r="N2661">
        <f>-616.472138039043 -47.5412511806162 -544.387427090577</f>
        <v>-1208.4008163102362</v>
      </c>
      <c r="O2661">
        <f>-534.660040343715 -155.599250977094 -521.49251254229</f>
        <v>-1211.751803863099</v>
      </c>
      <c r="P2661">
        <f>-436.881714038259 -143.360846995839 -244.218476975407</f>
        <v>-824.46103800950505</v>
      </c>
      <c r="Q2661" t="s">
        <v>28501</v>
      </c>
      <c r="R2661" t="s">
        <v>28502</v>
      </c>
      <c r="S2661" t="s">
        <v>28503</v>
      </c>
      <c r="T2661" t="s">
        <v>28504</v>
      </c>
      <c r="U2661" t="s">
        <v>28505</v>
      </c>
      <c r="V2661">
        <f>-581.792405117989 -133.309669556055 -87.313662513366</f>
        <v>-802.41573718741006</v>
      </c>
      <c r="W2661" t="s">
        <v>28506</v>
      </c>
      <c r="X2661" t="s">
        <v>28507</v>
      </c>
      <c r="Y2661" t="s">
        <v>28508</v>
      </c>
    </row>
    <row r="2662" spans="1:25" x14ac:dyDescent="0.3">
      <c r="A2662">
        <v>133050</v>
      </c>
      <c r="B2662" t="s">
        <v>28509</v>
      </c>
      <c r="C2662">
        <f>-635.548067341914 -54.7823159546178 -84.0537465695944</f>
        <v>-774.38412986612627</v>
      </c>
      <c r="D2662">
        <f>-649.024053141694 -61.1839639778586 -198.917346899537</f>
        <v>-909.1253640190896</v>
      </c>
      <c r="E2662">
        <f>-649.964287871284 -56.5297454262166 -297.426765435661</f>
        <v>-1003.9207987331615</v>
      </c>
      <c r="F2662">
        <f>-647.041141363095 -48.6238340658746 -386.124008642913</f>
        <v>-1081.7889840718826</v>
      </c>
      <c r="G2662">
        <f>-640.070518585552 -36.8405746880692 -474.162724883403</f>
        <v>-1151.0738181570241</v>
      </c>
      <c r="H2662">
        <f>-626.104009132 -16.3398848617444 -596.250583402166</f>
        <v>-1238.6944773959103</v>
      </c>
      <c r="I2662" t="s">
        <v>28510</v>
      </c>
      <c r="J2662">
        <f>-648.477329564654 -2.98165006897602 -540.624127966138</f>
        <v>-1192.083107599768</v>
      </c>
      <c r="K2662" t="s">
        <v>28511</v>
      </c>
      <c r="L2662" t="s">
        <v>28512</v>
      </c>
      <c r="M2662" t="s">
        <v>28513</v>
      </c>
      <c r="N2662">
        <f>-616.022641441009 -47.7409074365434 -544.42721650102</f>
        <v>-1208.1907653785725</v>
      </c>
      <c r="O2662">
        <f>-534.067724074918 -155.703821155382 -521.467160259906</f>
        <v>-1211.238705490206</v>
      </c>
      <c r="P2662">
        <f>-436.366713274057 -143.013026782603 -244.186438662958</f>
        <v>-823.56617871961805</v>
      </c>
      <c r="Q2662" t="s">
        <v>28514</v>
      </c>
      <c r="R2662" t="s">
        <v>28515</v>
      </c>
      <c r="S2662" t="s">
        <v>28516</v>
      </c>
      <c r="T2662" t="s">
        <v>28517</v>
      </c>
      <c r="U2662" t="s">
        <v>28518</v>
      </c>
      <c r="V2662">
        <f>-580.644476622437 -132.727035755564 -87.3192470757899</f>
        <v>-800.69075945379086</v>
      </c>
      <c r="W2662" t="s">
        <v>28519</v>
      </c>
      <c r="X2662" t="s">
        <v>28520</v>
      </c>
      <c r="Y2662" t="s">
        <v>28521</v>
      </c>
    </row>
    <row r="2663" spans="1:25" x14ac:dyDescent="0.3">
      <c r="A2663">
        <v>133100</v>
      </c>
      <c r="B2663" t="s">
        <v>28522</v>
      </c>
      <c r="C2663">
        <f>-633.959939924993 -53.8655217717298 -84.0383353337942</f>
        <v>-771.86379703051705</v>
      </c>
      <c r="D2663">
        <f>-647.619693450959 -60.3391859788579 -198.87622329344</f>
        <v>-906.83510272325691</v>
      </c>
      <c r="E2663">
        <f>-648.817458311593 -56.005692497699 -297.397403872613</f>
        <v>-1002.220554681905</v>
      </c>
      <c r="F2663">
        <f>-646.160846424117 -48.4980638655134 -386.137678767671</f>
        <v>-1080.7965890573014</v>
      </c>
      <c r="G2663">
        <f>-639.485417791977 -37.222897160548 -474.265716652014</f>
        <v>-1150.9740316045391</v>
      </c>
      <c r="H2663">
        <f>-625.956697313819 -17.547823444698 -596.538659618949</f>
        <v>-1240.0431803774659</v>
      </c>
      <c r="I2663" t="s">
        <v>28523</v>
      </c>
      <c r="J2663">
        <f>-648.077242051225 -3.77600043964844 -540.911950951583</f>
        <v>-1192.7651934424564</v>
      </c>
      <c r="K2663" t="s">
        <v>28524</v>
      </c>
      <c r="L2663" t="s">
        <v>28525</v>
      </c>
      <c r="M2663" t="s">
        <v>28526</v>
      </c>
      <c r="N2663">
        <f>-615.742795233764 -48.6356893143359 -544.55272740585</f>
        <v>-1208.93121195395</v>
      </c>
      <c r="O2663">
        <f>-533.768080845349 -156.552369883646 -521.507009865196</f>
        <v>-1211.8274605941911</v>
      </c>
      <c r="P2663">
        <f>-436.852662919159 -143.672556383494 -243.95945630504</f>
        <v>-824.48467560769302</v>
      </c>
      <c r="Q2663" t="s">
        <v>28527</v>
      </c>
      <c r="R2663" t="s">
        <v>28528</v>
      </c>
      <c r="S2663" t="s">
        <v>28529</v>
      </c>
      <c r="T2663" t="s">
        <v>28530</v>
      </c>
      <c r="U2663" t="s">
        <v>28531</v>
      </c>
      <c r="V2663">
        <f>-578.66794727048 -131.867364302194 -87.4033726033647</f>
        <v>-797.93868417603869</v>
      </c>
      <c r="W2663" t="s">
        <v>28532</v>
      </c>
      <c r="X2663" t="s">
        <v>28533</v>
      </c>
      <c r="Y2663" t="s">
        <v>28534</v>
      </c>
    </row>
    <row r="2664" spans="1:25" x14ac:dyDescent="0.3">
      <c r="A2664">
        <v>133150</v>
      </c>
      <c r="B2664" t="s">
        <v>28535</v>
      </c>
      <c r="C2664">
        <f>-633.380709580693 -53.7560525137731 -83.9980798052112</f>
        <v>-771.13484189967721</v>
      </c>
      <c r="D2664">
        <f>-647.157894398115 -60.2139441212848 -198.822719337939</f>
        <v>-906.19455785733885</v>
      </c>
      <c r="E2664">
        <f>-648.549068976729 -56.0657971648625 -297.34947798421</f>
        <v>-1001.9643441258015</v>
      </c>
      <c r="F2664">
        <f>-646.103544398359 -48.8047762064341 -386.116309966686</f>
        <v>-1081.0246305714791</v>
      </c>
      <c r="G2664">
        <f>-639.673508156322 -37.8550481791656 -474.30358087464</f>
        <v>-1151.8321372101275</v>
      </c>
      <c r="H2664">
        <f>-626.521391514859 -18.7162939280865 -596.702631533126</f>
        <v>-1241.9403169760717</v>
      </c>
      <c r="I2664" t="s">
        <v>28536</v>
      </c>
      <c r="J2664">
        <f>-648.425366889922 -4.66877831009742 -541.059186587035</f>
        <v>-1194.1533317870544</v>
      </c>
      <c r="K2664" t="s">
        <v>28537</v>
      </c>
      <c r="L2664" t="s">
        <v>28538</v>
      </c>
      <c r="M2664" t="s">
        <v>28539</v>
      </c>
      <c r="N2664">
        <f>-616.192600875759 -49.6078005295116 -544.622508657265</f>
        <v>-1210.4229100625357</v>
      </c>
      <c r="O2664">
        <f>-534.348398489234 -157.63221869338 -521.538200033351</f>
        <v>-1213.5188172159651</v>
      </c>
      <c r="P2664">
        <f>-436.94530346051 -144.297639373486 -244.182756072992</f>
        <v>-825.42569890698803</v>
      </c>
      <c r="Q2664" t="s">
        <v>28540</v>
      </c>
      <c r="R2664" t="s">
        <v>28541</v>
      </c>
      <c r="S2664" t="s">
        <v>28542</v>
      </c>
      <c r="T2664" t="s">
        <v>28543</v>
      </c>
      <c r="U2664" t="s">
        <v>28544</v>
      </c>
      <c r="V2664">
        <f>-578.180343721095 -131.941913903754 -87.4203012962799</f>
        <v>-797.54255892112894</v>
      </c>
      <c r="W2664" t="s">
        <v>28545</v>
      </c>
      <c r="X2664" t="s">
        <v>28546</v>
      </c>
      <c r="Y2664" t="s">
        <v>28547</v>
      </c>
    </row>
    <row r="2665" spans="1:25" x14ac:dyDescent="0.3">
      <c r="A2665">
        <v>133200</v>
      </c>
      <c r="B2665" t="s">
        <v>28548</v>
      </c>
      <c r="C2665">
        <f>-632.337464172763 -53.5110733437398 -83.7926693877382</f>
        <v>-769.64120690424102</v>
      </c>
      <c r="D2665">
        <f>-646.314477829977 -60.0143984014372 -198.590584647807</f>
        <v>-904.91946087922122</v>
      </c>
      <c r="E2665">
        <f>-648.088670074098 -56.208042436121 -297.12493931287</f>
        <v>-1001.421651823089</v>
      </c>
      <c r="F2665">
        <f>-646.079217530356 -49.3694750593113 -385.936230637004</f>
        <v>-1081.3849232266712</v>
      </c>
      <c r="G2665">
        <f>-640.174963262239 -38.9508265880968 -474.224608971344</f>
        <v>-1153.3503988216798</v>
      </c>
      <c r="H2665">
        <f>-627.851848361295 -20.6628072787901 -596.839912319015</f>
        <v>-1245.3545679591</v>
      </c>
      <c r="I2665" t="s">
        <v>28549</v>
      </c>
      <c r="J2665">
        <f>-649.339480209862 -6.20102982839512 -541.140244566453</f>
        <v>-1196.6807546047103</v>
      </c>
      <c r="K2665" t="s">
        <v>28550</v>
      </c>
      <c r="L2665" t="s">
        <v>28551</v>
      </c>
      <c r="M2665" t="s">
        <v>28552</v>
      </c>
      <c r="N2665">
        <f>-617.209857284775 -51.219957960216 -544.625680635638</f>
        <v>-1213.055495880629</v>
      </c>
      <c r="O2665">
        <f>-535.695637463804 -159.473206300221 -521.444104512798</f>
        <v>-1216.6129482768231</v>
      </c>
      <c r="P2665">
        <f>-437.050627713632 -146.639163938464 -244.504341027393</f>
        <v>-828.19413267948903</v>
      </c>
      <c r="Q2665" t="s">
        <v>28553</v>
      </c>
      <c r="R2665" t="s">
        <v>28554</v>
      </c>
      <c r="S2665" t="s">
        <v>28555</v>
      </c>
      <c r="T2665" t="s">
        <v>28556</v>
      </c>
      <c r="U2665" t="s">
        <v>28557</v>
      </c>
      <c r="V2665">
        <f>-577.515806941797 -131.989605162119 -87.2085639625126</f>
        <v>-796.71397606642859</v>
      </c>
      <c r="W2665" t="s">
        <v>28558</v>
      </c>
      <c r="X2665" t="s">
        <v>28559</v>
      </c>
      <c r="Y2665" t="s">
        <v>28560</v>
      </c>
    </row>
    <row r="2666" spans="1:25" x14ac:dyDescent="0.3">
      <c r="A2666">
        <v>133250</v>
      </c>
      <c r="B2666" t="s">
        <v>28561</v>
      </c>
      <c r="C2666">
        <f>-631.814376080925 -53.2731867074729 -83.6675715253863</f>
        <v>-768.75513431378408</v>
      </c>
      <c r="D2666">
        <f>-645.930033989357 -59.7985680276461 -198.44727474782</f>
        <v>-904.17587676482299</v>
      </c>
      <c r="E2666">
        <f>-647.878254946461 -56.097498714901 -296.982386087832</f>
        <v>-1000.9581397491941</v>
      </c>
      <c r="F2666">
        <f>-646.053203903911 -49.3822303050549 -385.806949661952</f>
        <v>-1081.2423838709178</v>
      </c>
      <c r="G2666">
        <f>-640.362501044837 -39.1118292343238 -474.126765977646</f>
        <v>-1153.6010962568068</v>
      </c>
      <c r="H2666">
        <f>-628.370138228266 -21.0529484873136 -596.808734524413</f>
        <v>-1246.2318212399928</v>
      </c>
      <c r="I2666" t="s">
        <v>28562</v>
      </c>
      <c r="J2666">
        <f>-649.727868159941 -6.50133139665195 -541.08256577558</f>
        <v>-1197.3117653321729</v>
      </c>
      <c r="K2666" t="s">
        <v>28563</v>
      </c>
      <c r="L2666" t="s">
        <v>28564</v>
      </c>
      <c r="M2666" t="s">
        <v>28565</v>
      </c>
      <c r="N2666">
        <f>-617.566894335508 -51.4982293562566 -544.56230425851</f>
        <v>-1213.6274279502745</v>
      </c>
      <c r="O2666">
        <f>-536.195636439804 -159.840334857318 -521.304653318475</f>
        <v>-1217.3406246155969</v>
      </c>
      <c r="P2666">
        <f>-437.354258369616 -147.431284822459 -244.41538050062</f>
        <v>-829.20092369269503</v>
      </c>
      <c r="Q2666" t="s">
        <v>28566</v>
      </c>
      <c r="R2666" t="s">
        <v>28567</v>
      </c>
      <c r="S2666" t="s">
        <v>28568</v>
      </c>
      <c r="T2666" t="s">
        <v>28569</v>
      </c>
      <c r="U2666" t="s">
        <v>28570</v>
      </c>
      <c r="V2666">
        <f>-577.216107479945 -131.778445776709 -87.127057050078</f>
        <v>-796.1216103067319</v>
      </c>
      <c r="W2666" t="s">
        <v>28571</v>
      </c>
      <c r="X2666" t="s">
        <v>28572</v>
      </c>
      <c r="Y2666" t="s">
        <v>28573</v>
      </c>
    </row>
    <row r="2667" spans="1:25" x14ac:dyDescent="0.3">
      <c r="A2667">
        <v>133300</v>
      </c>
      <c r="B2667" t="s">
        <v>28574</v>
      </c>
      <c r="C2667">
        <f>-631.12531526085 -53.1558420632015 -83.380019357556</f>
        <v>-767.66117668160746</v>
      </c>
      <c r="D2667">
        <f>-645.539296463448 -59.7953571478128 -198.116211239907</f>
        <v>-903.45086485116769</v>
      </c>
      <c r="E2667">
        <f>-647.864109803125 -56.2057504910913 -296.647171850151</f>
        <v>-1000.7170321443673</v>
      </c>
      <c r="F2667">
        <f>-646.433697883188 -49.5890101985168 -385.486330118094</f>
        <v>-1081.5090381997989</v>
      </c>
      <c r="G2667">
        <f>-641.194582116841 -39.4102031084451 -473.844700726453</f>
        <v>-1154.4494859517392</v>
      </c>
      <c r="H2667">
        <f>-629.89543418278 -21.4672434421809 -596.609457598904</f>
        <v>-1247.9721352238648</v>
      </c>
      <c r="I2667" t="s">
        <v>28575</v>
      </c>
      <c r="J2667">
        <f>-651.013818746906 -6.91597051601957 -540.7920661243</f>
        <v>-1198.7218553872258</v>
      </c>
      <c r="K2667" t="s">
        <v>28576</v>
      </c>
      <c r="L2667" t="s">
        <v>28577</v>
      </c>
      <c r="M2667" t="s">
        <v>28578</v>
      </c>
      <c r="N2667">
        <f>-618.721396021218 -51.8101037683768 -544.381416463429</f>
        <v>-1214.9129162530239</v>
      </c>
      <c r="O2667">
        <f>-537.358897759703 -160.206207984931 -521.430648638568</f>
        <v>-1218.995754383202</v>
      </c>
      <c r="P2667">
        <f>-437.909043406522 -148.15187711923 -244.743847533914</f>
        <v>-830.804768059666</v>
      </c>
      <c r="Q2667" t="s">
        <v>28579</v>
      </c>
      <c r="R2667" t="s">
        <v>28580</v>
      </c>
      <c r="S2667" t="s">
        <v>28581</v>
      </c>
      <c r="T2667" t="s">
        <v>28582</v>
      </c>
      <c r="U2667" t="s">
        <v>28583</v>
      </c>
      <c r="V2667">
        <f>-576.654887340081 -131.889874559422 -86.8746599764448</f>
        <v>-795.41942187594782</v>
      </c>
      <c r="W2667" t="s">
        <v>28584</v>
      </c>
      <c r="X2667" t="s">
        <v>28585</v>
      </c>
      <c r="Y2667" t="s">
        <v>28586</v>
      </c>
    </row>
    <row r="2668" spans="1:25" x14ac:dyDescent="0.3">
      <c r="A2668">
        <v>133350</v>
      </c>
      <c r="B2668" t="s">
        <v>28587</v>
      </c>
      <c r="C2668">
        <f>-631.034158183145 -53.3573363281452 -83.1944641385164</f>
        <v>-767.58595864980657</v>
      </c>
      <c r="D2668">
        <f>-645.593662339399 -60.125386786201 -197.904655897271</f>
        <v>-903.62370502287104</v>
      </c>
      <c r="E2668">
        <f>-648.13170703322 -56.6055679404583 -296.433059783397</f>
        <v>-1001.1703347570754</v>
      </c>
      <c r="F2668">
        <f>-646.927631764938 -50.0371167984855 -385.279258355779</f>
        <v>-1082.2440069192025</v>
      </c>
      <c r="G2668">
        <f>-641.94758500457 -39.8918089289386 -473.656349052007</f>
        <v>-1155.4957429855156</v>
      </c>
      <c r="H2668">
        <f>-631.043762045251 -21.9805955098061 -596.461498815222</f>
        <v>-1249.4858563702792</v>
      </c>
      <c r="I2668" t="s">
        <v>28588</v>
      </c>
      <c r="J2668">
        <f>-652.006523289918 -7.43195400735294 -540.584602770999</f>
        <v>-1200.02308006827</v>
      </c>
      <c r="K2668" t="s">
        <v>28589</v>
      </c>
      <c r="L2668" t="s">
        <v>28590</v>
      </c>
      <c r="M2668" t="s">
        <v>28591</v>
      </c>
      <c r="N2668">
        <f>-619.677541015849 -52.2930735038678 -544.257287000738</f>
        <v>-1216.2279015204549</v>
      </c>
      <c r="O2668">
        <f>-538.188613604383 -160.712724115931 -521.818147000945</f>
        <v>-1220.7194847212591</v>
      </c>
      <c r="P2668">
        <f>-438.245140105553 -149.438327126055 -245.276293837753</f>
        <v>-832.95976106936098</v>
      </c>
      <c r="Q2668" t="s">
        <v>28592</v>
      </c>
      <c r="R2668" t="s">
        <v>28593</v>
      </c>
      <c r="S2668" t="s">
        <v>28594</v>
      </c>
      <c r="T2668" t="s">
        <v>28595</v>
      </c>
      <c r="U2668" t="s">
        <v>28596</v>
      </c>
      <c r="V2668">
        <f>-576.477594015485 -132.175801347317 -86.6729480249553</f>
        <v>-795.32634338775733</v>
      </c>
      <c r="W2668" t="s">
        <v>28597</v>
      </c>
      <c r="X2668" t="s">
        <v>28598</v>
      </c>
      <c r="Y2668" t="s">
        <v>28599</v>
      </c>
    </row>
    <row r="2669" spans="1:25" x14ac:dyDescent="0.3">
      <c r="A2669">
        <v>133400</v>
      </c>
      <c r="B2669" t="s">
        <v>28600</v>
      </c>
      <c r="C2669">
        <f>-630.390207454744 -53.7381250824676 -82.9342280459641</f>
        <v>-767.0625605831757</v>
      </c>
      <c r="D2669">
        <f>-645.152475152053 -60.8359439839534 -197.598616897431</f>
        <v>-903.58703603343724</v>
      </c>
      <c r="E2669">
        <f>-648.096446707737 -57.5669125419746 -296.124186324228</f>
        <v>-1001.7875455739395</v>
      </c>
      <c r="F2669">
        <f>-647.341833726166 -51.2215003837866 -384.991631558193</f>
        <v>-1083.5549656681455</v>
      </c>
      <c r="G2669">
        <f>-642.886901346735 -41.3003976703635 -473.422118605716</f>
        <v>-1157.6094176228146</v>
      </c>
      <c r="H2669">
        <f>-632.789351751594 -23.7076411962166 -596.342336854049</f>
        <v>-1252.8393298018595</v>
      </c>
      <c r="I2669">
        <f>-599.708708141696 -0.976839832873793 -669.102242606877</f>
        <v>-1269.7877905814466</v>
      </c>
      <c r="J2669">
        <f>-653.296694114559 -8.95199210825422 -540.35090888151</f>
        <v>-1202.5995951043233</v>
      </c>
      <c r="K2669" t="s">
        <v>28601</v>
      </c>
      <c r="L2669" t="s">
        <v>28602</v>
      </c>
      <c r="M2669" t="s">
        <v>28603</v>
      </c>
      <c r="N2669">
        <f>-621.168910495223 -53.946786531639 -544.151486322164</f>
        <v>-1219.267183349026</v>
      </c>
      <c r="O2669">
        <f>-540.199413894476 -162.977796009488 -522.741025773954</f>
        <v>-1225.9182356779179</v>
      </c>
      <c r="P2669">
        <f>-441.110355956425 -157.496204464845 -245.716584453536</f>
        <v>-844.32314487480596</v>
      </c>
      <c r="Q2669" t="s">
        <v>28604</v>
      </c>
      <c r="R2669" t="s">
        <v>28605</v>
      </c>
      <c r="S2669" t="s">
        <v>28606</v>
      </c>
      <c r="T2669" t="s">
        <v>28607</v>
      </c>
      <c r="U2669" t="s">
        <v>28608</v>
      </c>
      <c r="V2669">
        <f>-575.492968131551 -132.695579664825 -86.3885394650064</f>
        <v>-794.57708726138242</v>
      </c>
      <c r="W2669" t="s">
        <v>28609</v>
      </c>
      <c r="X2669" t="s">
        <v>28610</v>
      </c>
      <c r="Y2669" t="s">
        <v>28611</v>
      </c>
    </row>
    <row r="2670" spans="1:25" x14ac:dyDescent="0.3">
      <c r="A2670">
        <v>133450</v>
      </c>
      <c r="B2670" t="s">
        <v>28612</v>
      </c>
      <c r="C2670">
        <f>-629.870015836678 -54.119752334884 -82.8969650798721</f>
        <v>-766.88673325143407</v>
      </c>
      <c r="D2670">
        <f>-644.722451531987 -61.3220557353568 -197.543251153064</f>
        <v>-903.58775842040779</v>
      </c>
      <c r="E2670">
        <f>-647.830349587291 -58.1641834086528 -296.067343268238</f>
        <v>-1002.0618762641818</v>
      </c>
      <c r="F2670">
        <f>-647.254172819499 -51.9315155818051 -384.944006153191</f>
        <v>-1084.129694554495</v>
      </c>
      <c r="G2670">
        <f>-643.00349691813 -42.1389979073115 -473.39903855863</f>
        <v>-1158.5415333840715</v>
      </c>
      <c r="H2670">
        <f>-633.21499280182 -24.7449132290747 -596.372395967137</f>
        <v>-1254.3323019980317</v>
      </c>
      <c r="I2670">
        <f>-600.089393861083 -2.09604917452816 -669.137370452293</f>
        <v>-1271.3228134879041</v>
      </c>
      <c r="J2670">
        <f>-653.467921398717 -9.81975412910015 -540.333271919908</f>
        <v>-1203.620947447725</v>
      </c>
      <c r="K2670" t="s">
        <v>28613</v>
      </c>
      <c r="L2670" t="s">
        <v>28614</v>
      </c>
      <c r="M2670" t="s">
        <v>28615</v>
      </c>
      <c r="N2670">
        <f>-621.576943246561 -54.9785464865599 -544.182417456021</f>
        <v>-1220.7379071891419</v>
      </c>
      <c r="O2670">
        <f>-541.404649741018 -164.709152687382 -523.2641303297</f>
        <v>-1229.3779327581001</v>
      </c>
      <c r="P2670">
        <f>-445.010042637755 -164.73314886029 -245.236506121242</f>
        <v>-854.97969761928698</v>
      </c>
      <c r="Q2670" t="s">
        <v>28616</v>
      </c>
      <c r="R2670" t="s">
        <v>28617</v>
      </c>
      <c r="S2670" t="s">
        <v>28618</v>
      </c>
      <c r="T2670" t="s">
        <v>28619</v>
      </c>
      <c r="U2670" t="s">
        <v>28620</v>
      </c>
      <c r="V2670">
        <f>-574.942166580639 -133.20254308967 -86.3102494729851</f>
        <v>-794.4549591432941</v>
      </c>
      <c r="W2670" t="s">
        <v>28621</v>
      </c>
      <c r="X2670" t="s">
        <v>28622</v>
      </c>
      <c r="Y2670" t="s">
        <v>28623</v>
      </c>
    </row>
    <row r="2671" spans="1:25" x14ac:dyDescent="0.3">
      <c r="A2671">
        <v>133500</v>
      </c>
      <c r="B2671" t="s">
        <v>28624</v>
      </c>
      <c r="C2671">
        <f>-629.280708521424 -55.6007918009988 -82.5962917620908</f>
        <v>-767.47779208451357</v>
      </c>
      <c r="D2671">
        <f>-644.300640462253 -62.8822851479545 -197.215670548421</f>
        <v>-904.39859615862849</v>
      </c>
      <c r="E2671">
        <f>-647.54631177881 -59.7507652145118 -295.736382283866</f>
        <v>-1003.0334592771878</v>
      </c>
      <c r="F2671">
        <f>-647.086467180903 -53.5297029788852 -384.614439430739</f>
        <v>-1085.2306095905274</v>
      </c>
      <c r="G2671">
        <f>-642.93665530693 -43.7439910019209 -473.074944841798</f>
        <v>-1159.7555911506488</v>
      </c>
      <c r="H2671">
        <f>-633.268446280088 -26.359906579215 -596.059249539332</f>
        <v>-1255.6876023986351</v>
      </c>
      <c r="I2671">
        <f>-599.808057180705 -3.82338004628014 -668.705867248263</f>
        <v>-1272.3373044752479</v>
      </c>
      <c r="J2671">
        <f>-653.183249240196 -11.2370995204337 -539.952093919964</f>
        <v>-1204.3724426805938</v>
      </c>
      <c r="K2671" t="s">
        <v>28625</v>
      </c>
      <c r="L2671" t="s">
        <v>28626</v>
      </c>
      <c r="M2671" t="s">
        <v>28627</v>
      </c>
      <c r="N2671">
        <f>-621.862718043743 -56.7825405322413 -543.927770836855</f>
        <v>-1222.5730294128393</v>
      </c>
      <c r="O2671">
        <f>-544.189077678047 -168.468403290692 -524.174572158931</f>
        <v>-1236.83205312767</v>
      </c>
      <c r="P2671">
        <f>-456.813931145397 -184.935562553357 -243.664976167008</f>
        <v>-885.41446986576204</v>
      </c>
      <c r="Q2671" t="s">
        <v>28628</v>
      </c>
      <c r="R2671" t="s">
        <v>28629</v>
      </c>
      <c r="S2671" t="s">
        <v>28630</v>
      </c>
      <c r="T2671" t="s">
        <v>28631</v>
      </c>
      <c r="U2671" t="s">
        <v>28632</v>
      </c>
      <c r="V2671">
        <f>-574.567656414049 -135.342658332489 -85.8624559642207</f>
        <v>-795.77277071075866</v>
      </c>
      <c r="W2671" t="s">
        <v>28633</v>
      </c>
      <c r="X2671" t="s">
        <v>28634</v>
      </c>
      <c r="Y2671" t="s">
        <v>28635</v>
      </c>
    </row>
    <row r="2672" spans="1:25" x14ac:dyDescent="0.3">
      <c r="A2672">
        <v>133550</v>
      </c>
      <c r="B2672" t="s">
        <v>28636</v>
      </c>
      <c r="C2672">
        <f>-629.076647893356 -56.0687203945123 -82.2929605901528</f>
        <v>-767.43832887802114</v>
      </c>
      <c r="D2672">
        <f>-644.165218672131 -63.4057777072378 -196.899848573396</f>
        <v>-904.47084495276476</v>
      </c>
      <c r="E2672">
        <f>-647.37860235335 -60.2263613595768 -295.420047609402</f>
        <v>-1003.0250113223287</v>
      </c>
      <c r="F2672">
        <f>-646.849280485085 -53.9267564364987 -384.292186647364</f>
        <v>-1085.0682235689478</v>
      </c>
      <c r="G2672">
        <f>-642.585889694798 -44.0328076398498 -472.735233398715</f>
        <v>-1159.3539307333629</v>
      </c>
      <c r="H2672">
        <f>-632.710073127743 -26.4698147380684 -595.677644621675</f>
        <v>-1254.8575324874864</v>
      </c>
      <c r="I2672">
        <f>-598.954933218323 -3.98301431325854 -668.203224796401</f>
        <v>-1271.1411723279825</v>
      </c>
      <c r="J2672">
        <f>-652.532105258205 -11.3036307810257 -539.549375889878</f>
        <v>-1203.3851119291087</v>
      </c>
      <c r="K2672" t="s">
        <v>28637</v>
      </c>
      <c r="L2672" t="s">
        <v>28638</v>
      </c>
      <c r="M2672" t="s">
        <v>28639</v>
      </c>
      <c r="N2672">
        <f>-621.579758237773 -57.0930920220873 -543.604219755873</f>
        <v>-1222.2770700157334</v>
      </c>
      <c r="O2672">
        <f>-545.297342552331 -169.84969106142 -524.760194075337</f>
        <v>-1239.9072276890879</v>
      </c>
      <c r="P2672">
        <f>-462.475289147965 -196.453358445953 -243.648190787316</f>
        <v>-902.57683838123398</v>
      </c>
      <c r="Q2672" t="s">
        <v>28640</v>
      </c>
      <c r="R2672" t="s">
        <v>28641</v>
      </c>
      <c r="S2672" t="s">
        <v>28642</v>
      </c>
      <c r="T2672" t="s">
        <v>28643</v>
      </c>
      <c r="U2672" t="s">
        <v>28644</v>
      </c>
      <c r="V2672">
        <f>-574.557156715336 -135.827272879941 -85.4625173441771</f>
        <v>-795.84694693945403</v>
      </c>
      <c r="W2672" t="s">
        <v>28645</v>
      </c>
      <c r="X2672" t="s">
        <v>28646</v>
      </c>
      <c r="Y2672" t="s">
        <v>28647</v>
      </c>
    </row>
    <row r="2673" spans="1:25" x14ac:dyDescent="0.3">
      <c r="A2673">
        <v>133600</v>
      </c>
      <c r="B2673" t="s">
        <v>28648</v>
      </c>
      <c r="C2673">
        <f>-629.088888994449 -56.6795864090969 -81.955000917892</f>
        <v>-767.72347632143794</v>
      </c>
      <c r="D2673">
        <f>-644.272357470015 -64.0155377960994 -196.549375260903</f>
        <v>-904.83727052701738</v>
      </c>
      <c r="E2673">
        <f>-647.365100348873 -60.8000273981319 -295.072227297917</f>
        <v>-1003.237355044922</v>
      </c>
      <c r="F2673">
        <f>-646.644312422823 -54.4537418606309 -383.939733733281</f>
        <v>-1085.0377880167348</v>
      </c>
      <c r="G2673">
        <f>-642.101121356735 -44.5080908031142 -472.36302991426</f>
        <v>-1158.9722420741091</v>
      </c>
      <c r="H2673">
        <f>-631.739412904658 -26.8725323696594 -595.255036353247</f>
        <v>-1253.8669816275644</v>
      </c>
      <c r="I2673">
        <f>-597.241507453864 -4.50038911970569 -667.465940658455</f>
        <v>-1269.2078372320248</v>
      </c>
      <c r="J2673">
        <f>-651.373755898341 -11.474311117765 -539.123962205193</f>
        <v>-1201.972029221299</v>
      </c>
      <c r="K2673" t="s">
        <v>28649</v>
      </c>
      <c r="L2673" t="s">
        <v>28650</v>
      </c>
      <c r="M2673" t="s">
        <v>28651</v>
      </c>
      <c r="N2673">
        <f>-621.224398083488 -57.7919430910658 -543.22875660635</f>
        <v>-1222.245097780904</v>
      </c>
      <c r="O2673">
        <f>-547.516952170473 -172.459887402462 -525.518656812778</f>
        <v>-1245.4954963857131</v>
      </c>
      <c r="P2673">
        <f>-476.519304882696 -216.056686694921 -243.295668038025</f>
        <v>-935.8716596156421</v>
      </c>
      <c r="Q2673" t="s">
        <v>28652</v>
      </c>
      <c r="R2673" t="s">
        <v>28653</v>
      </c>
      <c r="S2673" t="s">
        <v>28654</v>
      </c>
      <c r="T2673" t="s">
        <v>28655</v>
      </c>
      <c r="U2673" t="s">
        <v>28656</v>
      </c>
      <c r="V2673">
        <f>-575.385438608355 -137.117304449243 -85.0494677786398</f>
        <v>-797.5522108362378</v>
      </c>
      <c r="W2673" t="s">
        <v>28657</v>
      </c>
      <c r="X2673" t="s">
        <v>28658</v>
      </c>
      <c r="Y2673" t="s">
        <v>28659</v>
      </c>
    </row>
    <row r="2674" spans="1:25" x14ac:dyDescent="0.3">
      <c r="A2674">
        <v>133650</v>
      </c>
      <c r="B2674" t="s">
        <v>28660</v>
      </c>
      <c r="C2674">
        <f>-629.175326126314 -57.1774884624158 -81.9356104521772</f>
        <v>-768.28842504090699</v>
      </c>
      <c r="D2674">
        <f>-644.370362012154 -64.412160334154 -196.534802133768</f>
        <v>-905.31732448007608</v>
      </c>
      <c r="E2674">
        <f>-647.404087339112 -61.1987777167122 -295.059664446557</f>
        <v>-1003.6625295023813</v>
      </c>
      <c r="F2674">
        <f>-646.604864070817 -54.8866690278347 -383.92895509379</f>
        <v>-1085.4204881924418</v>
      </c>
      <c r="G2674">
        <f>-641.956102756794 -45.0108303433166 -472.354724611518</f>
        <v>-1159.3216577116286</v>
      </c>
      <c r="H2674">
        <f>-631.418144097466 -27.5105635275352 -595.250930895511</f>
        <v>-1254.1796385205121</v>
      </c>
      <c r="I2674">
        <f>-596.59015332754 -5.25102263705367 -667.338053770624</f>
        <v>-1269.1792297352176</v>
      </c>
      <c r="J2674">
        <f>-650.908170387909 -11.909024474455 -539.125708807753</f>
        <v>-1201.9429036701169</v>
      </c>
      <c r="K2674" t="s">
        <v>28661</v>
      </c>
      <c r="L2674" t="s">
        <v>28662</v>
      </c>
      <c r="M2674" t="s">
        <v>28663</v>
      </c>
      <c r="N2674">
        <f>-621.202578532953 -58.5139134118303 -543.214948675549</f>
        <v>-1222.9314406203323</v>
      </c>
      <c r="O2674">
        <f>-548.874527661393 -174.0982341967 -525.738143169167</f>
        <v>-1248.71090502726</v>
      </c>
      <c r="P2674">
        <f>-483.209105709072 -224.298682806441 -243.321449644784</f>
        <v>-950.829238160297</v>
      </c>
      <c r="Q2674" t="s">
        <v>28664</v>
      </c>
      <c r="R2674" t="s">
        <v>28665</v>
      </c>
      <c r="S2674" t="s">
        <v>28666</v>
      </c>
      <c r="T2674" t="s">
        <v>28667</v>
      </c>
      <c r="U2674" t="s">
        <v>28668</v>
      </c>
      <c r="V2674">
        <f>-576.061780549971 -138.063499790383 -85.035847091723</f>
        <v>-799.16112743207702</v>
      </c>
      <c r="W2674" t="s">
        <v>28669</v>
      </c>
      <c r="X2674" t="s">
        <v>28670</v>
      </c>
      <c r="Y2674" t="s">
        <v>28671</v>
      </c>
    </row>
    <row r="2675" spans="1:25" x14ac:dyDescent="0.3">
      <c r="A2675">
        <v>133700</v>
      </c>
      <c r="B2675" t="s">
        <v>28672</v>
      </c>
      <c r="C2675">
        <f>-629.632210190049 -57.3962571285736 -81.6677435854411</f>
        <v>-768.69621090406372</v>
      </c>
      <c r="D2675">
        <f>-644.918779713545 -64.5124704549789 -196.262230167596</f>
        <v>-905.69348033611982</v>
      </c>
      <c r="E2675">
        <f>-647.725314839211 -61.3018416098651 -294.793742032074</f>
        <v>-1003.8208984811502</v>
      </c>
      <c r="F2675">
        <f>-646.601633569646 -55.0291692346865 -383.662411014585</f>
        <v>-1085.2932138189176</v>
      </c>
      <c r="G2675">
        <f>-641.505349894368 -45.2383555562834 -472.072907671654</f>
        <v>-1158.8166131223054</v>
      </c>
      <c r="H2675">
        <f>-630.212646897978 -27.9076561308161 -594.926224522166</f>
        <v>-1253.04652755096</v>
      </c>
      <c r="I2675">
        <f>-594.481813627414 -5.89438477332305 -666.646070543953</f>
        <v>-1267.02226894469</v>
      </c>
      <c r="J2675">
        <f>-649.578331938867 -11.9433998000318 -538.859897708703</f>
        <v>-1200.3816294476019</v>
      </c>
      <c r="K2675" t="s">
        <v>28673</v>
      </c>
      <c r="L2675" t="s">
        <v>28674</v>
      </c>
      <c r="M2675" t="s">
        <v>28675</v>
      </c>
      <c r="N2675">
        <f>-620.785741558627 -59.1246426425131 -542.869076427012</f>
        <v>-1222.7794606281523</v>
      </c>
      <c r="O2675">
        <f>-551.337085011935 -176.423752060999 -525.352183779611</f>
        <v>-1253.1130208525451</v>
      </c>
      <c r="P2675">
        <f>-496.743126972527 -235.323212859937 -242.259411819176</f>
        <v>-974.32575165163996</v>
      </c>
      <c r="Q2675">
        <f>-408.337141820567 -12.1446688769311 -262.912789413692</f>
        <v>-683.39460011119013</v>
      </c>
      <c r="R2675" t="s">
        <v>28676</v>
      </c>
      <c r="S2675" t="s">
        <v>28677</v>
      </c>
      <c r="T2675" t="s">
        <v>28678</v>
      </c>
      <c r="U2675" t="s">
        <v>28679</v>
      </c>
      <c r="V2675">
        <f>-577.544599433976 -138.543404765348 -84.7207471774583</f>
        <v>-800.80875137678231</v>
      </c>
      <c r="W2675" t="s">
        <v>28680</v>
      </c>
      <c r="X2675" t="s">
        <v>28681</v>
      </c>
      <c r="Y2675" t="s">
        <v>28682</v>
      </c>
    </row>
    <row r="2676" spans="1:25" x14ac:dyDescent="0.3">
      <c r="A2676">
        <v>133750</v>
      </c>
      <c r="B2676" t="s">
        <v>28683</v>
      </c>
      <c r="C2676">
        <f>-629.77740932195 -57.5376420581017 -81.4354436569744</f>
        <v>-768.7504950370261</v>
      </c>
      <c r="D2676">
        <f>-645.128002479045 -64.5975149427642 -196.024853239175</f>
        <v>-905.75037066098412</v>
      </c>
      <c r="E2676">
        <f>-647.79701866346 -61.3347932823348 -294.558654441097</f>
        <v>-1003.6904663868918</v>
      </c>
      <c r="F2676">
        <f>-646.473846503495 -55.011208797887 -383.420875267826</f>
        <v>-1084.9059305692081</v>
      </c>
      <c r="G2676">
        <f>-641.101546245649 -45.1695403982555 -471.809269191728</f>
        <v>-1158.0803558356326</v>
      </c>
      <c r="H2676">
        <f>-629.343791762112 -27.7692282744963 -594.609059515892</f>
        <v>-1251.7220795525004</v>
      </c>
      <c r="I2676">
        <f>-593.10764650169 -5.8832239840176 -666.114121486163</f>
        <v>-1265.1049919718707</v>
      </c>
      <c r="J2676">
        <f>-648.715276972158 -11.7150616587871 -538.570505163168</f>
        <v>-1199.0008437941133</v>
      </c>
      <c r="K2676" t="s">
        <v>28684</v>
      </c>
      <c r="L2676" t="s">
        <v>28685</v>
      </c>
      <c r="M2676" t="s">
        <v>28686</v>
      </c>
      <c r="N2676">
        <f>-620.3203618186 -59.1374636214327 -542.571508106765</f>
        <v>-1222.0293335467977</v>
      </c>
      <c r="O2676">
        <f>-552.051703629156 -177.161520805336 -525.09611872871</f>
        <v>-1254.3093431632021</v>
      </c>
      <c r="P2676">
        <f>-502.756494043613 -238.62220596128 -241.575697372862</f>
        <v>-982.95439737775496</v>
      </c>
      <c r="Q2676">
        <f>-410.876668145971 -17.1404055016301 -265.128979470438</f>
        <v>-693.14605311803916</v>
      </c>
      <c r="R2676" t="s">
        <v>28687</v>
      </c>
      <c r="S2676" t="s">
        <v>28688</v>
      </c>
      <c r="T2676" t="s">
        <v>28689</v>
      </c>
      <c r="U2676" t="s">
        <v>28690</v>
      </c>
      <c r="V2676">
        <f>-578.345759577846 -138.88750150061 -84.444327608098</f>
        <v>-801.67758868655403</v>
      </c>
      <c r="W2676" t="s">
        <v>28691</v>
      </c>
      <c r="X2676" t="s">
        <v>28692</v>
      </c>
      <c r="Y2676" t="s">
        <v>28693</v>
      </c>
    </row>
    <row r="2677" spans="1:25" x14ac:dyDescent="0.3">
      <c r="A2677">
        <v>133800</v>
      </c>
      <c r="B2677" t="s">
        <v>28694</v>
      </c>
      <c r="C2677">
        <f>-630.067619096557 -57.7636559279492 -81.247387895227</f>
        <v>-769.07866291973323</v>
      </c>
      <c r="D2677">
        <f>-645.500588511455 -64.79129457068 -195.827741629662</f>
        <v>-906.11962471179697</v>
      </c>
      <c r="E2677">
        <f>-648.087875969245 -61.5014261937998 -294.362739905178</f>
        <v>-1003.9520420682229</v>
      </c>
      <c r="F2677">
        <f>-646.631796365357 -55.1509086878666 -383.220976573951</f>
        <v>-1085.0036816271745</v>
      </c>
      <c r="G2677">
        <f>-641.066732699577 -45.2827874503727 -471.594637111658</f>
        <v>-1157.9441572616076</v>
      </c>
      <c r="H2677">
        <f>-628.977463767632 -27.8470557376193 -594.35727049243</f>
        <v>-1251.1817899976813</v>
      </c>
      <c r="I2677">
        <f>-592.268846331234 -6.11213319212402 -665.667079059469</f>
        <v>-1264.048058582827</v>
      </c>
      <c r="J2677">
        <f>-648.332645734826 -11.7120507488421 -538.336287541088</f>
        <v>-1198.3809840247561</v>
      </c>
      <c r="K2677" t="s">
        <v>28695</v>
      </c>
      <c r="L2677" t="s">
        <v>28696</v>
      </c>
      <c r="M2677" t="s">
        <v>28697</v>
      </c>
      <c r="N2677">
        <f>-620.262090905545 -59.3274115394511 -542.334685907341</f>
        <v>-1221.9241883523373</v>
      </c>
      <c r="O2677">
        <f>-552.991876695008 -177.944394470217 -524.94848722921</f>
        <v>-1255.8847583944348</v>
      </c>
      <c r="P2677">
        <f>-509.1203136986 -240.141131082434 -240.698501481175</f>
        <v>-989.95994626220897</v>
      </c>
      <c r="Q2677">
        <f>-413.510046197714 -20.5037795232574 -266.563248105276</f>
        <v>-700.57707382624744</v>
      </c>
      <c r="R2677" t="s">
        <v>28698</v>
      </c>
      <c r="S2677" t="s">
        <v>28699</v>
      </c>
      <c r="T2677" t="s">
        <v>28700</v>
      </c>
      <c r="U2677" t="s">
        <v>28701</v>
      </c>
      <c r="V2677">
        <f>-579.190110299293 -139.405195313927 -84.24347252633</f>
        <v>-802.83877813955007</v>
      </c>
      <c r="W2677" t="s">
        <v>28702</v>
      </c>
      <c r="X2677" t="s">
        <v>28703</v>
      </c>
      <c r="Y2677" t="s">
        <v>28704</v>
      </c>
    </row>
    <row r="2678" spans="1:25" x14ac:dyDescent="0.3">
      <c r="A2678">
        <v>133850</v>
      </c>
      <c r="B2678" t="s">
        <v>28705</v>
      </c>
      <c r="C2678">
        <f>-630.826374129951 -58.113908870215 -81.0096261230253</f>
        <v>-769.94990912319133</v>
      </c>
      <c r="D2678">
        <f>-646.446629061743 -65.0866386077801 -195.568037265924</f>
        <v>-907.10130493544705</v>
      </c>
      <c r="E2678">
        <f>-648.99230615708 -61.8982260195104 -294.107266540788</f>
        <v>-1004.9977987173784</v>
      </c>
      <c r="F2678">
        <f>-647.420697125908 -55.6943724893295 -382.974023659344</f>
        <v>-1086.0890932745815</v>
      </c>
      <c r="G2678">
        <f>-641.66032473325 -46.032273902689 -471.357909800578</f>
        <v>-1159.050508436517</v>
      </c>
      <c r="H2678">
        <f>-629.214988952864 -28.9474407016166 -594.134193325468</f>
        <v>-1252.2966229799486</v>
      </c>
      <c r="I2678">
        <f>-591.792831439418 -7.62092543879771 -665.196030774776</f>
        <v>-1264.6097876529916</v>
      </c>
      <c r="J2678">
        <f>-648.431687765592 -12.4819659318102 -538.161793714042</f>
        <v>-1199.0754474114442</v>
      </c>
      <c r="K2678" t="s">
        <v>28706</v>
      </c>
      <c r="L2678" t="s">
        <v>28707</v>
      </c>
      <c r="M2678" t="s">
        <v>28708</v>
      </c>
      <c r="N2678">
        <f>-620.951426103597 -60.4493617006553 -542.050943163537</f>
        <v>-1223.4517309677894</v>
      </c>
      <c r="O2678">
        <f>-555.428175472786 -180.011427461096 -524.54067644972</f>
        <v>-1259.980279383602</v>
      </c>
      <c r="P2678">
        <f>-517.475659015399 -242.976780921905 -239.608754277346</f>
        <v>-1000.06119421465</v>
      </c>
      <c r="Q2678">
        <f>-419.027510664755 -24.8592440386271 -267.600545231455</f>
        <v>-711.4872999348371</v>
      </c>
      <c r="R2678" t="s">
        <v>28709</v>
      </c>
      <c r="S2678" t="s">
        <v>28710</v>
      </c>
      <c r="T2678" t="s">
        <v>28711</v>
      </c>
      <c r="U2678" t="s">
        <v>28712</v>
      </c>
      <c r="V2678">
        <f>-580.80524926748 -140.003259105363 -84.0462223718266</f>
        <v>-804.85473074466961</v>
      </c>
      <c r="W2678" t="s">
        <v>28713</v>
      </c>
      <c r="X2678" t="s">
        <v>28714</v>
      </c>
      <c r="Y2678" t="s">
        <v>28715</v>
      </c>
    </row>
    <row r="2679" spans="1:25" x14ac:dyDescent="0.3">
      <c r="A2679">
        <v>133900</v>
      </c>
      <c r="B2679" t="s">
        <v>28716</v>
      </c>
      <c r="C2679">
        <f>-631.323385343458 -58.5216620659457 -80.9075913847704</f>
        <v>-770.75263879417412</v>
      </c>
      <c r="D2679">
        <f>-647.190244648847 -65.5869925702488 -195.42635130739</f>
        <v>-908.20358852648587</v>
      </c>
      <c r="E2679">
        <f>-649.768632101091 -62.5940640052002 -293.971028252608</f>
        <v>-1006.3337243588992</v>
      </c>
      <c r="F2679">
        <f>-648.156784605895 -56.6100522892641 -382.852029571655</f>
        <v>-1087.6188664668141</v>
      </c>
      <c r="G2679">
        <f>-642.284101005147 -47.214994018555 -471.257268608633</f>
        <v>-1160.756363632335</v>
      </c>
      <c r="H2679">
        <f>-629.605778517589 -30.5537851840454 -594.068006008675</f>
        <v>-1254.2275697103094</v>
      </c>
      <c r="I2679">
        <f>-591.666934360486 -9.66231618706411 -664.985039606833</f>
        <v>-1266.3142901543831</v>
      </c>
      <c r="J2679">
        <f>-648.65874578611 -13.7463897823911 -538.141197359642</f>
        <v>-1200.5463329281431</v>
      </c>
      <c r="K2679" t="s">
        <v>28717</v>
      </c>
      <c r="L2679" t="s">
        <v>28718</v>
      </c>
      <c r="M2679" t="s">
        <v>28719</v>
      </c>
      <c r="N2679">
        <f>-621.710987768639 -62.024578376332 -541.908851368704</f>
        <v>-1225.6444175136749</v>
      </c>
      <c r="O2679">
        <f>-557.701301046911 -182.39516138786 -524.263158172854</f>
        <v>-1264.3596206076249</v>
      </c>
      <c r="P2679">
        <f>-521.022683453384 -246.179357116194 -239.346639546573</f>
        <v>-1006.548680116151</v>
      </c>
      <c r="Q2679">
        <f>-423.648781278941 -27.7691219207936 -268.777756248514</f>
        <v>-720.19565944824853</v>
      </c>
      <c r="R2679" t="s">
        <v>28720</v>
      </c>
      <c r="S2679" t="s">
        <v>28721</v>
      </c>
      <c r="T2679" t="s">
        <v>28722</v>
      </c>
      <c r="U2679" t="s">
        <v>28723</v>
      </c>
      <c r="V2679">
        <f>-582.196299077527 -140.487150838898 -83.8097397271947</f>
        <v>-806.49318964361964</v>
      </c>
      <c r="W2679" t="s">
        <v>28724</v>
      </c>
      <c r="X2679" t="s">
        <v>28725</v>
      </c>
      <c r="Y2679" t="s">
        <v>28726</v>
      </c>
    </row>
    <row r="2680" spans="1:25" x14ac:dyDescent="0.3">
      <c r="A2680">
        <v>133950</v>
      </c>
      <c r="B2680" t="s">
        <v>28727</v>
      </c>
      <c r="C2680">
        <f>-631.718224020144 -58.6579282198149 -80.8516756668965</f>
        <v>-771.22782790685551</v>
      </c>
      <c r="D2680">
        <f>-647.698257249334 -65.7678870268364 -195.351890518579</f>
        <v>-908.81803479474945</v>
      </c>
      <c r="E2680">
        <f>-650.285223486001 -62.8450097358732 -293.898467390677</f>
        <v>-1007.0287006125511</v>
      </c>
      <c r="F2680">
        <f>-648.645511036612 -56.9368043016526 -382.784089933819</f>
        <v>-1088.3664052720837</v>
      </c>
      <c r="G2680">
        <f>-642.708062047949 -47.6318721525727 -471.194523465164</f>
        <v>-1161.5344576656857</v>
      </c>
      <c r="H2680">
        <f>-629.900725609009 -31.1132998805838 -594.011174105607</f>
        <v>-1255.0251995951999</v>
      </c>
      <c r="I2680">
        <f>-591.746688658647 -10.4038157890805 -664.866039681447</f>
        <v>-1267.0165441291745</v>
      </c>
      <c r="J2680">
        <f>-648.903476160054 -14.182044192901 -538.104660863329</f>
        <v>-1201.1901812162839</v>
      </c>
      <c r="K2680" t="s">
        <v>28728</v>
      </c>
      <c r="L2680" t="s">
        <v>28729</v>
      </c>
      <c r="M2680" t="s">
        <v>28730</v>
      </c>
      <c r="N2680">
        <f>-622.169773703131 -62.5826621262338 -541.826658296206</f>
        <v>-1226.5790941255709</v>
      </c>
      <c r="O2680">
        <f>-558.850672884665 -183.338749522834 -524.224519615046</f>
        <v>-1266.4139420225451</v>
      </c>
      <c r="P2680">
        <f>-522.753191414421 -247.364720578337 -239.287901440319</f>
        <v>-1009.4058134330771</v>
      </c>
      <c r="Q2680">
        <f>-426.840472421041 -28.4958636361007 -270.077886655653</f>
        <v>-725.41422271279475</v>
      </c>
      <c r="R2680" t="s">
        <v>28731</v>
      </c>
      <c r="S2680" t="s">
        <v>28732</v>
      </c>
      <c r="T2680" t="s">
        <v>28733</v>
      </c>
      <c r="U2680" t="s">
        <v>28734</v>
      </c>
      <c r="V2680">
        <f>-582.943477784688 -140.947413615767 -83.6718403265504</f>
        <v>-807.56273172700537</v>
      </c>
      <c r="W2680" t="s">
        <v>28735</v>
      </c>
      <c r="X2680" t="s">
        <v>28736</v>
      </c>
      <c r="Y2680" t="s">
        <v>28737</v>
      </c>
    </row>
    <row r="2681" spans="1:25" x14ac:dyDescent="0.3">
      <c r="A2681">
        <v>134000</v>
      </c>
      <c r="B2681" t="s">
        <v>28738</v>
      </c>
      <c r="C2681">
        <f>-632.091609912188 -59.3482183771519 -80.6572602012579</f>
        <v>-772.0970884905978</v>
      </c>
      <c r="D2681">
        <f>-648.22566834335 -66.4151387414339 -195.138543045369</f>
        <v>-909.77935013015292</v>
      </c>
      <c r="E2681">
        <f>-650.733593633559 -63.5842282994515 -293.689790849756</f>
        <v>-1008.0076127827665</v>
      </c>
      <c r="F2681">
        <f>-648.939077846087 -57.8089982934805 -382.581119635277</f>
        <v>-1089.3291957748445</v>
      </c>
      <c r="G2681">
        <f>-642.763060258753 -48.6905671504601 -470.994725538002</f>
        <v>-1162.448352947215</v>
      </c>
      <c r="H2681">
        <f>-629.534551362054 -32.4891413939856 -593.808942792745</f>
        <v>-1255.8326355487848</v>
      </c>
      <c r="I2681">
        <f>-591.014824359944 -12.1936562869616 -664.585840291858</f>
        <v>-1267.7943209387636</v>
      </c>
      <c r="J2681">
        <f>-648.550825016819 -15.3184967543634 -537.980132278454</f>
        <v>-1201.8494540496363</v>
      </c>
      <c r="K2681" t="s">
        <v>28739</v>
      </c>
      <c r="L2681" t="s">
        <v>28740</v>
      </c>
      <c r="M2681" t="s">
        <v>28741</v>
      </c>
      <c r="N2681">
        <f>-622.160609374462 -63.9186891457362 -541.548901203995</f>
        <v>-1227.6281997241931</v>
      </c>
      <c r="O2681">
        <f>-560.135347912515 -185.315129495553 -523.918664689421</f>
        <v>-1269.3691420974892</v>
      </c>
      <c r="P2681">
        <f>-527.642653081286 -248.149652440744 -238.28391872648</f>
        <v>-1014.07622424851</v>
      </c>
      <c r="Q2681">
        <f>-432.595222323665 -29.4149018813571 -272.517304032746</f>
        <v>-734.52742823776805</v>
      </c>
      <c r="R2681" t="s">
        <v>28742</v>
      </c>
      <c r="S2681" t="s">
        <v>28743</v>
      </c>
      <c r="T2681" t="s">
        <v>28744</v>
      </c>
      <c r="U2681" t="s">
        <v>28745</v>
      </c>
      <c r="V2681">
        <f>-583.743026839375 -142.008893129687 -83.4743039995257</f>
        <v>-809.22622396858776</v>
      </c>
      <c r="W2681" t="s">
        <v>28746</v>
      </c>
      <c r="X2681" t="s">
        <v>28747</v>
      </c>
      <c r="Y2681" t="s">
        <v>28748</v>
      </c>
    </row>
    <row r="2682" spans="1:25" x14ac:dyDescent="0.3">
      <c r="A2682">
        <v>134050</v>
      </c>
      <c r="B2682" t="s">
        <v>28749</v>
      </c>
      <c r="C2682">
        <f>-632.106152714977 -59.6596109394831 -80.4740646591889</f>
        <v>-772.23982831364901</v>
      </c>
      <c r="D2682">
        <f>-648.347813716495 -66.7164062046083 -194.94083847441</f>
        <v>-910.00505839551329</v>
      </c>
      <c r="E2682">
        <f>-650.793984343838 -63.9752945559085 -293.496206112502</f>
        <v>-1008.2654850122485</v>
      </c>
      <c r="F2682">
        <f>-648.882226133114 -58.3209713949636 -382.392834195454</f>
        <v>-1089.5960317235317</v>
      </c>
      <c r="G2682">
        <f>-642.526390561453 -49.3654890015025 -470.810211619691</f>
        <v>-1162.7020911826467</v>
      </c>
      <c r="H2682">
        <f>-628.981292722926 -33.4374637189865 -593.625762439067</f>
        <v>-1256.0445188809795</v>
      </c>
      <c r="I2682">
        <f>-590.243738293431 -13.4296709649816 -664.365494185174</f>
        <v>-1268.0389034435866</v>
      </c>
      <c r="J2682">
        <f>-648.02575935509 -16.0815981877352 -537.863778283337</f>
        <v>-1201.971135826162</v>
      </c>
      <c r="K2682" t="s">
        <v>28750</v>
      </c>
      <c r="L2682" t="s">
        <v>28751</v>
      </c>
      <c r="M2682" t="s">
        <v>28752</v>
      </c>
      <c r="N2682">
        <f>-621.857904770834 -64.8115973665289 -541.297594615673</f>
        <v>-1227.967096753036</v>
      </c>
      <c r="O2682">
        <f>-560.541795885921 -186.551603277022 -523.525450126683</f>
        <v>-1270.618849289626</v>
      </c>
      <c r="P2682">
        <f>-529.392252241391 -248.967207960012 -237.649222227983</f>
        <v>-1016.008682429386</v>
      </c>
      <c r="Q2682">
        <f>-435.814766719028 -29.8714289191073 -273.582238650537</f>
        <v>-739.26843428867232</v>
      </c>
      <c r="R2682" t="s">
        <v>28753</v>
      </c>
      <c r="S2682" t="s">
        <v>28754</v>
      </c>
      <c r="T2682" t="s">
        <v>28755</v>
      </c>
      <c r="U2682" t="s">
        <v>28756</v>
      </c>
      <c r="V2682">
        <f>-584.030457153707 -142.37618006733 -83.3170462055521</f>
        <v>-809.72368342658899</v>
      </c>
      <c r="W2682" t="s">
        <v>28757</v>
      </c>
      <c r="X2682" t="s">
        <v>28758</v>
      </c>
      <c r="Y2682" t="s">
        <v>28759</v>
      </c>
    </row>
    <row r="2683" spans="1:25" x14ac:dyDescent="0.3">
      <c r="A2683">
        <v>134100</v>
      </c>
      <c r="B2683" t="s">
        <v>28760</v>
      </c>
      <c r="C2683">
        <f>-631.904559298659 -59.6549919976883 -80.0667220098356</f>
        <v>-771.62627330618295</v>
      </c>
      <c r="D2683">
        <f>-648.349171546713 -66.6555762285894 -194.507799821216</f>
        <v>-909.51254759651852</v>
      </c>
      <c r="E2683">
        <f>-650.62725209454 -64.0635024774839 -293.071267295068</f>
        <v>-1007.762021867092</v>
      </c>
      <c r="F2683">
        <f>-648.428136958375 -58.6216535979582 -381.974582092708</f>
        <v>-1089.0243726490412</v>
      </c>
      <c r="G2683">
        <f>-641.648703751457 -49.9614530668733 -470.39002245624</f>
        <v>-1162.0001792745702</v>
      </c>
      <c r="H2683">
        <f>-627.36965181831 -34.5349055244048 -593.186354903608</f>
        <v>-1255.0909122463229</v>
      </c>
      <c r="I2683">
        <f>-588.083125005272 -15.1263925074672 -663.790131032119</f>
        <v>-1266.9996485448582</v>
      </c>
      <c r="J2683">
        <f>-646.486857393749 -16.8168570784605 -537.563481672934</f>
        <v>-1200.8671961451437</v>
      </c>
      <c r="K2683" t="s">
        <v>28761</v>
      </c>
      <c r="L2683" t="s">
        <v>28762</v>
      </c>
      <c r="M2683" t="s">
        <v>28763</v>
      </c>
      <c r="N2683">
        <f>-620.819397306733 -65.8299542923379 -540.736114846946</f>
        <v>-1227.3854664460168</v>
      </c>
      <c r="O2683">
        <f>-560.902155260067 -188.215192048621 -522.577635957284</f>
        <v>-1271.694983265972</v>
      </c>
      <c r="P2683">
        <f>-531.648408143588 -249.90715321529 -236.344322536406</f>
        <v>-1017.899883895284</v>
      </c>
      <c r="Q2683">
        <f>-441.812680693896 -29.7678765207359 -275.32067520125</f>
        <v>-746.90123241588196</v>
      </c>
      <c r="R2683" t="s">
        <v>28764</v>
      </c>
      <c r="S2683" t="s">
        <v>28765</v>
      </c>
      <c r="T2683" t="s">
        <v>28766</v>
      </c>
      <c r="U2683" t="s">
        <v>28767</v>
      </c>
      <c r="V2683">
        <f>-584.607018705931 -142.531568729922 -82.9313279235206</f>
        <v>-810.06991535937357</v>
      </c>
      <c r="W2683" t="s">
        <v>28768</v>
      </c>
      <c r="X2683" t="s">
        <v>28769</v>
      </c>
      <c r="Y2683" t="s">
        <v>28770</v>
      </c>
    </row>
    <row r="2684" spans="1:25" x14ac:dyDescent="0.3">
      <c r="A2684">
        <v>134150</v>
      </c>
      <c r="B2684" t="s">
        <v>28771</v>
      </c>
      <c r="C2684">
        <f>-631.772805778092 -59.5228327374865 -79.882849865361</f>
        <v>-771.17848838093948</v>
      </c>
      <c r="D2684">
        <f>-648.306267153539 -66.4664470308635 -194.314638597991</f>
        <v>-909.08735278239351</v>
      </c>
      <c r="E2684">
        <f>-650.49513949888 -63.9503325001923 -292.882179062062</f>
        <v>-1007.3276510611342</v>
      </c>
      <c r="F2684">
        <f>-648.151205638152 -58.6252138280752 -381.788804173443</f>
        <v>-1088.5652236396702</v>
      </c>
      <c r="G2684">
        <f>-641.162515041172 -50.1319535453597 -470.204060056663</f>
        <v>-1161.4985286431947</v>
      </c>
      <c r="H2684">
        <f>-626.524578789125 -34.9916075774693 -592.993727883969</f>
        <v>-1254.5099142505633</v>
      </c>
      <c r="I2684">
        <f>-586.945658420839 -15.8943486689318 -663.519116460145</f>
        <v>-1266.3591235499157</v>
      </c>
      <c r="J2684">
        <f>-645.667151989522 -17.0741255065982 -537.443502671858</f>
        <v>-1200.1847801679783</v>
      </c>
      <c r="K2684" t="s">
        <v>28772</v>
      </c>
      <c r="L2684" t="s">
        <v>28773</v>
      </c>
      <c r="M2684" t="s">
        <v>28774</v>
      </c>
      <c r="N2684">
        <f>-620.264869022922 -66.2339530811328 -540.476830388334</f>
        <v>-1226.9756524923887</v>
      </c>
      <c r="O2684">
        <f>-561.179103920511 -188.997065080177 -522.159846627976</f>
        <v>-1272.336015628664</v>
      </c>
      <c r="P2684">
        <f>-532.917334512993 -249.94395898183 -235.667408001087</f>
        <v>-1018.52870149591</v>
      </c>
      <c r="Q2684">
        <f>-443.041735491023 -30.1094443369732 -276.238653688922</f>
        <v>-749.3898335169182</v>
      </c>
      <c r="R2684" t="s">
        <v>28775</v>
      </c>
      <c r="S2684" t="s">
        <v>28776</v>
      </c>
      <c r="T2684" t="s">
        <v>28777</v>
      </c>
      <c r="U2684" t="s">
        <v>28778</v>
      </c>
      <c r="V2684">
        <f>-584.981061534857 -142.617061124834 -82.7101734476304</f>
        <v>-810.30829610732133</v>
      </c>
      <c r="W2684" t="s">
        <v>28779</v>
      </c>
      <c r="X2684" t="s">
        <v>28780</v>
      </c>
      <c r="Y2684" t="s">
        <v>28781</v>
      </c>
    </row>
    <row r="2685" spans="1:25" x14ac:dyDescent="0.3">
      <c r="A2685">
        <v>134200</v>
      </c>
      <c r="B2685" t="s">
        <v>28782</v>
      </c>
      <c r="C2685">
        <f>-631.917619706859 -58.8862090486372 -79.507299725264</f>
        <v>-770.3111284807602</v>
      </c>
      <c r="D2685">
        <f>-648.521270453437 -65.6332069116313 -193.940641530716</f>
        <v>-908.09511889578425</v>
      </c>
      <c r="E2685">
        <f>-650.452183739886 -63.2818220726186 -292.517572830277</f>
        <v>-1006.2515786427816</v>
      </c>
      <c r="F2685">
        <f>-647.753935266993 -58.2322101747044 -381.430341568924</f>
        <v>-1087.4164870106215</v>
      </c>
      <c r="G2685">
        <f>-640.290855835555 -50.143473490822 -469.844723228525</f>
        <v>-1160.2790525549021</v>
      </c>
      <c r="H2685">
        <f>-624.867010653577 -35.702753955713 -592.622536266179</f>
        <v>-1253.1923008754691</v>
      </c>
      <c r="I2685">
        <f>-584.633700544958 -17.2422344797594 -662.946805570364</f>
        <v>-1264.8227405950813</v>
      </c>
      <c r="J2685">
        <f>-644.104216625177 -17.3391545313152 -537.250826500984</f>
        <v>-1198.6941976574763</v>
      </c>
      <c r="K2685" t="s">
        <v>28783</v>
      </c>
      <c r="L2685" t="s">
        <v>28784</v>
      </c>
      <c r="M2685" t="s">
        <v>28785</v>
      </c>
      <c r="N2685">
        <f>-619.204378714189 -66.7755587510834 -539.937287435482</f>
        <v>-1225.9172249007543</v>
      </c>
      <c r="O2685">
        <f>-561.644790552557 -190.18921206688 -521.062980389424</f>
        <v>-1272.8969830088608</v>
      </c>
      <c r="P2685">
        <f>-535.202117181373 -250.104112311231 -234.179434273665</f>
        <v>-1019.485663766269</v>
      </c>
      <c r="Q2685">
        <f>-445.76063936974 -30.6693659522289 -277.762441988286</f>
        <v>-754.19244731025492</v>
      </c>
      <c r="R2685" t="s">
        <v>28786</v>
      </c>
      <c r="S2685" t="s">
        <v>28787</v>
      </c>
      <c r="T2685" t="s">
        <v>28788</v>
      </c>
      <c r="U2685" t="s">
        <v>28789</v>
      </c>
      <c r="V2685">
        <f>-585.948730606325 -142.380052754711 -82.3354575498952</f>
        <v>-810.66424091093108</v>
      </c>
      <c r="W2685" t="s">
        <v>28790</v>
      </c>
      <c r="X2685" t="s">
        <v>28791</v>
      </c>
      <c r="Y2685" t="s">
        <v>28792</v>
      </c>
    </row>
    <row r="2686" spans="1:25" x14ac:dyDescent="0.3">
      <c r="A2686">
        <v>134250</v>
      </c>
      <c r="B2686" t="s">
        <v>28793</v>
      </c>
      <c r="C2686">
        <f>-632.171972276293 -58.4771909642533 -79.384444264258</f>
        <v>-770.03360750480431</v>
      </c>
      <c r="D2686">
        <f>-648.780454273509 -65.1348770154325 -193.822424447195</f>
        <v>-907.73775573613648</v>
      </c>
      <c r="E2686">
        <f>-650.559191614811 -62.8770747960382 -292.404343491846</f>
        <v>-1005.8406099026952</v>
      </c>
      <c r="F2686">
        <f>-647.663951787563 -57.9771953068264 -381.319240667846</f>
        <v>-1086.9603877622353</v>
      </c>
      <c r="G2686">
        <f>-639.94479320547 -50.104700865017 -469.731182359565</f>
        <v>-1159.7806764300519</v>
      </c>
      <c r="H2686">
        <f>-624.102650923106 -36.0355963881859 -592.498900602951</f>
        <v>-1252.6371479142431</v>
      </c>
      <c r="I2686">
        <f>-583.537345096691 -17.8999294572031 -662.716999431192</f>
        <v>-1264.1542739850861</v>
      </c>
      <c r="J2686">
        <f>-643.396962504752 -17.4401048940917 -537.224569372286</f>
        <v>-1198.0616367711298</v>
      </c>
      <c r="K2686" t="s">
        <v>28794</v>
      </c>
      <c r="L2686" t="s">
        <v>28795</v>
      </c>
      <c r="M2686" t="s">
        <v>28796</v>
      </c>
      <c r="N2686">
        <f>-618.751040770651 -67.0133098333972 -539.725320992797</f>
        <v>-1225.4896715968453</v>
      </c>
      <c r="O2686">
        <f>-562.003422697889 -190.746945171964 -520.563381406091</f>
        <v>-1273.3137492759442</v>
      </c>
      <c r="P2686">
        <f>-536.591026868226 -250.298824865496 -233.511089008159</f>
        <v>-1020.400940741881</v>
      </c>
      <c r="Q2686">
        <f>-446.73155953618 -31.305206550747 -278.432396021843</f>
        <v>-756.46916210876998</v>
      </c>
      <c r="R2686" t="s">
        <v>28797</v>
      </c>
      <c r="S2686" t="s">
        <v>28798</v>
      </c>
      <c r="T2686" t="s">
        <v>28799</v>
      </c>
      <c r="U2686" t="s">
        <v>28800</v>
      </c>
      <c r="V2686">
        <f>-586.608903862587 -142.117971761183 -82.2300228229698</f>
        <v>-810.95689844673973</v>
      </c>
      <c r="W2686" t="s">
        <v>28801</v>
      </c>
      <c r="X2686" t="s">
        <v>28802</v>
      </c>
      <c r="Y2686" t="s">
        <v>28803</v>
      </c>
    </row>
    <row r="2687" spans="1:25" x14ac:dyDescent="0.3">
      <c r="A2687">
        <v>134300</v>
      </c>
      <c r="B2687" t="s">
        <v>28804</v>
      </c>
      <c r="C2687">
        <f>-632.773987469985 -57.0036571769464 -79.1705352619689</f>
        <v>-768.94817990890022</v>
      </c>
      <c r="D2687">
        <f>-649.278089994287 -63.5312223821351 -193.631100629034</f>
        <v>-906.44041300545609</v>
      </c>
      <c r="E2687">
        <f>-650.648329101258 -61.5350050331089 -292.22518409138</f>
        <v>-1004.4085182257469</v>
      </c>
      <c r="F2687">
        <f>-647.260386919764 -57.0179786929142 -381.142941791395</f>
        <v>-1085.4213074040731</v>
      </c>
      <c r="G2687">
        <f>-638.926387618316 -49.6776430479913 -469.544927016565</f>
        <v>-1158.1489576828722</v>
      </c>
      <c r="H2687">
        <f>-622.09904410639 -36.5093687449812 -592.281460707177</f>
        <v>-1250.8898735585481</v>
      </c>
      <c r="I2687">
        <f>-580.849816479179 -19.0865225305863 -662.281120418325</f>
        <v>-1262.2174594280905</v>
      </c>
      <c r="J2687">
        <f>-641.582087202181 -17.3866178720355 -537.253736634242</f>
        <v>-1196.2224417084585</v>
      </c>
      <c r="K2687" t="s">
        <v>28805</v>
      </c>
      <c r="L2687" t="s">
        <v>28806</v>
      </c>
      <c r="M2687" t="s">
        <v>28807</v>
      </c>
      <c r="N2687">
        <f>-617.425787323729 -67.22150283658 -539.288573489623</f>
        <v>-1223.9358636499319</v>
      </c>
      <c r="O2687">
        <f>-562.270585883841 -191.559879525936 -519.399259754728</f>
        <v>-1273.229725164505</v>
      </c>
      <c r="P2687">
        <f>-539.012498750199 -249.911113222299 -231.918085136041</f>
        <v>-1020.8416971085391</v>
      </c>
      <c r="Q2687">
        <f>-448.935478054824 -31.3649020270746 -278.550517830726</f>
        <v>-758.85089791262453</v>
      </c>
      <c r="R2687" t="s">
        <v>28808</v>
      </c>
      <c r="S2687" t="s">
        <v>28809</v>
      </c>
      <c r="T2687" t="s">
        <v>28810</v>
      </c>
      <c r="U2687" t="s">
        <v>28811</v>
      </c>
      <c r="V2687">
        <f>-587.886680215595 -140.619939328804 -81.9165526201803</f>
        <v>-810.42317216457923</v>
      </c>
      <c r="W2687" t="s">
        <v>28812</v>
      </c>
      <c r="X2687" t="s">
        <v>28813</v>
      </c>
      <c r="Y2687" t="s">
        <v>28814</v>
      </c>
    </row>
    <row r="2688" spans="1:25" x14ac:dyDescent="0.3">
      <c r="A2688">
        <v>134350</v>
      </c>
      <c r="B2688" t="s">
        <v>28815</v>
      </c>
      <c r="C2688">
        <f>-633.101232554186 -56.0544206084262 -79.0492181849223</f>
        <v>-768.20487134753455</v>
      </c>
      <c r="D2688">
        <f>-649.501241586463 -62.5310668956989 -193.527737263868</f>
        <v>-905.56004574603003</v>
      </c>
      <c r="E2688">
        <f>-650.596184542984 -60.6987942962954 -292.128415452387</f>
        <v>-1003.4233942916665</v>
      </c>
      <c r="F2688">
        <f>-646.887890702921 -56.4113230320809 -381.044676580378</f>
        <v>-1084.3438903153799</v>
      </c>
      <c r="G2688">
        <f>-638.162756653699 -49.3830495108272 -469.434261543247</f>
        <v>-1156.9800677077733</v>
      </c>
      <c r="H2688">
        <f>-620.716773720732 -36.737367182237 -592.139334623165</f>
        <v>-1249.5934755261342</v>
      </c>
      <c r="I2688">
        <f>-579.057911431205 -19.7110485904082 -661.993955950939</f>
        <v>-1260.762915972552</v>
      </c>
      <c r="J2688">
        <f>-640.369787375368 -17.3299293236234 -537.272067607541</f>
        <v>-1194.9717843065323</v>
      </c>
      <c r="K2688" t="s">
        <v>28816</v>
      </c>
      <c r="L2688" t="s">
        <v>28817</v>
      </c>
      <c r="M2688" t="s">
        <v>28818</v>
      </c>
      <c r="N2688">
        <f>-616.418088420326 -67.2743162041817 -539.013743908319</f>
        <v>-1222.7061485328268</v>
      </c>
      <c r="O2688">
        <f>-561.983037805164 -191.853654546747 -518.610035247472</f>
        <v>-1272.4467275993829</v>
      </c>
      <c r="P2688">
        <f>-540.637306980887 -249.172347461909 -230.773116997472</f>
        <v>-1020.5827714402681</v>
      </c>
      <c r="Q2688">
        <f>-449.303533900746 -31.3656123394533 -278.409227308551</f>
        <v>-759.07837354875028</v>
      </c>
      <c r="R2688" t="s">
        <v>28819</v>
      </c>
      <c r="S2688" t="s">
        <v>28820</v>
      </c>
      <c r="T2688" t="s">
        <v>28821</v>
      </c>
      <c r="U2688" t="s">
        <v>28822</v>
      </c>
      <c r="V2688">
        <f>-588.48279746265 -139.666427327523 -81.7174623162715</f>
        <v>-809.86668710644449</v>
      </c>
      <c r="W2688" t="s">
        <v>28823</v>
      </c>
      <c r="X2688" t="s">
        <v>28824</v>
      </c>
      <c r="Y2688" t="s">
        <v>28825</v>
      </c>
    </row>
    <row r="2689" spans="1:25" x14ac:dyDescent="0.3">
      <c r="A2689">
        <v>134400</v>
      </c>
      <c r="B2689" t="s">
        <v>28826</v>
      </c>
      <c r="C2689">
        <f>-633.809150710541 -53.9032644296918 -78.8781464031957</f>
        <v>-766.59056154342852</v>
      </c>
      <c r="D2689">
        <f>-649.954586844965 -60.3208536150269 -193.396020629842</f>
        <v>-903.67146108983388</v>
      </c>
      <c r="E2689">
        <f>-650.373131234007 -58.8888865331429 -292.008606621671</f>
        <v>-1001.2706243888209</v>
      </c>
      <c r="F2689">
        <f>-645.875019795994 -55.1416098389742 -380.912887462806</f>
        <v>-1081.9295170977744</v>
      </c>
      <c r="G2689">
        <f>-636.184690633801 -48.8357176757579 -469.256251421708</f>
        <v>-1154.2766597312668</v>
      </c>
      <c r="H2689">
        <f>-617.210043560363 -37.3906951420317 -591.852373779301</f>
        <v>-1246.4531124816958</v>
      </c>
      <c r="I2689">
        <f>-574.621968765699 -21.2652751072733 -661.359602559255</f>
        <v>-1257.2468464322274</v>
      </c>
      <c r="J2689">
        <f>-637.313846653473 -17.3399306471708 -537.381049222192</f>
        <v>-1192.0348265228358</v>
      </c>
      <c r="K2689" t="s">
        <v>28827</v>
      </c>
      <c r="L2689" t="s">
        <v>28828</v>
      </c>
      <c r="M2689" t="s">
        <v>28829</v>
      </c>
      <c r="N2689">
        <f>-613.805772942239 -67.5141576930355 -538.426684529284</f>
        <v>-1219.7466151645585</v>
      </c>
      <c r="O2689">
        <f>-560.869216723659 -192.50402426891 -516.681356124389</f>
        <v>-1270.0545971169581</v>
      </c>
      <c r="P2689">
        <f>-544.001432276723 -247.326479511995 -228.061881339359</f>
        <v>-1019.3897931280769</v>
      </c>
      <c r="Q2689">
        <f>-450.252363437502 -31.0127562088132 -277.764373104931</f>
        <v>-759.02949275124615</v>
      </c>
      <c r="R2689" t="s">
        <v>28830</v>
      </c>
      <c r="S2689" t="s">
        <v>28831</v>
      </c>
      <c r="T2689" t="s">
        <v>28832</v>
      </c>
      <c r="U2689" t="s">
        <v>28833</v>
      </c>
      <c r="V2689">
        <f>-589.790693432262 -137.655395439228 -81.3560219745174</f>
        <v>-808.80211084600728</v>
      </c>
      <c r="W2689" t="s">
        <v>28834</v>
      </c>
      <c r="X2689" t="s">
        <v>28835</v>
      </c>
      <c r="Y2689" t="s">
        <v>28836</v>
      </c>
    </row>
    <row r="2690" spans="1:25" x14ac:dyDescent="0.3">
      <c r="A2690">
        <v>134450</v>
      </c>
      <c r="B2690" t="s">
        <v>28837</v>
      </c>
      <c r="C2690">
        <f>-634.334234565154 -52.9211986176556 -78.792870283108</f>
        <v>-766.04830346591757</v>
      </c>
      <c r="D2690">
        <f>-650.268556294163 -59.2696139899382 -193.344246287763</f>
        <v>-902.88241657186416</v>
      </c>
      <c r="E2690">
        <f>-650.289947684944 -58.0690757847616 -291.960783759846</f>
        <v>-1000.3198072295515</v>
      </c>
      <c r="F2690">
        <f>-645.349760584985 -54.6461573364761 -380.85463288968</f>
        <v>-1080.8505508111411</v>
      </c>
      <c r="G2690">
        <f>-635.135635006071 -48.7815340512864 -469.169483804991</f>
        <v>-1153.0866528623483</v>
      </c>
      <c r="H2690">
        <f>-615.345780354016 -38.075970938319 -591.703464091726</f>
        <v>-1245.125215384061</v>
      </c>
      <c r="I2690">
        <f>-572.273050081699 -22.4778265626976 -661.032095140546</f>
        <v>-1255.7829717849427</v>
      </c>
      <c r="J2690">
        <f>-635.683589894113 -17.6385097442126 -537.463347830186</f>
        <v>-1190.7854474685114</v>
      </c>
      <c r="K2690" t="s">
        <v>28838</v>
      </c>
      <c r="L2690" t="s">
        <v>28839</v>
      </c>
      <c r="M2690" t="s">
        <v>28840</v>
      </c>
      <c r="N2690">
        <f>-612.425116455119 -67.9355688729653 -538.10139592767</f>
        <v>-1218.4620812557541</v>
      </c>
      <c r="O2690">
        <f>-560.27019082252 -193.097171965577 -515.493608882697</f>
        <v>-1268.860971670794</v>
      </c>
      <c r="P2690">
        <f>-545.794355777526 -246.612400010005 -226.499296590516</f>
        <v>-1018.906052378047</v>
      </c>
      <c r="Q2690">
        <f>-450.984440097934 -31.1007230839032 -277.65246224719</f>
        <v>-759.73762542902716</v>
      </c>
      <c r="R2690" t="s">
        <v>28841</v>
      </c>
      <c r="S2690" t="s">
        <v>28842</v>
      </c>
      <c r="T2690" t="s">
        <v>28843</v>
      </c>
      <c r="U2690" t="s">
        <v>28844</v>
      </c>
      <c r="V2690">
        <f>-590.638511270495 -136.791180142002 -81.1695376619216</f>
        <v>-808.59922907441853</v>
      </c>
      <c r="W2690" t="s">
        <v>28845</v>
      </c>
      <c r="X2690" t="s">
        <v>28846</v>
      </c>
      <c r="Y2690" t="s">
        <v>28847</v>
      </c>
    </row>
    <row r="2691" spans="1:25" x14ac:dyDescent="0.3">
      <c r="A2691">
        <v>134500</v>
      </c>
      <c r="B2691" t="s">
        <v>28848</v>
      </c>
      <c r="C2691">
        <f>-635.084466292379 -51.103668909429 -78.5423488694805</f>
        <v>-764.73048407128852</v>
      </c>
      <c r="D2691">
        <f>-650.635599033759 -57.2479529440749 -193.157426953912</f>
        <v>-901.04097893174594</v>
      </c>
      <c r="E2691">
        <f>-649.861078401149 -56.5792799375751 -291.775962540455</f>
        <v>-998.21632087917908</v>
      </c>
      <c r="F2691">
        <f>-644.022930624777 -53.9153064890668 -380.64136388855</f>
        <v>-1078.5796010023937</v>
      </c>
      <c r="G2691">
        <f>-632.736352508826 -49.0898658061568 -468.888535916925</f>
        <v>-1150.7147542319078</v>
      </c>
      <c r="H2691">
        <f>-611.270456248228 -40.1297454564583 -591.280368723265</f>
        <v>-1242.6805704279514</v>
      </c>
      <c r="I2691">
        <f>-567.250352359644 -25.6878948869892 -660.263582288665</f>
        <v>-1253.2018295352982</v>
      </c>
      <c r="J2691">
        <f>-632.043412411881 -18.784817346711 -537.557184787471</f>
        <v>-1188.385414546063</v>
      </c>
      <c r="K2691" t="s">
        <v>28849</v>
      </c>
      <c r="L2691" t="s">
        <v>28850</v>
      </c>
      <c r="M2691" t="s">
        <v>28851</v>
      </c>
      <c r="N2691">
        <f>-609.389613273343 -69.3604787838954 -537.28649879356</f>
        <v>-1216.0365908507983</v>
      </c>
      <c r="O2691">
        <f>-559.065878851142 -194.935983463221 -512.854253853067</f>
        <v>-1266.8561161674299</v>
      </c>
      <c r="P2691">
        <f>-548.643188994186 -245.701364875362 -223.189933475182</f>
        <v>-1017.53448734473</v>
      </c>
      <c r="Q2691">
        <f>-451.746476788591 -31.8443485312657 -277.292576048466</f>
        <v>-760.88340136832267</v>
      </c>
      <c r="R2691" t="s">
        <v>28852</v>
      </c>
      <c r="S2691" t="s">
        <v>28853</v>
      </c>
      <c r="T2691" t="s">
        <v>28854</v>
      </c>
      <c r="U2691" t="s">
        <v>28855</v>
      </c>
      <c r="V2691">
        <f>-592.107814527267 -135.239619656422 -80.8607006271872</f>
        <v>-808.20813481087623</v>
      </c>
      <c r="W2691" t="s">
        <v>28856</v>
      </c>
      <c r="X2691" t="s">
        <v>28857</v>
      </c>
      <c r="Y2691" t="s">
        <v>28858</v>
      </c>
    </row>
    <row r="2692" spans="1:25" x14ac:dyDescent="0.3">
      <c r="A2692">
        <v>134550</v>
      </c>
      <c r="B2692" t="s">
        <v>28859</v>
      </c>
      <c r="C2692">
        <f>-635.31894728487 -49.8748421218845 -78.4700133132482</f>
        <v>-763.66380272000265</v>
      </c>
      <c r="D2692">
        <f>-650.728767415489 -55.9214312704174 -193.109458430138</f>
        <v>-899.75965711604442</v>
      </c>
      <c r="E2692">
        <f>-649.627122874913 -55.5052087460847 -291.726175156446</f>
        <v>-996.85850677744361</v>
      </c>
      <c r="F2692">
        <f>-643.415155767008 -53.2005335995149 -380.57631842887</f>
        <v>-1077.1920077953928</v>
      </c>
      <c r="G2692">
        <f>-631.678539087196 -48.8666559275081 -468.790439253656</f>
        <v>-1149.3356342683601</v>
      </c>
      <c r="H2692">
        <f>-609.50638243965 -40.7311268201568 -591.113756123839</f>
        <v>-1241.3512653836458</v>
      </c>
      <c r="I2692">
        <f>-565.048127019705 -26.8304355154653 -659.92703782629</f>
        <v>-1251.8056003614602</v>
      </c>
      <c r="J2692">
        <f>-630.431027463143 -18.9545375454506 -537.623066560562</f>
        <v>-1187.0086315691556</v>
      </c>
      <c r="K2692" t="s">
        <v>28860</v>
      </c>
      <c r="L2692" t="s">
        <v>28861</v>
      </c>
      <c r="M2692" t="s">
        <v>28862</v>
      </c>
      <c r="N2692">
        <f>-608.095438961606 -69.6676974784045 -536.947536053428</f>
        <v>-1214.7106724934386</v>
      </c>
      <c r="O2692">
        <f>-558.729594971689 -195.455841790581 -511.632479416293</f>
        <v>-1265.8179161785629</v>
      </c>
      <c r="P2692">
        <f>-550.191358930278 -244.896130719545 -221.677346461049</f>
        <v>-1016.764836110872</v>
      </c>
      <c r="Q2692">
        <f>-452.012380957863 -31.9578080562862 -277.076228002321</f>
        <v>-761.04641701647017</v>
      </c>
      <c r="R2692" t="s">
        <v>28863</v>
      </c>
      <c r="S2692" t="s">
        <v>28864</v>
      </c>
      <c r="T2692" t="s">
        <v>28865</v>
      </c>
      <c r="U2692" t="s">
        <v>28866</v>
      </c>
      <c r="V2692">
        <f>-592.871708057872 -133.920015103799 -80.7495397459984</f>
        <v>-807.54126290766931</v>
      </c>
      <c r="W2692" t="s">
        <v>28867</v>
      </c>
      <c r="X2692" t="s">
        <v>28868</v>
      </c>
      <c r="Y2692" t="s">
        <v>28869</v>
      </c>
    </row>
    <row r="2693" spans="1:25" x14ac:dyDescent="0.3">
      <c r="A2693">
        <v>134600</v>
      </c>
      <c r="B2693" t="s">
        <v>28870</v>
      </c>
      <c r="C2693">
        <f>-636.447478188474 -47.2242950493961 -78.2925868066495</f>
        <v>-761.96436004451959</v>
      </c>
      <c r="D2693">
        <f>-651.504731179202 -53.1489663093299 -192.985203937593</f>
        <v>-897.63890142612502</v>
      </c>
      <c r="E2693">
        <f>-649.80404213177 -53.162504449413 -291.594278546412</f>
        <v>-994.56082512759485</v>
      </c>
      <c r="F2693">
        <f>-642.939622527581 -51.4529102067396 -380.409929482891</f>
        <v>-1074.8024622172115</v>
      </c>
      <c r="G2693">
        <f>-630.442566546643 -47.9222772951824 -468.555260646356</f>
        <v>-1146.9201044881813</v>
      </c>
      <c r="H2693">
        <f>-607.099009666846 -41.1257655328345 -590.742402646499</f>
        <v>-1238.9671778461795</v>
      </c>
      <c r="I2693">
        <f>-561.954052938762 -28.1529095554888 -659.289085605585</f>
        <v>-1249.3960480998358</v>
      </c>
      <c r="J2693">
        <f>-628.249356777807 -18.6407256063901 -537.634995683054</f>
        <v>-1184.5250780672509</v>
      </c>
      <c r="K2693" t="s">
        <v>28871</v>
      </c>
      <c r="L2693" t="s">
        <v>28872</v>
      </c>
      <c r="M2693" t="s">
        <v>28873</v>
      </c>
      <c r="N2693">
        <f>-606.493340554928 -69.5925019797503 -536.312708042091</f>
        <v>-1212.3985505767691</v>
      </c>
      <c r="O2693">
        <f>-558.847360192654 -195.736218306606 -509.52599074084</f>
        <v>-1264.1095692401</v>
      </c>
      <c r="P2693">
        <f>-553.506453287626 -243.199094807247 -219.164201304168</f>
        <v>-1015.869749399041</v>
      </c>
      <c r="Q2693">
        <f>-452.712222012312 -31.9599790742645 -276.343436642916</f>
        <v>-761.01563772949248</v>
      </c>
      <c r="R2693" t="s">
        <v>28874</v>
      </c>
      <c r="S2693" t="s">
        <v>28875</v>
      </c>
      <c r="T2693" t="s">
        <v>28876</v>
      </c>
      <c r="U2693" t="s">
        <v>28877</v>
      </c>
      <c r="V2693">
        <f>-594.994166591898 -131.406139672749 -80.3738058972374</f>
        <v>-806.77411216188432</v>
      </c>
      <c r="W2693" t="s">
        <v>28878</v>
      </c>
      <c r="X2693" t="s">
        <v>28879</v>
      </c>
      <c r="Y2693" t="s">
        <v>28880</v>
      </c>
    </row>
    <row r="2694" spans="1:25" x14ac:dyDescent="0.3">
      <c r="A2694">
        <v>134650</v>
      </c>
      <c r="B2694" t="s">
        <v>28881</v>
      </c>
      <c r="C2694">
        <f>-637.1941779278 -46.0172462311949 -78.2373761263416</f>
        <v>-761.44880028533646</v>
      </c>
      <c r="D2694">
        <f>-652.025726951911 -51.8847103991897 -192.962307613335</f>
        <v>-896.8727449644357</v>
      </c>
      <c r="E2694">
        <f>-650.032433452423 -52.038460687397 -291.565965543315</f>
        <v>-993.63685968313496</v>
      </c>
      <c r="F2694">
        <f>-642.867423957834 -50.5276581137584 -380.361242305616</f>
        <v>-1073.7563243772083</v>
      </c>
      <c r="G2694">
        <f>-630.03498988303 -47.2685770284761 -468.468899826186</f>
        <v>-1145.772466737692</v>
      </c>
      <c r="H2694">
        <f>-606.18816890421 -40.9262527065682 -590.583243831762</f>
        <v>-1237.6976654425403</v>
      </c>
      <c r="I2694">
        <f>-560.779736846244 -28.3036579354907 -659.021352666952</f>
        <v>-1248.1047474486868</v>
      </c>
      <c r="J2694">
        <f>-627.449928782323 -18.1978599554079 -537.624135456798</f>
        <v>-1183.2719241945288</v>
      </c>
      <c r="K2694" t="s">
        <v>28882</v>
      </c>
      <c r="L2694" t="s">
        <v>28883</v>
      </c>
      <c r="M2694" t="s">
        <v>28884</v>
      </c>
      <c r="N2694">
        <f>-605.913965630583 -69.2364929885052 -536.069302000399</f>
        <v>-1211.2197606194873</v>
      </c>
      <c r="O2694">
        <f>-558.970413215182 -195.518425614732 -508.726843353489</f>
        <v>-1263.215682183403</v>
      </c>
      <c r="P2694">
        <f>-555.184500167391 -242.175339787886 -218.20992327244</f>
        <v>-1015.569763227717</v>
      </c>
      <c r="Q2694">
        <f>-452.769475483654 -31.7914737714011 -275.661335160922</f>
        <v>-760.22228441597713</v>
      </c>
      <c r="R2694" t="s">
        <v>28885</v>
      </c>
      <c r="S2694" t="s">
        <v>28886</v>
      </c>
      <c r="T2694" t="s">
        <v>28887</v>
      </c>
      <c r="U2694" t="s">
        <v>28888</v>
      </c>
      <c r="V2694">
        <f>-595.981967607418 -130.163380523921 -80.225576587846</f>
        <v>-806.37092471918504</v>
      </c>
      <c r="W2694" t="s">
        <v>28889</v>
      </c>
      <c r="X2694" t="s">
        <v>28890</v>
      </c>
      <c r="Y2694" t="s">
        <v>28891</v>
      </c>
    </row>
    <row r="2695" spans="1:25" x14ac:dyDescent="0.3">
      <c r="A2695">
        <v>134700</v>
      </c>
      <c r="B2695" t="s">
        <v>28892</v>
      </c>
      <c r="C2695">
        <f>-638.80218247109 -45.0425573285773 -78.5673720853988</f>
        <v>-762.41211188506611</v>
      </c>
      <c r="D2695">
        <f>-653.085535970925 -50.7797492427678 -193.36852100756</f>
        <v>-897.23380622125273</v>
      </c>
      <c r="E2695">
        <f>-650.413442861749 -51.0416155964531 -291.955748911373</f>
        <v>-993.41080736957508</v>
      </c>
      <c r="F2695">
        <f>-642.555571588832 -49.7166202267941 -380.695558605429</f>
        <v>-1072.9677504210551</v>
      </c>
      <c r="G2695">
        <f>-628.954125983855 -46.7333913737275 -468.697384358897</f>
        <v>-1144.3849017164794</v>
      </c>
      <c r="H2695">
        <f>-603.956518441074 -40.8721799748878 -590.605484665689</f>
        <v>-1235.4341830816506</v>
      </c>
      <c r="I2695">
        <f>-558.081925372224 -28.6646717524741 -658.807586086609</f>
        <v>-1245.5541832113072</v>
      </c>
      <c r="J2695">
        <f>-625.586703039688 -17.8799714002748 -537.910085486442</f>
        <v>-1181.3767599264047</v>
      </c>
      <c r="K2695" t="s">
        <v>28893</v>
      </c>
      <c r="L2695" t="s">
        <v>28894</v>
      </c>
      <c r="M2695" t="s">
        <v>28895</v>
      </c>
      <c r="N2695">
        <f>-604.326783924514 -69.0227085254594 -536.009510392396</f>
        <v>-1209.3590028423694</v>
      </c>
      <c r="O2695">
        <f>-558.313179311393 -195.424671648223 -507.681668343385</f>
        <v>-1261.4195193030009</v>
      </c>
      <c r="P2695">
        <f>-557.968693480526 -241.225665974433 -217.004422756783</f>
        <v>-1016.198782211742</v>
      </c>
      <c r="Q2695">
        <f>-452.193441983768 -32.4495828616532 -274.231967947515</f>
        <v>-758.87499279293615</v>
      </c>
      <c r="R2695" t="s">
        <v>28896</v>
      </c>
      <c r="S2695" t="s">
        <v>28897</v>
      </c>
      <c r="T2695" t="s">
        <v>28898</v>
      </c>
      <c r="U2695" t="s">
        <v>28899</v>
      </c>
      <c r="V2695">
        <f>-597.241813909937 -130.000325192962 -80.5556217052687</f>
        <v>-807.79776080816771</v>
      </c>
      <c r="W2695" t="s">
        <v>28900</v>
      </c>
      <c r="X2695" t="s">
        <v>28901</v>
      </c>
      <c r="Y2695" t="s">
        <v>28902</v>
      </c>
    </row>
    <row r="2696" spans="1:25" x14ac:dyDescent="0.3">
      <c r="A2696">
        <v>134750</v>
      </c>
      <c r="B2696" t="s">
        <v>28903</v>
      </c>
      <c r="C2696">
        <f>-639.737760357278 -45.3181603397079 -79.0520486778621</f>
        <v>-764.10796937484804</v>
      </c>
      <c r="D2696">
        <f>-653.750905417226 -50.9475338147566 -193.891845841013</f>
        <v>-898.5902850729957</v>
      </c>
      <c r="E2696">
        <f>-650.769831507792 -51.1485034841349 -292.470341763216</f>
        <v>-994.38867675514302</v>
      </c>
      <c r="F2696">
        <f>-642.601320414521 -49.7880328825727 -381.181430047905</f>
        <v>-1073.5707833449987</v>
      </c>
      <c r="G2696">
        <f>-628.658718590291 -46.7927221468234 -469.129615946301</f>
        <v>-1144.5810566834152</v>
      </c>
      <c r="H2696">
        <f>-603.153293321828 -40.9425069061417 -590.933011064098</f>
        <v>-1235.0288112920675</v>
      </c>
      <c r="I2696">
        <f>-557.081842107418 -28.7782775961794 -659.00995646056</f>
        <v>-1244.8700761641574</v>
      </c>
      <c r="J2696">
        <f>-624.995360666296 -17.9423975524785 -538.328512522448</f>
        <v>-1181.2662707412226</v>
      </c>
      <c r="K2696" t="s">
        <v>28904</v>
      </c>
      <c r="L2696" t="s">
        <v>28905</v>
      </c>
      <c r="M2696" t="s">
        <v>28906</v>
      </c>
      <c r="N2696">
        <f>-603.758615161299 -69.0913097189436 -536.338273417223</f>
        <v>-1209.1881982974655</v>
      </c>
      <c r="O2696">
        <f>-557.878927239454 -195.4368213664 -507.548584202563</f>
        <v>-1260.864332808417</v>
      </c>
      <c r="P2696">
        <f>-559.274555095268 -240.958438196306 -216.830428334534</f>
        <v>-1017.063421626108</v>
      </c>
      <c r="Q2696">
        <f>-451.716282554644 -32.9252416111883 -273.436986972394</f>
        <v>-758.0785111382263</v>
      </c>
      <c r="R2696" t="s">
        <v>28907</v>
      </c>
      <c r="S2696" t="s">
        <v>28908</v>
      </c>
      <c r="T2696" t="s">
        <v>28909</v>
      </c>
      <c r="U2696" t="s">
        <v>28910</v>
      </c>
      <c r="V2696">
        <f>-597.867858062005 -130.218607881046 -80.9496980442165</f>
        <v>-809.03616398726751</v>
      </c>
      <c r="W2696" t="s">
        <v>28911</v>
      </c>
      <c r="X2696" t="s">
        <v>28912</v>
      </c>
      <c r="Y2696" t="s">
        <v>28913</v>
      </c>
    </row>
    <row r="2697" spans="1:25" x14ac:dyDescent="0.3">
      <c r="A2697">
        <v>134800</v>
      </c>
      <c r="B2697" t="s">
        <v>28914</v>
      </c>
      <c r="C2697">
        <f>-641.113125226898 -45.6767865130741 -79.5851257981615</f>
        <v>-766.3750375381336</v>
      </c>
      <c r="D2697">
        <f>-654.816827147307 -51.1420784769816 -194.470042191099</f>
        <v>-900.42894781538757</v>
      </c>
      <c r="E2697">
        <f>-651.488818563802 -51.2284579717241 -293.037678045553</f>
        <v>-995.75495458107912</v>
      </c>
      <c r="F2697">
        <f>-642.973116575377 -49.7842103139272 -381.71480384718</f>
        <v>-1074.4721307364844</v>
      </c>
      <c r="G2697">
        <f>-628.650774518956 -46.728814580747 -469.599896219983</f>
        <v>-1144.9794853196861</v>
      </c>
      <c r="H2697">
        <f>-602.581544433102 -40.8247397481084 -591.28111058925</f>
        <v>-1234.6873947704603</v>
      </c>
      <c r="I2697">
        <f>-556.28631904458 -28.6087392775994 -659.196940704072</f>
        <v>-1244.0919990262514</v>
      </c>
      <c r="J2697">
        <f>-624.676966420509 -17.8520584400189 -538.770454889536</f>
        <v>-1181.2994797500639</v>
      </c>
      <c r="K2697" t="s">
        <v>28915</v>
      </c>
      <c r="L2697" t="s">
        <v>28916</v>
      </c>
      <c r="M2697" t="s">
        <v>28917</v>
      </c>
      <c r="N2697">
        <f>-603.429734669698 -68.9934156333228 -536.700004887247</f>
        <v>-1209.1231551902679</v>
      </c>
      <c r="O2697">
        <f>-557.639510805492 -195.293459106803 -507.666014316882</f>
        <v>-1260.5989842291769</v>
      </c>
      <c r="P2697">
        <f>-560.212944636243 -240.50467056341 -216.907438523135</f>
        <v>-1017.6250537227879</v>
      </c>
      <c r="Q2697">
        <f>-450.987472086708 -33.0238506291043 -272.33646821576</f>
        <v>-756.34779093157226</v>
      </c>
      <c r="R2697" t="s">
        <v>28918</v>
      </c>
      <c r="S2697" t="s">
        <v>28919</v>
      </c>
      <c r="T2697" t="s">
        <v>28920</v>
      </c>
      <c r="U2697" t="s">
        <v>28921</v>
      </c>
      <c r="V2697">
        <f>-598.719409856708 -130.483435232354 -81.4535795061149</f>
        <v>-810.65642459517699</v>
      </c>
      <c r="W2697" t="s">
        <v>28922</v>
      </c>
      <c r="X2697" t="s">
        <v>28923</v>
      </c>
      <c r="Y2697" t="s">
        <v>28924</v>
      </c>
    </row>
    <row r="2698" spans="1:25" x14ac:dyDescent="0.3">
      <c r="A2698">
        <v>134850</v>
      </c>
      <c r="B2698" t="s">
        <v>28925</v>
      </c>
      <c r="C2698">
        <f>-644.175075311651 -47.5736207627873 -80.7581653307142</f>
        <v>-772.50686140515245</v>
      </c>
      <c r="D2698">
        <f>-657.234645726372 -52.6930391452403 -195.733962671503</f>
        <v>-905.66164754311535</v>
      </c>
      <c r="E2698">
        <f>-653.150143889309 -52.3774357600547 -294.272723007504</f>
        <v>-999.80030265686764</v>
      </c>
      <c r="F2698">
        <f>-643.866106683471 -50.5479919724589 -382.865629211635</f>
        <v>-1077.2797278675648</v>
      </c>
      <c r="G2698">
        <f>-628.694386356883 -47.0933981774132 -470.593312425871</f>
        <v>-1146.3810969601673</v>
      </c>
      <c r="H2698">
        <f>-601.356066985064 -40.6257726277602 -591.967063410659</f>
        <v>-1233.9489030234831</v>
      </c>
      <c r="I2698">
        <f>-554.600030950233 -28.0186709013542 -659.494593270355</f>
        <v>-1242.1132951219422</v>
      </c>
      <c r="J2698">
        <f>-624.118501735103 -17.9474796859001 -539.613706402742</f>
        <v>-1181.6796878237451</v>
      </c>
      <c r="K2698" t="s">
        <v>28926</v>
      </c>
      <c r="L2698" t="s">
        <v>28927</v>
      </c>
      <c r="M2698" t="s">
        <v>28928</v>
      </c>
      <c r="N2698">
        <f>-602.654154861061 -68.9962146233356 -537.499222163778</f>
        <v>-1209.1495916481745</v>
      </c>
      <c r="O2698">
        <f>-556.553981637444 -195.238522271259 -508.525855190403</f>
        <v>-1260.3183590991061</v>
      </c>
      <c r="P2698">
        <f>-562.262749251178 -240.200971550495 -217.773514574917</f>
        <v>-1020.23723537659</v>
      </c>
      <c r="Q2698">
        <f>-450.052107007534 -33.7348001999803 -270.984100449433</f>
        <v>-754.7710076569474</v>
      </c>
      <c r="R2698" t="s">
        <v>28929</v>
      </c>
      <c r="S2698" t="s">
        <v>28930</v>
      </c>
      <c r="T2698" t="s">
        <v>28931</v>
      </c>
      <c r="U2698" t="s">
        <v>28932</v>
      </c>
      <c r="V2698">
        <f>-600.651016300217 -133.137160124999 -82.8963995166207</f>
        <v>-816.68457594183667</v>
      </c>
      <c r="W2698" t="s">
        <v>28933</v>
      </c>
      <c r="X2698" t="s">
        <v>28934</v>
      </c>
      <c r="Y2698" t="s">
        <v>28935</v>
      </c>
    </row>
    <row r="2699" spans="1:25" x14ac:dyDescent="0.3">
      <c r="A2699">
        <v>134900</v>
      </c>
      <c r="B2699" t="s">
        <v>28936</v>
      </c>
      <c r="C2699">
        <f>-645.459708244461 -48.7421038215347 -81.3461184338474</f>
        <v>-775.54793049984312</v>
      </c>
      <c r="D2699">
        <f>-658.201290194885 -53.7323166127906 -196.363427672105</f>
        <v>-908.29703447978056</v>
      </c>
      <c r="E2699">
        <f>-653.78650233826 -53.0874686503856 -294.886211890099</f>
        <v>-1001.7601828787447</v>
      </c>
      <c r="F2699">
        <f>-644.17868295503 -50.8812023726192 -383.435974531157</f>
        <v>-1078.4958598588062</v>
      </c>
      <c r="G2699">
        <f>-628.659888166971 -46.972845421215 -471.083741849613</f>
        <v>-1146.7164754377989</v>
      </c>
      <c r="H2699">
        <f>-600.812639006554 -39.7945173354528 -592.301901131442</f>
        <v>-1232.9090574734489</v>
      </c>
      <c r="I2699">
        <f>-553.868891737894 -26.8370529992515 -659.63243671972</f>
        <v>-1240.3383814568656</v>
      </c>
      <c r="J2699">
        <f>-623.919198368644 -17.4768220845876 -539.944211027298</f>
        <v>-1181.3402314805296</v>
      </c>
      <c r="K2699" t="s">
        <v>28937</v>
      </c>
      <c r="L2699" t="s">
        <v>28938</v>
      </c>
      <c r="M2699" t="s">
        <v>28939</v>
      </c>
      <c r="N2699">
        <f>-602.214524820042 -68.4297551850293 -537.975351131978</f>
        <v>-1208.6196311370493</v>
      </c>
      <c r="O2699">
        <f>-555.645521419799 -194.575602224324 -509.328984127784</f>
        <v>-1259.5501077719071</v>
      </c>
      <c r="P2699">
        <f>-562.927889820453 -240.712359110835 -218.795755470539</f>
        <v>-1022.4360044018269</v>
      </c>
      <c r="Q2699">
        <f>-449.750162434495 -34.53102208582 -271.054142636594</f>
        <v>-755.33532715690899</v>
      </c>
      <c r="R2699" t="s">
        <v>28940</v>
      </c>
      <c r="S2699" t="s">
        <v>28941</v>
      </c>
      <c r="T2699" t="s">
        <v>28942</v>
      </c>
      <c r="U2699" t="s">
        <v>28943</v>
      </c>
      <c r="V2699">
        <f>-601.434192812655 -134.049756808437 -83.5610870339984</f>
        <v>-819.04503665509048</v>
      </c>
      <c r="W2699" t="s">
        <v>28944</v>
      </c>
      <c r="X2699" t="s">
        <v>28945</v>
      </c>
      <c r="Y2699" t="s">
        <v>28946</v>
      </c>
    </row>
    <row r="2700" spans="1:25" x14ac:dyDescent="0.3">
      <c r="A2700">
        <v>134950</v>
      </c>
      <c r="B2700" t="s">
        <v>28947</v>
      </c>
      <c r="C2700">
        <f>-647.357834945663 -50.4383823115872 -82.0936513914754</f>
        <v>-779.88986864872561</v>
      </c>
      <c r="D2700">
        <f>-659.661506313068 -55.228957298505 -197.167057171427</f>
        <v>-912.05752078299997</v>
      </c>
      <c r="E2700">
        <f>-654.873224450929 -53.9081877802706 -295.665633223081</f>
        <v>-1004.4470454542807</v>
      </c>
      <c r="F2700">
        <f>-644.922230106453 -50.9047570901332 -384.154112291234</f>
        <v>-1079.9810994878203</v>
      </c>
      <c r="G2700">
        <f>-629.05589467339 -46.0170640467015 -471.69045863816</f>
        <v>-1146.7634173582514</v>
      </c>
      <c r="H2700">
        <f>-600.718484887193 -37.2864112911743 -592.69288757064</f>
        <v>-1230.6977837490072</v>
      </c>
      <c r="I2700">
        <f>-553.481889524067 -23.372705107256 -659.626677929631</f>
        <v>-1236.481272560954</v>
      </c>
      <c r="J2700">
        <f>-624.327831556502 -15.7689791615405 -540.224661765794</f>
        <v>-1180.3214724838367</v>
      </c>
      <c r="K2700" t="s">
        <v>28948</v>
      </c>
      <c r="L2700" t="s">
        <v>28949</v>
      </c>
      <c r="M2700" t="s">
        <v>28950</v>
      </c>
      <c r="N2700">
        <f>-602.048981137701 -66.4877257574541 -538.666697056395</f>
        <v>-1207.2034039515502</v>
      </c>
      <c r="O2700">
        <f>-554.338176771313 -192.428641625808 -511.173779886281</f>
        <v>-1257.9405982834021</v>
      </c>
      <c r="P2700">
        <f>-564.219421053116 -240.97509914581 -221.11025024583</f>
        <v>-1026.3047704447558</v>
      </c>
      <c r="Q2700">
        <f>-450.444328886853 -34.7940450945916 -272.056018741695</f>
        <v>-757.29439272313959</v>
      </c>
      <c r="R2700" t="s">
        <v>28951</v>
      </c>
      <c r="S2700" t="s">
        <v>28952</v>
      </c>
      <c r="T2700" t="s">
        <v>28953</v>
      </c>
      <c r="U2700" t="s">
        <v>28954</v>
      </c>
      <c r="V2700">
        <f>-602.456811785196 -134.786250516525 -84.355495269482</f>
        <v>-821.59855757120306</v>
      </c>
      <c r="W2700" t="s">
        <v>28955</v>
      </c>
      <c r="X2700" t="s">
        <v>28956</v>
      </c>
      <c r="Y2700" t="s">
        <v>28957</v>
      </c>
    </row>
    <row r="2701" spans="1:25" x14ac:dyDescent="0.3">
      <c r="A2701">
        <v>135000</v>
      </c>
      <c r="B2701" t="s">
        <v>28958</v>
      </c>
      <c r="C2701">
        <f>-649.082933629714 -52.5788887505289 -82.5460222681259</f>
        <v>-784.20784464836879</v>
      </c>
      <c r="D2701">
        <f>-661.273783527392 -57.2318039710368 -197.637055196618</f>
        <v>-916.14264269504679</v>
      </c>
      <c r="E2701">
        <f>-656.439155598534 -55.4282016940492 -296.125823287845</f>
        <v>-1007.9931805804281</v>
      </c>
      <c r="F2701">
        <f>-646.460664509995 -51.853775040813 -384.589860098921</f>
        <v>-1082.9042996497292</v>
      </c>
      <c r="G2701">
        <f>-630.580297376457 -46.2630997035743 -472.081545706516</f>
        <v>-1148.9249427865473</v>
      </c>
      <c r="H2701">
        <f>-602.23614862629 -36.4172968497539 -592.996827463132</f>
        <v>-1231.6502729391759</v>
      </c>
      <c r="I2701">
        <f>-554.852488044105 -21.4887008028923 -659.607184435337</f>
        <v>-1235.9483732823342</v>
      </c>
      <c r="J2701">
        <f>-626.027459517238 -15.4649850123524 -540.382356587585</f>
        <v>-1181.8748011171754</v>
      </c>
      <c r="K2701" t="s">
        <v>28959</v>
      </c>
      <c r="L2701" t="s">
        <v>28960</v>
      </c>
      <c r="M2701" t="s">
        <v>28961</v>
      </c>
      <c r="N2701">
        <f>-603.390531769378 -66.0350314214019 -539.193637637002</f>
        <v>-1208.6192008277817</v>
      </c>
      <c r="O2701">
        <f>-554.645917376432 -191.787561038301 -512.624935237003</f>
        <v>-1259.0584136517359</v>
      </c>
      <c r="P2701">
        <f>-564.022986713721 -242.211680031307 -222.865151067348</f>
        <v>-1029.0998178123759</v>
      </c>
      <c r="Q2701">
        <f>-451.127720436583 -35.4304372971944 -273.333227777084</f>
        <v>-759.89138551086148</v>
      </c>
      <c r="R2701" t="s">
        <v>28962</v>
      </c>
      <c r="S2701" t="s">
        <v>28963</v>
      </c>
      <c r="T2701" t="s">
        <v>28964</v>
      </c>
      <c r="U2701" t="s">
        <v>28965</v>
      </c>
      <c r="V2701">
        <f>-603.537361198307 -137.189652846915 -85.0134734043658</f>
        <v>-825.74048744958782</v>
      </c>
      <c r="W2701" t="s">
        <v>28966</v>
      </c>
      <c r="X2701" t="s">
        <v>28967</v>
      </c>
      <c r="Y2701" t="s">
        <v>28968</v>
      </c>
    </row>
    <row r="2702" spans="1:25" x14ac:dyDescent="0.3">
      <c r="A2702">
        <v>135050</v>
      </c>
      <c r="B2702" t="s">
        <v>28969</v>
      </c>
      <c r="C2702">
        <f>-649.771807094504 -54.0453904876223 -82.7769419354543</f>
        <v>-786.59413951758052</v>
      </c>
      <c r="D2702">
        <f>-661.982133392456 -58.7286377521092 -197.864721120708</f>
        <v>-918.57549226527317</v>
      </c>
      <c r="E2702">
        <f>-657.229692918797 -56.7744699064931 -296.354537378628</f>
        <v>-1010.358700203918</v>
      </c>
      <c r="F2702">
        <f>-647.349405509545 -52.9941977393011 -384.821145302243</f>
        <v>-1085.1647485510891</v>
      </c>
      <c r="G2702">
        <f>-631.590727855616 -47.1279036191105 -472.316773414408</f>
        <v>-1151.0354048891345</v>
      </c>
      <c r="H2702">
        <f>-603.439819277679 -36.8239807439052 -593.238930224284</f>
        <v>-1233.5027302458682</v>
      </c>
      <c r="I2702">
        <f>-556.11515118587 -21.442215611062 -659.788156724939</f>
        <v>-1237.345523521871</v>
      </c>
      <c r="J2702">
        <f>-627.214887490696 -16.1021627104442 -540.526053640271</f>
        <v>-1183.8431038414112</v>
      </c>
      <c r="K2702" t="s">
        <v>28970</v>
      </c>
      <c r="L2702" t="s">
        <v>28971</v>
      </c>
      <c r="M2702" t="s">
        <v>28972</v>
      </c>
      <c r="N2702">
        <f>-604.440419370981 -66.6144642891858 -539.528288282385</f>
        <v>-1210.5831719425519</v>
      </c>
      <c r="O2702">
        <f>-555.218756929411 -192.282079537879 -513.385435692764</f>
        <v>-1260.886272160054</v>
      </c>
      <c r="P2702">
        <f>-564.093338076606 -243.427121251831 -223.736306521619</f>
        <v>-1031.2567658500561</v>
      </c>
      <c r="Q2702">
        <f>-451.95849289606 -36.2479827744528 -274.26828749216</f>
        <v>-762.47476316267284</v>
      </c>
      <c r="R2702" t="s">
        <v>28973</v>
      </c>
      <c r="S2702" t="s">
        <v>28974</v>
      </c>
      <c r="T2702" t="s">
        <v>28975</v>
      </c>
      <c r="U2702" t="s">
        <v>28976</v>
      </c>
      <c r="V2702">
        <f>-604.260584115842 -138.657322315227 -85.2142073750814</f>
        <v>-828.13211380615041</v>
      </c>
      <c r="W2702" t="s">
        <v>28977</v>
      </c>
      <c r="X2702" t="s">
        <v>28978</v>
      </c>
      <c r="Y2702" t="s">
        <v>28979</v>
      </c>
    </row>
    <row r="2703" spans="1:25" x14ac:dyDescent="0.3">
      <c r="A2703">
        <v>135100</v>
      </c>
      <c r="B2703" t="s">
        <v>28980</v>
      </c>
      <c r="C2703">
        <f>-650.668642848166 -56.8094601162067 -82.9213288273108</f>
        <v>-790.39943179168347</v>
      </c>
      <c r="D2703">
        <f>-663.097080406735 -61.5633365476667 -197.98284035996</f>
        <v>-922.64325731436179</v>
      </c>
      <c r="E2703">
        <f>-658.638140829039 -59.2687957587893 -296.479140723598</f>
        <v>-1014.3860773114263</v>
      </c>
      <c r="F2703">
        <f>-649.064489559082 -55.0132738435309 -384.957754400944</f>
        <v>-1089.0355178035568</v>
      </c>
      <c r="G2703">
        <f>-633.654027087844 -48.4975120937249 -472.46953242772</f>
        <v>-1154.6210716092889</v>
      </c>
      <c r="H2703">
        <f>-606.033446731471 -37.0993030276293 -593.415755746369</f>
        <v>-1236.5485055054692</v>
      </c>
      <c r="I2703">
        <f>-559.021493263457 -20.6813832544319 -659.939152443058</f>
        <v>-1239.6420289609468</v>
      </c>
      <c r="J2703">
        <f>-629.812070179477 -16.9638598732963 -540.477677729478</f>
        <v>-1187.2536077822515</v>
      </c>
      <c r="K2703" t="s">
        <v>28981</v>
      </c>
      <c r="L2703" t="s">
        <v>28982</v>
      </c>
      <c r="M2703" t="s">
        <v>28983</v>
      </c>
      <c r="N2703">
        <f>-606.5637276478 -67.2665119298726 -539.908940709962</f>
        <v>-1213.7391802876346</v>
      </c>
      <c r="O2703">
        <f>-556.340895475067 -192.735325497971 -514.620628628732</f>
        <v>-1263.6968496017698</v>
      </c>
      <c r="P2703">
        <f>-564.744977629276 -244.81927643888 -225.124831968406</f>
        <v>-1034.689086036562</v>
      </c>
      <c r="Q2703">
        <f>-454.185145812307 -36.9341713122835 -276.224419913471</f>
        <v>-767.34373703806159</v>
      </c>
      <c r="R2703" t="s">
        <v>28984</v>
      </c>
      <c r="S2703" t="s">
        <v>28985</v>
      </c>
      <c r="T2703" t="s">
        <v>28986</v>
      </c>
      <c r="U2703" t="s">
        <v>28987</v>
      </c>
      <c r="V2703">
        <f>-605.008282452187 -141.080524458433 -85.4424420826875</f>
        <v>-831.53124899330749</v>
      </c>
      <c r="W2703" t="s">
        <v>28988</v>
      </c>
      <c r="X2703" t="s">
        <v>28989</v>
      </c>
      <c r="Y2703" t="s">
        <v>28990</v>
      </c>
    </row>
    <row r="2704" spans="1:25" x14ac:dyDescent="0.3">
      <c r="A2704">
        <v>135150</v>
      </c>
      <c r="B2704" t="s">
        <v>28991</v>
      </c>
      <c r="C2704">
        <f>-650.880971975219 -58.0601303091688 -82.7771413837195</f>
        <v>-791.71824366810733</v>
      </c>
      <c r="D2704">
        <f>-663.503612173712 -62.8925782971045 -197.814248610585</f>
        <v>-924.21043908140143</v>
      </c>
      <c r="E2704">
        <f>-659.199985138215 -60.3962409333105 -296.312491891861</f>
        <v>-1015.9087179633865</v>
      </c>
      <c r="F2704">
        <f>-649.761599002002 -55.8478328196512 -384.791085445397</f>
        <v>-1090.4005172670502</v>
      </c>
      <c r="G2704">
        <f>-634.482252740897 -48.9255370244449 -472.294644231353</f>
        <v>-1155.7024339966949</v>
      </c>
      <c r="H2704">
        <f>-607.04122807665 -36.8389158941259 -593.214989101418</f>
        <v>-1237.0951330721939</v>
      </c>
      <c r="I2704">
        <f>-560.210468491521 -19.896516857453 -659.734594913613</f>
        <v>-1239.8415802625871</v>
      </c>
      <c r="J2704">
        <f>-630.876060174879 -17.0682016151679 -540.164754997326</f>
        <v>-1188.1090167873729</v>
      </c>
      <c r="K2704" t="s">
        <v>28992</v>
      </c>
      <c r="L2704" t="s">
        <v>28993</v>
      </c>
      <c r="M2704" t="s">
        <v>28994</v>
      </c>
      <c r="N2704">
        <f>-607.357240858118 -67.2471994070388 -539.843197787162</f>
        <v>-1214.4476380523188</v>
      </c>
      <c r="O2704">
        <f>-556.60157856774 -192.577711338658 -514.994617741987</f>
        <v>-1264.173907648385</v>
      </c>
      <c r="P2704">
        <f>-564.307292026571 -245.538769716111 -225.638410222777</f>
        <v>-1035.4844719654589</v>
      </c>
      <c r="Q2704">
        <f>-454.808967577842 -37.1355656701944 -276.912709695633</f>
        <v>-768.85724294366946</v>
      </c>
      <c r="R2704" t="s">
        <v>28995</v>
      </c>
      <c r="S2704" t="s">
        <v>28996</v>
      </c>
      <c r="T2704" t="s">
        <v>28997</v>
      </c>
      <c r="U2704" t="s">
        <v>28998</v>
      </c>
      <c r="V2704">
        <f>-605.165958213757 -142.295695702527 -85.3152650759038</f>
        <v>-832.7769189921878</v>
      </c>
      <c r="W2704" t="s">
        <v>28999</v>
      </c>
      <c r="X2704" t="s">
        <v>29000</v>
      </c>
      <c r="Y2704" t="s">
        <v>29001</v>
      </c>
    </row>
    <row r="2705" spans="1:25" x14ac:dyDescent="0.3">
      <c r="A2705">
        <v>135200</v>
      </c>
      <c r="B2705" t="s">
        <v>29002</v>
      </c>
      <c r="C2705">
        <f>-650.741480020159 -60.5393917698573 -82.5087128460206</f>
        <v>-793.78958463603681</v>
      </c>
      <c r="D2705">
        <f>-663.689821580322 -65.6346656439624 -197.49827198759</f>
        <v>-926.82275921187443</v>
      </c>
      <c r="E2705">
        <f>-659.706906604542 -62.7465485424698 -295.999271524119</f>
        <v>-1018.4527266711309</v>
      </c>
      <c r="F2705">
        <f>-650.570888240358 -57.596175716391 -384.476741095373</f>
        <v>-1092.6438050521219</v>
      </c>
      <c r="G2705">
        <f>-635.6075044505 -49.8202818530775 -471.963095545841</f>
        <v>-1157.3908818494185</v>
      </c>
      <c r="H2705">
        <f>-608.622493752314 -36.2768645304 -592.831593789601</f>
        <v>-1237.7309520723149</v>
      </c>
      <c r="I2705">
        <f>-562.217262270409 -18.3630445588872 -659.394866754113</f>
        <v>-1239.9751735834093</v>
      </c>
      <c r="J2705">
        <f>-632.551494862809 -17.2871556941243 -539.53895485288</f>
        <v>-1189.3776054098134</v>
      </c>
      <c r="K2705" t="s">
        <v>29003</v>
      </c>
      <c r="L2705" t="s">
        <v>29004</v>
      </c>
      <c r="M2705" t="s">
        <v>29005</v>
      </c>
      <c r="N2705">
        <f>-608.443030216116 -67.1861528288251 -539.747734396778</f>
        <v>-1215.3769174417191</v>
      </c>
      <c r="O2705">
        <f>-556.335390195807 -192.127351943712 -515.96584925058</f>
        <v>-1264.428591390099</v>
      </c>
      <c r="P2705">
        <f>-562.395134478478 -246.985863511939 -226.924332954086</f>
        <v>-1036.3053309445029</v>
      </c>
      <c r="Q2705">
        <f>-454.962135983096 -37.4049529548756 -277.766068241256</f>
        <v>-770.13315717922762</v>
      </c>
      <c r="R2705" t="s">
        <v>29006</v>
      </c>
      <c r="S2705" t="s">
        <v>29007</v>
      </c>
      <c r="T2705" t="s">
        <v>29008</v>
      </c>
      <c r="U2705" t="s">
        <v>29009</v>
      </c>
      <c r="V2705">
        <f>-604.466729009692 -144.565951305411 -85.0259238675152</f>
        <v>-834.05860418261818</v>
      </c>
      <c r="W2705" t="s">
        <v>29010</v>
      </c>
      <c r="X2705" t="s">
        <v>29011</v>
      </c>
      <c r="Y2705" t="s">
        <v>29012</v>
      </c>
    </row>
    <row r="2706" spans="1:25" x14ac:dyDescent="0.3">
      <c r="A2706">
        <v>135250</v>
      </c>
      <c r="B2706" t="s">
        <v>29013</v>
      </c>
      <c r="C2706">
        <f>-650.493544695898 -61.6158793229243 -82.4523654565486</f>
        <v>-794.56178947537092</v>
      </c>
      <c r="D2706">
        <f>-663.594126855768 -66.9022162014295 -197.415934932643</f>
        <v>-927.9122779898405</v>
      </c>
      <c r="E2706">
        <f>-659.808253588932 -63.9258608192321 -295.922222289522</f>
        <v>-1019.656336697686</v>
      </c>
      <c r="F2706">
        <f>-650.870953343576 -58.602269847526 -384.409561453605</f>
        <v>-1093.882784644707</v>
      </c>
      <c r="G2706">
        <f>-636.124786365802 -50.5623358915263 -471.909066807097</f>
        <v>-1158.5961890644253</v>
      </c>
      <c r="H2706">
        <f>-609.460359684494 -36.5581079724398 -592.796183990298</f>
        <v>-1238.8146516472318</v>
      </c>
      <c r="I2706">
        <f>-563.309679728521 -18.3024957636308 -659.443577739371</f>
        <v>-1241.0557532315229</v>
      </c>
      <c r="J2706">
        <f>-633.34188967198 -17.8172786424896 -539.394296679898</f>
        <v>-1190.5534649943675</v>
      </c>
      <c r="K2706" t="s">
        <v>29014</v>
      </c>
      <c r="L2706" t="s">
        <v>29015</v>
      </c>
      <c r="M2706" t="s">
        <v>29016</v>
      </c>
      <c r="N2706">
        <f>-609.046306184063 -67.6240753242029 -539.80527821122</f>
        <v>-1216.475659719486</v>
      </c>
      <c r="O2706">
        <f>-556.356080469793 -192.427108396711 -516.602069815624</f>
        <v>-1265.3852586821281</v>
      </c>
      <c r="P2706">
        <f>-561.184373432966 -247.891744779975 -227.652931745495</f>
        <v>-1036.729049958436</v>
      </c>
      <c r="Q2706">
        <f>-454.820841897848 -37.6539172973826 -278.028961122323</f>
        <v>-770.50372031755364</v>
      </c>
      <c r="R2706" t="s">
        <v>29017</v>
      </c>
      <c r="S2706" t="s">
        <v>29018</v>
      </c>
      <c r="T2706" t="s">
        <v>29019</v>
      </c>
      <c r="U2706" t="s">
        <v>29020</v>
      </c>
      <c r="V2706">
        <f>-603.940042987237 -145.390660843057 -84.9446546685457</f>
        <v>-834.27535849883964</v>
      </c>
      <c r="W2706" t="s">
        <v>29021</v>
      </c>
      <c r="X2706" t="s">
        <v>29022</v>
      </c>
      <c r="Y2706" t="s">
        <v>29023</v>
      </c>
    </row>
    <row r="2707" spans="1:25" x14ac:dyDescent="0.3">
      <c r="A2707">
        <v>135300</v>
      </c>
      <c r="B2707" t="s">
        <v>29024</v>
      </c>
      <c r="C2707">
        <f>-649.427929249594 -63.9731537372425 -82.6238788507879</f>
        <v>-796.02496183762435</v>
      </c>
      <c r="D2707">
        <f>-662.671948593832 -69.3805315741374 -197.565430565797</f>
        <v>-929.61791073376639</v>
      </c>
      <c r="E2707">
        <f>-659.149902937112 -66.3733441070813 -296.080601535643</f>
        <v>-1021.6038485798363</v>
      </c>
      <c r="F2707">
        <f>-650.497626117496 -60.9822735557277 -384.592250969442</f>
        <v>-1096.0721506426657</v>
      </c>
      <c r="G2707">
        <f>-636.078243755715 -52.8405244475407 -472.136705081881</f>
        <v>-1161.0554732851367</v>
      </c>
      <c r="H2707">
        <f>-609.908773381641 -38.6648915504102 -593.111999819074</f>
        <v>-1241.6856647511252</v>
      </c>
      <c r="I2707">
        <f>-564.218231348865 -20.0502621423984 -659.976770761735</f>
        <v>-1244.2452642529984</v>
      </c>
      <c r="J2707">
        <f>-633.614546975452 -20.0207691325484 -539.598065305003</f>
        <v>-1193.2333814130034</v>
      </c>
      <c r="K2707" t="s">
        <v>29025</v>
      </c>
      <c r="L2707" t="s">
        <v>29026</v>
      </c>
      <c r="M2707" t="s">
        <v>29027</v>
      </c>
      <c r="N2707">
        <f>-609.23472794035 -69.7849899262818 -540.155370656766</f>
        <v>-1219.1750885233978</v>
      </c>
      <c r="O2707">
        <f>-555.980680430479 -194.475317412081 -517.442324461237</f>
        <v>-1267.8983223037972</v>
      </c>
      <c r="P2707">
        <f>-558.445350636089 -249.931640636825 -228.461985151976</f>
        <v>-1036.83897642489</v>
      </c>
      <c r="Q2707">
        <f>-453.548002274332 -38.8379824969509 -278.330191199475</f>
        <v>-770.71617597075783</v>
      </c>
      <c r="R2707" t="s">
        <v>29028</v>
      </c>
      <c r="S2707" t="s">
        <v>29029</v>
      </c>
      <c r="T2707" t="s">
        <v>29030</v>
      </c>
      <c r="U2707" t="s">
        <v>29031</v>
      </c>
      <c r="V2707">
        <f>-602.385470251651 -147.869166244823 -85.1648711948266</f>
        <v>-835.41950769130051</v>
      </c>
      <c r="W2707" t="s">
        <v>29032</v>
      </c>
      <c r="X2707" t="s">
        <v>29033</v>
      </c>
      <c r="Y2707" t="s">
        <v>29034</v>
      </c>
    </row>
    <row r="2708" spans="1:25" x14ac:dyDescent="0.3">
      <c r="A2708">
        <v>135350</v>
      </c>
      <c r="B2708" t="s">
        <v>29035</v>
      </c>
      <c r="C2708">
        <f>-648.782978888859 -64.8201705392482 -82.7087595634476</f>
        <v>-796.3119089915549</v>
      </c>
      <c r="D2708">
        <f>-662.066272619202 -70.2326817969667 -197.645575815184</f>
        <v>-929.9445302313527</v>
      </c>
      <c r="E2708">
        <f>-658.611992308845 -67.2228209092751 -296.162964862787</f>
        <v>-1021.9977780809071</v>
      </c>
      <c r="F2708">
        <f>-650.033951897813 -61.8268150938866 -384.681548722331</f>
        <v>-1096.5423157140306</v>
      </c>
      <c r="G2708">
        <f>-635.701082264017 -53.6778076543353 -472.239529332738</f>
        <v>-1161.6184192510905</v>
      </c>
      <c r="H2708">
        <f>-609.664670767187 -39.4896277266037 -593.242003702566</f>
        <v>-1242.3963021963566</v>
      </c>
      <c r="I2708">
        <f>-564.223702348141 -20.7824837261462 -660.250961778727</f>
        <v>-1245.2571478530142</v>
      </c>
      <c r="J2708">
        <f>-633.309749701684 -20.8500741318846 -539.699533185586</f>
        <v>-1193.8593570191547</v>
      </c>
      <c r="K2708" t="s">
        <v>29036</v>
      </c>
      <c r="L2708" t="s">
        <v>29037</v>
      </c>
      <c r="M2708" t="s">
        <v>29038</v>
      </c>
      <c r="N2708">
        <f>-608.934162778509 -70.6160853325614 -540.290002405473</f>
        <v>-1219.8402505165434</v>
      </c>
      <c r="O2708">
        <f>-555.562012761949 -195.265835095795 -517.531734958635</f>
        <v>-1268.3595828163789</v>
      </c>
      <c r="P2708">
        <f>-557.637596155495 -250.474233265591 -228.500667357535</f>
        <v>-1036.6124967786209</v>
      </c>
      <c r="Q2708">
        <f>-453.01572249446 -39.3313929628791 -278.738476786887</f>
        <v>-771.08559224422606</v>
      </c>
      <c r="R2708" t="s">
        <v>29039</v>
      </c>
      <c r="S2708" t="s">
        <v>29040</v>
      </c>
      <c r="T2708" t="s">
        <v>29041</v>
      </c>
      <c r="U2708" t="s">
        <v>29042</v>
      </c>
      <c r="V2708">
        <f>-601.793303695299 -148.727468649281 -85.2471432793868</f>
        <v>-835.76791562396681</v>
      </c>
      <c r="W2708" t="s">
        <v>29043</v>
      </c>
      <c r="X2708" t="s">
        <v>29044</v>
      </c>
      <c r="Y2708" t="s">
        <v>29045</v>
      </c>
    </row>
    <row r="2709" spans="1:25" x14ac:dyDescent="0.3">
      <c r="A2709">
        <v>135400</v>
      </c>
      <c r="B2709" t="s">
        <v>29046</v>
      </c>
      <c r="C2709">
        <f>-647.23112533527 -66.1799059886952 -82.5192728941222</f>
        <v>-795.93030421808737</v>
      </c>
      <c r="D2709">
        <f>-660.506429562033 -71.4854851755039 -197.462033295754</f>
        <v>-929.45394803329077</v>
      </c>
      <c r="E2709">
        <f>-657.018583069504 -68.4225652898584 -295.976636726398</f>
        <v>-1021.4177850857604</v>
      </c>
      <c r="F2709">
        <f>-648.40399502822 -62.9861148395948 -384.489176674755</f>
        <v>-1095.8792865425698</v>
      </c>
      <c r="G2709">
        <f>-634.030188075707 -54.8012214152309 -472.037001314459</f>
        <v>-1160.8684108053969</v>
      </c>
      <c r="H2709">
        <f>-607.934161006315 -40.5643494438978 -593.020999234164</f>
        <v>-1241.5195096843768</v>
      </c>
      <c r="I2709">
        <f>-562.918928217368 -21.8067633916723 -660.302705090204</f>
        <v>-1245.0283966992442</v>
      </c>
      <c r="J2709">
        <f>-631.596430517318 -21.9419817080206 -539.480196476571</f>
        <v>-1193.0186087019097</v>
      </c>
      <c r="K2709" t="s">
        <v>29047</v>
      </c>
      <c r="L2709" t="s">
        <v>29048</v>
      </c>
      <c r="M2709" t="s">
        <v>29049</v>
      </c>
      <c r="N2709">
        <f>-607.239054144754 -71.7165914295618 -540.083748117915</f>
        <v>-1219.039393692231</v>
      </c>
      <c r="O2709">
        <f>-553.897304495719 -196.328366045725 -517.165654689273</f>
        <v>-1267.391325230717</v>
      </c>
      <c r="P2709">
        <f>-556.234197556084 -251.40030935601 -228.110704633273</f>
        <v>-1035.7452115453671</v>
      </c>
      <c r="Q2709">
        <f>-452.276245064169 -40.1412031245909 -279.229850271767</f>
        <v>-771.64729846052694</v>
      </c>
      <c r="R2709" t="s">
        <v>29050</v>
      </c>
      <c r="S2709" t="s">
        <v>29051</v>
      </c>
      <c r="T2709" t="s">
        <v>29052</v>
      </c>
      <c r="U2709" t="s">
        <v>29053</v>
      </c>
      <c r="V2709">
        <f>-600.66180417434 -150.193108171094 -85.0981747339542</f>
        <v>-835.95308707938818</v>
      </c>
      <c r="W2709" t="s">
        <v>29054</v>
      </c>
      <c r="X2709" t="s">
        <v>29055</v>
      </c>
      <c r="Y2709" t="s">
        <v>29056</v>
      </c>
    </row>
    <row r="2710" spans="1:25" x14ac:dyDescent="0.3">
      <c r="A2710">
        <v>135450</v>
      </c>
      <c r="B2710" t="s">
        <v>29057</v>
      </c>
      <c r="C2710">
        <f>-646.347831671062 -66.2170071570546 -82.3289390138424</f>
        <v>-794.89377784195892</v>
      </c>
      <c r="D2710">
        <f>-659.554244139166 -71.494301872151 -197.280906208663</f>
        <v>-928.32945221998011</v>
      </c>
      <c r="E2710">
        <f>-655.991252839654 -68.4174990515335 -295.792365240316</f>
        <v>-1020.2011171315035</v>
      </c>
      <c r="F2710">
        <f>-647.305061075618 -62.9688782647777 -384.297196725388</f>
        <v>-1094.5711360657838</v>
      </c>
      <c r="G2710">
        <f>-632.856862765525 -54.7705624610411 -471.831576178181</f>
        <v>-1159.4590014047471</v>
      </c>
      <c r="H2710">
        <f>-606.655321228831 -40.5116926849234 -592.790108028333</f>
        <v>-1239.9571219420873</v>
      </c>
      <c r="I2710">
        <f>-561.814498788515 -21.8142778740514 -660.204881155494</f>
        <v>-1243.8336578180606</v>
      </c>
      <c r="J2710">
        <f>-630.337915011217 -21.8862684490305 -539.259421648203</f>
        <v>-1191.4836051084503</v>
      </c>
      <c r="K2710" t="s">
        <v>29058</v>
      </c>
      <c r="L2710" t="s">
        <v>29059</v>
      </c>
      <c r="M2710" t="s">
        <v>29060</v>
      </c>
      <c r="N2710">
        <f>-606.032788375284 -71.6864001030851 -539.865167391538</f>
        <v>-1217.5843558699071</v>
      </c>
      <c r="O2710">
        <f>-552.849815638788 -196.354808986845 -516.871355343939</f>
        <v>-1266.075979969572</v>
      </c>
      <c r="P2710">
        <f>-555.306616485163 -251.472510033129 -227.826004466657</f>
        <v>-1034.605130984949</v>
      </c>
      <c r="Q2710">
        <f>-451.521963361183 -40.1263325777156 -278.937921305007</f>
        <v>-770.58621724390559</v>
      </c>
      <c r="R2710" t="s">
        <v>29061</v>
      </c>
      <c r="S2710" t="s">
        <v>29062</v>
      </c>
      <c r="T2710" t="s">
        <v>29063</v>
      </c>
      <c r="U2710" t="s">
        <v>29064</v>
      </c>
      <c r="V2710">
        <f>-599.976066220066 -150.207976110179 -84.8499200804633</f>
        <v>-835.03396241070823</v>
      </c>
      <c r="W2710" t="s">
        <v>29065</v>
      </c>
      <c r="X2710" t="s">
        <v>29066</v>
      </c>
      <c r="Y2710" t="s">
        <v>29067</v>
      </c>
    </row>
    <row r="2711" spans="1:25" x14ac:dyDescent="0.3">
      <c r="A2711">
        <v>135500</v>
      </c>
      <c r="B2711" t="s">
        <v>29068</v>
      </c>
      <c r="C2711">
        <f>-644.184160082489 -65.5031902994393 -82.0704537145017</f>
        <v>-791.75780409643005</v>
      </c>
      <c r="D2711">
        <f>-657.227820184424 -70.6886473093894 -197.045255942998</f>
        <v>-924.96172343681133</v>
      </c>
      <c r="E2711">
        <f>-653.509695012975 -67.6284640304918 -295.551344618578</f>
        <v>-1016.6895036620449</v>
      </c>
      <c r="F2711">
        <f>-644.680999488664 -62.2277764738687 -384.045079281033</f>
        <v>-1090.9538552435658</v>
      </c>
      <c r="G2711">
        <f>-630.089091364426 -54.1094047035052 -471.563101896483</f>
        <v>-1155.7615979644142</v>
      </c>
      <c r="H2711">
        <f>-603.686865885204 -39.9935661965937 -592.494853504791</f>
        <v>-1236.1752855865889</v>
      </c>
      <c r="I2711">
        <f>-559.198878065155 -21.5846479445331 -660.22185454313</f>
        <v>-1241.0053805528182</v>
      </c>
      <c r="J2711">
        <f>-627.389692519606 -21.2717386318513 -539.006744244919</f>
        <v>-1187.6681753963762</v>
      </c>
      <c r="K2711" t="s">
        <v>29069</v>
      </c>
      <c r="L2711" t="s">
        <v>29070</v>
      </c>
      <c r="M2711" t="s">
        <v>29071</v>
      </c>
      <c r="N2711">
        <f>-603.220696101805 -71.1388063671161 -539.550873319586</f>
        <v>-1213.9103757885071</v>
      </c>
      <c r="O2711">
        <f>-550.438087677343 -195.922965530225 -516.269003657597</f>
        <v>-1262.630056865165</v>
      </c>
      <c r="P2711">
        <f>-553.572301276914 -250.98046747128 -227.218801616705</f>
        <v>-1031.7715703648989</v>
      </c>
      <c r="Q2711">
        <f>-449.2515234743 -39.7069702491556 -277.532851546705</f>
        <v>-766.49134527016054</v>
      </c>
      <c r="R2711" t="s">
        <v>29072</v>
      </c>
      <c r="S2711" t="s">
        <v>29073</v>
      </c>
      <c r="T2711" t="s">
        <v>29074</v>
      </c>
      <c r="U2711" t="s">
        <v>29075</v>
      </c>
      <c r="V2711">
        <f>-598.0890749582 -149.558379114188 -84.603963371349</f>
        <v>-832.25141744373695</v>
      </c>
      <c r="W2711" t="s">
        <v>29076</v>
      </c>
      <c r="X2711" t="s">
        <v>29077</v>
      </c>
      <c r="Y2711" t="s">
        <v>29078</v>
      </c>
    </row>
    <row r="2712" spans="1:25" x14ac:dyDescent="0.3">
      <c r="A2712">
        <v>135550</v>
      </c>
      <c r="B2712" t="s">
        <v>29079</v>
      </c>
      <c r="C2712">
        <f>-643.236691476714 -65.0004770115639 -81.9931630740826</f>
        <v>-790.23033156236056</v>
      </c>
      <c r="D2712">
        <f>-656.163990118442 -70.109805746894 -196.984519480542</f>
        <v>-923.25831534587803</v>
      </c>
      <c r="E2712">
        <f>-652.333227086607 -67.0626181336208 -295.486773698668</f>
        <v>-1014.8826189188959</v>
      </c>
      <c r="F2712">
        <f>-643.399674496709 -61.7023983447085 -383.972432477469</f>
        <v>-1089.0745053188866</v>
      </c>
      <c r="G2712">
        <f>-628.701189997886 -53.6522219850493 -471.478830045408</f>
        <v>-1153.8322420283434</v>
      </c>
      <c r="H2712">
        <f>-602.148870776144 -39.6592597537815 -592.392055823122</f>
        <v>-1234.2001863530475</v>
      </c>
      <c r="I2712">
        <f>-557.853648879475 -21.4189821660786 -660.29086508395</f>
        <v>-1239.5634961295036</v>
      </c>
      <c r="J2712">
        <f>-625.901285632965 -20.8749553143457 -538.947846424589</f>
        <v>-1185.7240873718997</v>
      </c>
      <c r="K2712" t="s">
        <v>29080</v>
      </c>
      <c r="L2712" t="s">
        <v>29081</v>
      </c>
      <c r="M2712" t="s">
        <v>29082</v>
      </c>
      <c r="N2712">
        <f>-601.765025984947 -70.7586713830759 -539.420415368711</f>
        <v>-1211.944112736734</v>
      </c>
      <c r="O2712">
        <f>-549.122190071758 -195.551376716354 -515.942728288631</f>
        <v>-1260.616295076743</v>
      </c>
      <c r="P2712">
        <f>-552.781871775354 -250.667542711926 -226.909876042589</f>
        <v>-1030.359290529869</v>
      </c>
      <c r="Q2712">
        <f>-448.173354105541 -39.4679847542454 -276.936374710542</f>
        <v>-764.57771357032834</v>
      </c>
      <c r="R2712" t="s">
        <v>29083</v>
      </c>
      <c r="S2712" t="s">
        <v>29084</v>
      </c>
      <c r="T2712" t="s">
        <v>29085</v>
      </c>
      <c r="U2712" t="s">
        <v>29086</v>
      </c>
      <c r="V2712">
        <f>-597.127076433596 -149.195649907187 -84.5557745855945</f>
        <v>-830.87850092637746</v>
      </c>
      <c r="W2712" t="s">
        <v>29087</v>
      </c>
      <c r="X2712" t="s">
        <v>29088</v>
      </c>
      <c r="Y2712" t="s">
        <v>29089</v>
      </c>
    </row>
    <row r="2713" spans="1:25" x14ac:dyDescent="0.3">
      <c r="A2713">
        <v>135600</v>
      </c>
      <c r="B2713" t="s">
        <v>29090</v>
      </c>
      <c r="C2713">
        <f>-641.181446849394 -64.4415252673023 -81.776530747455</f>
        <v>-787.39950286415126</v>
      </c>
      <c r="D2713">
        <f>-653.881750441028 -69.2915913913215 -196.804446157848</f>
        <v>-919.9777879901975</v>
      </c>
      <c r="E2713">
        <f>-649.813269823533 -66.1576599193428 -295.294276550141</f>
        <v>-1011.2652062930167</v>
      </c>
      <c r="F2713">
        <f>-640.650988516273 -60.7709130169466 -383.754975444124</f>
        <v>-1085.1768769773435</v>
      </c>
      <c r="G2713">
        <f>-625.712196110727 -52.7445259375113 -471.222882558078</f>
        <v>-1149.6796046063164</v>
      </c>
      <c r="H2713">
        <f>-598.813732854466 -38.835849332622 -592.069293919462</f>
        <v>-1229.7188761065499</v>
      </c>
      <c r="I2713">
        <f>-554.893018120689 -20.9220759739612 -660.297461846455</f>
        <v>-1236.1125559411053</v>
      </c>
      <c r="J2713">
        <f>-622.723088914741 -20.0163678068104 -538.707574522798</f>
        <v>-1181.4470312443495</v>
      </c>
      <c r="K2713" t="s">
        <v>29091</v>
      </c>
      <c r="L2713" t="s">
        <v>29092</v>
      </c>
      <c r="M2713" t="s">
        <v>29093</v>
      </c>
      <c r="N2713">
        <f>-598.577724680604 -69.8964332649191 -539.074008752596</f>
        <v>-1207.5481666981191</v>
      </c>
      <c r="O2713">
        <f>-546.042499739332 -194.692281049304 -515.338836678204</f>
        <v>-1256.07361746684</v>
      </c>
      <c r="P2713">
        <f>-550.767368816773 -249.547620755363 -226.271710417188</f>
        <v>-1026.586699989324</v>
      </c>
      <c r="Q2713">
        <f>-445.959323106383 -38.3190663629705 -275.755462835517</f>
        <v>-760.03385230487049</v>
      </c>
      <c r="R2713" t="s">
        <v>29094</v>
      </c>
      <c r="S2713" t="s">
        <v>29095</v>
      </c>
      <c r="T2713" t="s">
        <v>29096</v>
      </c>
      <c r="U2713" t="s">
        <v>29097</v>
      </c>
      <c r="V2713">
        <f>-595.367982999707 -148.648582097117 -84.3489692330394</f>
        <v>-828.36553432986341</v>
      </c>
      <c r="W2713" t="s">
        <v>29098</v>
      </c>
      <c r="X2713" t="s">
        <v>29099</v>
      </c>
      <c r="Y2713" t="s">
        <v>29100</v>
      </c>
    </row>
    <row r="2714" spans="1:25" x14ac:dyDescent="0.3">
      <c r="A2714">
        <v>135650</v>
      </c>
      <c r="B2714" t="s">
        <v>29101</v>
      </c>
      <c r="C2714">
        <f>-639.988719484643 -64.473021144559 -81.6269582882053</f>
        <v>-786.08869891740721</v>
      </c>
      <c r="D2714">
        <f>-652.519785868447 -69.1676693914854 -196.679731823361</f>
        <v>-918.3671870832934</v>
      </c>
      <c r="E2714">
        <f>-648.32634055108 -65.9833860136907 -295.162939877368</f>
        <v>-1009.4726664421387</v>
      </c>
      <c r="F2714">
        <f>-639.060777491875 -60.5833715073504 -383.611932394995</f>
        <v>-1083.2560813942205</v>
      </c>
      <c r="G2714">
        <f>-624.028709764969 -52.5754694660371 -471.065786519435</f>
        <v>-1147.6699657504412</v>
      </c>
      <c r="H2714">
        <f>-597.011154871529 -38.7250584555359 -591.892211150583</f>
        <v>-1227.628424477648</v>
      </c>
      <c r="I2714">
        <f>-553.311801645274 -21.025473272503 -660.318055669577</f>
        <v>-1234.655330587354</v>
      </c>
      <c r="J2714">
        <f>-620.972238194762 -19.8792865651678 -538.562803718472</f>
        <v>-1179.4143284784018</v>
      </c>
      <c r="K2714" t="s">
        <v>29102</v>
      </c>
      <c r="L2714" t="s">
        <v>29103</v>
      </c>
      <c r="M2714" t="s">
        <v>29104</v>
      </c>
      <c r="N2714">
        <f>-596.82826173403 -69.7605236966115 -538.881998925541</f>
        <v>-1205.4707843561823</v>
      </c>
      <c r="O2714">
        <f>-544.359023172333 -194.557611108905 -515.026097318365</f>
        <v>-1253.9427315996031</v>
      </c>
      <c r="P2714">
        <f>-549.336348867809 -249.165544977405 -225.916480443044</f>
        <v>-1024.4183742882581</v>
      </c>
      <c r="Q2714">
        <f>-444.712506000689 -37.8856712481931 -275.570379138673</f>
        <v>-758.1685563875551</v>
      </c>
      <c r="R2714" t="s">
        <v>29105</v>
      </c>
      <c r="S2714" t="s">
        <v>29106</v>
      </c>
      <c r="T2714" t="s">
        <v>29107</v>
      </c>
      <c r="U2714" t="s">
        <v>29108</v>
      </c>
      <c r="V2714">
        <f>-594.269192999614 -148.861753227128 -84.2451946230839</f>
        <v>-827.3761408498259</v>
      </c>
      <c r="W2714" t="s">
        <v>29109</v>
      </c>
      <c r="X2714" t="s">
        <v>29110</v>
      </c>
      <c r="Y2714" t="s">
        <v>29111</v>
      </c>
    </row>
    <row r="2715" spans="1:25" x14ac:dyDescent="0.3">
      <c r="A2715">
        <v>135700</v>
      </c>
      <c r="B2715" t="s">
        <v>29112</v>
      </c>
      <c r="C2715">
        <f>-637.673883733928 -63.4506656945542 -81.2617939740517</f>
        <v>-782.38634340253395</v>
      </c>
      <c r="D2715">
        <f>-650.007211509563 -67.9019165348901 -196.345623847032</f>
        <v>-914.25475189148517</v>
      </c>
      <c r="E2715">
        <f>-645.627746344247 -64.6858191154795 -294.819614090266</f>
        <v>-1005.1331795499925</v>
      </c>
      <c r="F2715">
        <f>-636.1909979781 -59.3243280886163 -383.252999187942</f>
        <v>-1078.7683252546583</v>
      </c>
      <c r="G2715">
        <f>-620.986170301805 -51.4205632983652 -470.686400246072</f>
        <v>-1143.0931338462424</v>
      </c>
      <c r="H2715">
        <f>-593.726839443423 -37.782744745266 -591.482605640261</f>
        <v>-1222.9921898289499</v>
      </c>
      <c r="I2715">
        <f>-550.688681698259 -20.691038819333 -660.47982411511</f>
        <v>-1231.859544632702</v>
      </c>
      <c r="J2715">
        <f>-617.752727903068 -18.8230751176127 -538.222868787114</f>
        <v>-1174.7986718077946</v>
      </c>
      <c r="K2715" t="s">
        <v>29113</v>
      </c>
      <c r="L2715" t="s">
        <v>29114</v>
      </c>
      <c r="M2715" t="s">
        <v>29115</v>
      </c>
      <c r="N2715">
        <f>-593.691972042788 -68.7449422886327 -538.429422959661</f>
        <v>-1200.8663372910819</v>
      </c>
      <c r="O2715">
        <f>-541.483950519168 -193.590257287994 -514.160629520936</f>
        <v>-1249.2348373280981</v>
      </c>
      <c r="P2715">
        <f>-546.791327565664 -247.626964863349 -224.949570742517</f>
        <v>-1019.3678631715301</v>
      </c>
      <c r="Q2715">
        <f>-442.608075557106 -36.1502026185242 -274.691847323087</f>
        <v>-753.45012549871717</v>
      </c>
      <c r="R2715" t="s">
        <v>29116</v>
      </c>
      <c r="S2715" t="s">
        <v>29117</v>
      </c>
      <c r="T2715" t="s">
        <v>29118</v>
      </c>
      <c r="U2715" t="s">
        <v>29119</v>
      </c>
      <c r="V2715">
        <f>-592.269822087646 -147.658687439005 -84.0116056142491</f>
        <v>-823.94011514090016</v>
      </c>
      <c r="W2715" t="s">
        <v>29120</v>
      </c>
      <c r="X2715" t="s">
        <v>29121</v>
      </c>
      <c r="Y2715" t="s">
        <v>29122</v>
      </c>
    </row>
    <row r="2716" spans="1:25" x14ac:dyDescent="0.3">
      <c r="A2716">
        <v>135750</v>
      </c>
      <c r="B2716" t="s">
        <v>29123</v>
      </c>
      <c r="C2716">
        <f>-636.718398028835 -62.8094830817623 -81.1259736028907</f>
        <v>-780.65385471348804</v>
      </c>
      <c r="D2716">
        <f>-648.998477332493 -67.1367428524228 -196.220189157329</f>
        <v>-912.35540934224491</v>
      </c>
      <c r="E2716">
        <f>-644.567412856896 -63.9192899782965 -294.691861338639</f>
        <v>-1003.1785641738315</v>
      </c>
      <c r="F2716">
        <f>-635.084484301627 -58.5940071021972 -383.12243291214</f>
        <v>-1076.8009243159643</v>
      </c>
      <c r="G2716">
        <f>-619.834836082026 -50.7623663082263 -470.554417593662</f>
        <v>-1141.1516199839143</v>
      </c>
      <c r="H2716">
        <f>-592.515048908306 -37.2600613062853 -591.35235964435</f>
        <v>-1221.1274698589414</v>
      </c>
      <c r="I2716">
        <f>-549.887297992344 -20.5169142785917 -660.688995531277</f>
        <v>-1231.0932078022126</v>
      </c>
      <c r="J2716">
        <f>-616.545696815596 -18.2301495194231 -538.119829293815</f>
        <v>-1172.8956756288339</v>
      </c>
      <c r="K2716" t="s">
        <v>29124</v>
      </c>
      <c r="L2716" t="s">
        <v>29125</v>
      </c>
      <c r="M2716" t="s">
        <v>29126</v>
      </c>
      <c r="N2716">
        <f>-592.528635544308 -68.1733743340362 -538.270575571931</f>
        <v>-1198.9725854502753</v>
      </c>
      <c r="O2716">
        <f>-540.470834125839 -193.032989518595 -513.785054928529</f>
        <v>-1247.2888785729631</v>
      </c>
      <c r="P2716">
        <f>-545.795312835274 -247.012936526265 -224.563543559713</f>
        <v>-1017.371792921252</v>
      </c>
      <c r="Q2716">
        <f>-441.608987875365 -35.5299825769673 -274.273334119397</f>
        <v>-751.41230457172935</v>
      </c>
      <c r="R2716" t="s">
        <v>29127</v>
      </c>
      <c r="S2716" t="s">
        <v>29128</v>
      </c>
      <c r="T2716" t="s">
        <v>29129</v>
      </c>
      <c r="U2716" t="s">
        <v>29130</v>
      </c>
      <c r="V2716">
        <f>-591.442660991702 -146.965989618149 -83.9064030440255</f>
        <v>-822.31505365387659</v>
      </c>
      <c r="W2716" t="s">
        <v>29131</v>
      </c>
      <c r="X2716" t="s">
        <v>29132</v>
      </c>
      <c r="Y2716" t="s">
        <v>29133</v>
      </c>
    </row>
    <row r="2717" spans="1:25" x14ac:dyDescent="0.3">
      <c r="A2717">
        <v>135800</v>
      </c>
      <c r="B2717" t="s">
        <v>29134</v>
      </c>
      <c r="C2717">
        <f>-634.929670791217 -61.8287178640948 -80.8258987148802</f>
        <v>-777.58428737019187</v>
      </c>
      <c r="D2717">
        <f>-647.097471834484 -66.0758867098383 -195.93509524271</f>
        <v>-909.10845378703232</v>
      </c>
      <c r="E2717">
        <f>-642.593666697786 -62.9117780058438 -294.405196747491</f>
        <v>-999.9106414511208</v>
      </c>
      <c r="F2717">
        <f>-633.057952710744 -57.6772385047937 -382.835519709953</f>
        <v>-1073.5707109254906</v>
      </c>
      <c r="G2717">
        <f>-617.769420386888 -49.9762661939046 -470.272270975005</f>
        <v>-1138.0179575557977</v>
      </c>
      <c r="H2717">
        <f>-590.410697194525 -36.695282045373 -591.08596396397</f>
        <v>-1218.191943203868</v>
      </c>
      <c r="I2717">
        <f>-548.700195375816 -20.6853040526387 -661.149722789765</f>
        <v>-1230.5352222182196</v>
      </c>
      <c r="J2717">
        <f>-614.421893243815 -17.5502785299932 -537.885879887363</f>
        <v>-1169.8580516611712</v>
      </c>
      <c r="K2717" t="s">
        <v>29135</v>
      </c>
      <c r="L2717" t="s">
        <v>29136</v>
      </c>
      <c r="M2717" t="s">
        <v>29137</v>
      </c>
      <c r="N2717">
        <f>-590.477995718138 -67.5286961529545 -537.957824733608</f>
        <v>-1195.9645166047005</v>
      </c>
      <c r="O2717">
        <f>-538.78318584688 -192.463374572441 -513.189844524728</f>
        <v>-1244.4364049440489</v>
      </c>
      <c r="P2717">
        <f>-544.502673662358 -246.237030175154 -223.937573978229</f>
        <v>-1014.677277815741</v>
      </c>
      <c r="Q2717">
        <f>-438.773074938391 -35.6202376116717 -274.064160821144</f>
        <v>-748.45747337120679</v>
      </c>
      <c r="R2717" t="s">
        <v>29138</v>
      </c>
      <c r="S2717" t="s">
        <v>29139</v>
      </c>
      <c r="T2717" t="s">
        <v>29140</v>
      </c>
      <c r="U2717" t="s">
        <v>29141</v>
      </c>
      <c r="V2717">
        <f>-589.809240420318 -146.215738111257 -83.616838982136</f>
        <v>-819.64181751371098</v>
      </c>
      <c r="W2717" t="s">
        <v>29142</v>
      </c>
      <c r="X2717" t="s">
        <v>29143</v>
      </c>
      <c r="Y2717" t="s">
        <v>29144</v>
      </c>
    </row>
    <row r="2718" spans="1:25" x14ac:dyDescent="0.3">
      <c r="A2718">
        <v>135850</v>
      </c>
      <c r="B2718" t="s">
        <v>29145</v>
      </c>
      <c r="C2718">
        <f>-634.150183104711 -61.647438176152 -80.6270055376921</f>
        <v>-776.42462681855511</v>
      </c>
      <c r="D2718">
        <f>-646.237656178768 -65.8583069281934 -195.746004147286</f>
        <v>-907.84196725424749</v>
      </c>
      <c r="E2718">
        <f>-641.686486589562 -62.7172140354298 -294.214755193547</f>
        <v>-998.61845581853891</v>
      </c>
      <c r="F2718">
        <f>-632.117149933826 -57.5243042733264 -382.643770567704</f>
        <v>-1072.2852247748565</v>
      </c>
      <c r="G2718">
        <f>-616.804273216894 -49.8853075707088 -470.081692242211</f>
        <v>-1136.7712730298138</v>
      </c>
      <c r="H2718">
        <f>-589.421172576645 -36.7119213106989 -590.901674294203</f>
        <v>-1217.034768181547</v>
      </c>
      <c r="I2718">
        <f>-548.179025184064 -21.0814985568481 -661.327482691337</f>
        <v>-1230.5880064322491</v>
      </c>
      <c r="J2718">
        <f>-613.42887771772 -17.5128403930037 -537.719526803785</f>
        <v>-1168.6612449145086</v>
      </c>
      <c r="K2718" t="s">
        <v>29146</v>
      </c>
      <c r="L2718" t="s">
        <v>29147</v>
      </c>
      <c r="M2718" t="s">
        <v>29148</v>
      </c>
      <c r="N2718">
        <f>-589.513320515825 -67.5050161813125 -537.749947900375</f>
        <v>-1194.7682845975123</v>
      </c>
      <c r="O2718">
        <f>-537.926500647541 -192.463229119544 -512.819639484974</f>
        <v>-1243.2093692520591</v>
      </c>
      <c r="P2718">
        <f>-543.846058930946 -245.921089977957 -223.512861343111</f>
        <v>-1013.280010252014</v>
      </c>
      <c r="Q2718">
        <f>-437.46065987111 -35.6915576886747 -273.87711202444</f>
        <v>-747.0293295842248</v>
      </c>
      <c r="R2718" t="s">
        <v>29149</v>
      </c>
      <c r="S2718" t="s">
        <v>29150</v>
      </c>
      <c r="T2718" t="s">
        <v>29151</v>
      </c>
      <c r="U2718" t="s">
        <v>29152</v>
      </c>
      <c r="V2718">
        <f>-589.110096277352 -146.081853616731 -83.3952265731552</f>
        <v>-818.58717646723824</v>
      </c>
      <c r="W2718" t="s">
        <v>29153</v>
      </c>
      <c r="X2718" t="s">
        <v>29154</v>
      </c>
      <c r="Y2718" t="s">
        <v>29155</v>
      </c>
    </row>
    <row r="2719" spans="1:25" x14ac:dyDescent="0.3">
      <c r="A2719">
        <v>135900</v>
      </c>
      <c r="B2719" t="s">
        <v>29156</v>
      </c>
      <c r="C2719">
        <f>-632.614112674451 -61.1150620812637 -80.3146701675447</f>
        <v>-774.04384492325937</v>
      </c>
      <c r="D2719">
        <f>-644.574465032439 -65.2838491012465 -195.448423766183</f>
        <v>-905.30673789986849</v>
      </c>
      <c r="E2719">
        <f>-639.873975338718 -62.2330022028674 -293.912980634846</f>
        <v>-996.01995817643137</v>
      </c>
      <c r="F2719">
        <f>-630.154871803256 -57.1718181857055 -382.33326157697</f>
        <v>-1069.6599515659316</v>
      </c>
      <c r="G2719">
        <f>-614.67856851751 -49.7139742177275 -469.758176247332</f>
        <v>-1134.1507189825695</v>
      </c>
      <c r="H2719">
        <f>-587.053603833496 -36.8444862506062 -590.555732018128</f>
        <v>-1214.4538221022303</v>
      </c>
      <c r="I2719">
        <f>-546.644117724646 -21.9724971016874 -661.625597668048</f>
        <v>-1230.2422124943814</v>
      </c>
      <c r="J2719">
        <f>-611.172129445187 -17.513893584781 -537.471522872991</f>
        <v>-1166.1575459029591</v>
      </c>
      <c r="K2719" t="s">
        <v>29157</v>
      </c>
      <c r="L2719" t="s">
        <v>29158</v>
      </c>
      <c r="M2719" t="s">
        <v>29159</v>
      </c>
      <c r="N2719">
        <f>-587.247851381104 -67.5015150919276 -537.325930284666</f>
        <v>-1192.0752967576977</v>
      </c>
      <c r="O2719">
        <f>-535.614936722976 -192.340972265982 -511.889292200268</f>
        <v>-1239.8452011892261</v>
      </c>
      <c r="P2719">
        <f>-542.191997952235 -245.016295678682 -222.453162691165</f>
        <v>-1009.6614563220821</v>
      </c>
      <c r="Q2719">
        <f>-435.620228235552 -34.9741420951998 -273.203855404774</f>
        <v>-743.79822573552588</v>
      </c>
      <c r="R2719" t="s">
        <v>29160</v>
      </c>
      <c r="S2719" t="s">
        <v>29161</v>
      </c>
      <c r="T2719" t="s">
        <v>29162</v>
      </c>
      <c r="U2719" t="s">
        <v>29163</v>
      </c>
      <c r="V2719">
        <f>-587.694178807543 -145.350851409005 -83.0341193836608</f>
        <v>-816.07914960020889</v>
      </c>
      <c r="W2719" t="s">
        <v>29164</v>
      </c>
      <c r="X2719" t="s">
        <v>29165</v>
      </c>
      <c r="Y2719" t="s">
        <v>29166</v>
      </c>
    </row>
    <row r="2720" spans="1:25" x14ac:dyDescent="0.3">
      <c r="A2720">
        <v>135950</v>
      </c>
      <c r="B2720" t="s">
        <v>29167</v>
      </c>
      <c r="C2720">
        <f>-632.040572773309 -60.7300625367363 -80.1541791507735</f>
        <v>-772.92481446081888</v>
      </c>
      <c r="D2720">
        <f>-643.875334496726 -64.8538681483368 -195.302643970535</f>
        <v>-904.03184661559783</v>
      </c>
      <c r="E2720">
        <f>-639.071795074606 -61.8589612499682 -293.763815700039</f>
        <v>-994.69457202461319</v>
      </c>
      <c r="F2720">
        <f>-629.26278472658 -56.885005977409 -382.179244067307</f>
        <v>-1068.327034771296</v>
      </c>
      <c r="G2720">
        <f>-613.700310117466 -49.5495522218696 -469.599172534638</f>
        <v>-1132.8490348739736</v>
      </c>
      <c r="H2720">
        <f>-585.95949729311 -36.8869189856439 -590.392061111403</f>
        <v>-1213.2384773901567</v>
      </c>
      <c r="I2720">
        <f>-545.930738152327 -22.4180863190682 -661.759995544405</f>
        <v>-1230.1088200158001</v>
      </c>
      <c r="J2720">
        <f>-610.138355681014 -17.4699683397332 -537.366865478136</f>
        <v>-1164.9751894988831</v>
      </c>
      <c r="K2720" t="s">
        <v>29168</v>
      </c>
      <c r="L2720" t="s">
        <v>29169</v>
      </c>
      <c r="M2720" t="s">
        <v>29170</v>
      </c>
      <c r="N2720">
        <f>-586.195369512305 -67.4483039377963 -537.107302997499</f>
        <v>-1190.7509764476004</v>
      </c>
      <c r="O2720">
        <f>-534.576130729168 -192.229180959945 -511.3633540509</f>
        <v>-1238.168665740013</v>
      </c>
      <c r="P2720">
        <f>-541.406774884159 -244.435164930869 -221.848082141934</f>
        <v>-1007.6900219569619</v>
      </c>
      <c r="Q2720">
        <f>-434.923185459431 -34.4512031023542 -273.022395809276</f>
        <v>-742.39678437106124</v>
      </c>
      <c r="R2720" t="s">
        <v>29171</v>
      </c>
      <c r="S2720" t="s">
        <v>29172</v>
      </c>
      <c r="T2720" t="s">
        <v>29173</v>
      </c>
      <c r="U2720" t="s">
        <v>29174</v>
      </c>
      <c r="V2720">
        <f>-587.156391618704 -144.966133343882 -82.8651635185637</f>
        <v>-814.98768848114969</v>
      </c>
      <c r="W2720" t="s">
        <v>29175</v>
      </c>
      <c r="X2720" t="s">
        <v>29176</v>
      </c>
      <c r="Y2720" t="s">
        <v>29177</v>
      </c>
    </row>
    <row r="2721" spans="1:25" x14ac:dyDescent="0.3">
      <c r="A2721">
        <v>136000</v>
      </c>
      <c r="B2721" t="s">
        <v>29178</v>
      </c>
      <c r="C2721">
        <f>-631.189280769824 -60.2016715545442 -79.7768879508827</f>
        <v>-771.16784027525091</v>
      </c>
      <c r="D2721">
        <f>-642.815841294877 -64.3375100599401 -194.946018377045</f>
        <v>-902.09936973186211</v>
      </c>
      <c r="E2721">
        <f>-637.827077296392 -61.5383890518533 -293.403873319288</f>
        <v>-992.76933966753325</v>
      </c>
      <c r="F2721">
        <f>-627.851220848927 -56.8100868394429 -381.814125342067</f>
        <v>-1066.4754330304368</v>
      </c>
      <c r="G2721">
        <f>-612.124550092194 -49.7852381913621 -469.230009412848</f>
        <v>-1131.139797696404</v>
      </c>
      <c r="H2721">
        <f>-584.15826584417 -37.6210495957657 -590.022151640028</f>
        <v>-1211.8014670799639</v>
      </c>
      <c r="I2721">
        <f>-544.836556296289 -24.0604800881983 -661.959244702252</f>
        <v>-1230.8562810867393</v>
      </c>
      <c r="J2721">
        <f>-608.454899947948 -17.9947596309501 -537.128074000309</f>
        <v>-1163.577733579207</v>
      </c>
      <c r="K2721" t="s">
        <v>29179</v>
      </c>
      <c r="L2721" t="s">
        <v>29180</v>
      </c>
      <c r="M2721" t="s">
        <v>29181</v>
      </c>
      <c r="N2721">
        <f>-584.474722372082 -67.9531312168232 -536.607120228883</f>
        <v>-1189.0349738177883</v>
      </c>
      <c r="O2721">
        <f>-532.833839909042 -192.573652504304 -510.157603126573</f>
        <v>-1235.5650955399192</v>
      </c>
      <c r="P2721">
        <f>-540.328221057923 -243.531397542739 -220.436404746281</f>
        <v>-1004.296023346943</v>
      </c>
      <c r="Q2721">
        <f>-433.990117135623 -33.7380986971129 -272.684482802754</f>
        <v>-740.41269863548996</v>
      </c>
      <c r="R2721" t="s">
        <v>29182</v>
      </c>
      <c r="S2721" t="s">
        <v>29183</v>
      </c>
      <c r="T2721" t="s">
        <v>29184</v>
      </c>
      <c r="U2721" t="s">
        <v>29185</v>
      </c>
      <c r="V2721">
        <f>-586.533828642602 -144.593635030404 -82.3970841559675</f>
        <v>-813.52454782897348</v>
      </c>
      <c r="W2721" t="s">
        <v>29186</v>
      </c>
      <c r="X2721" t="s">
        <v>29187</v>
      </c>
      <c r="Y2721" t="s">
        <v>29188</v>
      </c>
    </row>
    <row r="2722" spans="1:25" x14ac:dyDescent="0.3">
      <c r="A2722">
        <v>136050</v>
      </c>
      <c r="B2722" t="s">
        <v>29189</v>
      </c>
      <c r="C2722">
        <f>-630.821324098283 -59.8326915023617 -79.5995975976728</f>
        <v>-770.25361319831745</v>
      </c>
      <c r="D2722">
        <f>-642.356372729242 -64.0274496865683 -194.775863287907</f>
        <v>-901.15968570371729</v>
      </c>
      <c r="E2722">
        <f>-637.259722765831 -61.4071692577992 -293.233122140006</f>
        <v>-991.90001416363623</v>
      </c>
      <c r="F2722">
        <f>-627.176505986336 -56.8889465559141 -381.642119275626</f>
        <v>-1065.7075718178762</v>
      </c>
      <c r="G2722">
        <f>-611.333928337127 -50.1202736196495 -469.057387961157</f>
        <v>-1130.5115899179336</v>
      </c>
      <c r="H2722">
        <f>-583.197607387818 -38.3600974343949 -589.850007379377</f>
        <v>-1211.4077122015899</v>
      </c>
      <c r="I2722">
        <f>-544.114296131845 -25.2660550699368 -662.00306871257</f>
        <v>-1231.3834199143516</v>
      </c>
      <c r="J2722">
        <f>-607.572755178318 -18.5590167167748 -537.057275311683</f>
        <v>-1163.1890472067757</v>
      </c>
      <c r="K2722" t="s">
        <v>29190</v>
      </c>
      <c r="L2722" t="s">
        <v>29191</v>
      </c>
      <c r="M2722" t="s">
        <v>29192</v>
      </c>
      <c r="N2722">
        <f>-583.585209142916 -68.5113318017786 -536.333050873095</f>
        <v>-1188.4295918177895</v>
      </c>
      <c r="O2722">
        <f>-531.942847386392 -193.014265522393 -509.379037679899</f>
        <v>-1234.3361505886839</v>
      </c>
      <c r="P2722">
        <f>-539.694743377733 -243.206212916406 -219.530937367488</f>
        <v>-1002.431893661627</v>
      </c>
      <c r="Q2722">
        <f>-433.517898755397 -33.5229034111007 -272.542636103853</f>
        <v>-739.58343827035071</v>
      </c>
      <c r="R2722" t="s">
        <v>29193</v>
      </c>
      <c r="S2722" t="s">
        <v>29194</v>
      </c>
      <c r="T2722" t="s">
        <v>29195</v>
      </c>
      <c r="U2722" t="s">
        <v>29196</v>
      </c>
      <c r="V2722">
        <f>-586.217367012917 -144.199625213672 -82.1755366115829</f>
        <v>-812.5925288381718</v>
      </c>
      <c r="W2722" t="s">
        <v>29197</v>
      </c>
      <c r="X2722" t="s">
        <v>29198</v>
      </c>
      <c r="Y2722" t="s">
        <v>29199</v>
      </c>
    </row>
    <row r="2723" spans="1:25" x14ac:dyDescent="0.3">
      <c r="A2723">
        <v>136100</v>
      </c>
      <c r="B2723" t="s">
        <v>29200</v>
      </c>
      <c r="C2723">
        <f>-630.150531101436 -59.0146348828891 -79.2674835437491</f>
        <v>-768.43264952807419</v>
      </c>
      <c r="D2723">
        <f>-641.513956086929 -63.3961617530283 -194.453800525557</f>
        <v>-899.36391836551434</v>
      </c>
      <c r="E2723">
        <f>-636.16741776462 -61.2789246327196 -292.909954322266</f>
        <v>-990.35629671960567</v>
      </c>
      <c r="F2723">
        <f>-625.821408351565 -57.3466954838532 -381.316516673618</f>
        <v>-1064.4846205090362</v>
      </c>
      <c r="G2723">
        <f>-609.681457589961 -51.2912590492467 -468.729774063362</f>
        <v>-1129.7024907025698</v>
      </c>
      <c r="H2723">
        <f>-581.09567173739 -40.6565531054266 -589.521131266804</f>
        <v>-1211.2733561096206</v>
      </c>
      <c r="I2723">
        <f>-542.232553863709 -28.4999031715618 -661.956764989516</f>
        <v>-1232.6892220247869</v>
      </c>
      <c r="J2723">
        <f>-605.658119882955 -20.3604717901535 -537.003836697506</f>
        <v>-1163.0224283706145</v>
      </c>
      <c r="K2723" t="s">
        <v>29201</v>
      </c>
      <c r="L2723" t="s">
        <v>29202</v>
      </c>
      <c r="M2723" t="s">
        <v>29203</v>
      </c>
      <c r="N2723">
        <f>-581.691624696193 -70.3121127523356 -535.729933199756</f>
        <v>-1187.7336706482847</v>
      </c>
      <c r="O2723">
        <f>-530.135470838631 -194.578559621906 -507.483682751138</f>
        <v>-1232.1977132116751</v>
      </c>
      <c r="P2723">
        <f>-538.875826833209 -242.245774783113 -217.237853591803</f>
        <v>-998.35945520812493</v>
      </c>
      <c r="Q2723">
        <f>-432.465514219615 -33.2105193200539 -272.301619826681</f>
        <v>-737.97765336634984</v>
      </c>
      <c r="R2723" t="s">
        <v>29204</v>
      </c>
      <c r="S2723" t="s">
        <v>29205</v>
      </c>
      <c r="T2723" t="s">
        <v>29206</v>
      </c>
      <c r="U2723" t="s">
        <v>29207</v>
      </c>
      <c r="V2723">
        <f>-585.664643811213 -143.443738299978 -81.7000199498275</f>
        <v>-810.80840206101846</v>
      </c>
      <c r="W2723" t="s">
        <v>29208</v>
      </c>
      <c r="X2723" t="s">
        <v>29209</v>
      </c>
      <c r="Y2723" t="s">
        <v>29210</v>
      </c>
    </row>
    <row r="2724" spans="1:25" x14ac:dyDescent="0.3">
      <c r="A2724">
        <v>136150</v>
      </c>
      <c r="B2724" t="s">
        <v>29211</v>
      </c>
      <c r="C2724">
        <f>-629.838053567444 -58.7401132733276 -79.0726309265297</f>
        <v>-767.65079776730124</v>
      </c>
      <c r="D2724">
        <f>-641.091410672822 -63.225658102637 -194.265752797169</f>
        <v>-898.58282157262806</v>
      </c>
      <c r="E2724">
        <f>-635.585728255906 -61.3702152752737 -292.718388521146</f>
        <v>-989.67433205232578</v>
      </c>
      <c r="F2724">
        <f>-625.071873473674 -57.7417508235893 -381.118146449336</f>
        <v>-1063.9317707465993</v>
      </c>
      <c r="G2724">
        <f>-608.741149728733 -52.0552611551108 -468.520754796466</f>
        <v>-1129.3171656803097</v>
      </c>
      <c r="H2724">
        <f>-579.866291131309 -42.0033924032714 -589.293322837059</f>
        <v>-1211.1630063716393</v>
      </c>
      <c r="I2724">
        <f>-540.99471206767 -30.3201552760261 -661.802122344092</f>
        <v>-1233.1169896877882</v>
      </c>
      <c r="J2724">
        <f>-604.529676637056 -21.4425955810343 -536.926680577065</f>
        <v>-1162.8989527951553</v>
      </c>
      <c r="K2724" t="s">
        <v>29212</v>
      </c>
      <c r="L2724" t="s">
        <v>29213</v>
      </c>
      <c r="M2724" t="s">
        <v>29214</v>
      </c>
      <c r="N2724">
        <f>-580.61562967527 -71.4110338224997 -535.36792932899</f>
        <v>-1187.3945928267599</v>
      </c>
      <c r="O2724">
        <f>-529.247452971905 -195.59546964264 -506.420924319577</f>
        <v>-1231.2638469341218</v>
      </c>
      <c r="P2724">
        <f>-538.605382590788 -241.888058018228 -215.972034440566</f>
        <v>-996.46547504958198</v>
      </c>
      <c r="Q2724">
        <f>-431.92617201546 -33.2676208106993 -272.078497105185</f>
        <v>-737.2722899313444</v>
      </c>
      <c r="R2724" t="s">
        <v>29215</v>
      </c>
      <c r="S2724" t="s">
        <v>29216</v>
      </c>
      <c r="T2724" t="s">
        <v>29217</v>
      </c>
      <c r="U2724" t="s">
        <v>29218</v>
      </c>
      <c r="V2724">
        <f>-585.418846925802 -143.254398996928 -81.3694742020234</f>
        <v>-810.04272012475337</v>
      </c>
      <c r="W2724" t="s">
        <v>29219</v>
      </c>
      <c r="X2724" t="s">
        <v>29220</v>
      </c>
      <c r="Y2724" t="s">
        <v>29221</v>
      </c>
    </row>
    <row r="2725" spans="1:25" x14ac:dyDescent="0.3">
      <c r="A2725">
        <v>136200</v>
      </c>
      <c r="B2725" t="s">
        <v>29222</v>
      </c>
      <c r="C2725">
        <f>-629.135397311704 -58.32453292282 -78.6728525106635</f>
        <v>-766.13278274518746</v>
      </c>
      <c r="D2725">
        <f>-640.164337728209 -63.0654049937521 -193.877479629221</f>
        <v>-897.10722235118214</v>
      </c>
      <c r="E2725">
        <f>-634.319498544772 -61.784598340292 -292.319629875463</f>
        <v>-988.42372676052696</v>
      </c>
      <c r="F2725">
        <f>-623.44394920119 -58.8149390463753 -380.70030423215</f>
        <v>-1062.9591924797153</v>
      </c>
      <c r="G2725">
        <f>-606.698739426221 -53.9251716292349 -468.072654500382</f>
        <v>-1128.6965655558379</v>
      </c>
      <c r="H2725">
        <f>-577.191311953012 -45.1290800185374 -588.790363115065</f>
        <v>-1211.1107550866145</v>
      </c>
      <c r="I2725">
        <f>-538.14313369615 -34.4458590694508 -661.358505869689</f>
        <v>-1233.9474986352898</v>
      </c>
      <c r="J2725">
        <f>-602.036810835329 -23.9807226877044 -536.744606959017</f>
        <v>-1162.7621404820504</v>
      </c>
      <c r="K2725" t="s">
        <v>29223</v>
      </c>
      <c r="L2725" t="s">
        <v>29224</v>
      </c>
      <c r="M2725" t="s">
        <v>29225</v>
      </c>
      <c r="N2725">
        <f>-578.315318802677 -74.018871883149 -534.592299995856</f>
        <v>-1186.926490681682</v>
      </c>
      <c r="O2725">
        <f>-527.496003448814 -198.08471614948 -504.194482504411</f>
        <v>-1229.775202102705</v>
      </c>
      <c r="P2725">
        <f>-538.778306204437 -241.560005387176 -213.378750552351</f>
        <v>-993.71706214396397</v>
      </c>
      <c r="Q2725">
        <f>-430.837409631555 -34.2548610383421 -271.894873515519</f>
        <v>-736.98714418541613</v>
      </c>
      <c r="R2725" t="s">
        <v>29226</v>
      </c>
      <c r="S2725" t="s">
        <v>29227</v>
      </c>
      <c r="T2725" t="s">
        <v>29228</v>
      </c>
      <c r="U2725" t="s">
        <v>29229</v>
      </c>
      <c r="V2725">
        <f>-584.789660487579 -143.198569547723 -80.6912582416169</f>
        <v>-808.67948827691885</v>
      </c>
      <c r="W2725" t="s">
        <v>29230</v>
      </c>
      <c r="X2725" t="s">
        <v>29231</v>
      </c>
      <c r="Y2725" t="s">
        <v>29232</v>
      </c>
    </row>
    <row r="2726" spans="1:25" x14ac:dyDescent="0.3">
      <c r="A2726">
        <v>136250</v>
      </c>
      <c r="B2726" t="s">
        <v>29233</v>
      </c>
      <c r="C2726">
        <f>-629.007090501807 -58.0043940838565 -78.4419495674789</f>
        <v>-765.45343415314244</v>
      </c>
      <c r="D2726">
        <f>-639.96131287903 -62.8459014483074 -193.64947986604</f>
        <v>-896.4566941933773</v>
      </c>
      <c r="E2726">
        <f>-633.969544529996 -61.886036757805 -292.086485656793</f>
        <v>-987.94206694459399</v>
      </c>
      <c r="F2726">
        <f>-622.930301653725 -59.2979446092977 -380.458799910016</f>
        <v>-1062.6870461730387</v>
      </c>
      <c r="G2726">
        <f>-605.991391977333 -54.8803391045524 -467.818938967999</f>
        <v>-1128.6906700498844</v>
      </c>
      <c r="H2726">
        <f>-576.183107162558 -46.8377342146559 -588.515326082815</f>
        <v>-1211.536167460029</v>
      </c>
      <c r="I2726">
        <f>-536.96292915274 -36.6902971449135 -661.067602224817</f>
        <v>-1234.7208285224706</v>
      </c>
      <c r="J2726">
        <f>-601.08938537676 -25.3316378431521 -536.645522432049</f>
        <v>-1163.066545651961</v>
      </c>
      <c r="K2726" t="s">
        <v>29234</v>
      </c>
      <c r="L2726" t="s">
        <v>29235</v>
      </c>
      <c r="M2726" t="s">
        <v>29236</v>
      </c>
      <c r="N2726">
        <f>-577.511121572364 -75.4220948780226 -534.16022135064</f>
        <v>-1187.0934378010265</v>
      </c>
      <c r="O2726">
        <f>-527.173292219607 -199.482509834329 -502.963508306371</f>
        <v>-1229.6193103603071</v>
      </c>
      <c r="P2726">
        <f>-539.409477397787 -241.38487932265 -211.955521208305</f>
        <v>-992.74987792874197</v>
      </c>
      <c r="Q2726">
        <f>-430.598911200412 -34.9037207437884 -271.760665282729</f>
        <v>-737.26329722692935</v>
      </c>
      <c r="R2726" t="s">
        <v>29237</v>
      </c>
      <c r="S2726" t="s">
        <v>29238</v>
      </c>
      <c r="T2726" t="s">
        <v>29239</v>
      </c>
      <c r="U2726" t="s">
        <v>29240</v>
      </c>
      <c r="V2726">
        <f>-584.810777010827 -142.904304349593 -80.2954836656404</f>
        <v>-808.01056502606036</v>
      </c>
      <c r="W2726" t="s">
        <v>29241</v>
      </c>
      <c r="X2726" t="s">
        <v>29242</v>
      </c>
      <c r="Y2726" t="s">
        <v>29243</v>
      </c>
    </row>
    <row r="2727" spans="1:25" x14ac:dyDescent="0.3">
      <c r="A2727">
        <v>136300</v>
      </c>
      <c r="B2727" t="s">
        <v>29244</v>
      </c>
      <c r="C2727">
        <f>-629.204191590497 -56.8404011218582 -77.9537382088392</f>
        <v>-763.99833092119445</v>
      </c>
      <c r="D2727">
        <f>-639.987756988256 -61.8919752621898 -193.168456912031</f>
        <v>-895.04818916247677</v>
      </c>
      <c r="E2727">
        <f>-633.611963157009 -61.6436458924156 -291.585627807048</f>
        <v>-986.84123685647262</v>
      </c>
      <c r="F2727">
        <f>-622.136332330804 -59.9053331690325 -379.92324424896</f>
        <v>-1061.9649097487963</v>
      </c>
      <c r="G2727">
        <f>-604.674751770692 -56.5424778999053 -467.227392022288</f>
        <v>-1128.4446216928852</v>
      </c>
      <c r="H2727">
        <f>-574.049334129858 -50.1854335105716 -587.819669844057</f>
        <v>-1212.0544374844867</v>
      </c>
      <c r="I2727">
        <f>-534.198639283087 -41.1413947588117 -660.173995188316</f>
        <v>-1235.5140292302146</v>
      </c>
      <c r="J2727">
        <f>-599.130629280066 -27.873257591317 -536.376401165675</f>
        <v>-1163.3802880370581</v>
      </c>
      <c r="K2727" t="s">
        <v>29245</v>
      </c>
      <c r="L2727" t="s">
        <v>29246</v>
      </c>
      <c r="M2727" t="s">
        <v>29247</v>
      </c>
      <c r="N2727">
        <f>-575.921513068051 -78.0924212238398 -533.129509708109</f>
        <v>-1187.1434439999998</v>
      </c>
      <c r="O2727">
        <f>-526.732996515776 -202.143701339094 -500.133084594277</f>
        <v>-1229.009782449147</v>
      </c>
      <c r="P2727">
        <f>-541.362365555539 -240.827938470822 -208.790146302651</f>
        <v>-990.980450329012</v>
      </c>
      <c r="Q2727">
        <f>-430.459143427411 -36.1810431448037 -271.007266779427</f>
        <v>-737.64745335164173</v>
      </c>
      <c r="R2727" t="s">
        <v>29248</v>
      </c>
      <c r="S2727" t="s">
        <v>29249</v>
      </c>
      <c r="T2727" t="s">
        <v>29250</v>
      </c>
      <c r="U2727" t="s">
        <v>29251</v>
      </c>
      <c r="V2727">
        <f>-585.41042214208 -141.967660649589 -79.5051123927457</f>
        <v>-806.88319518441472</v>
      </c>
      <c r="W2727" t="s">
        <v>29252</v>
      </c>
      <c r="X2727" t="s">
        <v>29253</v>
      </c>
      <c r="Y2727" t="s">
        <v>29254</v>
      </c>
    </row>
    <row r="2728" spans="1:25" x14ac:dyDescent="0.3">
      <c r="A2728">
        <v>136350</v>
      </c>
      <c r="B2728" t="s">
        <v>29255</v>
      </c>
      <c r="C2728">
        <f>-629.51206206231 -56.2044386985592 -77.6211024271477</f>
        <v>-763.33760318801683</v>
      </c>
      <c r="D2728">
        <f>-640.206654162851 -61.3605940061062 -192.839370459232</f>
        <v>-894.40661862818922</v>
      </c>
      <c r="E2728">
        <f>-633.610104457677 -61.4911454215875 -291.24229895512</f>
        <v>-986.34354883438459</v>
      </c>
      <c r="F2728">
        <f>-621.88030780063 -60.2084414528248 -379.554215383571</f>
        <v>-1061.6429646370257</v>
      </c>
      <c r="G2728">
        <f>-604.111489126727 -57.4145687552061 -466.816599451791</f>
        <v>-1128.342657333724</v>
      </c>
      <c r="H2728">
        <f>-573.0035687562 -51.9700119213784 -587.329908222431</f>
        <v>-1212.3034889000094</v>
      </c>
      <c r="I2728">
        <f>-532.712118259145 -43.5223276926451 -659.512067810767</f>
        <v>-1235.7465137625572</v>
      </c>
      <c r="J2728">
        <f>-598.179950081039 -29.2165569355739 -536.126966882247</f>
        <v>-1163.5234738988597</v>
      </c>
      <c r="K2728" t="s">
        <v>29256</v>
      </c>
      <c r="L2728" t="s">
        <v>29257</v>
      </c>
      <c r="M2728" t="s">
        <v>29258</v>
      </c>
      <c r="N2728">
        <f>-575.205295111198 -79.515206780883 -532.468943770001</f>
        <v>-1187.1894456620821</v>
      </c>
      <c r="O2728">
        <f>-526.699723620781 -203.587786987159 -498.532875818492</f>
        <v>-1228.8203864264319</v>
      </c>
      <c r="P2728">
        <f>-542.974326184955 -240.461150203245 -207.042379323592</f>
        <v>-990.47785571179202</v>
      </c>
      <c r="Q2728">
        <f>-430.588947134906 -36.9571934317155 -270.339400142244</f>
        <v>-737.88554070886551</v>
      </c>
      <c r="R2728" t="s">
        <v>29259</v>
      </c>
      <c r="S2728" t="s">
        <v>29260</v>
      </c>
      <c r="T2728" t="s">
        <v>29261</v>
      </c>
      <c r="U2728" t="s">
        <v>29262</v>
      </c>
      <c r="V2728">
        <f>-586.053095874132 -141.264444577562 -79.0016291598429</f>
        <v>-806.31916961153695</v>
      </c>
      <c r="W2728" t="s">
        <v>29263</v>
      </c>
      <c r="X2728" t="s">
        <v>29264</v>
      </c>
      <c r="Y2728" t="s">
        <v>29265</v>
      </c>
    </row>
    <row r="2729" spans="1:25" x14ac:dyDescent="0.3">
      <c r="A2729">
        <v>136400</v>
      </c>
      <c r="B2729" t="s">
        <v>29266</v>
      </c>
      <c r="C2729">
        <f>-630.657676778915 -54.7487144217337 -76.8093583337987</f>
        <v>-762.21574953444735</v>
      </c>
      <c r="D2729">
        <f>-641.119790807311 -60.098942119624 -192.040175577681</f>
        <v>-893.25890850461599</v>
      </c>
      <c r="E2729">
        <f>-633.973928591156 -61.0381850509934 -290.400281788951</f>
        <v>-985.41239543110044</v>
      </c>
      <c r="F2729">
        <f>-621.615594112039 -60.7370598471748 -378.635301332827</f>
        <v>-1060.9879552920409</v>
      </c>
      <c r="G2729">
        <f>-603.090693982374 -59.1752269783605 -465.77111370445</f>
        <v>-1128.0370346651844</v>
      </c>
      <c r="H2729">
        <f>-570.798761057329 -55.7124468824351 -586.045881969135</f>
        <v>-1212.5570899088991</v>
      </c>
      <c r="I2729">
        <f>-529.45852040706 -48.5091179843834 -657.768434666775</f>
        <v>-1235.7360730582182</v>
      </c>
      <c r="J2729">
        <f>-596.203542266327 -31.991844594922 -535.39775542532</f>
        <v>-1163.593142286569</v>
      </c>
      <c r="K2729" t="s">
        <v>29267</v>
      </c>
      <c r="L2729" t="s">
        <v>29268</v>
      </c>
      <c r="M2729" t="s">
        <v>29269</v>
      </c>
      <c r="N2729">
        <f>-573.814191437479 -82.4807135165597 -530.840063931948</f>
        <v>-1187.1349688859868</v>
      </c>
      <c r="O2729">
        <f>-527.016723414487 -206.662788483958 -494.953938695653</f>
        <v>-1228.6334505940981</v>
      </c>
      <c r="P2729">
        <f>-547.138109771144 -239.888995354025 -203.265212543272</f>
        <v>-990.292317668441</v>
      </c>
      <c r="Q2729">
        <f>-431.281973694104 -38.8292039457231 -268.097103161585</f>
        <v>-738.20828080141212</v>
      </c>
      <c r="R2729" t="s">
        <v>29270</v>
      </c>
      <c r="S2729" t="s">
        <v>29271</v>
      </c>
      <c r="T2729" t="s">
        <v>29272</v>
      </c>
      <c r="U2729" t="s">
        <v>29273</v>
      </c>
      <c r="V2729">
        <f>-588.080538209768 -139.933764112661 -77.8365154969717</f>
        <v>-805.85081781940073</v>
      </c>
      <c r="W2729" t="s">
        <v>29274</v>
      </c>
      <c r="X2729" t="s">
        <v>29275</v>
      </c>
      <c r="Y2729" t="s">
        <v>29276</v>
      </c>
    </row>
    <row r="2730" spans="1:25" x14ac:dyDescent="0.3">
      <c r="A2730">
        <v>136450</v>
      </c>
      <c r="B2730" t="s">
        <v>29277</v>
      </c>
      <c r="C2730">
        <f>-630.986787873391 -54.0650513143303 -76.4483100775533</f>
        <v>-761.50014926527456</v>
      </c>
      <c r="D2730">
        <f>-641.366003281639 -59.5538803960854 -191.680167703569</f>
        <v>-892.6000513812935</v>
      </c>
      <c r="E2730">
        <f>-633.951735534279 -60.9027356622463 -290.015583440147</f>
        <v>-984.87005463667231</v>
      </c>
      <c r="F2730">
        <f>-621.276143778446 -61.0846690176631 -378.206033178254</f>
        <v>-1060.5668459743631</v>
      </c>
      <c r="G2730">
        <f>-602.361789351835 -60.1197472842246 -465.266595985762</f>
        <v>-1127.7481326218217</v>
      </c>
      <c r="H2730">
        <f>-569.453297599176 -57.6090567927254 -585.398057772813</f>
        <v>-1212.4604121647144</v>
      </c>
      <c r="I2730">
        <f>-527.592451685551 -51.0179029356502 -656.877051224231</f>
        <v>-1235.4874058454322</v>
      </c>
      <c r="J2730">
        <f>-594.946979055731 -33.4091256248698 -535.021948888495</f>
        <v>-1163.3780535690958</v>
      </c>
      <c r="K2730" t="s">
        <v>29278</v>
      </c>
      <c r="L2730" t="s">
        <v>29279</v>
      </c>
      <c r="M2730" t="s">
        <v>29280</v>
      </c>
      <c r="N2730">
        <f>-572.922398367767 -84.0186037873195 -530.046346708963</f>
        <v>-1186.9873488640496</v>
      </c>
      <c r="O2730">
        <f>-527.151064660009 -208.295751409732 -493.16182313396</f>
        <v>-1228.6086392037009</v>
      </c>
      <c r="P2730">
        <f>-549.535640112043 -239.744040990323 -201.440961681777</f>
        <v>-990.72064278414302</v>
      </c>
      <c r="Q2730">
        <f>-431.365632659532 -40.0333467374928 -266.266399648209</f>
        <v>-737.66537904523386</v>
      </c>
      <c r="R2730" t="s">
        <v>29281</v>
      </c>
      <c r="S2730" t="s">
        <v>29282</v>
      </c>
      <c r="T2730" t="s">
        <v>29283</v>
      </c>
      <c r="U2730" t="s">
        <v>29284</v>
      </c>
      <c r="V2730">
        <f>-588.669494976155 -139.575891315686 -77.3548247053707</f>
        <v>-805.60021099721166</v>
      </c>
      <c r="W2730" t="s">
        <v>29285</v>
      </c>
      <c r="X2730" t="s">
        <v>29286</v>
      </c>
      <c r="Y2730" t="s">
        <v>29287</v>
      </c>
    </row>
    <row r="2731" spans="1:25" x14ac:dyDescent="0.3">
      <c r="A2731">
        <v>136500</v>
      </c>
      <c r="B2731" t="s">
        <v>29288</v>
      </c>
      <c r="C2731">
        <f>-632.070622380252 -52.3765758526996 -75.9182146852301</f>
        <v>-760.36541291818162</v>
      </c>
      <c r="D2731">
        <f>-642.353395347141 -58.1852338051999 -191.142946535152</f>
        <v>-891.68157568749291</v>
      </c>
      <c r="E2731">
        <f>-634.53001511131 -60.2519553343076 -289.43420228834</f>
        <v>-984.21617273395759</v>
      </c>
      <c r="F2731">
        <f>-621.36084850612 -61.2561095737168 -377.546685116243</f>
        <v>-1060.1636431960796</v>
      </c>
      <c r="G2731">
        <f>-601.832888226753 -61.2899619354484 -464.477115967154</f>
        <v>-1127.5999661293554</v>
      </c>
      <c r="H2731">
        <f>-567.946946604463 -60.3596363349652 -584.359178857523</f>
        <v>-1212.6657617969513</v>
      </c>
      <c r="I2731">
        <f>-525.139060149631 -54.8613161566522 -655.368201432793</f>
        <v>-1235.368577739076</v>
      </c>
      <c r="J2731">
        <f>-593.51532359949 -35.3465969171277 -534.420001973837</f>
        <v>-1163.2819224904547</v>
      </c>
      <c r="K2731" t="s">
        <v>29289</v>
      </c>
      <c r="L2731" t="s">
        <v>29290</v>
      </c>
      <c r="M2731" t="s">
        <v>29291</v>
      </c>
      <c r="N2731">
        <f>-572.201621882519 -86.1915011143435 -528.789955653789</f>
        <v>-1187.1830786506516</v>
      </c>
      <c r="O2731">
        <f>-528.420647046031 -210.655142410931 -490.177364934007</f>
        <v>-1229.253154390969</v>
      </c>
      <c r="P2731">
        <f>-555.366949148364 -238.951683534155 -198.519197794935</f>
        <v>-992.83783047745396</v>
      </c>
      <c r="Q2731">
        <f>-431.217681690984 -42.8232858852641 -263.106168470422</f>
        <v>-737.14713604667008</v>
      </c>
      <c r="R2731" t="s">
        <v>29292</v>
      </c>
      <c r="S2731" t="s">
        <v>29293</v>
      </c>
      <c r="T2731" t="s">
        <v>29294</v>
      </c>
      <c r="U2731" t="s">
        <v>29295</v>
      </c>
      <c r="V2731">
        <f>-590.513904214198 -138.011456983293 -76.4629753478127</f>
        <v>-804.9883365453037</v>
      </c>
      <c r="W2731" t="s">
        <v>29296</v>
      </c>
      <c r="X2731" t="s">
        <v>29297</v>
      </c>
      <c r="Y2731" t="s">
        <v>29298</v>
      </c>
    </row>
    <row r="2732" spans="1:25" x14ac:dyDescent="0.3">
      <c r="A2732">
        <v>136550</v>
      </c>
      <c r="B2732" t="s">
        <v>29299</v>
      </c>
      <c r="C2732">
        <f>-632.513989202488 -51.9851569470284 -75.7488604484466</f>
        <v>-760.24800659796301</v>
      </c>
      <c r="D2732">
        <f>-642.766459946973 -57.9497836359544 -190.968461059463</f>
        <v>-891.68470464239044</v>
      </c>
      <c r="E2732">
        <f>-634.787296671003 -60.3255261222661 -289.240144469001</f>
        <v>-984.35296726227011</v>
      </c>
      <c r="F2732">
        <f>-621.428535467802 -61.6768491434359 -377.319376488209</f>
        <v>-1060.4247610994469</v>
      </c>
      <c r="G2732">
        <f>-601.663625697042 -62.1261822346504 -464.195161879584</f>
        <v>-1127.9849698112764</v>
      </c>
      <c r="H2732">
        <f>-567.399359184088 -61.8479494674959 -583.972870630147</f>
        <v>-1213.2201792817309</v>
      </c>
      <c r="I2732">
        <f>-524.16316340797 -56.8527676991393 -654.759274618925</f>
        <v>-1235.7752057260345</v>
      </c>
      <c r="J2732">
        <f>-592.985245084791 -36.5009829427268 -534.211432193977</f>
        <v>-1163.6976602214947</v>
      </c>
      <c r="K2732" t="s">
        <v>29300</v>
      </c>
      <c r="L2732" t="s">
        <v>29301</v>
      </c>
      <c r="M2732" t="s">
        <v>29302</v>
      </c>
      <c r="N2732">
        <f>-571.969585953696 -87.4398556676273 -528.317839628528</f>
        <v>-1187.7272812498513</v>
      </c>
      <c r="O2732">
        <f>-529.003594891295 -211.980825106441 -489.077051193633</f>
        <v>-1230.061471191369</v>
      </c>
      <c r="P2732">
        <f>-557.914401668117 -239.231913349691 -197.50771685421</f>
        <v>-994.65403187201798</v>
      </c>
      <c r="Q2732">
        <f>-431.554380841565 -44.3575866309745 -261.601770096718</f>
        <v>-737.5137375692575</v>
      </c>
      <c r="R2732" t="s">
        <v>29303</v>
      </c>
      <c r="S2732" t="s">
        <v>29304</v>
      </c>
      <c r="T2732" t="s">
        <v>29305</v>
      </c>
      <c r="U2732" t="s">
        <v>29306</v>
      </c>
      <c r="V2732">
        <f>-590.926466382691 -137.916138635996 -76.2389020231831</f>
        <v>-805.08150704187005</v>
      </c>
      <c r="W2732" t="s">
        <v>29307</v>
      </c>
      <c r="X2732" t="s">
        <v>29308</v>
      </c>
      <c r="Y2732" t="s">
        <v>29309</v>
      </c>
    </row>
    <row r="2733" spans="1:25" x14ac:dyDescent="0.3">
      <c r="A2733">
        <v>136600</v>
      </c>
      <c r="B2733" t="s">
        <v>29310</v>
      </c>
      <c r="C2733">
        <f>-633.140651773943 -52.097893036083 -75.7403390806561</f>
        <v>-760.97888389068203</v>
      </c>
      <c r="D2733">
        <f>-643.383759744959 -58.3155544334711 -190.94736975075</f>
        <v>-892.64668392918009</v>
      </c>
      <c r="E2733">
        <f>-635.088630468311 -61.1876499670045 -289.179611838493</f>
        <v>-985.45589227380844</v>
      </c>
      <c r="F2733">
        <f>-621.326527790457 -63.0984156887455 -377.186460407103</f>
        <v>-1061.6114038863057</v>
      </c>
      <c r="G2733">
        <f>-601.044213134449 -64.2217522389087 -463.936802890733</f>
        <v>-1129.2027682640908</v>
      </c>
      <c r="H2733">
        <f>-565.943249876045 -65.0064132712031 -583.469650382777</f>
        <v>-1214.4193135300252</v>
      </c>
      <c r="I2733">
        <f>-521.886840993122 -60.9234957452754 -653.807319450515</f>
        <v>-1236.6176561889124</v>
      </c>
      <c r="J2733">
        <f>-591.631730892407 -39.11106507831 -534.044482282427</f>
        <v>-1164.787278253144</v>
      </c>
      <c r="K2733" t="s">
        <v>29311</v>
      </c>
      <c r="L2733" t="s">
        <v>29312</v>
      </c>
      <c r="M2733" t="s">
        <v>29313</v>
      </c>
      <c r="N2733">
        <f>-571.147223592866 -90.2111623784602 -527.693795724937</f>
        <v>-1189.0521816962632</v>
      </c>
      <c r="O2733">
        <f>-529.530084192497 -214.908424043861 -487.530297061296</f>
        <v>-1231.9688052976539</v>
      </c>
      <c r="P2733">
        <f>-560.421625119579 -241.70587858132 -196.121895977496</f>
        <v>-998.24939967839498</v>
      </c>
      <c r="Q2733">
        <f>-434.91138203914 -45.6307330943135 -258.190906530124</f>
        <v>-738.73302166357746</v>
      </c>
      <c r="R2733" t="s">
        <v>29314</v>
      </c>
      <c r="S2733" t="s">
        <v>29315</v>
      </c>
      <c r="T2733" t="s">
        <v>29316</v>
      </c>
      <c r="U2733" t="s">
        <v>29317</v>
      </c>
      <c r="V2733">
        <f>-592.150122368573 -138.325941930819 -75.9478869862153</f>
        <v>-806.42395128560725</v>
      </c>
      <c r="W2733" t="s">
        <v>29318</v>
      </c>
      <c r="X2733" t="s">
        <v>29319</v>
      </c>
      <c r="Y2733" t="s">
        <v>29320</v>
      </c>
    </row>
    <row r="2734" spans="1:25" x14ac:dyDescent="0.3">
      <c r="A2734">
        <v>136650</v>
      </c>
      <c r="B2734" t="s">
        <v>29321</v>
      </c>
      <c r="C2734">
        <f>-633.395317936267 -52.12827872054 -75.7996698961181</f>
        <v>-761.32326655292513</v>
      </c>
      <c r="D2734">
        <f>-643.709532356257 -58.4696513042087 -190.993559545049</f>
        <v>-893.17274320551473</v>
      </c>
      <c r="E2734">
        <f>-635.294488823434 -61.591948546064 -289.208000207647</f>
        <v>-986.09443757714507</v>
      </c>
      <c r="F2734">
        <f>-621.354028657042 -63.7867380860779 -377.180058837523</f>
        <v>-1062.320825580643</v>
      </c>
      <c r="G2734">
        <f>-600.825984451955 -65.2533929320973 -463.867438904365</f>
        <v>-1129.9468162884173</v>
      </c>
      <c r="H2734">
        <f>-565.313989919034 -66.5801704419259 -583.27410182094</f>
        <v>-1215.1682621819</v>
      </c>
      <c r="I2734">
        <f>-520.922371671931 -62.9261380638789 -653.424366192542</f>
        <v>-1237.2728759283518</v>
      </c>
      <c r="J2734">
        <f>-591.076938909987 -40.4193527129389 -534.027775741815</f>
        <v>-1165.5240673647409</v>
      </c>
      <c r="K2734" t="s">
        <v>29322</v>
      </c>
      <c r="L2734" t="s">
        <v>29323</v>
      </c>
      <c r="M2734" t="s">
        <v>29324</v>
      </c>
      <c r="N2734">
        <f>-570.805182318626 -91.5731147384861 -527.430458356223</f>
        <v>-1189.8087554133349</v>
      </c>
      <c r="O2734">
        <f>-529.68359428888 -216.315870554008 -486.902271881936</f>
        <v>-1232.9017367248241</v>
      </c>
      <c r="P2734">
        <f>-560.999530941547 -243.078991189134 -195.536082858668</f>
        <v>-999.614604989349</v>
      </c>
      <c r="Q2734">
        <f>-437.368180920863 -45.8595543369141 -257.750646645358</f>
        <v>-740.97838190313519</v>
      </c>
      <c r="R2734" t="s">
        <v>29325</v>
      </c>
      <c r="S2734" t="s">
        <v>29326</v>
      </c>
      <c r="T2734" t="s">
        <v>29327</v>
      </c>
      <c r="U2734" t="s">
        <v>29328</v>
      </c>
      <c r="V2734">
        <f>-592.646755580486 -138.60525332025 -75.912901750374</f>
        <v>-807.16491065110995</v>
      </c>
      <c r="W2734" t="s">
        <v>29329</v>
      </c>
      <c r="X2734" t="s">
        <v>29330</v>
      </c>
      <c r="Y2734" t="s">
        <v>29331</v>
      </c>
    </row>
    <row r="2735" spans="1:25" x14ac:dyDescent="0.3">
      <c r="A2735">
        <v>136700</v>
      </c>
      <c r="B2735" t="s">
        <v>29332</v>
      </c>
      <c r="C2735">
        <f>-633.968173797698 -52.1442665825663 -76.1084186351568</f>
        <v>-762.22085901542107</v>
      </c>
      <c r="D2735">
        <f>-644.565446116473 -58.5774181634392 -191.271605475234</f>
        <v>-894.41446975514623</v>
      </c>
      <c r="E2735">
        <f>-636.11613087678 -62.104614889004 -289.469417410873</f>
        <v>-987.69016317665694</v>
      </c>
      <c r="F2735">
        <f>-622.037601554683 -64.7967457891905 -377.405691109079</f>
        <v>-1064.2400384529524</v>
      </c>
      <c r="G2735">
        <f>-601.267408753477 -66.8948060404917 -464.022339883792</f>
        <v>-1132.1845546777606</v>
      </c>
      <c r="H2735">
        <f>-565.312891322753 -69.2457174501652 -583.280666482231</f>
        <v>-1217.8392752551492</v>
      </c>
      <c r="I2735">
        <f>-520.426049500582 -66.2525594747324 -653.146564422203</f>
        <v>-1239.8251733975176</v>
      </c>
      <c r="J2735">
        <f>-591.074103137411 -42.5843310894395 -534.302712798595</f>
        <v>-1167.9611470254456</v>
      </c>
      <c r="K2735" t="s">
        <v>29333</v>
      </c>
      <c r="L2735" t="s">
        <v>29334</v>
      </c>
      <c r="M2735" t="s">
        <v>29335</v>
      </c>
      <c r="N2735">
        <f>-571.195279249633 -93.838136805809 -527.299220823435</f>
        <v>-1192.3326368788771</v>
      </c>
      <c r="O2735">
        <f>-530.941488374062 -218.641205298659 -485.990512857342</f>
        <v>-1235.5732065300631</v>
      </c>
      <c r="P2735">
        <f>-562.106940177914 -244.346756387848 -194.51293652323</f>
        <v>-1000.966633088992</v>
      </c>
      <c r="Q2735">
        <f>-440.458648853333 -46.1598032651098 -257.556887990107</f>
        <v>-744.17534010854979</v>
      </c>
      <c r="R2735" t="s">
        <v>29336</v>
      </c>
      <c r="S2735" t="s">
        <v>29337</v>
      </c>
      <c r="T2735" t="s">
        <v>29338</v>
      </c>
      <c r="U2735" t="s">
        <v>29339</v>
      </c>
      <c r="V2735">
        <f>-593.188329798281 -138.850393734166 -76.2388365837672</f>
        <v>-808.2775601162142</v>
      </c>
      <c r="W2735" t="s">
        <v>29340</v>
      </c>
      <c r="X2735" t="s">
        <v>29341</v>
      </c>
      <c r="Y2735" t="s">
        <v>29342</v>
      </c>
    </row>
    <row r="2736" spans="1:25" x14ac:dyDescent="0.3">
      <c r="A2736">
        <v>136750</v>
      </c>
      <c r="B2736" t="s">
        <v>29343</v>
      </c>
      <c r="C2736">
        <f>-634.229446700711 -51.7855158748278 -76.3298058121653</f>
        <v>-762.34476838770411</v>
      </c>
      <c r="D2736">
        <f>-645.004125612638 -58.2489753068717 -191.474690896688</f>
        <v>-894.72779181619762</v>
      </c>
      <c r="E2736">
        <f>-636.602367422263 -61.9005830558896 -289.672202445164</f>
        <v>-988.17515292331655</v>
      </c>
      <c r="F2736">
        <f>-622.526007966527 -64.7464427844425 -377.603914375914</f>
        <v>-1064.8763651268835</v>
      </c>
      <c r="G2736">
        <f>-601.717834389691 -67.0423409419191 -464.206430872338</f>
        <v>-1132.966606203948</v>
      </c>
      <c r="H2736">
        <f>-565.669719500344 -69.7172742362675 -583.429694800128</f>
        <v>-1218.8166885367395</v>
      </c>
      <c r="I2736">
        <f>-520.638153432539 -66.9583561761375 -653.212092624996</f>
        <v>-1240.8086022336724</v>
      </c>
      <c r="J2736">
        <f>-591.367109655212 -42.8793698596269 -534.514728093317</f>
        <v>-1168.7612076081559</v>
      </c>
      <c r="K2736" t="s">
        <v>29344</v>
      </c>
      <c r="L2736" t="s">
        <v>29345</v>
      </c>
      <c r="M2736" t="s">
        <v>29346</v>
      </c>
      <c r="N2736">
        <f>-571.698292538879 -94.2010116189049 -527.416226397439</f>
        <v>-1193.3155305552227</v>
      </c>
      <c r="O2736">
        <f>-531.933987355124 -219.097628684901 -485.933082969781</f>
        <v>-1236.9646990098061</v>
      </c>
      <c r="P2736">
        <f>-562.786304521026 -244.256303649373 -194.374478630507</f>
        <v>-1001.417086800906</v>
      </c>
      <c r="Q2736">
        <f>-440.824308223401 -46.7196397861165 -258.837293776088</f>
        <v>-746.38124178560543</v>
      </c>
      <c r="R2736" t="s">
        <v>29347</v>
      </c>
      <c r="S2736" t="s">
        <v>29348</v>
      </c>
      <c r="T2736" t="s">
        <v>29349</v>
      </c>
      <c r="U2736" t="s">
        <v>29350</v>
      </c>
      <c r="V2736">
        <f>-593.362450001174 -138.551461837495 -76.4480023120444</f>
        <v>-808.36191415071346</v>
      </c>
      <c r="W2736" t="s">
        <v>29351</v>
      </c>
      <c r="X2736" t="s">
        <v>29352</v>
      </c>
      <c r="Y2736" t="s">
        <v>29353</v>
      </c>
    </row>
    <row r="2737" spans="1:25" x14ac:dyDescent="0.3">
      <c r="A2737">
        <v>136800</v>
      </c>
      <c r="B2737" t="s">
        <v>29354</v>
      </c>
      <c r="C2737">
        <f>-634.976653289941 -51.1639852804872 -76.6366626892702</f>
        <v>-762.77730125969845</v>
      </c>
      <c r="D2737">
        <f>-646.079787189023 -57.6474422085603 -191.749300486757</f>
        <v>-895.47652988434027</v>
      </c>
      <c r="E2737">
        <f>-637.857294159348 -61.48807484418 -289.954627268685</f>
        <v>-989.29999627221309</v>
      </c>
      <c r="F2737">
        <f>-623.902764606567 -64.5785869289458 -377.89761354055</f>
        <v>-1066.3789650760627</v>
      </c>
      <c r="G2737">
        <f>-603.17591982539 -67.1990680950275 -464.510379578923</f>
        <v>-1134.8853674993406</v>
      </c>
      <c r="H2737">
        <f>-567.200045842103 -70.4153671418264 -583.742095166959</f>
        <v>-1221.3575081508884</v>
      </c>
      <c r="I2737">
        <f>-521.980189412893 -67.9981461664637 -653.415211324047</f>
        <v>-1243.3935469034036</v>
      </c>
      <c r="J2737">
        <f>-592.648774994526 -43.2637486716062 -534.870233419337</f>
        <v>-1170.7827570854693</v>
      </c>
      <c r="K2737" t="s">
        <v>29355</v>
      </c>
      <c r="L2737" t="s">
        <v>29356</v>
      </c>
      <c r="M2737" t="s">
        <v>29357</v>
      </c>
      <c r="N2737">
        <f>-573.413787951517 -94.7365269805273 -527.677863816701</f>
        <v>-1195.8281787487454</v>
      </c>
      <c r="O2737">
        <f>-534.747931385126 -219.904950921214 -486.003451617846</f>
        <v>-1240.6563339241859</v>
      </c>
      <c r="P2737">
        <f>-566.019884914077 -242.851936763566 -194.307135857102</f>
        <v>-1003.178957534745</v>
      </c>
      <c r="Q2737">
        <f>-441.050654318379 -48.4441638905794 -262.418631467792</f>
        <v>-751.91344967675036</v>
      </c>
      <c r="R2737" t="s">
        <v>29358</v>
      </c>
      <c r="S2737" t="s">
        <v>29359</v>
      </c>
      <c r="T2737" t="s">
        <v>29360</v>
      </c>
      <c r="U2737" t="s">
        <v>29361</v>
      </c>
      <c r="V2737">
        <f>-594.467755422568 -138.024217030554 -76.6509745390307</f>
        <v>-809.1429469921527</v>
      </c>
      <c r="W2737" t="s">
        <v>29362</v>
      </c>
      <c r="X2737" t="s">
        <v>29363</v>
      </c>
      <c r="Y2737" t="s">
        <v>29364</v>
      </c>
    </row>
    <row r="2738" spans="1:25" x14ac:dyDescent="0.3">
      <c r="A2738">
        <v>136850</v>
      </c>
      <c r="B2738" t="s">
        <v>29354</v>
      </c>
      <c r="C2738">
        <f>-634.976653289941 -51.1639852804872 -76.6366626892702</f>
        <v>-762.77730125969845</v>
      </c>
      <c r="D2738">
        <f>-646.079787189023 -57.6474422085603 -191.749300486757</f>
        <v>-895.47652988434027</v>
      </c>
      <c r="E2738">
        <f>-637.857294159348 -61.48807484418 -289.954627268685</f>
        <v>-989.29999627221309</v>
      </c>
      <c r="F2738">
        <f>-623.902764606567 -64.5785869289458 -377.89761354055</f>
        <v>-1066.3789650760627</v>
      </c>
      <c r="G2738">
        <f>-603.17591982539 -67.1990680950275 -464.510379578923</f>
        <v>-1134.8853674993406</v>
      </c>
      <c r="H2738">
        <f>-567.200045842103 -70.4153671418264 -583.742095166959</f>
        <v>-1221.3575081508884</v>
      </c>
      <c r="I2738">
        <f>-521.980189412893 -67.9981461664637 -653.415211324047</f>
        <v>-1243.3935469034036</v>
      </c>
      <c r="J2738">
        <f>-592.648774994526 -43.2637486716062 -534.870233419337</f>
        <v>-1170.7827570854693</v>
      </c>
      <c r="K2738" t="s">
        <v>29355</v>
      </c>
      <c r="L2738" t="s">
        <v>29356</v>
      </c>
      <c r="M2738" t="s">
        <v>29357</v>
      </c>
      <c r="N2738">
        <f>-573.413787951517 -94.7365269805273 -527.677863816701</f>
        <v>-1195.8281787487454</v>
      </c>
      <c r="O2738">
        <f>-534.747931385126 -219.904950921214 -486.003451617846</f>
        <v>-1240.6563339241859</v>
      </c>
      <c r="P2738">
        <f>-566.019884914077 -242.851936763566 -194.307135857102</f>
        <v>-1003.178957534745</v>
      </c>
      <c r="Q2738">
        <f>-441.050654318379 -48.4441638905794 -262.418631467792</f>
        <v>-751.91344967675036</v>
      </c>
      <c r="R2738" t="s">
        <v>29358</v>
      </c>
      <c r="S2738" t="s">
        <v>29359</v>
      </c>
      <c r="T2738" t="s">
        <v>29360</v>
      </c>
      <c r="U2738" t="s">
        <v>29361</v>
      </c>
      <c r="V2738">
        <f>-594.467755422568 -138.024217030554 -76.6509745390307</f>
        <v>-809.1429469921527</v>
      </c>
      <c r="W2738" t="s">
        <v>29362</v>
      </c>
      <c r="X2738" t="s">
        <v>29363</v>
      </c>
      <c r="Y2738" t="s">
        <v>29364</v>
      </c>
    </row>
    <row r="2739" spans="1:25" x14ac:dyDescent="0.3">
      <c r="A2739">
        <v>136900</v>
      </c>
      <c r="B2739" t="s">
        <v>29365</v>
      </c>
      <c r="C2739">
        <f>-636.504884163185 -50.3924635669292 -76.7612991113369</f>
        <v>-763.65864684145117</v>
      </c>
      <c r="D2739">
        <f>-647.990986795258 -56.9554147608194 -191.831856727457</f>
        <v>-896.77825828353434</v>
      </c>
      <c r="E2739">
        <f>-640.051445784154 -61.0426315296194 -290.050478098361</f>
        <v>-991.14455541213442</v>
      </c>
      <c r="F2739">
        <f>-626.33532122691 -64.4305366250579 -378.020026388647</f>
        <v>-1068.7858842406149</v>
      </c>
      <c r="G2739">
        <f>-605.827797151152 -67.4299508852376 -464.672692463529</f>
        <v>-1137.9304404999186</v>
      </c>
      <c r="H2739">
        <f>-570.138027389047 -71.2650486285522 -583.97216229958</f>
        <v>-1225.3752383171791</v>
      </c>
      <c r="I2739">
        <f>-524.780889043491 -68.9775344194313 -653.560404738239</f>
        <v>-1247.3188282011613</v>
      </c>
      <c r="J2739">
        <f>-595.172977972927 -43.7388328708666 -535.096046443395</f>
        <v>-1174.0078572871887</v>
      </c>
      <c r="K2739" t="s">
        <v>29366</v>
      </c>
      <c r="L2739" t="s">
        <v>29367</v>
      </c>
      <c r="M2739" t="s">
        <v>29368</v>
      </c>
      <c r="N2739">
        <f>-576.513729816992 -95.4160734107895 -527.852665316515</f>
        <v>-1199.7824685442965</v>
      </c>
      <c r="O2739">
        <f>-539.374195212466 -220.970618378306 -485.913039397049</f>
        <v>-1246.257852987821</v>
      </c>
      <c r="P2739">
        <f>-571.810975094625 -242.661814844891 -194.247975537409</f>
        <v>-1008.720765476925</v>
      </c>
      <c r="Q2739">
        <f>-440.359869800467 -53.758451039641 -265.571118497716</f>
        <v>-759.68943933782396</v>
      </c>
      <c r="R2739" t="s">
        <v>29369</v>
      </c>
      <c r="S2739" t="s">
        <v>29370</v>
      </c>
      <c r="T2739" t="s">
        <v>29371</v>
      </c>
      <c r="U2739" t="s">
        <v>29372</v>
      </c>
      <c r="V2739">
        <f>-596.698234978743 -137.582018560578 -76.7108384083319</f>
        <v>-810.99109194765299</v>
      </c>
      <c r="W2739" t="s">
        <v>29373</v>
      </c>
      <c r="X2739" t="s">
        <v>29374</v>
      </c>
      <c r="Y2739" t="s">
        <v>29375</v>
      </c>
    </row>
    <row r="2740" spans="1:25" x14ac:dyDescent="0.3">
      <c r="A2740">
        <v>136950</v>
      </c>
      <c r="B2740" t="s">
        <v>29376</v>
      </c>
      <c r="C2740">
        <f>-637.982053956368 -49.8672643088299 -76.7377770541168</f>
        <v>-764.5870953193147</v>
      </c>
      <c r="D2740">
        <f>-649.644132431361 -56.4370434024461 -191.790167381443</f>
        <v>-897.87134321525002</v>
      </c>
      <c r="E2740">
        <f>-641.769596785295 -60.5891860727851 -290.011407920587</f>
        <v>-992.37019077866705</v>
      </c>
      <c r="F2740">
        <f>-628.07962036828 -64.0571102938848 -377.981876702483</f>
        <v>-1070.1186073646477</v>
      </c>
      <c r="G2740">
        <f>-607.56540646052 -67.1612439249326 -464.629287757901</f>
        <v>-1139.3559381433536</v>
      </c>
      <c r="H2740">
        <f>-571.833164979919 -71.1689342533645 -583.910266925671</f>
        <v>-1226.9123661589545</v>
      </c>
      <c r="I2740">
        <f>-526.267207066336 -68.7675407062983 -653.358058895952</f>
        <v>-1248.3928066685862</v>
      </c>
      <c r="J2740">
        <f>-596.698365539558 -43.4978021332862 -535.029325088869</f>
        <v>-1175.2254927617132</v>
      </c>
      <c r="K2740" t="s">
        <v>29377</v>
      </c>
      <c r="L2740" t="s">
        <v>29378</v>
      </c>
      <c r="M2740" t="s">
        <v>29379</v>
      </c>
      <c r="N2740">
        <f>-578.415913427941 -95.3130201079032 -527.811684121244</f>
        <v>-1201.5406176570882</v>
      </c>
      <c r="O2740">
        <f>-542.249586158773 -221.121571404673 -485.837349221514</f>
        <v>-1249.20850678496</v>
      </c>
      <c r="P2740">
        <f>-575.515011536317 -243.440560823547 -194.312986896779</f>
        <v>-1013.268559256643</v>
      </c>
      <c r="Q2740">
        <f>-440.012040192119 -57.7477632118863 -266.47946179637</f>
        <v>-764.23926520037526</v>
      </c>
      <c r="R2740" t="s">
        <v>29380</v>
      </c>
      <c r="S2740" t="s">
        <v>29381</v>
      </c>
      <c r="T2740" t="s">
        <v>29382</v>
      </c>
      <c r="U2740" t="s">
        <v>29383</v>
      </c>
      <c r="V2740">
        <f>-598.833616593943 -137.153533561178 -76.5965888695059</f>
        <v>-812.58373902462699</v>
      </c>
      <c r="W2740" t="s">
        <v>29384</v>
      </c>
      <c r="X2740" t="s">
        <v>29385</v>
      </c>
      <c r="Y2740" t="s">
        <v>29386</v>
      </c>
    </row>
    <row r="2741" spans="1:25" x14ac:dyDescent="0.3">
      <c r="A2741">
        <v>137000</v>
      </c>
      <c r="B2741" t="s">
        <v>29387</v>
      </c>
      <c r="C2741">
        <f>-639.960512503198 -49.3372345154694 -76.3194390489723</f>
        <v>-765.61718606763964</v>
      </c>
      <c r="D2741">
        <f>-651.782558644253 -55.9002731778004 -191.355896678551</f>
        <v>-899.03872850060429</v>
      </c>
      <c r="E2741">
        <f>-643.814563136738 -60.1244199224818 -289.566427042715</f>
        <v>-993.50541010193479</v>
      </c>
      <c r="F2741">
        <f>-629.951991504403 -63.6821786379853 -377.506278584271</f>
        <v>-1071.1404487266593</v>
      </c>
      <c r="G2741">
        <f>-609.179477883912 -66.9036092515157 -464.087887091248</f>
        <v>-1140.1709742266758</v>
      </c>
      <c r="H2741">
        <f>-573.000635089796 -71.1031903487535 -583.227671596164</f>
        <v>-1227.3314970347135</v>
      </c>
      <c r="I2741">
        <f>-527.031048040241 -68.48266926337 -652.400948887648</f>
        <v>-1247.9146661912591</v>
      </c>
      <c r="J2741">
        <f>-597.803489663721 -43.258300693478 -534.413751942452</f>
        <v>-1175.4755422996509</v>
      </c>
      <c r="K2741" t="s">
        <v>29388</v>
      </c>
      <c r="L2741" t="s">
        <v>29389</v>
      </c>
      <c r="M2741" t="s">
        <v>29390</v>
      </c>
      <c r="N2741">
        <f>-580.038751355315 -95.2520103453322 -527.186492416805</f>
        <v>-1202.477254117452</v>
      </c>
      <c r="O2741">
        <f>-545.180247497117 -221.476380783836 -485.355340969351</f>
        <v>-1252.011969250304</v>
      </c>
      <c r="P2741">
        <f>-580.612992010109 -244.569909849395 -194.146745430936</f>
        <v>-1019.32964729044</v>
      </c>
      <c r="Q2741">
        <f>-440.439219669258 -62.6807075650893 -267.074876538892</f>
        <v>-770.1948037732393</v>
      </c>
      <c r="R2741" t="s">
        <v>29391</v>
      </c>
      <c r="S2741" t="s">
        <v>29392</v>
      </c>
      <c r="T2741" t="s">
        <v>29393</v>
      </c>
      <c r="U2741" t="s">
        <v>29394</v>
      </c>
      <c r="V2741">
        <f>-601.978905141131 -136.481011599599 -76.0291617189425</f>
        <v>-814.48907845967256</v>
      </c>
      <c r="W2741" t="s">
        <v>29395</v>
      </c>
      <c r="X2741" t="s">
        <v>29396</v>
      </c>
      <c r="Y2741" t="s">
        <v>29397</v>
      </c>
    </row>
    <row r="2742" spans="1:25" x14ac:dyDescent="0.3">
      <c r="A2742">
        <v>137050</v>
      </c>
      <c r="B2742" t="s">
        <v>29398</v>
      </c>
      <c r="C2742">
        <f>-640.623574457923 -48.921142122598 -76.0429440846408</f>
        <v>-765.58766066516182</v>
      </c>
      <c r="D2742">
        <f>-652.488284779578 -55.42491905882 -191.078319091644</f>
        <v>-898.99152293004204</v>
      </c>
      <c r="E2742">
        <f>-644.46567592486 -59.7111582679532 -289.281911097933</f>
        <v>-993.45874529074626</v>
      </c>
      <c r="F2742">
        <f>-630.520012191406 -63.3639546456371 -377.204629736388</f>
        <v>-1071.088596573431</v>
      </c>
      <c r="G2742">
        <f>-609.631690324164 -66.71898556939 -463.75330139234</f>
        <v>-1140.103977285894</v>
      </c>
      <c r="H2742">
        <f>-573.259027639374 -71.1436867141191 -582.825819137417</f>
        <v>-1227.2285334909102</v>
      </c>
      <c r="I2742">
        <f>-527.097823202443 -68.4353367692584 -651.868038684833</f>
        <v>-1247.4011986565342</v>
      </c>
      <c r="J2742">
        <f>-598.007821929962 -43.1558912332043 -534.06614959423</f>
        <v>-1175.2298627573964</v>
      </c>
      <c r="K2742" t="s">
        <v>29399</v>
      </c>
      <c r="L2742" t="s">
        <v>29400</v>
      </c>
      <c r="M2742" t="s">
        <v>29401</v>
      </c>
      <c r="N2742">
        <f>-580.521934178346 -95.2372038824035 -526.789498140427</f>
        <v>-1202.5486362011766</v>
      </c>
      <c r="O2742">
        <f>-546.44148689643 -221.658110075172 -484.892639595652</f>
        <v>-1252.9922365672539</v>
      </c>
      <c r="P2742">
        <f>-582.929328950226 -244.725841045994 -193.812384142638</f>
        <v>-1021.4675541388581</v>
      </c>
      <c r="Q2742">
        <f>-441.495607482615 -64.0639366849399 -267.355833429181</f>
        <v>-772.91537759673588</v>
      </c>
      <c r="R2742" t="s">
        <v>29402</v>
      </c>
      <c r="S2742" t="s">
        <v>29403</v>
      </c>
      <c r="T2742" t="s">
        <v>29404</v>
      </c>
      <c r="U2742" t="s">
        <v>29405</v>
      </c>
      <c r="V2742">
        <f>-603.465529757943 -135.986576312279 -75.7344157278889</f>
        <v>-815.1865217981109</v>
      </c>
      <c r="W2742" t="s">
        <v>29406</v>
      </c>
      <c r="X2742" t="s">
        <v>29407</v>
      </c>
      <c r="Y2742" t="s">
        <v>29408</v>
      </c>
    </row>
    <row r="2743" spans="1:25" x14ac:dyDescent="0.3">
      <c r="A2743">
        <v>137100</v>
      </c>
      <c r="B2743" t="s">
        <v>29409</v>
      </c>
      <c r="C2743">
        <f>-641.604324263503 -47.4707821594862 -75.8732103916861</f>
        <v>-764.94831681467542</v>
      </c>
      <c r="D2743">
        <f>-653.4676947074 -53.8770832230809 -190.91424961924</f>
        <v>-898.25902754972094</v>
      </c>
      <c r="E2743">
        <f>-645.443533104471 -58.3560348193283 -289.109037188297</f>
        <v>-992.90860511209644</v>
      </c>
      <c r="F2743">
        <f>-631.501242532606 -62.2729077324782 -377.020914928493</f>
        <v>-1070.7950651935773</v>
      </c>
      <c r="G2743">
        <f>-610.62039549135 -65.9767177965805 -463.557145492125</f>
        <v>-1140.1542587800554</v>
      </c>
      <c r="H2743">
        <f>-574.263023131241 -70.9693238580569 -582.611844070471</f>
        <v>-1227.8441910597689</v>
      </c>
      <c r="I2743">
        <f>-527.790366171705 -68.1505313437565 -651.440385732492</f>
        <v>-1247.3812832479534</v>
      </c>
      <c r="J2743">
        <f>-598.730540904662 -42.6471341134088 -533.903521784605</f>
        <v>-1175.2811968026758</v>
      </c>
      <c r="K2743" t="s">
        <v>29410</v>
      </c>
      <c r="L2743" t="s">
        <v>29411</v>
      </c>
      <c r="M2743" t="s">
        <v>29412</v>
      </c>
      <c r="N2743">
        <f>-581.79366999723 -94.8974609082494 -526.540148291196</f>
        <v>-1203.2312791966756</v>
      </c>
      <c r="O2743">
        <f>-549.427439562871 -221.61162231136 -484.177310268588</f>
        <v>-1255.216372142819</v>
      </c>
      <c r="P2743">
        <f>-587.574806842594 -243.479034461719 -193.217063791518</f>
        <v>-1024.270905095831</v>
      </c>
      <c r="Q2743">
        <f>-444.827301871185 -64.4441346051575 -268.187545857638</f>
        <v>-777.45898233398043</v>
      </c>
      <c r="R2743" t="s">
        <v>29413</v>
      </c>
      <c r="S2743" t="s">
        <v>29414</v>
      </c>
      <c r="T2743" t="s">
        <v>29415</v>
      </c>
      <c r="U2743" t="s">
        <v>29416</v>
      </c>
      <c r="V2743">
        <f>-605.777086604311 -134.77927843181 -75.5420588581588</f>
        <v>-816.09842389427979</v>
      </c>
      <c r="W2743" t="s">
        <v>29417</v>
      </c>
      <c r="X2743" t="s">
        <v>29418</v>
      </c>
      <c r="Y2743" t="s">
        <v>29419</v>
      </c>
    </row>
    <row r="2744" spans="1:25" x14ac:dyDescent="0.3">
      <c r="A2744">
        <v>137150</v>
      </c>
      <c r="B2744" t="s">
        <v>29420</v>
      </c>
      <c r="C2744">
        <f>-642.313125434561 -46.5815903526654 -75.7294586513281</f>
        <v>-764.62417443855452</v>
      </c>
      <c r="D2744">
        <f>-654.114603129419 -52.8393118560871 -190.785023672847</f>
        <v>-897.73893865835316</v>
      </c>
      <c r="E2744">
        <f>-646.02285113316 -57.3748876061762 -288.971627110344</f>
        <v>-992.36936584968021</v>
      </c>
      <c r="F2744">
        <f>-632.01667232548 -61.4065781318659 -376.8682725735</f>
        <v>-1070.2915230308458</v>
      </c>
      <c r="G2744">
        <f>-611.069360405407 -65.2868354278727 -463.38064769098</f>
        <v>-1139.7368435242597</v>
      </c>
      <c r="H2744">
        <f>-574.617440830466 -70.5861434028508 -582.393164372382</f>
        <v>-1227.5967486056988</v>
      </c>
      <c r="I2744">
        <f>-527.983750508329 -67.799899357683 -651.114131693167</f>
        <v>-1246.8977815591788</v>
      </c>
      <c r="J2744">
        <f>-599.000029267063 -42.0938367610702 -533.741446026415</f>
        <v>-1174.8353120545482</v>
      </c>
      <c r="K2744" t="s">
        <v>29421</v>
      </c>
      <c r="L2744" t="s">
        <v>29422</v>
      </c>
      <c r="M2744" t="s">
        <v>29423</v>
      </c>
      <c r="N2744">
        <f>-582.316190240894 -94.414536576414 -526.301779547435</f>
        <v>-1203.0325063647429</v>
      </c>
      <c r="O2744">
        <f>-550.699927511888 -221.21896911065 -483.683763845151</f>
        <v>-1255.602660467689</v>
      </c>
      <c r="P2744">
        <f>-589.439776113529 -242.84975263874 -192.784099184824</f>
        <v>-1025.0736279370931</v>
      </c>
      <c r="Q2744">
        <f>-446.83239668519 -63.8858518521898 -268.189392200307</f>
        <v>-778.90764073768685</v>
      </c>
      <c r="R2744" t="s">
        <v>29424</v>
      </c>
      <c r="S2744" t="s">
        <v>29425</v>
      </c>
      <c r="T2744" t="s">
        <v>29426</v>
      </c>
      <c r="U2744" t="s">
        <v>29427</v>
      </c>
      <c r="V2744">
        <f>-606.90799060784 -133.824144008358 -75.400745700832</f>
        <v>-816.13288031702996</v>
      </c>
      <c r="W2744" t="s">
        <v>29428</v>
      </c>
      <c r="X2744" t="s">
        <v>29429</v>
      </c>
      <c r="Y2744" t="s">
        <v>29430</v>
      </c>
    </row>
    <row r="2745" spans="1:25" x14ac:dyDescent="0.3">
      <c r="A2745">
        <v>137200</v>
      </c>
      <c r="B2745" t="s">
        <v>29431</v>
      </c>
      <c r="C2745">
        <f>-643.893171193776 -45.8134642312123 -74.9293062548152</f>
        <v>-764.63594167980341</v>
      </c>
      <c r="D2745">
        <f>-655.547849315207 -51.5959291153571 -190.024756210034</f>
        <v>-897.16853464059818</v>
      </c>
      <c r="E2745">
        <f>-647.20738159764 -56.1791655040288 -288.188341600395</f>
        <v>-991.57488870206384</v>
      </c>
      <c r="F2745">
        <f>-632.933795562936 -60.4177402493185 -376.032099652289</f>
        <v>-1069.3836354645434</v>
      </c>
      <c r="G2745">
        <f>-611.679580814807 -64.6629786656272 -462.452453590772</f>
        <v>-1138.7950130712061</v>
      </c>
      <c r="H2745">
        <f>-574.761360344598 -70.6293241163766 -581.28965016155</f>
        <v>-1226.6803346225245</v>
      </c>
      <c r="I2745">
        <f>-527.761394134768 -68.082697861485 -649.769783080555</f>
        <v>-1245.6138750768082</v>
      </c>
      <c r="J2745">
        <f>-599.13118883013 -41.792172402882 -532.835077275145</f>
        <v>-1173.7584385081568</v>
      </c>
      <c r="K2745" t="s">
        <v>29432</v>
      </c>
      <c r="L2745" t="s">
        <v>29433</v>
      </c>
      <c r="M2745" t="s">
        <v>29434</v>
      </c>
      <c r="N2745">
        <f>-582.88332113708 -94.2154849171038 -525.155424346244</f>
        <v>-1202.2542304004278</v>
      </c>
      <c r="O2745">
        <f>-552.510286441729 -221.230934996375 -482.247996705665</f>
        <v>-1255.989218143769</v>
      </c>
      <c r="P2745">
        <f>-591.869514238886 -242.767447502308 -191.4246586117</f>
        <v>-1026.0616203528939</v>
      </c>
      <c r="Q2745">
        <f>-449.207181635109 -63.6115554696599 -266.267561100233</f>
        <v>-779.08629820500198</v>
      </c>
      <c r="R2745" t="s">
        <v>29435</v>
      </c>
      <c r="S2745" t="s">
        <v>29436</v>
      </c>
      <c r="T2745" t="s">
        <v>29437</v>
      </c>
      <c r="U2745" t="s">
        <v>29438</v>
      </c>
      <c r="V2745">
        <f>-609.873720575989 -133.305823691248 -74.6953811275417</f>
        <v>-817.87492539477864</v>
      </c>
      <c r="W2745" t="s">
        <v>29439</v>
      </c>
      <c r="X2745" t="s">
        <v>29440</v>
      </c>
      <c r="Y2745" t="s">
        <v>29441</v>
      </c>
    </row>
    <row r="2746" spans="1:25" x14ac:dyDescent="0.3">
      <c r="A2746">
        <v>137250</v>
      </c>
      <c r="B2746" t="s">
        <v>29442</v>
      </c>
      <c r="C2746">
        <f>-644.261828287216 -45.9105033319603 -74.4266137896718</f>
        <v>-764.59894540884807</v>
      </c>
      <c r="D2746">
        <f>-655.889314977831 -51.4916672161227 -189.53470913692</f>
        <v>-896.91569133087364</v>
      </c>
      <c r="E2746">
        <f>-647.45660411266 -56.1238155147247 -287.688105568002</f>
        <v>-991.2685251953867</v>
      </c>
      <c r="F2746">
        <f>-633.074717543207 -60.4855799548574 -375.508204344976</f>
        <v>-1069.0685018430404</v>
      </c>
      <c r="G2746">
        <f>-611.688711820393 -64.929388574433 -461.886041168967</f>
        <v>-1138.5041415637929</v>
      </c>
      <c r="H2746">
        <f>-574.563766201434 -71.2472977380716 -580.640628312148</f>
        <v>-1226.4516922516536</v>
      </c>
      <c r="I2746">
        <f>-527.35687116604 -68.8527233942291 -648.98389376302</f>
        <v>-1245.1934883232891</v>
      </c>
      <c r="J2746">
        <f>-598.94608870862 -42.241733165542 -532.292973262545</f>
        <v>-1173.480795136707</v>
      </c>
      <c r="K2746" t="s">
        <v>29443</v>
      </c>
      <c r="L2746" t="s">
        <v>29444</v>
      </c>
      <c r="M2746" t="s">
        <v>29445</v>
      </c>
      <c r="N2746">
        <f>-582.855091978182 -94.6924159347574 -524.472282705451</f>
        <v>-1202.0197906183903</v>
      </c>
      <c r="O2746">
        <f>-552.926796927256 -221.733397412808 -481.323389424099</f>
        <v>-1255.9835837641631</v>
      </c>
      <c r="P2746">
        <f>-592.554167204524 -243.079648289731 -190.522328509447</f>
        <v>-1026.1561440037021</v>
      </c>
      <c r="Q2746">
        <f>-450.616120911093 -63.3910255289139 -265.46545661871</f>
        <v>-779.47260305871691</v>
      </c>
      <c r="R2746" t="s">
        <v>29446</v>
      </c>
      <c r="S2746" t="s">
        <v>29447</v>
      </c>
      <c r="T2746" t="s">
        <v>29448</v>
      </c>
      <c r="U2746" t="s">
        <v>29449</v>
      </c>
      <c r="V2746">
        <f>-610.887776013661 -133.540619400991 -74.3485183750895</f>
        <v>-818.77691378974146</v>
      </c>
      <c r="W2746" t="s">
        <v>29450</v>
      </c>
      <c r="X2746" t="s">
        <v>29451</v>
      </c>
      <c r="Y2746" t="s">
        <v>29452</v>
      </c>
    </row>
    <row r="2747" spans="1:25" x14ac:dyDescent="0.3">
      <c r="A2747">
        <v>137300</v>
      </c>
      <c r="B2747" t="s">
        <v>29453</v>
      </c>
      <c r="C2747">
        <f>-644.582091721622 -45.7583796387103 -73.594841477474</f>
        <v>-763.93531283780624</v>
      </c>
      <c r="D2747">
        <f>-656.016604936932 -50.9943737246217 -188.738449315971</f>
        <v>-895.74942797752476</v>
      </c>
      <c r="E2747">
        <f>-647.368826286393 -55.8032739562231 -286.864622735355</f>
        <v>-990.03672297797107</v>
      </c>
      <c r="F2747">
        <f>-632.777713934138 -60.4962394293094 -374.633241850782</f>
        <v>-1067.9071952142294</v>
      </c>
      <c r="G2747">
        <f>-611.169472869827 -65.4355307993983 -460.928674540552</f>
        <v>-1137.5336782097772</v>
      </c>
      <c r="H2747">
        <f>-573.722843856485 -72.6085805557253 -579.533606621751</f>
        <v>-1225.8650310339613</v>
      </c>
      <c r="I2747">
        <f>-526.068993414819 -70.4899332209109 -647.575047128238</f>
        <v>-1244.1339737639678</v>
      </c>
      <c r="J2747">
        <f>-598.079924930128 -43.2011087953489 -531.416571098017</f>
        <v>-1172.6976048234937</v>
      </c>
      <c r="K2747" t="s">
        <v>29454</v>
      </c>
      <c r="L2747" t="s">
        <v>29455</v>
      </c>
      <c r="M2747" t="s">
        <v>29456</v>
      </c>
      <c r="N2747">
        <f>-582.322586805116 -95.7030154403459 -523.266277630112</f>
        <v>-1201.2918798755738</v>
      </c>
      <c r="O2747">
        <f>-553.360481798154 -222.783406296019 -479.523804582108</f>
        <v>-1255.6676926762811</v>
      </c>
      <c r="P2747">
        <f>-594.149630975668 -242.537333281355 -188.770992466695</f>
        <v>-1025.4579567237179</v>
      </c>
      <c r="Q2747">
        <f>-452.05007799963 -63.1962668337432 -264.238613285216</f>
        <v>-779.48495811858925</v>
      </c>
      <c r="R2747" t="s">
        <v>29457</v>
      </c>
      <c r="S2747" t="s">
        <v>29458</v>
      </c>
      <c r="T2747" t="s">
        <v>29459</v>
      </c>
      <c r="U2747" t="s">
        <v>29460</v>
      </c>
      <c r="V2747">
        <f>-612.532877721423 -133.288839764672 -73.6496207966927</f>
        <v>-819.47133828278766</v>
      </c>
      <c r="W2747" t="s">
        <v>29461</v>
      </c>
      <c r="X2747" t="s">
        <v>29462</v>
      </c>
      <c r="Y2747" t="s">
        <v>29463</v>
      </c>
    </row>
    <row r="2748" spans="1:25" x14ac:dyDescent="0.3">
      <c r="A2748">
        <v>137350</v>
      </c>
      <c r="B2748" t="s">
        <v>29464</v>
      </c>
      <c r="C2748">
        <f>-644.815477154139 -45.3402983689655 -73.3189305617258</f>
        <v>-763.47470608483025</v>
      </c>
      <c r="D2748">
        <f>-656.150517715065 -50.4739680091952 -188.477064868086</f>
        <v>-895.10155059234626</v>
      </c>
      <c r="E2748">
        <f>-647.394067079443 -55.3869306069339 -286.588489432223</f>
        <v>-989.36948711859986</v>
      </c>
      <c r="F2748">
        <f>-632.697475089422 -60.2399675553474 -374.330617620549</f>
        <v>-1067.2680602653186</v>
      </c>
      <c r="G2748">
        <f>-610.976999350972 -65.400827484454 -460.58497639507</f>
        <v>-1136.9628032304961</v>
      </c>
      <c r="H2748">
        <f>-573.367759702803 -72.9429595592931 -579.115470946541</f>
        <v>-1225.4261902086371</v>
      </c>
      <c r="I2748">
        <f>-525.477783936677 -70.9399977875423 -646.994583386172</f>
        <v>-1243.4123651103914</v>
      </c>
      <c r="J2748">
        <f>-597.72525620726 -43.3633070556083 -531.104401123986</f>
        <v>-1172.1929643868543</v>
      </c>
      <c r="K2748" t="s">
        <v>29465</v>
      </c>
      <c r="L2748" t="s">
        <v>29466</v>
      </c>
      <c r="M2748" t="s">
        <v>29467</v>
      </c>
      <c r="N2748">
        <f>-582.110226573468 -95.8847875588982 -522.807904508365</f>
        <v>-1200.8029186407311</v>
      </c>
      <c r="O2748">
        <f>-553.629075252812 -222.946603660334 -478.70159598077</f>
        <v>-1255.277274893916</v>
      </c>
      <c r="P2748">
        <f>-595.397931962631 -241.788408110091 -188.027231436885</f>
        <v>-1025.2135715096069</v>
      </c>
      <c r="Q2748">
        <f>-453.017281348893 -62.9428088629472 -264.137939937485</f>
        <v>-780.09803014932527</v>
      </c>
      <c r="R2748" t="s">
        <v>29468</v>
      </c>
      <c r="S2748" t="s">
        <v>29469</v>
      </c>
      <c r="T2748" t="s">
        <v>29470</v>
      </c>
      <c r="U2748" t="s">
        <v>29471</v>
      </c>
      <c r="V2748">
        <f>-613.240996795564 -132.89357388372 -73.426268887614</f>
        <v>-819.56083956689804</v>
      </c>
      <c r="W2748" t="s">
        <v>29472</v>
      </c>
      <c r="X2748" t="s">
        <v>29473</v>
      </c>
      <c r="Y2748" t="s">
        <v>29474</v>
      </c>
    </row>
    <row r="2749" spans="1:25" x14ac:dyDescent="0.3">
      <c r="A2749">
        <v>137400</v>
      </c>
      <c r="B2749" t="s">
        <v>29475</v>
      </c>
      <c r="C2749">
        <f>-645.856227464077 -44.4243089546272 -73.2105405433903</f>
        <v>-763.49107696209455</v>
      </c>
      <c r="D2749">
        <f>-656.889743504267 -49.4434259869378 -188.402839233704</f>
        <v>-894.73600872490874</v>
      </c>
      <c r="E2749">
        <f>-647.84616633043 -54.6874803183184 -286.471129183386</f>
        <v>-989.00477583213444</v>
      </c>
      <c r="F2749">
        <f>-632.882760192001 -59.9915603898074 -374.142170663207</f>
        <v>-1067.0164912450155</v>
      </c>
      <c r="G2749">
        <f>-610.889767516442 -65.7465477358024 -460.28989316943</f>
        <v>-1136.9262084216743</v>
      </c>
      <c r="H2749">
        <f>-572.896024362848 -74.258026513779 -578.631897023391</f>
        <v>-1225.7859479000181</v>
      </c>
      <c r="I2749">
        <f>-524.491765042862 -72.5596748925312 -646.153533948715</f>
        <v>-1243.2049738841083</v>
      </c>
      <c r="J2749">
        <f>-597.277700681832 -44.2417126963909 -530.904938866407</f>
        <v>-1172.42435224463</v>
      </c>
      <c r="K2749" t="s">
        <v>29476</v>
      </c>
      <c r="L2749" t="s">
        <v>29477</v>
      </c>
      <c r="M2749" t="s">
        <v>29478</v>
      </c>
      <c r="N2749">
        <f>-581.952777829852 -96.7834810147871 -522.205974953445</f>
        <v>-1200.9422337980841</v>
      </c>
      <c r="O2749">
        <f>-554.484501261799 -223.739610273465 -477.197046449187</f>
        <v>-1255.4211579844509</v>
      </c>
      <c r="P2749">
        <f>-598.284828823875 -240.572432230771 -186.698430088594</f>
        <v>-1025.55569114324</v>
      </c>
      <c r="Q2749">
        <f>-453.947661858274 -63.6585641056972 -263.634298327298</f>
        <v>-781.24052429126914</v>
      </c>
      <c r="R2749" t="s">
        <v>29479</v>
      </c>
      <c r="S2749" t="s">
        <v>29480</v>
      </c>
      <c r="T2749" t="s">
        <v>29481</v>
      </c>
      <c r="U2749" t="s">
        <v>29482</v>
      </c>
      <c r="V2749">
        <f>-615.094892082521 -132.261681616339 -73.2902275422681</f>
        <v>-820.64680124112817</v>
      </c>
      <c r="W2749" t="s">
        <v>29483</v>
      </c>
      <c r="X2749" t="s">
        <v>29484</v>
      </c>
      <c r="Y2749" t="s">
        <v>29485</v>
      </c>
    </row>
    <row r="2750" spans="1:25" x14ac:dyDescent="0.3">
      <c r="A2750">
        <v>137450</v>
      </c>
      <c r="B2750" t="s">
        <v>29486</v>
      </c>
      <c r="C2750">
        <f>-646.705035109167 -44.030262311333 -73.4158027050489</f>
        <v>-764.15110012554896</v>
      </c>
      <c r="D2750">
        <f>-657.483991371249 -48.984698890643 -188.635069794246</f>
        <v>-895.10376005613796</v>
      </c>
      <c r="E2750">
        <f>-648.221284896094 -54.4407542797032 -286.671263983334</f>
        <v>-989.33330315913122</v>
      </c>
      <c r="F2750">
        <f>-633.061811251246 -60.0340143937436 -374.290536575812</f>
        <v>-1067.3863622208016</v>
      </c>
      <c r="G2750">
        <f>-610.876126903611 -66.171556712913 -460.362466681394</f>
        <v>-1137.4101502979179</v>
      </c>
      <c r="H2750">
        <f>-572.617762482641 -75.3103311873551 -578.572434611239</f>
        <v>-1226.5005282812351</v>
      </c>
      <c r="I2750">
        <f>-523.941318761085 -73.8182357452624 -645.902935130393</f>
        <v>-1243.6624896367402</v>
      </c>
      <c r="J2750">
        <f>-597.035284066283 -45.0173011960437 -531.039015987987</f>
        <v>-1173.0916012503137</v>
      </c>
      <c r="K2750" t="s">
        <v>29487</v>
      </c>
      <c r="L2750" t="s">
        <v>29488</v>
      </c>
      <c r="M2750" t="s">
        <v>29489</v>
      </c>
      <c r="N2750">
        <f>-581.871474175472 -97.5603312968069 -522.069258470888</f>
        <v>-1201.5010639431671</v>
      </c>
      <c r="O2750">
        <f>-554.961760688333 -224.423309563015 -476.449041614182</f>
        <v>-1255.8341118655301</v>
      </c>
      <c r="P2750">
        <f>-599.850280118489 -240.162751105318 -186.055287242868</f>
        <v>-1026.068318466675</v>
      </c>
      <c r="Q2750">
        <f>-454.492282120866 -64.220556997797 -263.296828647703</f>
        <v>-782.00966776636596</v>
      </c>
      <c r="R2750" t="s">
        <v>29490</v>
      </c>
      <c r="S2750" t="s">
        <v>29491</v>
      </c>
      <c r="T2750" t="s">
        <v>29492</v>
      </c>
      <c r="U2750" t="s">
        <v>29493</v>
      </c>
      <c r="V2750">
        <f>-616.349305917208 -132.111711993946 -73.4853772142424</f>
        <v>-821.94639512539629</v>
      </c>
      <c r="W2750" t="s">
        <v>29494</v>
      </c>
      <c r="X2750" t="s">
        <v>29495</v>
      </c>
      <c r="Y2750" t="s">
        <v>29496</v>
      </c>
    </row>
    <row r="2751" spans="1:25" x14ac:dyDescent="0.3">
      <c r="A2751">
        <v>137500</v>
      </c>
      <c r="B2751" t="s">
        <v>29497</v>
      </c>
      <c r="C2751">
        <f>-648.974194753451 -42.9228919978157 -73.480412272758</f>
        <v>-765.3774990240247</v>
      </c>
      <c r="D2751">
        <f>-659.13583715013 -47.7694533717545 -188.760476567962</f>
        <v>-895.66576708984644</v>
      </c>
      <c r="E2751">
        <f>-649.258004703666 -53.807645496305 -286.702298816883</f>
        <v>-989.76794901685389</v>
      </c>
      <c r="F2751">
        <f>-633.515583741453 -60.1861846005473 -374.165034764496</f>
        <v>-1067.8668031064963</v>
      </c>
      <c r="G2751">
        <f>-610.725677180787 -67.3624173497896 -459.998499884774</f>
        <v>-1138.0865944153506</v>
      </c>
      <c r="H2751">
        <f>-571.606716941502 -78.2108551763192 -577.781386570118</f>
        <v>-1227.5989586879391</v>
      </c>
      <c r="I2751">
        <f>-522.270999223181 -77.3551350856392 -644.641660099019</f>
        <v>-1244.2677944078391</v>
      </c>
      <c r="J2751">
        <f>-596.203404989107 -47.1773353026202 -530.821573387557</f>
        <v>-1174.2023136792841</v>
      </c>
      <c r="K2751" t="s">
        <v>29498</v>
      </c>
      <c r="L2751" t="s">
        <v>29499</v>
      </c>
      <c r="M2751" t="s">
        <v>29500</v>
      </c>
      <c r="N2751">
        <f>-581.438660914549 -99.6966446781445 -521.080438686536</f>
        <v>-1202.2157442792295</v>
      </c>
      <c r="O2751">
        <f>-555.813906227724 -226.159352138475 -473.702339336035</f>
        <v>-1255.675597702234</v>
      </c>
      <c r="P2751">
        <f>-604.13162665879 -238.696488953646 -183.703366605105</f>
        <v>-1026.531482217541</v>
      </c>
      <c r="Q2751">
        <f>-456.081628490812 -65.4455399088696 -261.909548159794</f>
        <v>-783.4367165594756</v>
      </c>
      <c r="R2751" t="s">
        <v>29501</v>
      </c>
      <c r="S2751" t="s">
        <v>29502</v>
      </c>
      <c r="T2751" t="s">
        <v>29503</v>
      </c>
      <c r="U2751" t="s">
        <v>29504</v>
      </c>
      <c r="V2751">
        <f>-619.767628453972 -130.475402122534 -73.40123560065</f>
        <v>-823.64426617715594</v>
      </c>
      <c r="W2751" t="s">
        <v>29505</v>
      </c>
      <c r="X2751" t="s">
        <v>29506</v>
      </c>
      <c r="Y2751" t="s">
        <v>29507</v>
      </c>
    </row>
    <row r="2752" spans="1:25" x14ac:dyDescent="0.3">
      <c r="A2752">
        <v>137550</v>
      </c>
      <c r="B2752" t="s">
        <v>29508</v>
      </c>
      <c r="C2752">
        <f>-650.388915722507 -41.7626570398336 -73.1635017246209</f>
        <v>-765.31507448696152</v>
      </c>
      <c r="D2752">
        <f>-660.254730051984 -46.5837720576206 -188.470285557201</f>
        <v>-895.30878766680564</v>
      </c>
      <c r="E2752">
        <f>-650.024842355855 -53.0164655699978 -286.350878093747</f>
        <v>-989.39218601959965</v>
      </c>
      <c r="F2752">
        <f>-633.930237676606 -59.9176544226923 -373.7097959193</f>
        <v>-1067.5576880185984</v>
      </c>
      <c r="G2752">
        <f>-610.758923081288 -67.7817644869771 -459.380593728426</f>
        <v>-1137.9212812966912</v>
      </c>
      <c r="H2752">
        <f>-571.081306376502 -79.762513212929 -576.866644969094</f>
        <v>-1227.710464558525</v>
      </c>
      <c r="I2752">
        <f>-521.33676541089 -79.3487712954804 -643.427282677879</f>
        <v>-1244.1128193842496</v>
      </c>
      <c r="J2752">
        <f>-595.792782633269 -48.2426837148994 -530.292354655446</f>
        <v>-1174.3278210036144</v>
      </c>
      <c r="K2752" t="s">
        <v>29509</v>
      </c>
      <c r="L2752" t="s">
        <v>29510</v>
      </c>
      <c r="M2752" t="s">
        <v>29511</v>
      </c>
      <c r="N2752">
        <f>-581.290184001423 -100.737975198292 -520.041336977285</f>
        <v>-1202.069496177</v>
      </c>
      <c r="O2752">
        <f>-556.441148207783 -226.946741118454 -471.552964145611</f>
        <v>-1254.9408534718482</v>
      </c>
      <c r="P2752">
        <f>-606.760265117491 -237.25633120979 -181.806746816301</f>
        <v>-1025.823343143582</v>
      </c>
      <c r="Q2752">
        <f>-457.469160850307 -65.4357645138276 -260.804802496413</f>
        <v>-783.70972786054756</v>
      </c>
      <c r="R2752" t="s">
        <v>29512</v>
      </c>
      <c r="S2752" t="s">
        <v>29513</v>
      </c>
      <c r="T2752" t="s">
        <v>29514</v>
      </c>
      <c r="U2752" t="s">
        <v>29515</v>
      </c>
      <c r="V2752">
        <f>-621.633435465715 -129.119215128912 -72.9255074070859</f>
        <v>-823.67815800171297</v>
      </c>
      <c r="W2752" t="s">
        <v>29516</v>
      </c>
      <c r="X2752" t="s">
        <v>29517</v>
      </c>
      <c r="Y2752" t="s">
        <v>29518</v>
      </c>
    </row>
    <row r="2753" spans="1:25" x14ac:dyDescent="0.3">
      <c r="A2753">
        <v>137600</v>
      </c>
      <c r="B2753" t="s">
        <v>29519</v>
      </c>
      <c r="C2753">
        <f>-653.515401292663 -40.6442828671932 -72.8469687235705</f>
        <v>-767.00665288342668</v>
      </c>
      <c r="D2753">
        <f>-662.544922102844 -45.4765861703218 -188.221677384222</f>
        <v>-896.24318565738781</v>
      </c>
      <c r="E2753">
        <f>-651.366077911667 -52.8466255821972 -285.932328921946</f>
        <v>-990.14503241581031</v>
      </c>
      <c r="F2753">
        <f>-634.335674924089 -60.9631816490902 -373.008983058408</f>
        <v>-1068.3078396315871</v>
      </c>
      <c r="G2753">
        <f>-610.163200985495 -70.4075375765133 -458.242321272653</f>
        <v>-1138.8130598346613</v>
      </c>
      <c r="H2753">
        <f>-569.032197284149 -84.9735703923155 -574.933841188458</f>
        <v>-1228.9396088649225</v>
      </c>
      <c r="I2753">
        <f>-518.300019616712 -85.5711434309164 -640.743478865517</f>
        <v>-1244.6146419131455</v>
      </c>
      <c r="J2753">
        <f>-594.07543881538 -52.3555356176753 -529.30261150918</f>
        <v>-1175.7335859422353</v>
      </c>
      <c r="K2753" t="s">
        <v>29520</v>
      </c>
      <c r="L2753" t="s">
        <v>29521</v>
      </c>
      <c r="M2753" t="s">
        <v>29522</v>
      </c>
      <c r="N2753">
        <f>-580.18844770814 -104.772110261954 -517.864808018117</f>
        <v>-1202.8253659882109</v>
      </c>
      <c r="O2753">
        <f>-557.174764738892 -230.298312012402 -466.802870844762</f>
        <v>-1254.2759475960561</v>
      </c>
      <c r="P2753">
        <f>-611.966834428641 -235.575055408504 -177.733337246371</f>
        <v>-1025.275227083516</v>
      </c>
      <c r="Q2753">
        <f>-460.509362952979 -66.4877943972773 -258.486089542771</f>
        <v>-785.4832468930274</v>
      </c>
      <c r="R2753" t="s">
        <v>29523</v>
      </c>
      <c r="S2753" t="s">
        <v>29524</v>
      </c>
      <c r="T2753" t="s">
        <v>29525</v>
      </c>
      <c r="U2753" t="s">
        <v>29526</v>
      </c>
      <c r="V2753">
        <f>-625.036167902836 -128.953552492005 -72.4675669951305</f>
        <v>-826.4572873899715</v>
      </c>
      <c r="W2753" t="s">
        <v>29527</v>
      </c>
      <c r="X2753" t="s">
        <v>29528</v>
      </c>
      <c r="Y2753" t="s">
        <v>29529</v>
      </c>
    </row>
    <row r="2754" spans="1:25" x14ac:dyDescent="0.3">
      <c r="A2754">
        <v>137650</v>
      </c>
      <c r="B2754" t="s">
        <v>29530</v>
      </c>
      <c r="C2754">
        <f>-655.063024885457 -40.8659337281963 -73.096170629353</f>
        <v>-769.02512924300629</v>
      </c>
      <c r="D2754">
        <f>-663.506915053007 -45.733560371761 -188.513878047933</f>
        <v>-897.75435347270093</v>
      </c>
      <c r="E2754">
        <f>-651.721342179357 -53.6209034316468 -286.112753224835</f>
        <v>-991.45499883583875</v>
      </c>
      <c r="F2754">
        <f>-634.110343261118 -62.4000343533785 -373.009270720422</f>
        <v>-1069.5196483349187</v>
      </c>
      <c r="G2754">
        <f>-609.333547134734 -72.7012175501317 -457.969489153004</f>
        <v>-1140.0042538378698</v>
      </c>
      <c r="H2754">
        <f>-567.34150392189 -88.6657892946522 -574.170306946231</f>
        <v>-1230.1776001627732</v>
      </c>
      <c r="I2754">
        <f>-516.083714272181 -89.8523065841787 -639.563508012235</f>
        <v>-1245.4995288685948</v>
      </c>
      <c r="J2754">
        <f>-592.584643488339 -55.4579317266257 -529.07773488923</f>
        <v>-1177.1203101041947</v>
      </c>
      <c r="K2754" t="s">
        <v>29531</v>
      </c>
      <c r="L2754" t="s">
        <v>29532</v>
      </c>
      <c r="M2754" t="s">
        <v>29533</v>
      </c>
      <c r="N2754">
        <f>-579.055622559993 -107.823197345564 -516.994433203016</f>
        <v>-1203.873253108573</v>
      </c>
      <c r="O2754">
        <f>-556.94198685516 -232.90575682454 -464.494330627539</f>
        <v>-1254.342074307239</v>
      </c>
      <c r="P2754">
        <f>-614.178196164575 -235.559427744765 -175.862828876817</f>
        <v>-1025.6004527861569</v>
      </c>
      <c r="Q2754">
        <f>-462.018382786534 -67.5845822987752 -257.61081974668</f>
        <v>-787.21378483198919</v>
      </c>
      <c r="R2754" t="s">
        <v>29534</v>
      </c>
      <c r="S2754" t="s">
        <v>29535</v>
      </c>
      <c r="T2754" t="s">
        <v>29536</v>
      </c>
      <c r="U2754" t="s">
        <v>29537</v>
      </c>
      <c r="V2754">
        <f>-626.388973776779 -129.763163393986 -72.6313935145295</f>
        <v>-828.78353068529452</v>
      </c>
      <c r="W2754" t="s">
        <v>29538</v>
      </c>
      <c r="X2754" t="s">
        <v>29539</v>
      </c>
      <c r="Y2754" t="s">
        <v>29540</v>
      </c>
    </row>
    <row r="2755" spans="1:25" x14ac:dyDescent="0.3">
      <c r="A2755">
        <v>137700</v>
      </c>
      <c r="B2755" t="s">
        <v>29541</v>
      </c>
      <c r="C2755">
        <f>-658.168291477794 -41.3626628796983 -73.7504726609914</f>
        <v>-773.28142701848367</v>
      </c>
      <c r="D2755">
        <f>-665.499585883011 -46.3916266349615 -189.23726797307</f>
        <v>-901.12848049104264</v>
      </c>
      <c r="E2755">
        <f>-652.592561945467 -55.1329168975394 -286.621361043509</f>
        <v>-994.34683988651545</v>
      </c>
      <c r="F2755">
        <f>-633.925177523376 -64.9994872504891 -373.180150349437</f>
        <v>-1072.1048151233022</v>
      </c>
      <c r="G2755">
        <f>-608.0695619793 -76.7167358175677 -457.633878512333</f>
        <v>-1142.4201763092008</v>
      </c>
      <c r="H2755">
        <f>-564.566543441396 -95.0154793912163 -572.931013551601</f>
        <v>-1232.5130363842134</v>
      </c>
      <c r="I2755">
        <f>-512.264790741378 -97.3285665758747 -637.46167301071</f>
        <v>-1247.0550303279626</v>
      </c>
      <c r="J2755">
        <f>-590.104770264298 -60.8129435691253 -528.757530731185</f>
        <v>-1179.6752445646084</v>
      </c>
      <c r="K2755" t="s">
        <v>29542</v>
      </c>
      <c r="L2755" t="s">
        <v>29543</v>
      </c>
      <c r="M2755" t="s">
        <v>29544</v>
      </c>
      <c r="N2755">
        <f>-577.315328087927 -113.113122932532 -515.631350906653</f>
        <v>-1206.0598019271119</v>
      </c>
      <c r="O2755">
        <f>-556.695306410862 -237.575966623688 -461.015396145558</f>
        <v>-1255.286669180108</v>
      </c>
      <c r="P2755">
        <f>-618.167426028286 -236.179755822398 -173.247379903928</f>
        <v>-1027.594561754612</v>
      </c>
      <c r="Q2755">
        <f>-464.228948784869 -70.626597133391 -256.589995847767</f>
        <v>-791.44554176602696</v>
      </c>
      <c r="R2755" t="s">
        <v>29545</v>
      </c>
      <c r="S2755" t="s">
        <v>29546</v>
      </c>
      <c r="T2755" t="s">
        <v>29547</v>
      </c>
      <c r="U2755" t="s">
        <v>29548</v>
      </c>
      <c r="V2755">
        <f>-627.861278768452 -130.780084153875 -73.1445852487889</f>
        <v>-831.78594817111593</v>
      </c>
      <c r="W2755" t="s">
        <v>29549</v>
      </c>
      <c r="X2755" t="s">
        <v>29550</v>
      </c>
      <c r="Y2755" t="s">
        <v>29551</v>
      </c>
    </row>
    <row r="2756" spans="1:25" x14ac:dyDescent="0.3">
      <c r="A2756">
        <v>137750</v>
      </c>
      <c r="B2756" t="s">
        <v>29552</v>
      </c>
      <c r="C2756">
        <f>-659.067404730945 -41.1475289182179 -74.21700283289</f>
        <v>-774.43193648205283</v>
      </c>
      <c r="D2756">
        <f>-666.094286782936 -46.2436317798963 -189.719699289075</f>
        <v>-902.05761785190737</v>
      </c>
      <c r="E2756">
        <f>-652.940497218769 -55.1706727410001 -287.053876305579</f>
        <v>-995.16504626534811</v>
      </c>
      <c r="F2756">
        <f>-634.064571267299 -65.2789778245881 -373.539520784353</f>
        <v>-1072.8830698762401</v>
      </c>
      <c r="G2756">
        <f>-608.021546588431 -77.3229061025838 -457.889679065461</f>
        <v>-1143.2341317564758</v>
      </c>
      <c r="H2756">
        <f>-564.284779431842 -96.1781518065793 -573.008754438199</f>
        <v>-1233.4716856766204</v>
      </c>
      <c r="I2756">
        <f>-511.603624442487 -98.7811923459972 -637.218880333645</f>
        <v>-1247.6036971221292</v>
      </c>
      <c r="J2756">
        <f>-589.80932460032 -61.7292560915885 -529.019048739062</f>
        <v>-1180.5576294309703</v>
      </c>
      <c r="K2756" t="s">
        <v>29553</v>
      </c>
      <c r="L2756" t="s">
        <v>29554</v>
      </c>
      <c r="M2756" t="s">
        <v>29555</v>
      </c>
      <c r="N2756">
        <f>-577.253157380434 -114.032562127565 -515.681942837489</f>
        <v>-1206.967662345488</v>
      </c>
      <c r="O2756">
        <f>-557.050767206893 -238.444412454044 -460.701613387096</f>
        <v>-1256.1967930480332</v>
      </c>
      <c r="P2756">
        <f>-619.566334188618 -236.125213890954 -173.164397537124</f>
        <v>-1028.8559456166961</v>
      </c>
      <c r="Q2756">
        <f>-464.444152219905 -71.6419071361544 -256.430255199351</f>
        <v>-792.51631455541042</v>
      </c>
      <c r="R2756" t="s">
        <v>29556</v>
      </c>
      <c r="S2756" t="s">
        <v>29557</v>
      </c>
      <c r="T2756" t="s">
        <v>29558</v>
      </c>
      <c r="U2756" t="s">
        <v>29559</v>
      </c>
      <c r="V2756">
        <f>-627.632901716351 -130.595784798338 -73.7419456711397</f>
        <v>-831.97063218582855</v>
      </c>
      <c r="W2756" t="s">
        <v>29560</v>
      </c>
      <c r="X2756" t="s">
        <v>29561</v>
      </c>
      <c r="Y2756" t="s">
        <v>29562</v>
      </c>
    </row>
    <row r="2757" spans="1:25" x14ac:dyDescent="0.3">
      <c r="A2757">
        <v>137800</v>
      </c>
      <c r="B2757" t="s">
        <v>29563</v>
      </c>
      <c r="C2757">
        <f>-659.415497007349 -41.0921834970654 -74.8698176943713</f>
        <v>-775.37749819878582</v>
      </c>
      <c r="D2757">
        <f>-666.562821623738 -46.3514018550137 -190.357786887451</f>
        <v>-903.27201036620272</v>
      </c>
      <c r="E2757">
        <f>-653.49516762994 -55.2619003469383 -287.705119321245</f>
        <v>-996.46218729812335</v>
      </c>
      <c r="F2757">
        <f>-634.692252724837 -65.3121950360818 -374.213454100788</f>
        <v>-1074.2179018617067</v>
      </c>
      <c r="G2757">
        <f>-608.719438147429 -77.2652409328314 -458.598077155519</f>
        <v>-1144.5827562357792</v>
      </c>
      <c r="H2757">
        <f>-565.079444729438 -95.9693267232585 -573.778429559311</f>
        <v>-1234.8272010120077</v>
      </c>
      <c r="I2757">
        <f>-512.17371418338 -98.507501415509 -637.806283961639</f>
        <v>-1248.4874995605278</v>
      </c>
      <c r="J2757">
        <f>-590.555035846745 -61.5744778319794 -529.718372142819</f>
        <v>-1181.8478858215435</v>
      </c>
      <c r="K2757" t="s">
        <v>29564</v>
      </c>
      <c r="L2757" t="s">
        <v>29565</v>
      </c>
      <c r="M2757" t="s">
        <v>29566</v>
      </c>
      <c r="N2757">
        <f>-578.011458277567 -113.902813268316 -516.468307920331</f>
        <v>-1208.3825794662139</v>
      </c>
      <c r="O2757">
        <f>-557.910031475115 -238.409047780383 -461.652344787546</f>
        <v>-1257.971424043044</v>
      </c>
      <c r="P2757">
        <f>-620.654737272687 -236.153621454426 -174.164578937924</f>
        <v>-1030.9729376650371</v>
      </c>
      <c r="Q2757">
        <f>-464.508392509682 -72.3182347584998 -256.791238876382</f>
        <v>-793.61786614456378</v>
      </c>
      <c r="R2757" t="s">
        <v>29567</v>
      </c>
      <c r="S2757" t="s">
        <v>29568</v>
      </c>
      <c r="T2757" t="s">
        <v>29569</v>
      </c>
      <c r="U2757" t="s">
        <v>29570</v>
      </c>
      <c r="V2757">
        <f>-627.459845689601 -130.674878561123 -74.3739508003019</f>
        <v>-832.50867505102599</v>
      </c>
      <c r="W2757" t="s">
        <v>29571</v>
      </c>
      <c r="X2757" t="s">
        <v>29572</v>
      </c>
      <c r="Y2757" t="s">
        <v>29573</v>
      </c>
    </row>
    <row r="2758" spans="1:25" x14ac:dyDescent="0.3">
      <c r="A2758">
        <v>137850</v>
      </c>
      <c r="B2758" t="s">
        <v>29574</v>
      </c>
      <c r="C2758">
        <f>-658.90546265904 -42.1108279845664 -76.2624795558177</f>
        <v>-777.27877019942412</v>
      </c>
      <c r="D2758">
        <f>-666.802212841495 -47.7098478078634 -191.685665730307</f>
        <v>-906.19772637966548</v>
      </c>
      <c r="E2758">
        <f>-654.509466490945 -56.0606951094728 -289.183428224599</f>
        <v>-999.75358982501689</v>
      </c>
      <c r="F2758">
        <f>-636.44670058085 -65.2934525686865 -375.940239424171</f>
        <v>-1077.6803925737074</v>
      </c>
      <c r="G2758">
        <f>-611.243562464524 -76.1333537791454 -460.707691602226</f>
        <v>-1148.0846078458953</v>
      </c>
      <c r="H2758">
        <f>-568.698911537081 -92.9903444315188 -576.580908900032</f>
        <v>-1238.2701648686318</v>
      </c>
      <c r="I2758">
        <f>-515.981213469013 -94.6081741313776 -640.793514995559</f>
        <v>-1251.3829025959496</v>
      </c>
      <c r="J2758">
        <f>-593.921957356016 -59.3601898639718 -531.79123895891</f>
        <v>-1185.0733861788976</v>
      </c>
      <c r="K2758" t="s">
        <v>29575</v>
      </c>
      <c r="L2758" t="s">
        <v>29576</v>
      </c>
      <c r="M2758" t="s">
        <v>29577</v>
      </c>
      <c r="N2758">
        <f>-580.919401698921 -111.784688598156 -519.390584137671</f>
        <v>-1212.094674434748</v>
      </c>
      <c r="O2758">
        <f>-559.741597231071 -236.880974983038 -466.472697724846</f>
        <v>-1263.095269938955</v>
      </c>
      <c r="P2758">
        <f>-621.193261735637 -237.629573768602 -178.697816094563</f>
        <v>-1037.520651598802</v>
      </c>
      <c r="Q2758">
        <f>-464.158311509774 -73.3631489930959 -258.744346483923</f>
        <v>-796.26580698679288</v>
      </c>
      <c r="R2758" t="s">
        <v>29578</v>
      </c>
      <c r="S2758" t="s">
        <v>29579</v>
      </c>
      <c r="T2758" t="s">
        <v>29580</v>
      </c>
      <c r="U2758" t="s">
        <v>29581</v>
      </c>
      <c r="V2758">
        <f>-625.591528278733 -131.283762222465 -75.6180801718961</f>
        <v>-832.49337067309398</v>
      </c>
      <c r="W2758" t="s">
        <v>29582</v>
      </c>
      <c r="X2758" t="s">
        <v>29583</v>
      </c>
      <c r="Y2758" t="s">
        <v>29584</v>
      </c>
    </row>
    <row r="2759" spans="1:25" x14ac:dyDescent="0.3">
      <c r="A2759">
        <v>137900</v>
      </c>
      <c r="B2759" t="s">
        <v>29585</v>
      </c>
      <c r="C2759">
        <f>-658.958839588338 -44.1247638027937 -77.1408818914335</f>
        <v>-780.2244852825653</v>
      </c>
      <c r="D2759">
        <f>-667.817027935724 -49.7007162947161 -192.495359258667</f>
        <v>-910.01310348910715</v>
      </c>
      <c r="E2759">
        <f>-656.767316744243 -57.3125121414854 -290.202194543637</f>
        <v>-1004.2820234293654</v>
      </c>
      <c r="F2759">
        <f>-639.973809867093 -65.5994953049069 -377.308685122054</f>
        <v>-1082.8819902940538</v>
      </c>
      <c r="G2759">
        <f>-616.16663459363 -75.2206694117145 -462.625130923528</f>
        <v>-1154.0124349288726</v>
      </c>
      <c r="H2759">
        <f>-575.685004453582 -90.0969593113132 -579.504357244399</f>
        <v>-1245.2863210092942</v>
      </c>
      <c r="I2759">
        <f>-523.689650128395 -90.2951052444914 -644.32311325292</f>
        <v>-1258.3078686258063</v>
      </c>
      <c r="J2759">
        <f>-600.345642371159 -57.3151157211394 -533.782120930767</f>
        <v>-1191.4428790230654</v>
      </c>
      <c r="K2759" t="s">
        <v>29586</v>
      </c>
      <c r="L2759" t="s">
        <v>29587</v>
      </c>
      <c r="M2759" t="s">
        <v>29588</v>
      </c>
      <c r="N2759">
        <f>-586.652274451217 -109.786205422869 -522.361023707857</f>
        <v>-1218.7995035819431</v>
      </c>
      <c r="O2759">
        <f>-563.387163442992 -235.322118616759 -471.438613178206</f>
        <v>-1270.1478952379571</v>
      </c>
      <c r="P2759">
        <f>-621.578362682604 -239.882763176801 -183.022011412637</f>
        <v>-1044.4831372720421</v>
      </c>
      <c r="Q2759">
        <f>-465.626193328679 -74.1597528754305 -262.178130376741</f>
        <v>-801.96407658085047</v>
      </c>
      <c r="R2759" t="s">
        <v>29589</v>
      </c>
      <c r="S2759" t="s">
        <v>29590</v>
      </c>
      <c r="T2759" t="s">
        <v>29591</v>
      </c>
      <c r="U2759" t="s">
        <v>29592</v>
      </c>
      <c r="V2759">
        <f>-625.335659238371 -132.842797865679 -76.3627957398027</f>
        <v>-834.5412528438527</v>
      </c>
      <c r="W2759" t="s">
        <v>29593</v>
      </c>
      <c r="X2759" t="s">
        <v>29594</v>
      </c>
      <c r="Y2759" t="s">
        <v>29595</v>
      </c>
    </row>
    <row r="2760" spans="1:25" x14ac:dyDescent="0.3">
      <c r="A2760">
        <v>137950</v>
      </c>
      <c r="B2760" t="s">
        <v>29596</v>
      </c>
      <c r="C2760">
        <f>-658.627987720073 -45.6134072457933 -77.4016389725053</f>
        <v>-781.64303393837156</v>
      </c>
      <c r="D2760">
        <f>-667.970869904412 -51.0614177064466 -192.723976108824</f>
        <v>-911.75626371968258</v>
      </c>
      <c r="E2760">
        <f>-657.609259593551 -58.3674853437836 -290.52944777616</f>
        <v>-1006.5061927134946</v>
      </c>
      <c r="F2760">
        <f>-641.536609764373 -66.2970141982489 -377.805069251046</f>
        <v>-1085.6386932136679</v>
      </c>
      <c r="G2760">
        <f>-618.538839553147 -75.4783204006757 -463.391585027295</f>
        <v>-1157.4087449811177</v>
      </c>
      <c r="H2760">
        <f>-579.270628107528 -89.6528998453118 -580.770920774779</f>
        <v>-1249.6944487276187</v>
      </c>
      <c r="I2760">
        <f>-527.694104579056 -89.1880338886386 -645.921971777608</f>
        <v>-1262.8041102453026</v>
      </c>
      <c r="J2760">
        <f>-603.561756251876 -57.1810615341971 -534.631647869261</f>
        <v>-1195.374465655334</v>
      </c>
      <c r="K2760" t="s">
        <v>29597</v>
      </c>
      <c r="L2760" t="s">
        <v>29598</v>
      </c>
      <c r="M2760" t="s">
        <v>29599</v>
      </c>
      <c r="N2760">
        <f>-589.539547196996 -109.649593192828 -523.604530645925</f>
        <v>-1222.793671035749</v>
      </c>
      <c r="O2760">
        <f>-565.368284011444 -235.306091590005 -473.408249624411</f>
        <v>-1274.0826252258598</v>
      </c>
      <c r="P2760">
        <f>-621.59334253484 -240.944538611001 -184.620821473985</f>
        <v>-1047.158702619826</v>
      </c>
      <c r="Q2760">
        <f>-466.110111041459 -74.9351257782209 -264.098657245183</f>
        <v>-805.14389406486293</v>
      </c>
      <c r="R2760" t="s">
        <v>29600</v>
      </c>
      <c r="S2760" t="s">
        <v>29601</v>
      </c>
      <c r="T2760" t="s">
        <v>29602</v>
      </c>
      <c r="U2760" t="s">
        <v>29603</v>
      </c>
      <c r="V2760">
        <f>-624.915649204316 -134.451516295595 -76.8309561783761</f>
        <v>-836.19812167828707</v>
      </c>
      <c r="W2760" t="s">
        <v>29604</v>
      </c>
      <c r="X2760" t="s">
        <v>29605</v>
      </c>
      <c r="Y2760" t="s">
        <v>29606</v>
      </c>
    </row>
    <row r="2761" spans="1:25" x14ac:dyDescent="0.3">
      <c r="A2761">
        <v>138000</v>
      </c>
      <c r="B2761" t="s">
        <v>29607</v>
      </c>
      <c r="C2761">
        <f>-657.689178678249 -48.7399297852161 -77.5169534791268</f>
        <v>-783.94606194259188</v>
      </c>
      <c r="D2761">
        <f>-668.055190808074 -53.9088754404883 -192.764778933887</f>
        <v>-914.72884518244928</v>
      </c>
      <c r="E2761">
        <f>-658.855950506996 -60.5337445682643 -290.734911779537</f>
        <v>-1010.1246068547973</v>
      </c>
      <c r="F2761">
        <f>-643.931215077264 -67.668825852697 -378.282440373381</f>
        <v>-1089.882481303342</v>
      </c>
      <c r="G2761">
        <f>-622.165079195586 -75.8736706836391 -464.289242998315</f>
        <v>-1162.3279928775401</v>
      </c>
      <c r="H2761">
        <f>-584.690810832995 -88.4930958983931 -582.429972250245</f>
        <v>-1255.6138789816332</v>
      </c>
      <c r="I2761">
        <f>-533.795133923157 -86.8508537238257 -648.095470568935</f>
        <v>-1268.7414582159176</v>
      </c>
      <c r="J2761">
        <f>-608.528358250237 -56.7200249312631 -535.573264173124</f>
        <v>-1200.821647354624</v>
      </c>
      <c r="K2761" t="s">
        <v>29608</v>
      </c>
      <c r="L2761" t="s">
        <v>29609</v>
      </c>
      <c r="M2761" t="s">
        <v>29610</v>
      </c>
      <c r="N2761">
        <f>-593.834500148475 -109.159852435123 -525.31085676894</f>
        <v>-1228.305209352538</v>
      </c>
      <c r="O2761">
        <f>-568.012144572186 -235.075214380996 -476.564312942922</f>
        <v>-1279.6516718961041</v>
      </c>
      <c r="P2761">
        <f>-621.281878287059 -242.156661241422 -187.248802483483</f>
        <v>-1050.6873420119639</v>
      </c>
      <c r="Q2761">
        <f>-467.196317649516 -75.461692133786 -268.003462867058</f>
        <v>-810.66147265035988</v>
      </c>
      <c r="R2761" t="s">
        <v>29611</v>
      </c>
      <c r="S2761" t="s">
        <v>29612</v>
      </c>
      <c r="T2761" t="s">
        <v>29613</v>
      </c>
      <c r="U2761" t="s">
        <v>29614</v>
      </c>
      <c r="V2761">
        <f>-623.490585465955 -137.278452009627 -77.5029796054579</f>
        <v>-838.27201708103985</v>
      </c>
      <c r="W2761" t="s">
        <v>29615</v>
      </c>
      <c r="X2761" t="s">
        <v>29616</v>
      </c>
      <c r="Y2761" t="s">
        <v>29617</v>
      </c>
    </row>
    <row r="2762" spans="1:25" x14ac:dyDescent="0.3">
      <c r="A2762">
        <v>138050</v>
      </c>
      <c r="B2762" t="s">
        <v>29618</v>
      </c>
      <c r="C2762">
        <f>-657.122757523377 -50.0161575119727 -77.4379628316721</f>
        <v>-784.57687786702172</v>
      </c>
      <c r="D2762">
        <f>-667.928940575295 -55.1711972654558 -192.646005412104</f>
        <v>-915.74614325285484</v>
      </c>
      <c r="E2762">
        <f>-659.138327605351 -61.4332425507851 -290.677428049193</f>
        <v>-1011.2489982053291</v>
      </c>
      <c r="F2762">
        <f>-644.588908608814 -68.1052280440239 -378.324679889718</f>
        <v>-1091.0188165425559</v>
      </c>
      <c r="G2762">
        <f>-623.19975092972 -75.7131725745586 -464.480720817618</f>
        <v>-1163.3936443218968</v>
      </c>
      <c r="H2762">
        <f>-586.249704486563 -87.3615139422541 -582.885984993987</f>
        <v>-1256.497203422804</v>
      </c>
      <c r="I2762">
        <f>-535.574750405646 -85.1071662116822 -648.703864774177</f>
        <v>-1269.3857813915051</v>
      </c>
      <c r="J2762">
        <f>-610.019320425734 -56.0218352816661 -535.704010440948</f>
        <v>-1201.7451661483481</v>
      </c>
      <c r="K2762" t="s">
        <v>29619</v>
      </c>
      <c r="L2762" t="s">
        <v>29620</v>
      </c>
      <c r="M2762" t="s">
        <v>29621</v>
      </c>
      <c r="N2762">
        <f>-594.999881577809 -108.449504282901 -525.859406623512</f>
        <v>-1229.3087924842221</v>
      </c>
      <c r="O2762">
        <f>-568.354494251614 -234.541065364038 -477.968396400867</f>
        <v>-1280.8639560165191</v>
      </c>
      <c r="P2762">
        <f>-620.277547551641 -242.78692501191 -188.439127843739</f>
        <v>-1051.5036004072899</v>
      </c>
      <c r="Q2762">
        <f>-466.861362594678 -75.5580312063546 -269.363894433405</f>
        <v>-811.78328823443758</v>
      </c>
      <c r="R2762" t="s">
        <v>29622</v>
      </c>
      <c r="S2762" t="s">
        <v>29623</v>
      </c>
      <c r="T2762" t="s">
        <v>29624</v>
      </c>
      <c r="U2762" t="s">
        <v>29625</v>
      </c>
      <c r="V2762">
        <f>-622.742410350478 -138.535354054854 -77.577551246468</f>
        <v>-838.85531565180008</v>
      </c>
      <c r="W2762" t="s">
        <v>29626</v>
      </c>
      <c r="X2762" t="s">
        <v>29627</v>
      </c>
      <c r="Y2762" t="s">
        <v>29628</v>
      </c>
    </row>
    <row r="2763" spans="1:25" x14ac:dyDescent="0.3">
      <c r="A2763">
        <v>138100</v>
      </c>
      <c r="B2763" t="s">
        <v>29629</v>
      </c>
      <c r="C2763">
        <f>-656.444711808954 -52.0120995458298 -77.2663126891379</f>
        <v>-785.72312404392164</v>
      </c>
      <c r="D2763">
        <f>-667.889821349078 -57.3572954262524 -192.403890970558</f>
        <v>-917.65100774588848</v>
      </c>
      <c r="E2763">
        <f>-659.785477583656 -62.9658849515507 -290.534072290322</f>
        <v>-1013.2854348255287</v>
      </c>
      <c r="F2763">
        <f>-645.898411790865 -68.735640289583 -378.35260291229</f>
        <v>-1092.9866549927381</v>
      </c>
      <c r="G2763">
        <f>-625.205683953481 -75.135497620066 -464.776612602545</f>
        <v>-1165.117794176092</v>
      </c>
      <c r="H2763">
        <f>-589.255239265048 -84.7832622629342 -583.668505612381</f>
        <v>-1257.7070071403632</v>
      </c>
      <c r="I2763">
        <f>-538.916150762373 -81.214139391207 -649.685619196205</f>
        <v>-1269.8159093497852</v>
      </c>
      <c r="J2763">
        <f>-612.90821287344 -54.3415452391395 -535.844339883955</f>
        <v>-1203.0940979965344</v>
      </c>
      <c r="K2763" t="s">
        <v>29630</v>
      </c>
      <c r="L2763" t="s">
        <v>29631</v>
      </c>
      <c r="M2763" t="s">
        <v>29632</v>
      </c>
      <c r="N2763">
        <f>-597.24225439585 -106.733902553596 -526.855731518651</f>
        <v>-1230.8318884680971</v>
      </c>
      <c r="O2763">
        <f>-568.832713551948 -233.068855501615 -480.738779280787</f>
        <v>-1282.6403483343499</v>
      </c>
      <c r="P2763">
        <f>-618.206770543806 -244.506201866691 -190.872207074832</f>
        <v>-1053.585179485329</v>
      </c>
      <c r="Q2763">
        <f>-466.515701093429 -75.2988244060622 -270.932168514613</f>
        <v>-812.74669401410415</v>
      </c>
      <c r="R2763" t="s">
        <v>29633</v>
      </c>
      <c r="S2763" t="s">
        <v>29634</v>
      </c>
      <c r="T2763" t="s">
        <v>29635</v>
      </c>
      <c r="U2763" t="s">
        <v>29636</v>
      </c>
      <c r="V2763">
        <f>-621.426793806601 -140.321877844971 -77.4592552673423</f>
        <v>-839.20792691891438</v>
      </c>
      <c r="W2763" t="s">
        <v>29637</v>
      </c>
      <c r="X2763" t="s">
        <v>29638</v>
      </c>
      <c r="Y2763" t="s">
        <v>29639</v>
      </c>
    </row>
    <row r="2764" spans="1:25" x14ac:dyDescent="0.3">
      <c r="A2764">
        <v>138150</v>
      </c>
      <c r="B2764" t="s">
        <v>29640</v>
      </c>
      <c r="C2764">
        <f>-656.181042342782 -52.993619209768 -77.2733131390489</f>
        <v>-786.44797469159892</v>
      </c>
      <c r="D2764">
        <f>-667.874251683477 -58.4404302028087 -192.381170012957</f>
        <v>-918.69585189924271</v>
      </c>
      <c r="E2764">
        <f>-660.122773695513 -63.8709569330449 -290.54979707377</f>
        <v>-1014.543527702328</v>
      </c>
      <c r="F2764">
        <f>-646.605587342921 -69.3820169785166 -378.442724622435</f>
        <v>-1094.4303289438726</v>
      </c>
      <c r="G2764">
        <f>-626.329205956524 -75.4284767395509 -464.990691921989</f>
        <v>-1166.748374618064</v>
      </c>
      <c r="H2764">
        <f>-591.004859060448 -84.487685298975 -584.116383264487</f>
        <v>-1259.6089276239099</v>
      </c>
      <c r="I2764">
        <f>-540.805437910841 -80.4002237809932 -650.209813945232</f>
        <v>-1271.4154756370663</v>
      </c>
      <c r="J2764">
        <f>-614.490566293054 -54.3125865433179 -536.041448665225</f>
        <v>-1204.844601501597</v>
      </c>
      <c r="K2764" t="s">
        <v>29641</v>
      </c>
      <c r="L2764" t="s">
        <v>29642</v>
      </c>
      <c r="M2764" t="s">
        <v>29643</v>
      </c>
      <c r="N2764">
        <f>-598.608192905626 -106.689707108058 -527.348633146625</f>
        <v>-1232.646533160309</v>
      </c>
      <c r="O2764">
        <f>-569.450295950137 -233.062249339312 -481.845825875556</f>
        <v>-1284.3583711650049</v>
      </c>
      <c r="P2764">
        <f>-617.119495459848 -246.11790980564 -191.762409730979</f>
        <v>-1054.999814996467</v>
      </c>
      <c r="Q2764">
        <f>-466.532059717568 -75.7501543206841 -271.443758666995</f>
        <v>-813.72597270524716</v>
      </c>
      <c r="R2764" t="s">
        <v>29644</v>
      </c>
      <c r="S2764" t="s">
        <v>29645</v>
      </c>
      <c r="T2764" t="s">
        <v>29646</v>
      </c>
      <c r="U2764" t="s">
        <v>29647</v>
      </c>
      <c r="V2764">
        <f>-620.973309008282 -141.597826511425 -77.5237978148956</f>
        <v>-840.09493333460262</v>
      </c>
      <c r="W2764" t="s">
        <v>29648</v>
      </c>
      <c r="X2764" t="s">
        <v>29649</v>
      </c>
      <c r="Y2764" t="s">
        <v>29650</v>
      </c>
    </row>
    <row r="2765" spans="1:25" x14ac:dyDescent="0.3">
      <c r="A2765">
        <v>138200</v>
      </c>
      <c r="B2765" t="s">
        <v>29651</v>
      </c>
      <c r="C2765">
        <f>-655.696052651425 -54.4484365600904 -77.4390548572281</f>
        <v>-787.58354406874355</v>
      </c>
      <c r="D2765">
        <f>-667.729867875547 -59.8503354123764 -192.514052822347</f>
        <v>-920.09425611027041</v>
      </c>
      <c r="E2765">
        <f>-660.557879910603 -65.1045712278652 -290.7362557947</f>
        <v>-1016.3987069331682</v>
      </c>
      <c r="F2765">
        <f>-647.673123866419 -70.4017347963425 -378.737175489844</f>
        <v>-1096.8120341526055</v>
      </c>
      <c r="G2765">
        <f>-628.131194363187 -76.1799063840389 -465.472148341153</f>
        <v>-1169.7832490883789</v>
      </c>
      <c r="H2765">
        <f>-593.932200540521 -84.8077008986105 -584.957829273779</f>
        <v>-1263.6977307129105</v>
      </c>
      <c r="I2765">
        <f>-543.865882153647 -79.8795712464059 -651.094744520468</f>
        <v>-1274.8401979205209</v>
      </c>
      <c r="J2765">
        <f>-617.027976903723 -54.8297400909735 -536.571714798219</f>
        <v>-1208.4294317929155</v>
      </c>
      <c r="K2765" t="s">
        <v>29652</v>
      </c>
      <c r="L2765" t="s">
        <v>29653</v>
      </c>
      <c r="M2765" t="s">
        <v>29654</v>
      </c>
      <c r="N2765">
        <f>-600.935038290471 -107.192371019764 -528.184488340195</f>
        <v>-1236.31189765043</v>
      </c>
      <c r="O2765">
        <f>-570.804901085777 -233.585188775833 -483.244936088924</f>
        <v>-1287.6350259505341</v>
      </c>
      <c r="P2765">
        <f>-615.244467452218 -247.818211475799 -192.704488970447</f>
        <v>-1055.7671678984641</v>
      </c>
      <c r="Q2765">
        <f>-466.884944207163 -76.1468995790152 -273.755524897586</f>
        <v>-816.78736868376427</v>
      </c>
      <c r="R2765" t="s">
        <v>29655</v>
      </c>
      <c r="S2765" t="s">
        <v>29656</v>
      </c>
      <c r="T2765" t="s">
        <v>29657</v>
      </c>
      <c r="U2765" t="s">
        <v>29658</v>
      </c>
      <c r="V2765">
        <f>-620.581807558918 -143.441881613849 -77.9007898244221</f>
        <v>-841.924478997189</v>
      </c>
      <c r="W2765" t="s">
        <v>29659</v>
      </c>
      <c r="X2765" t="s">
        <v>29660</v>
      </c>
      <c r="Y2765" t="s">
        <v>29661</v>
      </c>
    </row>
    <row r="2766" spans="1:25" x14ac:dyDescent="0.3">
      <c r="A2766">
        <v>138250</v>
      </c>
      <c r="B2766" t="s">
        <v>29662</v>
      </c>
      <c r="C2766">
        <f>-655.421235981026 -55.0333219559509 -77.3737163442696</f>
        <v>-787.82827428124654</v>
      </c>
      <c r="D2766">
        <f>-667.613892080523 -60.3086946733404 -192.437761207025</f>
        <v>-920.36034796088836</v>
      </c>
      <c r="E2766">
        <f>-660.69478307789 -65.458054567912 -290.683744779234</f>
        <v>-1016.8365824250359</v>
      </c>
      <c r="F2766">
        <f>-648.083105007599 -70.6549052717456 -378.730109209661</f>
        <v>-1097.4681194890056</v>
      </c>
      <c r="G2766">
        <f>-628.855677471802 -76.3234541569864 -465.542662069288</f>
        <v>-1170.7217936980765</v>
      </c>
      <c r="H2766">
        <f>-595.136398780172 -84.7851100309134 -585.17642678188</f>
        <v>-1265.0979355929653</v>
      </c>
      <c r="I2766">
        <f>-545.109425122412 -79.5488199251388 -651.319612284144</f>
        <v>-1275.9778573316948</v>
      </c>
      <c r="J2766">
        <f>-618.055556402595 -54.8807238716248 -536.661021495601</f>
        <v>-1209.5973017698207</v>
      </c>
      <c r="K2766" t="s">
        <v>29663</v>
      </c>
      <c r="L2766" t="s">
        <v>29664</v>
      </c>
      <c r="M2766" t="s">
        <v>29665</v>
      </c>
      <c r="N2766">
        <f>-601.893603447841 -107.242425018041 -528.4021980427</f>
        <v>-1237.5382265085818</v>
      </c>
      <c r="O2766">
        <f>-571.482853118188 -233.600664711003 -483.638239801192</f>
        <v>-1288.7217576303831</v>
      </c>
      <c r="P2766">
        <f>-614.034619081503 -247.718280033454 -192.809561111852</f>
        <v>-1054.562460226809</v>
      </c>
      <c r="Q2766">
        <f>-466.488337676819 -76.256737752316 -275.767051855143</f>
        <v>-818.51212728427799</v>
      </c>
      <c r="R2766" t="s">
        <v>29666</v>
      </c>
      <c r="S2766" t="s">
        <v>29667</v>
      </c>
      <c r="T2766" t="s">
        <v>29668</v>
      </c>
      <c r="U2766" t="s">
        <v>29669</v>
      </c>
      <c r="V2766">
        <f>-620.676294578464 -144.119613392508 -77.9334200929302</f>
        <v>-842.72932806390213</v>
      </c>
      <c r="W2766" t="s">
        <v>29670</v>
      </c>
      <c r="X2766" t="s">
        <v>29671</v>
      </c>
      <c r="Y2766" t="s">
        <v>29672</v>
      </c>
    </row>
    <row r="2767" spans="1:25" x14ac:dyDescent="0.3">
      <c r="A2767">
        <v>138300</v>
      </c>
      <c r="B2767" t="s">
        <v>29673</v>
      </c>
      <c r="C2767">
        <f>-654.122873319188 -56.3642764079085 -76.9505282629275</f>
        <v>-787.43767799002399</v>
      </c>
      <c r="D2767">
        <f>-666.684705095553 -61.3889515058341 -191.98604504809</f>
        <v>-920.05970164947712</v>
      </c>
      <c r="E2767">
        <f>-660.244075743298 -66.3245691898114 -290.275508795583</f>
        <v>-1016.8441537286924</v>
      </c>
      <c r="F2767">
        <f>-648.12668711423 -71.3223665820066 -378.402807263467</f>
        <v>-1097.8518609597036</v>
      </c>
      <c r="G2767">
        <f>-629.450757799243 -76.7853949633158 -465.348823638116</f>
        <v>-1171.5849764006748</v>
      </c>
      <c r="H2767">
        <f>-596.557355312774 -84.9507360282566 -585.232816965517</f>
        <v>-1266.7409083065477</v>
      </c>
      <c r="I2767">
        <f>-546.490661030857 -79.2928828605405 -651.311074102978</f>
        <v>-1277.0946179943755</v>
      </c>
      <c r="J2767">
        <f>-619.065365366579 -55.1403879783229 -536.467526112125</f>
        <v>-1210.6732794570271</v>
      </c>
      <c r="K2767" t="s">
        <v>29674</v>
      </c>
      <c r="L2767" t="s">
        <v>29675</v>
      </c>
      <c r="M2767" t="s">
        <v>29676</v>
      </c>
      <c r="N2767">
        <f>-602.998751593876 -107.574728366406 -528.48803572563</f>
        <v>-1239.0615156859121</v>
      </c>
      <c r="O2767">
        <f>-572.643171862905 -234.235029843774 -484.480362833734</f>
        <v>-1291.358564540413</v>
      </c>
      <c r="P2767">
        <f>-610.472763537837 -247.940409186742 -192.980281143311</f>
        <v>-1051.39345386789</v>
      </c>
      <c r="Q2767">
        <f>-463.887481818807 -77.8783367345051 -280.401605031712</f>
        <v>-822.16742358502415</v>
      </c>
      <c r="R2767" t="s">
        <v>29677</v>
      </c>
      <c r="S2767" t="s">
        <v>29678</v>
      </c>
      <c r="T2767" t="s">
        <v>29679</v>
      </c>
      <c r="U2767" t="s">
        <v>29680</v>
      </c>
      <c r="V2767">
        <f>-620.166871665644 -145.598075534786 -77.6746144572375</f>
        <v>-843.43956165766747</v>
      </c>
      <c r="W2767" t="s">
        <v>29681</v>
      </c>
      <c r="X2767" t="s">
        <v>29682</v>
      </c>
      <c r="Y2767" t="s">
        <v>29683</v>
      </c>
    </row>
    <row r="2768" spans="1:25" x14ac:dyDescent="0.3">
      <c r="A2768">
        <v>138350</v>
      </c>
      <c r="B2768" t="s">
        <v>29684</v>
      </c>
      <c r="C2768">
        <f>-653.210044833033 -56.4952732329047 -76.6033364964264</f>
        <v>-786.30865456236404</v>
      </c>
      <c r="D2768">
        <f>-665.977750240938 -61.5102416370419 -191.616684953981</f>
        <v>-919.10467683196089</v>
      </c>
      <c r="E2768">
        <f>-659.797078874127 -66.3031729151505 -289.929871893145</f>
        <v>-1016.0301236824225</v>
      </c>
      <c r="F2768">
        <f>-647.945877651747 -71.1182489030247 -378.1035236514</f>
        <v>-1097.1676502061716</v>
      </c>
      <c r="G2768">
        <f>-629.564091048102 -76.346349867396 -465.12661406133</f>
        <v>-1171.0370549768281</v>
      </c>
      <c r="H2768">
        <f>-597.108517726081 -84.1303798203805 -585.155144385798</f>
        <v>-1266.3940419322596</v>
      </c>
      <c r="I2768">
        <f>-547.092631277322 -78.2583490130994 -651.253226995779</f>
        <v>-1276.6042072862003</v>
      </c>
      <c r="J2768">
        <f>-619.39165482965 -54.4593577925178 -536.202118932124</f>
        <v>-1210.0531315542917</v>
      </c>
      <c r="K2768" t="s">
        <v>29685</v>
      </c>
      <c r="L2768" t="s">
        <v>29686</v>
      </c>
      <c r="M2768" t="s">
        <v>29687</v>
      </c>
      <c r="N2768">
        <f>-603.389564980513 -106.950565528054 -528.471045393199</f>
        <v>-1238.8111759017661</v>
      </c>
      <c r="O2768">
        <f>-573.304153519601 -233.904389265567 -485.087606804554</f>
        <v>-1292.2961495897221</v>
      </c>
      <c r="P2768">
        <f>-608.889754418855 -247.562401074404 -193.302870026915</f>
        <v>-1049.7550255201741</v>
      </c>
      <c r="Q2768">
        <f>-462.627256505503 -78.0675815602364 -282.351445146212</f>
        <v>-823.04628321195139</v>
      </c>
      <c r="R2768" t="s">
        <v>29688</v>
      </c>
      <c r="S2768" t="s">
        <v>29689</v>
      </c>
      <c r="T2768" t="s">
        <v>29690</v>
      </c>
      <c r="U2768" t="s">
        <v>29691</v>
      </c>
      <c r="V2768">
        <f>-619.473467238535 -145.514261162052 -77.3572553114661</f>
        <v>-842.34498371205314</v>
      </c>
      <c r="W2768" t="s">
        <v>29692</v>
      </c>
      <c r="X2768" t="s">
        <v>29693</v>
      </c>
      <c r="Y2768" t="s">
        <v>29694</v>
      </c>
    </row>
    <row r="2769" spans="1:25" x14ac:dyDescent="0.3">
      <c r="A2769">
        <v>138400</v>
      </c>
      <c r="B2769" t="s">
        <v>29695</v>
      </c>
      <c r="C2769">
        <f>-651.49399611119 -56.2194374106764 -76.0599216376288</f>
        <v>-783.77335515949517</v>
      </c>
      <c r="D2769">
        <f>-664.625034125977 -61.2083132439739 -191.033415116619</f>
        <v>-916.86676248656988</v>
      </c>
      <c r="E2769">
        <f>-658.897128525093 -65.6762743145424 -289.389297537117</f>
        <v>-1013.9627003767523</v>
      </c>
      <c r="F2769">
        <f>-647.50693082247 -70.0698962709841 -377.645832833842</f>
        <v>-1095.2226599272963</v>
      </c>
      <c r="G2769">
        <f>-629.632289179918 -74.7482457421091 -464.80562004611</f>
        <v>-1169.1861549681371</v>
      </c>
      <c r="H2769">
        <f>-597.928624127279 -81.6278137037036 -585.090202613309</f>
        <v>-1264.6466404442917</v>
      </c>
      <c r="I2769">
        <f>-548.098901598202 -75.280503153186 -651.284896509914</f>
        <v>-1274.6643012613022</v>
      </c>
      <c r="J2769">
        <f>-619.883103818659 -52.3195923191233 -535.771428305854</f>
        <v>-1207.9741244436364</v>
      </c>
      <c r="K2769" t="s">
        <v>29696</v>
      </c>
      <c r="L2769" t="s">
        <v>29697</v>
      </c>
      <c r="M2769" t="s">
        <v>29698</v>
      </c>
      <c r="N2769">
        <f>-603.876558624622 -104.881454187058 -528.546326158675</f>
        <v>-1237.304338970355</v>
      </c>
      <c r="O2769">
        <f>-573.897541040397 -232.247569631237 -486.37177181123</f>
        <v>-1292.516882482864</v>
      </c>
      <c r="P2769">
        <f>-607.111239493937 -246.502991340915 -194.336071723509</f>
        <v>-1047.9503025583608</v>
      </c>
      <c r="Q2769">
        <f>-461.156386933023 -77.3738539431083 -284.576884759435</f>
        <v>-823.10712563556626</v>
      </c>
      <c r="R2769" t="s">
        <v>29699</v>
      </c>
      <c r="S2769" t="s">
        <v>29700</v>
      </c>
      <c r="T2769" t="s">
        <v>29701</v>
      </c>
      <c r="U2769" t="s">
        <v>29702</v>
      </c>
      <c r="V2769">
        <f>-618.284005894196 -145.169551369263 -76.9500312701068</f>
        <v>-840.40358853356577</v>
      </c>
      <c r="W2769" t="s">
        <v>29703</v>
      </c>
      <c r="X2769" t="s">
        <v>29704</v>
      </c>
      <c r="Y2769" t="s">
        <v>29705</v>
      </c>
    </row>
    <row r="2770" spans="1:25" x14ac:dyDescent="0.3">
      <c r="A2770">
        <v>138450</v>
      </c>
      <c r="B2770" t="s">
        <v>29706</v>
      </c>
      <c r="C2770">
        <f>-650.902629291192 -56.0576401104812 -75.8743836963899</f>
        <v>-782.8346530980632</v>
      </c>
      <c r="D2770">
        <f>-664.155815096599 -61.0317498293047 -190.834439371764</f>
        <v>-916.02200429766765</v>
      </c>
      <c r="E2770">
        <f>-658.589620529166 -65.3912879128179 -289.204545595623</f>
        <v>-1013.185454037607</v>
      </c>
      <c r="F2770">
        <f>-647.366795873116 -69.6444905070925 -377.48932788055</f>
        <v>-1094.5006142607585</v>
      </c>
      <c r="G2770">
        <f>-629.678842601733 -74.1391336784421 -464.696926327326</f>
        <v>-1168.5149026075012</v>
      </c>
      <c r="H2770">
        <f>-598.254142080043 -80.7153205024574 -585.071658522612</f>
        <v>-1264.0411211051123</v>
      </c>
      <c r="I2770">
        <f>-548.521254585479 -74.1494949026196 -651.317908748179</f>
        <v>-1273.9886582362776</v>
      </c>
      <c r="J2770">
        <f>-620.084760730376 -51.5283632871208 -535.626206046453</f>
        <v>-1207.2393300639499</v>
      </c>
      <c r="K2770" t="s">
        <v>29707</v>
      </c>
      <c r="L2770" t="s">
        <v>29708</v>
      </c>
      <c r="M2770" t="s">
        <v>29709</v>
      </c>
      <c r="N2770">
        <f>-604.08047878918 -104.114577539174 -528.575271558615</f>
        <v>-1236.770327886969</v>
      </c>
      <c r="O2770">
        <f>-574.125549207427 -231.61546832934 -486.835460075916</f>
        <v>-1292.576477612683</v>
      </c>
      <c r="P2770">
        <f>-606.80749373439 -246.450553883964 -194.768635197774</f>
        <v>-1048.0266828161282</v>
      </c>
      <c r="Q2770">
        <f>-460.798991988992 -77.1805475018035 -284.657992807922</f>
        <v>-822.63753229871747</v>
      </c>
      <c r="R2770" t="s">
        <v>29710</v>
      </c>
      <c r="S2770" t="s">
        <v>29711</v>
      </c>
      <c r="T2770" t="s">
        <v>29712</v>
      </c>
      <c r="U2770" t="s">
        <v>29713</v>
      </c>
      <c r="V2770">
        <f>-617.923642860973 -145.104521775138 -76.8015265507689</f>
        <v>-839.82969118687993</v>
      </c>
      <c r="W2770" t="s">
        <v>29714</v>
      </c>
      <c r="X2770" t="s">
        <v>29715</v>
      </c>
      <c r="Y2770" t="s">
        <v>29716</v>
      </c>
    </row>
    <row r="2771" spans="1:25" x14ac:dyDescent="0.3">
      <c r="A2771">
        <v>138500</v>
      </c>
      <c r="B2771" t="s">
        <v>29717</v>
      </c>
      <c r="C2771">
        <f>-649.599103008171 -56.2015528508056 -75.3742400162998</f>
        <v>-781.17489587527643</v>
      </c>
      <c r="D2771">
        <f>-663.09863969561 -61.1150958814259 -190.308411339679</f>
        <v>-914.52214691671486</v>
      </c>
      <c r="E2771">
        <f>-657.760331909593 -65.3379706456808 -288.696983126653</f>
        <v>-1011.7952856819268</v>
      </c>
      <c r="F2771">
        <f>-646.749114946319 -69.4312719381375 -377.016028835931</f>
        <v>-1093.1964157203874</v>
      </c>
      <c r="G2771">
        <f>-629.2763485789 -73.7313091252042 -464.276817851122</f>
        <v>-1167.2844755552262</v>
      </c>
      <c r="H2771">
        <f>-598.154696178551 -79.9996938502205 -584.74646421171</f>
        <v>-1262.9008542404815</v>
      </c>
      <c r="I2771">
        <f>-548.508262118173 -73.1569222515328 -651.029565497076</f>
        <v>-1272.6947498667819</v>
      </c>
      <c r="J2771">
        <f>-619.76203209264 -50.9063732934443 -535.148058947321</f>
        <v>-1205.8164643334053</v>
      </c>
      <c r="K2771" t="s">
        <v>29718</v>
      </c>
      <c r="L2771" t="s">
        <v>29719</v>
      </c>
      <c r="M2771" t="s">
        <v>29720</v>
      </c>
      <c r="N2771">
        <f>-603.937468006679 -103.576270444882 -528.319479815842</f>
        <v>-1235.833218267403</v>
      </c>
      <c r="O2771">
        <f>-574.359261317212 -231.319829265085 -487.047350376263</f>
        <v>-1292.72644095856</v>
      </c>
      <c r="P2771">
        <f>-606.330357590641 -246.619475190335 -194.925968449109</f>
        <v>-1047.875801230085</v>
      </c>
      <c r="Q2771">
        <f>-460.243681832213 -76.9077633438558 -283.849925212889</f>
        <v>-821.00137038895787</v>
      </c>
      <c r="R2771" t="s">
        <v>29721</v>
      </c>
      <c r="S2771" t="s">
        <v>29722</v>
      </c>
      <c r="T2771" t="s">
        <v>29723</v>
      </c>
      <c r="U2771" t="s">
        <v>29724</v>
      </c>
      <c r="V2771">
        <f>-617.156860773538 -145.114588391566 -76.4890213536979</f>
        <v>-838.76047051880198</v>
      </c>
      <c r="W2771" t="s">
        <v>29725</v>
      </c>
      <c r="X2771" t="s">
        <v>29726</v>
      </c>
      <c r="Y2771" t="s">
        <v>29727</v>
      </c>
    </row>
    <row r="2772" spans="1:25" x14ac:dyDescent="0.3">
      <c r="A2772">
        <v>138550</v>
      </c>
      <c r="B2772" t="s">
        <v>29728</v>
      </c>
      <c r="C2772">
        <f>-648.836735837406 -56.1731692740622 -75.1779193097955</f>
        <v>-780.1878244212636</v>
      </c>
      <c r="D2772">
        <f>-662.477218652516 -61.059027492923 -190.09666189732</f>
        <v>-913.63290804275891</v>
      </c>
      <c r="E2772">
        <f>-657.251214109912 -65.2551363679017 -288.49247052462</f>
        <v>-1010.9988210024337</v>
      </c>
      <c r="F2772">
        <f>-646.337957836289 -69.3210518223724 -376.824767525083</f>
        <v>-1092.4837771837445</v>
      </c>
      <c r="G2772">
        <f>-628.958753348123 -73.5907838748421 -464.105752767017</f>
        <v>-1166.6552899899821</v>
      </c>
      <c r="H2772">
        <f>-597.962872511007 -79.8131227736278 -584.610371140338</f>
        <v>-1262.3863664249729</v>
      </c>
      <c r="I2772">
        <f>-548.330570637588 -72.934533482173 -650.900206421249</f>
        <v>-1272.1653105410101</v>
      </c>
      <c r="J2772">
        <f>-619.458766888516 -50.718963745676 -534.963831214771</f>
        <v>-1205.141561848963</v>
      </c>
      <c r="K2772" t="s">
        <v>29729</v>
      </c>
      <c r="L2772" t="s">
        <v>29730</v>
      </c>
      <c r="M2772" t="s">
        <v>29731</v>
      </c>
      <c r="N2772">
        <f>-603.746429235634 -103.430906490321 -528.200558354126</f>
        <v>-1235.377894080081</v>
      </c>
      <c r="O2772">
        <f>-574.413630693083 -231.267533860804 -487.018625555145</f>
        <v>-1292.6997901090319</v>
      </c>
      <c r="P2772">
        <f>-606.224190412866 -246.446340790741 -194.873180750354</f>
        <v>-1047.5437119539611</v>
      </c>
      <c r="Q2772">
        <f>-460.078900804058 -76.6886665816716 -283.613003953447</f>
        <v>-820.38057133917653</v>
      </c>
      <c r="R2772" t="s">
        <v>29732</v>
      </c>
      <c r="S2772" t="s">
        <v>29733</v>
      </c>
      <c r="T2772" t="s">
        <v>29734</v>
      </c>
      <c r="U2772" t="s">
        <v>29735</v>
      </c>
      <c r="V2772">
        <f>-616.611514461433 -144.950841297018 -76.3939253532775</f>
        <v>-837.95628111172846</v>
      </c>
      <c r="W2772" t="s">
        <v>29736</v>
      </c>
      <c r="X2772" t="s">
        <v>29737</v>
      </c>
      <c r="Y2772" t="s">
        <v>29738</v>
      </c>
    </row>
    <row r="2773" spans="1:25" x14ac:dyDescent="0.3">
      <c r="A2773">
        <v>138600</v>
      </c>
      <c r="B2773" t="s">
        <v>29739</v>
      </c>
      <c r="C2773">
        <f>-647.643498516554 -55.738260050712 -75.0258830860322</f>
        <v>-778.40764165329824</v>
      </c>
      <c r="D2773">
        <f>-661.504582440664 -60.504112766779 -189.923047013669</f>
        <v>-911.93174222111202</v>
      </c>
      <c r="E2773">
        <f>-656.468020511901 -64.7029197787538 -288.328664635308</f>
        <v>-1009.4996049259628</v>
      </c>
      <c r="F2773">
        <f>-645.72639535894 -68.802520478626 -376.680533218012</f>
        <v>-1091.2094490555778</v>
      </c>
      <c r="G2773">
        <f>-628.518049505355 -73.1340203219919 -463.992405231427</f>
        <v>-1165.6444750587739</v>
      </c>
      <c r="H2773">
        <f>-597.759314652311 -79.467198905603 -584.551886939407</f>
        <v>-1261.7784004973209</v>
      </c>
      <c r="I2773">
        <f>-548.150622287678 -72.6296342994399 -650.863721068425</f>
        <v>-1271.6439776555428</v>
      </c>
      <c r="J2773">
        <f>-619.067521168028 -50.2980060048885 -534.868652187882</f>
        <v>-1204.2341793607984</v>
      </c>
      <c r="K2773" t="s">
        <v>29740</v>
      </c>
      <c r="L2773" t="s">
        <v>29741</v>
      </c>
      <c r="M2773" t="s">
        <v>29742</v>
      </c>
      <c r="N2773">
        <f>-603.521942491836 -103.062492418583 -528.130647655314</f>
        <v>-1234.7150825657329</v>
      </c>
      <c r="O2773">
        <f>-574.642520556282 -230.992883020855 -486.91922093835</f>
        <v>-1292.5546245154869</v>
      </c>
      <c r="P2773">
        <f>-605.542249652171 -246.007396891511 -194.6676390634</f>
        <v>-1046.217285607082</v>
      </c>
      <c r="Q2773">
        <f>-459.316053302215 -76.6280165273499 -283.995221336906</f>
        <v>-819.93929116647087</v>
      </c>
      <c r="R2773" t="s">
        <v>29743</v>
      </c>
      <c r="S2773" t="s">
        <v>29744</v>
      </c>
      <c r="T2773" t="s">
        <v>29745</v>
      </c>
      <c r="U2773" t="s">
        <v>29746</v>
      </c>
      <c r="V2773">
        <f>-616.029810650113 -144.446384327734 -76.2219129935065</f>
        <v>-836.69810797135347</v>
      </c>
      <c r="W2773" t="s">
        <v>29747</v>
      </c>
      <c r="X2773" t="s">
        <v>29748</v>
      </c>
      <c r="Y2773" t="s">
        <v>29749</v>
      </c>
    </row>
    <row r="2774" spans="1:25" x14ac:dyDescent="0.3">
      <c r="A2774">
        <v>138650</v>
      </c>
      <c r="B2774" t="s">
        <v>29750</v>
      </c>
      <c r="C2774">
        <f>-647.263643564337 -55.6560085315587 -74.9773244454599</f>
        <v>-777.89697654135557</v>
      </c>
      <c r="D2774">
        <f>-661.137302995815 -60.3667505875658 -189.875333235955</f>
        <v>-911.37938681933588</v>
      </c>
      <c r="E2774">
        <f>-656.122559343408 -64.5912854319409 -288.280904392498</f>
        <v>-1008.994749167847</v>
      </c>
      <c r="F2774">
        <f>-645.405690521259 -68.7371017026743 -376.63371205135</f>
        <v>-1090.7765042752833</v>
      </c>
      <c r="G2774">
        <f>-628.226516671366 -73.1353462382671 -463.947822583735</f>
        <v>-1165.3096854933681</v>
      </c>
      <c r="H2774">
        <f>-597.513239245224 -79.5809761562585 -584.513111747443</f>
        <v>-1261.6073271489254</v>
      </c>
      <c r="I2774">
        <f>-547.903011083979 -72.7873054069803 -650.828204335642</f>
        <v>-1271.5185208266012</v>
      </c>
      <c r="J2774">
        <f>-618.777092930501 -50.3571233101492 -534.842902199881</f>
        <v>-1203.9771184405313</v>
      </c>
      <c r="K2774" t="s">
        <v>29751</v>
      </c>
      <c r="L2774" t="s">
        <v>29752</v>
      </c>
      <c r="M2774" t="s">
        <v>29753</v>
      </c>
      <c r="N2774">
        <f>-603.280181685518 -103.132012316786 -528.073741859357</f>
        <v>-1234.4859358616609</v>
      </c>
      <c r="O2774">
        <f>-574.558938715389 -231.055348634236 -486.752128753433</f>
        <v>-1292.3664161030579</v>
      </c>
      <c r="P2774">
        <f>-604.97244579254 -245.836390758486 -194.437709430734</f>
        <v>-1045.2465459817599</v>
      </c>
      <c r="Q2774">
        <f>-458.656624372323 -76.9764969523734 -284.5979363416</f>
        <v>-820.23105766629646</v>
      </c>
      <c r="R2774" t="s">
        <v>29754</v>
      </c>
      <c r="S2774" t="s">
        <v>29755</v>
      </c>
      <c r="T2774" t="s">
        <v>29756</v>
      </c>
      <c r="U2774" t="s">
        <v>29757</v>
      </c>
      <c r="V2774">
        <f>-615.905012381287 -144.412493013355 -76.1753573954207</f>
        <v>-836.49286279006276</v>
      </c>
      <c r="W2774" t="s">
        <v>29758</v>
      </c>
      <c r="X2774" t="s">
        <v>29759</v>
      </c>
      <c r="Y2774" t="s">
        <v>29760</v>
      </c>
    </row>
    <row r="2775" spans="1:25" x14ac:dyDescent="0.3">
      <c r="A2775">
        <v>138700</v>
      </c>
      <c r="B2775" t="s">
        <v>29761</v>
      </c>
      <c r="C2775">
        <f>-646.436928445653 -55.6581809758109 -74.5537831463452</f>
        <v>-776.64889256780907</v>
      </c>
      <c r="D2775">
        <f>-660.258993354569 -60.3278865042956 -189.459667087688</f>
        <v>-910.04654694655267</v>
      </c>
      <c r="E2775">
        <f>-655.183905154276 -64.6432598002937 -287.858287120362</f>
        <v>-1007.6854520749316</v>
      </c>
      <c r="F2775">
        <f>-644.407291078942 -68.9158903832513 -376.197624131033</f>
        <v>-1089.5208055932262</v>
      </c>
      <c r="G2775">
        <f>-627.163794072809 -73.482915162257 -463.490557352618</f>
        <v>-1164.1372665876838</v>
      </c>
      <c r="H2775">
        <f>-596.356264578847 -80.2044773918747 -584.016604720967</f>
        <v>-1260.5773466916887</v>
      </c>
      <c r="I2775">
        <f>-546.722561487024 -73.5079013339442 -650.324038227787</f>
        <v>-1270.5545010487554</v>
      </c>
      <c r="J2775">
        <f>-617.650845534055 -50.8644295306513 -534.428186722286</f>
        <v>-1202.9434617869922</v>
      </c>
      <c r="K2775" t="s">
        <v>29762</v>
      </c>
      <c r="L2775" t="s">
        <v>29763</v>
      </c>
      <c r="M2775" t="s">
        <v>29764</v>
      </c>
      <c r="N2775">
        <f>-602.175427448208 -103.628905595984 -527.52999498116</f>
        <v>-1233.3343280253521</v>
      </c>
      <c r="O2775">
        <f>-573.533861209418 -231.460766932382 -485.885150438094</f>
        <v>-1290.8797785798938</v>
      </c>
      <c r="P2775">
        <f>-603.946888378292 -245.109207374491 -193.515558365612</f>
        <v>-1042.5716541183949</v>
      </c>
      <c r="Q2775">
        <f>-457.234743215711 -77.3449935178206 -285.066625180009</f>
        <v>-819.64636191354066</v>
      </c>
      <c r="R2775" t="s">
        <v>29765</v>
      </c>
      <c r="S2775" t="s">
        <v>29766</v>
      </c>
      <c r="T2775" t="s">
        <v>29767</v>
      </c>
      <c r="U2775" t="s">
        <v>29768</v>
      </c>
      <c r="V2775">
        <f>-615.224161829909 -144.255987283578 -75.7689200849458</f>
        <v>-835.24906919843272</v>
      </c>
      <c r="W2775" t="s">
        <v>29769</v>
      </c>
      <c r="X2775" t="s">
        <v>29770</v>
      </c>
      <c r="Y2775" t="s">
        <v>29771</v>
      </c>
    </row>
    <row r="2776" spans="1:25" x14ac:dyDescent="0.3">
      <c r="A2776">
        <v>138750</v>
      </c>
      <c r="B2776" t="s">
        <v>29772</v>
      </c>
      <c r="C2776">
        <f>-645.794399801055 -55.6791686309188 -74.3576900571799</f>
        <v>-775.83125848915358</v>
      </c>
      <c r="D2776">
        <f>-659.612868363682 -60.4327702105618 -189.260613036154</f>
        <v>-909.30625161039779</v>
      </c>
      <c r="E2776">
        <f>-654.513914346425 -64.8876875410635 -287.651650994265</f>
        <v>-1007.0532528817537</v>
      </c>
      <c r="F2776">
        <f>-643.707622003716 -69.3116102152856 -375.980023344515</f>
        <v>-1088.9992555635165</v>
      </c>
      <c r="G2776">
        <f>-626.426997935563 -74.0526400031805 -463.25632174159</f>
        <v>-1163.7359596803335</v>
      </c>
      <c r="H2776">
        <f>-595.560383747305 -81.039568860945 -583.75217526604</f>
        <v>-1260.3521278742901</v>
      </c>
      <c r="I2776">
        <f>-545.882084416014 -74.4008391561721 -650.032019795809</f>
        <v>-1270.3149433679951</v>
      </c>
      <c r="J2776">
        <f>-616.909376089111 -51.6002416865022 -534.246141002248</f>
        <v>-1202.755758777861</v>
      </c>
      <c r="K2776" t="s">
        <v>29773</v>
      </c>
      <c r="L2776" t="s">
        <v>29774</v>
      </c>
      <c r="M2776" t="s">
        <v>29775</v>
      </c>
      <c r="N2776">
        <f>-601.377203399631 -104.329704466202 -527.209790101849</f>
        <v>-1232.916697967682</v>
      </c>
      <c r="O2776">
        <f>-572.555035284606 -232.026479967162 -485.284007183545</f>
        <v>-1289.8655224353129</v>
      </c>
      <c r="P2776">
        <f>-603.203988065433 -244.910989751673 -192.904416265076</f>
        <v>-1041.0193940821821</v>
      </c>
      <c r="Q2776">
        <f>-456.402356001649 -77.3687501714278 -284.717957663113</f>
        <v>-818.48906383618987</v>
      </c>
      <c r="R2776" t="s">
        <v>29776</v>
      </c>
      <c r="S2776" t="s">
        <v>29777</v>
      </c>
      <c r="T2776" t="s">
        <v>29778</v>
      </c>
      <c r="U2776" t="s">
        <v>29779</v>
      </c>
      <c r="V2776">
        <f>-614.566321521611 -144.429079155653 -75.6025155553895</f>
        <v>-834.59791623265346</v>
      </c>
      <c r="W2776" t="s">
        <v>29780</v>
      </c>
      <c r="X2776" t="s">
        <v>29781</v>
      </c>
      <c r="Y2776" t="s">
        <v>29782</v>
      </c>
    </row>
    <row r="2777" spans="1:25" x14ac:dyDescent="0.3">
      <c r="A2777">
        <v>138800</v>
      </c>
      <c r="B2777" t="s">
        <v>29783</v>
      </c>
      <c r="C2777">
        <f>-644.273923123061 -55.5942643277915 -74.278187255936</f>
        <v>-774.14637470678849</v>
      </c>
      <c r="D2777">
        <f>-658.003595288606 -60.5554765547172 -189.182871292426</f>
        <v>-907.74194313574912</v>
      </c>
      <c r="E2777">
        <f>-652.83698977271 -65.4664473112114 -287.548767615666</f>
        <v>-1005.8522046995874</v>
      </c>
      <c r="F2777">
        <f>-641.97430687942 -70.4076579656544 -375.842779105445</f>
        <v>-1088.2247439505195</v>
      </c>
      <c r="G2777">
        <f>-624.6429865606 -75.7651192637733 -463.073300313263</f>
        <v>-1163.4814061376362</v>
      </c>
      <c r="H2777">
        <f>-593.71259244561 -83.7123734698504 -583.493201646024</f>
        <v>-1260.9181675614843</v>
      </c>
      <c r="I2777">
        <f>-543.955311087965 -77.2692800146548 -649.733153931716</f>
        <v>-1270.9577450343359</v>
      </c>
      <c r="J2777">
        <f>-615.156406009546 -53.9019742983055 -534.250959387752</f>
        <v>-1203.3093396956035</v>
      </c>
      <c r="K2777" t="s">
        <v>29784</v>
      </c>
      <c r="L2777" t="s">
        <v>29785</v>
      </c>
      <c r="M2777" t="s">
        <v>29786</v>
      </c>
      <c r="N2777">
        <f>-599.490711974685 -106.528398930311 -526.753835604056</f>
        <v>-1232.772946509052</v>
      </c>
      <c r="O2777">
        <f>-570.213920337071 -233.831380803684 -483.954420581746</f>
        <v>-1287.9997217225011</v>
      </c>
      <c r="P2777">
        <f>-600.814233419229 -244.910526501569 -191.495610851273</f>
        <v>-1037.220370772071</v>
      </c>
      <c r="Q2777">
        <f>-454.305030723279 -77.376856295694 -283.790626190708</f>
        <v>-815.47251320968098</v>
      </c>
      <c r="R2777" t="s">
        <v>29787</v>
      </c>
      <c r="S2777" t="s">
        <v>29788</v>
      </c>
      <c r="T2777" t="s">
        <v>29789</v>
      </c>
      <c r="U2777" t="s">
        <v>29790</v>
      </c>
      <c r="V2777">
        <f>-612.94393452076 -144.394013303435 -75.4037257431929</f>
        <v>-832.74167356738792</v>
      </c>
      <c r="W2777" t="s">
        <v>29791</v>
      </c>
      <c r="X2777" t="s">
        <v>29792</v>
      </c>
      <c r="Y2777" t="s">
        <v>29793</v>
      </c>
    </row>
    <row r="2778" spans="1:25" x14ac:dyDescent="0.3">
      <c r="A2778">
        <v>138850</v>
      </c>
      <c r="B2778" t="s">
        <v>29794</v>
      </c>
      <c r="C2778">
        <f>-643.596133412128 -55.4399644122274 -74.3226208915602</f>
        <v>-773.35871871591553</v>
      </c>
      <c r="D2778">
        <f>-657.213825113447 -60.4934476456472 -189.236662677215</f>
        <v>-906.94393543630918</v>
      </c>
      <c r="E2778">
        <f>-651.96650282976 -65.6626282811034 -287.585025138142</f>
        <v>-1005.2141562490053</v>
      </c>
      <c r="F2778">
        <f>-641.03799003464 -70.9067566071333 -375.853415564285</f>
        <v>-1087.7981622060584</v>
      </c>
      <c r="G2778">
        <f>-623.649099599668 -76.6342873274444 -463.049056899098</f>
        <v>-1163.3324438262105</v>
      </c>
      <c r="H2778">
        <f>-592.647240445126 -85.1671432395821 -583.410486364706</f>
        <v>-1261.2248700494142</v>
      </c>
      <c r="I2778">
        <f>-542.856477131655 -78.8794012354476 -649.640240889304</f>
        <v>-1271.3761192564066</v>
      </c>
      <c r="J2778">
        <f>-614.139459992838 -55.1239646538003 -534.330948666074</f>
        <v>-1203.5943733127124</v>
      </c>
      <c r="K2778" t="s">
        <v>29795</v>
      </c>
      <c r="L2778" t="s">
        <v>29796</v>
      </c>
      <c r="M2778" t="s">
        <v>29797</v>
      </c>
      <c r="N2778">
        <f>-598.439767655648 -107.700492040801 -526.559735006542</f>
        <v>-1232.699994702991</v>
      </c>
      <c r="O2778">
        <f>-568.953242138672 -234.784208933657 -483.215244357522</f>
        <v>-1286.9526954298508</v>
      </c>
      <c r="P2778">
        <f>-599.498810487048 -244.78864428167 -190.712130168135</f>
        <v>-1034.9995849368529</v>
      </c>
      <c r="Q2778">
        <f>-453.514518738668 -77.1165589590139 -283.585983268543</f>
        <v>-814.21706096622484</v>
      </c>
      <c r="R2778" t="s">
        <v>29798</v>
      </c>
      <c r="S2778" t="s">
        <v>29799</v>
      </c>
      <c r="T2778" t="s">
        <v>29800</v>
      </c>
      <c r="U2778" t="s">
        <v>29801</v>
      </c>
      <c r="V2778">
        <f>-612.202508663141 -144.186980810938 -75.3117728751598</f>
        <v>-831.70126234923885</v>
      </c>
      <c r="W2778" t="s">
        <v>29802</v>
      </c>
      <c r="X2778" t="s">
        <v>29803</v>
      </c>
      <c r="Y2778" t="s">
        <v>29804</v>
      </c>
    </row>
    <row r="2779" spans="1:25" x14ac:dyDescent="0.3">
      <c r="A2779">
        <v>138900</v>
      </c>
      <c r="B2779" t="s">
        <v>29805</v>
      </c>
      <c r="C2779">
        <f>-642.669642406381 -55.2339374111541 -74.2305734203927</f>
        <v>-772.13415323792776</v>
      </c>
      <c r="D2779">
        <f>-656.091601090876 -60.5002518298315 -189.158171586996</f>
        <v>-905.75002450770353</v>
      </c>
      <c r="E2779">
        <f>-650.651589370227 -66.0100495822633 -287.477583299416</f>
        <v>-1004.1392222519063</v>
      </c>
      <c r="F2779">
        <f>-639.541030848354 -71.6286731739207 -375.700062649543</f>
        <v>-1086.8697666718176</v>
      </c>
      <c r="G2779">
        <f>-621.964159558397 -77.7971259999448 -462.827852235959</f>
        <v>-1162.5891377943008</v>
      </c>
      <c r="H2779">
        <f>-590.695411839106 -87.0165562314485 -583.069562170228</f>
        <v>-1260.7815302407826</v>
      </c>
      <c r="I2779">
        <f>-540.899301133518 -81.0835037920682 -649.327987863183</f>
        <v>-1271.310792788769</v>
      </c>
      <c r="J2779">
        <f>-612.306768448673 -56.6974220722652 -534.212524297963</f>
        <v>-1203.2167148189012</v>
      </c>
      <c r="K2779" t="s">
        <v>29806</v>
      </c>
      <c r="L2779" t="s">
        <v>29807</v>
      </c>
      <c r="M2779" t="s">
        <v>29808</v>
      </c>
      <c r="N2779">
        <f>-596.603756317363 -109.221593703099 -526.101697145214</f>
        <v>-1231.927047165676</v>
      </c>
      <c r="O2779">
        <f>-567.020870865921 -236.064241598743 -482.052676246943</f>
        <v>-1285.1377887116071</v>
      </c>
      <c r="P2779">
        <f>-597.928395740165 -244.494345180441 -189.537959877535</f>
        <v>-1031.960700798141</v>
      </c>
      <c r="Q2779">
        <f>-452.543249182939 -76.9369909548067 -283.551485515598</f>
        <v>-813.03172565334376</v>
      </c>
      <c r="R2779" t="s">
        <v>29809</v>
      </c>
      <c r="S2779" t="s">
        <v>29810</v>
      </c>
      <c r="T2779" t="s">
        <v>29811</v>
      </c>
      <c r="U2779" t="s">
        <v>29812</v>
      </c>
      <c r="V2779">
        <f>-610.947336561679 -144.095467121822 -75.0026851225867</f>
        <v>-830.04548880608775</v>
      </c>
      <c r="W2779" t="s">
        <v>29813</v>
      </c>
      <c r="X2779" t="s">
        <v>29814</v>
      </c>
      <c r="Y2779" t="s">
        <v>29815</v>
      </c>
    </row>
    <row r="2780" spans="1:25" x14ac:dyDescent="0.3">
      <c r="A2780">
        <v>138950</v>
      </c>
      <c r="B2780" t="s">
        <v>29816</v>
      </c>
      <c r="C2780">
        <f>-642.379052414708 -55.1229659314341 -74.1209498021025</f>
        <v>-771.62296814824458</v>
      </c>
      <c r="D2780">
        <f>-655.729796093932 -60.4012415493204 -189.056181459864</f>
        <v>-905.18721910311638</v>
      </c>
      <c r="E2780">
        <f>-650.226934371726 -65.9875545432568 -287.367857444762</f>
        <v>-1003.5823463597449</v>
      </c>
      <c r="F2780">
        <f>-639.05970408149 -71.7024064525747 -375.577016698525</f>
        <v>-1086.3391272325898</v>
      </c>
      <c r="G2780">
        <f>-621.426827982275 -77.9945060327657 -462.684684480874</f>
        <v>-1162.1060184959147</v>
      </c>
      <c r="H2780">
        <f>-590.081254289146 -87.4152002598452 -582.890932331585</f>
        <v>-1260.3873868805763</v>
      </c>
      <c r="I2780">
        <f>-540.291975411094 -81.6663594555118 -649.170646877822</f>
        <v>-1271.1289817444278</v>
      </c>
      <c r="J2780">
        <f>-611.71324641204 -57.0108915630742 -534.095976737765</f>
        <v>-1202.8201147128793</v>
      </c>
      <c r="K2780" t="s">
        <v>29817</v>
      </c>
      <c r="L2780" t="s">
        <v>29818</v>
      </c>
      <c r="M2780" t="s">
        <v>29819</v>
      </c>
      <c r="N2780">
        <f>-596.036525138299 -109.528455959192 -525.892145439444</f>
        <v>-1231.457126536935</v>
      </c>
      <c r="O2780">
        <f>-566.493194807445 -236.299663601018 -481.655938322474</f>
        <v>-1284.4487967309369</v>
      </c>
      <c r="P2780">
        <f>-597.53321364537 -244.434939860062 -189.146966381248</f>
        <v>-1031.1151198866798</v>
      </c>
      <c r="Q2780">
        <f>-452.264059787477 -76.8872472184651 -283.356946730356</f>
        <v>-812.508253736298</v>
      </c>
      <c r="R2780" t="s">
        <v>29820</v>
      </c>
      <c r="S2780" t="s">
        <v>29821</v>
      </c>
      <c r="T2780" t="s">
        <v>29822</v>
      </c>
      <c r="U2780" t="s">
        <v>29823</v>
      </c>
      <c r="V2780">
        <f>-610.625873036358 -143.937948074224 -74.8548346673662</f>
        <v>-829.41865577794817</v>
      </c>
      <c r="W2780" t="s">
        <v>29824</v>
      </c>
      <c r="X2780" t="s">
        <v>29825</v>
      </c>
      <c r="Y2780" t="s">
        <v>29826</v>
      </c>
    </row>
    <row r="2781" spans="1:25" x14ac:dyDescent="0.3">
      <c r="A2781">
        <v>139000</v>
      </c>
      <c r="B2781" t="s">
        <v>29827</v>
      </c>
      <c r="C2781">
        <f>-641.579897841115 -54.6773075110765 -73.9866841383575</f>
        <v>-770.24388949054901</v>
      </c>
      <c r="D2781">
        <f>-654.761950307035 -59.9087729954142 -188.943675853698</f>
        <v>-903.61439915614721</v>
      </c>
      <c r="E2781">
        <f>-649.176032638689 -65.5717572462244 -287.246119087336</f>
        <v>-1001.9939089722493</v>
      </c>
      <c r="F2781">
        <f>-637.959658060878 -71.3995464799867 -375.441776036794</f>
        <v>-1084.8009805776587</v>
      </c>
      <c r="G2781">
        <f>-620.30374761952 -77.8483616870994 -462.533227356668</f>
        <v>-1160.6853366632874</v>
      </c>
      <c r="H2781">
        <f>-588.952835175143 -87.5330024822983 -582.716968144168</f>
        <v>-1259.2028058016094</v>
      </c>
      <c r="I2781">
        <f>-539.181420500807 -82.1409261229169 -649.040131323991</f>
        <v>-1270.362477947715</v>
      </c>
      <c r="J2781">
        <f>-610.502298067549 -56.9933091268185 -533.970109502129</f>
        <v>-1201.4657166964967</v>
      </c>
      <c r="K2781" t="s">
        <v>29828</v>
      </c>
      <c r="L2781" t="s">
        <v>29829</v>
      </c>
      <c r="M2781" t="s">
        <v>29830</v>
      </c>
      <c r="N2781">
        <f>-594.995279518761 -109.549276204566 -525.690011977332</f>
        <v>-1230.234567700659</v>
      </c>
      <c r="O2781">
        <f>-565.832392298857 -236.326912468676 -481.238022298707</f>
        <v>-1283.39732706624</v>
      </c>
      <c r="P2781">
        <f>-597.297913541271 -244.233325527689 -188.768153043232</f>
        <v>-1030.299392112192</v>
      </c>
      <c r="Q2781">
        <f>-451.513543986079 -76.9735816417866 -282.693428436953</f>
        <v>-811.18055406481858</v>
      </c>
      <c r="R2781" t="s">
        <v>29831</v>
      </c>
      <c r="S2781" t="s">
        <v>29832</v>
      </c>
      <c r="T2781" t="s">
        <v>29833</v>
      </c>
      <c r="U2781" t="s">
        <v>29834</v>
      </c>
      <c r="V2781">
        <f>-610.104829439391 -143.316293046497 -74.7492972160861</f>
        <v>-828.17041970197408</v>
      </c>
      <c r="W2781" t="s">
        <v>29835</v>
      </c>
      <c r="X2781" t="s">
        <v>29836</v>
      </c>
      <c r="Y2781" t="s">
        <v>29837</v>
      </c>
    </row>
    <row r="2782" spans="1:25" x14ac:dyDescent="0.3">
      <c r="A2782">
        <v>139050</v>
      </c>
      <c r="B2782" t="s">
        <v>29838</v>
      </c>
      <c r="C2782">
        <f>-640.505379333395 -53.502367839492 -74.0648871033626</f>
        <v>-768.07263427624957</v>
      </c>
      <c r="D2782">
        <f>-653.526165119598 -58.620240813976 -189.045193021608</f>
        <v>-901.19159895518192</v>
      </c>
      <c r="E2782">
        <f>-647.905830170253 -64.2746750236721 -287.346359620257</f>
        <v>-999.52686481418209</v>
      </c>
      <c r="F2782">
        <f>-636.701452213022 -70.1258693219474 -375.541881276878</f>
        <v>-1082.3692028118473</v>
      </c>
      <c r="G2782">
        <f>-619.099024251571 -76.6302205901042 -462.640126883509</f>
        <v>-1158.3693717251842</v>
      </c>
      <c r="H2782">
        <f>-587.865795951059 -86.4255114306509 -582.845644674604</f>
        <v>-1257.1369520563139</v>
      </c>
      <c r="I2782">
        <f>-538.15344569908 -81.3466539630627 -649.237782298979</f>
        <v>-1268.7378819611217</v>
      </c>
      <c r="J2782">
        <f>-609.21227388639 -55.7898851720132 -534.069611517925</f>
        <v>-1199.0717705763282</v>
      </c>
      <c r="K2782" t="s">
        <v>29839</v>
      </c>
      <c r="L2782" t="s">
        <v>29840</v>
      </c>
      <c r="M2782" t="s">
        <v>29841</v>
      </c>
      <c r="N2782">
        <f>-594.00768954263 -108.440300698335 -525.828567489604</f>
        <v>-1228.276557730569</v>
      </c>
      <c r="O2782">
        <f>-565.657978801507 -235.414498711548 -481.394070083426</f>
        <v>-1282.466547596481</v>
      </c>
      <c r="P2782">
        <f>-597.841570255299 -243.301833434405 -189.001718867523</f>
        <v>-1030.1451225572271</v>
      </c>
      <c r="Q2782">
        <f>-450.609826894519 -76.9018186647079 -282.193682049025</f>
        <v>-809.70532760825199</v>
      </c>
      <c r="R2782" t="s">
        <v>29842</v>
      </c>
      <c r="S2782" t="s">
        <v>29843</v>
      </c>
      <c r="T2782" t="s">
        <v>29844</v>
      </c>
      <c r="U2782" t="s">
        <v>29845</v>
      </c>
      <c r="V2782">
        <f>-609.586648611917 -141.905603599787 -74.7427671915372</f>
        <v>-826.23501940324115</v>
      </c>
      <c r="W2782" t="s">
        <v>29846</v>
      </c>
      <c r="X2782" t="s">
        <v>29847</v>
      </c>
      <c r="Y2782" t="s">
        <v>29848</v>
      </c>
    </row>
    <row r="2783" spans="1:25" x14ac:dyDescent="0.3">
      <c r="A2783">
        <v>139100</v>
      </c>
      <c r="B2783" t="s">
        <v>29849</v>
      </c>
      <c r="C2783">
        <f>-640.00576911839 -52.8715566398065 -74.0972554920249</f>
        <v>-766.97458125022149</v>
      </c>
      <c r="D2783">
        <f>-652.934375151797 -57.8977770204541 -189.092061247249</f>
        <v>-899.92421341950012</v>
      </c>
      <c r="E2783">
        <f>-647.283484774969 -63.5063896261115 -287.393947960873</f>
        <v>-998.1838223619535</v>
      </c>
      <c r="F2783">
        <f>-636.07175883716 -69.3262431573592 -375.590735833768</f>
        <v>-1080.9887378282872</v>
      </c>
      <c r="G2783">
        <f>-618.48146465492 -75.8101304014779 -462.692844643987</f>
        <v>-1156.9844397003849</v>
      </c>
      <c r="H2783">
        <f>-587.285102069028 -85.5876670777963 -582.909359246358</f>
        <v>-1255.7821283931821</v>
      </c>
      <c r="I2783">
        <f>-537.589126847093 -80.6418190693678 -649.323824400137</f>
        <v>-1267.5547703165978</v>
      </c>
      <c r="J2783">
        <f>-608.527320992655 -54.9303506607513 -534.101577401961</f>
        <v>-1197.5592490553672</v>
      </c>
      <c r="K2783" t="s">
        <v>29850</v>
      </c>
      <c r="L2783" t="s">
        <v>29851</v>
      </c>
      <c r="M2783" t="s">
        <v>29852</v>
      </c>
      <c r="N2783">
        <f>-593.498857762067 -107.63977833652 -525.91451795256</f>
        <v>-1227.053154051147</v>
      </c>
      <c r="O2783">
        <f>-565.644073238242 -234.736012756382 -481.544785505805</f>
        <v>-1281.9248715004289</v>
      </c>
      <c r="P2783">
        <f>-598.233488902263 -242.725922679578 -189.200383531829</f>
        <v>-1030.15979511367</v>
      </c>
      <c r="Q2783">
        <f>-450.107282029544 -76.8836660082947 -281.967811765791</f>
        <v>-808.95875980362973</v>
      </c>
      <c r="R2783" t="s">
        <v>29853</v>
      </c>
      <c r="S2783" t="s">
        <v>29854</v>
      </c>
      <c r="T2783" t="s">
        <v>29855</v>
      </c>
      <c r="U2783" t="s">
        <v>29856</v>
      </c>
      <c r="V2783">
        <f>-609.271619790267 -141.315191493972 -74.755481501717</f>
        <v>-825.34229278595603</v>
      </c>
      <c r="W2783" t="s">
        <v>29857</v>
      </c>
      <c r="X2783" t="s">
        <v>29858</v>
      </c>
      <c r="Y2783" t="s">
        <v>29859</v>
      </c>
    </row>
    <row r="2784" spans="1:25" x14ac:dyDescent="0.3">
      <c r="A2784">
        <v>139150</v>
      </c>
      <c r="B2784" t="s">
        <v>29860</v>
      </c>
      <c r="C2784">
        <f>-639.51586218412 -52.4169727274704 -74.0367068396309</f>
        <v>-765.9695417512213</v>
      </c>
      <c r="D2784">
        <f>-652.365511592428 -57.3227017479524 -189.045460223368</f>
        <v>-898.73367356374831</v>
      </c>
      <c r="E2784">
        <f>-646.674155940284 -62.8644484744225 -287.348927063825</f>
        <v>-996.8875314785314</v>
      </c>
      <c r="F2784">
        <f>-635.437470494165 -68.6354266076812 -375.545703160459</f>
        <v>-1079.6186002623053</v>
      </c>
      <c r="G2784">
        <f>-617.833506291617 -75.0823200387995 -462.647848742958</f>
        <v>-1155.5636750733745</v>
      </c>
      <c r="H2784">
        <f>-586.629630238147 -84.8200912484637 -582.865596647322</f>
        <v>-1254.3153181339326</v>
      </c>
      <c r="I2784">
        <f>-536.943123419298 -80.0073656511242 -649.296885393298</f>
        <v>-1266.2473744637202</v>
      </c>
      <c r="J2784">
        <f>-607.78933553926 -54.1516212995476 -534.028958852169</f>
        <v>-1195.9699156909767</v>
      </c>
      <c r="K2784" t="s">
        <v>29861</v>
      </c>
      <c r="L2784" t="s">
        <v>29862</v>
      </c>
      <c r="M2784" t="s">
        <v>29863</v>
      </c>
      <c r="N2784">
        <f>-592.93253146708 -106.918378551581 -525.898524591954</f>
        <v>-1225.749434610615</v>
      </c>
      <c r="O2784">
        <f>-565.546110298444 -234.141145001548 -481.614291057702</f>
        <v>-1281.301546357694</v>
      </c>
      <c r="P2784">
        <f>-598.506394652286 -242.313449531404 -189.316500284537</f>
        <v>-1030.136344468227</v>
      </c>
      <c r="Q2784">
        <f>-449.565647784455 -76.9922559330862 -281.709301463067</f>
        <v>-808.26720518060824</v>
      </c>
      <c r="R2784" t="s">
        <v>29864</v>
      </c>
      <c r="S2784" t="s">
        <v>29865</v>
      </c>
      <c r="T2784" t="s">
        <v>29866</v>
      </c>
      <c r="U2784" t="s">
        <v>29867</v>
      </c>
      <c r="V2784">
        <f>-609.06272238658 -141.045087498205 -74.6994260161307</f>
        <v>-824.80723590091577</v>
      </c>
      <c r="W2784" t="s">
        <v>29868</v>
      </c>
      <c r="X2784" t="s">
        <v>29869</v>
      </c>
      <c r="Y2784" t="s">
        <v>29870</v>
      </c>
    </row>
    <row r="2785" spans="1:25" x14ac:dyDescent="0.3">
      <c r="A2785">
        <v>139200</v>
      </c>
      <c r="B2785" t="s">
        <v>29871</v>
      </c>
      <c r="C2785">
        <f>-637.977766024484 -51.1161389100835 -73.8294008101755</f>
        <v>-762.92330574474295</v>
      </c>
      <c r="D2785">
        <f>-650.742320225527 -55.7768202038527 -188.857922819857</f>
        <v>-895.3770632492367</v>
      </c>
      <c r="E2785">
        <f>-644.996792052844 -61.23144176519 -287.163088058052</f>
        <v>-993.39132187608584</v>
      </c>
      <c r="F2785">
        <f>-633.720287904382 -66.967183938224 -375.356984097756</f>
        <v>-1076.044455940362</v>
      </c>
      <c r="G2785">
        <f>-616.085473427169 -73.4228471813337 -462.452296161863</f>
        <v>-1151.9606167703657</v>
      </c>
      <c r="H2785">
        <f>-584.847664712264 -83.2170952171139 -582.656655468411</f>
        <v>-1250.7214153977889</v>
      </c>
      <c r="I2785">
        <f>-535.133014482213 -78.6554797479452 -649.084507998734</f>
        <v>-1262.8730022288921</v>
      </c>
      <c r="J2785">
        <f>-605.875817711539 -52.4798397644665 -533.806378113914</f>
        <v>-1192.1620355899195</v>
      </c>
      <c r="K2785" t="s">
        <v>29872</v>
      </c>
      <c r="L2785" t="s">
        <v>29873</v>
      </c>
      <c r="M2785" t="s">
        <v>29874</v>
      </c>
      <c r="N2785">
        <f>-591.311905956926 -105.334320192577 -525.714884040331</f>
        <v>-1222.3611101898341</v>
      </c>
      <c r="O2785">
        <f>-564.663026923998 -232.73859174353 -481.495260594396</f>
        <v>-1278.8968792619239</v>
      </c>
      <c r="P2785">
        <f>-598.150055550655 -241.020323008895 -189.260331178375</f>
        <v>-1028.4307097379251</v>
      </c>
      <c r="Q2785">
        <f>-447.812432326523 -76.5883731811977 -280.975248990086</f>
        <v>-805.37605449780665</v>
      </c>
      <c r="R2785" t="s">
        <v>29875</v>
      </c>
      <c r="S2785" t="s">
        <v>29876</v>
      </c>
      <c r="T2785" t="s">
        <v>29877</v>
      </c>
      <c r="U2785" t="s">
        <v>29878</v>
      </c>
      <c r="V2785">
        <f>-608.129380879283 -139.625804111973 -74.6186035578413</f>
        <v>-822.3737885490973</v>
      </c>
      <c r="W2785" t="s">
        <v>29879</v>
      </c>
      <c r="X2785" t="s">
        <v>29880</v>
      </c>
      <c r="Y2785" t="s">
        <v>29881</v>
      </c>
    </row>
    <row r="2786" spans="1:25" x14ac:dyDescent="0.3">
      <c r="A2786">
        <v>139250</v>
      </c>
      <c r="B2786" t="s">
        <v>29882</v>
      </c>
      <c r="C2786">
        <f>-637.128677522819 -50.5587339686759 -73.7043730060961</f>
        <v>-761.39178449759106</v>
      </c>
      <c r="D2786">
        <f>-649.853811666382 -55.115636738533 -188.741387706602</f>
        <v>-893.71083611151698</v>
      </c>
      <c r="E2786">
        <f>-644.08535267595 -60.5505298145752 -287.046369646385</f>
        <v>-991.68225213691017</v>
      </c>
      <c r="F2786">
        <f>-632.793079904977 -66.2932222530866 -375.237836842882</f>
        <v>-1074.3241390009457</v>
      </c>
      <c r="G2786">
        <f>-615.147297410115 -72.7804215573236 -462.328485951302</f>
        <v>-1150.2562049187407</v>
      </c>
      <c r="H2786">
        <f>-583.89949122254 -82.6435903297897 -582.524547760978</f>
        <v>-1249.0676293133076</v>
      </c>
      <c r="I2786">
        <f>-534.16163454383 -78.1736081942873 -648.941444079842</f>
        <v>-1261.2766868179592</v>
      </c>
      <c r="J2786">
        <f>-604.867550515615 -51.8585296011451 -533.678636892302</f>
        <v>-1190.4047170090621</v>
      </c>
      <c r="K2786" t="s">
        <v>29883</v>
      </c>
      <c r="L2786" t="s">
        <v>29884</v>
      </c>
      <c r="M2786" t="s">
        <v>29885</v>
      </c>
      <c r="N2786">
        <f>-590.43261758048 -104.748129877942 -525.585932785356</f>
        <v>-1220.766680243778</v>
      </c>
      <c r="O2786">
        <f>-564.099273918965 -232.209621986305 -481.340446943611</f>
        <v>-1277.6493428488811</v>
      </c>
      <c r="P2786">
        <f>-597.711932540074 -240.457108304098 -189.119069061096</f>
        <v>-1027.2881099052681</v>
      </c>
      <c r="Q2786">
        <f>-446.946458175806 -76.2770774966922 -280.582541284633</f>
        <v>-803.80607695713115</v>
      </c>
      <c r="R2786" t="s">
        <v>29886</v>
      </c>
      <c r="S2786" t="s">
        <v>29887</v>
      </c>
      <c r="T2786" t="s">
        <v>29888</v>
      </c>
      <c r="U2786" t="s">
        <v>29889</v>
      </c>
      <c r="V2786">
        <f>-607.573384295888 -138.953783367598 -74.521687137402</f>
        <v>-821.04885480088797</v>
      </c>
      <c r="W2786" t="s">
        <v>29890</v>
      </c>
      <c r="X2786" t="s">
        <v>29891</v>
      </c>
      <c r="Y2786" t="s">
        <v>29892</v>
      </c>
    </row>
    <row r="2787" spans="1:25" x14ac:dyDescent="0.3">
      <c r="A2787">
        <v>139300</v>
      </c>
      <c r="B2787" t="s">
        <v>29893</v>
      </c>
      <c r="C2787">
        <f>-635.492886300004 -49.2383370624098 -73.4259390309617</f>
        <v>-758.15716239337542</v>
      </c>
      <c r="D2787">
        <f>-648.046897540744 -53.6133804200235 -188.488828696218</f>
        <v>-890.14910665698551</v>
      </c>
      <c r="E2787">
        <f>-642.104155744754 -58.9881426718421 -286.786706696411</f>
        <v>-987.87900511300711</v>
      </c>
      <c r="F2787">
        <f>-630.645509022909 -64.7110195630864 -374.957957841018</f>
        <v>-1070.3144864270134</v>
      </c>
      <c r="G2787">
        <f>-612.825231521044 -71.2136850086233 -462.012051993994</f>
        <v>-1146.0509685236614</v>
      </c>
      <c r="H2787">
        <f>-581.326180708879 -81.1348556117823 -582.137769744009</f>
        <v>-1244.5988060646703</v>
      </c>
      <c r="I2787">
        <f>-531.528787942553 -76.801199320627 -648.518841118667</f>
        <v>-1256.8488283818469</v>
      </c>
      <c r="J2787">
        <f>-602.289402123126 -50.2934410990539 -533.325170744386</f>
        <v>-1185.9080139665659</v>
      </c>
      <c r="K2787" t="s">
        <v>29894</v>
      </c>
      <c r="L2787" t="s">
        <v>29895</v>
      </c>
      <c r="M2787" t="s">
        <v>29896</v>
      </c>
      <c r="N2787">
        <f>-588.085291948138 -103.244683475186 -525.227417001077</f>
        <v>-1216.5573924244009</v>
      </c>
      <c r="O2787">
        <f>-562.314986271744 -230.807596305849 -480.932657095151</f>
        <v>-1274.0552396727439</v>
      </c>
      <c r="P2787">
        <f>-596.51533425819 -239.11084641599 -188.781018441032</f>
        <v>-1024.4071991152121</v>
      </c>
      <c r="Q2787">
        <f>-445.057900126392 -75.3473500057282 -279.847116968396</f>
        <v>-800.25236710051615</v>
      </c>
      <c r="R2787" t="s">
        <v>29897</v>
      </c>
      <c r="S2787" t="s">
        <v>29898</v>
      </c>
      <c r="T2787" t="s">
        <v>29899</v>
      </c>
      <c r="U2787" t="s">
        <v>29900</v>
      </c>
      <c r="V2787">
        <f>-606.329729293167 -137.523128650661 -74.3264442605107</f>
        <v>-818.17930220433868</v>
      </c>
      <c r="W2787" t="s">
        <v>29901</v>
      </c>
      <c r="X2787" t="s">
        <v>29902</v>
      </c>
      <c r="Y2787" t="s">
        <v>29903</v>
      </c>
    </row>
    <row r="2788" spans="1:25" x14ac:dyDescent="0.3">
      <c r="A2788">
        <v>139350</v>
      </c>
      <c r="B2788" t="s">
        <v>29904</v>
      </c>
      <c r="C2788">
        <f>-634.633206222761 -48.5639718978872 -73.3043809422981</f>
        <v>-756.50155906294628</v>
      </c>
      <c r="D2788">
        <f>-647.096654069063 -52.8275382977185 -188.381403743909</f>
        <v>-888.30559611069054</v>
      </c>
      <c r="E2788">
        <f>-641.024583897542 -58.1547465299517 -286.673843211315</f>
        <v>-985.8531736388087</v>
      </c>
      <c r="F2788">
        <f>-629.429586055266 -63.8521603089888 -374.828976528937</f>
        <v>-1068.1107228931919</v>
      </c>
      <c r="G2788">
        <f>-611.454580647452 -70.3472776399331 -461.851762814721</f>
        <v>-1143.6536211021059</v>
      </c>
      <c r="H2788">
        <f>-579.721226451344 -80.2756533657198 -581.915237646574</f>
        <v>-1241.912117463638</v>
      </c>
      <c r="I2788">
        <f>-529.866667548985 -75.9961209473828 -648.257032025599</f>
        <v>-1254.1198205219666</v>
      </c>
      <c r="J2788">
        <f>-600.734957530834 -49.4176786887651 -533.13487780288</f>
        <v>-1183.2875140224792</v>
      </c>
      <c r="K2788" t="s">
        <v>29905</v>
      </c>
      <c r="L2788" t="s">
        <v>29906</v>
      </c>
      <c r="M2788" t="s">
        <v>29907</v>
      </c>
      <c r="N2788">
        <f>-586.635981491681 -102.395546547239 -525.027668816727</f>
        <v>-1214.0591968556469</v>
      </c>
      <c r="O2788">
        <f>-561.10364406714 -229.99871475451 -480.720434277331</f>
        <v>-1271.8227930989808</v>
      </c>
      <c r="P2788">
        <f>-595.713412854164 -238.389826521713 -188.619544185757</f>
        <v>-1022.7227835616339</v>
      </c>
      <c r="Q2788">
        <f>-443.94950259985 -74.7536439245947 -279.403796572021</f>
        <v>-798.10694309646578</v>
      </c>
      <c r="R2788" t="s">
        <v>29908</v>
      </c>
      <c r="S2788" t="s">
        <v>29909</v>
      </c>
      <c r="T2788" t="s">
        <v>29910</v>
      </c>
      <c r="U2788" t="s">
        <v>29911</v>
      </c>
      <c r="V2788">
        <f>-605.683512263408 -136.887901766392 -74.2441224438853</f>
        <v>-816.81553647368537</v>
      </c>
      <c r="W2788" t="s">
        <v>29912</v>
      </c>
      <c r="X2788" t="s">
        <v>29913</v>
      </c>
      <c r="Y2788" t="s">
        <v>29914</v>
      </c>
    </row>
    <row r="2789" spans="1:25" x14ac:dyDescent="0.3">
      <c r="A2789">
        <v>139400</v>
      </c>
      <c r="B2789" t="s">
        <v>29915</v>
      </c>
      <c r="C2789">
        <f>-633.007288987027 -47.4053023069966 -73.1659497735752</f>
        <v>-753.57854106759885</v>
      </c>
      <c r="D2789">
        <f>-645.21020475061 -51.4184807117365 -188.27975371027</f>
        <v>-884.90843917261657</v>
      </c>
      <c r="E2789">
        <f>-638.829378700273 -56.6221548415504 -286.559362121062</f>
        <v>-982.01089566288533</v>
      </c>
      <c r="F2789">
        <f>-626.923731794882 -62.2404887232483 -374.678286157279</f>
        <v>-1063.8425066754094</v>
      </c>
      <c r="G2789">
        <f>-608.608548707932 -68.6887762366375 -461.633462748922</f>
        <v>-1138.9307876934915</v>
      </c>
      <c r="H2789">
        <f>-576.371272815979 -78.5842278304939 -581.565311141815</f>
        <v>-1236.5208117882878</v>
      </c>
      <c r="I2789">
        <f>-526.37086196278 -74.4065593143004 -647.803784162155</f>
        <v>-1248.5812054392354</v>
      </c>
      <c r="J2789">
        <f>-597.512015306272 -47.7162585582468 -532.846124114675</f>
        <v>-1178.0743979791937</v>
      </c>
      <c r="K2789" t="s">
        <v>29916</v>
      </c>
      <c r="L2789" t="s">
        <v>29917</v>
      </c>
      <c r="M2789" t="s">
        <v>29918</v>
      </c>
      <c r="N2789">
        <f>-583.602632086896 -100.743122112953 -524.732193822663</f>
        <v>-1209.0779480225119</v>
      </c>
      <c r="O2789">
        <f>-558.628226106068 -228.460455997623 -480.422347905697</f>
        <v>-1267.5110300093882</v>
      </c>
      <c r="P2789">
        <f>-594.062294495647 -237.125393836751 -188.428311093608</f>
        <v>-1019.6159994260061</v>
      </c>
      <c r="Q2789">
        <f>-441.425925894521 -73.9472869476468 -278.571966259216</f>
        <v>-793.94517910138393</v>
      </c>
      <c r="R2789" t="s">
        <v>29919</v>
      </c>
      <c r="S2789" t="s">
        <v>29920</v>
      </c>
      <c r="T2789" t="s">
        <v>29921</v>
      </c>
      <c r="U2789" t="s">
        <v>29922</v>
      </c>
      <c r="V2789">
        <f>-604.428606031178 -135.790549257418 -74.209012982722</f>
        <v>-814.42816827131799</v>
      </c>
      <c r="W2789" t="s">
        <v>29923</v>
      </c>
      <c r="X2789" t="s">
        <v>29924</v>
      </c>
      <c r="Y2789" t="s">
        <v>29925</v>
      </c>
    </row>
    <row r="2790" spans="1:25" x14ac:dyDescent="0.3">
      <c r="A2790">
        <v>139450</v>
      </c>
      <c r="B2790" t="s">
        <v>29926</v>
      </c>
      <c r="C2790">
        <f>-632.214903954031 -46.9973849878148 -73.1464761415592</f>
        <v>-752.35876508340505</v>
      </c>
      <c r="D2790">
        <f>-644.289280123417 -50.8640591841447 -188.278794550544</f>
        <v>-883.43213385810577</v>
      </c>
      <c r="E2790">
        <f>-637.746842070232 -55.9855868161394 -286.552126810619</f>
        <v>-980.28455569699031</v>
      </c>
      <c r="F2790">
        <f>-625.676128581412 -61.5453393692984 -374.652224195202</f>
        <v>-1061.8736921459124</v>
      </c>
      <c r="G2790">
        <f>-607.177709865433 -67.9508997425418 -461.571716608731</f>
        <v>-1136.7003262167059</v>
      </c>
      <c r="H2790">
        <f>-574.666941207788 -77.8030997482232 -581.43341563763</f>
        <v>-1233.9034565936413</v>
      </c>
      <c r="I2790">
        <f>-524.580800019705 -73.6707855561418 -647.609876343155</f>
        <v>-1245.8614619190016</v>
      </c>
      <c r="J2790">
        <f>-595.881836956099 -46.9416594095302 -532.742389959332</f>
        <v>-1175.5658863249612</v>
      </c>
      <c r="K2790" t="s">
        <v>29927</v>
      </c>
      <c r="L2790" t="s">
        <v>29928</v>
      </c>
      <c r="M2790" t="s">
        <v>29929</v>
      </c>
      <c r="N2790">
        <f>-582.064886184576 -99.9936275234907 -524.634147121109</f>
        <v>-1206.6926608291756</v>
      </c>
      <c r="O2790">
        <f>-557.349516947858 -227.757854206146 -480.348682329324</f>
        <v>-1265.4560534833281</v>
      </c>
      <c r="P2790">
        <f>-593.272181167942 -236.584201868134 -188.419037027556</f>
        <v>-1018.2754200636319</v>
      </c>
      <c r="Q2790">
        <f>-440.294270908307 -73.6039831645061 -278.341805575592</f>
        <v>-792.24005964840512</v>
      </c>
      <c r="R2790" t="s">
        <v>29930</v>
      </c>
      <c r="S2790" t="s">
        <v>29931</v>
      </c>
      <c r="T2790" t="s">
        <v>29932</v>
      </c>
      <c r="U2790" t="s">
        <v>29933</v>
      </c>
      <c r="V2790">
        <f>-603.822508360291 -135.391024912017 -74.2463593200227</f>
        <v>-813.45989259233068</v>
      </c>
      <c r="W2790" t="s">
        <v>29934</v>
      </c>
      <c r="X2790" t="s">
        <v>29935</v>
      </c>
      <c r="Y2790" t="s">
        <v>29936</v>
      </c>
    </row>
    <row r="2791" spans="1:25" x14ac:dyDescent="0.3">
      <c r="A2791">
        <v>139500</v>
      </c>
      <c r="B2791" t="s">
        <v>29937</v>
      </c>
      <c r="C2791">
        <f>-630.877445458595 -45.8057992873978 -73.0982856180763</f>
        <v>-749.78153036406911</v>
      </c>
      <c r="D2791">
        <f>-642.742151281701 -49.4235934950974 -188.260622776262</f>
        <v>-880.42636755306046</v>
      </c>
      <c r="E2791">
        <f>-635.885899556886 -54.4096081714886 -286.519393880929</f>
        <v>-976.81490160930355</v>
      </c>
      <c r="F2791">
        <f>-623.480665912673 -59.8768745271032 -374.578823043321</f>
        <v>-1057.936363483097</v>
      </c>
      <c r="G2791">
        <f>-604.599898120588 -66.2207519653462 -461.420690360842</f>
        <v>-1132.2413404467761</v>
      </c>
      <c r="H2791">
        <f>-571.507692378867 -76.0184788017777 -581.127484278711</f>
        <v>-1228.6536554593558</v>
      </c>
      <c r="I2791">
        <f>-521.224471568986 -71.9367329786044 -647.157603587647</f>
        <v>-1240.3188081352373</v>
      </c>
      <c r="J2791">
        <f>-592.907641982588 -45.1639404417335 -532.513273598902</f>
        <v>-1170.5848560232234</v>
      </c>
      <c r="K2791" t="s">
        <v>29938</v>
      </c>
      <c r="L2791" t="s">
        <v>29939</v>
      </c>
      <c r="M2791" t="s">
        <v>29940</v>
      </c>
      <c r="N2791">
        <f>-579.232228867012 -98.2499644720723 -524.387768675022</f>
        <v>-1201.8699620141065</v>
      </c>
      <c r="O2791">
        <f>-554.913907170602 -226.106158181417 -480.124916367009</f>
        <v>-1261.144981719028</v>
      </c>
      <c r="P2791">
        <f>-591.801321263748 -235.158732366463 -188.32257054355</f>
        <v>-1015.2826241737611</v>
      </c>
      <c r="Q2791">
        <f>-438.306401875466 -72.49573104994 -277.938111863794</f>
        <v>-788.74024478920001</v>
      </c>
      <c r="R2791" t="s">
        <v>29941</v>
      </c>
      <c r="S2791" t="s">
        <v>29942</v>
      </c>
      <c r="T2791" t="s">
        <v>29943</v>
      </c>
      <c r="U2791" t="s">
        <v>29944</v>
      </c>
      <c r="V2791">
        <f>-602.733820981589 -133.954385943169 -74.2760368823648</f>
        <v>-810.96424380712278</v>
      </c>
      <c r="W2791" t="s">
        <v>29945</v>
      </c>
      <c r="X2791" t="s">
        <v>29946</v>
      </c>
      <c r="Y2791" t="s">
        <v>29947</v>
      </c>
    </row>
    <row r="2792" spans="1:25" x14ac:dyDescent="0.3">
      <c r="A2792">
        <v>139550</v>
      </c>
      <c r="B2792" t="s">
        <v>29948</v>
      </c>
      <c r="C2792">
        <f>-630.422015001443 -45.0540066024354 -73.0631535078836</f>
        <v>-748.53917511176201</v>
      </c>
      <c r="D2792">
        <f>-642.179320967658 -48.5705952112925 -188.239778091886</f>
        <v>-878.98969427083648</v>
      </c>
      <c r="E2792">
        <f>-635.154272566177 -53.4685800017289 -286.490957186418</f>
        <v>-975.11380975432394</v>
      </c>
      <c r="F2792">
        <f>-622.566913121915 -58.8549380481953 -374.529524129243</f>
        <v>-1055.9513752993535</v>
      </c>
      <c r="G2792">
        <f>-603.475969866016 -65.1164267802351 -461.33150778169</f>
        <v>-1129.9239044279411</v>
      </c>
      <c r="H2792">
        <f>-570.062505385261 -74.7971137704409 -580.958549347334</f>
        <v>-1225.8181685030358</v>
      </c>
      <c r="I2792">
        <f>-519.681770182501 -70.6831498980852 -646.912222999724</f>
        <v>-1237.2771430803102</v>
      </c>
      <c r="J2792">
        <f>-591.591913002433 -43.9898752399541 -532.371404940916</f>
        <v>-1167.953193183303</v>
      </c>
      <c r="K2792" t="s">
        <v>29949</v>
      </c>
      <c r="L2792" t="s">
        <v>29950</v>
      </c>
      <c r="M2792" t="s">
        <v>29951</v>
      </c>
      <c r="N2792">
        <f>-577.940422413522 -97.0843987824768 -524.261717612723</f>
        <v>-1199.2865388087218</v>
      </c>
      <c r="O2792">
        <f>-553.705996675548 -224.985625206876 -480.05751335848</f>
        <v>-1258.749135240904</v>
      </c>
      <c r="P2792">
        <f>-591.126628362494 -234.293534008585 -188.331101764806</f>
        <v>-1013.751264135885</v>
      </c>
      <c r="Q2792">
        <f>-437.454479617818 -71.6114148250471 -277.607529947706</f>
        <v>-786.67342439057109</v>
      </c>
      <c r="R2792" t="s">
        <v>29952</v>
      </c>
      <c r="S2792" t="s">
        <v>29953</v>
      </c>
      <c r="T2792" t="s">
        <v>29954</v>
      </c>
      <c r="U2792" t="s">
        <v>29955</v>
      </c>
      <c r="V2792">
        <f>-602.289681409 -133.084228714826 -74.2509139216886</f>
        <v>-809.62482404551452</v>
      </c>
      <c r="W2792" t="s">
        <v>29956</v>
      </c>
      <c r="X2792" t="s">
        <v>29957</v>
      </c>
      <c r="Y2792" t="s">
        <v>29958</v>
      </c>
    </row>
    <row r="2793" spans="1:25" x14ac:dyDescent="0.3">
      <c r="A2793">
        <v>139600</v>
      </c>
      <c r="B2793" t="s">
        <v>29959</v>
      </c>
      <c r="C2793">
        <f>-630.153318996101 -44.2196231496421 -73.1120939961093</f>
        <v>-747.48503614185233</v>
      </c>
      <c r="D2793">
        <f>-641.654305369537 -47.5519821686847 -188.319888741156</f>
        <v>-877.52617627937775</v>
      </c>
      <c r="E2793">
        <f>-634.210065957991 -52.229752096267 -286.551015919638</f>
        <v>-972.99083397389609</v>
      </c>
      <c r="F2793">
        <f>-621.166767633867 -57.3927618376338 -374.536558596676</f>
        <v>-1053.0960880681769</v>
      </c>
      <c r="G2793">
        <f>-601.546807194934 -63.407318092947 -461.23794208116</f>
        <v>-1126.1920673690411</v>
      </c>
      <c r="H2793">
        <f>-567.321675402818 -72.7187224717427 -580.664717964576</f>
        <v>-1220.7051158391366</v>
      </c>
      <c r="I2793">
        <f>-516.710940171039 -68.4363670663059 -646.431261726986</f>
        <v>-1231.578568964331</v>
      </c>
      <c r="J2793">
        <f>-589.189208385846 -42.0639734635829 -532.132167998951</f>
        <v>-1163.38534984838</v>
      </c>
      <c r="K2793" t="s">
        <v>29960</v>
      </c>
      <c r="L2793" t="s">
        <v>29961</v>
      </c>
      <c r="M2793" t="s">
        <v>29962</v>
      </c>
      <c r="N2793">
        <f>-575.575787870175 -95.1785210140328 -524.089571751424</f>
        <v>-1194.8438806356316</v>
      </c>
      <c r="O2793">
        <f>-551.519402144229 -223.179062736008 -480.121084150002</f>
        <v>-1254.8195490302389</v>
      </c>
      <c r="P2793">
        <f>-589.981847605814 -233.247532753669 -188.555596129885</f>
        <v>-1011.784976489368</v>
      </c>
      <c r="Q2793">
        <f>-436.12310094098 -70.0800153878896 -276.616608804682</f>
        <v>-782.81972513355163</v>
      </c>
      <c r="R2793" t="s">
        <v>29963</v>
      </c>
      <c r="S2793" t="s">
        <v>29964</v>
      </c>
      <c r="T2793" t="s">
        <v>29965</v>
      </c>
      <c r="U2793" t="s">
        <v>29966</v>
      </c>
      <c r="V2793">
        <f>-601.836120509423 -132.610565294852 -74.4209721366584</f>
        <v>-808.86765794093344</v>
      </c>
      <c r="W2793" t="s">
        <v>29967</v>
      </c>
      <c r="X2793" t="s">
        <v>29968</v>
      </c>
      <c r="Y2793" t="s">
        <v>29969</v>
      </c>
    </row>
    <row r="2794" spans="1:25" x14ac:dyDescent="0.3">
      <c r="A2794">
        <v>139650</v>
      </c>
      <c r="B2794" t="s">
        <v>29970</v>
      </c>
      <c r="C2794">
        <f>-630.05151850137 -44.5010786200212 -73.4142941965217</f>
        <v>-747.96689131791288</v>
      </c>
      <c r="D2794">
        <f>-641.461369164813 -47.7769056755474 -188.632823667768</f>
        <v>-877.8710985081284</v>
      </c>
      <c r="E2794">
        <f>-633.79183744795 -52.336696513484 -286.852221914718</f>
        <v>-972.98075587615199</v>
      </c>
      <c r="F2794">
        <f>-620.488082407429 -57.3708926246605 -374.806147184167</f>
        <v>-1052.6651222162566</v>
      </c>
      <c r="G2794">
        <f>-600.553851643903 -63.2377113893183 -461.44587760804</f>
        <v>-1125.2374406412614</v>
      </c>
      <c r="H2794">
        <f>-565.836406475502 -72.3260475036772 -580.747706890143</f>
        <v>-1218.9101608693222</v>
      </c>
      <c r="I2794">
        <f>-515.122575751325 -67.942761264969 -646.428192415234</f>
        <v>-1229.493529431528</v>
      </c>
      <c r="J2794">
        <f>-587.895539631996 -41.7594925486042 -532.246262166884</f>
        <v>-1161.9012943474841</v>
      </c>
      <c r="K2794" t="s">
        <v>29971</v>
      </c>
      <c r="L2794" t="s">
        <v>29972</v>
      </c>
      <c r="M2794" t="s">
        <v>29973</v>
      </c>
      <c r="N2794">
        <f>-574.33210341367 -94.8939675871926 -524.251404964116</f>
        <v>-1193.4774759649786</v>
      </c>
      <c r="O2794">
        <f>-550.380388581417 -222.970403782069 -480.416449309435</f>
        <v>-1253.767241672921</v>
      </c>
      <c r="P2794">
        <f>-589.528688786101 -233.56254750337 -188.960829183899</f>
        <v>-1012.05206547337</v>
      </c>
      <c r="Q2794">
        <f>-435.583476023741 -70.1235141279162 -276.364626738059</f>
        <v>-782.07161688971621</v>
      </c>
      <c r="R2794" t="s">
        <v>29974</v>
      </c>
      <c r="S2794" t="s">
        <v>29975</v>
      </c>
      <c r="T2794" t="s">
        <v>29976</v>
      </c>
      <c r="U2794" t="s">
        <v>29977</v>
      </c>
      <c r="V2794">
        <f>-601.271411754502 -133.389089616774 -74.9002214727697</f>
        <v>-809.56072284404559</v>
      </c>
      <c r="W2794" t="s">
        <v>29978</v>
      </c>
      <c r="X2794" t="s">
        <v>29979</v>
      </c>
      <c r="Y2794" t="s">
        <v>29980</v>
      </c>
    </row>
    <row r="2795" spans="1:25" x14ac:dyDescent="0.3">
      <c r="A2795">
        <v>139700</v>
      </c>
      <c r="B2795" t="s">
        <v>29981</v>
      </c>
      <c r="C2795">
        <f>-630.365156773682 -45.2869322868319 -74.4397956884839</f>
        <v>-750.0918847489977</v>
      </c>
      <c r="D2795">
        <f>-641.347021670069 -48.2927760740437 -189.707239510653</f>
        <v>-879.34703725476572</v>
      </c>
      <c r="E2795">
        <f>-633.126836478896 -52.5272017128832 -287.896641055538</f>
        <v>-973.55067924731725</v>
      </c>
      <c r="F2795">
        <f>-619.256151132978 -57.2457149053889 -375.780582227471</f>
        <v>-1052.282448265838</v>
      </c>
      <c r="G2795">
        <f>-598.691822355985 -62.7821596858809 -462.294614018684</f>
        <v>-1123.76859606055</v>
      </c>
      <c r="H2795">
        <f>-563.033272682095 -71.4013089644374 -581.353411625976</f>
        <v>-1215.7879932725084</v>
      </c>
      <c r="I2795">
        <f>-512.201796767924 -66.7538014426434 -646.924720654609</f>
        <v>-1225.8803188651764</v>
      </c>
      <c r="J2795">
        <f>-585.522386424543 -41.039505111376 -532.920891772343</f>
        <v>-1159.482783308262</v>
      </c>
      <c r="K2795" t="s">
        <v>29982</v>
      </c>
      <c r="L2795" t="s">
        <v>29983</v>
      </c>
      <c r="M2795" t="s">
        <v>29984</v>
      </c>
      <c r="N2795">
        <f>-571.927256518798 -94.1773990877379 -525.002322155689</f>
        <v>-1191.1069777622247</v>
      </c>
      <c r="O2795">
        <f>-547.895860303629 -222.303947301579 -481.428806746185</f>
        <v>-1251.628614351393</v>
      </c>
      <c r="P2795">
        <f>-588.827080541462 -233.996752188373 -190.260213194146</f>
        <v>-1013.084045923981</v>
      </c>
      <c r="Q2795">
        <f>-434.500349410296 -70.342805382385 -276.58246930209</f>
        <v>-781.42562409477091</v>
      </c>
      <c r="R2795" t="s">
        <v>29985</v>
      </c>
      <c r="S2795" t="s">
        <v>29986</v>
      </c>
      <c r="T2795" t="s">
        <v>29987</v>
      </c>
      <c r="U2795" t="s">
        <v>29988</v>
      </c>
      <c r="V2795">
        <f>-600.517795950064 -134.892098990738 -76.0458188462359</f>
        <v>-811.45571378703789</v>
      </c>
      <c r="W2795" t="s">
        <v>29989</v>
      </c>
      <c r="X2795" t="s">
        <v>29990</v>
      </c>
      <c r="Y2795" t="s">
        <v>29991</v>
      </c>
    </row>
    <row r="2796" spans="1:25" x14ac:dyDescent="0.3">
      <c r="A2796">
        <v>139750</v>
      </c>
      <c r="B2796" t="s">
        <v>29992</v>
      </c>
      <c r="C2796">
        <f>-630.47969539872 -45.7449121897004 -75.0314869411906</f>
        <v>-751.25609452961089</v>
      </c>
      <c r="D2796">
        <f>-641.268667973083 -48.6256753666602 -190.320331603216</f>
        <v>-880.21467494295916</v>
      </c>
      <c r="E2796">
        <f>-632.852622133829 -52.727670185968 -288.498794774019</f>
        <v>-974.07908709381604</v>
      </c>
      <c r="F2796">
        <f>-618.794171890919 -57.3285485372005 -376.359057549036</f>
        <v>-1052.4817779771554</v>
      </c>
      <c r="G2796">
        <f>-598.033903374896 -62.754254204547 -462.833400339658</f>
        <v>-1123.621557919101</v>
      </c>
      <c r="H2796">
        <f>-562.09508534119 -71.2308879543439 -581.818110808305</f>
        <v>-1215.1440841038388</v>
      </c>
      <c r="I2796">
        <f>-511.345878482217 -66.4886821657974 -647.44628209057</f>
        <v>-1225.2808427385844</v>
      </c>
      <c r="J2796">
        <f>-584.746451006129 -40.9415622660465 -533.415906096353</f>
        <v>-1159.1039193685283</v>
      </c>
      <c r="K2796" t="s">
        <v>29993</v>
      </c>
      <c r="L2796" t="s">
        <v>29994</v>
      </c>
      <c r="M2796" t="s">
        <v>29995</v>
      </c>
      <c r="N2796">
        <f>-571.073519652267 -94.0600721673562 -525.501750074845</f>
        <v>-1190.6353418944682</v>
      </c>
      <c r="O2796">
        <f>-546.73563997276 -222.177394578588 -482.065504498046</f>
        <v>-1250.9785390493942</v>
      </c>
      <c r="P2796">
        <f>-588.478894237636 -234.412795044979 -191.034530268237</f>
        <v>-1013.926219550852</v>
      </c>
      <c r="Q2796">
        <f>-434.03043515851 -70.657063608778 -276.945054170581</f>
        <v>-781.63255293786892</v>
      </c>
      <c r="R2796" t="s">
        <v>29996</v>
      </c>
      <c r="S2796" t="s">
        <v>29997</v>
      </c>
      <c r="T2796" t="s">
        <v>29998</v>
      </c>
      <c r="U2796" t="s">
        <v>29999</v>
      </c>
      <c r="V2796">
        <f>-599.810935752867 -135.448095692577 -76.7942473911839</f>
        <v>-812.0532788366279</v>
      </c>
      <c r="W2796" t="s">
        <v>30000</v>
      </c>
      <c r="X2796" t="s">
        <v>30001</v>
      </c>
      <c r="Y2796" t="s">
        <v>30002</v>
      </c>
    </row>
    <row r="2797" spans="1:25" x14ac:dyDescent="0.3">
      <c r="A2797">
        <v>139800</v>
      </c>
      <c r="B2797" t="s">
        <v>30003</v>
      </c>
      <c r="C2797">
        <f>-631.261549547336 -47.001272465229 -76.0569379184186</f>
        <v>-754.31975993098365</v>
      </c>
      <c r="D2797">
        <f>-641.852661659039 -49.677345331971 -191.369117196193</f>
        <v>-882.89912418720291</v>
      </c>
      <c r="E2797">
        <f>-633.292320086534 -53.3779868745135 -289.550935308051</f>
        <v>-976.22124226909841</v>
      </c>
      <c r="F2797">
        <f>-619.11311919019 -57.5533433131876 -377.413098498806</f>
        <v>-1054.0795610021837</v>
      </c>
      <c r="G2797">
        <f>-598.243797835602 -62.5009890379066 -463.889848980304</f>
        <v>-1124.6346358538126</v>
      </c>
      <c r="H2797">
        <f>-562.16569858187 -70.2673870304568 -582.881003332991</f>
        <v>-1215.3140889453177</v>
      </c>
      <c r="I2797">
        <f>-511.822734239805 -65.1782359190955 -648.795339984244</f>
        <v>-1225.7963101431446</v>
      </c>
      <c r="J2797">
        <f>-585.049721093531 -40.3203572577277 -534.375197648856</f>
        <v>-1159.7452760001147</v>
      </c>
      <c r="K2797" t="s">
        <v>30004</v>
      </c>
      <c r="L2797" t="s">
        <v>30005</v>
      </c>
      <c r="M2797" t="s">
        <v>30006</v>
      </c>
      <c r="N2797">
        <f>-571.034091532272 -93.3792265619259 -526.662509114638</f>
        <v>-1191.075827208836</v>
      </c>
      <c r="O2797">
        <f>-545.634519151517 -221.493888837992 -483.736145556958</f>
        <v>-1250.8645535464671</v>
      </c>
      <c r="P2797">
        <f>-588.157786298341 -234.957642194498 -192.872497908085</f>
        <v>-1015.9879264009239</v>
      </c>
      <c r="Q2797">
        <f>-434.031686380678 -70.1589005321511 -277.355482288121</f>
        <v>-781.54606920095011</v>
      </c>
      <c r="R2797" t="s">
        <v>30007</v>
      </c>
      <c r="S2797" t="s">
        <v>30008</v>
      </c>
      <c r="T2797" t="s">
        <v>30009</v>
      </c>
      <c r="U2797" t="s">
        <v>30010</v>
      </c>
      <c r="V2797">
        <f>-599.803270669637 -136.621709246967 -77.8924971977189</f>
        <v>-814.31747711432274</v>
      </c>
      <c r="W2797" t="s">
        <v>30011</v>
      </c>
      <c r="X2797" t="s">
        <v>30012</v>
      </c>
      <c r="Y2797" t="s">
        <v>30013</v>
      </c>
    </row>
    <row r="2798" spans="1:25" x14ac:dyDescent="0.3">
      <c r="A2798">
        <v>139850</v>
      </c>
      <c r="B2798" t="s">
        <v>30014</v>
      </c>
      <c r="C2798">
        <f>-631.756449174915 -47.2105482942844 -76.4277760735472</f>
        <v>-755.39477354274663</v>
      </c>
      <c r="D2798">
        <f>-642.420640565869 -49.9429440680942 -191.731811563655</f>
        <v>-884.09539619761824</v>
      </c>
      <c r="E2798">
        <f>-633.925494569401 -53.4195882602335 -289.927571792126</f>
        <v>-977.27265462176047</v>
      </c>
      <c r="F2798">
        <f>-619.803505113084 -57.2965767232755 -377.812613781007</f>
        <v>-1054.9126956173666</v>
      </c>
      <c r="G2798">
        <f>-598.98941046116 -61.8545294961384 -464.324071986905</f>
        <v>-1125.1680119442035</v>
      </c>
      <c r="H2798">
        <f>-562.98525509639 -68.9870658108927 -583.377233345202</f>
        <v>-1215.3495542524847</v>
      </c>
      <c r="I2798">
        <f>-512.943633938854 -63.6233135990266 -649.49899516117</f>
        <v>-1226.0659426990505</v>
      </c>
      <c r="J2798">
        <f>-585.954418202089 -39.3341539540502 -534.731271817025</f>
        <v>-1160.0198439731641</v>
      </c>
      <c r="K2798" t="s">
        <v>30015</v>
      </c>
      <c r="L2798" t="s">
        <v>30016</v>
      </c>
      <c r="M2798" t="s">
        <v>30017</v>
      </c>
      <c r="N2798">
        <f>-571.703297231048 -92.3626493387175 -527.244424988094</f>
        <v>-1191.3103715578595</v>
      </c>
      <c r="O2798">
        <f>-545.593609973454 -220.518622631795 -484.855760066323</f>
        <v>-1250.9679926715721</v>
      </c>
      <c r="P2798">
        <f>-588.011325876009 -235.276623588213 -194.039346611971</f>
        <v>-1017.3272960761931</v>
      </c>
      <c r="Q2798">
        <f>-434.476655599631 -69.3985460237793 -277.48043268867</f>
        <v>-781.35563431208038</v>
      </c>
      <c r="R2798" t="s">
        <v>30018</v>
      </c>
      <c r="S2798" t="s">
        <v>30019</v>
      </c>
      <c r="T2798" t="s">
        <v>30020</v>
      </c>
      <c r="U2798" t="s">
        <v>30021</v>
      </c>
      <c r="V2798">
        <f>-599.807081253201 -136.60610160136 -78.3007690438557</f>
        <v>-814.71395189841667</v>
      </c>
      <c r="W2798" t="s">
        <v>30022</v>
      </c>
      <c r="X2798" t="s">
        <v>30023</v>
      </c>
      <c r="Y2798" t="s">
        <v>30024</v>
      </c>
    </row>
    <row r="2799" spans="1:25" x14ac:dyDescent="0.3">
      <c r="A2799">
        <v>139900</v>
      </c>
      <c r="B2799" t="s">
        <v>30025</v>
      </c>
      <c r="C2799">
        <f>-632.473514209913 -47.9979184405555 -76.8100941167063</f>
        <v>-757.2815267671748</v>
      </c>
      <c r="D2799">
        <f>-643.520096875884 -50.8659486563564 -192.074914347638</f>
        <v>-886.46095987987837</v>
      </c>
      <c r="E2799">
        <f>-635.425000061898 -53.8678824926785 -290.320089404673</f>
        <v>-979.61297195924953</v>
      </c>
      <c r="F2799">
        <f>-621.685369941302 -57.0925089448074 -378.292001406496</f>
        <v>-1057.0698802926054</v>
      </c>
      <c r="G2799">
        <f>-601.269412915179 -60.7801281149855 -464.939817764567</f>
        <v>-1126.9893587947315</v>
      </c>
      <c r="H2799">
        <f>-565.833373203381 -66.475692072045 -584.240473803249</f>
        <v>-1216.549539078675</v>
      </c>
      <c r="I2799">
        <f>-516.661372321064 -60.4139334522532 -650.951730645832</f>
        <v>-1228.0270364191492</v>
      </c>
      <c r="J2799">
        <f>-588.75431940597 -37.4691588734529 -535.183695340469</f>
        <v>-1161.4071736198919</v>
      </c>
      <c r="K2799" t="s">
        <v>30026</v>
      </c>
      <c r="L2799" t="s">
        <v>30027</v>
      </c>
      <c r="M2799" t="s">
        <v>30028</v>
      </c>
      <c r="N2799">
        <f>-574.099723650886 -90.4695017744308 -528.300547371263</f>
        <v>-1192.8697727965796</v>
      </c>
      <c r="O2799">
        <f>-546.703666946216 -218.752977140016 -487.184205232195</f>
        <v>-1252.6408493184269</v>
      </c>
      <c r="P2799">
        <f>-587.18798689385 -236.730481727135 -196.273548867705</f>
        <v>-1020.1920174886901</v>
      </c>
      <c r="Q2799">
        <f>-435.732792839049 -68.2425912969788 -278.273720998541</f>
        <v>-782.24910513456882</v>
      </c>
      <c r="R2799" t="s">
        <v>30029</v>
      </c>
      <c r="S2799" t="s">
        <v>30030</v>
      </c>
      <c r="T2799" t="s">
        <v>30031</v>
      </c>
      <c r="U2799" t="s">
        <v>30032</v>
      </c>
      <c r="V2799">
        <f>-599.979289328737 -137.264644650761 -78.736610161155</f>
        <v>-815.98054414065302</v>
      </c>
      <c r="W2799" t="s">
        <v>30033</v>
      </c>
      <c r="X2799" t="s">
        <v>30034</v>
      </c>
      <c r="Y2799" t="s">
        <v>30035</v>
      </c>
    </row>
    <row r="2800" spans="1:25" x14ac:dyDescent="0.3">
      <c r="A2800">
        <v>139950</v>
      </c>
      <c r="B2800" t="s">
        <v>30036</v>
      </c>
      <c r="C2800">
        <f>-632.898376462636 -48.501484596851 -76.8981109571979</f>
        <v>-758.29797201668487</v>
      </c>
      <c r="D2800">
        <f>-644.316200943835 -51.4911869394959 -192.123591101539</f>
        <v>-887.93097898486997</v>
      </c>
      <c r="E2800">
        <f>-636.59361875748 -54.33963170461 -290.403359616908</f>
        <v>-981.33661007899809</v>
      </c>
      <c r="F2800">
        <f>-623.207602293349 -57.3249962151959 -378.438155291151</f>
        <v>-1058.970753799696</v>
      </c>
      <c r="G2800">
        <f>-603.158755468995 -60.6742371729924 -465.185380633796</f>
        <v>-1129.0183732757835</v>
      </c>
      <c r="H2800">
        <f>-568.246205381804 -65.7948256024026 -584.666396799841</f>
        <v>-1218.7074277840475</v>
      </c>
      <c r="I2800">
        <f>-519.627732675074 -59.4120359537341 -651.752363714908</f>
        <v>-1230.792132343716</v>
      </c>
      <c r="J2800">
        <f>-590.993709487647 -37.0383906122884 -535.38219424791</f>
        <v>-1163.4142943478455</v>
      </c>
      <c r="K2800" t="s">
        <v>30037</v>
      </c>
      <c r="L2800" t="s">
        <v>30038</v>
      </c>
      <c r="M2800" t="s">
        <v>30039</v>
      </c>
      <c r="N2800">
        <f>-576.22525302568 -90.0446746972525 -528.795137148898</f>
        <v>-1195.0650648718306</v>
      </c>
      <c r="O2800">
        <f>-548.292602810914 -218.375319024461 -488.216274250379</f>
        <v>-1254.884196085754</v>
      </c>
      <c r="P2800">
        <f>-587.454907906146 -237.492980607214 -197.19739893335</f>
        <v>-1022.14528744671</v>
      </c>
      <c r="Q2800">
        <f>-436.731723488696 -68.3392630893136 -279.175418119533</f>
        <v>-784.24640469754263</v>
      </c>
      <c r="R2800" t="s">
        <v>30040</v>
      </c>
      <c r="S2800" t="s">
        <v>30041</v>
      </c>
      <c r="T2800" t="s">
        <v>30042</v>
      </c>
      <c r="U2800" t="s">
        <v>30043</v>
      </c>
      <c r="V2800">
        <f>-600.306173976479 -137.746649989953 -78.8563120523069</f>
        <v>-816.90913601873888</v>
      </c>
      <c r="W2800" t="s">
        <v>30044</v>
      </c>
      <c r="X2800" t="s">
        <v>30045</v>
      </c>
      <c r="Y2800" t="s">
        <v>30046</v>
      </c>
    </row>
    <row r="2801" spans="1:25" x14ac:dyDescent="0.3">
      <c r="A2801">
        <v>140000</v>
      </c>
      <c r="B2801" t="s">
        <v>30047</v>
      </c>
      <c r="C2801">
        <f>-633.870309225184 -49.9255994247915 -76.981132429957</f>
        <v>-760.77704107993247</v>
      </c>
      <c r="D2801">
        <f>-646.311652362717 -53.217976019144 -192.092349913675</f>
        <v>-891.621978295536</v>
      </c>
      <c r="E2801">
        <f>-639.53291993331 -55.9763751103416 -290.444212727784</f>
        <v>-985.95350777143562</v>
      </c>
      <c r="F2801">
        <f>-627.01848708325 -58.7406537442623 -378.614496346567</f>
        <v>-1064.3736371740792</v>
      </c>
      <c r="G2801">
        <f>-607.852254628839 -61.7319095130808 -465.573963626154</f>
        <v>-1135.1581277680739</v>
      </c>
      <c r="H2801">
        <f>-574.178277747411 -66.2108335540103 -585.435694850537</f>
        <v>-1225.8248061519582</v>
      </c>
      <c r="I2801">
        <f>-526.872868189754 -59.4624638540986 -653.418657478402</f>
        <v>-1239.7539895222544</v>
      </c>
      <c r="J2801">
        <f>-596.358496321056 -37.7024779994604 -535.750331279323</f>
        <v>-1169.8113055998392</v>
      </c>
      <c r="K2801" t="s">
        <v>30048</v>
      </c>
      <c r="L2801" t="s">
        <v>30049</v>
      </c>
      <c r="M2801" t="s">
        <v>30050</v>
      </c>
      <c r="N2801">
        <f>-581.634602131666 -90.7772275097531 -529.630565314976</f>
        <v>-1202.0423949563951</v>
      </c>
      <c r="O2801">
        <f>-553.366762715908 -219.334659122252 -489.959330970751</f>
        <v>-1262.660752808911</v>
      </c>
      <c r="P2801">
        <f>-589.1132692764 -239.616761535524 -198.579803989661</f>
        <v>-1027.3098348015851</v>
      </c>
      <c r="Q2801">
        <f>-438.930069401604 -70.3409826639075 -281.293593053938</f>
        <v>-790.56464511944955</v>
      </c>
      <c r="R2801" t="s">
        <v>30051</v>
      </c>
      <c r="S2801" t="s">
        <v>30052</v>
      </c>
      <c r="T2801" t="s">
        <v>30053</v>
      </c>
      <c r="U2801" t="s">
        <v>30054</v>
      </c>
      <c r="V2801">
        <f>-601.511717638158 -139.324172668826 -78.926020473474</f>
        <v>-819.76191078045792</v>
      </c>
      <c r="W2801" t="s">
        <v>30055</v>
      </c>
      <c r="X2801" t="s">
        <v>30056</v>
      </c>
      <c r="Y2801" t="s">
        <v>30057</v>
      </c>
    </row>
    <row r="2802" spans="1:25" x14ac:dyDescent="0.3">
      <c r="A2802">
        <v>140050</v>
      </c>
      <c r="B2802" t="s">
        <v>30058</v>
      </c>
      <c r="C2802">
        <f>-634.471122374399 -50.2253134875698 -76.8363221120238</f>
        <v>-761.5327579739926</v>
      </c>
      <c r="D2802">
        <f>-647.516293854432 -53.6698865018476 -191.876234954799</f>
        <v>-893.06241531107855</v>
      </c>
      <c r="E2802">
        <f>-641.277754111548 -56.3964801897282 -290.264857877523</f>
        <v>-987.93909217879923</v>
      </c>
      <c r="F2802">
        <f>-629.256516749768 -59.0666388543268 -378.506465597491</f>
        <v>-1066.8296212015857</v>
      </c>
      <c r="G2802">
        <f>-610.584415424494 -61.9009223073917 -465.578711888124</f>
        <v>-1138.0640496200097</v>
      </c>
      <c r="H2802">
        <f>-577.598834946696 -66.0956780242429 -585.64178592349</f>
        <v>-1229.3362988944291</v>
      </c>
      <c r="I2802">
        <f>-530.962523191349 -59.2326364729319 -654.074076745439</f>
        <v>-1244.2692364097197</v>
      </c>
      <c r="J2802">
        <f>-599.416981843608 -37.6818950494021 -535.742440701174</f>
        <v>-1172.8413175941841</v>
      </c>
      <c r="K2802" t="s">
        <v>30059</v>
      </c>
      <c r="L2802" t="s">
        <v>30060</v>
      </c>
      <c r="M2802" t="s">
        <v>30061</v>
      </c>
      <c r="N2802">
        <f>-584.8114008906 -90.8175739402749 -529.873389229808</f>
        <v>-1205.5023640606828</v>
      </c>
      <c r="O2802">
        <f>-556.614383896375 -219.55682682047 -490.704370405463</f>
        <v>-1266.8755811223082</v>
      </c>
      <c r="P2802">
        <f>-590.617624575441 -240.358020403277 -199.1527926659</f>
        <v>-1030.1284376446181</v>
      </c>
      <c r="Q2802">
        <f>-440.329467673063 -71.4047188829301 -282.333996078609</f>
        <v>-794.06818263460218</v>
      </c>
      <c r="R2802" t="s">
        <v>30062</v>
      </c>
      <c r="S2802" t="s">
        <v>30063</v>
      </c>
      <c r="T2802" t="s">
        <v>30064</v>
      </c>
      <c r="U2802" t="s">
        <v>30065</v>
      </c>
      <c r="V2802">
        <f>-602.179677058597 -139.705782061394 -78.7388663121576</f>
        <v>-820.62432543214857</v>
      </c>
      <c r="W2802" t="s">
        <v>30066</v>
      </c>
      <c r="X2802" t="s">
        <v>30067</v>
      </c>
      <c r="Y2802" t="s">
        <v>30068</v>
      </c>
    </row>
    <row r="2803" spans="1:25" x14ac:dyDescent="0.3">
      <c r="A2803">
        <v>140100</v>
      </c>
      <c r="B2803" t="s">
        <v>30069</v>
      </c>
      <c r="C2803">
        <f>-634.991724690956 -50.589101706579 -76.1623008663304</f>
        <v>-761.74312726386529</v>
      </c>
      <c r="D2803">
        <f>-649.520615690873 -54.5337560145439 -191.008160029071</f>
        <v>-895.06253173448795</v>
      </c>
      <c r="E2803">
        <f>-644.599743054464 -57.3382931253437 -289.469186066595</f>
        <v>-991.40722224640285</v>
      </c>
      <c r="F2803">
        <f>-633.778428706476 -59.9307371911591 -377.868451801373</f>
        <v>-1071.577617699008</v>
      </c>
      <c r="G2803">
        <f>-616.305735351472 -62.5413786526042 -465.19613818699</f>
        <v>-1144.0432521910661</v>
      </c>
      <c r="H2803">
        <f>-584.988311683483 -66.2709402953525 -585.720430541444</f>
        <v>-1236.9796825202793</v>
      </c>
      <c r="I2803">
        <f>-539.702034994801 -59.3077174983573 -655.043534570188</f>
        <v>-1254.0532870633463</v>
      </c>
      <c r="J2803">
        <f>-605.893178402054 -37.9860810338116 -535.359170746274</f>
        <v>-1179.2384301821396</v>
      </c>
      <c r="K2803" t="s">
        <v>30070</v>
      </c>
      <c r="L2803" t="s">
        <v>30071</v>
      </c>
      <c r="M2803" t="s">
        <v>30072</v>
      </c>
      <c r="N2803">
        <f>-591.645896573252 -91.2734600606027 -530.008194288063</f>
        <v>-1212.9275509219178</v>
      </c>
      <c r="O2803">
        <f>-563.972663719218 -220.413544488161 -491.859891032819</f>
        <v>-1276.246099240198</v>
      </c>
      <c r="P2803">
        <f>-594.274921166101 -242.361544732296 -199.984570490103</f>
        <v>-1036.6210363885</v>
      </c>
      <c r="Q2803">
        <f>-443.34534330542 -74.4959624624942 -284.200417327233</f>
        <v>-802.04172309514718</v>
      </c>
      <c r="R2803" t="s">
        <v>30073</v>
      </c>
      <c r="S2803" t="s">
        <v>30074</v>
      </c>
      <c r="T2803" t="s">
        <v>30075</v>
      </c>
      <c r="U2803" t="s">
        <v>30076</v>
      </c>
      <c r="V2803">
        <f>-603.42322703952 -140.567463595502 -77.8193542941713</f>
        <v>-821.81004492919328</v>
      </c>
      <c r="W2803" t="s">
        <v>30077</v>
      </c>
      <c r="X2803" t="s">
        <v>30078</v>
      </c>
      <c r="Y2803" t="s">
        <v>30079</v>
      </c>
    </row>
    <row r="2804" spans="1:25" x14ac:dyDescent="0.3">
      <c r="A2804">
        <v>140150</v>
      </c>
      <c r="B2804" t="s">
        <v>30080</v>
      </c>
      <c r="C2804">
        <f>-634.968202964916 -51.0239881766784 -75.6129542372945</f>
        <v>-761.60514537888889</v>
      </c>
      <c r="D2804">
        <f>-650.253184510828 -55.2810068501034 -190.349504624192</f>
        <v>-895.88369598512338</v>
      </c>
      <c r="E2804">
        <f>-646.050030654609 -58.1750922049641 -288.841179587057</f>
        <v>-993.06630244663017</v>
      </c>
      <c r="F2804">
        <f>-635.900594386295 -60.7726320041564 -377.31984255474</f>
        <v>-1073.9930689451915</v>
      </c>
      <c r="G2804">
        <f>-619.117305111149 -63.3140172392559 -464.78482092455</f>
        <v>-1147.2161432749549</v>
      </c>
      <c r="H2804">
        <f>-588.777084647311 -66.8685833601969 -585.564043684548</f>
        <v>-1241.2097116920559</v>
      </c>
      <c r="I2804">
        <f>-544.180123949672 -59.9067318642993 -655.332814383104</f>
        <v>-1259.4196701970754</v>
      </c>
      <c r="J2804">
        <f>-609.128258620181 -38.6150481953844 -534.958921467012</f>
        <v>-1182.7022282825774</v>
      </c>
      <c r="K2804" t="s">
        <v>30081</v>
      </c>
      <c r="L2804" t="s">
        <v>30082</v>
      </c>
      <c r="M2804" t="s">
        <v>30083</v>
      </c>
      <c r="N2804">
        <f>-595.128346800513 -91.993752410028 -529.871246358619</f>
        <v>-1216.9933455691601</v>
      </c>
      <c r="O2804">
        <f>-567.955459927413 -221.393854799029 -492.239030703284</f>
        <v>-1281.5883454297259</v>
      </c>
      <c r="P2804">
        <f>-596.488927685421 -243.555796739433 -200.201588994407</f>
        <v>-1040.246313419261</v>
      </c>
      <c r="Q2804">
        <f>-444.647426355009 -76.6465880150101 -284.678501965143</f>
        <v>-805.97251633516214</v>
      </c>
      <c r="R2804" t="s">
        <v>30084</v>
      </c>
      <c r="S2804" t="s">
        <v>30085</v>
      </c>
      <c r="T2804" t="s">
        <v>30086</v>
      </c>
      <c r="U2804" t="s">
        <v>30087</v>
      </c>
      <c r="V2804">
        <f>-603.652889249626 -141.582497838084 -77.1063064985707</f>
        <v>-822.34169358628071</v>
      </c>
      <c r="W2804" t="s">
        <v>30088</v>
      </c>
      <c r="X2804" t="s">
        <v>30089</v>
      </c>
      <c r="Y2804" t="s">
        <v>30090</v>
      </c>
    </row>
    <row r="2805" spans="1:25" x14ac:dyDescent="0.3">
      <c r="A2805">
        <v>140200</v>
      </c>
      <c r="B2805" t="s">
        <v>30091</v>
      </c>
      <c r="C2805">
        <f>-635.613738831061 -52.0114525227403 -74.0459301781312</f>
        <v>-761.67112153193261</v>
      </c>
      <c r="D2805">
        <f>-652.434454794296 -56.8377546629322 -188.544905648175</f>
        <v>-897.81711510540322</v>
      </c>
      <c r="E2805">
        <f>-649.672638773349 -59.9126876854853 -287.081990352984</f>
        <v>-996.6673168118183</v>
      </c>
      <c r="F2805">
        <f>-640.866999498321 -62.5442635524114 -375.703591615434</f>
        <v>-1079.1148546661664</v>
      </c>
      <c r="G2805">
        <f>-625.45778329775 -64.9960097252094 -463.423432584599</f>
        <v>-1153.8772256075586</v>
      </c>
      <c r="H2805">
        <f>-597.06124085042 -68.2968615874719 -584.681705949974</f>
        <v>-1250.0398083878658</v>
      </c>
      <c r="I2805">
        <f>-553.79267614943 -61.439729752773 -655.292203409384</f>
        <v>-1270.524609311587</v>
      </c>
      <c r="J2805">
        <f>-616.245116788441 -40.052669013983 -533.617545187822</f>
        <v>-1189.9153309902458</v>
      </c>
      <c r="K2805" t="s">
        <v>30092</v>
      </c>
      <c r="L2805" t="s">
        <v>30093</v>
      </c>
      <c r="M2805" t="s">
        <v>30094</v>
      </c>
      <c r="N2805">
        <f>-602.869142353121 -93.6360222047576 -529.026496311943</f>
        <v>-1225.5316608698217</v>
      </c>
      <c r="O2805">
        <f>-577.002564736148 -223.545765461503 -492.260982705941</f>
        <v>-1292.8093129035919</v>
      </c>
      <c r="P2805">
        <f>-602.26274190995 -246.219235514033 -199.961330502159</f>
        <v>-1048.4433079261421</v>
      </c>
      <c r="Q2805">
        <f>-448.928234175417 -80.7487524238962 -284.571606813688</f>
        <v>-814.24859341300112</v>
      </c>
      <c r="R2805" t="s">
        <v>30095</v>
      </c>
      <c r="S2805" t="s">
        <v>30096</v>
      </c>
      <c r="T2805" t="s">
        <v>30097</v>
      </c>
      <c r="U2805" t="s">
        <v>30098</v>
      </c>
      <c r="V2805">
        <f>-605.157077617985 -143.770655097422 -75.1293075017966</f>
        <v>-824.05704021720362</v>
      </c>
      <c r="W2805" t="s">
        <v>30099</v>
      </c>
      <c r="X2805" t="s">
        <v>30100</v>
      </c>
      <c r="Y2805" t="s">
        <v>30101</v>
      </c>
    </row>
    <row r="2806" spans="1:25" x14ac:dyDescent="0.3">
      <c r="A2806">
        <v>140250</v>
      </c>
      <c r="B2806" t="s">
        <v>30102</v>
      </c>
      <c r="C2806">
        <f>-636.33082830272 -52.5457012545742 -73.0782157555028</f>
        <v>-761.95474531279694</v>
      </c>
      <c r="D2806">
        <f>-653.868862985468 -57.5691968279294 -187.460869234059</f>
        <v>-898.89892904745648</v>
      </c>
      <c r="E2806">
        <f>-651.757177291723 -60.7013720483766 -286.012326429953</f>
        <v>-998.47087577005254</v>
      </c>
      <c r="F2806">
        <f>-643.5495623607 -63.3362999905373 -374.691145349227</f>
        <v>-1081.5770077004643</v>
      </c>
      <c r="G2806">
        <f>-628.744264019735 -65.7457754295019 -462.516151540824</f>
        <v>-1157.006190990061</v>
      </c>
      <c r="H2806">
        <f>-601.194390144672 -68.9407885278702 -583.972481659616</f>
        <v>-1254.107660332158</v>
      </c>
      <c r="I2806">
        <f>-558.488308604022 -62.1848066948542 -654.934240889709</f>
        <v>-1275.6073561885851</v>
      </c>
      <c r="J2806">
        <f>-619.834539433046 -40.6918691514645 -532.709952983511</f>
        <v>-1193.2363615680215</v>
      </c>
      <c r="K2806" t="s">
        <v>30103</v>
      </c>
      <c r="L2806" t="s">
        <v>30104</v>
      </c>
      <c r="M2806" t="s">
        <v>30105</v>
      </c>
      <c r="N2806">
        <f>-606.800888929902 -94.3779170353666 -528.341222542591</f>
        <v>-1229.5200285078597</v>
      </c>
      <c r="O2806">
        <f>-581.678073147429 -224.548895681879 -492.009586024082</f>
        <v>-1298.2365548533901</v>
      </c>
      <c r="P2806">
        <f>-605.535225920253 -247.454439905998 -199.610219391731</f>
        <v>-1052.5998852179819</v>
      </c>
      <c r="Q2806">
        <f>-451.406057420073 -82.7846515513588 -284.338801619252</f>
        <v>-818.52951059068391</v>
      </c>
      <c r="R2806" t="s">
        <v>30106</v>
      </c>
      <c r="S2806" t="s">
        <v>30107</v>
      </c>
      <c r="T2806" t="s">
        <v>30108</v>
      </c>
      <c r="U2806" t="s">
        <v>30109</v>
      </c>
      <c r="V2806">
        <f>-606.650808911388 -145.049738832478 -74.0386871860128</f>
        <v>-825.73923492987888</v>
      </c>
      <c r="W2806" t="s">
        <v>30110</v>
      </c>
      <c r="X2806" t="s">
        <v>30111</v>
      </c>
      <c r="Y2806" t="s">
        <v>30112</v>
      </c>
    </row>
    <row r="2807" spans="1:25" x14ac:dyDescent="0.3">
      <c r="A2807">
        <v>140300</v>
      </c>
      <c r="B2807" t="s">
        <v>30113</v>
      </c>
      <c r="C2807">
        <f>-637.727089325169 -53.224989308934 -70.7060026413149</f>
        <v>-761.65808127541789</v>
      </c>
      <c r="D2807">
        <f>-656.987130738075 -58.7109722567766 -184.790120913647</f>
        <v>-900.48822390849864</v>
      </c>
      <c r="E2807">
        <f>-656.262080110229 -62.0213585130552 -283.35560821149</f>
        <v>-1001.6390468347743</v>
      </c>
      <c r="F2807">
        <f>-649.263545953847 -64.7210504756812 -372.136115578278</f>
        <v>-1086.1207120078061</v>
      </c>
      <c r="G2807">
        <f>-635.615091107522 -67.1049354399095 -460.149069190087</f>
        <v>-1162.8690957375184</v>
      </c>
      <c r="H2807">
        <f>-609.621824895263 -70.1694342411438 -581.951282486241</f>
        <v>-1261.7425416226479</v>
      </c>
      <c r="I2807">
        <f>-567.754079119975 -63.7357237752648 -653.440479966225</f>
        <v>-1284.9302828614648</v>
      </c>
      <c r="J2807">
        <f>-627.214237961691 -41.8773506511209 -530.34338011196</f>
        <v>-1199.4349687247718</v>
      </c>
      <c r="K2807" t="s">
        <v>30114</v>
      </c>
      <c r="L2807" t="s">
        <v>30115</v>
      </c>
      <c r="M2807" t="s">
        <v>30116</v>
      </c>
      <c r="N2807">
        <f>-614.906141588971 -95.7644857418541 -526.360903599065</f>
        <v>-1237.0315309298899</v>
      </c>
      <c r="O2807">
        <f>-591.385097350435 -226.468101274932 -490.895468959909</f>
        <v>-1308.7486675852761</v>
      </c>
      <c r="P2807">
        <f>-612.208871977357 -250.056739038999 -198.318698790136</f>
        <v>-1060.584309806492</v>
      </c>
      <c r="Q2807">
        <f>-456.696968213888 -87.0088772789347 -283.655178811753</f>
        <v>-827.36102430457572</v>
      </c>
      <c r="R2807" t="s">
        <v>30117</v>
      </c>
      <c r="S2807" t="s">
        <v>30118</v>
      </c>
      <c r="T2807" t="s">
        <v>30119</v>
      </c>
      <c r="U2807" t="s">
        <v>30120</v>
      </c>
      <c r="V2807">
        <f>-609.428331038206 -146.897017472407 -71.3613395699766</f>
        <v>-827.68668808058965</v>
      </c>
      <c r="W2807" t="s">
        <v>30121</v>
      </c>
      <c r="X2807" t="s">
        <v>30122</v>
      </c>
      <c r="Y2807" t="s">
        <v>30123</v>
      </c>
    </row>
    <row r="2808" spans="1:25" x14ac:dyDescent="0.3">
      <c r="A2808">
        <v>140350</v>
      </c>
      <c r="B2808" t="s">
        <v>30124</v>
      </c>
      <c r="C2808">
        <f>-638.293701926157 -53.6010930525846 -69.4831290750466</f>
        <v>-761.37792405378821</v>
      </c>
      <c r="D2808">
        <f>-658.508499019918 -59.4088318919813 -183.385950346445</f>
        <v>-901.30328125834421</v>
      </c>
      <c r="E2808">
        <f>-658.524679879448 -62.8367778619842 -281.950158046966</f>
        <v>-1003.3116157883981</v>
      </c>
      <c r="F2808">
        <f>-652.159939380862 -65.576197722628 -370.777192506821</f>
        <v>-1088.5133296103111</v>
      </c>
      <c r="G2808">
        <f>-639.104690232015 -67.9362091249045 -458.880696977083</f>
        <v>-1165.9215963340025</v>
      </c>
      <c r="H2808">
        <f>-613.895403478877 -70.9019147559222 -580.849874447135</f>
        <v>-1265.6471926819343</v>
      </c>
      <c r="I2808">
        <f>-572.341235627156 -64.6318142449812 -652.53647151112</f>
        <v>-1289.5095213832574</v>
      </c>
      <c r="J2808">
        <f>-630.958526463802 -42.6045804298701 -529.067548731568</f>
        <v>-1202.63065562524</v>
      </c>
      <c r="K2808" t="s">
        <v>30125</v>
      </c>
      <c r="L2808" t="s">
        <v>30126</v>
      </c>
      <c r="M2808" t="s">
        <v>30127</v>
      </c>
      <c r="N2808">
        <f>-619.019069796824 -96.5890742056656 -525.287052393558</f>
        <v>-1240.8951963960476</v>
      </c>
      <c r="O2808">
        <f>-596.280351712517 -227.544418290868 -490.211860348522</f>
        <v>-1314.0366303519072</v>
      </c>
      <c r="P2808">
        <f>-615.480128279654 -251.195791833644 -197.529148230099</f>
        <v>-1064.205068343397</v>
      </c>
      <c r="Q2808">
        <f>-459.346434324497 -89.0850058102782 -283.513016647461</f>
        <v>-831.94445678223622</v>
      </c>
      <c r="R2808" t="s">
        <v>30128</v>
      </c>
      <c r="S2808" t="s">
        <v>30129</v>
      </c>
      <c r="T2808" t="s">
        <v>30130</v>
      </c>
      <c r="U2808" t="s">
        <v>30131</v>
      </c>
      <c r="V2808">
        <f>-610.710700491223 -148.300435463587 -70.052821959227</f>
        <v>-829.06395791403702</v>
      </c>
      <c r="W2808" t="s">
        <v>30132</v>
      </c>
      <c r="X2808" t="s">
        <v>30133</v>
      </c>
      <c r="Y2808" t="s">
        <v>30134</v>
      </c>
    </row>
    <row r="2809" spans="1:25" x14ac:dyDescent="0.3">
      <c r="A2809">
        <v>140400</v>
      </c>
      <c r="B2809" t="s">
        <v>30135</v>
      </c>
      <c r="C2809">
        <f>-639.656411662722 -54.1146808513367 -67.7376689904833</f>
        <v>-761.50876150454201</v>
      </c>
      <c r="D2809">
        <f>-661.943444651963 -60.6722713148812 -181.212372398152</f>
        <v>-903.82808836499612</v>
      </c>
      <c r="E2809">
        <f>-663.528332577763 -64.4040300088512 -279.752713729038</f>
        <v>-1007.6850763156522</v>
      </c>
      <c r="F2809">
        <f>-658.48548295329 -67.2795899041926 -368.660235318599</f>
        <v>-1094.4253081760817</v>
      </c>
      <c r="G2809">
        <f>-646.647178980721 -69.6457617301415 -456.935372070308</f>
        <v>-1173.2283127811706</v>
      </c>
      <c r="H2809">
        <f>-623.023120693672 -72.4876490676427 -579.224588577558</f>
        <v>-1274.7353583388726</v>
      </c>
      <c r="I2809">
        <f>-581.986475929002 -66.4857760896207 -651.231593668498</f>
        <v>-1299.7038456871207</v>
      </c>
      <c r="J2809">
        <f>-639.031033718502 -44.1564738830937 -527.124657834161</f>
        <v>-1210.3121654357567</v>
      </c>
      <c r="K2809" t="s">
        <v>30136</v>
      </c>
      <c r="L2809" t="s">
        <v>30137</v>
      </c>
      <c r="M2809" t="s">
        <v>30138</v>
      </c>
      <c r="N2809">
        <f>-627.806791342194 -98.3176721668523 -523.697649959439</f>
        <v>-1249.8221134684852</v>
      </c>
      <c r="O2809">
        <f>-606.486416974451 -229.701419819835 -489.328026333589</f>
        <v>-1325.515863127875</v>
      </c>
      <c r="P2809">
        <f>-622.374822258688 -253.558119218529 -196.463507586318</f>
        <v>-1072.3964490635351</v>
      </c>
      <c r="Q2809">
        <f>-464.949912013792 -93.2185779785939 -283.408987311426</f>
        <v>-841.57747730381197</v>
      </c>
      <c r="R2809" t="s">
        <v>30139</v>
      </c>
      <c r="S2809" t="s">
        <v>30140</v>
      </c>
      <c r="T2809" t="s">
        <v>30141</v>
      </c>
      <c r="U2809" t="s">
        <v>30142</v>
      </c>
      <c r="V2809">
        <f>-613.468947617177 -149.979050470811 -67.7801031536885</f>
        <v>-831.22810124167654</v>
      </c>
      <c r="W2809" t="s">
        <v>30143</v>
      </c>
      <c r="X2809" t="s">
        <v>30144</v>
      </c>
      <c r="Y2809" t="s">
        <v>30145</v>
      </c>
    </row>
    <row r="2810" spans="1:25" x14ac:dyDescent="0.3">
      <c r="A2810">
        <v>140450</v>
      </c>
      <c r="B2810" t="s">
        <v>30146</v>
      </c>
      <c r="C2810">
        <f>-640.23279317794 -54.1897252258758 -67.1015531969865</f>
        <v>-761.52407160080236</v>
      </c>
      <c r="D2810">
        <f>-663.559201903606 -61.1139417800623 -180.345333816291</f>
        <v>-905.01847749995932</v>
      </c>
      <c r="E2810">
        <f>-665.929987936071 -65.0033766603812 -278.863894825427</f>
        <v>-1009.7972594218793</v>
      </c>
      <c r="F2810">
        <f>-661.548523251657 -67.9581624436637 -367.803919232397</f>
        <v>-1097.3106049277176</v>
      </c>
      <c r="G2810">
        <f>-650.317866835205 -70.3446551149607 -456.157760107837</f>
        <v>-1176.8202820580027</v>
      </c>
      <c r="H2810">
        <f>-627.483987774727 -73.1554380790116 -578.597776525219</f>
        <v>-1279.2372023789576</v>
      </c>
      <c r="I2810">
        <f>-586.763479734017 -67.2587514345585 -650.792521734566</f>
        <v>-1304.8147529031414</v>
      </c>
      <c r="J2810">
        <f>-642.974926985006 -44.7987633149797 -526.355497862234</f>
        <v>-1214.1291881622196</v>
      </c>
      <c r="K2810" t="s">
        <v>30147</v>
      </c>
      <c r="L2810" t="s">
        <v>30148</v>
      </c>
      <c r="M2810" t="s">
        <v>30149</v>
      </c>
      <c r="N2810">
        <f>-632.089188390451 -99.038366373664 -523.080303262847</f>
        <v>-1254.207858026962</v>
      </c>
      <c r="O2810">
        <f>-611.456097440361 -230.616321682336 -489.005947646321</f>
        <v>-1331.078366769018</v>
      </c>
      <c r="P2810">
        <f>-625.653140208794 -254.717706592961 -196.07457408752</f>
        <v>-1076.4454208892751</v>
      </c>
      <c r="Q2810">
        <f>-467.747341997107 -95.1312120460289 -283.531878928604</f>
        <v>-846.41043297173985</v>
      </c>
      <c r="R2810" t="s">
        <v>30150</v>
      </c>
      <c r="S2810" t="s">
        <v>30151</v>
      </c>
      <c r="T2810" t="s">
        <v>30152</v>
      </c>
      <c r="U2810" t="s">
        <v>30153</v>
      </c>
      <c r="V2810">
        <f>-614.534403429453 -150.897036559485 -66.9499279404943</f>
        <v>-832.38136792943237</v>
      </c>
      <c r="W2810" t="s">
        <v>30154</v>
      </c>
      <c r="X2810" t="s">
        <v>30155</v>
      </c>
      <c r="Y2810" t="s">
        <v>30156</v>
      </c>
    </row>
    <row r="2811" spans="1:25" x14ac:dyDescent="0.3">
      <c r="A2811">
        <v>140500</v>
      </c>
      <c r="B2811" t="s">
        <v>30157</v>
      </c>
      <c r="C2811">
        <f>-641.091343586366 -54.9943201651136 -66.0373190348399</f>
        <v>-762.12298278631943</v>
      </c>
      <c r="D2811">
        <f>-666.5596233351 -62.6853794250925 -178.768944396479</f>
        <v>-908.01394715667152</v>
      </c>
      <c r="E2811">
        <f>-670.521790938448 -66.860435000335 -277.224681593922</f>
        <v>-1014.606907532705</v>
      </c>
      <c r="F2811">
        <f>-667.464066677774 -69.9249555838611 -366.216327453493</f>
        <v>-1103.6053497151281</v>
      </c>
      <c r="G2811">
        <f>-657.433277524903 -72.281173696961 -454.715307327916</f>
        <v>-1184.42975854978</v>
      </c>
      <c r="H2811">
        <f>-636.140210659155 -74.9077849869598 -577.436602200009</f>
        <v>-1288.4845978461237</v>
      </c>
      <c r="I2811">
        <f>-596.145096929932 -69.1573697047598 -650.047535488793</f>
        <v>-1315.350002123485</v>
      </c>
      <c r="J2811">
        <f>-650.654833811279 -46.5646922334893 -524.907625694048</f>
        <v>-1222.1271517388163</v>
      </c>
      <c r="K2811" t="s">
        <v>30158</v>
      </c>
      <c r="L2811" t="s">
        <v>30159</v>
      </c>
      <c r="M2811" t="s">
        <v>30160</v>
      </c>
      <c r="N2811">
        <f>-640.365574471071 -100.939230435958 -521.958465767443</f>
        <v>-1263.2632706744721</v>
      </c>
      <c r="O2811">
        <f>-620.831371352888 -232.824575751103 -488.479414939096</f>
        <v>-1342.1353620430871</v>
      </c>
      <c r="P2811">
        <f>-632.083511781588 -257.391980403937 -195.458861065235</f>
        <v>-1084.9343532507598</v>
      </c>
      <c r="Q2811">
        <f>-473.306870402041 -99.3325169926291 -284.104615403483</f>
        <v>-856.74400279815313</v>
      </c>
      <c r="R2811" t="s">
        <v>30161</v>
      </c>
      <c r="S2811" t="s">
        <v>30162</v>
      </c>
      <c r="T2811" t="s">
        <v>30163</v>
      </c>
      <c r="U2811" t="s">
        <v>30164</v>
      </c>
      <c r="V2811">
        <f>-616.129785331061 -153.173532907794 -65.5466634662484</f>
        <v>-834.84998170510346</v>
      </c>
      <c r="W2811" t="s">
        <v>30165</v>
      </c>
      <c r="X2811" t="s">
        <v>30166</v>
      </c>
      <c r="Y2811" t="s">
        <v>30167</v>
      </c>
    </row>
    <row r="2812" spans="1:25" x14ac:dyDescent="0.3">
      <c r="A2812">
        <v>140550</v>
      </c>
      <c r="B2812" t="s">
        <v>30168</v>
      </c>
      <c r="C2812">
        <f>-641.293961017847 -55.6644005222331 -65.5429947523961</f>
        <v>-762.5013562924762</v>
      </c>
      <c r="D2812">
        <f>-667.747197178602 -63.7055469785312 -178.023093655406</f>
        <v>-909.47583781253923</v>
      </c>
      <c r="E2812">
        <f>-672.475085508567 -68.018968189822 -276.439044549984</f>
        <v>-1016.933098248373</v>
      </c>
      <c r="F2812">
        <f>-670.069818812184 -71.1442559562005 -365.448560963313</f>
        <v>-1106.6626357316975</v>
      </c>
      <c r="G2812">
        <f>-660.647039307456 -73.5008278631752 -454.014379451815</f>
        <v>-1188.1622466224462</v>
      </c>
      <c r="H2812">
        <f>-640.153695145895 -76.0673669764442 -576.873163639479</f>
        <v>-1293.0942257618181</v>
      </c>
      <c r="I2812">
        <f>-600.502582021222 -70.373135844654 -649.676824730238</f>
        <v>-1320.5525425961141</v>
      </c>
      <c r="J2812">
        <f>-654.178170957402 -47.7210765252287 -524.212575508156</f>
        <v>-1226.1118229907865</v>
      </c>
      <c r="K2812" t="s">
        <v>30169</v>
      </c>
      <c r="L2812" t="s">
        <v>30170</v>
      </c>
      <c r="M2812" t="s">
        <v>30171</v>
      </c>
      <c r="N2812">
        <f>-644.165435062774 -102.154777372205 -521.405401868169</f>
        <v>-1267.7256143031479</v>
      </c>
      <c r="O2812">
        <f>-625.107874901043 -234.185701863312 -488.220025441456</f>
        <v>-1347.5136022058111</v>
      </c>
      <c r="P2812">
        <f>-634.655855892431 -258.94693567138 -195.155198406321</f>
        <v>-1088.757989970132</v>
      </c>
      <c r="Q2812">
        <f>-475.647346722283 -101.507845876478 -284.486677262109</f>
        <v>-861.64186986086997</v>
      </c>
      <c r="R2812" t="s">
        <v>30172</v>
      </c>
      <c r="S2812" t="s">
        <v>30173</v>
      </c>
      <c r="T2812" t="s">
        <v>30174</v>
      </c>
      <c r="U2812" t="s">
        <v>30175</v>
      </c>
      <c r="V2812">
        <f>-616.558851082631 -154.553522688419 -64.9539706385564</f>
        <v>-836.06634440960636</v>
      </c>
      <c r="W2812" t="s">
        <v>30176</v>
      </c>
      <c r="X2812" t="s">
        <v>30177</v>
      </c>
      <c r="Y2812" t="s">
        <v>30178</v>
      </c>
    </row>
    <row r="2813" spans="1:25" x14ac:dyDescent="0.3">
      <c r="A2813">
        <v>140600</v>
      </c>
      <c r="B2813" t="s">
        <v>30179</v>
      </c>
      <c r="C2813">
        <f>-641.205187779304 -56.2967401877752 -64.6953684094727</f>
        <v>-762.19729637655189</v>
      </c>
      <c r="D2813">
        <f>-669.381081398183 -64.8470205306018 -176.718767834654</f>
        <v>-910.94686976343883</v>
      </c>
      <c r="E2813">
        <f>-675.613488413187 -69.398645430909 -275.040166415179</f>
        <v>-1020.0523002592751</v>
      </c>
      <c r="F2813">
        <f>-674.566211972784 -72.6580403973674 -364.071044312945</f>
        <v>-1111.2952966830962</v>
      </c>
      <c r="G2813">
        <f>-666.489566230822 -75.0729855518917 -452.768251196275</f>
        <v>-1194.3308029789887</v>
      </c>
      <c r="H2813">
        <f>-647.857317640414 -77.6439314873796 -575.922819653471</f>
        <v>-1301.4240687812646</v>
      </c>
      <c r="I2813">
        <f>-608.922999062814 -71.9882191128355 -649.115421053405</f>
        <v>-1330.0266392290546</v>
      </c>
      <c r="J2813">
        <f>-660.804473146441 -49.2437802862063 -523.016264161896</f>
        <v>-1233.0645175945433</v>
      </c>
      <c r="K2813" t="s">
        <v>30180</v>
      </c>
      <c r="L2813" t="s">
        <v>30181</v>
      </c>
      <c r="M2813" t="s">
        <v>30182</v>
      </c>
      <c r="N2813">
        <f>-651.308378244722 -103.781438843397 -520.440926241867</f>
        <v>-1275.5307433299861</v>
      </c>
      <c r="O2813">
        <f>-633.052191496153 -236.046180218163 -487.717650997958</f>
        <v>-1356.8160227122739</v>
      </c>
      <c r="P2813">
        <f>-638.740477402749 -261.223379981776 -194.588033654412</f>
        <v>-1094.5518910389369</v>
      </c>
      <c r="Q2813">
        <f>-480.070935170009 -103.825931004245 -284.592943190498</f>
        <v>-868.48980936475198</v>
      </c>
      <c r="R2813" t="s">
        <v>30183</v>
      </c>
      <c r="S2813" t="s">
        <v>30184</v>
      </c>
      <c r="T2813" t="s">
        <v>30185</v>
      </c>
      <c r="U2813" t="s">
        <v>30186</v>
      </c>
      <c r="V2813">
        <f>-616.930444785543 -155.60965199137 -63.9103248442448</f>
        <v>-836.45042162115783</v>
      </c>
      <c r="W2813" t="s">
        <v>30187</v>
      </c>
      <c r="X2813" t="s">
        <v>30188</v>
      </c>
      <c r="Y2813" t="s">
        <v>30189</v>
      </c>
    </row>
    <row r="2814" spans="1:25" x14ac:dyDescent="0.3">
      <c r="A2814">
        <v>140650</v>
      </c>
      <c r="B2814" t="s">
        <v>30190</v>
      </c>
      <c r="C2814">
        <f>-641.257486827432 -56.0071218090717 -63.9575664567653</f>
        <v>-761.22217509326902</v>
      </c>
      <c r="D2814">
        <f>-670.981475574265 -65.0057612497125 -175.544861984906</f>
        <v>-911.53209880888346</v>
      </c>
      <c r="E2814">
        <f>-678.558835147966 -69.6622699617876 -273.766915320696</f>
        <v>-1021.9880204304495</v>
      </c>
      <c r="F2814">
        <f>-678.720135975973 -72.9064396582729 -362.804317953491</f>
        <v>-1114.430893587737</v>
      </c>
      <c r="G2814">
        <f>-671.835589932052 -75.2041752185993 -451.605194493844</f>
        <v>-1198.6449596444954</v>
      </c>
      <c r="H2814">
        <f>-654.844265890606 -77.5094533583356 -575.002023116274</f>
        <v>-1307.3557423652155</v>
      </c>
      <c r="I2814">
        <f>-616.582154861197 -71.7470320144718 -648.540040033746</f>
        <v>-1336.8692269094147</v>
      </c>
      <c r="J2814">
        <f>-666.810865591677 -49.1753332400593 -521.829752321141</f>
        <v>-1237.8159511528775</v>
      </c>
      <c r="K2814" t="s">
        <v>30191</v>
      </c>
      <c r="L2814" t="s">
        <v>30192</v>
      </c>
      <c r="M2814" t="s">
        <v>30193</v>
      </c>
      <c r="N2814">
        <f>-657.831774713496 -103.81458705351 -519.572555006812</f>
        <v>-1281.2189167738179</v>
      </c>
      <c r="O2814">
        <f>-640.447445104314 -236.363430509459 -487.518452996078</f>
        <v>-1364.329328609851</v>
      </c>
      <c r="P2814">
        <f>-642.828929135585 -262.566999241077 -194.43314309922</f>
        <v>-1099.8290714758818</v>
      </c>
      <c r="Q2814">
        <f>-484.508356457992 -105.160544815987 -285.035151693993</f>
        <v>-874.70405296797207</v>
      </c>
      <c r="R2814" t="s">
        <v>30194</v>
      </c>
      <c r="S2814" t="s">
        <v>30195</v>
      </c>
      <c r="T2814" t="s">
        <v>30196</v>
      </c>
      <c r="U2814" t="s">
        <v>30197</v>
      </c>
      <c r="V2814">
        <f>-617.057231783426 -155.79414226861 -63.1548638961702</f>
        <v>-836.00623794820626</v>
      </c>
      <c r="W2814" t="s">
        <v>30198</v>
      </c>
      <c r="X2814" t="s">
        <v>30199</v>
      </c>
      <c r="Y2814" t="s">
        <v>30200</v>
      </c>
    </row>
    <row r="2815" spans="1:25" x14ac:dyDescent="0.3">
      <c r="A2815">
        <v>140700</v>
      </c>
      <c r="B2815" t="s">
        <v>30201</v>
      </c>
      <c r="C2815">
        <f>-641.524146358345 -55.9619441988741 -63.7519068439076</f>
        <v>-761.23799740112668</v>
      </c>
      <c r="D2815">
        <f>-671.902914940218 -65.1291840140182 -175.148972805517</f>
        <v>-912.18107175975319</v>
      </c>
      <c r="E2815">
        <f>-680.00093464063 -69.7799551887236 -273.329636450124</f>
        <v>-1023.1105262794777</v>
      </c>
      <c r="F2815">
        <f>-680.609469956463 -72.9629174089948 -362.367567549679</f>
        <v>-1115.9399549151369</v>
      </c>
      <c r="G2815">
        <f>-674.144598562448 -75.1488962249413 -451.202570142913</f>
        <v>-1200.4960649303023</v>
      </c>
      <c r="H2815">
        <f>-657.707969003329 -77.2488773564002 -574.678374523309</f>
        <v>-1309.6352208830381</v>
      </c>
      <c r="I2815">
        <f>-619.698047338826 -71.417778272277 -648.341455908279</f>
        <v>-1339.4572815193819</v>
      </c>
      <c r="J2815">
        <f>-669.316413318986 -48.9835039620498 -521.390238444283</f>
        <v>-1239.6901557253186</v>
      </c>
      <c r="K2815" t="s">
        <v>30202</v>
      </c>
      <c r="L2815" t="s">
        <v>30203</v>
      </c>
      <c r="M2815" t="s">
        <v>30204</v>
      </c>
      <c r="N2815">
        <f>-660.565492206182 -103.666109949409 -519.295307975212</f>
        <v>-1283.5269101308031</v>
      </c>
      <c r="O2815">
        <f>-643.656118141265 -236.359332383614 -487.612431482724</f>
        <v>-1367.6278820076031</v>
      </c>
      <c r="P2815">
        <f>-644.768461423686 -263.23194846504 -194.58030490669</f>
        <v>-1102.580714795416</v>
      </c>
      <c r="Q2815">
        <f>-486.0588967998 -106.357931730702 -285.424582197783</f>
        <v>-877.84141072828504</v>
      </c>
      <c r="R2815" t="s">
        <v>30205</v>
      </c>
      <c r="S2815" t="s">
        <v>30206</v>
      </c>
      <c r="T2815" t="s">
        <v>30207</v>
      </c>
      <c r="U2815" t="s">
        <v>30208</v>
      </c>
      <c r="V2815">
        <f>-617.469729524003 -155.857166379519 -62.9137317687673</f>
        <v>-836.24062767228929</v>
      </c>
      <c r="W2815" t="s">
        <v>30209</v>
      </c>
      <c r="X2815" t="s">
        <v>30210</v>
      </c>
      <c r="Y2815" t="s">
        <v>30211</v>
      </c>
    </row>
    <row r="2816" spans="1:25" x14ac:dyDescent="0.3">
      <c r="A2816">
        <v>140750</v>
      </c>
      <c r="B2816" t="s">
        <v>30212</v>
      </c>
      <c r="C2816">
        <f>-641.988756124848 -56.2322649762992 -63.7534482411075</f>
        <v>-761.97446934225479</v>
      </c>
      <c r="D2816">
        <f>-672.840000930783 -65.4958747391071 -175.01264766004</f>
        <v>-913.34852332993012</v>
      </c>
      <c r="E2816">
        <f>-681.337480744599 -70.1419625059153 -273.159857434159</f>
        <v>-1024.6393006846733</v>
      </c>
      <c r="F2816">
        <f>-682.300166982141 -73.2871914736393 -362.195864904785</f>
        <v>-1117.7832233605654</v>
      </c>
      <c r="G2816">
        <f>-676.179440672238 -75.4054255721103 -451.056905998929</f>
        <v>-1202.6417722432773</v>
      </c>
      <c r="H2816">
        <f>-660.211038236173 -77.3822418711341 -574.596085855914</f>
        <v>-1312.189365963221</v>
      </c>
      <c r="I2816">
        <f>-622.405155212861 -71.5128301185298 -648.361225428481</f>
        <v>-1342.2792107598718</v>
      </c>
      <c r="J2816">
        <f>-671.497246150584 -49.1504940323036 -521.220888076851</f>
        <v>-1241.8686282597387</v>
      </c>
      <c r="K2816" t="s">
        <v>30213</v>
      </c>
      <c r="L2816" t="s">
        <v>30214</v>
      </c>
      <c r="M2816" t="s">
        <v>30215</v>
      </c>
      <c r="N2816">
        <f>-662.978739361363 -103.874233222472 -519.244267271572</f>
        <v>-1286.0972398554068</v>
      </c>
      <c r="O2816">
        <f>-646.48072862965 -236.688017867397 -487.860889279763</f>
        <v>-1371.02963577681</v>
      </c>
      <c r="P2816">
        <f>-646.607740955179 -264.354373725598 -194.900507728391</f>
        <v>-1105.8626224091679</v>
      </c>
      <c r="Q2816">
        <f>-487.65948410779 -107.832314211608 -285.934280804895</f>
        <v>-881.42607912429298</v>
      </c>
      <c r="R2816" t="s">
        <v>30216</v>
      </c>
      <c r="S2816" t="s">
        <v>30217</v>
      </c>
      <c r="T2816" t="s">
        <v>30218</v>
      </c>
      <c r="U2816" t="s">
        <v>30219</v>
      </c>
      <c r="V2816">
        <f>-618.374835633302 -156.22424637356 -62.8860950871708</f>
        <v>-837.48517709403291</v>
      </c>
      <c r="W2816" t="s">
        <v>30220</v>
      </c>
      <c r="X2816" t="s">
        <v>30221</v>
      </c>
      <c r="Y2816" t="s">
        <v>30222</v>
      </c>
    </row>
    <row r="2817" spans="1:25" x14ac:dyDescent="0.3">
      <c r="A2817">
        <v>140800</v>
      </c>
      <c r="B2817" t="s">
        <v>30223</v>
      </c>
      <c r="C2817">
        <f>-643.184422219818 -56.4582316986319 -64.0445941670251</f>
        <v>-763.68724808547506</v>
      </c>
      <c r="D2817">
        <f>-674.578280031711 -65.6883868239023 -175.15473293188</f>
        <v>-915.42139978749333</v>
      </c>
      <c r="E2817">
        <f>-683.680692899471 -70.3623463500315 -273.246219162431</f>
        <v>-1027.2892584119336</v>
      </c>
      <c r="F2817">
        <f>-685.244287529059 -73.5520567991953 -362.27223944752</f>
        <v>-1121.0685837757742</v>
      </c>
      <c r="G2817">
        <f>-679.774882590993 -75.7387378689509 -451.174095555259</f>
        <v>-1206.687716015203</v>
      </c>
      <c r="H2817">
        <f>-664.765759039299 -77.837111328231 -574.831469698204</f>
        <v>-1317.434340065734</v>
      </c>
      <c r="I2817">
        <f>-627.284382635099 -72.0179794298904 -648.7658483272</f>
        <v>-1348.0682103921895</v>
      </c>
      <c r="J2817">
        <f>-675.343042817382 -49.5072447017271 -521.363090340802</f>
        <v>-1246.2133778599111</v>
      </c>
      <c r="K2817" t="s">
        <v>30224</v>
      </c>
      <c r="L2817" t="s">
        <v>30225</v>
      </c>
      <c r="M2817" t="s">
        <v>30226</v>
      </c>
      <c r="N2817">
        <f>-667.398036816047 -104.32011764175 -519.468718935372</f>
        <v>-1291.186873393169</v>
      </c>
      <c r="O2817">
        <f>-651.880373686709 -237.33454244819 -488.399657191279</f>
        <v>-1377.6145733261781</v>
      </c>
      <c r="P2817">
        <f>-649.81520976062 -265.947013119275 -195.537375085802</f>
        <v>-1111.2995979656971</v>
      </c>
      <c r="Q2817">
        <f>-491.343453434398 -109.257490971207 -287.112311197482</f>
        <v>-887.71325560308696</v>
      </c>
      <c r="R2817" t="s">
        <v>30227</v>
      </c>
      <c r="S2817" t="s">
        <v>30228</v>
      </c>
      <c r="T2817" t="s">
        <v>30229</v>
      </c>
      <c r="U2817" t="s">
        <v>30230</v>
      </c>
      <c r="V2817">
        <f>-620.86128506538 -156.519799824065 -63.2080852037585</f>
        <v>-840.58917009320351</v>
      </c>
      <c r="W2817" t="s">
        <v>30231</v>
      </c>
      <c r="X2817" t="s">
        <v>30232</v>
      </c>
      <c r="Y2817" t="s">
        <v>30233</v>
      </c>
    </row>
    <row r="2818" spans="1:25" x14ac:dyDescent="0.3">
      <c r="A2818">
        <v>140850</v>
      </c>
      <c r="B2818" t="s">
        <v>30234</v>
      </c>
      <c r="C2818">
        <f>-643.788138893947 -56.4142498545175 -64.2299590316234</f>
        <v>-764.43234778008787</v>
      </c>
      <c r="D2818">
        <f>-675.414660498992 -65.4621868424864 -175.289010003899</f>
        <v>-916.16585734537739</v>
      </c>
      <c r="E2818">
        <f>-684.793964641939 -70.1485787472407 -273.354023008499</f>
        <v>-1028.2965663976788</v>
      </c>
      <c r="F2818">
        <f>-686.641220718021 -73.4085183719067 -362.37196026376</f>
        <v>-1122.4216993536877</v>
      </c>
      <c r="G2818">
        <f>-681.488382934194 -75.7225695559235 -451.289579728556</f>
        <v>-1208.5005322186735</v>
      </c>
      <c r="H2818">
        <f>-666.955368593241 -78.0552001745693 -574.999495751344</f>
        <v>-1320.0100645191544</v>
      </c>
      <c r="I2818">
        <f>-629.689651092026 -72.2774851422862 -649.046164812642</f>
        <v>-1351.0133010469542</v>
      </c>
      <c r="J2818">
        <f>-677.186353493453 -49.6035516812993 -521.528595812624</f>
        <v>-1248.3185009873764</v>
      </c>
      <c r="K2818" t="s">
        <v>30235</v>
      </c>
      <c r="L2818" t="s">
        <v>30236</v>
      </c>
      <c r="M2818" t="s">
        <v>30237</v>
      </c>
      <c r="N2818">
        <f>-669.514985262324 -104.45395293639 -519.59307920514</f>
        <v>-1293.562017403854</v>
      </c>
      <c r="O2818">
        <f>-654.62471734468 -237.507001518963 -488.33413018086</f>
        <v>-1380.4658490445029</v>
      </c>
      <c r="P2818">
        <f>-651.231907736771 -266.297943582414 -195.501786492005</f>
        <v>-1113.03163781119</v>
      </c>
      <c r="Q2818">
        <f>-493.543389757231 -108.97887737243 -287.348916249566</f>
        <v>-889.87118337922698</v>
      </c>
      <c r="R2818" t="s">
        <v>30238</v>
      </c>
      <c r="S2818" t="s">
        <v>30239</v>
      </c>
      <c r="T2818" t="s">
        <v>30240</v>
      </c>
      <c r="U2818" t="s">
        <v>30241</v>
      </c>
      <c r="V2818">
        <f>-622.345426786035 -156.226680523853 -63.4858784702849</f>
        <v>-842.05798578017288</v>
      </c>
      <c r="W2818" t="s">
        <v>30242</v>
      </c>
      <c r="X2818" t="s">
        <v>30243</v>
      </c>
      <c r="Y2818" t="s">
        <v>30244</v>
      </c>
    </row>
    <row r="2819" spans="1:25" x14ac:dyDescent="0.3">
      <c r="A2819">
        <v>140900</v>
      </c>
      <c r="B2819" t="s">
        <v>30245</v>
      </c>
      <c r="C2819">
        <f>-644.328344888018 -56.0931566729801 -64.2536209371586</f>
        <v>-764.67512249815672</v>
      </c>
      <c r="D2819">
        <f>-676.26308662737 -64.8444079632729 -175.24829846926</f>
        <v>-916.35579305990291</v>
      </c>
      <c r="E2819">
        <f>-685.93073377907 -69.4877635721405 -273.287181302919</f>
        <v>-1028.7056786541295</v>
      </c>
      <c r="F2819">
        <f>-688.05122410552 -72.7798592510117 -362.297840604723</f>
        <v>-1123.1289239612547</v>
      </c>
      <c r="G2819">
        <f>-683.18433431966 -75.1929138974701 -451.229076031308</f>
        <v>-1209.6063242484381</v>
      </c>
      <c r="H2819">
        <f>-669.064258629695 -77.7277243060157 -574.98279495805</f>
        <v>-1321.7747778937608</v>
      </c>
      <c r="I2819">
        <f>-632.033882777807 -71.9698691915055 -649.149045991072</f>
        <v>-1353.1527979603843</v>
      </c>
      <c r="J2819">
        <f>-679.011684871213 -49.1736672474107 -521.512818252095</f>
        <v>-1249.6981703707188</v>
      </c>
      <c r="K2819" t="s">
        <v>30246</v>
      </c>
      <c r="L2819" t="s">
        <v>30247</v>
      </c>
      <c r="M2819" t="s">
        <v>30248</v>
      </c>
      <c r="N2819">
        <f>-671.543948218488 -104.050827037802 -519.536788466866</f>
        <v>-1295.131563723156</v>
      </c>
      <c r="O2819">
        <f>-657.133226829019 -237.121786550862 -488.123680573362</f>
        <v>-1382.3786939532429</v>
      </c>
      <c r="P2819">
        <f>-652.747507196819 -265.946063586906 -195.307745936636</f>
        <v>-1114.001316720361</v>
      </c>
      <c r="Q2819">
        <f>-495.612077204163 -108.287540818686 -287.520154281929</f>
        <v>-891.41977230477801</v>
      </c>
      <c r="R2819" t="s">
        <v>30249</v>
      </c>
      <c r="S2819" t="s">
        <v>30250</v>
      </c>
      <c r="T2819" t="s">
        <v>30251</v>
      </c>
      <c r="U2819" t="s">
        <v>30252</v>
      </c>
      <c r="V2819">
        <f>-623.745912819694 -155.651098296431 -63.6390300519845</f>
        <v>-843.03604116810948</v>
      </c>
      <c r="W2819" t="s">
        <v>30253</v>
      </c>
      <c r="X2819" t="s">
        <v>30254</v>
      </c>
      <c r="Y2819" t="s">
        <v>30255</v>
      </c>
    </row>
    <row r="2820" spans="1:25" x14ac:dyDescent="0.3">
      <c r="A2820">
        <v>140950</v>
      </c>
      <c r="B2820" t="s">
        <v>30256</v>
      </c>
      <c r="C2820">
        <f>-644.598166284995 -55.0935784698826 -64.0277144637608</f>
        <v>-763.71945921863846</v>
      </c>
      <c r="D2820">
        <f>-677.199063618797 -63.3925390174908 -174.863233439333</f>
        <v>-915.45483607562073</v>
      </c>
      <c r="E2820">
        <f>-687.363117333924 -67.8006932260453 -272.862899440221</f>
        <v>-1028.0267100001902</v>
      </c>
      <c r="F2820">
        <f>-689.902880658754 -70.916134166764 -361.868963350417</f>
        <v>-1122.6879781759351</v>
      </c>
      <c r="G2820">
        <f>-685.425484277 -73.1783581399994 -450.82435956471</f>
        <v>-1209.4282019817094</v>
      </c>
      <c r="H2820">
        <f>-671.818515903008 -75.5171276812875 -574.639709909132</f>
        <v>-1321.9753534934275</v>
      </c>
      <c r="I2820">
        <f>-635.04895012303 -69.6786024190991 -648.929184224523</f>
        <v>-1353.6567367666521</v>
      </c>
      <c r="J2820">
        <f>-681.491747277369 -47.0405713948459 -521.078211185724</f>
        <v>-1249.6105298579387</v>
      </c>
      <c r="K2820" t="s">
        <v>30257</v>
      </c>
      <c r="L2820" t="s">
        <v>30258</v>
      </c>
      <c r="M2820" t="s">
        <v>30259</v>
      </c>
      <c r="N2820">
        <f>-674.120790172122 -101.935281149362 -519.231182169562</f>
        <v>-1295.2872534910462</v>
      </c>
      <c r="O2820">
        <f>-660.129466899236 -235.030438021266 -487.733552037934</f>
        <v>-1382.893456958436</v>
      </c>
      <c r="P2820">
        <f>-654.66838564091 -263.590007476358 -194.90985048761</f>
        <v>-1113.1682436048779</v>
      </c>
      <c r="Q2820">
        <f>-497.303316096688 -106.442401291455 -287.601403433889</f>
        <v>-891.34712082203202</v>
      </c>
      <c r="R2820" t="s">
        <v>30260</v>
      </c>
      <c r="S2820" t="s">
        <v>30261</v>
      </c>
      <c r="T2820" t="s">
        <v>30262</v>
      </c>
      <c r="U2820" t="s">
        <v>30263</v>
      </c>
      <c r="V2820">
        <f>-625.045796551501 -153.668135009564 -63.6654761843034</f>
        <v>-842.37940774536844</v>
      </c>
      <c r="W2820" t="s">
        <v>30264</v>
      </c>
      <c r="X2820" t="s">
        <v>30265</v>
      </c>
      <c r="Y2820" t="s">
        <v>30266</v>
      </c>
    </row>
    <row r="2821" spans="1:25" x14ac:dyDescent="0.3">
      <c r="A2821">
        <v>141000</v>
      </c>
      <c r="B2821" t="s">
        <v>30267</v>
      </c>
      <c r="C2821">
        <f>-644.692788350081 -54.8643726309954 -63.2466390540197</f>
        <v>-762.80380003509606</v>
      </c>
      <c r="D2821">
        <f>-677.999930314972 -63.1331086200806 -173.874274204478</f>
        <v>-915.00731313953065</v>
      </c>
      <c r="E2821">
        <f>-688.697477180665 -67.3071377885298 -271.82729214101</f>
        <v>-1027.8319071102048</v>
      </c>
      <c r="F2821">
        <f>-691.683776049691 -70.1233673892151 -360.829578104205</f>
        <v>-1122.636721543111</v>
      </c>
      <c r="G2821">
        <f>-687.614043271671 -71.9964443497133 -449.813707116413</f>
        <v>-1209.4241947377973</v>
      </c>
      <c r="H2821">
        <f>-674.533526008104 -73.6961510735122 -573.695906148164</f>
        <v>-1321.9255832297802</v>
      </c>
      <c r="I2821">
        <f>-637.86609707963 -67.6726293853505 -648.021149350079</f>
        <v>-1353.5598758150595</v>
      </c>
      <c r="J2821">
        <f>-684.041680132263 -45.5052802986833 -519.954083840296</f>
        <v>-1249.5010442712423</v>
      </c>
      <c r="K2821" t="s">
        <v>30268</v>
      </c>
      <c r="L2821" t="s">
        <v>30269</v>
      </c>
      <c r="M2821" t="s">
        <v>30270</v>
      </c>
      <c r="N2821">
        <f>-676.537463642158 -100.391166013961 -518.408704686802</f>
        <v>-1295.3373343429209</v>
      </c>
      <c r="O2821">
        <f>-662.268131384203 -233.550373833968 -487.471484091845</f>
        <v>-1383.2899893100162</v>
      </c>
      <c r="P2821">
        <f>-655.388319971647 -262.951762198698 -194.760988651743</f>
        <v>-1113.1010708220879</v>
      </c>
      <c r="Q2821">
        <f>-498.096944984638 -105.650569486768 -287.316995196713</f>
        <v>-891.06450966811894</v>
      </c>
      <c r="R2821" t="s">
        <v>30271</v>
      </c>
      <c r="S2821" t="s">
        <v>30272</v>
      </c>
      <c r="T2821" t="s">
        <v>30273</v>
      </c>
      <c r="U2821" t="s">
        <v>30274</v>
      </c>
      <c r="V2821">
        <f>-625.418142867874 -152.605394264833 -62.8327935268625</f>
        <v>-840.85633065956949</v>
      </c>
      <c r="W2821" t="s">
        <v>30275</v>
      </c>
      <c r="X2821" t="s">
        <v>30276</v>
      </c>
      <c r="Y2821" t="s">
        <v>30277</v>
      </c>
    </row>
    <row r="2822" spans="1:25" x14ac:dyDescent="0.3">
      <c r="A2822">
        <v>141050</v>
      </c>
      <c r="B2822" t="s">
        <v>30278</v>
      </c>
      <c r="C2822">
        <f>-644.753665530237 -55.223569979005 -62.7662008605364</f>
        <v>-762.74343636977835</v>
      </c>
      <c r="D2822">
        <f>-678.361010660121 -63.520714990607 -173.300974536378</f>
        <v>-915.18270018710598</v>
      </c>
      <c r="E2822">
        <f>-689.292400833328 -67.6368535772424 -271.230556916619</f>
        <v>-1028.1598113271893</v>
      </c>
      <c r="F2822">
        <f>-692.476782307383 -70.3728246011436 -360.228369396092</f>
        <v>-1123.0779763046187</v>
      </c>
      <c r="G2822">
        <f>-688.589947002442 -72.1407114325483 -449.222848454758</f>
        <v>-1209.9535068897483</v>
      </c>
      <c r="H2822">
        <f>-675.747893760933 -73.669767295624 -573.132403665477</f>
        <v>-1322.550064722034</v>
      </c>
      <c r="I2822">
        <f>-639.112045475259 -67.6167370131177 -647.470825839989</f>
        <v>-1354.1996083283657</v>
      </c>
      <c r="J2822">
        <f>-685.148979446421 -45.5524899391756 -519.333268154469</f>
        <v>-1250.0347375400656</v>
      </c>
      <c r="K2822" t="s">
        <v>30279</v>
      </c>
      <c r="L2822" t="s">
        <v>30280</v>
      </c>
      <c r="M2822" t="s">
        <v>30281</v>
      </c>
      <c r="N2822">
        <f>-677.649169234919 -100.441421047534 -517.878563472164</f>
        <v>-1295.9691537546171</v>
      </c>
      <c r="O2822">
        <f>-663.300115081516 -233.645835328949 -487.165394677683</f>
        <v>-1384.111345088148</v>
      </c>
      <c r="P2822">
        <f>-655.290969958531 -263.896772065306 -194.57038908466</f>
        <v>-1113.7581311084971</v>
      </c>
      <c r="Q2822">
        <f>-498.822292578053 -105.905903097596 -287.34577398888</f>
        <v>-892.07396966452893</v>
      </c>
      <c r="R2822" t="s">
        <v>30282</v>
      </c>
      <c r="S2822" t="s">
        <v>30283</v>
      </c>
      <c r="T2822" t="s">
        <v>30284</v>
      </c>
      <c r="U2822" t="s">
        <v>30285</v>
      </c>
      <c r="V2822">
        <f>-625.390053827059 -152.531510471782 -62.3077560874049</f>
        <v>-840.22932038624583</v>
      </c>
      <c r="W2822" t="s">
        <v>30286</v>
      </c>
      <c r="X2822" t="s">
        <v>30287</v>
      </c>
      <c r="Y2822" t="s">
        <v>30288</v>
      </c>
    </row>
    <row r="2823" spans="1:25" x14ac:dyDescent="0.3">
      <c r="A2823">
        <v>141100</v>
      </c>
      <c r="B2823" t="s">
        <v>30289</v>
      </c>
      <c r="C2823">
        <f>-644.582540035767 -57.1412600680535 -62.1104886796599</f>
        <v>-763.83428878348036</v>
      </c>
      <c r="D2823">
        <f>-678.738316228515 -65.3855922708542 -172.481015063169</f>
        <v>-916.60492356253826</v>
      </c>
      <c r="E2823">
        <f>-690.12539040577 -69.5300088570482 -270.357513310141</f>
        <v>-1030.0129125729591</v>
      </c>
      <c r="F2823">
        <f>-693.712048427938 -72.3234528625858 -359.338277852206</f>
        <v>-1125.3737791427297</v>
      </c>
      <c r="G2823">
        <f>-690.215793820271 -74.1829714770632 -448.346928683924</f>
        <v>-1212.7456939812582</v>
      </c>
      <c r="H2823">
        <f>-677.905426337859 -75.8783018107656 -572.308254674926</f>
        <v>-1326.0919828235506</v>
      </c>
      <c r="I2823">
        <f>-641.428375341019 -69.8270193466402 -646.724901685369</f>
        <v>-1357.9802963730281</v>
      </c>
      <c r="J2823">
        <f>-686.987541124567 -47.6766956219934 -518.498498124914</f>
        <v>-1253.1627348714744</v>
      </c>
      <c r="K2823" t="s">
        <v>30290</v>
      </c>
      <c r="L2823" t="s">
        <v>30291</v>
      </c>
      <c r="M2823" t="s">
        <v>30292</v>
      </c>
      <c r="N2823">
        <f>-679.657693507991 -102.587987072911 -517.01959239477</f>
        <v>-1299.2652729756719</v>
      </c>
      <c r="O2823">
        <f>-665.604697114534 -235.807859310653 -486.159102709567</f>
        <v>-1387.5716591347539</v>
      </c>
      <c r="P2823">
        <f>-656.145658428617 -265.226330561375 -193.52230910267</f>
        <v>-1114.894298092662</v>
      </c>
      <c r="Q2823">
        <f>-500.5186428648 -107.511105562067 -288.163793642149</f>
        <v>-896.19354206901596</v>
      </c>
      <c r="R2823" t="s">
        <v>30293</v>
      </c>
      <c r="S2823" t="s">
        <v>30294</v>
      </c>
      <c r="T2823" t="s">
        <v>30295</v>
      </c>
      <c r="U2823" t="s">
        <v>30296</v>
      </c>
      <c r="V2823">
        <f>-625.570264539635 -154.374064728945 -61.7296331048428</f>
        <v>-841.6739623734228</v>
      </c>
      <c r="W2823" t="s">
        <v>30297</v>
      </c>
      <c r="X2823" t="s">
        <v>30298</v>
      </c>
      <c r="Y2823" t="s">
        <v>30299</v>
      </c>
    </row>
    <row r="2824" spans="1:25" x14ac:dyDescent="0.3">
      <c r="A2824">
        <v>141150</v>
      </c>
      <c r="B2824" t="s">
        <v>30300</v>
      </c>
      <c r="C2824">
        <f>-644.433517510091 -58.141165465879 -61.7985399417411</f>
        <v>-764.37322291771102</v>
      </c>
      <c r="D2824">
        <f>-678.862662079187 -66.2641216824923 -172.093078313807</f>
        <v>-917.21986207548628</v>
      </c>
      <c r="E2824">
        <f>-690.512112521772 -70.4657058361896 -269.936165020303</f>
        <v>-1030.9139833782647</v>
      </c>
      <c r="F2824">
        <f>-694.347798958246 -73.3709762581271 -358.903054339308</f>
        <v>-1126.6218295556812</v>
      </c>
      <c r="G2824">
        <f>-691.111951482949 -75.4015418095519 -447.917979252343</f>
        <v>-1214.4314725448439</v>
      </c>
      <c r="H2824">
        <f>-679.176904604585 -77.3952718291122 -571.911443914279</f>
        <v>-1328.4836203479763</v>
      </c>
      <c r="I2824">
        <f>-642.815305815438 -71.4076213387784 -646.389702978827</f>
        <v>-1360.6126301330435</v>
      </c>
      <c r="J2824">
        <f>-688.035873432653 -49.0559972380684 -518.136792934036</f>
        <v>-1255.2286636047575</v>
      </c>
      <c r="K2824" t="s">
        <v>30301</v>
      </c>
      <c r="L2824" t="s">
        <v>30302</v>
      </c>
      <c r="M2824" t="s">
        <v>30303</v>
      </c>
      <c r="N2824">
        <f>-680.821859985909 -103.979876068636 -516.55920853037</f>
        <v>-1301.3609445849152</v>
      </c>
      <c r="O2824">
        <f>-666.936958621638 -237.152561976884 -485.395630720367</f>
        <v>-1389.4851513188892</v>
      </c>
      <c r="P2824">
        <f>-656.74949785744 -265.322748342848 -192.660570753471</f>
        <v>-1114.7328169537591</v>
      </c>
      <c r="Q2824">
        <f>-501.640909353031 -107.882451783041 -288.601916681375</f>
        <v>-898.125277817447</v>
      </c>
      <c r="R2824" t="s">
        <v>30304</v>
      </c>
      <c r="S2824" t="s">
        <v>30305</v>
      </c>
      <c r="T2824" t="s">
        <v>30306</v>
      </c>
      <c r="U2824" t="s">
        <v>30307</v>
      </c>
      <c r="V2824">
        <f>-625.936039419886 -155.066942375112 -61.4866090475156</f>
        <v>-842.48959084251362</v>
      </c>
      <c r="W2824" t="s">
        <v>30308</v>
      </c>
      <c r="X2824" t="s">
        <v>30309</v>
      </c>
      <c r="Y2824" t="s">
        <v>30310</v>
      </c>
    </row>
    <row r="2825" spans="1:25" x14ac:dyDescent="0.3">
      <c r="A2825">
        <v>141200</v>
      </c>
      <c r="B2825" t="s">
        <v>30311</v>
      </c>
      <c r="C2825">
        <f>-643.543259352737 -58.5328538959815 -61.2515157668868</f>
        <v>-763.32762901560523</v>
      </c>
      <c r="D2825">
        <f>-678.424949080268 -66.3578292164883 -171.425292065906</f>
        <v>-916.20807036266228</v>
      </c>
      <c r="E2825">
        <f>-690.55923009098 -70.642118791097 -269.206044256954</f>
        <v>-1030.407393139031</v>
      </c>
      <c r="F2825">
        <f>-694.874941578961 -73.7440563371403 -358.144150543529</f>
        <v>-1126.7631484596304</v>
      </c>
      <c r="G2825">
        <f>-692.160303192678 -76.0890317771432 -447.168620215474</f>
        <v>-1215.4179551852953</v>
      </c>
      <c r="H2825">
        <f>-680.996025044235 -78.6386368313873 -571.223847800493</f>
        <v>-1330.8585096761153</v>
      </c>
      <c r="I2825">
        <f>-644.8643066593 -72.8635873770013 -645.830614357606</f>
        <v>-1363.5585083939072</v>
      </c>
      <c r="J2825">
        <f>-689.394242940469 -50.0417486131563 -517.511660937561</f>
        <v>-1256.9476524911863</v>
      </c>
      <c r="K2825" t="s">
        <v>30312</v>
      </c>
      <c r="L2825" t="s">
        <v>30313</v>
      </c>
      <c r="M2825" t="s">
        <v>30314</v>
      </c>
      <c r="N2825">
        <f>-682.42353468839 -104.991650648941 -515.754863390004</f>
        <v>-1303.1700487273349</v>
      </c>
      <c r="O2825">
        <f>-669.079390082768 -238.106457146966 -484.077869838067</f>
        <v>-1391.2637170678011</v>
      </c>
      <c r="P2825">
        <f>-656.679374211399 -264.609912872452 -191.272285077797</f>
        <v>-1112.561572161648</v>
      </c>
      <c r="Q2825">
        <f>-502.438580595264 -107.932642990402 -289.826153120706</f>
        <v>-900.1973767063721</v>
      </c>
      <c r="R2825" t="s">
        <v>30315</v>
      </c>
      <c r="S2825" t="s">
        <v>30316</v>
      </c>
      <c r="T2825" t="s">
        <v>30317</v>
      </c>
      <c r="U2825" t="s">
        <v>30318</v>
      </c>
      <c r="V2825">
        <f>-625.625848243633 -154.833230620928 -61.0992834951596</f>
        <v>-841.5583623597206</v>
      </c>
      <c r="W2825" t="s">
        <v>30319</v>
      </c>
      <c r="X2825" t="s">
        <v>30320</v>
      </c>
      <c r="Y2825" t="s">
        <v>30321</v>
      </c>
    </row>
    <row r="2826" spans="1:25" x14ac:dyDescent="0.3">
      <c r="A2826">
        <v>141250</v>
      </c>
      <c r="B2826" t="s">
        <v>30322</v>
      </c>
      <c r="C2826">
        <f>-643.061805549808 -58.4491179391104 -61.102261861308</f>
        <v>-762.61318535022633</v>
      </c>
      <c r="D2826">
        <f>-678.09603071615 -66.086257843209 -171.24089967473</f>
        <v>-915.42318823408903</v>
      </c>
      <c r="E2826">
        <f>-690.411441858199 -70.3575152366302 -268.999451870633</f>
        <v>-1029.7684089654622</v>
      </c>
      <c r="F2826">
        <f>-694.912843780494 -73.4998766910458 -357.927028307228</f>
        <v>-1126.3397487787677</v>
      </c>
      <c r="G2826">
        <f>-692.405868850535 -75.9343205995701 -446.955253145506</f>
        <v>-1215.2954425956111</v>
      </c>
      <c r="H2826">
        <f>-681.554575800389 -78.6574879273701 -571.034405187863</f>
        <v>-1331.246468915622</v>
      </c>
      <c r="I2826">
        <f>-645.536993628358 -73.0186797072802 -645.706799745369</f>
        <v>-1364.2624730810071</v>
      </c>
      <c r="J2826">
        <f>-689.762944730082 -49.978462391904 -517.336721967367</f>
        <v>-1257.0781290893531</v>
      </c>
      <c r="K2826" t="s">
        <v>30323</v>
      </c>
      <c r="L2826" t="s">
        <v>30324</v>
      </c>
      <c r="M2826" t="s">
        <v>30325</v>
      </c>
      <c r="N2826">
        <f>-682.896534066992 -104.939883609961 -515.529936497866</f>
        <v>-1303.366354174819</v>
      </c>
      <c r="O2826">
        <f>-669.800584799422 -238.03359570475 -483.668600115171</f>
        <v>-1391.502780619343</v>
      </c>
      <c r="P2826">
        <f>-656.416494088922 -264.202045939999 -190.876378296149</f>
        <v>-1111.4949183250699</v>
      </c>
      <c r="Q2826">
        <f>-502.149190012726 -108.176229807256 -290.417276940947</f>
        <v>-900.74269676092899</v>
      </c>
      <c r="R2826" t="s">
        <v>30326</v>
      </c>
      <c r="S2826" t="s">
        <v>30327</v>
      </c>
      <c r="T2826" t="s">
        <v>30328</v>
      </c>
      <c r="U2826" t="s">
        <v>30329</v>
      </c>
      <c r="V2826">
        <f>-625.559723441697 -154.401461560229 -60.9315507424883</f>
        <v>-840.89273574441427</v>
      </c>
      <c r="W2826" t="s">
        <v>30330</v>
      </c>
      <c r="X2826" t="s">
        <v>30331</v>
      </c>
      <c r="Y2826" t="s">
        <v>30332</v>
      </c>
    </row>
    <row r="2827" spans="1:25" x14ac:dyDescent="0.3">
      <c r="A2827">
        <v>141300</v>
      </c>
      <c r="B2827" t="s">
        <v>30333</v>
      </c>
      <c r="C2827">
        <f>-642.413476374597 -57.9925230222357 -61.0312311454691</f>
        <v>-761.43723054230179</v>
      </c>
      <c r="D2827">
        <f>-677.490713249162 -65.4371618334915 -171.169216693194</f>
        <v>-914.0970917758475</v>
      </c>
      <c r="E2827">
        <f>-690.044028778323 -69.6976203225408 -268.898032389318</f>
        <v>-1028.6396814901818</v>
      </c>
      <c r="F2827">
        <f>-694.844829496593 -72.884650037251 -357.80831412435</f>
        <v>-1125.537793658194</v>
      </c>
      <c r="G2827">
        <f>-692.721404577638 -75.4164830018334 -446.843729350332</f>
        <v>-1214.9816169298035</v>
      </c>
      <c r="H2827">
        <f>-682.49306068336 -78.3271091314014 -570.97167913428</f>
        <v>-1331.7918489490412</v>
      </c>
      <c r="I2827">
        <f>-646.738512147772 -72.9622882029216 -645.790572770093</f>
        <v>-1365.4913731207866</v>
      </c>
      <c r="J2827">
        <f>-690.351965294606 -49.556807066986 -517.270474694708</f>
        <v>-1257.1792470563</v>
      </c>
      <c r="K2827" t="s">
        <v>30334</v>
      </c>
      <c r="L2827" t="s">
        <v>30335</v>
      </c>
      <c r="M2827" t="s">
        <v>30336</v>
      </c>
      <c r="N2827">
        <f>-683.636145325564 -104.535711143387 -515.427821671558</f>
        <v>-1303.5996781405092</v>
      </c>
      <c r="O2827">
        <f>-670.8165398638 -237.599970688467 -483.374154233276</f>
        <v>-1391.790664785543</v>
      </c>
      <c r="P2827">
        <f>-656.418321229156 -263.436430945781 -190.600670391217</f>
        <v>-1110.4554225661541</v>
      </c>
      <c r="Q2827">
        <f>-501.751324224003 -108.58973561328 -291.355526272342</f>
        <v>-901.69658610962495</v>
      </c>
      <c r="R2827" t="s">
        <v>30337</v>
      </c>
      <c r="S2827" t="s">
        <v>30338</v>
      </c>
      <c r="T2827" t="s">
        <v>30339</v>
      </c>
      <c r="U2827" t="s">
        <v>30340</v>
      </c>
      <c r="V2827">
        <f>-625.333652690172 -153.779460740345 -60.9609880481561</f>
        <v>-840.07410147867313</v>
      </c>
      <c r="W2827" t="s">
        <v>30341</v>
      </c>
      <c r="X2827" t="s">
        <v>30342</v>
      </c>
      <c r="Y2827" t="s">
        <v>30343</v>
      </c>
    </row>
    <row r="2828" spans="1:25" x14ac:dyDescent="0.3">
      <c r="A2828">
        <v>141350</v>
      </c>
      <c r="B2828" t="s">
        <v>30344</v>
      </c>
      <c r="C2828">
        <f>-642.180039797864 -58.0046859581829 -61.1260229687315</f>
        <v>-761.31074872477836</v>
      </c>
      <c r="D2828">
        <f>-677.218173787242 -65.484198160653 -171.274114752748</f>
        <v>-913.97648670064302</v>
      </c>
      <c r="E2828">
        <f>-689.873351318161 -69.7751872814383 -268.988484781673</f>
        <v>-1028.6370233812722</v>
      </c>
      <c r="F2828">
        <f>-694.821673472162 -72.991234910448 -357.889604469345</f>
        <v>-1125.7025128519551</v>
      </c>
      <c r="G2828">
        <f>-692.900987732755 -75.5540091986992 -446.928909530971</f>
        <v>-1215.3839064624251</v>
      </c>
      <c r="H2828">
        <f>-683.01253986664 -78.5104362121135 -571.083206737463</f>
        <v>-1332.6061828162165</v>
      </c>
      <c r="I2828">
        <f>-647.388733565292 -73.2495238626046 -645.971602864355</f>
        <v>-1366.6098602922516</v>
      </c>
      <c r="J2828">
        <f>-690.705177782739 -49.7179522778611 -517.369782040708</f>
        <v>-1257.792912101308</v>
      </c>
      <c r="K2828" t="s">
        <v>30345</v>
      </c>
      <c r="L2828" t="s">
        <v>30346</v>
      </c>
      <c r="M2828" t="s">
        <v>30347</v>
      </c>
      <c r="N2828">
        <f>-684.022641356085 -104.700903289999 -515.52818865545</f>
        <v>-1304.2517333015339</v>
      </c>
      <c r="O2828">
        <f>-671.235391836897 -237.763241404694 -483.480401852725</f>
        <v>-1392.4790350943158</v>
      </c>
      <c r="P2828">
        <f>-656.713735107794 -263.539611010728 -190.70756658049</f>
        <v>-1110.9609126990119</v>
      </c>
      <c r="Q2828">
        <f>-501.639117015743 -109.250383094233 -291.690558061025</f>
        <v>-902.58005817100093</v>
      </c>
      <c r="R2828" t="s">
        <v>30348</v>
      </c>
      <c r="S2828" t="s">
        <v>30349</v>
      </c>
      <c r="T2828" t="s">
        <v>30350</v>
      </c>
      <c r="U2828" t="s">
        <v>30351</v>
      </c>
      <c r="V2828">
        <f>-625.151732411101 -153.95562736657 -61.0398350360063</f>
        <v>-840.14719481367729</v>
      </c>
      <c r="W2828" t="s">
        <v>30352</v>
      </c>
      <c r="X2828" t="s">
        <v>30353</v>
      </c>
      <c r="Y2828" t="s">
        <v>30354</v>
      </c>
    </row>
    <row r="2829" spans="1:25" x14ac:dyDescent="0.3">
      <c r="A2829">
        <v>141400</v>
      </c>
      <c r="B2829" t="s">
        <v>30355</v>
      </c>
      <c r="C2829">
        <f>-642.259221381485 -58.2421080040293 -61.6868854629917</f>
        <v>-762.18821484850594</v>
      </c>
      <c r="D2829">
        <f>-677.120218516546 -65.9082273287182 -171.878336221969</f>
        <v>-914.90678206723317</v>
      </c>
      <c r="E2829">
        <f>-689.921401998657 -70.3148428072658 -269.568531652218</f>
        <v>-1029.8047764581406</v>
      </c>
      <c r="F2829">
        <f>-695.123407022352 -73.6256112339529 -358.451632542803</f>
        <v>-1127.200650799108</v>
      </c>
      <c r="G2829">
        <f>-693.577100226123 -76.2772720904244 -447.495601487502</f>
        <v>-1217.3499738040493</v>
      </c>
      <c r="H2829">
        <f>-684.336089507352 -79.3553743624333 -571.696758700428</f>
        <v>-1335.3882225702132</v>
      </c>
      <c r="I2829">
        <f>-648.954478492155 -74.2370679095876 -646.710053496853</f>
        <v>-1369.9015998985956</v>
      </c>
      <c r="J2829">
        <f>-691.743564590287 -50.5097249712302 -517.971870490689</f>
        <v>-1260.2251600522061</v>
      </c>
      <c r="K2829" t="s">
        <v>30356</v>
      </c>
      <c r="L2829" t="s">
        <v>30357</v>
      </c>
      <c r="M2829" t="s">
        <v>30358</v>
      </c>
      <c r="N2829">
        <f>-685.06160952441 -105.492025553811 -516.112067676982</f>
        <v>-1306.6657027552028</v>
      </c>
      <c r="O2829">
        <f>-672.087609826716 -238.552030332846 -484.127066683519</f>
        <v>-1394.766706843081</v>
      </c>
      <c r="P2829">
        <f>-657.021367893789 -263.964852256584 -191.350001925072</f>
        <v>-1112.336222075445</v>
      </c>
      <c r="Q2829">
        <f>-501.820333621377 -109.686663639408 -292.155580004537</f>
        <v>-903.66257726532206</v>
      </c>
      <c r="R2829" t="s">
        <v>30359</v>
      </c>
      <c r="S2829" t="s">
        <v>30360</v>
      </c>
      <c r="T2829" t="s">
        <v>30361</v>
      </c>
      <c r="U2829" t="s">
        <v>30362</v>
      </c>
      <c r="V2829">
        <f>-625.011156958772 -154.467280513459 -61.5488384483089</f>
        <v>-841.02727592053986</v>
      </c>
      <c r="W2829" t="s">
        <v>30363</v>
      </c>
      <c r="X2829" t="s">
        <v>30364</v>
      </c>
      <c r="Y2829" t="s">
        <v>30365</v>
      </c>
    </row>
    <row r="2830" spans="1:25" x14ac:dyDescent="0.3">
      <c r="A2830">
        <v>141450</v>
      </c>
      <c r="B2830" t="s">
        <v>30366</v>
      </c>
      <c r="C2830">
        <f>-642.352704723333 -58.0187190492277 -62.0799298681297</f>
        <v>-762.4513536406904</v>
      </c>
      <c r="D2830">
        <f>-677.067347368771 -65.7846660132058 -172.310589769375</f>
        <v>-915.16260315135185</v>
      </c>
      <c r="E2830">
        <f>-689.895535996256 -70.263212411238 -269.993931420981</f>
        <v>-1030.1526798284749</v>
      </c>
      <c r="F2830">
        <f>-695.184359774755 -73.6381875737937 -358.869621054224</f>
        <v>-1127.6921684027727</v>
      </c>
      <c r="G2830">
        <f>-693.787455572689 -76.3545498724698 -447.91399868522</f>
        <v>-1218.0560041303788</v>
      </c>
      <c r="H2830">
        <f>-684.819768078149 -79.5253386419272 -572.132910465499</f>
        <v>-1336.478017185575</v>
      </c>
      <c r="I2830">
        <f>-649.556934050456 -74.4432861238469 -647.204581882409</f>
        <v>-1371.2048020567117</v>
      </c>
      <c r="J2830">
        <f>-692.123483224046 -50.6412370312032 -518.414419306156</f>
        <v>-1261.1791395614052</v>
      </c>
      <c r="K2830" t="s">
        <v>30367</v>
      </c>
      <c r="L2830" t="s">
        <v>30368</v>
      </c>
      <c r="M2830" t="s">
        <v>30369</v>
      </c>
      <c r="N2830">
        <f>-685.408450770479 -105.618682123294 -516.526322991163</f>
        <v>-1307.5534558849361</v>
      </c>
      <c r="O2830">
        <f>-672.281279655949 -238.682336270414 -484.575419851166</f>
        <v>-1395.5390357775291</v>
      </c>
      <c r="P2830">
        <f>-656.796575926117 -263.904819314452 -191.80381730664</f>
        <v>-1112.5052125472091</v>
      </c>
      <c r="Q2830">
        <f>-501.677028834333 -109.372772817885 -292.345535058476</f>
        <v>-903.39533671069398</v>
      </c>
      <c r="R2830" t="s">
        <v>30370</v>
      </c>
      <c r="S2830" t="s">
        <v>30371</v>
      </c>
      <c r="T2830" t="s">
        <v>30372</v>
      </c>
      <c r="U2830" t="s">
        <v>30373</v>
      </c>
      <c r="V2830">
        <f>-624.846848651876 -154.120103086678 -61.8642317119791</f>
        <v>-840.8311834505331</v>
      </c>
      <c r="W2830" t="s">
        <v>30374</v>
      </c>
      <c r="X2830" t="s">
        <v>30375</v>
      </c>
      <c r="Y2830" t="s">
        <v>30376</v>
      </c>
    </row>
    <row r="2831" spans="1:25" x14ac:dyDescent="0.3">
      <c r="A2831">
        <v>141500</v>
      </c>
      <c r="B2831" t="s">
        <v>30377</v>
      </c>
      <c r="C2831">
        <f>-642.712430211616 -57.2540222753628 -63.0499763571423</f>
        <v>-763.01642884412115</v>
      </c>
      <c r="D2831">
        <f>-676.934841659475 -65.2162738862208 -173.420478755981</f>
        <v>-915.57159430167678</v>
      </c>
      <c r="E2831">
        <f>-689.668970958089 -69.8150232835025 -271.11046498293</f>
        <v>-1030.5944592245214</v>
      </c>
      <c r="F2831">
        <f>-695.008466538601 -73.2881765081356 -359.979421470253</f>
        <v>-1128.2760645169897</v>
      </c>
      <c r="G2831">
        <f>-693.798051366329 -76.0955886980294 -449.023734845646</f>
        <v>-1218.9173749100044</v>
      </c>
      <c r="H2831">
        <f>-685.23189431015 -79.389588857242 -573.267760794712</f>
        <v>-1337.889243962104</v>
      </c>
      <c r="I2831">
        <f>-650.225383499448 -74.3458234037062 -648.461863166272</f>
        <v>-1373.0330700694262</v>
      </c>
      <c r="J2831">
        <f>-692.36802439973 -50.4530016529061 -519.554940588027</f>
        <v>-1262.3759666406631</v>
      </c>
      <c r="K2831" t="s">
        <v>30378</v>
      </c>
      <c r="L2831" t="s">
        <v>30379</v>
      </c>
      <c r="M2831" t="s">
        <v>30380</v>
      </c>
      <c r="N2831">
        <f>-685.634785366871 -105.427012619079 -517.633231384986</f>
        <v>-1308.695029370936</v>
      </c>
      <c r="O2831">
        <f>-672.159068640945 -238.458070081794 -485.737822093172</f>
        <v>-1396.354960815911</v>
      </c>
      <c r="P2831">
        <f>-656.178025360487 -263.787552075601 -193.001965962011</f>
        <v>-1112.9675433980992</v>
      </c>
      <c r="Q2831">
        <f>-501.294766027892 -108.717080241704 -293.078051741409</f>
        <v>-903.08989801100506</v>
      </c>
      <c r="R2831" t="s">
        <v>30381</v>
      </c>
      <c r="S2831" t="s">
        <v>30382</v>
      </c>
      <c r="T2831" t="s">
        <v>30383</v>
      </c>
      <c r="U2831" t="s">
        <v>30384</v>
      </c>
      <c r="V2831">
        <f>-624.763982160213 -153.440426264702 -62.7103974054062</f>
        <v>-840.91480583032126</v>
      </c>
      <c r="W2831" t="s">
        <v>30385</v>
      </c>
      <c r="X2831" t="s">
        <v>30386</v>
      </c>
      <c r="Y2831" t="s">
        <v>30387</v>
      </c>
    </row>
    <row r="2832" spans="1:25" x14ac:dyDescent="0.3">
      <c r="A2832">
        <v>141550</v>
      </c>
      <c r="B2832" t="s">
        <v>30388</v>
      </c>
      <c r="C2832">
        <f>-642.920242614335 -56.9122244930161 -63.6034399343644</f>
        <v>-763.4359070417155</v>
      </c>
      <c r="D2832">
        <f>-676.839153288909 -64.9445184146231 -174.062499630973</f>
        <v>-915.84617133450502</v>
      </c>
      <c r="E2832">
        <f>-689.503430699234 -69.5920066450547 -271.759357166916</f>
        <v>-1030.8547945112045</v>
      </c>
      <c r="F2832">
        <f>-694.858780978653 -73.1093121372568 -360.62558216702</f>
        <v>-1128.5936752829298</v>
      </c>
      <c r="G2832">
        <f>-693.743263098869 -75.9628837424916 -449.66960690192</f>
        <v>-1219.3757537432807</v>
      </c>
      <c r="H2832">
        <f>-685.392200152346 -79.3261666023109 -573.926418194457</f>
        <v>-1338.644784949114</v>
      </c>
      <c r="I2832">
        <f>-650.527509442988 -74.343059985247 -649.190325247146</f>
        <v>-1374.060894675381</v>
      </c>
      <c r="J2832">
        <f>-692.399812441436 -50.3553782111111 -520.215258210061</f>
        <v>-1262.970448862608</v>
      </c>
      <c r="K2832" t="s">
        <v>30389</v>
      </c>
      <c r="L2832" t="s">
        <v>30390</v>
      </c>
      <c r="M2832" t="s">
        <v>30391</v>
      </c>
      <c r="N2832">
        <f>-685.734390540249 -105.337042442658 -518.279018721615</f>
        <v>-1309.3504517045221</v>
      </c>
      <c r="O2832">
        <f>-672.245379628509 -238.386719033923 -486.419785050642</f>
        <v>-1397.0518837130739</v>
      </c>
      <c r="P2832">
        <f>-656.23027947828 -263.912838880775 -193.702799920211</f>
        <v>-1113.845918279266</v>
      </c>
      <c r="Q2832">
        <f>-500.833369362979 -109.21000083321 -293.551194274528</f>
        <v>-903.59456447071693</v>
      </c>
      <c r="R2832" t="s">
        <v>30392</v>
      </c>
      <c r="S2832" t="s">
        <v>30393</v>
      </c>
      <c r="T2832" t="s">
        <v>30394</v>
      </c>
      <c r="U2832" t="s">
        <v>30395</v>
      </c>
      <c r="V2832">
        <f>-624.823290875837 -153.219872867183 -63.1984629551566</f>
        <v>-841.24162669817656</v>
      </c>
      <c r="W2832" t="s">
        <v>30396</v>
      </c>
      <c r="X2832" t="s">
        <v>30397</v>
      </c>
      <c r="Y2832" t="s">
        <v>30398</v>
      </c>
    </row>
    <row r="2833" spans="1:25" x14ac:dyDescent="0.3">
      <c r="A2833">
        <v>141600</v>
      </c>
      <c r="B2833" t="s">
        <v>30399</v>
      </c>
      <c r="C2833">
        <f>-643.773579143681 -56.9173421768758 -64.8005626855605</f>
        <v>-765.49148400611728</v>
      </c>
      <c r="D2833">
        <f>-677.153101259529 -64.9818234885159 -175.421430324063</f>
        <v>-917.55635507210786</v>
      </c>
      <c r="E2833">
        <f>-689.68665576349 -69.6441858041873 -273.134527377382</f>
        <v>-1032.4653689450593</v>
      </c>
      <c r="F2833">
        <f>-695.061636343956 -73.1753673727678 -361.998872432332</f>
        <v>-1130.2358761490559</v>
      </c>
      <c r="G2833">
        <f>-694.104132118539 -76.0480709670346 -451.044239593821</f>
        <v>-1221.1964426793947</v>
      </c>
      <c r="H2833">
        <f>-686.117695407705 -79.4469015473184 -575.324096490984</f>
        <v>-1340.8886934460074</v>
      </c>
      <c r="I2833">
        <f>-651.544628758806 -74.5912093898631 -650.730728347737</f>
        <v>-1376.866566496406</v>
      </c>
      <c r="J2833">
        <f>-692.847772931035 -50.4461749707052 -521.593430732676</f>
        <v>-1264.8873786344161</v>
      </c>
      <c r="K2833" t="s">
        <v>30400</v>
      </c>
      <c r="L2833" t="s">
        <v>30401</v>
      </c>
      <c r="M2833" t="s">
        <v>30402</v>
      </c>
      <c r="N2833">
        <f>-686.416581713806 -105.456425007476 -519.675799561536</f>
        <v>-1311.5488062828181</v>
      </c>
      <c r="O2833">
        <f>-673.280792056967 -238.549890748411 -487.879762060995</f>
        <v>-1399.7104448663731</v>
      </c>
      <c r="P2833">
        <f>-657.357613194116 -264.579008066346 -195.202145034815</f>
        <v>-1117.138766295277</v>
      </c>
      <c r="Q2833">
        <f>-500.611495806213 -110.804097047604 -294.372733988123</f>
        <v>-905.78832684194003</v>
      </c>
      <c r="R2833" t="s">
        <v>30403</v>
      </c>
      <c r="S2833" t="s">
        <v>30404</v>
      </c>
      <c r="T2833" t="s">
        <v>30405</v>
      </c>
      <c r="U2833" t="s">
        <v>30406</v>
      </c>
      <c r="V2833">
        <f>-625.616855194652 -153.339168974007 -64.3530399013471</f>
        <v>-843.30906407000612</v>
      </c>
      <c r="W2833" t="s">
        <v>30407</v>
      </c>
      <c r="X2833" t="s">
        <v>30408</v>
      </c>
      <c r="Y2833" t="s">
        <v>30409</v>
      </c>
    </row>
    <row r="2834" spans="1:25" x14ac:dyDescent="0.3">
      <c r="A2834">
        <v>141650</v>
      </c>
      <c r="B2834" t="s">
        <v>30410</v>
      </c>
      <c r="C2834">
        <f>-644.441792962566 -57.0929267241673 -65.3399699902691</f>
        <v>-766.87468967700238</v>
      </c>
      <c r="D2834">
        <f>-677.598698366355 -65.0952034411978 -176.032386260583</f>
        <v>-918.72628806813577</v>
      </c>
      <c r="E2834">
        <f>-690.060526397354 -69.7358894911526 -273.755544196836</f>
        <v>-1033.5519600853427</v>
      </c>
      <c r="F2834">
        <f>-695.420792655337 -73.2623050648524 -362.621008479786</f>
        <v>-1131.3041061999754</v>
      </c>
      <c r="G2834">
        <f>-694.498949949874 -76.1471044504012 -451.666300428293</f>
        <v>-1222.3123548285682</v>
      </c>
      <c r="H2834">
        <f>-686.615175929741 -79.5819623372796 -575.951831566621</f>
        <v>-1342.1489698336416</v>
      </c>
      <c r="I2834">
        <f>-652.159383823722 -74.784508054381 -651.415744960715</f>
        <v>-1378.359636838818</v>
      </c>
      <c r="J2834">
        <f>-693.231252143699 -50.5574371475994 -522.219865577763</f>
        <v>-1266.0085548690613</v>
      </c>
      <c r="K2834" t="s">
        <v>30411</v>
      </c>
      <c r="L2834" t="s">
        <v>30412</v>
      </c>
      <c r="M2834" t="s">
        <v>30413</v>
      </c>
      <c r="N2834">
        <f>-686.937605120411 -105.583446669138 -520.299975895463</f>
        <v>-1312.821027685012</v>
      </c>
      <c r="O2834">
        <f>-673.993936927038 -238.699747626295 -488.53222245386</f>
        <v>-1401.225907007193</v>
      </c>
      <c r="P2834">
        <f>-658.431780859152 -264.461530459043 -195.811617910897</f>
        <v>-1118.7049292290919</v>
      </c>
      <c r="Q2834">
        <f>-500.661491077307 -111.594164209302 -294.761128809864</f>
        <v>-907.01678409647297</v>
      </c>
      <c r="R2834" t="s">
        <v>30414</v>
      </c>
      <c r="S2834" t="s">
        <v>30415</v>
      </c>
      <c r="T2834" t="s">
        <v>30416</v>
      </c>
      <c r="U2834" t="s">
        <v>30417</v>
      </c>
      <c r="V2834">
        <f>-626.400379059736 -153.530998424218 -64.8881435943619</f>
        <v>-844.81952107831603</v>
      </c>
      <c r="W2834" t="s">
        <v>30418</v>
      </c>
      <c r="X2834" t="s">
        <v>30419</v>
      </c>
      <c r="Y2834" t="s">
        <v>30420</v>
      </c>
    </row>
    <row r="2835" spans="1:25" x14ac:dyDescent="0.3">
      <c r="A2835">
        <v>141700</v>
      </c>
      <c r="B2835" t="s">
        <v>30421</v>
      </c>
      <c r="C2835">
        <f>-645.838039114231 -57.1955702268535 -66.524538356108</f>
        <v>-769.55814769719257</v>
      </c>
      <c r="D2835">
        <f>-678.655636035223 -65.1373824586777 -177.322289390327</f>
        <v>-921.11530788422772</v>
      </c>
      <c r="E2835">
        <f>-691.034853075976 -69.749194411951 -275.057469339802</f>
        <v>-1035.841516827729</v>
      </c>
      <c r="F2835">
        <f>-696.407247546158 -73.2620663087939 -363.922718282832</f>
        <v>-1133.5920321377839</v>
      </c>
      <c r="G2835">
        <f>-695.584704074305 -76.1505311820179 -452.968849508988</f>
        <v>-1224.7040847653109</v>
      </c>
      <c r="H2835">
        <f>-687.930478780212 -79.6114324817462 -577.267960839415</f>
        <v>-1344.809872101373</v>
      </c>
      <c r="I2835">
        <f>-653.654979230073 -74.8768293328413 -652.817875159754</f>
        <v>-1381.3496837226683</v>
      </c>
      <c r="J2835">
        <f>-694.297373223372 -50.5585737355739 -523.521201694638</f>
        <v>-1268.3771486535838</v>
      </c>
      <c r="K2835" t="s">
        <v>30422</v>
      </c>
      <c r="L2835" t="s">
        <v>30423</v>
      </c>
      <c r="M2835" t="s">
        <v>30424</v>
      </c>
      <c r="N2835">
        <f>-688.300080934545 -105.618334593878 -521.618845270851</f>
        <v>-1315.537260799274</v>
      </c>
      <c r="O2835">
        <f>-675.917478832632 -238.818165294279 -489.931957635848</f>
        <v>-1404.667601762759</v>
      </c>
      <c r="P2835">
        <f>-660.061427413996 -264.884866179269 -197.254254222639</f>
        <v>-1122.200547815904</v>
      </c>
      <c r="Q2835">
        <f>-502.005546721029 -112.038820948536 -295.779725131078</f>
        <v>-909.82409280064303</v>
      </c>
      <c r="R2835" t="s">
        <v>30425</v>
      </c>
      <c r="S2835" t="s">
        <v>30426</v>
      </c>
      <c r="T2835" t="s">
        <v>30427</v>
      </c>
      <c r="U2835" t="s">
        <v>30428</v>
      </c>
      <c r="V2835">
        <f>-627.837202195617 -153.748743113973 -65.9637749725345</f>
        <v>-847.54972028212444</v>
      </c>
      <c r="W2835" t="s">
        <v>30429</v>
      </c>
      <c r="X2835" t="s">
        <v>30430</v>
      </c>
      <c r="Y2835" t="s">
        <v>30431</v>
      </c>
    </row>
    <row r="2836" spans="1:25" x14ac:dyDescent="0.3">
      <c r="A2836">
        <v>141750</v>
      </c>
      <c r="B2836" t="s">
        <v>30432</v>
      </c>
      <c r="C2836">
        <f>-646.691006781363 -57.5047281726487 -67.1755549726412</f>
        <v>-771.37128992665282</v>
      </c>
      <c r="D2836">
        <f>-679.285200935649 -65.4479003940932 -178.039237284753</f>
        <v>-922.77233861449508</v>
      </c>
      <c r="E2836">
        <f>-691.597770638927 -70.0263341029384 -275.784280857804</f>
        <v>-1037.4083855996696</v>
      </c>
      <c r="F2836">
        <f>-696.961693579393 -73.4953338309332 -364.651874282829</f>
        <v>-1135.1089016931551</v>
      </c>
      <c r="G2836">
        <f>-696.182407301754 -76.327233757636 -453.700196312573</f>
        <v>-1226.209837371963</v>
      </c>
      <c r="H2836">
        <f>-688.642640412048 -79.6958598246172 -578.008679310112</f>
        <v>-1346.3471795467772</v>
      </c>
      <c r="I2836">
        <f>-654.438626198332 -74.9386574690224 -653.589636364981</f>
        <v>-1382.9669200323353</v>
      </c>
      <c r="J2836">
        <f>-694.917271598361 -50.678296658197 -524.232270965645</f>
        <v>-1269.827839222203</v>
      </c>
      <c r="K2836" t="s">
        <v>30433</v>
      </c>
      <c r="L2836" t="s">
        <v>30434</v>
      </c>
      <c r="M2836" t="s">
        <v>30435</v>
      </c>
      <c r="N2836">
        <f>-689.003807748266 -105.748772077696 -522.381216599165</f>
        <v>-1317.133796425127</v>
      </c>
      <c r="O2836">
        <f>-676.80062036305 -238.973378466915 -490.751600048312</f>
        <v>-1406.5255988782769</v>
      </c>
      <c r="P2836">
        <f>-660.890323725378 -265.046547803798 -198.077222543433</f>
        <v>-1124.0140940726089</v>
      </c>
      <c r="Q2836">
        <f>-502.709156217728 -112.412686720302 -296.730548160847</f>
        <v>-911.85239109887698</v>
      </c>
      <c r="R2836" t="s">
        <v>30436</v>
      </c>
      <c r="S2836" t="s">
        <v>30437</v>
      </c>
      <c r="T2836" t="s">
        <v>30438</v>
      </c>
      <c r="U2836" t="s">
        <v>30439</v>
      </c>
      <c r="V2836">
        <f>-628.663064315478 -154.233048903965 -66.5196438377076</f>
        <v>-849.41575705715059</v>
      </c>
      <c r="W2836" t="s">
        <v>30440</v>
      </c>
      <c r="X2836" t="s">
        <v>30441</v>
      </c>
      <c r="Y2836" t="s">
        <v>30442</v>
      </c>
    </row>
    <row r="2837" spans="1:25" x14ac:dyDescent="0.3">
      <c r="A2837">
        <v>141800</v>
      </c>
      <c r="B2837" t="s">
        <v>30443</v>
      </c>
      <c r="C2837">
        <f>-649.040772101758 -58.1623755313062 -68.3281622468612</f>
        <v>-775.5313098799254</v>
      </c>
      <c r="D2837">
        <f>-681.242201420168 -66.0063096722827 -179.313555878075</f>
        <v>-926.56206697052573</v>
      </c>
      <c r="E2837">
        <f>-693.428034702871 -70.4796648623523 -277.079399605417</f>
        <v>-1040.9870991706402</v>
      </c>
      <c r="F2837">
        <f>-698.76480947718 -73.8467198878252 -365.95250742957</f>
        <v>-1138.5640367945753</v>
      </c>
      <c r="G2837">
        <f>-698.046323145297 -76.5694395377298 -455.004791362436</f>
        <v>-1229.6205540454628</v>
      </c>
      <c r="H2837">
        <f>-690.683358353275 -79.7784512064952 -579.328220539463</f>
        <v>-1349.7900300992333</v>
      </c>
      <c r="I2837">
        <f>-656.573346624704 -74.9086312336196 -654.944441238591</f>
        <v>-1386.4264190969147</v>
      </c>
      <c r="J2837">
        <f>-696.881813775574 -50.8299067830546 -525.505504956706</f>
        <v>-1273.2172255153346</v>
      </c>
      <c r="K2837" t="s">
        <v>30444</v>
      </c>
      <c r="L2837" t="s">
        <v>30445</v>
      </c>
      <c r="M2837" t="s">
        <v>30446</v>
      </c>
      <c r="N2837">
        <f>-690.965080499906 -105.90279531367 -523.733679313691</f>
        <v>-1320.6015551272671</v>
      </c>
      <c r="O2837">
        <f>-678.710079124894 -239.179879021908 -492.295439155205</f>
        <v>-1410.185397302007</v>
      </c>
      <c r="P2837">
        <f>-662.570972353509 -265.515121249398 -199.657236334028</f>
        <v>-1127.743329936935</v>
      </c>
      <c r="Q2837">
        <f>-504.346193491475 -112.823039412076 -298.150395290202</f>
        <v>-915.31962819375303</v>
      </c>
      <c r="R2837" t="s">
        <v>30447</v>
      </c>
      <c r="S2837" t="s">
        <v>30448</v>
      </c>
      <c r="T2837" t="s">
        <v>30449</v>
      </c>
      <c r="U2837" t="s">
        <v>30450</v>
      </c>
      <c r="V2837">
        <f>-630.873718600204 -154.984925608927 -67.5933779076803</f>
        <v>-853.45202211681135</v>
      </c>
      <c r="W2837" t="s">
        <v>30451</v>
      </c>
      <c r="X2837" t="s">
        <v>30452</v>
      </c>
      <c r="Y2837" t="s">
        <v>30453</v>
      </c>
    </row>
    <row r="2838" spans="1:25" x14ac:dyDescent="0.3">
      <c r="A2838">
        <v>141850</v>
      </c>
      <c r="B2838" t="s">
        <v>30454</v>
      </c>
      <c r="C2838">
        <f>-650.389627554118 -58.4899772229321 -68.8486889429837</f>
        <v>-777.72829372003378</v>
      </c>
      <c r="D2838">
        <f>-682.413739746082 -66.3453211604186 -179.884534968363</f>
        <v>-928.64359587486365</v>
      </c>
      <c r="E2838">
        <f>-694.542724650689 -70.7379967063904 -277.661176832068</f>
        <v>-1042.9418981891474</v>
      </c>
      <c r="F2838">
        <f>-699.866899084813 -73.9956707547146 -366.538983529479</f>
        <v>-1140.4015533690067</v>
      </c>
      <c r="G2838">
        <f>-699.174240184139 -76.5718965013047 -455.595896125907</f>
        <v>-1231.3420328113507</v>
      </c>
      <c r="H2838">
        <f>-691.887193993984 -79.5367148235526 -579.929720324509</f>
        <v>-1351.3536291420457</v>
      </c>
      <c r="I2838">
        <f>-657.80119721713 -74.5376032396347 -655.54850253758</f>
        <v>-1387.8873029943447</v>
      </c>
      <c r="J2838">
        <f>-698.092086360685 -50.6983419931889 -526.048864403367</f>
        <v>-1274.8392927572409</v>
      </c>
      <c r="K2838" t="s">
        <v>30455</v>
      </c>
      <c r="L2838" t="s">
        <v>30456</v>
      </c>
      <c r="M2838" t="s">
        <v>30457</v>
      </c>
      <c r="N2838">
        <f>-692.095628288596 -105.765879139431 -524.384297891255</f>
        <v>-1322.245805319282</v>
      </c>
      <c r="O2838">
        <f>-679.649974811511 -239.073161052205 -493.185592761008</f>
        <v>-1411.9087286247241</v>
      </c>
      <c r="P2838">
        <f>-663.457545562519 -265.849166395265 -200.590420151512</f>
        <v>-1129.8971321092961</v>
      </c>
      <c r="Q2838">
        <f>-505.388677301231 -112.700228661191 -298.623407306421</f>
        <v>-916.71231326884299</v>
      </c>
      <c r="R2838" t="s">
        <v>30458</v>
      </c>
      <c r="S2838" t="s">
        <v>30459</v>
      </c>
      <c r="T2838" t="s">
        <v>30460</v>
      </c>
      <c r="U2838" t="s">
        <v>30461</v>
      </c>
      <c r="V2838">
        <f>-632.13977052958 -155.517700619244 -68.0764788757252</f>
        <v>-855.73395002454924</v>
      </c>
      <c r="W2838" t="s">
        <v>30462</v>
      </c>
      <c r="X2838" t="s">
        <v>30463</v>
      </c>
      <c r="Y2838" t="s">
        <v>30464</v>
      </c>
    </row>
    <row r="2839" spans="1:25" x14ac:dyDescent="0.3">
      <c r="A2839">
        <v>141900</v>
      </c>
      <c r="B2839" t="s">
        <v>30465</v>
      </c>
      <c r="C2839">
        <f>-651.674765682828 -58.7481941330491 -69.4064913724238</f>
        <v>-779.82945118830094</v>
      </c>
      <c r="D2839">
        <f>-683.489045071802 -66.7101996225148 -180.495021737201</f>
        <v>-930.6942664315178</v>
      </c>
      <c r="E2839">
        <f>-695.533669312496 -71.0351087853691 -278.285062742092</f>
        <v>-1044.8538408399572</v>
      </c>
      <c r="F2839">
        <f>-700.8193382333 -74.1700143585261 -367.169655590227</f>
        <v>-1142.1590081820532</v>
      </c>
      <c r="G2839">
        <f>-700.125269405413 -76.5617324263292 -456.231610417304</f>
        <v>-1232.9186122490462</v>
      </c>
      <c r="H2839">
        <f>-692.874123837092 -79.2054038823334 -580.574830229621</f>
        <v>-1352.6543579490465</v>
      </c>
      <c r="I2839">
        <f>-658.794787449411 -74.0504496587378 -656.186187870666</f>
        <v>-1389.0314249788148</v>
      </c>
      <c r="J2839">
        <f>-699.107635214182 -50.5111487759926 -526.620423702772</f>
        <v>-1276.2392076929466</v>
      </c>
      <c r="K2839" t="s">
        <v>30466</v>
      </c>
      <c r="L2839" t="s">
        <v>30467</v>
      </c>
      <c r="M2839" t="s">
        <v>30468</v>
      </c>
      <c r="N2839">
        <f>-693.02233879654 -105.573017282189 -525.094843074325</f>
        <v>-1323.690199153054</v>
      </c>
      <c r="O2839">
        <f>-680.326061376607 -238.919709707461 -494.205232006417</f>
        <v>-1413.4510030904851</v>
      </c>
      <c r="P2839">
        <f>-664.179373807262 -266.224351371297 -201.656157744728</f>
        <v>-1132.059882923287</v>
      </c>
      <c r="Q2839">
        <f>-506.329990766176 -112.42923073786 -299.029163715474</f>
        <v>-917.78838521951002</v>
      </c>
      <c r="R2839" t="s">
        <v>30469</v>
      </c>
      <c r="S2839" t="s">
        <v>30470</v>
      </c>
      <c r="T2839" t="s">
        <v>30471</v>
      </c>
      <c r="U2839" t="s">
        <v>30472</v>
      </c>
      <c r="V2839">
        <f>-633.026967599125 -156.017973090568 -68.5987196587972</f>
        <v>-857.64366034849024</v>
      </c>
      <c r="W2839" t="s">
        <v>30473</v>
      </c>
      <c r="X2839" t="s">
        <v>30474</v>
      </c>
      <c r="Y2839" t="s">
        <v>30475</v>
      </c>
    </row>
    <row r="2840" spans="1:25" x14ac:dyDescent="0.3">
      <c r="A2840">
        <v>141950</v>
      </c>
      <c r="B2840" t="s">
        <v>30476</v>
      </c>
      <c r="C2840">
        <f>-654.483351740636 -59.3903540871389 -70.7015468138617</f>
        <v>-784.57525264163655</v>
      </c>
      <c r="D2840">
        <f>-685.796347098875 -67.6689204316807 -181.909339654847</f>
        <v>-935.37460718540274</v>
      </c>
      <c r="E2840">
        <f>-697.618400931344 -71.9223463533043 -279.72967368236</f>
        <v>-1049.2704209670082</v>
      </c>
      <c r="F2840">
        <f>-702.783794170522 -74.8638191145833 -368.627956448085</f>
        <v>-1146.2755697331904</v>
      </c>
      <c r="G2840">
        <f>-702.049045167064 -76.9352248623247 -457.69756391698</f>
        <v>-1236.6818339463689</v>
      </c>
      <c r="H2840">
        <f>-694.822119641945 -79.0010234512578 -582.053311486075</f>
        <v>-1355.8764545792778</v>
      </c>
      <c r="I2840">
        <f>-660.744017373254 -73.5064822366884 -657.641026789401</f>
        <v>-1391.8915263993435</v>
      </c>
      <c r="J2840">
        <f>-701.149122671353 -50.5697008130352 -527.970581461892</f>
        <v>-1279.6894049462803</v>
      </c>
      <c r="K2840" t="s">
        <v>30477</v>
      </c>
      <c r="L2840" t="s">
        <v>30478</v>
      </c>
      <c r="M2840" t="s">
        <v>30479</v>
      </c>
      <c r="N2840">
        <f>-694.855532676122 -105.614309079425 -526.690465023354</f>
        <v>-1327.160306778901</v>
      </c>
      <c r="O2840">
        <f>-681.527762854481 -239.025921201567 -496.36443028414</f>
        <v>-1416.9181143401879</v>
      </c>
      <c r="P2840">
        <f>-665.516822288522 -267.524276334331 -203.921857656815</f>
        <v>-1136.9629562796681</v>
      </c>
      <c r="Q2840">
        <f>-508.60750266506 -111.801519106817 -299.738068002893</f>
        <v>-920.14708977476994</v>
      </c>
      <c r="R2840" t="s">
        <v>30480</v>
      </c>
      <c r="S2840" t="s">
        <v>30481</v>
      </c>
      <c r="T2840" t="s">
        <v>30482</v>
      </c>
      <c r="U2840" t="s">
        <v>30483</v>
      </c>
      <c r="V2840">
        <f>-635.019848538401 -157.127764456643 -69.742435217101</f>
        <v>-861.89004821214508</v>
      </c>
      <c r="W2840" t="s">
        <v>30484</v>
      </c>
      <c r="X2840" t="s">
        <v>30485</v>
      </c>
      <c r="Y2840" t="s">
        <v>30486</v>
      </c>
    </row>
    <row r="2841" spans="1:25" x14ac:dyDescent="0.3">
      <c r="A2841">
        <v>142000</v>
      </c>
      <c r="B2841" t="s">
        <v>30487</v>
      </c>
      <c r="C2841">
        <f>-657.545414531671 -59.9931045722864 -71.855346486887</f>
        <v>-789.39386559084437</v>
      </c>
      <c r="D2841">
        <f>-688.43392257305 -68.4582587181433 -183.167801892458</f>
        <v>-940.0599831836513</v>
      </c>
      <c r="E2841">
        <f>-700.044598168629 -72.70576143429 -281.013627228551</f>
        <v>-1053.76398683147</v>
      </c>
      <c r="F2841">
        <f>-705.0797861732 -75.5812070100794 -369.921614810945</f>
        <v>-1150.5826079942244</v>
      </c>
      <c r="G2841">
        <f>-704.275319784852 -77.5254271292607 -458.993464368737</f>
        <v>-1240.7942112828496</v>
      </c>
      <c r="H2841">
        <f>-697.013408071504 -79.3511997719246 -583.350795852946</f>
        <v>-1359.7154036963748</v>
      </c>
      <c r="I2841">
        <f>-662.911252576999 -73.50352438971 -658.901299217329</f>
        <v>-1395.3160761840381</v>
      </c>
      <c r="J2841">
        <f>-703.486194293259 -51.0396775055179 -529.22265977644</f>
        <v>-1283.7485315752169</v>
      </c>
      <c r="K2841" t="s">
        <v>30488</v>
      </c>
      <c r="L2841" t="s">
        <v>30489</v>
      </c>
      <c r="M2841" t="s">
        <v>30490</v>
      </c>
      <c r="N2841">
        <f>-696.931870802571 -106.055913707981 -528.032130934199</f>
        <v>-1331.0199154447509</v>
      </c>
      <c r="O2841">
        <f>-682.892665935843 -239.481431760145 -498.011877052871</f>
        <v>-1420.3859747488591</v>
      </c>
      <c r="P2841">
        <f>-666.978320312815 -268.418415654862 -205.607026073966</f>
        <v>-1141.0037620416429</v>
      </c>
      <c r="Q2841">
        <f>-510.731991313316 -111.554601827768 -300.642300741768</f>
        <v>-922.92889388285198</v>
      </c>
      <c r="R2841" t="s">
        <v>30491</v>
      </c>
      <c r="S2841" t="s">
        <v>30492</v>
      </c>
      <c r="T2841" t="s">
        <v>30493</v>
      </c>
      <c r="U2841" t="s">
        <v>30494</v>
      </c>
      <c r="V2841">
        <f>-637.438532886506 -157.805017696243 -70.9074894022344</f>
        <v>-866.15103998498341</v>
      </c>
      <c r="W2841" t="s">
        <v>30495</v>
      </c>
      <c r="X2841" t="s">
        <v>30496</v>
      </c>
      <c r="Y2841" t="s">
        <v>30497</v>
      </c>
    </row>
    <row r="2842" spans="1:25" x14ac:dyDescent="0.3">
      <c r="A2842">
        <v>142050</v>
      </c>
      <c r="B2842" t="s">
        <v>30498</v>
      </c>
      <c r="C2842">
        <f>-658.922481691571 -60.176134817904 -72.3298496933947</f>
        <v>-791.42846620286969</v>
      </c>
      <c r="D2842">
        <f>-689.705322761487 -68.6978039006164 -183.667221225007</f>
        <v>-942.07034788711042</v>
      </c>
      <c r="E2842">
        <f>-701.261213295768 -72.9603967920908 -281.518868843057</f>
        <v>-1055.7404789309157</v>
      </c>
      <c r="F2842">
        <f>-706.261153580762 -75.8383822458645 -370.428881332252</f>
        <v>-1152.5284171588785</v>
      </c>
      <c r="G2842">
        <f>-705.435562401873 -77.7735337771014 -459.500835158738</f>
        <v>-1242.7099313377125</v>
      </c>
      <c r="H2842">
        <f>-698.158927994029 -79.5750207601924 -583.857685601881</f>
        <v>-1361.5916343561025</v>
      </c>
      <c r="I2842">
        <f>-664.049079478925 -73.5900386371882 -659.393849109702</f>
        <v>-1397.0329672258154</v>
      </c>
      <c r="J2842">
        <f>-704.694661701471 -51.2807832700967 -529.727783292725</f>
        <v>-1285.7032282642926</v>
      </c>
      <c r="K2842" t="s">
        <v>30499</v>
      </c>
      <c r="L2842" t="s">
        <v>30500</v>
      </c>
      <c r="M2842" t="s">
        <v>30501</v>
      </c>
      <c r="N2842">
        <f>-698.02731798465 -106.2836439209 -528.540797097195</f>
        <v>-1332.851759002745</v>
      </c>
      <c r="O2842">
        <f>-683.652287551146 -239.677152077186 -498.560183443323</f>
        <v>-1421.889623071655</v>
      </c>
      <c r="P2842">
        <f>-667.685778004986 -268.686992984649 -206.16551763694</f>
        <v>-1142.538288626575</v>
      </c>
      <c r="Q2842">
        <f>-511.878789426341 -111.384376067271 -301.196641537658</f>
        <v>-924.45980703126997</v>
      </c>
      <c r="R2842" t="s">
        <v>30502</v>
      </c>
      <c r="S2842" t="s">
        <v>30503</v>
      </c>
      <c r="T2842" t="s">
        <v>30504</v>
      </c>
      <c r="U2842" t="s">
        <v>30505</v>
      </c>
      <c r="V2842">
        <f>-638.593386282241 -157.979706900342 -71.4223389389816</f>
        <v>-867.99543212156459</v>
      </c>
      <c r="W2842" t="s">
        <v>30506</v>
      </c>
      <c r="X2842" t="s">
        <v>30507</v>
      </c>
      <c r="Y2842" t="s">
        <v>30508</v>
      </c>
    </row>
    <row r="2843" spans="1:25" x14ac:dyDescent="0.3">
      <c r="A2843">
        <v>142100</v>
      </c>
      <c r="B2843" t="s">
        <v>30509</v>
      </c>
      <c r="C2843">
        <f>-661.746001910488 -60.3829883982742 -73.1862997813236</f>
        <v>-795.31529009008568</v>
      </c>
      <c r="D2843">
        <f>-692.397070837547 -69.0428988776838 -184.549520484254</f>
        <v>-945.98949019948475</v>
      </c>
      <c r="E2843">
        <f>-703.936123558634 -73.357214658648 -282.400860330834</f>
        <v>-1059.694198548116</v>
      </c>
      <c r="F2843">
        <f>-708.959573466272 -76.2544899318475 -371.308602979185</f>
        <v>-1156.5226663773046</v>
      </c>
      <c r="G2843">
        <f>-708.196361869979 -78.1794018155474 -460.38143724744</f>
        <v>-1246.7572009329665</v>
      </c>
      <c r="H2843">
        <f>-701.04700324871 -79.934262386055 -584.746341460448</f>
        <v>-1365.727607095213</v>
      </c>
      <c r="I2843">
        <f>-666.934540108678 -73.7870301016145 -660.268352221602</f>
        <v>-1400.9899224318945</v>
      </c>
      <c r="J2843">
        <f>-707.608180273092 -51.670496162193 -530.603687742388</f>
        <v>-1289.882364177673</v>
      </c>
      <c r="K2843" t="s">
        <v>30510</v>
      </c>
      <c r="L2843" t="s">
        <v>30511</v>
      </c>
      <c r="M2843" t="s">
        <v>30512</v>
      </c>
      <c r="N2843">
        <f>-700.777997405122 -106.653591140645 -529.435214371289</f>
        <v>-1336.866802917056</v>
      </c>
      <c r="O2843">
        <f>-685.853688673215 -239.987239774745 -499.479042782045</f>
        <v>-1425.319971230005</v>
      </c>
      <c r="P2843">
        <f>-669.694484695162 -268.915550278304 -207.086869294884</f>
        <v>-1145.6969042683502</v>
      </c>
      <c r="Q2843">
        <f>-514.474033128623 -111.053395901445 -302.149889109826</f>
        <v>-927.67731813989394</v>
      </c>
      <c r="R2843" t="s">
        <v>30513</v>
      </c>
      <c r="S2843" t="s">
        <v>30514</v>
      </c>
      <c r="T2843" t="s">
        <v>30515</v>
      </c>
      <c r="U2843" t="s">
        <v>30516</v>
      </c>
      <c r="V2843">
        <f>-641.137317973827 -158.071625903845 -72.2531216472197</f>
        <v>-871.46206552489161</v>
      </c>
      <c r="W2843" t="s">
        <v>30517</v>
      </c>
      <c r="X2843" t="s">
        <v>30518</v>
      </c>
      <c r="Y2843" t="s">
        <v>30519</v>
      </c>
    </row>
    <row r="2844" spans="1:25" x14ac:dyDescent="0.3">
      <c r="A2844">
        <v>142150</v>
      </c>
      <c r="B2844" t="s">
        <v>30520</v>
      </c>
      <c r="C2844">
        <f>-663.07403523985 -60.1302156500301 -73.5446206851657</f>
        <v>-796.74887157504577</v>
      </c>
      <c r="D2844">
        <f>-693.663586149183 -68.907852941175 -184.915425327668</f>
        <v>-947.4868644180259</v>
      </c>
      <c r="E2844">
        <f>-705.199443187228 -73.2678643984632 -282.765150401229</f>
        <v>-1061.2324579869201</v>
      </c>
      <c r="F2844">
        <f>-710.239363142291 -76.1853144553188 -371.671458490814</f>
        <v>-1158.0961360884239</v>
      </c>
      <c r="G2844">
        <f>-709.511684808401 -78.1088985630518 -460.744549726628</f>
        <v>-1248.3651330980808</v>
      </c>
      <c r="H2844">
        <f>-702.431274946321 -79.8400448338285 -585.113610494218</f>
        <v>-1367.3849302743674</v>
      </c>
      <c r="I2844">
        <f>-668.337957196377 -73.6640983123344 -660.642006666139</f>
        <v>-1402.6440621748504</v>
      </c>
      <c r="J2844">
        <f>-708.978121753087 -51.5884976104655 -530.962973079073</f>
        <v>-1291.5295924426255</v>
      </c>
      <c r="K2844" t="s">
        <v>30521</v>
      </c>
      <c r="L2844" t="s">
        <v>30522</v>
      </c>
      <c r="M2844" t="s">
        <v>30523</v>
      </c>
      <c r="N2844">
        <f>-702.115861362527 -106.567922861923 -529.806950828906</f>
        <v>-1338.4907350533558</v>
      </c>
      <c r="O2844">
        <f>-687.074615272053 -239.89835037001 -499.844802919513</f>
        <v>-1426.817768561576</v>
      </c>
      <c r="P2844">
        <f>-670.821088116564 -268.834430008149 -207.458545822974</f>
        <v>-1147.1140639476871</v>
      </c>
      <c r="Q2844">
        <f>-515.76040932291 -110.741184072864 -302.398343446686</f>
        <v>-928.89993684246008</v>
      </c>
      <c r="R2844" t="s">
        <v>30524</v>
      </c>
      <c r="S2844" t="s">
        <v>30525</v>
      </c>
      <c r="T2844" t="s">
        <v>30526</v>
      </c>
      <c r="U2844" t="s">
        <v>30527</v>
      </c>
      <c r="V2844">
        <f>-642.265805975467 -157.470356791351 -72.5361421238855</f>
        <v>-872.27230489070348</v>
      </c>
      <c r="W2844" t="s">
        <v>30528</v>
      </c>
      <c r="X2844" t="s">
        <v>30529</v>
      </c>
      <c r="Y2844" t="s">
        <v>30530</v>
      </c>
    </row>
    <row r="2845" spans="1:25" x14ac:dyDescent="0.3">
      <c r="A2845">
        <v>142200</v>
      </c>
      <c r="B2845" t="s">
        <v>30531</v>
      </c>
      <c r="C2845">
        <f>-665.356227170019 -59.7591616423487 -74.0792189492478</f>
        <v>-799.19460776161543</v>
      </c>
      <c r="D2845">
        <f>-695.864282758732 -68.7197543131816 -185.457812844941</f>
        <v>-950.04184991685463</v>
      </c>
      <c r="E2845">
        <f>-707.322029857471 -73.1719067210533 -283.312538612365</f>
        <v>-1063.8064751908894</v>
      </c>
      <c r="F2845">
        <f>-712.287122408328 -76.1479048809376 -372.221131698999</f>
        <v>-1160.6561589882645</v>
      </c>
      <c r="G2845">
        <f>-711.479865696184 -78.1058526750658 -461.292865815939</f>
        <v>-1250.8785841871888</v>
      </c>
      <c r="H2845">
        <f>-704.283304267521 -79.8602392821293 -585.654910279686</f>
        <v>-1369.7984538293363</v>
      </c>
      <c r="I2845">
        <f>-670.221856739844 -73.7054103543607 -661.199271386838</f>
        <v>-1405.1265384810426</v>
      </c>
      <c r="J2845">
        <f>-710.888834309302 -51.5995871983732 -531.516006705188</f>
        <v>-1294.0044282128633</v>
      </c>
      <c r="K2845" t="s">
        <v>30532</v>
      </c>
      <c r="L2845" t="s">
        <v>30533</v>
      </c>
      <c r="M2845" t="s">
        <v>30534</v>
      </c>
      <c r="N2845">
        <f>-704.011510383182 -106.576717405087 -530.342484027886</f>
        <v>-1340.9307118161551</v>
      </c>
      <c r="O2845">
        <f>-688.831718476905 -239.858155162022 -500.315630309734</f>
        <v>-1429.005503948661</v>
      </c>
      <c r="P2845">
        <f>-672.780842032417 -268.778105948462 -207.916576777812</f>
        <v>-1149.4755247586909</v>
      </c>
      <c r="Q2845">
        <f>-517.9994500128 -110.227326792029 -302.548666492769</f>
        <v>-930.77544329759803</v>
      </c>
      <c r="R2845" t="s">
        <v>30535</v>
      </c>
      <c r="S2845" t="s">
        <v>30536</v>
      </c>
      <c r="T2845" t="s">
        <v>30537</v>
      </c>
      <c r="U2845" t="s">
        <v>30538</v>
      </c>
      <c r="V2845">
        <f>-644.26598822478 -156.855209889571 -72.9114677509508</f>
        <v>-874.03266586530185</v>
      </c>
      <c r="W2845" t="s">
        <v>30539</v>
      </c>
      <c r="X2845" t="s">
        <v>30540</v>
      </c>
      <c r="Y2845" t="s">
        <v>30541</v>
      </c>
    </row>
    <row r="2846" spans="1:25" x14ac:dyDescent="0.3">
      <c r="A2846">
        <v>142250</v>
      </c>
      <c r="B2846" t="s">
        <v>30542</v>
      </c>
      <c r="C2846">
        <f>-666.463167456889 -59.9189869035172 -74.2650557003068</f>
        <v>-800.64721006071295</v>
      </c>
      <c r="D2846">
        <f>-696.927137206789 -68.9727213458203 -185.648108967559</f>
        <v>-951.5479675201683</v>
      </c>
      <c r="E2846">
        <f>-708.334815446061 -73.4859751150517 -283.506024993805</f>
        <v>-1065.3268155549176</v>
      </c>
      <c r="F2846">
        <f>-713.249451785825 -76.5100831354923 -372.415695402315</f>
        <v>-1162.1752303236324</v>
      </c>
      <c r="G2846">
        <f>-712.386447244267 -78.5093354809031 -461.4859255282</f>
        <v>-1252.3817082533701</v>
      </c>
      <c r="H2846">
        <f>-705.106510580601 -80.3143562769811 -585.842438548698</f>
        <v>-1371.2633054062803</v>
      </c>
      <c r="I2846">
        <f>-671.058053287521 -74.2124237444402 -661.397028180667</f>
        <v>-1406.6675052126284</v>
      </c>
      <c r="J2846">
        <f>-711.742313177353 -52.030879426756 -531.719284473135</f>
        <v>-1295.4924770772441</v>
      </c>
      <c r="K2846" t="s">
        <v>30543</v>
      </c>
      <c r="L2846" t="s">
        <v>30544</v>
      </c>
      <c r="M2846" t="s">
        <v>30545</v>
      </c>
      <c r="N2846">
        <f>-704.877784498734 -107.009125115826 -530.519385061078</f>
        <v>-1342.406294675638</v>
      </c>
      <c r="O2846">
        <f>-689.694020212514 -240.280671951826 -500.416548382599</f>
        <v>-1430.3912405469391</v>
      </c>
      <c r="P2846">
        <f>-673.684550393894 -269.171513099478 -208.012482290471</f>
        <v>-1150.868545783843</v>
      </c>
      <c r="Q2846">
        <f>-518.849223653216 -110.572429485277 -302.475238221463</f>
        <v>-931.89689135995593</v>
      </c>
      <c r="R2846" t="s">
        <v>30546</v>
      </c>
      <c r="S2846" t="s">
        <v>30547</v>
      </c>
      <c r="T2846" t="s">
        <v>30548</v>
      </c>
      <c r="U2846" t="s">
        <v>30549</v>
      </c>
      <c r="V2846">
        <f>-645.357796293599 -157.039129807957 -72.9973008674492</f>
        <v>-875.39422696900522</v>
      </c>
      <c r="W2846" t="s">
        <v>30550</v>
      </c>
      <c r="X2846" t="s">
        <v>30551</v>
      </c>
      <c r="Y2846" t="s">
        <v>30552</v>
      </c>
    </row>
    <row r="2847" spans="1:25" x14ac:dyDescent="0.3">
      <c r="A2847">
        <v>142300</v>
      </c>
      <c r="B2847" t="s">
        <v>30553</v>
      </c>
      <c r="C2847">
        <f>-668.549637010232 -60.6458435607686 -74.6014282561158</f>
        <v>-803.79690882711645</v>
      </c>
      <c r="D2847">
        <f>-698.899756121728 -69.847940148584 -186.00353161686</f>
        <v>-954.75122788717204</v>
      </c>
      <c r="E2847">
        <f>-710.236528538981 -74.4724453804319 -283.864386084725</f>
        <v>-1068.5733600041381</v>
      </c>
      <c r="F2847">
        <f>-715.098241981705 -77.5897405611698 -372.773753027382</f>
        <v>-1165.4617355702567</v>
      </c>
      <c r="G2847">
        <f>-714.19351876289 -79.6745922731311 -461.841640701603</f>
        <v>-1255.7097517376242</v>
      </c>
      <c r="H2847">
        <f>-706.867098401017 -81.5907141122603 -586.193766864809</f>
        <v>-1374.6515793780864</v>
      </c>
      <c r="I2847">
        <f>-672.856125129912 -75.6261795357598 -661.776314894195</f>
        <v>-1410.2586195598669</v>
      </c>
      <c r="J2847">
        <f>-713.523499814966 -53.25900095708 -532.098316968609</f>
        <v>-1298.8808177406549</v>
      </c>
      <c r="K2847" t="s">
        <v>30554</v>
      </c>
      <c r="L2847" t="s">
        <v>30555</v>
      </c>
      <c r="M2847" t="s">
        <v>30556</v>
      </c>
      <c r="N2847">
        <f>-706.658755300792 -108.236017318787 -530.846772478742</f>
        <v>-1345.741545098321</v>
      </c>
      <c r="O2847">
        <f>-691.415128144464 -241.466832590948 -500.570225767748</f>
        <v>-1433.45218650316</v>
      </c>
      <c r="P2847">
        <f>-675.408849548832 -270.150817598632 -208.145439937921</f>
        <v>-1153.705107085385</v>
      </c>
      <c r="Q2847">
        <f>-520.438838188104 -111.637505668465 -302.531390454055</f>
        <v>-934.60773431062398</v>
      </c>
      <c r="R2847" t="s">
        <v>30557</v>
      </c>
      <c r="S2847" t="s">
        <v>30558</v>
      </c>
      <c r="T2847" t="s">
        <v>30559</v>
      </c>
      <c r="U2847" t="s">
        <v>30560</v>
      </c>
      <c r="V2847">
        <f>-647.347281783363 -158.057131802747 -73.1976936820793</f>
        <v>-878.60210726818923</v>
      </c>
      <c r="W2847" t="s">
        <v>30561</v>
      </c>
      <c r="X2847" t="s">
        <v>30562</v>
      </c>
      <c r="Y2847" t="s">
        <v>30563</v>
      </c>
    </row>
    <row r="2848" spans="1:25" x14ac:dyDescent="0.3">
      <c r="A2848">
        <v>142350</v>
      </c>
      <c r="B2848" t="s">
        <v>30564</v>
      </c>
      <c r="C2848">
        <f>-669.621712671605 -60.8669902235963 -74.7618169541363</f>
        <v>-805.25051984933759</v>
      </c>
      <c r="D2848">
        <f>-699.893816908191 -70.1346262549275 -186.179647034071</f>
        <v>-956.20809019718945</v>
      </c>
      <c r="E2848">
        <f>-711.17596810209 -74.7974516142644 -284.045017877632</f>
        <v>-1070.0184375939864</v>
      </c>
      <c r="F2848">
        <f>-715.993485943738 -77.9417440911373 -372.955880966382</f>
        <v>-1166.8911110012573</v>
      </c>
      <c r="G2848">
        <f>-715.049934626975 -80.0449443442341 -462.022844744847</f>
        <v>-1257.1177237160559</v>
      </c>
      <c r="H2848">
        <f>-707.674798601102 -81.9771663305741 -586.372003773451</f>
        <v>-1376.0239687051271</v>
      </c>
      <c r="I2848">
        <f>-673.676876144131 -76.0523021623493 -661.963390550162</f>
        <v>-1411.6925688566423</v>
      </c>
      <c r="J2848">
        <f>-714.375297315693 -53.6413987738836 -532.284031209722</f>
        <v>-1300.3007272992986</v>
      </c>
      <c r="K2848" t="s">
        <v>30565</v>
      </c>
      <c r="L2848" t="s">
        <v>30566</v>
      </c>
      <c r="M2848" t="s">
        <v>30567</v>
      </c>
      <c r="N2848">
        <f>-707.465112193928 -108.612477674782 -531.020046459436</f>
        <v>-1347.0976363281461</v>
      </c>
      <c r="O2848">
        <f>-692.159443099402 -241.815074459888 -500.687343023371</f>
        <v>-1434.6618605826611</v>
      </c>
      <c r="P2848">
        <f>-676.237508515466 -270.241062159597 -208.232797194282</f>
        <v>-1154.7113678693449</v>
      </c>
      <c r="Q2848">
        <f>-520.984763598151 -112.059962477592 -302.711297688806</f>
        <v>-935.7560237645489</v>
      </c>
      <c r="R2848" t="s">
        <v>30568</v>
      </c>
      <c r="S2848" t="s">
        <v>30569</v>
      </c>
      <c r="T2848" t="s">
        <v>30570</v>
      </c>
      <c r="U2848" t="s">
        <v>30571</v>
      </c>
      <c r="V2848">
        <f>-648.327270254781 -158.308305104208 -73.2620891042117</f>
        <v>-879.89766446320061</v>
      </c>
      <c r="W2848" t="s">
        <v>30572</v>
      </c>
      <c r="X2848" t="s">
        <v>30573</v>
      </c>
      <c r="Y2848" t="s">
        <v>30574</v>
      </c>
    </row>
    <row r="2849" spans="1:25" x14ac:dyDescent="0.3">
      <c r="A2849">
        <v>142400</v>
      </c>
      <c r="B2849" t="s">
        <v>30575</v>
      </c>
      <c r="C2849">
        <f>-671.796611410858 -61.2509868126083 -75.0843481945427</f>
        <v>-808.13194641800897</v>
      </c>
      <c r="D2849">
        <f>-701.841578893567 -70.6872076238355 -186.549434871279</f>
        <v>-959.07822138868153</v>
      </c>
      <c r="E2849">
        <f>-712.909263751074 -75.4701581447614 -284.433540194509</f>
        <v>-1072.8129620903444</v>
      </c>
      <c r="F2849">
        <f>-717.524984410745 -78.7158486047274 -373.351422851761</f>
        <v>-1169.5922558672335</v>
      </c>
      <c r="G2849">
        <f>-716.372008681295 -80.9132744800835 -462.413751871502</f>
        <v>-1259.6990350328806</v>
      </c>
      <c r="H2849">
        <f>-708.696797283362 -82.9703308428577 -586.742613671897</f>
        <v>-1378.4097417981166</v>
      </c>
      <c r="I2849">
        <f>-674.685651614151 -77.1522730486678 -662.33649800515</f>
        <v>-1414.1744226679689</v>
      </c>
      <c r="J2849">
        <f>-715.584343365572 -54.5874635708054 -532.702892546152</f>
        <v>-1302.8746994825294</v>
      </c>
      <c r="K2849" t="s">
        <v>30576</v>
      </c>
      <c r="L2849" t="s">
        <v>30577</v>
      </c>
      <c r="M2849" t="s">
        <v>30578</v>
      </c>
      <c r="N2849">
        <f>-708.564188589874 -109.54274871591 -531.360419324069</f>
        <v>-1349.4673566298529</v>
      </c>
      <c r="O2849">
        <f>-692.972122144603 -242.679948335206 -500.914695028575</f>
        <v>-1436.5667655083839</v>
      </c>
      <c r="P2849">
        <f>-677.172767848443 -270.936302982135 -208.437036999629</f>
        <v>-1156.5461078302069</v>
      </c>
      <c r="Q2849">
        <f>-522.166606229959 -112.55065444649 -302.977892577105</f>
        <v>-937.69515325355405</v>
      </c>
      <c r="R2849" t="s">
        <v>30579</v>
      </c>
      <c r="S2849" t="s">
        <v>30580</v>
      </c>
      <c r="T2849" t="s">
        <v>30581</v>
      </c>
      <c r="U2849" t="s">
        <v>30582</v>
      </c>
      <c r="V2849">
        <f>-650.217609139815 -158.963349531503 -73.5134772791421</f>
        <v>-882.69443595046005</v>
      </c>
      <c r="W2849" t="s">
        <v>30583</v>
      </c>
      <c r="X2849" t="s">
        <v>30584</v>
      </c>
      <c r="Y2849" t="s">
        <v>30585</v>
      </c>
    </row>
    <row r="2850" spans="1:25" x14ac:dyDescent="0.3">
      <c r="A2850">
        <v>142450</v>
      </c>
      <c r="B2850" t="s">
        <v>30586</v>
      </c>
      <c r="C2850">
        <f>-672.761186054113 -61.4725697577587 -75.2357757535342</f>
        <v>-809.46953156540587</v>
      </c>
      <c r="D2850">
        <f>-702.724161257213 -71.0163486793151 -186.713869644063</f>
        <v>-960.45437958059119</v>
      </c>
      <c r="E2850">
        <f>-713.687807679947 -75.8822182859628 -284.605572967058</f>
        <v>-1074.1755989329679</v>
      </c>
      <c r="F2850">
        <f>-718.195410978588 -79.20113650773 -373.526301129804</f>
        <v>-1170.9228486161219</v>
      </c>
      <c r="G2850">
        <f>-716.920632451259 -81.4702990242675 -462.585148114779</f>
        <v>-1260.9760795903055</v>
      </c>
      <c r="H2850">
        <f>-709.060911964319 -83.6270079623304 -586.900796837508</f>
        <v>-1379.5887167641572</v>
      </c>
      <c r="I2850">
        <f>-675.022234596452 -77.8676429553784 -662.486757325404</f>
        <v>-1415.3766348772344</v>
      </c>
      <c r="J2850">
        <f>-716.051294857644 -55.2038821081507 -532.895486030609</f>
        <v>-1304.1506629964038</v>
      </c>
      <c r="K2850" t="s">
        <v>30587</v>
      </c>
      <c r="L2850" t="s">
        <v>30588</v>
      </c>
      <c r="M2850" t="s">
        <v>30589</v>
      </c>
      <c r="N2850">
        <f>-708.9878568438 -110.152125552172 -531.495683635879</f>
        <v>-1350.6356660318511</v>
      </c>
      <c r="O2850">
        <f>-693.267973415224 -243.261727166112 -500.947702072205</f>
        <v>-1437.477402653541</v>
      </c>
      <c r="P2850">
        <f>-677.519188235987 -271.224718579144 -208.439150872737</f>
        <v>-1157.1830576878681</v>
      </c>
      <c r="Q2850">
        <f>-522.781936018941 -112.634362894237 -303.077017804224</f>
        <v>-938.49331671740197</v>
      </c>
      <c r="R2850" t="s">
        <v>30590</v>
      </c>
      <c r="S2850" t="s">
        <v>30591</v>
      </c>
      <c r="T2850" t="s">
        <v>30592</v>
      </c>
      <c r="U2850" t="s">
        <v>30593</v>
      </c>
      <c r="V2850">
        <f>-651.091622471273 -159.316358487025 -73.6249076369542</f>
        <v>-884.03288859525219</v>
      </c>
      <c r="W2850" t="s">
        <v>30594</v>
      </c>
      <c r="X2850" t="s">
        <v>30595</v>
      </c>
      <c r="Y2850" t="s">
        <v>30596</v>
      </c>
    </row>
    <row r="2851" spans="1:25" x14ac:dyDescent="0.3">
      <c r="A2851">
        <v>142500</v>
      </c>
      <c r="B2851" t="s">
        <v>30597</v>
      </c>
      <c r="C2851">
        <f>-674.470341131971 -61.5912496643552 -75.4412829522121</f>
        <v>-811.50287374853838</v>
      </c>
      <c r="D2851">
        <f>-704.359481044648 -71.3126881390972 -186.923789917585</f>
        <v>-962.59595910133021</v>
      </c>
      <c r="E2851">
        <f>-715.209605685813 -76.358765729143 -284.818970495578</f>
        <v>-1076.3873419105339</v>
      </c>
      <c r="F2851">
        <f>-719.594605314809 -79.8533818626946 -373.739204836089</f>
        <v>-1173.1871920135927</v>
      </c>
      <c r="G2851">
        <f>-718.177458317105 -82.3114492418184 -462.790839711936</f>
        <v>-1263.2797472708594</v>
      </c>
      <c r="H2851">
        <f>-710.098570036443 -84.7463698876604 -587.087195047745</f>
        <v>-1381.9321349718484</v>
      </c>
      <c r="I2851">
        <f>-676.019879995996 -79.1393929329975 -662.666557208379</f>
        <v>-1417.8258301373726</v>
      </c>
      <c r="J2851">
        <f>-717.201334193461 -56.2046839613025 -533.159291977925</f>
        <v>-1306.5653101326884</v>
      </c>
      <c r="K2851" t="s">
        <v>30598</v>
      </c>
      <c r="L2851" t="s">
        <v>30599</v>
      </c>
      <c r="M2851" t="s">
        <v>30600</v>
      </c>
      <c r="N2851">
        <f>-710.105941249831 -111.145127842073 -531.621876594505</f>
        <v>-1352.8729456864089</v>
      </c>
      <c r="O2851">
        <f>-694.27711142128 -244.180396484774 -500.792390796537</f>
        <v>-1439.2498987025911</v>
      </c>
      <c r="P2851">
        <f>-678.691700741815 -271.406703436081 -208.205700922977</f>
        <v>-1158.3041051008729</v>
      </c>
      <c r="Q2851">
        <f>-524.099224941529 -112.951764424695 -303.305967193039</f>
        <v>-940.35695655926304</v>
      </c>
      <c r="R2851" t="s">
        <v>30601</v>
      </c>
      <c r="S2851" t="s">
        <v>30602</v>
      </c>
      <c r="T2851" t="s">
        <v>30603</v>
      </c>
      <c r="U2851" t="s">
        <v>30604</v>
      </c>
      <c r="V2851">
        <f>-652.815313733607 -159.825231874902 -73.7335717078103</f>
        <v>-886.37411731631926</v>
      </c>
      <c r="W2851" t="s">
        <v>30605</v>
      </c>
      <c r="X2851" t="s">
        <v>30606</v>
      </c>
      <c r="Y2851" t="s">
        <v>30607</v>
      </c>
    </row>
    <row r="2852" spans="1:25" x14ac:dyDescent="0.3">
      <c r="A2852">
        <v>142550</v>
      </c>
      <c r="B2852" t="s">
        <v>30608</v>
      </c>
      <c r="C2852">
        <f>-675.087423563936 -61.5492301039174 -75.4834252867681</f>
        <v>-812.12007895462148</v>
      </c>
      <c r="D2852">
        <f>-704.967636860429 -71.3612578830497 -186.960489431777</f>
        <v>-963.28938417525569</v>
      </c>
      <c r="E2852">
        <f>-715.816960577353 -76.5137707883237 -284.850167327279</f>
        <v>-1077.1808986929557</v>
      </c>
      <c r="F2852">
        <f>-720.204278563152 -80.1162566513602 -373.765976784256</f>
        <v>-1174.0865119987682</v>
      </c>
      <c r="G2852">
        <f>-718.792647687492 -82.693705376453 -462.814382369824</f>
        <v>-1264.300735433769</v>
      </c>
      <c r="H2852">
        <f>-710.725026748711 -85.3074460363391 -587.107811322944</f>
        <v>-1383.1402841079941</v>
      </c>
      <c r="I2852">
        <f>-676.646505252903 -79.8022666559747 -662.694701345781</f>
        <v>-1419.1434732546586</v>
      </c>
      <c r="J2852">
        <f>-717.81817917126 -56.6874994637769 -533.220030785332</f>
        <v>-1307.725709420369</v>
      </c>
      <c r="K2852" t="s">
        <v>30609</v>
      </c>
      <c r="L2852" t="s">
        <v>30610</v>
      </c>
      <c r="M2852" t="s">
        <v>30611</v>
      </c>
      <c r="N2852">
        <f>-710.732243622646 -111.62703907936 -531.604844157419</f>
        <v>-1353.9641268594251</v>
      </c>
      <c r="O2852">
        <f>-694.917002200547 -244.624407076915 -500.613307843838</f>
        <v>-1440.1547171213001</v>
      </c>
      <c r="P2852">
        <f>-679.245318952446 -271.473879465863 -207.996435048949</f>
        <v>-1158.7156334672579</v>
      </c>
      <c r="Q2852">
        <f>-524.696925809936 -113.163132937419 -303.407967925405</f>
        <v>-941.26802667276002</v>
      </c>
      <c r="R2852" t="s">
        <v>30612</v>
      </c>
      <c r="S2852" t="s">
        <v>30613</v>
      </c>
      <c r="T2852" t="s">
        <v>30614</v>
      </c>
      <c r="U2852" t="s">
        <v>30615</v>
      </c>
      <c r="V2852">
        <f>-653.442478957749 -159.888327708429 -73.7500088397006</f>
        <v>-887.0808155058786</v>
      </c>
      <c r="W2852" t="s">
        <v>30616</v>
      </c>
      <c r="X2852" t="s">
        <v>30617</v>
      </c>
      <c r="Y2852" t="s">
        <v>30618</v>
      </c>
    </row>
    <row r="2853" spans="1:25" x14ac:dyDescent="0.3">
      <c r="A2853">
        <v>142600</v>
      </c>
      <c r="B2853" t="s">
        <v>30619</v>
      </c>
      <c r="C2853">
        <f>-675.962017992604 -61.7389310867516 -75.5092021675625</f>
        <v>-813.21015124691814</v>
      </c>
      <c r="D2853">
        <f>-705.887354651892 -71.6942181728257 -186.961398966779</f>
        <v>-964.54297179149671</v>
      </c>
      <c r="E2853">
        <f>-716.786869698357 -77.0675132127744 -284.833670056239</f>
        <v>-1078.6880529673704</v>
      </c>
      <c r="F2853">
        <f>-721.22496873589 -80.9092126416286 -373.736978119899</f>
        <v>-1175.8711594974177</v>
      </c>
      <c r="G2853">
        <f>-719.870061477345 -83.7654517805398 -462.777573201602</f>
        <v>-1266.4130864594867</v>
      </c>
      <c r="H2853">
        <f>-711.88816721126 -86.810563356188 -587.066883885341</f>
        <v>-1385.7656144527891</v>
      </c>
      <c r="I2853">
        <f>-677.819385230204 -81.5750297182785 -662.677396227419</f>
        <v>-1422.0718111759015</v>
      </c>
      <c r="J2853">
        <f>-718.922014602363 -58.0007943265832 -533.27255822055</f>
        <v>-1310.1953671494962</v>
      </c>
      <c r="K2853" t="s">
        <v>30620</v>
      </c>
      <c r="L2853" t="s">
        <v>30621</v>
      </c>
      <c r="M2853" t="s">
        <v>30622</v>
      </c>
      <c r="N2853">
        <f>-711.879240805151 -112.94025045248 -531.474182068842</f>
        <v>-1356.2936733264728</v>
      </c>
      <c r="O2853">
        <f>-696.095298961883 -245.83588835713 -500.074850825156</f>
        <v>-1442.006038144169</v>
      </c>
      <c r="P2853">
        <f>-679.982461551481 -271.88447863745 -207.409372437673</f>
        <v>-1159.2763126266041</v>
      </c>
      <c r="Q2853">
        <f>-525.420373526399 -113.998372127512 -303.499997002511</f>
        <v>-942.91874265642195</v>
      </c>
      <c r="R2853" t="s">
        <v>30623</v>
      </c>
      <c r="S2853" t="s">
        <v>30624</v>
      </c>
      <c r="T2853" t="s">
        <v>30625</v>
      </c>
      <c r="U2853" t="s">
        <v>30626</v>
      </c>
      <c r="V2853">
        <f>-654.344417302609 -160.196021563632 -73.6286312903891</f>
        <v>-888.16907015663014</v>
      </c>
      <c r="W2853" t="s">
        <v>30627</v>
      </c>
      <c r="X2853" t="s">
        <v>30628</v>
      </c>
      <c r="Y2853" t="s">
        <v>30629</v>
      </c>
    </row>
    <row r="2854" spans="1:25" x14ac:dyDescent="0.3">
      <c r="A2854">
        <v>142650</v>
      </c>
      <c r="B2854" t="s">
        <v>30630</v>
      </c>
      <c r="C2854">
        <f>-676.19416817885 -61.7895239880519 -75.5223365133149</f>
        <v>-813.50602868021679</v>
      </c>
      <c r="D2854">
        <f>-706.117631121269 -71.8155966020862 -186.968716594474</f>
        <v>-964.90194431782925</v>
      </c>
      <c r="E2854">
        <f>-717.035834372105 -77.2936192692531 -284.833012974016</f>
        <v>-1079.1624666153741</v>
      </c>
      <c r="F2854">
        <f>-721.49955820705 -81.2480827604584 -373.730107019741</f>
        <v>-1176.4777479872494</v>
      </c>
      <c r="G2854">
        <f>-720.17927708699 -84.2356674335498 -462.767018830886</f>
        <v>-1267.1819633514258</v>
      </c>
      <c r="H2854">
        <f>-712.254982586194 -87.4836862199713 -587.054861575318</f>
        <v>-1386.7935303814834</v>
      </c>
      <c r="I2854">
        <f>-678.212868017805 -82.393047775966 -662.687173829572</f>
        <v>-1423.2930896233429</v>
      </c>
      <c r="J2854">
        <f>-719.252411462501 -58.584688134076 -533.303573437429</f>
        <v>-1311.1406730340059</v>
      </c>
      <c r="K2854" t="s">
        <v>30631</v>
      </c>
      <c r="L2854" t="s">
        <v>30632</v>
      </c>
      <c r="M2854" t="s">
        <v>30633</v>
      </c>
      <c r="N2854">
        <f>-712.231747490727 -113.524042333068 -531.420122202188</f>
        <v>-1357.1759120259831</v>
      </c>
      <c r="O2854">
        <f>-696.463916720121 -246.388774465236 -499.837588556218</f>
        <v>-1442.6902797415751</v>
      </c>
      <c r="P2854">
        <f>-680.204685336728 -271.93540564811 -207.136086300097</f>
        <v>-1159.2761772849351</v>
      </c>
      <c r="Q2854">
        <f>-525.563663815336 -114.296379949466 -303.50469823697</f>
        <v>-943.3647420017719</v>
      </c>
      <c r="R2854" t="s">
        <v>30634</v>
      </c>
      <c r="S2854" t="s">
        <v>30635</v>
      </c>
      <c r="T2854" t="s">
        <v>30636</v>
      </c>
      <c r="U2854" t="s">
        <v>30637</v>
      </c>
      <c r="V2854">
        <f>-654.537294843386 -160.24863056101 -73.5662978439965</f>
        <v>-888.35222324839253</v>
      </c>
      <c r="W2854" t="s">
        <v>30638</v>
      </c>
      <c r="X2854" t="s">
        <v>30639</v>
      </c>
      <c r="Y2854" t="s">
        <v>30640</v>
      </c>
    </row>
    <row r="2855" spans="1:25" x14ac:dyDescent="0.3">
      <c r="A2855">
        <v>142700</v>
      </c>
      <c r="B2855" t="s">
        <v>30641</v>
      </c>
      <c r="C2855">
        <f>-676.288839538242 -61.8999457135599 -75.5057030624288</f>
        <v>-813.69448831423063</v>
      </c>
      <c r="D2855">
        <f>-706.232146405186 -72.1159688616763 -186.929402911321</f>
        <v>-965.2775181781833</v>
      </c>
      <c r="E2855">
        <f>-717.195078038502 -77.7784712504742 -284.778347045033</f>
        <v>-1079.7518963340092</v>
      </c>
      <c r="F2855">
        <f>-721.710248389414 -81.9092220030323 -373.664696976762</f>
        <v>-1177.2841673692083</v>
      </c>
      <c r="G2855">
        <f>-720.452114013683 -85.0831626735985 -462.696109676961</f>
        <v>-1268.2313863642426</v>
      </c>
      <c r="H2855">
        <f>-712.626044436272 -88.6026481428144 -586.982812322756</f>
        <v>-1388.2115049018423</v>
      </c>
      <c r="I2855">
        <f>-678.689800594329 -83.7459799906319 -662.678044706211</f>
        <v>-1425.1138252911719</v>
      </c>
      <c r="J2855">
        <f>-719.571520527685 -59.5852059656627 -533.288768924015</f>
        <v>-1312.4454954173627</v>
      </c>
      <c r="K2855" t="s">
        <v>30642</v>
      </c>
      <c r="L2855" t="s">
        <v>30643</v>
      </c>
      <c r="M2855" t="s">
        <v>30644</v>
      </c>
      <c r="N2855">
        <f>-712.568357832829 -114.522678597299 -531.292101055428</f>
        <v>-1358.3831374855558</v>
      </c>
      <c r="O2855">
        <f>-696.75320669376 -247.325066148274 -499.460072232587</f>
        <v>-1443.538345074621</v>
      </c>
      <c r="P2855">
        <f>-680.279034594154 -272.08461592104 -206.702822650103</f>
        <v>-1159.0664731652969</v>
      </c>
      <c r="Q2855">
        <f>-525.544465415552 -114.807800950954 -303.512433146701</f>
        <v>-943.86469951320703</v>
      </c>
      <c r="R2855" t="s">
        <v>30645</v>
      </c>
      <c r="S2855" t="s">
        <v>30646</v>
      </c>
      <c r="T2855" t="s">
        <v>30647</v>
      </c>
      <c r="U2855" t="s">
        <v>30648</v>
      </c>
      <c r="V2855">
        <f>-654.483943035597 -160.337122133409 -73.4392388614478</f>
        <v>-888.26030403045388</v>
      </c>
      <c r="W2855" t="s">
        <v>30649</v>
      </c>
      <c r="X2855" t="s">
        <v>30650</v>
      </c>
      <c r="Y2855" t="s">
        <v>30651</v>
      </c>
    </row>
    <row r="2856" spans="1:25" x14ac:dyDescent="0.3">
      <c r="A2856">
        <v>142750</v>
      </c>
      <c r="B2856" t="s">
        <v>30652</v>
      </c>
      <c r="C2856">
        <f>-676.281806334926 -61.9482210830104 -75.4993943406819</f>
        <v>-813.72942175861829</v>
      </c>
      <c r="D2856">
        <f>-706.244909797077 -72.2467235892485 -186.910247908091</f>
        <v>-965.40188129441651</v>
      </c>
      <c r="E2856">
        <f>-717.241349936683 -77.9849113093629 -284.751041916854</f>
        <v>-1079.9773031628999</v>
      </c>
      <c r="F2856">
        <f>-721.793276957012 -82.1867193805542 -373.63217355258</f>
        <v>-1177.6121698901463</v>
      </c>
      <c r="G2856">
        <f>-720.57829729229 -85.4347906533478 -462.661490440155</f>
        <v>-1268.6745783857928</v>
      </c>
      <c r="H2856">
        <f>-712.818851263524 -89.0610841670734 -586.949244550659</f>
        <v>-1388.8291799812564</v>
      </c>
      <c r="I2856">
        <f>-678.949496994023 -84.2891812657261 -662.679901397564</f>
        <v>-1425.9185796573131</v>
      </c>
      <c r="J2856">
        <f>-719.738945907582 -59.9978766191983 -533.276632080599</f>
        <v>-1313.0134546073793</v>
      </c>
      <c r="K2856" t="s">
        <v>30653</v>
      </c>
      <c r="L2856" t="s">
        <v>30654</v>
      </c>
      <c r="M2856" t="s">
        <v>30655</v>
      </c>
      <c r="N2856">
        <f>-712.727867130242 -114.93274805741 -531.236074740897</f>
        <v>-1358.896689928549</v>
      </c>
      <c r="O2856">
        <f>-696.851300943957 -247.699105944826 -499.312014534029</f>
        <v>-1443.8624214228121</v>
      </c>
      <c r="P2856">
        <f>-680.167659924442 -272.295257034203 -206.552877672301</f>
        <v>-1159.0157946309459</v>
      </c>
      <c r="Q2856">
        <f>-525.598826783211 -115.01130389351 -303.61516216933</f>
        <v>-944.22529284605105</v>
      </c>
      <c r="R2856" t="s">
        <v>30656</v>
      </c>
      <c r="S2856" t="s">
        <v>30657</v>
      </c>
      <c r="T2856" t="s">
        <v>30658</v>
      </c>
      <c r="U2856" t="s">
        <v>30659</v>
      </c>
      <c r="V2856">
        <f>-654.432907557306 -160.391592660865 -73.3915530451787</f>
        <v>-888.21605326334964</v>
      </c>
      <c r="W2856" t="s">
        <v>30660</v>
      </c>
      <c r="X2856" t="s">
        <v>30661</v>
      </c>
      <c r="Y2856" t="s">
        <v>30662</v>
      </c>
    </row>
    <row r="2857" spans="1:25" x14ac:dyDescent="0.3">
      <c r="A2857">
        <v>142800</v>
      </c>
      <c r="B2857" t="s">
        <v>30663</v>
      </c>
      <c r="C2857">
        <f>-676.256936820752 -62.5401513610207 -75.538045464099</f>
        <v>-814.33513364587168</v>
      </c>
      <c r="D2857">
        <f>-706.235322247217 -72.9266665259935 -186.936625237557</f>
        <v>-966.09861401076751</v>
      </c>
      <c r="E2857">
        <f>-717.308016852697 -78.7846185532724 -284.761689978954</f>
        <v>-1080.8543253849234</v>
      </c>
      <c r="F2857">
        <f>-721.954938803038 -83.1127401772486 -373.631897960804</f>
        <v>-1178.6995769410905</v>
      </c>
      <c r="G2857">
        <f>-720.861252503331 -86.5044601051333 -462.657379573837</f>
        <v>-1270.0230921823013</v>
      </c>
      <c r="H2857">
        <f>-713.298619158842 -90.3495623864037 -586.95075340543</f>
        <v>-1390.5989349506758</v>
      </c>
      <c r="I2857">
        <f>-679.582592886892 -85.6920458124224 -662.756954263101</f>
        <v>-1428.0315929624153</v>
      </c>
      <c r="J2857">
        <f>-720.149369161662 -61.1939689250689 -533.319351519646</f>
        <v>-1314.6626896063769</v>
      </c>
      <c r="K2857" t="s">
        <v>30664</v>
      </c>
      <c r="L2857" t="s">
        <v>30665</v>
      </c>
      <c r="M2857" t="s">
        <v>30666</v>
      </c>
      <c r="N2857">
        <f>-713.103734109736 -116.121128836691 -531.191486395848</f>
        <v>-1360.416349342275</v>
      </c>
      <c r="O2857">
        <f>-697.098217769066 -248.825789156031 -499.068296035037</f>
        <v>-1444.9923029601339</v>
      </c>
      <c r="P2857">
        <f>-679.825218947808 -272.920162166112 -206.301682524105</f>
        <v>-1159.0470636380251</v>
      </c>
      <c r="Q2857">
        <f>-525.596011122463 -115.649221846581 -303.923834185013</f>
        <v>-945.16906715405696</v>
      </c>
      <c r="R2857" t="s">
        <v>30667</v>
      </c>
      <c r="S2857" t="s">
        <v>30668</v>
      </c>
      <c r="T2857" t="s">
        <v>30669</v>
      </c>
      <c r="U2857" t="s">
        <v>30670</v>
      </c>
      <c r="V2857">
        <f>-654.419156577934 -160.931039941997 -73.4032395809701</f>
        <v>-888.75343610090113</v>
      </c>
      <c r="W2857" t="s">
        <v>30671</v>
      </c>
      <c r="X2857" t="s">
        <v>30672</v>
      </c>
      <c r="Y2857" t="s">
        <v>30673</v>
      </c>
    </row>
    <row r="2858" spans="1:25" x14ac:dyDescent="0.3">
      <c r="A2858">
        <v>142850</v>
      </c>
      <c r="B2858" t="s">
        <v>30674</v>
      </c>
      <c r="C2858">
        <f>-676.250188276444 -62.7685797708155 -75.5762624164925</f>
        <v>-814.59503046375187</v>
      </c>
      <c r="D2858">
        <f>-706.214650222118 -73.1700667396698 -186.977101386396</f>
        <v>-966.36181834818376</v>
      </c>
      <c r="E2858">
        <f>-717.292016074316 -79.0585298226422 -284.799914067894</f>
        <v>-1081.1504599648522</v>
      </c>
      <c r="F2858">
        <f>-721.949981385305 -83.4214382996551 -373.667787313051</f>
        <v>-1179.0392069980112</v>
      </c>
      <c r="G2858">
        <f>-720.874406559371 -86.8547980027188 -462.691863909788</f>
        <v>-1270.4210684718778</v>
      </c>
      <c r="H2858">
        <f>-713.344681140196 -90.7649302891094 -586.985188316423</f>
        <v>-1391.0947997457283</v>
      </c>
      <c r="I2858">
        <f>-679.695447656758 -86.1406091194284 -662.823066525669</f>
        <v>-1428.6591233018553</v>
      </c>
      <c r="J2858">
        <f>-720.192281422738 -61.5826966401866 -533.367864581776</f>
        <v>-1315.1428426447005</v>
      </c>
      <c r="K2858" t="s">
        <v>30675</v>
      </c>
      <c r="L2858" t="s">
        <v>30676</v>
      </c>
      <c r="M2858" t="s">
        <v>30677</v>
      </c>
      <c r="N2858">
        <f>-713.124096326403 -116.505906427835 -531.211804727856</f>
        <v>-1360.8418074820941</v>
      </c>
      <c r="O2858">
        <f>-697.054608783461 -249.180967665319 -499.000302932648</f>
        <v>-1445.235879381428</v>
      </c>
      <c r="P2858">
        <f>-679.526468784668 -273.019451051087 -206.227958539385</f>
        <v>-1158.7738783751402</v>
      </c>
      <c r="Q2858">
        <f>-525.549394580715 -115.654467722024 -304.096022098214</f>
        <v>-945.29988440095303</v>
      </c>
      <c r="R2858" t="s">
        <v>30678</v>
      </c>
      <c r="S2858" t="s">
        <v>30679</v>
      </c>
      <c r="T2858" t="s">
        <v>30680</v>
      </c>
      <c r="U2858" t="s">
        <v>30681</v>
      </c>
      <c r="V2858">
        <f>-654.399371074935 -161.009725589528 -73.4191154074331</f>
        <v>-888.82821207189602</v>
      </c>
      <c r="W2858" t="s">
        <v>30682</v>
      </c>
      <c r="X2858" t="s">
        <v>30683</v>
      </c>
      <c r="Y2858" t="s">
        <v>30684</v>
      </c>
    </row>
    <row r="2859" spans="1:25" x14ac:dyDescent="0.3">
      <c r="A2859">
        <v>142900</v>
      </c>
      <c r="B2859" t="s">
        <v>30685</v>
      </c>
      <c r="C2859">
        <f>-676.241127647494 -63.1825067630358 -75.6072215623942</f>
        <v>-815.03085597292397</v>
      </c>
      <c r="D2859">
        <f>-706.205741942887 -73.6082994514618 -187.005812406916</f>
        <v>-966.8198538012648</v>
      </c>
      <c r="E2859">
        <f>-717.250942594954 -79.5225731785711 -284.830707280535</f>
        <v>-1081.6042230540602</v>
      </c>
      <c r="F2859">
        <f>-721.866736131289 -83.9108984781728 -373.699433631325</f>
        <v>-1179.4770682407868</v>
      </c>
      <c r="G2859">
        <f>-720.736164495482 -87.3708922788888 -462.721971589197</f>
        <v>-1270.8290283635679</v>
      </c>
      <c r="H2859">
        <f>-713.116435148942 -91.3196007334548 -587.008580002205</f>
        <v>-1391.4446158846017</v>
      </c>
      <c r="I2859">
        <f>-679.517370284939 -86.7399729052435 -662.871349255472</f>
        <v>-1429.1286924456545</v>
      </c>
      <c r="J2859">
        <f>-720.036176839734 -62.1251225608803 -533.407117195254</f>
        <v>-1315.5684165958683</v>
      </c>
      <c r="K2859" t="s">
        <v>30686</v>
      </c>
      <c r="L2859" t="s">
        <v>30687</v>
      </c>
      <c r="M2859" t="s">
        <v>30688</v>
      </c>
      <c r="N2859">
        <f>-712.902774410536 -117.038822001344 -531.225100155178</f>
        <v>-1361.1666965670579</v>
      </c>
      <c r="O2859">
        <f>-696.694544435548 -249.675216381848 -498.939117286442</f>
        <v>-1445.308878103838</v>
      </c>
      <c r="P2859">
        <f>-678.950803396647 -273.27855415353 -206.160497966083</f>
        <v>-1158.38985551626</v>
      </c>
      <c r="Q2859">
        <f>-525.259259096592 -115.803685490349 -304.300695256154</f>
        <v>-945.36363984309503</v>
      </c>
      <c r="R2859" t="s">
        <v>30689</v>
      </c>
      <c r="S2859" t="s">
        <v>30690</v>
      </c>
      <c r="T2859" t="s">
        <v>30691</v>
      </c>
      <c r="U2859" t="s">
        <v>30692</v>
      </c>
      <c r="V2859">
        <f>-654.35036642206 -161.312080218245 -73.45663764739</f>
        <v>-889.11908428769505</v>
      </c>
      <c r="W2859" t="s">
        <v>30693</v>
      </c>
      <c r="X2859" t="s">
        <v>30694</v>
      </c>
      <c r="Y2859" t="s">
        <v>30695</v>
      </c>
    </row>
    <row r="2860" spans="1:25" x14ac:dyDescent="0.3">
      <c r="A2860">
        <v>142950</v>
      </c>
      <c r="B2860" t="s">
        <v>30696</v>
      </c>
      <c r="C2860">
        <f>-676.191829412237 -63.2579950776546 -75.6441222197585</f>
        <v>-815.09394670965014</v>
      </c>
      <c r="D2860">
        <f>-706.155490370378 -73.6847858660291 -187.042844191584</f>
        <v>-966.883120427991</v>
      </c>
      <c r="E2860">
        <f>-717.184207271731 -79.6206889745647 -284.868153570862</f>
        <v>-1081.6730498171578</v>
      </c>
      <c r="F2860">
        <f>-721.779335827558 -84.0365685710253 -373.73668498379</f>
        <v>-1179.5525893823733</v>
      </c>
      <c r="G2860">
        <f>-720.622269078299 -87.5317580404796 -462.757456825282</f>
        <v>-1270.9114839440608</v>
      </c>
      <c r="H2860">
        <f>-712.959696002895 -91.5370903427909 -587.039659288428</f>
        <v>-1391.536445634114</v>
      </c>
      <c r="I2860">
        <f>-679.346196084813 -86.9867410428856 -662.897697481898</f>
        <v>-1429.2306346095966</v>
      </c>
      <c r="J2860">
        <f>-719.906602441965 -62.3193079651664 -533.454432822514</f>
        <v>-1315.6803432296456</v>
      </c>
      <c r="K2860" t="s">
        <v>30697</v>
      </c>
      <c r="L2860" t="s">
        <v>30698</v>
      </c>
      <c r="M2860" t="s">
        <v>30699</v>
      </c>
      <c r="N2860">
        <f>-712.756641514684 -117.229733754705 -531.243995178632</f>
        <v>-1361.2303704480209</v>
      </c>
      <c r="O2860">
        <f>-696.517093493695 -249.854630229195 -498.904772351289</f>
        <v>-1445.276496074179</v>
      </c>
      <c r="P2860">
        <f>-678.699666256593 -273.359719363445 -206.12269577551</f>
        <v>-1158.182081395548</v>
      </c>
      <c r="Q2860">
        <f>-525.079326008929 -115.849662626208 -304.317711733427</f>
        <v>-945.24670036856401</v>
      </c>
      <c r="R2860" t="s">
        <v>30700</v>
      </c>
      <c r="S2860" t="s">
        <v>30701</v>
      </c>
      <c r="T2860" t="s">
        <v>30702</v>
      </c>
      <c r="U2860" t="s">
        <v>30703</v>
      </c>
      <c r="V2860">
        <f>-654.293143978943 -161.263494630575 -73.5075349654276</f>
        <v>-889.06417357494558</v>
      </c>
      <c r="W2860" t="s">
        <v>30704</v>
      </c>
      <c r="X2860" t="s">
        <v>30705</v>
      </c>
      <c r="Y2860" t="s">
        <v>30706</v>
      </c>
    </row>
    <row r="2861" spans="1:25" x14ac:dyDescent="0.3">
      <c r="A2861">
        <v>143000</v>
      </c>
      <c r="B2861" t="s">
        <v>30707</v>
      </c>
      <c r="C2861">
        <f>-675.912829726758 -63.8331879780131 -75.6543078996772</f>
        <v>-815.40032560444831</v>
      </c>
      <c r="D2861">
        <f>-705.890488227101 -74.2796690064609 -187.047478286994</f>
        <v>-967.21763552055586</v>
      </c>
      <c r="E2861">
        <f>-716.925851667067 -80.2759755167315 -284.868392853885</f>
        <v>-1082.0702200376836</v>
      </c>
      <c r="F2861">
        <f>-721.525522197863 -84.7621464363685 -373.733216875225</f>
        <v>-1180.0208855094565</v>
      </c>
      <c r="G2861">
        <f>-720.372075377393 -88.3424902227298 -462.750561611022</f>
        <v>-1271.4651272111448</v>
      </c>
      <c r="H2861">
        <f>-712.713861700765 -92.4815526178294 -587.028614012295</f>
        <v>-1392.2240283308893</v>
      </c>
      <c r="I2861">
        <f>-679.04521200662 -87.9848253858529 -662.865399815205</f>
        <v>-1429.8954372076778</v>
      </c>
      <c r="J2861">
        <f>-719.667537365753 -63.2072204430618 -533.475076807939</f>
        <v>-1316.3498346167539</v>
      </c>
      <c r="K2861" t="s">
        <v>30708</v>
      </c>
      <c r="L2861" t="s">
        <v>30709</v>
      </c>
      <c r="M2861" t="s">
        <v>30710</v>
      </c>
      <c r="N2861">
        <f>-712.500217416944 -118.11305241759 -531.204878202795</f>
        <v>-1361.8181480373291</v>
      </c>
      <c r="O2861">
        <f>-696.249660375753 -250.693726678807 -498.705962671092</f>
        <v>-1445.649349725652</v>
      </c>
      <c r="P2861">
        <f>-678.390825635475 -273.876708982464 -205.900818307669</f>
        <v>-1158.1683529256079</v>
      </c>
      <c r="Q2861">
        <f>-524.769096155266 -116.48476349951 -304.28286897342</f>
        <v>-945.53672862819599</v>
      </c>
      <c r="R2861" t="s">
        <v>30711</v>
      </c>
      <c r="S2861" t="s">
        <v>30712</v>
      </c>
      <c r="T2861" t="s">
        <v>30713</v>
      </c>
      <c r="U2861" t="s">
        <v>30714</v>
      </c>
      <c r="V2861">
        <f>-654.106776483608 -161.844828325341 -73.5222146213537</f>
        <v>-889.47381943030268</v>
      </c>
      <c r="W2861" t="s">
        <v>30715</v>
      </c>
      <c r="X2861" t="s">
        <v>30716</v>
      </c>
      <c r="Y2861" t="s">
        <v>30717</v>
      </c>
    </row>
    <row r="2862" spans="1:25" x14ac:dyDescent="0.3">
      <c r="A2862">
        <v>143050</v>
      </c>
      <c r="B2862" t="s">
        <v>30718</v>
      </c>
      <c r="C2862">
        <f>-675.77766667087 -64.1511767522359 -75.6448535133311</f>
        <v>-815.57369693643693</v>
      </c>
      <c r="D2862">
        <f>-705.753906188089 -74.6185888513037 -187.036401788796</f>
        <v>-967.40889682818874</v>
      </c>
      <c r="E2862">
        <f>-716.791091420186 -80.6568649832536 -284.854517590432</f>
        <v>-1082.3024739938717</v>
      </c>
      <c r="F2862">
        <f>-721.394093642571 -85.1900505399357 -373.716733470404</f>
        <v>-1180.3008776529107</v>
      </c>
      <c r="G2862">
        <f>-720.24580998014 -88.8259354592743 -462.731931005224</f>
        <v>-1271.8036764446383</v>
      </c>
      <c r="H2862">
        <f>-712.596895556335 -93.051234565646 -587.007675420252</f>
        <v>-1392.6558055422329</v>
      </c>
      <c r="I2862">
        <f>-678.884949089778 -88.5941581420036 -662.827656431428</f>
        <v>-1430.3067636632095</v>
      </c>
      <c r="J2862">
        <f>-719.551227271466 -63.7404514509732 -533.474309762883</f>
        <v>-1316.7659884853222</v>
      </c>
      <c r="K2862" t="s">
        <v>30719</v>
      </c>
      <c r="L2862" t="s">
        <v>30720</v>
      </c>
      <c r="M2862" t="s">
        <v>30721</v>
      </c>
      <c r="N2862">
        <f>-712.374409539999 -118.643365648021 -531.165905016976</f>
        <v>-1362.1836802049961</v>
      </c>
      <c r="O2862">
        <f>-696.108959753141 -251.194845421262 -498.550928664031</f>
        <v>-1445.854733838434</v>
      </c>
      <c r="P2862">
        <f>-678.273679237644 -274.161975747145 -205.72726062289</f>
        <v>-1158.162915607679</v>
      </c>
      <c r="Q2862">
        <f>-524.662080198475 -116.851861705409 -304.25589845258</f>
        <v>-945.76984035646399</v>
      </c>
      <c r="R2862" t="s">
        <v>30722</v>
      </c>
      <c r="S2862" t="s">
        <v>30723</v>
      </c>
      <c r="T2862" t="s">
        <v>30724</v>
      </c>
      <c r="U2862" t="s">
        <v>30725</v>
      </c>
      <c r="V2862">
        <f>-653.985774627413 -162.060043100521 -73.4891163043461</f>
        <v>-889.53493403228015</v>
      </c>
      <c r="W2862" t="s">
        <v>30726</v>
      </c>
      <c r="X2862" t="s">
        <v>30727</v>
      </c>
      <c r="Y2862" t="s">
        <v>30728</v>
      </c>
    </row>
    <row r="2863" spans="1:25" x14ac:dyDescent="0.3">
      <c r="A2863">
        <v>143100</v>
      </c>
      <c r="B2863" t="s">
        <v>30729</v>
      </c>
      <c r="C2863">
        <f>-675.432470169698 -64.5767429442265 -75.6002198657344</f>
        <v>-815.60943297965889</v>
      </c>
      <c r="D2863">
        <f>-705.426651669569 -75.0985888913822 -186.981748396978</f>
        <v>-967.50698895792914</v>
      </c>
      <c r="E2863">
        <f>-716.47114761026 -81.2393216577121 -284.792709030033</f>
        <v>-1082.5031782980052</v>
      </c>
      <c r="F2863">
        <f>-721.078063438117 -85.8868390497479 -373.648820356353</f>
        <v>-1180.613722844218</v>
      </c>
      <c r="G2863">
        <f>-719.93167925212 -89.6581130706807 -462.658447111112</f>
        <v>-1272.2482394339127</v>
      </c>
      <c r="H2863">
        <f>-712.283567398966 -94.094130721087 -586.92682011674</f>
        <v>-1393.3045182367932</v>
      </c>
      <c r="I2863">
        <f>-678.458518568092 -89.7415579032595 -662.702506287845</f>
        <v>-1430.9025827591965</v>
      </c>
      <c r="J2863">
        <f>-719.256189973455 -64.695062831448 -533.444209564657</f>
        <v>-1317.3954623695599</v>
      </c>
      <c r="K2863" t="s">
        <v>30730</v>
      </c>
      <c r="L2863" t="s">
        <v>30731</v>
      </c>
      <c r="M2863" t="s">
        <v>30732</v>
      </c>
      <c r="N2863">
        <f>-712.042078998 -119.589021470754 -531.040681265365</f>
        <v>-1362.6717817341191</v>
      </c>
      <c r="O2863">
        <f>-695.705212284802 -252.071621180054 -498.182587245579</f>
        <v>-1445.9594207104349</v>
      </c>
      <c r="P2863">
        <f>-677.863754021046 -274.566783463373 -205.32276183756</f>
        <v>-1157.7532993219791</v>
      </c>
      <c r="Q2863">
        <f>-524.299185306004 -117.366306860489 -304.099383912478</f>
        <v>-945.76487607897093</v>
      </c>
      <c r="R2863" t="s">
        <v>30733</v>
      </c>
      <c r="S2863" t="s">
        <v>30734</v>
      </c>
      <c r="T2863" t="s">
        <v>30735</v>
      </c>
      <c r="U2863" t="s">
        <v>30736</v>
      </c>
      <c r="V2863">
        <f>-653.626639353888 -162.276996185554 -73.4115753533133</f>
        <v>-889.31521089275532</v>
      </c>
      <c r="W2863" t="s">
        <v>30737</v>
      </c>
      <c r="X2863" t="s">
        <v>30738</v>
      </c>
      <c r="Y2863" t="s">
        <v>30739</v>
      </c>
    </row>
    <row r="2864" spans="1:25" x14ac:dyDescent="0.3">
      <c r="A2864">
        <v>143150</v>
      </c>
      <c r="B2864" t="s">
        <v>30740</v>
      </c>
      <c r="C2864">
        <f>-675.285401804308 -64.7806360650354 -75.5686753072362</f>
        <v>-815.63471317657957</v>
      </c>
      <c r="D2864">
        <f>-705.286944764632 -75.3386052590279 -186.944849512633</f>
        <v>-967.57039953629294</v>
      </c>
      <c r="E2864">
        <f>-716.327677263359 -81.5291091426448 -284.753138271794</f>
        <v>-1082.6099246777976</v>
      </c>
      <c r="F2864">
        <f>-720.927524815473 -86.2286652380925 -373.606882208843</f>
        <v>-1180.7630722624085</v>
      </c>
      <c r="G2864">
        <f>-719.770334232325 -90.058086497606 -462.613878708417</f>
        <v>-1272.4422994383481</v>
      </c>
      <c r="H2864">
        <f>-712.103743322893 -94.5812395731975 -586.878082264549</f>
        <v>-1393.5630651606396</v>
      </c>
      <c r="I2864">
        <f>-678.228912824939 -90.2816868791467 -662.634420244542</f>
        <v>-1431.1450199486276</v>
      </c>
      <c r="J2864">
        <f>-719.101191335431 -65.1469155258047 -533.417946263976</f>
        <v>-1317.6660531252119</v>
      </c>
      <c r="K2864" t="s">
        <v>30741</v>
      </c>
      <c r="L2864" t="s">
        <v>30742</v>
      </c>
      <c r="M2864" t="s">
        <v>30743</v>
      </c>
      <c r="N2864">
        <f>-711.853706348673 -120.034656464905 -530.972972517543</f>
        <v>-1362.8613353311209</v>
      </c>
      <c r="O2864">
        <f>-695.479374514411 -252.485530229589 -498.002844919854</f>
        <v>-1445.967749663854</v>
      </c>
      <c r="P2864">
        <f>-677.695040697583 -274.724230563328 -205.120160026956</f>
        <v>-1157.539431287867</v>
      </c>
      <c r="Q2864">
        <f>-524.153814134455 -117.570356136388 -304.007113292312</f>
        <v>-945.7312835631551</v>
      </c>
      <c r="R2864" t="s">
        <v>30744</v>
      </c>
      <c r="S2864" t="s">
        <v>30745</v>
      </c>
      <c r="T2864" t="s">
        <v>30746</v>
      </c>
      <c r="U2864" t="s">
        <v>30747</v>
      </c>
      <c r="V2864">
        <f>-653.506480945015 -162.471534584251 -73.3508506535919</f>
        <v>-889.32886618285795</v>
      </c>
      <c r="W2864" t="s">
        <v>30748</v>
      </c>
      <c r="X2864" t="s">
        <v>30749</v>
      </c>
      <c r="Y2864" t="s">
        <v>30750</v>
      </c>
    </row>
    <row r="2865" spans="1:25" x14ac:dyDescent="0.3">
      <c r="A2865">
        <v>143200</v>
      </c>
      <c r="B2865" t="s">
        <v>30751</v>
      </c>
      <c r="C2865">
        <f>-675.10336910628 -64.9924506143652 -75.5372427509672</f>
        <v>-815.63306247161233</v>
      </c>
      <c r="D2865">
        <f>-705.062057086158 -75.602498135636 -186.920118670152</f>
        <v>-967.58467389194595</v>
      </c>
      <c r="E2865">
        <f>-716.019525752877 -81.8801964057792 -284.731998433287</f>
        <v>-1082.6317205919431</v>
      </c>
      <c r="F2865">
        <f>-720.525878793555 -86.6754062572061 -373.585452369492</f>
        <v>-1180.7867374202531</v>
      </c>
      <c r="G2865">
        <f>-719.25759173289 -90.6170819375744 -462.586015245426</f>
        <v>-1272.4606889158904</v>
      </c>
      <c r="H2865">
        <f>-711.417876099624 -95.3139511930472 -586.832967152511</f>
        <v>-1393.5647944451821</v>
      </c>
      <c r="I2865">
        <f>-677.428274433201 -91.1484385294743 -662.545447185705</f>
        <v>-1431.1221601483803</v>
      </c>
      <c r="J2865">
        <f>-718.513163985239 -65.8080991339741 -533.425284794231</f>
        <v>-1317.7465479134439</v>
      </c>
      <c r="K2865" t="s">
        <v>30752</v>
      </c>
      <c r="L2865" t="s">
        <v>30753</v>
      </c>
      <c r="M2865" t="s">
        <v>30754</v>
      </c>
      <c r="N2865">
        <f>-711.222327819183 -120.686035798351 -530.890673682582</f>
        <v>-1362.799037300116</v>
      </c>
      <c r="O2865">
        <f>-694.81426031406 -253.071666960645 -497.675167674981</f>
        <v>-1445.5610949496859</v>
      </c>
      <c r="P2865">
        <f>-677.334432999975 -274.817099034242 -204.736947916711</f>
        <v>-1156.8884799509281</v>
      </c>
      <c r="Q2865">
        <f>-523.762103087657 -117.78015417382 -303.761175660296</f>
        <v>-945.30343292177304</v>
      </c>
      <c r="R2865" t="s">
        <v>30755</v>
      </c>
      <c r="S2865" t="s">
        <v>30756</v>
      </c>
      <c r="T2865" t="s">
        <v>30757</v>
      </c>
      <c r="U2865" t="s">
        <v>30758</v>
      </c>
      <c r="V2865">
        <f>-653.260210225028 -162.47370840881 -73.2738760840454</f>
        <v>-889.00779471788337</v>
      </c>
      <c r="W2865" t="s">
        <v>30759</v>
      </c>
      <c r="X2865" t="s">
        <v>30760</v>
      </c>
      <c r="Y2865" t="s">
        <v>30761</v>
      </c>
    </row>
    <row r="2866" spans="1:25" x14ac:dyDescent="0.3">
      <c r="A2866">
        <v>143250</v>
      </c>
      <c r="B2866" t="s">
        <v>30762</v>
      </c>
      <c r="C2866">
        <f>-675.077830240873 -65.1682990977179 -75.5296881332533</f>
        <v>-815.77581747184422</v>
      </c>
      <c r="D2866">
        <f>-705.020261763674 -75.8064131278368 -186.914157464155</f>
        <v>-967.7408323556657</v>
      </c>
      <c r="E2866">
        <f>-715.934723567328 -82.1200291963833 -284.72861805953</f>
        <v>-1082.7833708232413</v>
      </c>
      <c r="F2866">
        <f>-720.390579029266 -86.9528925747718 -373.582550757167</f>
        <v>-1180.9260223612048</v>
      </c>
      <c r="G2866">
        <f>-719.060357164244 -90.937238358604 -462.580326320242</f>
        <v>-1272.5779218430901</v>
      </c>
      <c r="H2866">
        <f>-711.122412515938 -95.699348395328 -586.818488160375</f>
        <v>-1393.6402490716409</v>
      </c>
      <c r="I2866">
        <f>-677.067548124423 -91.6026828137893 -662.505421157762</f>
        <v>-1431.1756520959743</v>
      </c>
      <c r="J2866">
        <f>-718.272978569881 -66.1671847602399 -533.432730989676</f>
        <v>-1317.8728943197971</v>
      </c>
      <c r="K2866" t="s">
        <v>30763</v>
      </c>
      <c r="L2866" t="s">
        <v>30764</v>
      </c>
      <c r="M2866" t="s">
        <v>30765</v>
      </c>
      <c r="N2866">
        <f>-710.958020974098 -121.040270696317 -530.862060266413</f>
        <v>-1362.860351936828</v>
      </c>
      <c r="O2866">
        <f>-694.524463686002 -253.396366484455 -497.552864654722</f>
        <v>-1445.4736948251791</v>
      </c>
      <c r="P2866">
        <f>-677.303738930793 -274.918778702351 -204.582811769798</f>
        <v>-1156.8053294029419</v>
      </c>
      <c r="Q2866">
        <f>-523.689728832621 -117.889349884164 -303.554308366986</f>
        <v>-945.13338708377103</v>
      </c>
      <c r="R2866" t="s">
        <v>30766</v>
      </c>
      <c r="S2866" t="s">
        <v>30767</v>
      </c>
      <c r="T2866" t="s">
        <v>30768</v>
      </c>
      <c r="U2866" t="s">
        <v>30769</v>
      </c>
      <c r="V2866">
        <f>-653.179965802506 -162.66766935194 -73.2709675591503</f>
        <v>-889.11860271359626</v>
      </c>
      <c r="W2866" t="s">
        <v>30770</v>
      </c>
      <c r="X2866" t="s">
        <v>30771</v>
      </c>
      <c r="Y2866" t="s">
        <v>30772</v>
      </c>
    </row>
    <row r="2867" spans="1:25" x14ac:dyDescent="0.3">
      <c r="A2867">
        <v>143300</v>
      </c>
      <c r="B2867" t="s">
        <v>30773</v>
      </c>
      <c r="C2867">
        <f>-675.175297923923 -65.4473104235227 -75.4952181284299</f>
        <v>-816.11782647587563</v>
      </c>
      <c r="D2867">
        <f>-705.213357360878 -76.1573224326344 -186.847038943214</f>
        <v>-968.2177187367264</v>
      </c>
      <c r="E2867">
        <f>-716.114244724119 -82.52719603841 -284.659378680956</f>
        <v>-1083.3008194434851</v>
      </c>
      <c r="F2867">
        <f>-720.518222536122 -87.4094479823394 -373.513185341467</f>
        <v>-1181.4408558599284</v>
      </c>
      <c r="G2867">
        <f>-719.096641159663 -91.4416972377138 -462.507485650772</f>
        <v>-1273.0458240481489</v>
      </c>
      <c r="H2867">
        <f>-710.989695355986 -96.2692106733634 -586.732117719779</f>
        <v>-1393.9910237491285</v>
      </c>
      <c r="I2867">
        <f>-676.774505137322 -92.2642826589757 -662.35167049157</f>
        <v>-1431.3904582878677</v>
      </c>
      <c r="J2867">
        <f>-718.24273976493 -66.7131015132425 -533.373543010643</f>
        <v>-1318.3293842888154</v>
      </c>
      <c r="K2867" t="s">
        <v>30774</v>
      </c>
      <c r="L2867" t="s">
        <v>30775</v>
      </c>
      <c r="M2867" t="s">
        <v>30776</v>
      </c>
      <c r="N2867">
        <f>-710.87164854648 -121.576645163698 -530.760470560573</f>
        <v>-1363.2087642707511</v>
      </c>
      <c r="O2867">
        <f>-694.426963025101 -253.901337239783 -497.337580141457</f>
        <v>-1445.6658804063411</v>
      </c>
      <c r="P2867">
        <f>-677.6259663475 -275.260762847256 -204.331181736315</f>
        <v>-1157.2179109310709</v>
      </c>
      <c r="Q2867">
        <f>-523.904633157458 -118.194343863829 -303.077264357714</f>
        <v>-945.17624137900088</v>
      </c>
      <c r="R2867" t="s">
        <v>30777</v>
      </c>
      <c r="S2867" t="s">
        <v>30778</v>
      </c>
      <c r="T2867" t="s">
        <v>30779</v>
      </c>
      <c r="U2867" t="s">
        <v>30780</v>
      </c>
      <c r="V2867">
        <f>-653.126117387234 -162.794464385991 -73.2318776503938</f>
        <v>-889.15245942361878</v>
      </c>
      <c r="W2867" t="s">
        <v>30781</v>
      </c>
      <c r="X2867" t="s">
        <v>30782</v>
      </c>
      <c r="Y2867" t="s">
        <v>30783</v>
      </c>
    </row>
    <row r="2868" spans="1:25" x14ac:dyDescent="0.3">
      <c r="A2868">
        <v>143350</v>
      </c>
      <c r="B2868" t="s">
        <v>30784</v>
      </c>
      <c r="C2868">
        <f>-675.134654490389 -65.4843697878463 -75.4452117006709</f>
        <v>-816.06423597890625</v>
      </c>
      <c r="D2868">
        <f>-705.266359872544 -76.2449436642371 -186.766806833207</f>
        <v>-968.2781103699881</v>
      </c>
      <c r="E2868">
        <f>-716.191009263084 -82.6414375365471 -284.574734059525</f>
        <v>-1083.4071808591561</v>
      </c>
      <c r="F2868">
        <f>-720.59267486159 -87.5410572417705 -373.427830985647</f>
        <v>-1181.5615630890074</v>
      </c>
      <c r="G2868">
        <f>-719.144932250987 -91.5834194346513 -462.421210199148</f>
        <v>-1273.1495618847864</v>
      </c>
      <c r="H2868">
        <f>-710.976521617507 -96.4176514352489 -586.641594747602</f>
        <v>-1394.0357678003579</v>
      </c>
      <c r="I2868">
        <f>-676.662839689538 -92.4378990277357 -662.217789993711</f>
        <v>-1431.3185287109848</v>
      </c>
      <c r="J2868">
        <f>-718.271422476097 -66.8608544415897 -533.289149493723</f>
        <v>-1318.4214264114098</v>
      </c>
      <c r="K2868" t="s">
        <v>30785</v>
      </c>
      <c r="L2868" t="s">
        <v>30786</v>
      </c>
      <c r="M2868" t="s">
        <v>30787</v>
      </c>
      <c r="N2868">
        <f>-710.870565562685 -121.719912759145 -530.667452134998</f>
        <v>-1363.257930456828</v>
      </c>
      <c r="O2868">
        <f>-694.410005795351 -254.037857082188 -497.209604230528</f>
        <v>-1445.6574671080671</v>
      </c>
      <c r="P2868">
        <f>-677.825113458627 -275.349443627299 -204.187536692913</f>
        <v>-1157.3620937788392</v>
      </c>
      <c r="Q2868">
        <f>-524.023074160986 -118.320612537871 -302.867589057993</f>
        <v>-945.21127575685</v>
      </c>
      <c r="R2868" t="s">
        <v>30788</v>
      </c>
      <c r="S2868" t="s">
        <v>30789</v>
      </c>
      <c r="T2868" t="s">
        <v>30790</v>
      </c>
      <c r="U2868" t="s">
        <v>30791</v>
      </c>
      <c r="V2868">
        <f>-653.051439037846 -162.771935568862 -73.1691814305594</f>
        <v>-888.99255603726738</v>
      </c>
      <c r="W2868" t="s">
        <v>30792</v>
      </c>
      <c r="X2868" t="s">
        <v>30793</v>
      </c>
      <c r="Y2868" t="s">
        <v>30794</v>
      </c>
    </row>
    <row r="2869" spans="1:25" x14ac:dyDescent="0.3">
      <c r="A2869">
        <v>143400</v>
      </c>
      <c r="B2869" t="s">
        <v>30795</v>
      </c>
      <c r="C2869">
        <f>-674.725172350044 -65.7153200248302 -75.3185663834012</f>
        <v>-815.75905875827539</v>
      </c>
      <c r="D2869">
        <f>-705.050734209516 -76.5980460700544 -186.575729617296</f>
        <v>-968.22450989686638</v>
      </c>
      <c r="E2869">
        <f>-716.062510879437 -83.0580261474261 -284.369654612822</f>
        <v>-1083.490191639685</v>
      </c>
      <c r="F2869">
        <f>-720.509520774603 -87.997786917238 -373.218354447425</f>
        <v>-1181.725662139266</v>
      </c>
      <c r="G2869">
        <f>-719.072935344917 -92.0628747637954 -462.210666836839</f>
        <v>-1273.3464769455513</v>
      </c>
      <c r="H2869">
        <f>-710.88401215105 -96.9102676375867 -586.42924759819</f>
        <v>-1394.2235273868268</v>
      </c>
      <c r="I2869">
        <f>-676.372880244975 -92.948393385487 -661.916482305731</f>
        <v>-1431.237755936193</v>
      </c>
      <c r="J2869">
        <f>-718.201127876378 -67.3495835403712 -533.081985690193</f>
        <v>-1318.6326971069423</v>
      </c>
      <c r="K2869" t="s">
        <v>30796</v>
      </c>
      <c r="L2869" t="s">
        <v>30797</v>
      </c>
      <c r="M2869" t="s">
        <v>30798</v>
      </c>
      <c r="N2869">
        <f>-710.773998319888 -122.204762745013 -530.451648748909</f>
        <v>-1363.43040981381</v>
      </c>
      <c r="O2869">
        <f>-694.302771694853 -254.502764863481 -496.925994592795</f>
        <v>-1445.731531151129</v>
      </c>
      <c r="P2869">
        <f>-677.845363249458 -275.678670511022 -203.886901171434</f>
        <v>-1157.410934931914</v>
      </c>
      <c r="Q2869">
        <f>-523.898315641279 -118.749019490571 -302.498489847535</f>
        <v>-945.145824979385</v>
      </c>
      <c r="R2869" t="s">
        <v>30799</v>
      </c>
      <c r="S2869" t="s">
        <v>30800</v>
      </c>
      <c r="T2869" t="s">
        <v>30801</v>
      </c>
      <c r="U2869" t="s">
        <v>30802</v>
      </c>
      <c r="V2869">
        <f>-652.682708099225 -162.795613746504 -72.9722525325323</f>
        <v>-888.45057437826119</v>
      </c>
      <c r="W2869" t="s">
        <v>30803</v>
      </c>
      <c r="X2869" t="s">
        <v>30804</v>
      </c>
      <c r="Y2869" t="s">
        <v>30805</v>
      </c>
    </row>
    <row r="2870" spans="1:25" x14ac:dyDescent="0.3">
      <c r="A2870">
        <v>143450</v>
      </c>
      <c r="B2870" t="s">
        <v>30806</v>
      </c>
      <c r="C2870">
        <f>-674.480863995216 -66.0626525505845 -75.2608933719237</f>
        <v>-815.80440991772423</v>
      </c>
      <c r="D2870">
        <f>-704.875855111131 -76.9921017190904 -186.494513341405</f>
        <v>-968.36247017162646</v>
      </c>
      <c r="E2870">
        <f>-715.927958060016 -83.468837193846 -284.282832584599</f>
        <v>-1083.6796278384609</v>
      </c>
      <c r="F2870">
        <f>-720.402996293943 -88.4145627643671 -373.129674338647</f>
        <v>-1181.9472333969572</v>
      </c>
      <c r="G2870">
        <f>-718.985725335998 -92.4762499806715 -462.12249447985</f>
        <v>-1273.5844697965194</v>
      </c>
      <c r="H2870">
        <f>-710.814358025132 -97.3091939939957 -586.342891603396</f>
        <v>-1394.4664436225237</v>
      </c>
      <c r="I2870">
        <f>-676.219377446823 -93.33868754022 -661.79123660386</f>
        <v>-1431.349301590903</v>
      </c>
      <c r="J2870">
        <f>-718.128159807235 -67.7553635486582 -532.99130183946</f>
        <v>-1318.8748251953532</v>
      </c>
      <c r="K2870" t="s">
        <v>30807</v>
      </c>
      <c r="L2870" t="s">
        <v>30808</v>
      </c>
      <c r="M2870" t="s">
        <v>30809</v>
      </c>
      <c r="N2870">
        <f>-710.692213486692 -122.609540471617 -530.368017409423</f>
        <v>-1363.6697713677322</v>
      </c>
      <c r="O2870">
        <f>-694.233879167843 -254.908233314603 -496.833221039769</f>
        <v>-1445.9753335222149</v>
      </c>
      <c r="P2870">
        <f>-677.785718796624 -276.036173583096 -203.790088162174</f>
        <v>-1157.6119805418939</v>
      </c>
      <c r="Q2870">
        <f>-523.719674021455 -119.080125467602 -302.173602016738</f>
        <v>-944.97340150579498</v>
      </c>
      <c r="R2870" t="s">
        <v>30810</v>
      </c>
      <c r="S2870" t="s">
        <v>30811</v>
      </c>
      <c r="T2870" t="s">
        <v>30812</v>
      </c>
      <c r="U2870" t="s">
        <v>30813</v>
      </c>
      <c r="V2870">
        <f>-652.499827506855 -163.116392290121 -72.8899890849979</f>
        <v>-888.50620888197386</v>
      </c>
      <c r="W2870" t="s">
        <v>30814</v>
      </c>
      <c r="X2870" t="s">
        <v>30815</v>
      </c>
      <c r="Y2870" t="s">
        <v>30816</v>
      </c>
    </row>
    <row r="2871" spans="1:25" x14ac:dyDescent="0.3">
      <c r="A2871">
        <v>143500</v>
      </c>
      <c r="B2871" t="s">
        <v>30817</v>
      </c>
      <c r="C2871">
        <f>-674.094231261736 -66.473654810216 -75.2256383786097</f>
        <v>-815.79352445056168</v>
      </c>
      <c r="D2871">
        <f>-704.651214830813 -77.4525860672892 -186.409993100979</f>
        <v>-968.51379399908126</v>
      </c>
      <c r="E2871">
        <f>-715.783051193236 -83.89548211282 -284.191465109806</f>
        <v>-1083.869998415862</v>
      </c>
      <c r="F2871">
        <f>-720.304086241901 -88.7800426452601 -373.039292425107</f>
        <v>-1182.1234213122682</v>
      </c>
      <c r="G2871">
        <f>-718.906131229693 -92.7499461341814 -462.036610610446</f>
        <v>-1273.6926879743205</v>
      </c>
      <c r="H2871">
        <f>-710.73336963645 -97.422466818872 -586.263049820895</f>
        <v>-1394.4188862762171</v>
      </c>
      <c r="I2871">
        <f>-676.008152098034 -93.3851990923349 -661.647932153077</f>
        <v>-1431.0412833434459</v>
      </c>
      <c r="J2871">
        <f>-718.073102763541 -67.9410651063266 -532.874941625219</f>
        <v>-1318.8891094950866</v>
      </c>
      <c r="K2871" t="s">
        <v>30818</v>
      </c>
      <c r="L2871" t="s">
        <v>30819</v>
      </c>
      <c r="M2871" t="s">
        <v>30820</v>
      </c>
      <c r="N2871">
        <f>-710.586582220849 -122.79159238728 -530.319369124388</f>
        <v>-1363.697543732517</v>
      </c>
      <c r="O2871">
        <f>-694.059667680026 -255.10686242049 -496.878444663458</f>
        <v>-1446.0449747639741</v>
      </c>
      <c r="P2871">
        <f>-677.634422578834 -276.608927338353 -203.861299121829</f>
        <v>-1158.1046490390161</v>
      </c>
      <c r="Q2871">
        <f>-523.187665268888 -119.382598431585 -301.210901671053</f>
        <v>-943.78116537152619</v>
      </c>
      <c r="R2871" t="s">
        <v>30821</v>
      </c>
      <c r="S2871" t="s">
        <v>30822</v>
      </c>
      <c r="T2871" t="s">
        <v>30823</v>
      </c>
      <c r="U2871" t="s">
        <v>30824</v>
      </c>
      <c r="V2871">
        <f>-652.101293477246 -163.266847022922 -72.8660311955375</f>
        <v>-888.23417169570553</v>
      </c>
      <c r="W2871" t="s">
        <v>30825</v>
      </c>
      <c r="X2871" t="s">
        <v>30826</v>
      </c>
      <c r="Y2871" t="s">
        <v>30827</v>
      </c>
    </row>
    <row r="2872" spans="1:25" x14ac:dyDescent="0.3">
      <c r="A2872">
        <v>143550</v>
      </c>
      <c r="B2872" t="s">
        <v>30828</v>
      </c>
      <c r="C2872">
        <f>-673.953709737948 -66.5792808439686 -75.2252209083813</f>
        <v>-815.75821149029787</v>
      </c>
      <c r="D2872">
        <f>-704.593875272304 -77.5797889167178 -186.384577334393</f>
        <v>-968.55824152341484</v>
      </c>
      <c r="E2872">
        <f>-715.775929806042 -83.9883230133322 -284.162689823635</f>
        <v>-1083.9269426430092</v>
      </c>
      <c r="F2872">
        <f>-720.332637059891 -88.8210099746653 -373.01151446127</f>
        <v>-1182.1651614958264</v>
      </c>
      <c r="G2872">
        <f>-718.960079430428 -92.718167638726 -462.012409070722</f>
        <v>-1273.690656139876</v>
      </c>
      <c r="H2872">
        <f>-710.811566415985 -97.2671595335199 -586.244926383189</f>
        <v>-1394.3236523326939</v>
      </c>
      <c r="I2872">
        <f>-676.048795532147 -93.1726190301908 -661.609426838217</f>
        <v>-1430.8308414005548</v>
      </c>
      <c r="J2872">
        <f>-718.164587392261 -67.8421789904664 -532.82760793224</f>
        <v>-1318.8343743149674</v>
      </c>
      <c r="K2872" t="s">
        <v>30829</v>
      </c>
      <c r="L2872" t="s">
        <v>30830</v>
      </c>
      <c r="M2872" t="s">
        <v>30831</v>
      </c>
      <c r="N2872">
        <f>-710.630094717841 -122.688580646953 -530.325128498991</f>
        <v>-1363.643803863785</v>
      </c>
      <c r="O2872">
        <f>-694.04685682012 -255.021468545541 -496.994605437444</f>
        <v>-1446.062930803105</v>
      </c>
      <c r="P2872">
        <f>-677.541327467927 -276.73162173096 -203.997300122497</f>
        <v>-1158.270249321384</v>
      </c>
      <c r="Q2872">
        <f>-522.820622961265 -119.617296998159 -301.092395297939</f>
        <v>-943.53031525736299</v>
      </c>
      <c r="R2872" t="s">
        <v>30832</v>
      </c>
      <c r="S2872" t="s">
        <v>30833</v>
      </c>
      <c r="T2872" t="s">
        <v>30834</v>
      </c>
      <c r="U2872" t="s">
        <v>30835</v>
      </c>
      <c r="V2872">
        <f>-651.901559238152 -163.195468619546 -72.9101854455391</f>
        <v>-888.00721330323711</v>
      </c>
      <c r="W2872" t="s">
        <v>30836</v>
      </c>
      <c r="X2872" t="s">
        <v>30837</v>
      </c>
      <c r="Y2872" t="s">
        <v>30838</v>
      </c>
    </row>
    <row r="2873" spans="1:25" x14ac:dyDescent="0.3">
      <c r="A2873">
        <v>143600</v>
      </c>
      <c r="B2873" t="s">
        <v>30839</v>
      </c>
      <c r="C2873">
        <f>-674.118256148574 -66.8136266393674 -75.2322607963067</f>
        <v>-816.16414358424811</v>
      </c>
      <c r="D2873">
        <f>-704.878010347976 -77.8349609613873 -186.356445883982</f>
        <v>-969.06941719334532</v>
      </c>
      <c r="E2873">
        <f>-716.159267744274 -84.1460757129946 -284.129560403375</f>
        <v>-1084.4349038606435</v>
      </c>
      <c r="F2873">
        <f>-720.802268767705 -88.8447715898201 -372.98108436402</f>
        <v>-1182.628124721545</v>
      </c>
      <c r="G2873">
        <f>-719.511520329065 -92.5610378364938 -461.990989366938</f>
        <v>-1274.0635475324968</v>
      </c>
      <c r="H2873">
        <f>-711.471835602658 -96.808311079531 -586.241242581831</f>
        <v>-1394.5213892640199</v>
      </c>
      <c r="I2873">
        <f>-676.6293455219 -92.5587709014699 -661.560385514863</f>
        <v>-1430.7485019382329</v>
      </c>
      <c r="J2873">
        <f>-718.826533160169 -67.5199211023335 -532.749177272974</f>
        <v>-1319.0956315354765</v>
      </c>
      <c r="K2873" t="s">
        <v>30840</v>
      </c>
      <c r="L2873" t="s">
        <v>30841</v>
      </c>
      <c r="M2873" t="s">
        <v>30842</v>
      </c>
      <c r="N2873">
        <f>-711.192846660507 -122.358582452489 -530.380597991321</f>
        <v>-1363.9320271043171</v>
      </c>
      <c r="O2873">
        <f>-694.495768112538 -254.74180087189 -497.321622674939</f>
        <v>-1446.5591916593671</v>
      </c>
      <c r="P2873">
        <f>-677.754250532565 -276.510229332992 -204.342014868839</f>
        <v>-1158.6064947343962</v>
      </c>
      <c r="Q2873">
        <f>-522.130671912105 -120.084631265581 -301.105583962017</f>
        <v>-943.32088713970302</v>
      </c>
      <c r="R2873" t="s">
        <v>30843</v>
      </c>
      <c r="S2873" t="s">
        <v>30844</v>
      </c>
      <c r="T2873" t="s">
        <v>30845</v>
      </c>
      <c r="U2873" t="s">
        <v>30846</v>
      </c>
      <c r="V2873">
        <f>-652.070230986346 -163.414118162339 -72.9128825706499</f>
        <v>-888.39723171933497</v>
      </c>
      <c r="W2873" t="s">
        <v>30847</v>
      </c>
      <c r="X2873" t="s">
        <v>30848</v>
      </c>
      <c r="Y2873" t="s">
        <v>30849</v>
      </c>
    </row>
    <row r="2874" spans="1:25" x14ac:dyDescent="0.3">
      <c r="A2874">
        <v>143650</v>
      </c>
      <c r="B2874" t="s">
        <v>30850</v>
      </c>
      <c r="C2874">
        <f>-674.224657436617 -66.832412286037 -75.2569190259013</f>
        <v>-816.31398874855529</v>
      </c>
      <c r="D2874">
        <f>-705.026493520603 -77.8671686626052 -186.368065339591</f>
        <v>-969.26172752279922</v>
      </c>
      <c r="E2874">
        <f>-716.331916889413 -84.1332557142121 -284.141190303205</f>
        <v>-1084.6063629068301</v>
      </c>
      <c r="F2874">
        <f>-720.990989966098 -88.7682701725037 -372.995295625503</f>
        <v>-1182.7545557641047</v>
      </c>
      <c r="G2874">
        <f>-719.710035948652 -92.3976130824464 -462.008935276098</f>
        <v>-1274.1165843071963</v>
      </c>
      <c r="H2874">
        <f>-711.677337825212 -96.4987630373754 -586.26458863343</f>
        <v>-1394.4406894960175</v>
      </c>
      <c r="I2874">
        <f>-676.780041049525 -92.1640575328838 -661.553514997352</f>
        <v>-1430.4976135797608</v>
      </c>
      <c r="J2874">
        <f>-719.053987961836 -67.2769080712824 -532.739097966188</f>
        <v>-1319.0699939993065</v>
      </c>
      <c r="K2874" t="s">
        <v>30851</v>
      </c>
      <c r="L2874" t="s">
        <v>30852</v>
      </c>
      <c r="M2874" t="s">
        <v>30853</v>
      </c>
      <c r="N2874">
        <f>-711.370310682391 -122.111276336072 -530.43248342022</f>
        <v>-1363.9140704386832</v>
      </c>
      <c r="O2874">
        <f>-694.573368886513 -254.510403890346 -497.471055232095</f>
        <v>-1446.554828008954</v>
      </c>
      <c r="P2874">
        <f>-677.79901091212 -276.346176712814 -204.498281795843</f>
        <v>-1158.6434694207769</v>
      </c>
      <c r="Q2874">
        <f>-522.087265797935 -119.874094835412 -301.044674157302</f>
        <v>-943.00603479064887</v>
      </c>
      <c r="R2874" t="s">
        <v>30854</v>
      </c>
      <c r="S2874" t="s">
        <v>30855</v>
      </c>
      <c r="T2874" t="s">
        <v>30856</v>
      </c>
      <c r="U2874" t="s">
        <v>30857</v>
      </c>
      <c r="V2874">
        <f>-652.048077614327 -163.314595183704 -72.9626983520969</f>
        <v>-888.32537115012792</v>
      </c>
      <c r="W2874" t="s">
        <v>30858</v>
      </c>
      <c r="X2874" t="s">
        <v>30859</v>
      </c>
      <c r="Y2874" t="s">
        <v>30860</v>
      </c>
    </row>
    <row r="2875" spans="1:25" x14ac:dyDescent="0.3">
      <c r="A2875">
        <v>143700</v>
      </c>
      <c r="B2875" t="s">
        <v>30861</v>
      </c>
      <c r="C2875">
        <f>-674.538969325271 -66.9567732451437 -75.3312372416253</f>
        <v>-816.82697981204001</v>
      </c>
      <c r="D2875">
        <f>-705.448204701702 -77.9954284441095 -186.412266629714</f>
        <v>-969.85589977552559</v>
      </c>
      <c r="E2875">
        <f>-716.785592985713 -84.1960775519117 -284.185749963411</f>
        <v>-1085.1674205010358</v>
      </c>
      <c r="F2875">
        <f>-721.447821947258 -88.7438832294583 -373.04431759326</f>
        <v>-1183.2360227699764</v>
      </c>
      <c r="G2875">
        <f>-720.143915532288 -92.2568824032209 -462.062210370708</f>
        <v>-1274.4630083062168</v>
      </c>
      <c r="H2875">
        <f>-712.051451516354 -96.1645321699991 -586.320277341449</f>
        <v>-1394.5362610278021</v>
      </c>
      <c r="I2875">
        <f>-677.024128502241 -91.6892845053757 -661.540448321033</f>
        <v>-1430.2538613286497</v>
      </c>
      <c r="J2875">
        <f>-719.493408572758 -67.0317610672654 -532.755263962169</f>
        <v>-1319.2804336021923</v>
      </c>
      <c r="K2875" t="s">
        <v>30862</v>
      </c>
      <c r="L2875" t="s">
        <v>30863</v>
      </c>
      <c r="M2875" t="s">
        <v>30864</v>
      </c>
      <c r="N2875">
        <f>-711.731662210434 -121.858277886073 -530.525610796971</f>
        <v>-1364.115550893478</v>
      </c>
      <c r="O2875">
        <f>-694.70729219124 -254.288736583776 -497.811817173307</f>
        <v>-1446.8078459483229</v>
      </c>
      <c r="P2875">
        <f>-677.974580772494 -277.027265877251 -204.905475558218</f>
        <v>-1159.907322207963</v>
      </c>
      <c r="Q2875">
        <f>-523.174925644001 -118.845951462089 -300.124206225775</f>
        <v>-942.14508333186495</v>
      </c>
      <c r="R2875" t="s">
        <v>30865</v>
      </c>
      <c r="S2875" t="s">
        <v>30866</v>
      </c>
      <c r="T2875" t="s">
        <v>30867</v>
      </c>
      <c r="U2875" t="s">
        <v>30868</v>
      </c>
      <c r="V2875">
        <f>-652.324839201719 -163.411550300371 -73.0583023286648</f>
        <v>-888.7946918307548</v>
      </c>
      <c r="W2875" t="s">
        <v>30869</v>
      </c>
      <c r="X2875" t="s">
        <v>30870</v>
      </c>
      <c r="Y2875" t="s">
        <v>30871</v>
      </c>
    </row>
    <row r="2876" spans="1:25" x14ac:dyDescent="0.3">
      <c r="A2876">
        <v>143750</v>
      </c>
      <c r="B2876" t="s">
        <v>30872</v>
      </c>
      <c r="C2876">
        <f>-674.744370229816 -67.0462105290711 -75.3686109565421</f>
        <v>-817.15919171542919</v>
      </c>
      <c r="D2876">
        <f>-705.72431790056 -78.0990789630374 -186.428556422042</f>
        <v>-970.25195328563939</v>
      </c>
      <c r="E2876">
        <f>-717.122245056556 -84.2716610684586 -284.196821938996</f>
        <v>-1085.5907280640106</v>
      </c>
      <c r="F2876">
        <f>-721.83829760829 -88.7774092541966 -373.054657736509</f>
        <v>-1183.6703645989955</v>
      </c>
      <c r="G2876">
        <f>-720.587091720522 -92.2308825922844 -462.075705437505</f>
        <v>-1274.8936797503115</v>
      </c>
      <c r="H2876">
        <f>-712.566697554225 -96.0366877657832 -586.34155995448</f>
        <v>-1394.9449452744882</v>
      </c>
      <c r="I2876">
        <f>-677.488682381855 -91.4975788271062 -661.534271586353</f>
        <v>-1430.5205327953142</v>
      </c>
      <c r="J2876">
        <f>-720.00556096042 -66.9517963488685 -532.750072145143</f>
        <v>-1319.7074294544313</v>
      </c>
      <c r="K2876" t="s">
        <v>30873</v>
      </c>
      <c r="L2876" t="s">
        <v>30874</v>
      </c>
      <c r="M2876" t="s">
        <v>30875</v>
      </c>
      <c r="N2876">
        <f>-712.18657869855 -121.772106639922 -530.56643349529</f>
        <v>-1364.525118833762</v>
      </c>
      <c r="O2876">
        <f>-694.987703816874 -254.23131041423 -498.051082004568</f>
        <v>-1447.2700962356721</v>
      </c>
      <c r="P2876">
        <f>-678.145198675747 -277.876442012944 -205.222723444405</f>
        <v>-1161.244364133096</v>
      </c>
      <c r="Q2876">
        <f>-524.789550400438 -117.978193542799 -299.908753909986</f>
        <v>-942.67649785322294</v>
      </c>
      <c r="R2876" t="s">
        <v>30876</v>
      </c>
      <c r="S2876" t="s">
        <v>30877</v>
      </c>
      <c r="T2876" t="s">
        <v>30878</v>
      </c>
      <c r="U2876" t="s">
        <v>30879</v>
      </c>
      <c r="V2876">
        <f>-652.481538546194 -163.416884948494 -73.1392008950406</f>
        <v>-889.03762438972853</v>
      </c>
      <c r="W2876" t="s">
        <v>30880</v>
      </c>
      <c r="X2876" t="s">
        <v>30881</v>
      </c>
      <c r="Y2876" t="s">
        <v>30882</v>
      </c>
    </row>
    <row r="2877" spans="1:25" x14ac:dyDescent="0.3">
      <c r="A2877">
        <v>143800</v>
      </c>
      <c r="B2877" t="s">
        <v>30883</v>
      </c>
      <c r="C2877">
        <f>-675.263972926636 -67.4513313210538 -75.4609743894671</f>
        <v>-818.17627863715688</v>
      </c>
      <c r="D2877">
        <f>-706.462140959564 -78.5576353567037 -186.454381797031</f>
        <v>-971.4741581132987</v>
      </c>
      <c r="E2877">
        <f>-718.090679109898 -84.6762270245752 -284.198924038705</f>
        <v>-1086.9658301731781</v>
      </c>
      <c r="F2877">
        <f>-723.030659019592 -89.0921160910353 -373.04905183884</f>
        <v>-1185.1718269494672</v>
      </c>
      <c r="G2877">
        <f>-722.017753955455 -92.4131131495204 -462.078202321742</f>
        <v>-1276.5090694267174</v>
      </c>
      <c r="H2877">
        <f>-714.343974908449 -95.9879101049088 -586.372895022428</f>
        <v>-1396.7047800357859</v>
      </c>
      <c r="I2877">
        <f>-679.181088565322 -91.2960651455184 -661.516586278326</f>
        <v>-1431.9937399891664</v>
      </c>
      <c r="J2877">
        <f>-721.698171674665 -67.0121896349888 -532.710591137146</f>
        <v>-1321.4209524467997</v>
      </c>
      <c r="K2877" t="s">
        <v>30884</v>
      </c>
      <c r="L2877" t="s">
        <v>30885</v>
      </c>
      <c r="M2877" t="s">
        <v>30886</v>
      </c>
      <c r="N2877">
        <f>-713.743573132826 -121.817425314869 -530.643244115539</f>
        <v>-1366.2042425632339</v>
      </c>
      <c r="O2877">
        <f>-696.230765421085 -254.320698524666 -498.483192520431</f>
        <v>-1449.034656466182</v>
      </c>
      <c r="P2877">
        <f>-678.66875528419 -278.97959317051 -205.780829286759</f>
        <v>-1163.4291777414589</v>
      </c>
      <c r="Q2877">
        <f>-527.151923695233 -116.600155469025 -299.196159625117</f>
        <v>-942.94823878937495</v>
      </c>
      <c r="R2877" t="s">
        <v>30887</v>
      </c>
      <c r="S2877" t="s">
        <v>30888</v>
      </c>
      <c r="T2877" t="s">
        <v>30889</v>
      </c>
      <c r="U2877" t="s">
        <v>30890</v>
      </c>
      <c r="V2877">
        <f>-652.878228280154 -163.806126550037 -73.2667310568856</f>
        <v>-889.9510858870766</v>
      </c>
      <c r="W2877" t="s">
        <v>30891</v>
      </c>
      <c r="X2877" t="s">
        <v>30892</v>
      </c>
      <c r="Y2877" t="s">
        <v>30893</v>
      </c>
    </row>
    <row r="2878" spans="1:25" x14ac:dyDescent="0.3">
      <c r="A2878">
        <v>143850</v>
      </c>
      <c r="B2878" t="s">
        <v>30894</v>
      </c>
      <c r="C2878">
        <f>-675.492655184634 -67.4859763724563 -75.4906249672669</f>
        <v>-818.46925652435721</v>
      </c>
      <c r="D2878">
        <f>-706.812716183854 -78.6412363757039 -186.444856009275</f>
        <v>-971.89880856883292</v>
      </c>
      <c r="E2878">
        <f>-718.567980595232 -84.7430654529629 -284.175238296817</f>
        <v>-1087.4862843450119</v>
      </c>
      <c r="F2878">
        <f>-723.63030421587 -89.1203996692993 -373.020443958267</f>
        <v>-1185.7711478434362</v>
      </c>
      <c r="G2878">
        <f>-722.746590377142 -92.3786853904521 -462.053208884166</f>
        <v>-1277.1784846517601</v>
      </c>
      <c r="H2878">
        <f>-715.259976083693 -95.8404404649203 -586.362448359945</f>
        <v>-1397.4628649085585</v>
      </c>
      <c r="I2878">
        <f>-680.084194314174 -91.0620800599081 -661.494651413711</f>
        <v>-1432.6409257877931</v>
      </c>
      <c r="J2878">
        <f>-722.563164907457 -66.9179672790054 -532.664583493033</f>
        <v>-1322.1457156794954</v>
      </c>
      <c r="K2878" t="s">
        <v>30895</v>
      </c>
      <c r="L2878" t="s">
        <v>30896</v>
      </c>
      <c r="M2878" t="s">
        <v>30897</v>
      </c>
      <c r="N2878">
        <f>-714.545757114776 -121.716190650512 -530.655683520262</f>
        <v>-1366.91763128555</v>
      </c>
      <c r="O2878">
        <f>-696.873517883129 -254.247620534165 -498.674501461546</f>
        <v>-1449.7956398788401</v>
      </c>
      <c r="P2878">
        <f>-678.979772253901 -279.455655321137 -206.038989976985</f>
        <v>-1164.4744175520229</v>
      </c>
      <c r="Q2878">
        <f>-528.5166699783 -115.988250441064 -299.259810892836</f>
        <v>-943.76473131219996</v>
      </c>
      <c r="R2878" t="s">
        <v>30898</v>
      </c>
      <c r="S2878" t="s">
        <v>30899</v>
      </c>
      <c r="T2878" t="s">
        <v>30900</v>
      </c>
      <c r="U2878" t="s">
        <v>30901</v>
      </c>
      <c r="V2878">
        <f>-653.026456765526 -163.661639969597 -73.3036269780511</f>
        <v>-889.991723713174</v>
      </c>
      <c r="W2878" t="s">
        <v>30902</v>
      </c>
      <c r="X2878" t="s">
        <v>30903</v>
      </c>
      <c r="Y2878" t="s">
        <v>30904</v>
      </c>
    </row>
    <row r="2879" spans="1:25" x14ac:dyDescent="0.3">
      <c r="A2879">
        <v>143900</v>
      </c>
      <c r="B2879" t="s">
        <v>30905</v>
      </c>
      <c r="C2879">
        <f>-675.863707214893 -67.7369861700694 -75.526757670014</f>
        <v>-819.1274510549764</v>
      </c>
      <c r="D2879">
        <f>-707.406409956316 -79.0048757185104 -186.406436594455</f>
        <v>-972.81772226928138</v>
      </c>
      <c r="E2879">
        <f>-719.423574503824 -85.0452472624302 -284.10888568352</f>
        <v>-1088.5777074497742</v>
      </c>
      <c r="F2879">
        <f>-724.748205832622 -89.3027687676735 -372.944429483532</f>
        <v>-1186.9954040838275</v>
      </c>
      <c r="G2879">
        <f>-724.151081714426 -92.3753691911438 -461.986252799865</f>
        <v>-1278.5127037054349</v>
      </c>
      <c r="H2879">
        <f>-717.088367530686 -95.5077609802597 -586.329040421951</f>
        <v>-1398.9251689328967</v>
      </c>
      <c r="I2879">
        <f>-681.938927902717 -90.4746511464101 -661.457011881388</f>
        <v>-1433.8705909305149</v>
      </c>
      <c r="J2879">
        <f>-724.271369165747 -66.7370725905274 -532.533558320901</f>
        <v>-1323.5420000771755</v>
      </c>
      <c r="K2879" t="s">
        <v>30906</v>
      </c>
      <c r="L2879" t="s">
        <v>30907</v>
      </c>
      <c r="M2879" t="s">
        <v>30908</v>
      </c>
      <c r="N2879">
        <f>-716.1212374622 -121.521590546181 -530.690421035279</f>
        <v>-1368.3332490436601</v>
      </c>
      <c r="O2879">
        <f>-698.127595218164 -254.080146946494 -499.011575984136</f>
        <v>-1451.2193181487939</v>
      </c>
      <c r="P2879">
        <f>-679.702880206936 -279.510308735723 -206.428293246777</f>
        <v>-1165.6414821894359</v>
      </c>
      <c r="Q2879">
        <f>-529.64693830264 -115.682842973628 -299.673366872159</f>
        <v>-945.00314814842704</v>
      </c>
      <c r="R2879" t="s">
        <v>30909</v>
      </c>
      <c r="S2879" t="s">
        <v>30910</v>
      </c>
      <c r="T2879" t="s">
        <v>30911</v>
      </c>
      <c r="U2879" t="s">
        <v>30912</v>
      </c>
      <c r="V2879">
        <f>-653.215056934679 -163.871581377232 -73.3294213031973</f>
        <v>-890.41605961510822</v>
      </c>
      <c r="W2879" t="s">
        <v>30913</v>
      </c>
      <c r="X2879" t="s">
        <v>30914</v>
      </c>
      <c r="Y2879" t="s">
        <v>30915</v>
      </c>
    </row>
    <row r="2880" spans="1:25" x14ac:dyDescent="0.3">
      <c r="A2880">
        <v>143950</v>
      </c>
      <c r="B2880" t="s">
        <v>30916</v>
      </c>
      <c r="C2880">
        <f>-676.026524018138 -67.7860592315714 -75.5689872913706</f>
        <v>-819.38157054108001</v>
      </c>
      <c r="D2880">
        <f>-707.6695744643 -79.1111185925931 -186.414196336434</f>
        <v>-973.19488939332712</v>
      </c>
      <c r="E2880">
        <f>-719.815241737634 -85.1329688152252 -284.101855425986</f>
        <v>-1089.0500659788452</v>
      </c>
      <c r="F2880">
        <f>-725.271978738888 -89.3465423827416 -372.93165673155</f>
        <v>-1187.5501778531798</v>
      </c>
      <c r="G2880">
        <f>-724.821935449462 -92.347355525927 -461.976690947582</f>
        <v>-1279.145981922971</v>
      </c>
      <c r="H2880">
        <f>-717.97981724189 -95.3503509722792 -586.334966959687</f>
        <v>-1399.6651351738562</v>
      </c>
      <c r="I2880">
        <f>-682.852510656272 -90.192853145307 -661.464835077715</f>
        <v>-1434.510198879294</v>
      </c>
      <c r="J2880">
        <f>-725.091453289312 -66.6393696227423 -532.498001925273</f>
        <v>-1324.2288248373272</v>
      </c>
      <c r="K2880" t="s">
        <v>30917</v>
      </c>
      <c r="L2880" t="s">
        <v>30918</v>
      </c>
      <c r="M2880" t="s">
        <v>30919</v>
      </c>
      <c r="N2880">
        <f>-716.889906295464 -121.418457181486 -530.723993422769</f>
        <v>-1369.0323568997192</v>
      </c>
      <c r="O2880">
        <f>-698.739789942434 -253.98739905764 -499.179874461059</f>
        <v>-1451.907063461133</v>
      </c>
      <c r="P2880">
        <f>-679.881399112187 -279.717785275173 -206.650356406942</f>
        <v>-1166.249540794302</v>
      </c>
      <c r="Q2880">
        <f>-530.188491113588 -115.557221981038 -299.893075634326</f>
        <v>-945.63878872895202</v>
      </c>
      <c r="R2880" t="s">
        <v>30920</v>
      </c>
      <c r="S2880" t="s">
        <v>30921</v>
      </c>
      <c r="T2880" t="s">
        <v>30922</v>
      </c>
      <c r="U2880" t="s">
        <v>30923</v>
      </c>
      <c r="V2880">
        <f>-653.251649893608 -163.750205554886 -73.3964726262268</f>
        <v>-890.39832807472089</v>
      </c>
      <c r="W2880" t="s">
        <v>30924</v>
      </c>
      <c r="X2880" t="s">
        <v>30925</v>
      </c>
      <c r="Y2880" t="s">
        <v>30926</v>
      </c>
    </row>
    <row r="2881" spans="1:25" x14ac:dyDescent="0.3">
      <c r="A2881">
        <v>144000</v>
      </c>
      <c r="B2881" t="s">
        <v>30927</v>
      </c>
      <c r="C2881">
        <f>-676.613593105486 -68.1633100953053 -75.6301668979058</f>
        <v>-820.40707009869709</v>
      </c>
      <c r="D2881">
        <f>-708.399943734723 -79.5537508736948 -186.427719705162</f>
        <v>-974.38141431357974</v>
      </c>
      <c r="E2881">
        <f>-720.767959522806 -85.5434487009842 -284.089456217606</f>
        <v>-1090.4008644413962</v>
      </c>
      <c r="F2881">
        <f>-726.464813384601 -89.6905685055252 -372.907235737894</f>
        <v>-1189.0626176280202</v>
      </c>
      <c r="G2881">
        <f>-726.293288543506 -92.5851803106332 -461.956859829086</f>
        <v>-1280.8353286832253</v>
      </c>
      <c r="H2881">
        <f>-719.879195054434 -95.3966480537651 -586.34248700717</f>
        <v>-1401.6183301153692</v>
      </c>
      <c r="I2881">
        <f>-684.831847025722 -90.0189238427254 -661.494242010171</f>
        <v>-1436.3450128786185</v>
      </c>
      <c r="J2881">
        <f>-726.864658676703 -66.7776688897086 -532.43999641167</f>
        <v>-1326.0823239780816</v>
      </c>
      <c r="K2881" t="s">
        <v>30928</v>
      </c>
      <c r="L2881" t="s">
        <v>30929</v>
      </c>
      <c r="M2881" t="s">
        <v>30930</v>
      </c>
      <c r="N2881">
        <f>-718.538769917246 -121.541357472046 -530.772852090634</f>
        <v>-1370.852979479926</v>
      </c>
      <c r="O2881">
        <f>-700.049118818317 -254.118465674177 -499.4676549124</f>
        <v>-1453.635239404894</v>
      </c>
      <c r="P2881">
        <f>-680.625526713512 -280.209369056943 -207.006999241849</f>
        <v>-1167.8418950123039</v>
      </c>
      <c r="Q2881">
        <f>-531.209841776829 -115.533062342806 -299.783935117542</f>
        <v>-946.526839237177</v>
      </c>
      <c r="R2881" t="s">
        <v>30931</v>
      </c>
      <c r="S2881" t="s">
        <v>30932</v>
      </c>
      <c r="T2881" t="s">
        <v>30933</v>
      </c>
      <c r="U2881" t="s">
        <v>30934</v>
      </c>
      <c r="V2881">
        <f>-653.751759948041 -164.109973699472 -73.4239134258431</f>
        <v>-891.28564707335613</v>
      </c>
      <c r="W2881" t="s">
        <v>30935</v>
      </c>
      <c r="X2881" t="s">
        <v>30936</v>
      </c>
      <c r="Y2881" t="s">
        <v>30937</v>
      </c>
    </row>
    <row r="2882" spans="1:25" x14ac:dyDescent="0.3">
      <c r="A2882">
        <v>144050</v>
      </c>
      <c r="B2882" t="s">
        <v>30938</v>
      </c>
      <c r="C2882">
        <f>-676.988254767868 -68.4265954101031 -75.6666068856426</f>
        <v>-821.08145706361381</v>
      </c>
      <c r="D2882">
        <f>-708.839308621621 -79.8274899594813 -186.444538239932</f>
        <v>-975.11133682103423</v>
      </c>
      <c r="E2882">
        <f>-721.312613211877 -85.7934317061778 -284.094378595485</f>
        <v>-1091.2004235135398</v>
      </c>
      <c r="F2882">
        <f>-727.12449518421 -89.9045498755231 -372.906207461103</f>
        <v>-1189.935252520836</v>
      </c>
      <c r="G2882">
        <f>-727.087569737445 -92.7473602275086 -461.957768874519</f>
        <v>-1281.7926988394727</v>
      </c>
      <c r="H2882">
        <f>-720.881659099837 -95.4684261254814 -586.355922623048</f>
        <v>-1402.7060078483664</v>
      </c>
      <c r="I2882">
        <f>-685.900237552601 -90.0045343509129 -661.532158125836</f>
        <v>-1437.4369300293497</v>
      </c>
      <c r="J2882">
        <f>-727.809687375565 -66.8936505559046 -532.422592752336</f>
        <v>-1327.1259306838056</v>
      </c>
      <c r="K2882" t="s">
        <v>30939</v>
      </c>
      <c r="L2882" t="s">
        <v>30940</v>
      </c>
      <c r="M2882" t="s">
        <v>30941</v>
      </c>
      <c r="N2882">
        <f>-719.415434466353 -121.648466468597 -530.806193222271</f>
        <v>-1371.870094157221</v>
      </c>
      <c r="O2882">
        <f>-700.75832237278 -254.225849827797 -499.611550082424</f>
        <v>-1454.5957222830009</v>
      </c>
      <c r="P2882">
        <f>-681.056922692683 -280.472052425279 -207.183445993424</f>
        <v>-1168.712421111386</v>
      </c>
      <c r="Q2882">
        <f>-531.696258278776 -115.474656225181 -299.477084458234</f>
        <v>-946.64799896219097</v>
      </c>
      <c r="R2882" t="s">
        <v>30942</v>
      </c>
      <c r="S2882" t="s">
        <v>30943</v>
      </c>
      <c r="T2882" t="s">
        <v>30944</v>
      </c>
      <c r="U2882" t="s">
        <v>30945</v>
      </c>
      <c r="V2882">
        <f>-654.126915866595 -164.385679388844 -73.4836138979643</f>
        <v>-891.99620915340336</v>
      </c>
      <c r="W2882" t="s">
        <v>30946</v>
      </c>
      <c r="X2882" t="s">
        <v>30947</v>
      </c>
      <c r="Y2882" t="s">
        <v>30948</v>
      </c>
    </row>
    <row r="2883" spans="1:25" x14ac:dyDescent="0.3">
      <c r="A2883">
        <v>144100</v>
      </c>
      <c r="B2883" t="s">
        <v>30949</v>
      </c>
      <c r="C2883">
        <f>-677.693063506007 -68.7661479622706 -75.7341228062364</f>
        <v>-822.19333427451397</v>
      </c>
      <c r="D2883">
        <f>-709.621759248905 -80.1812409049821 -186.488223749272</f>
        <v>-976.29122390315922</v>
      </c>
      <c r="E2883">
        <f>-722.251862550117 -86.0958347265624 -284.121009663582</f>
        <v>-1092.4687069402614</v>
      </c>
      <c r="F2883">
        <f>-728.241768817069 -90.1322848494035 -372.924530933671</f>
        <v>-1191.2985846001434</v>
      </c>
      <c r="G2883">
        <f>-728.418638423816 -92.8697565028637 -461.979135143278</f>
        <v>-1283.2675300699575</v>
      </c>
      <c r="H2883">
        <f>-722.54846856669 -95.4096869347309 -586.397347772598</f>
        <v>-1404.3555032740187</v>
      </c>
      <c r="I2883">
        <f>-687.701409785931 -89.8332674363986 -661.627838690389</f>
        <v>-1439.1625159127186</v>
      </c>
      <c r="J2883">
        <f>-729.388019457127 -66.9223829525455 -532.406571552622</f>
        <v>-1328.7169739622946</v>
      </c>
      <c r="K2883" t="s">
        <v>30950</v>
      </c>
      <c r="L2883" t="s">
        <v>30951</v>
      </c>
      <c r="M2883" t="s">
        <v>30952</v>
      </c>
      <c r="N2883">
        <f>-720.875264037184 -121.661636463626 -530.887550387471</f>
        <v>-1373.4244508882812</v>
      </c>
      <c r="O2883">
        <f>-701.899786835404 -254.241933782034 -499.891508656679</f>
        <v>-1456.033229274117</v>
      </c>
      <c r="P2883">
        <f>-681.827688545133 -280.747546378168 -207.511933063158</f>
        <v>-1170.087167986459</v>
      </c>
      <c r="Q2883">
        <f>-532.518193950399 -115.238089768205 -298.967735903498</f>
        <v>-946.72401962210199</v>
      </c>
      <c r="R2883" t="s">
        <v>30953</v>
      </c>
      <c r="S2883" t="s">
        <v>30954</v>
      </c>
      <c r="T2883" t="s">
        <v>30955</v>
      </c>
      <c r="U2883" t="s">
        <v>30956</v>
      </c>
      <c r="V2883">
        <f>-654.755493477717 -164.599380708602 -73.5603479925228</f>
        <v>-892.91522217884176</v>
      </c>
      <c r="W2883" t="s">
        <v>30957</v>
      </c>
      <c r="X2883" t="s">
        <v>30958</v>
      </c>
      <c r="Y2883" t="s">
        <v>30959</v>
      </c>
    </row>
    <row r="2884" spans="1:25" x14ac:dyDescent="0.3">
      <c r="A2884">
        <v>144150</v>
      </c>
      <c r="B2884" t="s">
        <v>30960</v>
      </c>
      <c r="C2884">
        <f>-678.073760632717 -68.9771767326994 -75.7732159525336</f>
        <v>-822.82415331795005</v>
      </c>
      <c r="D2884">
        <f>-710.034059607976 -80.4057071294396 -186.5168431566</f>
        <v>-976.95660989401563</v>
      </c>
      <c r="E2884">
        <f>-722.728611840843 -86.2952333512794 -284.142735231041</f>
        <v>-1093.1665804231634</v>
      </c>
      <c r="F2884">
        <f>-728.791451831972 -90.2935432864189 -372.943050747067</f>
        <v>-1192.0280458654579</v>
      </c>
      <c r="G2884">
        <f>-729.055999722928 -92.9764731278366 -461.999099456172</f>
        <v>-1284.0315723069366</v>
      </c>
      <c r="H2884">
        <f>-723.323121854302 -95.4223921191722 -586.425561731747</f>
        <v>-1405.1710757052213</v>
      </c>
      <c r="I2884">
        <f>-688.52878673625 -89.8055279952738 -661.67743466754</f>
        <v>-1440.0117493990638</v>
      </c>
      <c r="J2884">
        <f>-730.122731579257 -66.9789110243248 -532.40664313169</f>
        <v>-1329.5082857352718</v>
      </c>
      <c r="K2884" t="s">
        <v>30961</v>
      </c>
      <c r="L2884" t="s">
        <v>30962</v>
      </c>
      <c r="M2884" t="s">
        <v>30963</v>
      </c>
      <c r="N2884">
        <f>-721.568991802608 -121.713194380579 -530.9365816837</f>
        <v>-1374.218767866887</v>
      </c>
      <c r="O2884">
        <f>-702.464810840268 -254.296546578625 -500.039775184404</f>
        <v>-1456.801132603297</v>
      </c>
      <c r="P2884">
        <f>-682.192472166819 -280.910112914091 -207.68386572043</f>
        <v>-1170.7864508013399</v>
      </c>
      <c r="Q2884">
        <f>-533.291387118493 -114.869974846634 -298.843040963049</f>
        <v>-947.00440292817609</v>
      </c>
      <c r="R2884" t="s">
        <v>30964</v>
      </c>
      <c r="S2884" t="s">
        <v>30965</v>
      </c>
      <c r="T2884" t="s">
        <v>30966</v>
      </c>
      <c r="U2884" t="s">
        <v>30967</v>
      </c>
      <c r="V2884">
        <f>-655.084626659732 -164.783210053336 -73.6234107928841</f>
        <v>-893.49124750595206</v>
      </c>
      <c r="W2884" t="s">
        <v>30968</v>
      </c>
      <c r="X2884" t="s">
        <v>30969</v>
      </c>
      <c r="Y2884" t="s">
        <v>30970</v>
      </c>
    </row>
    <row r="2885" spans="1:25" x14ac:dyDescent="0.3">
      <c r="A2885">
        <v>144200</v>
      </c>
      <c r="B2885" t="s">
        <v>30971</v>
      </c>
      <c r="C2885">
        <f>-678.81944611323 -69.271266213854 -75.8260571061251</f>
        <v>-823.91676943320908</v>
      </c>
      <c r="D2885">
        <f>-710.878606267821 -80.7365894364518 -186.537291085403</f>
        <v>-978.15248678967589</v>
      </c>
      <c r="E2885">
        <f>-723.708831821673 -86.5810142022505 -284.148180575917</f>
        <v>-1094.4380265998404</v>
      </c>
      <c r="F2885">
        <f>-729.914455643387 -90.5049896528429 -372.941900467257</f>
        <v>-1193.361345763487</v>
      </c>
      <c r="G2885">
        <f>-730.341319205491 -93.0777293078941 -462.000587783319</f>
        <v>-1285.4196362967041</v>
      </c>
      <c r="H2885">
        <f>-724.855256086839 -95.330241173781 -586.441963132839</f>
        <v>-1406.6274603934589</v>
      </c>
      <c r="I2885">
        <f>-690.119881216455 -89.6249161624255 -661.714217449278</f>
        <v>-1441.4590148281586</v>
      </c>
      <c r="J2885">
        <f>-731.60518282923 -66.979916591617 -532.367891445254</f>
        <v>-1330.9529908661011</v>
      </c>
      <c r="K2885" t="s">
        <v>30972</v>
      </c>
      <c r="L2885" t="s">
        <v>30973</v>
      </c>
      <c r="M2885" t="s">
        <v>30974</v>
      </c>
      <c r="N2885">
        <f>-722.93372001642 -121.698131058801 -530.995071308721</f>
        <v>-1375.626922383942</v>
      </c>
      <c r="O2885">
        <f>-703.502421957709 -254.277610627291 -500.294894087077</f>
        <v>-1458.074926672077</v>
      </c>
      <c r="P2885">
        <f>-683.089511840141 -281.050673430737 -207.963339478455</f>
        <v>-1172.103524749333</v>
      </c>
      <c r="Q2885">
        <f>-534.648097544528 -114.364026539033 -298.691546807256</f>
        <v>-947.70367089081697</v>
      </c>
      <c r="R2885" t="s">
        <v>30975</v>
      </c>
      <c r="S2885" t="s">
        <v>30976</v>
      </c>
      <c r="T2885" t="s">
        <v>30977</v>
      </c>
      <c r="U2885" t="s">
        <v>30978</v>
      </c>
      <c r="V2885">
        <f>-655.82517635813 -164.938921725882 -73.6551900076272</f>
        <v>-894.41928809163915</v>
      </c>
      <c r="W2885" t="s">
        <v>30979</v>
      </c>
      <c r="X2885" t="s">
        <v>30980</v>
      </c>
      <c r="Y2885" t="s">
        <v>30981</v>
      </c>
    </row>
    <row r="2886" spans="1:25" x14ac:dyDescent="0.3">
      <c r="A2886">
        <v>144250</v>
      </c>
      <c r="B2886" t="s">
        <v>30982</v>
      </c>
      <c r="C2886">
        <f>-679.13785618731 -69.4499918260547 -75.8626782462929</f>
        <v>-824.45052625965764</v>
      </c>
      <c r="D2886">
        <f>-711.248423756786 -80.9460835041979 -186.555786699359</f>
        <v>-978.7502939603429</v>
      </c>
      <c r="E2886">
        <f>-724.143912738321 -86.7810294806121 -284.158640245274</f>
        <v>-1095.0835824642072</v>
      </c>
      <c r="F2886">
        <f>-730.416333345242 -90.6817470208874 -372.948761150859</f>
        <v>-1194.0468415169885</v>
      </c>
      <c r="G2886">
        <f>-730.917715911599 -93.2156201373236 -462.008114848155</f>
        <v>-1286.1414508970777</v>
      </c>
      <c r="H2886">
        <f>-725.543481898656 -95.3973163243568 -586.455497516114</f>
        <v>-1407.3962957391268</v>
      </c>
      <c r="I2886">
        <f>-690.813934887779 -89.6499241238005 -661.727475515196</f>
        <v>-1442.1913345267756</v>
      </c>
      <c r="J2886">
        <f>-732.267389010492 -67.0813863873213 -532.360235848079</f>
        <v>-1331.7090112458923</v>
      </c>
      <c r="K2886" t="s">
        <v>30983</v>
      </c>
      <c r="L2886" t="s">
        <v>30984</v>
      </c>
      <c r="M2886" t="s">
        <v>30985</v>
      </c>
      <c r="N2886">
        <f>-723.549439509074 -121.793217566725 -531.024628437944</f>
        <v>-1376.3672855137429</v>
      </c>
      <c r="O2886">
        <f>-703.98255119089 -254.373218783576 -500.414947515146</f>
        <v>-1458.770717489612</v>
      </c>
      <c r="P2886">
        <f>-683.259267745121 -281.444030369794 -208.13254298751</f>
        <v>-1172.8358411024251</v>
      </c>
      <c r="Q2886">
        <f>-535.393934707415 -114.160485532133 -298.702587937536</f>
        <v>-948.257008177084</v>
      </c>
      <c r="R2886" t="s">
        <v>30986</v>
      </c>
      <c r="S2886" t="s">
        <v>30987</v>
      </c>
      <c r="T2886" t="s">
        <v>30988</v>
      </c>
      <c r="U2886" t="s">
        <v>30989</v>
      </c>
      <c r="V2886">
        <f>-656.072809372751 -165.061148201121 -73.7190001437299</f>
        <v>-894.85295771760184</v>
      </c>
      <c r="W2886" t="s">
        <v>30990</v>
      </c>
      <c r="X2886" t="s">
        <v>30991</v>
      </c>
      <c r="Y2886" t="s">
        <v>30992</v>
      </c>
    </row>
    <row r="2887" spans="1:25" x14ac:dyDescent="0.3">
      <c r="A2887">
        <v>144300</v>
      </c>
      <c r="B2887" t="s">
        <v>30993</v>
      </c>
      <c r="C2887">
        <f>-679.883462170018 -69.8848263483479 -75.934567613892</f>
        <v>-825.70285613225792</v>
      </c>
      <c r="D2887">
        <f>-712.078530019129 -81.4701512358682 -186.593771375157</f>
        <v>-980.14245263015414</v>
      </c>
      <c r="E2887">
        <f>-725.11992853868 -87.3000100026744 -284.177722017934</f>
        <v>-1096.5976605592884</v>
      </c>
      <c r="F2887">
        <f>-731.552770385908 -91.1628027093876 -372.957909446682</f>
        <v>-1195.6734825419776</v>
      </c>
      <c r="G2887">
        <f>-732.242491533754 -93.6242422712753 -462.018070723212</f>
        <v>-1287.8848045282414</v>
      </c>
      <c r="H2887">
        <f>-727.159808454542 -95.6675631128487 -586.480025629064</f>
        <v>-1409.3073971964548</v>
      </c>
      <c r="I2887">
        <f>-692.445582489253 -89.8260236532049 -661.751811716667</f>
        <v>-1444.0234178591249</v>
      </c>
      <c r="J2887">
        <f>-733.800571017969 -67.4187892605479 -532.339356606738</f>
        <v>-1333.5587168852549</v>
      </c>
      <c r="K2887" t="s">
        <v>30994</v>
      </c>
      <c r="L2887" t="s">
        <v>30995</v>
      </c>
      <c r="M2887" t="s">
        <v>30996</v>
      </c>
      <c r="N2887">
        <f>-724.992213493521 -122.118014626285 -531.081624338622</f>
        <v>-1378.191852458428</v>
      </c>
      <c r="O2887">
        <f>-705.199900452114 -254.71220125091 -500.670443168901</f>
        <v>-1460.5825448719249</v>
      </c>
      <c r="P2887">
        <f>-684.184918105008 -282.010867982485 -208.430178492933</f>
        <v>-1174.6259645804262</v>
      </c>
      <c r="Q2887">
        <f>-536.650016862481 -114.37554121331 -298.888401697485</f>
        <v>-949.91395977327602</v>
      </c>
      <c r="R2887" t="s">
        <v>30997</v>
      </c>
      <c r="S2887" t="s">
        <v>30998</v>
      </c>
      <c r="T2887" t="s">
        <v>30999</v>
      </c>
      <c r="U2887" t="s">
        <v>31000</v>
      </c>
      <c r="V2887">
        <f>-656.733033831494 -165.580728976516 -73.7805023531928</f>
        <v>-896.09426516120288</v>
      </c>
      <c r="W2887" t="s">
        <v>31001</v>
      </c>
      <c r="X2887" t="s">
        <v>31002</v>
      </c>
      <c r="Y2887" t="s">
        <v>31003</v>
      </c>
    </row>
    <row r="2888" spans="1:25" x14ac:dyDescent="0.3">
      <c r="A2888">
        <v>144350</v>
      </c>
      <c r="B2888" t="s">
        <v>31004</v>
      </c>
      <c r="C2888">
        <f>-680.135696462632 -69.9495084552581 -75.9765906065072</f>
        <v>-826.06179552439733</v>
      </c>
      <c r="D2888">
        <f>-712.399254740885 -81.5752080190972 -186.611644710381</f>
        <v>-980.58610747036323</v>
      </c>
      <c r="E2888">
        <f>-725.53233045154 -87.4117665397278 -284.182698238617</f>
        <v>-1097.1267952298847</v>
      </c>
      <c r="F2888">
        <f>-732.060984498842 -91.2692478922969 -372.95624634096</f>
        <v>-1196.2864787320989</v>
      </c>
      <c r="G2888">
        <f>-732.859022332325 -93.7135129756342 -462.01597437867</f>
        <v>-1288.5885096866293</v>
      </c>
      <c r="H2888">
        <f>-727.940251377684 -95.7203129333013 -586.485189278595</f>
        <v>-1410.1457535895804</v>
      </c>
      <c r="I2888">
        <f>-693.244210941564 -89.8459676905084 -661.762638932442</f>
        <v>-1444.8528175645142</v>
      </c>
      <c r="J2888">
        <f>-734.522826140687 -67.4896110901846 -532.327907311976</f>
        <v>-1334.3403445428476</v>
      </c>
      <c r="K2888" t="s">
        <v>31005</v>
      </c>
      <c r="L2888" t="s">
        <v>31006</v>
      </c>
      <c r="M2888" t="s">
        <v>31007</v>
      </c>
      <c r="N2888">
        <f>-725.686725924873 -122.184894046697 -531.096898728572</f>
        <v>-1378.9685187001419</v>
      </c>
      <c r="O2888">
        <f>-705.803549843767 -254.784827830035 -500.752408621728</f>
        <v>-1461.3407862955301</v>
      </c>
      <c r="P2888">
        <f>-684.615264186409 -282.195753162008 -208.535130279508</f>
        <v>-1175.3461476279249</v>
      </c>
      <c r="Q2888">
        <f>-537.328860679776 -114.271687015536 -298.862940180972</f>
        <v>-950.46348787628403</v>
      </c>
      <c r="R2888" t="s">
        <v>31008</v>
      </c>
      <c r="S2888" t="s">
        <v>31009</v>
      </c>
      <c r="T2888" t="s">
        <v>31010</v>
      </c>
      <c r="U2888" t="s">
        <v>31011</v>
      </c>
      <c r="V2888">
        <f>-656.885085345184 -165.556668951635 -73.822938581964</f>
        <v>-896.26469287878297</v>
      </c>
      <c r="W2888" t="s">
        <v>31012</v>
      </c>
      <c r="X2888" t="s">
        <v>31013</v>
      </c>
      <c r="Y2888" t="s">
        <v>31014</v>
      </c>
    </row>
    <row r="2889" spans="1:25" x14ac:dyDescent="0.3">
      <c r="A2889">
        <v>144400</v>
      </c>
      <c r="B2889" t="s">
        <v>31015</v>
      </c>
      <c r="C2889">
        <f>-680.591422775923 -70.1003948649205 -76.0059775736333</f>
        <v>-826.69779521447686</v>
      </c>
      <c r="D2889">
        <f>-712.956336770863 -81.8299913466278 -186.600498617565</f>
        <v>-981.38682673505582</v>
      </c>
      <c r="E2889">
        <f>-726.211895179485 -87.6716628504453 -284.154807180387</f>
        <v>-1098.0383652103174</v>
      </c>
      <c r="F2889">
        <f>-732.864308105437 -91.4994654709855 -372.920479023446</f>
        <v>-1197.2842525998685</v>
      </c>
      <c r="G2889">
        <f>-733.798231634902 -93.8792253902011 -461.98057684505</f>
        <v>-1289.6580338701531</v>
      </c>
      <c r="H2889">
        <f>-729.081399960314 -95.7589728509514 -586.459643588659</f>
        <v>-1411.3000163999245</v>
      </c>
      <c r="I2889">
        <f>-694.402995347093 -89.8136472791072 -661.739553782366</f>
        <v>-1445.956196408566</v>
      </c>
      <c r="J2889">
        <f>-735.596472155233 -67.5868776405715 -532.263702916384</f>
        <v>-1335.4470527121885</v>
      </c>
      <c r="K2889" t="s">
        <v>31016</v>
      </c>
      <c r="L2889" t="s">
        <v>31017</v>
      </c>
      <c r="M2889" t="s">
        <v>31018</v>
      </c>
      <c r="N2889">
        <f>-726.717616002891 -122.2767412922 -531.101398084867</f>
        <v>-1380.0957553799581</v>
      </c>
      <c r="O2889">
        <f>-706.728328249652 -254.894963423017 -500.886260280052</f>
        <v>-1462.509551952721</v>
      </c>
      <c r="P2889">
        <f>-685.378549275266 -282.500603946645 -208.699072784151</f>
        <v>-1176.5782260060621</v>
      </c>
      <c r="Q2889">
        <f>-538.145334129575 -114.413608286174 -298.810297346929</f>
        <v>-951.36923976267803</v>
      </c>
      <c r="R2889" t="s">
        <v>31019</v>
      </c>
      <c r="S2889" t="s">
        <v>31020</v>
      </c>
      <c r="T2889" t="s">
        <v>31021</v>
      </c>
      <c r="U2889" t="s">
        <v>31022</v>
      </c>
      <c r="V2889">
        <f>-657.275203904102 -165.622366260528 -73.8082528711451</f>
        <v>-896.7058230357751</v>
      </c>
      <c r="W2889" t="s">
        <v>31023</v>
      </c>
      <c r="X2889" t="s">
        <v>31024</v>
      </c>
      <c r="Y2889" t="s">
        <v>31025</v>
      </c>
    </row>
    <row r="2890" spans="1:25" x14ac:dyDescent="0.3">
      <c r="A2890">
        <v>144450</v>
      </c>
      <c r="B2890" t="s">
        <v>31026</v>
      </c>
      <c r="C2890">
        <f>-680.7660853001 -70.2991611823483 -76.0360138862987</f>
        <v>-827.10126036874703</v>
      </c>
      <c r="D2890">
        <f>-713.172369339554 -82.0638017810884 -186.614732835995</f>
        <v>-981.85090395663747</v>
      </c>
      <c r="E2890">
        <f>-726.474042869757 -87.9145146653908 -284.162077693401</f>
        <v>-1098.5506352285488</v>
      </c>
      <c r="F2890">
        <f>-733.172139205933 -91.7417463337806 -372.924334465655</f>
        <v>-1197.8382200053686</v>
      </c>
      <c r="G2890">
        <f>-734.155403437476 -94.1118473532257 -461.984165807442</f>
        <v>-1290.2514165981438</v>
      </c>
      <c r="H2890">
        <f>-729.511221444056 -95.9685771902435 -586.466265329574</f>
        <v>-1411.9460639638735</v>
      </c>
      <c r="I2890">
        <f>-694.846820571273 -90.0026596635854 -661.75119832045</f>
        <v>-1446.6006785553086</v>
      </c>
      <c r="J2890">
        <f>-735.996315300713 -67.8067694715837 -532.261346541674</f>
        <v>-1336.0644313139708</v>
      </c>
      <c r="K2890" t="s">
        <v>31027</v>
      </c>
      <c r="L2890" t="s">
        <v>31028</v>
      </c>
      <c r="M2890" t="s">
        <v>31029</v>
      </c>
      <c r="N2890">
        <f>-727.113459732977 -122.496297281235 -531.114340122</f>
        <v>-1380.7240971362121</v>
      </c>
      <c r="O2890">
        <f>-707.085290668561 -255.105101096118 -500.935490297621</f>
        <v>-1463.1258820623</v>
      </c>
      <c r="P2890">
        <f>-685.742496177129 -282.768627841042 -208.753365579889</f>
        <v>-1177.2644895980602</v>
      </c>
      <c r="Q2890">
        <f>-538.291497903122 -114.905981220069 -298.926591937825</f>
        <v>-952.12407106101591</v>
      </c>
      <c r="R2890" t="s">
        <v>31030</v>
      </c>
      <c r="S2890" t="s">
        <v>31031</v>
      </c>
      <c r="T2890" t="s">
        <v>31032</v>
      </c>
      <c r="U2890" t="s">
        <v>31033</v>
      </c>
      <c r="V2890">
        <f>-657.433926499839 -165.868534328476 -73.8221719758969</f>
        <v>-897.12463280421196</v>
      </c>
      <c r="W2890" t="s">
        <v>31034</v>
      </c>
      <c r="X2890" t="s">
        <v>31035</v>
      </c>
      <c r="Y2890" t="s">
        <v>31036</v>
      </c>
    </row>
    <row r="2891" spans="1:25" x14ac:dyDescent="0.3">
      <c r="A2891">
        <v>144500</v>
      </c>
      <c r="B2891" t="s">
        <v>31037</v>
      </c>
      <c r="C2891">
        <f>-680.962120146872 -70.497967933671 -76.1225442829067</f>
        <v>-827.58263236344976</v>
      </c>
      <c r="D2891">
        <f>-713.429660050714 -82.3553545964411 -186.673277701024</f>
        <v>-982.45829234817916</v>
      </c>
      <c r="E2891">
        <f>-726.837901573218 -88.2721309340351 -284.202090488682</f>
        <v>-1099.3121229959352</v>
      </c>
      <c r="F2891">
        <f>-733.653349495822 -92.1543533177463 -372.953039565181</f>
        <v>-1198.7607423787492</v>
      </c>
      <c r="G2891">
        <f>-734.774694224268 -94.5752972830526 -462.009859372494</f>
        <v>-1291.3598508798145</v>
      </c>
      <c r="H2891">
        <f>-730.344559191326 -96.4987391838879 -586.498856706215</f>
        <v>-1413.3421550814287</v>
      </c>
      <c r="I2891">
        <f>-695.710651000271 -90.5583631713648 -661.799816950502</f>
        <v>-1448.0688311221379</v>
      </c>
      <c r="J2891">
        <f>-736.731900225166 -68.3070980016161 -532.297837582691</f>
        <v>-1337.3368358094731</v>
      </c>
      <c r="K2891" t="s">
        <v>31038</v>
      </c>
      <c r="L2891" t="s">
        <v>31039</v>
      </c>
      <c r="M2891" t="s">
        <v>31040</v>
      </c>
      <c r="N2891">
        <f>-727.856216940482 -122.997546756757 -531.13687377355</f>
        <v>-1381.9906374707889</v>
      </c>
      <c r="O2891">
        <f>-707.750839775455 -255.60130612936 -500.969764162212</f>
        <v>-1464.3219100670269</v>
      </c>
      <c r="P2891">
        <f>-686.218546639332 -283.224162817941 -208.797697465993</f>
        <v>-1178.2404069232659</v>
      </c>
      <c r="Q2891">
        <f>-538.63140663223 -115.368821803208 -298.761563398352</f>
        <v>-952.76179183378997</v>
      </c>
      <c r="R2891" t="s">
        <v>31041</v>
      </c>
      <c r="S2891" t="s">
        <v>31042</v>
      </c>
      <c r="T2891" t="s">
        <v>31043</v>
      </c>
      <c r="U2891" t="s">
        <v>31044</v>
      </c>
      <c r="V2891">
        <f>-657.515484506725 -165.880700964283 -73.8883018396073</f>
        <v>-897.2844873106153</v>
      </c>
      <c r="W2891" t="s">
        <v>31045</v>
      </c>
      <c r="X2891" t="s">
        <v>31046</v>
      </c>
      <c r="Y2891" t="s">
        <v>31047</v>
      </c>
    </row>
    <row r="2892" spans="1:25" x14ac:dyDescent="0.3">
      <c r="A2892">
        <v>144550</v>
      </c>
      <c r="B2892" t="s">
        <v>31048</v>
      </c>
      <c r="C2892">
        <f>-680.995580172245 -70.6055859548077 -76.1214969893174</f>
        <v>-827.72266311637009</v>
      </c>
      <c r="D2892">
        <f>-713.512465631837 -82.4746645406952 -186.656475345337</f>
        <v>-982.64360551786922</v>
      </c>
      <c r="E2892">
        <f>-726.984967314739 -88.4159373022931 -284.174991661191</f>
        <v>-1099.5758962782231</v>
      </c>
      <c r="F2892">
        <f>-733.86767035647 -92.3253228638575 -372.919506491499</f>
        <v>-1199.1124997118266</v>
      </c>
      <c r="G2892">
        <f>-735.065497361389 -94.7778335521131 -461.974593741287</f>
        <v>-1291.8179246547891</v>
      </c>
      <c r="H2892">
        <f>-730.751736581443 -96.749442050446 -586.46677931708</f>
        <v>-1413.9679579489689</v>
      </c>
      <c r="I2892">
        <f>-696.144020590776 -90.8448555108901 -661.782567278535</f>
        <v>-1448.7714433802012</v>
      </c>
      <c r="J2892">
        <f>-737.095745764917 -68.5380374231447 -532.270933495292</f>
        <v>-1337.9047166833536</v>
      </c>
      <c r="K2892" t="s">
        <v>31049</v>
      </c>
      <c r="L2892" t="s">
        <v>31050</v>
      </c>
      <c r="M2892" t="s">
        <v>31051</v>
      </c>
      <c r="N2892">
        <f>-728.204219640392 -123.225581120835 -531.09678772216</f>
        <v>-1382.5265884833871</v>
      </c>
      <c r="O2892">
        <f>-708.029671124105 -255.815831219818 -500.911776304664</f>
        <v>-1464.7572786485871</v>
      </c>
      <c r="P2892">
        <f>-686.371608398154 -283.352391696769 -208.740712838587</f>
        <v>-1178.4647129335099</v>
      </c>
      <c r="Q2892">
        <f>-538.542972435614 -115.691145955371 -298.669914060492</f>
        <v>-952.90403245147695</v>
      </c>
      <c r="R2892" t="s">
        <v>31052</v>
      </c>
      <c r="S2892" t="s">
        <v>31053</v>
      </c>
      <c r="T2892" t="s">
        <v>31054</v>
      </c>
      <c r="U2892" t="s">
        <v>31055</v>
      </c>
      <c r="V2892">
        <f>-657.5446585046 -165.921934012063 -73.8837711243272</f>
        <v>-897.35036364099017</v>
      </c>
      <c r="W2892" t="s">
        <v>31056</v>
      </c>
      <c r="X2892" t="s">
        <v>31057</v>
      </c>
      <c r="Y2892" t="s">
        <v>31058</v>
      </c>
    </row>
    <row r="2893" spans="1:25" x14ac:dyDescent="0.3">
      <c r="A2893">
        <v>144600</v>
      </c>
      <c r="B2893" t="s">
        <v>31059</v>
      </c>
      <c r="C2893">
        <f>-681.203453247544 -70.8981060322857 -76.101471994641</f>
        <v>-828.20303127447062</v>
      </c>
      <c r="D2893">
        <f>-713.775285435976 -82.8043116357014 -186.616396479867</f>
        <v>-983.19599355154446</v>
      </c>
      <c r="E2893">
        <f>-727.346820472736 -88.7916222518061 -284.118232504416</f>
        <v>-1100.2566752289581</v>
      </c>
      <c r="F2893">
        <f>-734.340483202529 -92.7464869865017 -372.852139547802</f>
        <v>-1199.9391097368327</v>
      </c>
      <c r="G2893">
        <f>-735.671124339589 -95.2468736170378 -461.903738627111</f>
        <v>-1292.8217365837377</v>
      </c>
      <c r="H2893">
        <f>-731.565423553492 -97.2865680712781 -586.402020224942</f>
        <v>-1415.2540118497122</v>
      </c>
      <c r="I2893">
        <f>-697.012380313108 -91.4534182639098 -661.74836458115</f>
        <v>-1450.2141631581678</v>
      </c>
      <c r="J2893">
        <f>-737.846287670814 -69.0501048369006 -532.211924932049</f>
        <v>-1339.1083174397636</v>
      </c>
      <c r="K2893" t="s">
        <v>31060</v>
      </c>
      <c r="L2893" t="s">
        <v>31061</v>
      </c>
      <c r="M2893" t="s">
        <v>31062</v>
      </c>
      <c r="N2893">
        <f>-728.897987644726 -123.727971133716 -531.021183328042</f>
        <v>-1383.6471421064839</v>
      </c>
      <c r="O2893">
        <f>-708.528587215844 -256.270220835785 -500.783672641447</f>
        <v>-1465.5824806930761</v>
      </c>
      <c r="P2893">
        <f>-686.412086906318 -283.571320732332 -208.625090465577</f>
        <v>-1178.608498104227</v>
      </c>
      <c r="Q2893">
        <f>-538.421477834811 -115.951518297799 -298.364793845359</f>
        <v>-952.73778997796899</v>
      </c>
      <c r="R2893" t="s">
        <v>31063</v>
      </c>
      <c r="S2893" t="s">
        <v>31064</v>
      </c>
      <c r="T2893" t="s">
        <v>31065</v>
      </c>
      <c r="U2893" t="s">
        <v>31066</v>
      </c>
      <c r="V2893">
        <f>-657.827697892642 -166.251472886709 -73.8349244218693</f>
        <v>-897.91409520122033</v>
      </c>
      <c r="W2893" t="s">
        <v>31067</v>
      </c>
      <c r="X2893" t="s">
        <v>31068</v>
      </c>
      <c r="Y2893" t="s">
        <v>31069</v>
      </c>
    </row>
    <row r="2894" spans="1:25" x14ac:dyDescent="0.3">
      <c r="A2894">
        <v>144650</v>
      </c>
      <c r="B2894" t="s">
        <v>31070</v>
      </c>
      <c r="C2894">
        <f>-681.260265176653 -70.9192827777792 -76.0896230152206</f>
        <v>-828.26917096965281</v>
      </c>
      <c r="D2894">
        <f>-713.839504447949 -82.8544674497804 -186.59924380444</f>
        <v>-983.29321570216939</v>
      </c>
      <c r="E2894">
        <f>-727.422728949227 -88.8569440960897 -284.098468416461</f>
        <v>-1100.3781414617777</v>
      </c>
      <c r="F2894">
        <f>-734.429281091008 -92.8208121490377 -372.830850012852</f>
        <v>-1200.0809432528977</v>
      </c>
      <c r="G2894">
        <f>-735.7750081317 -95.3244563193043 -461.882331154185</f>
        <v>-1292.9817956051893</v>
      </c>
      <c r="H2894">
        <f>-731.693172688856 -97.3620131512353 -586.381297195736</f>
        <v>-1415.4364830358272</v>
      </c>
      <c r="I2894">
        <f>-697.151453457407 -91.538086947856 -661.733740658206</f>
        <v>-1450.4232810634689</v>
      </c>
      <c r="J2894">
        <f>-737.99035982113 -69.1308429583003 -532.190380140246</f>
        <v>-1339.3115829196763</v>
      </c>
      <c r="K2894" t="s">
        <v>31071</v>
      </c>
      <c r="L2894" t="s">
        <v>31072</v>
      </c>
      <c r="M2894" t="s">
        <v>31073</v>
      </c>
      <c r="N2894">
        <f>-728.988414539024 -123.799963831214 -531.000626899162</f>
        <v>-1383.7890052693999</v>
      </c>
      <c r="O2894">
        <f>-708.45080168224 -256.325235543521 -500.749981637802</f>
        <v>-1465.526018863563</v>
      </c>
      <c r="P2894">
        <f>-686.200707765089 -283.659199806728 -208.604551030175</f>
        <v>-1178.464458601992</v>
      </c>
      <c r="Q2894">
        <f>-538.4901043666 -115.763328653473 -298.289649315137</f>
        <v>-952.54308233520999</v>
      </c>
      <c r="R2894" t="s">
        <v>31074</v>
      </c>
      <c r="S2894" t="s">
        <v>31075</v>
      </c>
      <c r="T2894" t="s">
        <v>31076</v>
      </c>
      <c r="U2894" t="s">
        <v>31077</v>
      </c>
      <c r="V2894">
        <f>-657.798799695567 -166.163298203207 -73.8208591917476</f>
        <v>-897.78295709052156</v>
      </c>
      <c r="W2894" t="s">
        <v>31078</v>
      </c>
      <c r="X2894" t="s">
        <v>31079</v>
      </c>
      <c r="Y2894" t="s">
        <v>31080</v>
      </c>
    </row>
    <row r="2895" spans="1:25" x14ac:dyDescent="0.3">
      <c r="A2895">
        <v>144700</v>
      </c>
      <c r="B2895" t="s">
        <v>31081</v>
      </c>
      <c r="C2895">
        <f>-681.472036941506 -71.1000104926851 -76.0829428309562</f>
        <v>-828.65499026514726</v>
      </c>
      <c r="D2895">
        <f>-714.046945169846 -83.0871315019961 -186.588148185642</f>
        <v>-983.72222485748409</v>
      </c>
      <c r="E2895">
        <f>-727.600172254059 -89.108810006432 -284.090518026394</f>
        <v>-1100.7995002868849</v>
      </c>
      <c r="F2895">
        <f>-734.56865106018 -93.0793802716914 -372.825654738805</f>
        <v>-1200.4736860706764</v>
      </c>
      <c r="G2895">
        <f>-735.865731965655 -95.5773549276884 -461.877874471643</f>
        <v>-1293.3209613649863</v>
      </c>
      <c r="H2895">
        <f>-731.704971317418 -97.5932483780274 -586.374751235525</f>
        <v>-1415.6729709309702</v>
      </c>
      <c r="I2895">
        <f>-697.14742348287 -91.7282533551007 -661.716532253266</f>
        <v>-1450.5922090912368</v>
      </c>
      <c r="J2895">
        <f>-738.104301073872 -69.3827332623864 -532.184892436141</f>
        <v>-1339.6719267723993</v>
      </c>
      <c r="K2895" t="s">
        <v>31082</v>
      </c>
      <c r="L2895" t="s">
        <v>31083</v>
      </c>
      <c r="M2895" t="s">
        <v>31084</v>
      </c>
      <c r="N2895">
        <f>-728.967464819516 -124.029567663986 -530.994776348723</f>
        <v>-1383.9918088322249</v>
      </c>
      <c r="O2895">
        <f>-708.110933874783 -256.497390645849 -500.753500616266</f>
        <v>-1465.361825136898</v>
      </c>
      <c r="P2895">
        <f>-685.70630934201 -283.848861182871 -208.621472824685</f>
        <v>-1178.1766433495659</v>
      </c>
      <c r="Q2895">
        <f>-538.547458478517 -115.462219384911 -298.29340760701</f>
        <v>-952.30308547043796</v>
      </c>
      <c r="R2895" t="s">
        <v>31085</v>
      </c>
      <c r="S2895" t="s">
        <v>31086</v>
      </c>
      <c r="T2895" t="s">
        <v>31087</v>
      </c>
      <c r="U2895" t="s">
        <v>31088</v>
      </c>
      <c r="V2895">
        <f>-657.92048532657 -166.301905768977 -73.7940410355357</f>
        <v>-898.01643213108264</v>
      </c>
      <c r="W2895" t="s">
        <v>31089</v>
      </c>
      <c r="X2895" t="s">
        <v>31090</v>
      </c>
      <c r="Y2895" t="s">
        <v>31091</v>
      </c>
    </row>
    <row r="2896" spans="1:25" x14ac:dyDescent="0.3">
      <c r="A2896">
        <v>144750</v>
      </c>
      <c r="B2896" t="s">
        <v>31092</v>
      </c>
      <c r="C2896">
        <f>-681.543055265183 -71.1147496495759 -76.0952519230002</f>
        <v>-828.75305683775912</v>
      </c>
      <c r="D2896">
        <f>-714.105595694916 -83.1501802513234 -186.598854827348</f>
        <v>-983.85463077358736</v>
      </c>
      <c r="E2896">
        <f>-727.62880434459 -89.1971546013839 -284.103855320071</f>
        <v>-1100.9298142660448</v>
      </c>
      <c r="F2896">
        <f>-734.56206531169 -93.1847307604904 -372.840784928967</f>
        <v>-1200.5875810011476</v>
      </c>
      <c r="G2896">
        <f>-735.815700094936 -95.6934821158394 -461.893526607069</f>
        <v>-1293.4027088178445</v>
      </c>
      <c r="H2896">
        <f>-731.585566274458 -97.7181129028469 -586.387726897565</f>
        <v>-1415.69140607487</v>
      </c>
      <c r="I2896">
        <f>-696.993224996938 -91.8208829629485 -661.711228537555</f>
        <v>-1450.5253364974415</v>
      </c>
      <c r="J2896">
        <f>-738.044702211479 -69.5088453475024 -532.204422728531</f>
        <v>-1339.7579702875123</v>
      </c>
      <c r="K2896" t="s">
        <v>31093</v>
      </c>
      <c r="L2896" t="s">
        <v>31094</v>
      </c>
      <c r="M2896" t="s">
        <v>31095</v>
      </c>
      <c r="N2896">
        <f>-728.849329380078 -124.145570299977 -531.003525464212</f>
        <v>-1383.998425144267</v>
      </c>
      <c r="O2896">
        <f>-707.811845774115 -256.577230946734 -500.727058606659</f>
        <v>-1465.1161353275081</v>
      </c>
      <c r="P2896">
        <f>-685.350710613291 -283.953922418125 -208.601765708858</f>
        <v>-1177.906398740274</v>
      </c>
      <c r="Q2896">
        <f>-538.674137922962 -115.133750372854 -298.248738208882</f>
        <v>-952.05662650469799</v>
      </c>
      <c r="R2896" t="s">
        <v>31096</v>
      </c>
      <c r="S2896" t="s">
        <v>31097</v>
      </c>
      <c r="T2896" t="s">
        <v>31098</v>
      </c>
      <c r="U2896" t="s">
        <v>31099</v>
      </c>
      <c r="V2896">
        <f>-657.901394477245 -166.293163224479 -73.8086669223339</f>
        <v>-898.00322462405802</v>
      </c>
      <c r="W2896" t="s">
        <v>31100</v>
      </c>
      <c r="X2896" t="s">
        <v>31101</v>
      </c>
      <c r="Y2896" t="s">
        <v>31102</v>
      </c>
    </row>
    <row r="2897" spans="1:25" x14ac:dyDescent="0.3">
      <c r="A2897">
        <v>144800</v>
      </c>
      <c r="B2897" t="s">
        <v>31103</v>
      </c>
      <c r="C2897">
        <f>-681.680970133293 -71.1831242543918 -76.1094122764068</f>
        <v>-828.9735066640917</v>
      </c>
      <c r="D2897">
        <f>-714.201283287278 -83.3180634948749 -186.614627285313</f>
        <v>-984.13397406746583</v>
      </c>
      <c r="E2897">
        <f>-727.650478317463 -89.4305641237884 -284.125623783842</f>
        <v>-1101.2066662250934</v>
      </c>
      <c r="F2897">
        <f>-734.500747059645 -93.471269855837 -372.866722141053</f>
        <v>-1200.8387390565351</v>
      </c>
      <c r="G2897">
        <f>-735.65531167746 -96.0271202682445 -461.919576523578</f>
        <v>-1293.6020084692825</v>
      </c>
      <c r="H2897">
        <f>-731.269939866698 -98.1116442484589 -586.407475871973</f>
        <v>-1415.7890599871298</v>
      </c>
      <c r="I2897">
        <f>-696.607171406055 -92.166145420051 -661.694541342329</f>
        <v>-1450.467858168435</v>
      </c>
      <c r="J2897">
        <f>-737.838410300761 -69.8833898869694 -532.247205924699</f>
        <v>-1339.9690061124293</v>
      </c>
      <c r="K2897" t="s">
        <v>31104</v>
      </c>
      <c r="L2897" t="s">
        <v>31105</v>
      </c>
      <c r="M2897" t="s">
        <v>31106</v>
      </c>
      <c r="N2897">
        <f>-728.56102485148 -124.505359181463 -531.005671566711</f>
        <v>-1384.072055599654</v>
      </c>
      <c r="O2897">
        <f>-707.315702515224 -256.89973010538 -500.680196651768</f>
        <v>-1464.8956292723719</v>
      </c>
      <c r="P2897">
        <f>-684.914605804224 -284.052018411878 -208.529327103527</f>
        <v>-1177.4959513196291</v>
      </c>
      <c r="Q2897">
        <f>-538.369303377883 -115.226841607139 -298.381253378708</f>
        <v>-951.97739836373012</v>
      </c>
      <c r="R2897" t="s">
        <v>31107</v>
      </c>
      <c r="S2897" t="s">
        <v>31108</v>
      </c>
      <c r="T2897" t="s">
        <v>31109</v>
      </c>
      <c r="U2897" t="s">
        <v>31110</v>
      </c>
      <c r="V2897">
        <f>-657.909961699391 -166.391007283996 -73.7767776759202</f>
        <v>-898.07774665930731</v>
      </c>
      <c r="W2897" t="s">
        <v>31111</v>
      </c>
      <c r="X2897" t="s">
        <v>31112</v>
      </c>
      <c r="Y2897" t="s">
        <v>31113</v>
      </c>
    </row>
    <row r="2898" spans="1:25" x14ac:dyDescent="0.3">
      <c r="A2898">
        <v>144850</v>
      </c>
      <c r="B2898" t="s">
        <v>31114</v>
      </c>
      <c r="C2898">
        <f>-681.720036149312 -71.0949384976257 -76.1089171197312</f>
        <v>-828.92389176666893</v>
      </c>
      <c r="D2898">
        <f>-714.23092379323 -83.2655018110988 -186.612919820708</f>
        <v>-984.10934542503674</v>
      </c>
      <c r="E2898">
        <f>-727.652867422629 -89.4014104171058 -284.126374190067</f>
        <v>-1101.1806520298019</v>
      </c>
      <c r="F2898">
        <f>-734.470215804673 -93.4612742159881 -372.869132624862</f>
        <v>-1200.8006226455232</v>
      </c>
      <c r="G2898">
        <f>-735.583637626438 -96.0343161365038 -461.921905325607</f>
        <v>-1293.5398590885488</v>
      </c>
      <c r="H2898">
        <f>-731.132089877493 -98.1413164966007 -586.40704762444</f>
        <v>-1415.6804539985337</v>
      </c>
      <c r="I2898">
        <f>-696.440649506017 -92.1848874359927 -661.680109148674</f>
        <v>-1450.3056460906837</v>
      </c>
      <c r="J2898">
        <f>-737.738328113962 -69.9047617092795 -532.255557282096</f>
        <v>-1339.8986471053374</v>
      </c>
      <c r="K2898" t="s">
        <v>31115</v>
      </c>
      <c r="L2898" t="s">
        <v>31116</v>
      </c>
      <c r="M2898" t="s">
        <v>31117</v>
      </c>
      <c r="N2898">
        <f>-728.443678832037 -124.523435474659 -530.998823065701</f>
        <v>-1383.9659373723971</v>
      </c>
      <c r="O2898">
        <f>-707.169011820798 -256.906094120442 -500.634950572362</f>
        <v>-1464.710056513602</v>
      </c>
      <c r="P2898">
        <f>-684.795912117907 -283.979274656501 -208.474526354845</f>
        <v>-1177.249713129253</v>
      </c>
      <c r="Q2898">
        <f>-538.128382807674 -115.305942148973 -298.41242131608</f>
        <v>-951.84674627272705</v>
      </c>
      <c r="R2898" t="s">
        <v>31118</v>
      </c>
      <c r="S2898" t="s">
        <v>31119</v>
      </c>
      <c r="T2898" t="s">
        <v>31120</v>
      </c>
      <c r="U2898" t="s">
        <v>31121</v>
      </c>
      <c r="V2898">
        <f>-657.894897079685 -166.274464025083 -73.761883065992</f>
        <v>-897.93124417076012</v>
      </c>
      <c r="W2898" t="s">
        <v>31122</v>
      </c>
      <c r="X2898" t="s">
        <v>31123</v>
      </c>
      <c r="Y2898" t="s">
        <v>31124</v>
      </c>
    </row>
    <row r="2899" spans="1:25" x14ac:dyDescent="0.3">
      <c r="A2899">
        <v>144900</v>
      </c>
      <c r="B2899" t="s">
        <v>31125</v>
      </c>
      <c r="C2899">
        <f>-681.753912126389 -70.9289968219691 -76.0940070530203</f>
        <v>-828.77691600137837</v>
      </c>
      <c r="D2899">
        <f>-714.279441097758 -83.1312112840925 -186.590188783316</f>
        <v>-984.00084116516643</v>
      </c>
      <c r="E2899">
        <f>-727.673505321054 -89.3107798547161 -284.104773303741</f>
        <v>-1101.0890584795111</v>
      </c>
      <c r="F2899">
        <f>-734.449218469947 -93.4169398068253 -372.848589472489</f>
        <v>-1200.7147477492613</v>
      </c>
      <c r="G2899">
        <f>-735.504581772214 -96.0434331815818 -461.900375477663</f>
        <v>-1293.4483904314588</v>
      </c>
      <c r="H2899">
        <f>-730.954902166814 -98.2326231571506 -586.380586896696</f>
        <v>-1415.5681122206606</v>
      </c>
      <c r="I2899">
        <f>-696.213292884996 -92.2998673238285 -661.632586560394</f>
        <v>-1450.1457467692185</v>
      </c>
      <c r="J2899">
        <f>-737.597961673663 -69.9594645747637 -532.253017557923</f>
        <v>-1339.8104438063497</v>
      </c>
      <c r="K2899" t="s">
        <v>31126</v>
      </c>
      <c r="L2899" t="s">
        <v>31127</v>
      </c>
      <c r="M2899" t="s">
        <v>31128</v>
      </c>
      <c r="N2899">
        <f>-728.315952141143 -124.579139653423 -530.953053827447</f>
        <v>-1383.8481456220129</v>
      </c>
      <c r="O2899">
        <f>-707.080404713223 -256.942443288486 -500.508746962928</f>
        <v>-1464.531594964637</v>
      </c>
      <c r="P2899">
        <f>-684.771033907309 -283.851502432475 -208.328354218855</f>
        <v>-1176.950890558639</v>
      </c>
      <c r="Q2899">
        <f>-537.811844925463 -115.558217301894 -298.501628340921</f>
        <v>-951.87169056827804</v>
      </c>
      <c r="R2899" t="s">
        <v>31129</v>
      </c>
      <c r="S2899" t="s">
        <v>31130</v>
      </c>
      <c r="T2899" t="s">
        <v>31131</v>
      </c>
      <c r="U2899" t="s">
        <v>31132</v>
      </c>
      <c r="V2899">
        <f>-657.925989382434 -166.02882916116 -73.7325823885001</f>
        <v>-897.68740093209408</v>
      </c>
      <c r="W2899" t="s">
        <v>31133</v>
      </c>
      <c r="X2899" t="s">
        <v>31134</v>
      </c>
      <c r="Y2899" t="s">
        <v>31135</v>
      </c>
    </row>
    <row r="2900" spans="1:25" x14ac:dyDescent="0.3">
      <c r="A2900">
        <v>144950</v>
      </c>
      <c r="B2900" t="s">
        <v>31136</v>
      </c>
      <c r="C2900">
        <f>-681.705501247056 -70.7725482938079 -76.0823514502102</f>
        <v>-828.56040099107406</v>
      </c>
      <c r="D2900">
        <f>-714.247697663166 -82.9773131857989 -186.573306723578</f>
        <v>-983.79831757254306</v>
      </c>
      <c r="E2900">
        <f>-727.633108239333 -89.1698145225945 -284.088244450002</f>
        <v>-1100.8911672119293</v>
      </c>
      <c r="F2900">
        <f>-734.391863658607 -93.2918154818526 -372.832632993398</f>
        <v>-1200.5163121338576</v>
      </c>
      <c r="G2900">
        <f>-735.421042406667 -95.9384552569881 -461.884231227927</f>
        <v>-1293.2437288915821</v>
      </c>
      <c r="H2900">
        <f>-730.825133976214 -98.1605680236971 -586.362077568601</f>
        <v>-1415.3477795685121</v>
      </c>
      <c r="I2900">
        <f>-696.067239992437 -92.2543591378576 -661.60862221959</f>
        <v>-1449.9302213498845</v>
      </c>
      <c r="J2900">
        <f>-737.477427022174 -69.8711705973554 -532.243989962338</f>
        <v>-1339.5925875818675</v>
      </c>
      <c r="K2900" t="s">
        <v>31137</v>
      </c>
      <c r="L2900" t="s">
        <v>31138</v>
      </c>
      <c r="M2900" t="s">
        <v>31139</v>
      </c>
      <c r="N2900">
        <f>-728.21774498651 -124.494339082695 -530.927032859014</f>
        <v>-1383.639116928219</v>
      </c>
      <c r="O2900">
        <f>-707.04555477559 -256.860773866046 -500.447691147404</f>
        <v>-1464.35401978904</v>
      </c>
      <c r="P2900">
        <f>-684.687520767765 -283.711341119112 -208.265539486059</f>
        <v>-1176.664401372936</v>
      </c>
      <c r="Q2900">
        <f>-537.610254210678 -115.545988137069 -298.485023454079</f>
        <v>-951.64126580182597</v>
      </c>
      <c r="R2900" t="s">
        <v>31140</v>
      </c>
      <c r="S2900" t="s">
        <v>31141</v>
      </c>
      <c r="T2900" t="s">
        <v>31142</v>
      </c>
      <c r="U2900" t="s">
        <v>31143</v>
      </c>
      <c r="V2900">
        <f>-657.880633504775 -165.812141530955 -73.719602620293</f>
        <v>-897.41237765602295</v>
      </c>
      <c r="W2900" t="s">
        <v>31144</v>
      </c>
      <c r="X2900" t="s">
        <v>31145</v>
      </c>
      <c r="Y2900" t="s">
        <v>31146</v>
      </c>
    </row>
    <row r="2901" spans="1:25" x14ac:dyDescent="0.3">
      <c r="A2901">
        <v>145000</v>
      </c>
      <c r="B2901" t="s">
        <v>31147</v>
      </c>
      <c r="C2901">
        <f>-681.657198983961 -70.7644202363655 -76.0412909974975</f>
        <v>-828.46291021782406</v>
      </c>
      <c r="D2901">
        <f>-714.262925831127 -82.9871452187201 -186.511566193694</f>
        <v>-983.76163724354103</v>
      </c>
      <c r="E2901">
        <f>-727.644802349521 -89.2076447116098 -284.025088643962</f>
        <v>-1100.8775357050927</v>
      </c>
      <c r="F2901">
        <f>-734.376502608093 -93.3599671789524 -372.770171071457</f>
        <v>-1200.5066408585024</v>
      </c>
      <c r="G2901">
        <f>-735.354505976929 -96.0426594426302 -461.821211205899</f>
        <v>-1293.2183766254582</v>
      </c>
      <c r="H2901">
        <f>-730.662239106725 -98.3212315532857 -586.294570650754</f>
        <v>-1415.2780413107648</v>
      </c>
      <c r="I2901">
        <f>-695.888512316006 -92.4921011856898 -661.539664701366</f>
        <v>-1449.9202782030616</v>
      </c>
      <c r="J2901">
        <f>-737.331847067791 -70.003116719788 -532.193562254809</f>
        <v>-1339.528526042388</v>
      </c>
      <c r="K2901" t="s">
        <v>31148</v>
      </c>
      <c r="L2901" t="s">
        <v>31149</v>
      </c>
      <c r="M2901" t="s">
        <v>31150</v>
      </c>
      <c r="N2901">
        <f>-728.122336931517 -124.633994657476 -530.846317787299</f>
        <v>-1383.602649376292</v>
      </c>
      <c r="O2901">
        <f>-707.048023960348 -257.005767152887 -500.323839001422</f>
        <v>-1464.3776301146572</v>
      </c>
      <c r="P2901">
        <f>-684.704018722018 -283.762828029143 -208.131994808179</f>
        <v>-1176.5988415593401</v>
      </c>
      <c r="Q2901">
        <f>-537.516430199053 -115.724683070089 -298.408675966059</f>
        <v>-951.64978923520107</v>
      </c>
      <c r="R2901" t="s">
        <v>31151</v>
      </c>
      <c r="S2901" t="s">
        <v>31152</v>
      </c>
      <c r="T2901" t="s">
        <v>31153</v>
      </c>
      <c r="U2901" t="s">
        <v>31154</v>
      </c>
      <c r="V2901">
        <f>-657.933097241261 -165.766960872218 -73.6687780916886</f>
        <v>-897.36883620516755</v>
      </c>
      <c r="W2901" t="s">
        <v>31155</v>
      </c>
      <c r="X2901" t="s">
        <v>31156</v>
      </c>
      <c r="Y2901" t="s">
        <v>31157</v>
      </c>
    </row>
    <row r="2902" spans="1:25" x14ac:dyDescent="0.3">
      <c r="A2902">
        <v>145050</v>
      </c>
      <c r="B2902" t="s">
        <v>31158</v>
      </c>
      <c r="C2902">
        <f>-681.589567494991 -70.6865865565535 -76.0211791601098</f>
        <v>-828.29733321165429</v>
      </c>
      <c r="D2902">
        <f>-714.232459129171 -82.923267422906 -186.479002000004</f>
        <v>-983.63472855208101</v>
      </c>
      <c r="E2902">
        <f>-727.6230268791 -89.1472925025287 -283.991035059309</f>
        <v>-1100.7613544409378</v>
      </c>
      <c r="F2902">
        <f>-734.352770704826 -93.2991679765177 -372.736318942671</f>
        <v>-1200.3882576240146</v>
      </c>
      <c r="G2902">
        <f>-735.319098335496 -95.9778099633505 -461.787621570233</f>
        <v>-1293.0845298690797</v>
      </c>
      <c r="H2902">
        <f>-730.600052085834 -98.2473321661756 -586.260060601526</f>
        <v>-1415.1074448535355</v>
      </c>
      <c r="I2902">
        <f>-695.835139898733 -92.4318469203608 -661.510378236124</f>
        <v>-1449.7773650552178</v>
      </c>
      <c r="J2902">
        <f>-737.274270510253 -69.9319834447076 -532.158334853025</f>
        <v>-1339.3645888079857</v>
      </c>
      <c r="K2902" t="s">
        <v>31159</v>
      </c>
      <c r="L2902" t="s">
        <v>31160</v>
      </c>
      <c r="M2902" t="s">
        <v>31161</v>
      </c>
      <c r="N2902">
        <f>-728.079187998555 -124.56534164709 -530.813580228778</f>
        <v>-1383.4581098744229</v>
      </c>
      <c r="O2902">
        <f>-707.031960596158 -256.947467200357 -500.293078975111</f>
        <v>-1464.272506771626</v>
      </c>
      <c r="P2902">
        <f>-684.747758739073 -283.673796148315 -208.093908460857</f>
        <v>-1176.515463348245</v>
      </c>
      <c r="Q2902">
        <f>-537.466492532105 -115.724422488453 -298.383058693728</f>
        <v>-951.57397371428601</v>
      </c>
      <c r="R2902" t="s">
        <v>31162</v>
      </c>
      <c r="S2902" t="s">
        <v>31163</v>
      </c>
      <c r="T2902" t="s">
        <v>31164</v>
      </c>
      <c r="U2902" t="s">
        <v>31165</v>
      </c>
      <c r="V2902">
        <f>-657.878662572802 -165.569729213704 -73.6383519617419</f>
        <v>-897.08674374824795</v>
      </c>
      <c r="W2902" t="s">
        <v>31166</v>
      </c>
      <c r="X2902" t="s">
        <v>31167</v>
      </c>
      <c r="Y2902" t="s">
        <v>31168</v>
      </c>
    </row>
    <row r="2903" spans="1:25" x14ac:dyDescent="0.3">
      <c r="A2903">
        <v>145100</v>
      </c>
      <c r="B2903" t="s">
        <v>31169</v>
      </c>
      <c r="C2903">
        <f>-681.572270213234 -70.6992070951255 -75.9977723299857</f>
        <v>-828.26924963834517</v>
      </c>
      <c r="D2903">
        <f>-714.242293862168 -82.9658747884482 -186.444262753825</f>
        <v>-983.65243140444124</v>
      </c>
      <c r="E2903">
        <f>-727.631791393755 -89.1839522844729 -283.956967127491</f>
        <v>-1100.7727108057188</v>
      </c>
      <c r="F2903">
        <f>-734.350005853447 -93.3181899575225 -372.703817540092</f>
        <v>-1200.3720133510615</v>
      </c>
      <c r="G2903">
        <f>-735.293801383112 -95.9672336949865 -461.756141329087</f>
        <v>-1293.0171764071856</v>
      </c>
      <c r="H2903">
        <f>-730.531787036524 -98.1830138695477 -586.228094842454</f>
        <v>-1414.9428957485256</v>
      </c>
      <c r="I2903">
        <f>-695.785380374868 -92.3348478344545 -661.484428353934</f>
        <v>-1449.6046565632566</v>
      </c>
      <c r="J2903">
        <f>-737.22946724676 -69.891831443329 -532.116406647254</f>
        <v>-1339.237705337343</v>
      </c>
      <c r="K2903" t="s">
        <v>31170</v>
      </c>
      <c r="L2903" t="s">
        <v>31171</v>
      </c>
      <c r="M2903" t="s">
        <v>31172</v>
      </c>
      <c r="N2903">
        <f>-728.025228560523 -124.524158347241 -530.791912667628</f>
        <v>-1383.341299575392</v>
      </c>
      <c r="O2903">
        <f>-706.965080545367 -256.912224150756 -500.318513261464</f>
        <v>-1464.195817957587</v>
      </c>
      <c r="P2903">
        <f>-684.640715612741 -283.7212761503 -208.130089540168</f>
        <v>-1176.492081303209</v>
      </c>
      <c r="Q2903">
        <f>-537.270289138795 -115.784678619217 -298.29741857821</f>
        <v>-951.35238633622203</v>
      </c>
      <c r="R2903" t="s">
        <v>31173</v>
      </c>
      <c r="S2903" t="s">
        <v>31174</v>
      </c>
      <c r="T2903" t="s">
        <v>31175</v>
      </c>
      <c r="U2903" t="s">
        <v>31176</v>
      </c>
      <c r="V2903">
        <f>-657.840850385817 -165.587911277168 -73.5730682514411</f>
        <v>-897.00182991442614</v>
      </c>
      <c r="W2903" t="s">
        <v>31177</v>
      </c>
      <c r="X2903" t="s">
        <v>31178</v>
      </c>
      <c r="Y2903" t="s">
        <v>31179</v>
      </c>
    </row>
    <row r="2904" spans="1:25" x14ac:dyDescent="0.3">
      <c r="A2904">
        <v>145150</v>
      </c>
      <c r="B2904" t="s">
        <v>31180</v>
      </c>
      <c r="C2904">
        <f>-681.574527414066 -70.7366529866372 -75.9853553825729</f>
        <v>-828.29653578327611</v>
      </c>
      <c r="D2904">
        <f>-714.256955804313 -83.0156637757941 -186.426773600641</f>
        <v>-983.69939318074807</v>
      </c>
      <c r="E2904">
        <f>-727.635531122447 -89.2176387390624 -283.941841076955</f>
        <v>-1100.7950109384644</v>
      </c>
      <c r="F2904">
        <f>-734.334542576239 -93.3268423139164 -372.69156198285</f>
        <v>-1200.3529468730053</v>
      </c>
      <c r="G2904">
        <f>-735.249775353022 -95.9402416641099 -461.745265258778</f>
        <v>-1292.9352822759097</v>
      </c>
      <c r="H2904">
        <f>-730.437915993452 -98.0951882292767 -586.216169222593</f>
        <v>-1414.7492734453217</v>
      </c>
      <c r="I2904">
        <f>-695.694907699379 -92.1913197978851 -661.469711826872</f>
        <v>-1449.355939324136</v>
      </c>
      <c r="J2904">
        <f>-737.171285464835 -69.8328157666346 -532.093977960197</f>
        <v>-1339.0980791916666</v>
      </c>
      <c r="K2904" t="s">
        <v>31181</v>
      </c>
      <c r="L2904" t="s">
        <v>31182</v>
      </c>
      <c r="M2904" t="s">
        <v>31183</v>
      </c>
      <c r="N2904">
        <f>-727.939564797435 -124.46107581817 -530.791436528155</f>
        <v>-1383.1920771437599</v>
      </c>
      <c r="O2904">
        <f>-706.835192569882 -256.852970797716 -500.367261780132</f>
        <v>-1464.0554251477301</v>
      </c>
      <c r="P2904">
        <f>-684.467947847509 -283.748655827439 -208.190073053954</f>
        <v>-1176.4066767289019</v>
      </c>
      <c r="Q2904">
        <f>-537.053818480282 -115.831719952201 -298.322405753143</f>
        <v>-951.20794418562593</v>
      </c>
      <c r="R2904" t="s">
        <v>31184</v>
      </c>
      <c r="S2904" t="s">
        <v>31185</v>
      </c>
      <c r="T2904" t="s">
        <v>31186</v>
      </c>
      <c r="U2904" t="s">
        <v>31187</v>
      </c>
      <c r="V2904">
        <f>-657.800122415416 -165.633111489773 -73.5798024616042</f>
        <v>-897.01303636679324</v>
      </c>
      <c r="W2904" t="s">
        <v>31188</v>
      </c>
      <c r="X2904" t="s">
        <v>31189</v>
      </c>
      <c r="Y2904" t="s">
        <v>31190</v>
      </c>
    </row>
    <row r="2905" spans="1:25" x14ac:dyDescent="0.3">
      <c r="A2905">
        <v>145200</v>
      </c>
      <c r="B2905" t="s">
        <v>31191</v>
      </c>
      <c r="C2905">
        <f>-681.525406776612 -70.6364932304626 -76.0116316899146</f>
        <v>-828.17353169698924</v>
      </c>
      <c r="D2905">
        <f>-714.221874807451 -82.9354207163587 -186.44681932777</f>
        <v>-983.60411485157965</v>
      </c>
      <c r="E2905">
        <f>-727.564726318019 -89.1211730129385 -283.967807454158</f>
        <v>-1100.6537067851154</v>
      </c>
      <c r="F2905">
        <f>-734.21163099694 -93.2027103234219 -372.722468117716</f>
        <v>-1200.136809438078</v>
      </c>
      <c r="G2905">
        <f>-735.054602534452 -95.7748853944726 -461.778236582243</f>
        <v>-1292.6077245111676</v>
      </c>
      <c r="H2905">
        <f>-730.120883737055 -97.8578220109958 -586.245626408339</f>
        <v>-1414.2243321563899</v>
      </c>
      <c r="I2905">
        <f>-695.365965256221 -91.8198535766134 -661.482943332207</f>
        <v>-1448.6687621650412</v>
      </c>
      <c r="J2905">
        <f>-736.943568877897 -69.6328987317243 -532.115001496058</f>
        <v>-1338.6914691056791</v>
      </c>
      <c r="K2905" t="s">
        <v>31192</v>
      </c>
      <c r="L2905" t="s">
        <v>31193</v>
      </c>
      <c r="M2905" t="s">
        <v>31194</v>
      </c>
      <c r="N2905">
        <f>-727.640407093163 -124.249490790532 -530.832224416337</f>
        <v>-1382.722122300032</v>
      </c>
      <c r="O2905">
        <f>-706.35416773186 -256.620776348858 -500.461580881073</f>
        <v>-1463.4365249617908</v>
      </c>
      <c r="P2905">
        <f>-683.870348775986 -283.636318806401 -208.304355461783</f>
        <v>-1175.81102304417</v>
      </c>
      <c r="Q2905">
        <f>-536.61919953934 -115.483809769142 -298.263735570855</f>
        <v>-950.36674487933692</v>
      </c>
      <c r="R2905" t="s">
        <v>31195</v>
      </c>
      <c r="S2905" t="s">
        <v>31196</v>
      </c>
      <c r="T2905" t="s">
        <v>31197</v>
      </c>
      <c r="U2905" t="s">
        <v>31198</v>
      </c>
      <c r="V2905">
        <f>-657.668818562751 -165.37569469013 -73.60038805813</f>
        <v>-896.64490131101093</v>
      </c>
      <c r="W2905" t="s">
        <v>31199</v>
      </c>
      <c r="X2905" t="s">
        <v>31200</v>
      </c>
      <c r="Y2905" t="s">
        <v>31201</v>
      </c>
    </row>
    <row r="2906" spans="1:25" x14ac:dyDescent="0.3">
      <c r="A2906">
        <v>145250</v>
      </c>
      <c r="B2906" t="s">
        <v>31202</v>
      </c>
      <c r="C2906">
        <f>-681.539603394675 -70.7000356505197 -76.0065298851897</f>
        <v>-828.24616893038444</v>
      </c>
      <c r="D2906">
        <f>-714.244498887655 -83.0122611621994 -186.437677340013</f>
        <v>-983.6944373898674</v>
      </c>
      <c r="E2906">
        <f>-727.576727934543 -89.206111607728 -283.959572034884</f>
        <v>-1100.7424115771551</v>
      </c>
      <c r="F2906">
        <f>-734.206380294521 -93.293557356811 -372.71542438617</f>
        <v>-1200.215362037502</v>
      </c>
      <c r="G2906">
        <f>-735.024883281908 -95.8701582011694 -461.771206712658</f>
        <v>-1292.6662481957355</v>
      </c>
      <c r="H2906">
        <f>-730.049105059949 -97.9576804971966 -586.236777542642</f>
        <v>-1414.2435630997877</v>
      </c>
      <c r="I2906">
        <f>-695.294580399815 -91.865682360524 -661.470023718725</f>
        <v>-1448.6302864790641</v>
      </c>
      <c r="J2906">
        <f>-736.907935365764 -69.7338985751135 -532.110359917781</f>
        <v>-1338.7521938586585</v>
      </c>
      <c r="K2906" t="s">
        <v>31203</v>
      </c>
      <c r="L2906" t="s">
        <v>31204</v>
      </c>
      <c r="M2906" t="s">
        <v>31205</v>
      </c>
      <c r="N2906">
        <f>-727.569424576395 -124.344207246329 -530.821029635956</f>
        <v>-1382.73466145868</v>
      </c>
      <c r="O2906">
        <f>-706.17857330318 -256.697245639234 -500.463161816139</f>
        <v>-1463.3389807585529</v>
      </c>
      <c r="P2906">
        <f>-683.661117479004 -283.674557302419 -208.305112702682</f>
        <v>-1175.640787484105</v>
      </c>
      <c r="Q2906">
        <f>-536.504676341708 -115.443422558108 -298.272633033379</f>
        <v>-950.22073193319488</v>
      </c>
      <c r="R2906" t="s">
        <v>31206</v>
      </c>
      <c r="S2906" t="s">
        <v>31207</v>
      </c>
      <c r="T2906" t="s">
        <v>31208</v>
      </c>
      <c r="U2906" t="s">
        <v>31209</v>
      </c>
      <c r="V2906">
        <f>-657.662858988892 -165.447375795528 -73.6102092542108</f>
        <v>-896.72044403863083</v>
      </c>
      <c r="W2906" t="s">
        <v>31210</v>
      </c>
      <c r="X2906" t="s">
        <v>31211</v>
      </c>
      <c r="Y2906" t="s">
        <v>31212</v>
      </c>
    </row>
    <row r="2907" spans="1:25" x14ac:dyDescent="0.3">
      <c r="A2907">
        <v>145300</v>
      </c>
      <c r="B2907" t="s">
        <v>31213</v>
      </c>
      <c r="C2907">
        <f>-681.511693450774 -70.8469962056315 -76.006788753563</f>
        <v>-828.36547840996855</v>
      </c>
      <c r="D2907">
        <f>-714.244000199044 -83.1958352109763 -186.425638085883</f>
        <v>-983.86547349590319</v>
      </c>
      <c r="E2907">
        <f>-727.55555609826 -89.410145791481 -283.949344029806</f>
        <v>-1100.9150459195471</v>
      </c>
      <c r="F2907">
        <f>-734.148236339348 -93.512129526531 -372.707110823544</f>
        <v>-1200.367476689423</v>
      </c>
      <c r="G2907">
        <f>-734.911354917242 -96.0988641580473 -461.762992675445</f>
        <v>-1292.7732117507342</v>
      </c>
      <c r="H2907">
        <f>-729.839115107752 -98.1959022929359 -586.224615302621</f>
        <v>-1414.2596327033089</v>
      </c>
      <c r="I2907">
        <f>-695.066625788621 -92.0179968847572 -661.442503583009</f>
        <v>-1448.5271262563872</v>
      </c>
      <c r="J2907">
        <f>-736.777150896262 -69.9744055389026 -532.106981465913</f>
        <v>-1338.8585379010776</v>
      </c>
      <c r="K2907" t="s">
        <v>31214</v>
      </c>
      <c r="L2907" t="s">
        <v>31215</v>
      </c>
      <c r="M2907" t="s">
        <v>31216</v>
      </c>
      <c r="N2907">
        <f>-727.365214613188 -124.571867961955 -530.80354727707</f>
        <v>-1382.740629852213</v>
      </c>
      <c r="O2907">
        <f>-705.804467082824 -256.899187456357 -500.41876627125</f>
        <v>-1463.1224208104309</v>
      </c>
      <c r="P2907">
        <f>-683.155592852144 -283.789968364936 -208.262778765421</f>
        <v>-1175.208339982501</v>
      </c>
      <c r="Q2907">
        <f>-536.329571970603 -115.400294952439 -298.473095047758</f>
        <v>-950.20296197080006</v>
      </c>
      <c r="R2907" t="s">
        <v>31217</v>
      </c>
      <c r="S2907" t="s">
        <v>31218</v>
      </c>
      <c r="T2907" t="s">
        <v>31219</v>
      </c>
      <c r="U2907" t="s">
        <v>31220</v>
      </c>
      <c r="V2907">
        <f>-657.557920624488 -165.52253952405 -73.6244425359796</f>
        <v>-896.70490268451761</v>
      </c>
      <c r="W2907" t="s">
        <v>31221</v>
      </c>
      <c r="X2907" t="s">
        <v>31222</v>
      </c>
      <c r="Y2907" t="s">
        <v>31223</v>
      </c>
    </row>
    <row r="2908" spans="1:25" x14ac:dyDescent="0.3">
      <c r="A2908">
        <v>145350</v>
      </c>
      <c r="B2908" t="s">
        <v>31224</v>
      </c>
      <c r="C2908">
        <f>-681.504623558638 -70.9359650071323 -76.013599821183</f>
        <v>-828.45418838695321</v>
      </c>
      <c r="D2908">
        <f>-714.261133713195 -83.3014693394158 -186.423438085471</f>
        <v>-983.98604113808187</v>
      </c>
      <c r="E2908">
        <f>-727.575955535395 -89.525642280694 -283.945933879841</f>
        <v>-1101.04753169593</v>
      </c>
      <c r="F2908">
        <f>-734.164256640271 -93.6346716512332 -372.703803873102</f>
        <v>-1200.5027321646062</v>
      </c>
      <c r="G2908">
        <f>-734.915915444474 -96.2258925946551 -461.759610093659</f>
        <v>-1292.901418132788</v>
      </c>
      <c r="H2908">
        <f>-729.820126041448 -98.3260935401933 -586.220267854609</f>
        <v>-1414.3664874362503</v>
      </c>
      <c r="I2908">
        <f>-695.034302586958 -92.1214184345794 -661.429745439747</f>
        <v>-1448.5854664612843</v>
      </c>
      <c r="J2908">
        <f>-736.786940225669 -70.1064492871061 -532.105370821691</f>
        <v>-1338.9987603344662</v>
      </c>
      <c r="K2908" t="s">
        <v>31225</v>
      </c>
      <c r="L2908" t="s">
        <v>31226</v>
      </c>
      <c r="M2908" t="s">
        <v>31227</v>
      </c>
      <c r="N2908">
        <f>-727.338066516073 -124.697400078806 -530.79727722346</f>
        <v>-1382.8327438183392</v>
      </c>
      <c r="O2908">
        <f>-705.671508667786 -257.002668505456 -500.413921641076</f>
        <v>-1463.0880988143181</v>
      </c>
      <c r="P2908">
        <f>-683.005895550433 -283.79972254414 -208.250666077013</f>
        <v>-1175.056284171586</v>
      </c>
      <c r="Q2908">
        <f>-536.303869054116 -115.386792143491 -298.619351840425</f>
        <v>-950.31001303803203</v>
      </c>
      <c r="R2908" t="s">
        <v>31228</v>
      </c>
      <c r="S2908" t="s">
        <v>31229</v>
      </c>
      <c r="T2908" t="s">
        <v>31230</v>
      </c>
      <c r="U2908" t="s">
        <v>31231</v>
      </c>
      <c r="V2908">
        <f>-657.521769616747 -165.549080241535 -73.638070117761</f>
        <v>-896.70891997604292</v>
      </c>
      <c r="W2908" t="s">
        <v>31232</v>
      </c>
      <c r="X2908" t="s">
        <v>31233</v>
      </c>
      <c r="Y2908" t="s">
        <v>31234</v>
      </c>
    </row>
    <row r="2909" spans="1:25" x14ac:dyDescent="0.3">
      <c r="A2909">
        <v>145400</v>
      </c>
      <c r="B2909" t="s">
        <v>31235</v>
      </c>
      <c r="C2909">
        <f>-681.533006696123 -71.0254111632084 -76.0439021034517</f>
        <v>-828.60231996278321</v>
      </c>
      <c r="D2909">
        <f>-714.325164852773 -83.4558724151152 -186.435758532677</f>
        <v>-984.21679580056525</v>
      </c>
      <c r="E2909">
        <f>-727.663235158016 -89.7306868461951 -283.951929356309</f>
        <v>-1101.3458513605201</v>
      </c>
      <c r="F2909">
        <f>-734.269373137004 -93.8833262923025 -372.706400930542</f>
        <v>-1200.8591003598485</v>
      </c>
      <c r="G2909">
        <f>-735.035525537351 -96.5149790710666 -461.761080222053</f>
        <v>-1293.3115848304706</v>
      </c>
      <c r="H2909">
        <f>-729.956645761312 -98.6684111168643 -586.221435985134</f>
        <v>-1414.8464928633102</v>
      </c>
      <c r="I2909">
        <f>-695.142595934877 -92.4453333589279 -661.416343387231</f>
        <v>-1449.0042726810359</v>
      </c>
      <c r="J2909">
        <f>-736.953065718239 -70.4320393201543 -532.118986193378</f>
        <v>-1339.5040912317713</v>
      </c>
      <c r="K2909" t="s">
        <v>31236</v>
      </c>
      <c r="L2909" t="s">
        <v>31237</v>
      </c>
      <c r="M2909" t="s">
        <v>31238</v>
      </c>
      <c r="N2909">
        <f>-727.430141860331 -125.009581593172 -530.786072299386</f>
        <v>-1383.2257957528891</v>
      </c>
      <c r="O2909">
        <f>-705.570792618963 -257.273549098124 -500.338863413802</f>
        <v>-1463.1832051308891</v>
      </c>
      <c r="P2909">
        <f>-682.82060747559 -283.762529518119 -208.15407229935</f>
        <v>-1174.7372092930591</v>
      </c>
      <c r="Q2909">
        <f>-536.188018584636 -115.384828734705 -298.700910728987</f>
        <v>-950.27375804832809</v>
      </c>
      <c r="R2909" t="s">
        <v>31239</v>
      </c>
      <c r="S2909" t="s">
        <v>31240</v>
      </c>
      <c r="T2909" t="s">
        <v>31241</v>
      </c>
      <c r="U2909" t="s">
        <v>31242</v>
      </c>
      <c r="V2909">
        <f>-657.444783763611 -165.517490321753 -73.6677392326085</f>
        <v>-896.6300133179725</v>
      </c>
      <c r="W2909" t="s">
        <v>31243</v>
      </c>
      <c r="X2909" t="s">
        <v>31244</v>
      </c>
      <c r="Y2909" t="s">
        <v>31245</v>
      </c>
    </row>
    <row r="2910" spans="1:25" x14ac:dyDescent="0.3">
      <c r="A2910">
        <v>145450</v>
      </c>
      <c r="B2910" t="s">
        <v>31246</v>
      </c>
      <c r="C2910">
        <f>-681.628786043333 -71.0950668114963 -76.0364112642922</f>
        <v>-828.76026411912142</v>
      </c>
      <c r="D2910">
        <f>-714.42622550584 -83.5500555143178 -186.424063309935</f>
        <v>-984.40034433009282</v>
      </c>
      <c r="E2910">
        <f>-727.762563514414 -89.851789362109 -283.938537871502</f>
        <v>-1101.552890748025</v>
      </c>
      <c r="F2910">
        <f>-734.364731409845 -94.0310440777157 -372.692131889351</f>
        <v>-1201.0879073769117</v>
      </c>
      <c r="G2910">
        <f>-735.12450380571 -96.6909458570128 -461.74597795011</f>
        <v>-1293.5614276128329</v>
      </c>
      <c r="H2910">
        <f>-730.034468848076 -98.8852856217408 -586.205113949394</f>
        <v>-1415.1248684192108</v>
      </c>
      <c r="I2910">
        <f>-695.209350035431 -92.6583131683875 -661.394760692954</f>
        <v>-1449.2624238967726</v>
      </c>
      <c r="J2910">
        <f>-737.05357121995 -70.6342252609664 -532.113348643552</f>
        <v>-1339.8011451244683</v>
      </c>
      <c r="K2910" t="s">
        <v>31247</v>
      </c>
      <c r="L2910" t="s">
        <v>31248</v>
      </c>
      <c r="M2910" t="s">
        <v>31249</v>
      </c>
      <c r="N2910">
        <f>-727.495124860914 -125.205083734314 -530.760213094994</f>
        <v>-1383.4604216902221</v>
      </c>
      <c r="O2910">
        <f>-705.557533149435 -257.443348671391 -500.255030709931</f>
        <v>-1463.2559125307571</v>
      </c>
      <c r="P2910">
        <f>-682.869955526361 -283.629180099166 -208.037942853665</f>
        <v>-1174.5370784791919</v>
      </c>
      <c r="Q2910">
        <f>-535.89066211886 -115.56314076847 -298.601627951877</f>
        <v>-950.05543083920702</v>
      </c>
      <c r="R2910" t="s">
        <v>31250</v>
      </c>
      <c r="S2910" t="s">
        <v>31251</v>
      </c>
      <c r="T2910" t="s">
        <v>31252</v>
      </c>
      <c r="U2910" t="s">
        <v>31253</v>
      </c>
      <c r="V2910">
        <f>-657.536714617485 -165.596007208871 -73.6357303151618</f>
        <v>-896.76845214151786</v>
      </c>
      <c r="W2910" t="s">
        <v>31254</v>
      </c>
      <c r="X2910" t="s">
        <v>31255</v>
      </c>
      <c r="Y2910" t="s">
        <v>31256</v>
      </c>
    </row>
    <row r="2911" spans="1:25" x14ac:dyDescent="0.3">
      <c r="A2911">
        <v>145500</v>
      </c>
      <c r="B2911" t="s">
        <v>31257</v>
      </c>
      <c r="C2911">
        <f>-681.819237236829 -71.2991085878338 -76.0377265201312</f>
        <v>-829.15607234479398</v>
      </c>
      <c r="D2911">
        <f>-714.645105851795 -83.8253314622417 -186.408839726391</f>
        <v>-984.87927704042772</v>
      </c>
      <c r="E2911">
        <f>-727.969907458882 -90.1879211850303 -283.921009960617</f>
        <v>-1102.0788386045292</v>
      </c>
      <c r="F2911">
        <f>-734.546901064697 -94.4214231348984 -372.673792792371</f>
        <v>-1201.6421169919663</v>
      </c>
      <c r="G2911">
        <f>-735.266862942129 -97.1344295601057 -461.726389536991</f>
        <v>-1294.1276820392256</v>
      </c>
      <c r="H2911">
        <f>-730.105954285094 -99.4010046258927 -586.181351369575</f>
        <v>-1415.6883102805618</v>
      </c>
      <c r="I2911">
        <f>-695.2585570558 -93.171799032055 -661.360346063198</f>
        <v>-1449.790702151053</v>
      </c>
      <c r="J2911">
        <f>-737.183187308413 -71.123506832764 -532.111048107435</f>
        <v>-1340.4177422486118</v>
      </c>
      <c r="K2911" t="s">
        <v>31258</v>
      </c>
      <c r="L2911" t="s">
        <v>31259</v>
      </c>
      <c r="M2911" t="s">
        <v>31260</v>
      </c>
      <c r="N2911">
        <f>-727.570836472642 -125.683763668639 -530.718757692593</f>
        <v>-1383.9733578338742</v>
      </c>
      <c r="O2911">
        <f>-705.504968185922 -257.870780473357 -500.088330486754</f>
        <v>-1463.4640791460329</v>
      </c>
      <c r="P2911">
        <f>-682.954504105849 -283.874584139973 -207.844381931236</f>
        <v>-1174.6734701770581</v>
      </c>
      <c r="Q2911">
        <f>-535.74511276874 -116.009758874499 -298.407651888588</f>
        <v>-950.16252353182699</v>
      </c>
      <c r="R2911" t="s">
        <v>31261</v>
      </c>
      <c r="S2911" t="s">
        <v>31262</v>
      </c>
      <c r="T2911" t="s">
        <v>31263</v>
      </c>
      <c r="U2911" t="s">
        <v>31264</v>
      </c>
      <c r="V2911">
        <f>-657.67668296884 -165.921066433676 -73.6014001768405</f>
        <v>-897.19914957935646</v>
      </c>
      <c r="W2911" t="s">
        <v>31265</v>
      </c>
      <c r="X2911" t="s">
        <v>31266</v>
      </c>
      <c r="Y2911" t="s">
        <v>31267</v>
      </c>
    </row>
    <row r="2912" spans="1:25" x14ac:dyDescent="0.3">
      <c r="A2912">
        <v>145550</v>
      </c>
      <c r="B2912" t="s">
        <v>31268</v>
      </c>
      <c r="C2912">
        <f>-681.870690700986 -71.3228755295705 -76.0302167963388</f>
        <v>-829.22378302689526</v>
      </c>
      <c r="D2912">
        <f>-714.694263409033 -83.8847159752102 -186.397852738257</f>
        <v>-984.97683212250024</v>
      </c>
      <c r="E2912">
        <f>-728.007893988995 -90.2691976021162 -283.91024542965</f>
        <v>-1102.1873370207611</v>
      </c>
      <c r="F2912">
        <f>-734.570978383163 -94.5186611096931 -372.663368989212</f>
        <v>-1201.7530084820683</v>
      </c>
      <c r="G2912">
        <f>-735.27343764608 -97.2432196967866 -461.715562217858</f>
        <v>-1294.2322195607246</v>
      </c>
      <c r="H2912">
        <f>-730.084114362272 -99.5207968651226 -586.169293443804</f>
        <v>-1415.7742046711987</v>
      </c>
      <c r="I2912">
        <f>-695.23032620401 -93.2891250643754 -661.345028404276</f>
        <v>-1449.8644796726614</v>
      </c>
      <c r="J2912">
        <f>-737.19030527104 -71.2413523003565 -532.103768360811</f>
        <v>-1340.5354259322075</v>
      </c>
      <c r="K2912" t="s">
        <v>31269</v>
      </c>
      <c r="L2912" t="s">
        <v>31270</v>
      </c>
      <c r="M2912" t="s">
        <v>31271</v>
      </c>
      <c r="N2912">
        <f>-727.54498896285 -125.79566053623 -530.70300056705</f>
        <v>-1384.0436500661299</v>
      </c>
      <c r="O2912">
        <f>-705.408095132612 -257.966411366907 -500.04319643217</f>
        <v>-1463.4177029316888</v>
      </c>
      <c r="P2912">
        <f>-682.993923926218 -283.897635834781 -207.782328632026</f>
        <v>-1174.673888393025</v>
      </c>
      <c r="Q2912">
        <f>-535.716593934503 -115.975835231385 -298.129315160906</f>
        <v>-949.82174432679392</v>
      </c>
      <c r="R2912" t="s">
        <v>31272</v>
      </c>
      <c r="S2912" t="s">
        <v>31273</v>
      </c>
      <c r="T2912" t="s">
        <v>31274</v>
      </c>
      <c r="U2912" t="s">
        <v>31275</v>
      </c>
      <c r="V2912">
        <f>-657.689033410235 -165.862333603613 -73.5818148945231</f>
        <v>-897.13318190837106</v>
      </c>
      <c r="W2912" t="s">
        <v>31276</v>
      </c>
      <c r="X2912" t="s">
        <v>31277</v>
      </c>
      <c r="Y2912" t="s">
        <v>31278</v>
      </c>
    </row>
    <row r="2913" spans="1:25" x14ac:dyDescent="0.3">
      <c r="A2913">
        <v>145600</v>
      </c>
      <c r="B2913" t="s">
        <v>31279</v>
      </c>
      <c r="C2913">
        <f>-681.902853812155 -71.4541262595635 -76.0136096110147</f>
        <v>-829.37058968273311</v>
      </c>
      <c r="D2913">
        <f>-714.744686876693 -84.0783353986668 -186.36888280657</f>
        <v>-985.1919050819298</v>
      </c>
      <c r="E2913">
        <f>-728.060923238475 -90.4909821784127 -283.878908516876</f>
        <v>-1102.4308139337636</v>
      </c>
      <c r="F2913">
        <f>-734.620909824183 -94.7547194264519 -372.63154750572</f>
        <v>-1202.0071767563547</v>
      </c>
      <c r="G2913">
        <f>-735.314613358074 -97.4810935084101 -461.683880179852</f>
        <v>-1294.4795870463361</v>
      </c>
      <c r="H2913">
        <f>-730.107524295345 -99.7478704522898 -586.136907488413</f>
        <v>-1415.9923022360479</v>
      </c>
      <c r="I2913">
        <f>-695.240594881006 -93.5222308520836 -661.307211863156</f>
        <v>-1450.0700375962456</v>
      </c>
      <c r="J2913">
        <f>-737.250181076673 -71.4783028731146 -532.071088889989</f>
        <v>-1340.7995728397766</v>
      </c>
      <c r="K2913" t="s">
        <v>31280</v>
      </c>
      <c r="L2913" t="s">
        <v>31281</v>
      </c>
      <c r="M2913" t="s">
        <v>31282</v>
      </c>
      <c r="N2913">
        <f>-727.547659209922 -126.022473539287 -530.671590031462</f>
        <v>-1384.2417227806709</v>
      </c>
      <c r="O2913">
        <f>-705.295521801697 -258.158743505963 -499.980488923881</f>
        <v>-1463.4347542315409</v>
      </c>
      <c r="P2913">
        <f>-682.448029436414 -284.384846022301 -207.779612989153</f>
        <v>-1174.6124884478681</v>
      </c>
      <c r="Q2913">
        <f>-535.631407322947 -115.907238712335 -297.840975965605</f>
        <v>-949.37962200088703</v>
      </c>
      <c r="R2913" t="s">
        <v>31283</v>
      </c>
      <c r="S2913" t="s">
        <v>31284</v>
      </c>
      <c r="T2913" t="s">
        <v>31285</v>
      </c>
      <c r="U2913" t="s">
        <v>31286</v>
      </c>
      <c r="V2913">
        <f>-657.73028249118 -165.989590853554 -73.5173981511398</f>
        <v>-897.23727149587376</v>
      </c>
      <c r="W2913" t="s">
        <v>31287</v>
      </c>
      <c r="X2913" t="s">
        <v>31288</v>
      </c>
      <c r="Y2913" t="s">
        <v>31289</v>
      </c>
    </row>
    <row r="2914" spans="1:25" x14ac:dyDescent="0.3">
      <c r="A2914">
        <v>145650</v>
      </c>
      <c r="B2914" t="s">
        <v>31290</v>
      </c>
      <c r="C2914">
        <f>-681.909800471748 -71.6157130438373 -76.0191355896029</f>
        <v>-829.54464910518823</v>
      </c>
      <c r="D2914">
        <f>-714.748999339897 -84.2887633265236 -186.369581985053</f>
        <v>-985.40734465147352</v>
      </c>
      <c r="E2914">
        <f>-728.068231115898 -90.7201206236181 -283.877946632704</f>
        <v>-1102.6662983722201</v>
      </c>
      <c r="F2914">
        <f>-734.632851058533 -94.9908985286653 -372.629885299116</f>
        <v>-1202.2536348863143</v>
      </c>
      <c r="G2914">
        <f>-735.333090603093 -97.7139777896937 -461.682314384998</f>
        <v>-1294.7293827777846</v>
      </c>
      <c r="H2914">
        <f>-730.137201263326 -99.9646904948886 -586.136197779103</f>
        <v>-1416.2380895373176</v>
      </c>
      <c r="I2914">
        <f>-695.272248151412 -93.7441753828 -661.307774170782</f>
        <v>-1450.3241977049938</v>
      </c>
      <c r="J2914">
        <f>-737.292999570921 -71.7053478070656 -532.066615842029</f>
        <v>-1341.0649632200157</v>
      </c>
      <c r="K2914" t="s">
        <v>31291</v>
      </c>
      <c r="L2914" t="s">
        <v>31292</v>
      </c>
      <c r="M2914" t="s">
        <v>31293</v>
      </c>
      <c r="N2914">
        <f>-727.554297128712 -126.243212609689 -530.673666771238</f>
        <v>-1384.471176509639</v>
      </c>
      <c r="O2914">
        <f>-705.215573745206 -258.361143870994 -499.963679728505</f>
        <v>-1463.5403973447051</v>
      </c>
      <c r="P2914">
        <f>-682.331173837003 -284.217065179304 -207.732688411531</f>
        <v>-1174.2809274278379</v>
      </c>
      <c r="Q2914">
        <f>-535.381500231508 -116.001065688344 -298.06563336532</f>
        <v>-949.448199285172</v>
      </c>
      <c r="R2914" t="s">
        <v>31294</v>
      </c>
      <c r="S2914" t="s">
        <v>31295</v>
      </c>
      <c r="T2914" t="s">
        <v>31296</v>
      </c>
      <c r="U2914" t="s">
        <v>31297</v>
      </c>
      <c r="V2914">
        <f>-657.704973434568 -166.117732159429 -73.5045245394082</f>
        <v>-897.32723013340524</v>
      </c>
      <c r="W2914" t="s">
        <v>31298</v>
      </c>
      <c r="X2914" t="s">
        <v>31299</v>
      </c>
      <c r="Y2914" t="s">
        <v>31300</v>
      </c>
    </row>
    <row r="2915" spans="1:25" x14ac:dyDescent="0.3">
      <c r="A2915">
        <v>145700</v>
      </c>
      <c r="B2915" t="s">
        <v>31301</v>
      </c>
      <c r="C2915">
        <f>-681.994988111605 -71.7896835320706 -76.0263292954205</f>
        <v>-829.81100093909617</v>
      </c>
      <c r="D2915">
        <f>-714.858112666881 -84.5246424722775 -186.362454587496</f>
        <v>-985.74520972665448</v>
      </c>
      <c r="E2915">
        <f>-728.182396415135 -90.9881999284204 -283.868023912376</f>
        <v>-1103.0386202559314</v>
      </c>
      <c r="F2915">
        <f>-734.744831101936 -95.2798827181199 -372.619162059195</f>
        <v>-1202.643875879251</v>
      </c>
      <c r="G2915">
        <f>-735.436015269102 -98.0153349715189 -461.671238966887</f>
        <v>-1295.1225892075079</v>
      </c>
      <c r="H2915">
        <f>-730.22002816976 -100.274150470192 -586.124038464405</f>
        <v>-1416.618217104357</v>
      </c>
      <c r="I2915">
        <f>-695.369799825239 -94.048698306292 -661.302063005433</f>
        <v>-1450.7205611369641</v>
      </c>
      <c r="J2915">
        <f>-737.412465228191 -72.0162446484176 -532.058639353614</f>
        <v>-1341.4873492302227</v>
      </c>
      <c r="K2915" t="s">
        <v>31302</v>
      </c>
      <c r="L2915" t="s">
        <v>31303</v>
      </c>
      <c r="M2915" t="s">
        <v>31304</v>
      </c>
      <c r="N2915">
        <f>-727.618220461273 -126.544033401948 -530.65846909872</f>
        <v>-1384.8207229619411</v>
      </c>
      <c r="O2915">
        <f>-705.219199465979 -258.64119909072 -499.876687611706</f>
        <v>-1463.7370861684051</v>
      </c>
      <c r="P2915">
        <f>-682.231833806264 -284.288103430694 -207.635214296946</f>
        <v>-1174.155151533904</v>
      </c>
      <c r="Q2915">
        <f>-535.626017193998 -116.130034633066 -298.632468707406</f>
        <v>-950.38852053446999</v>
      </c>
      <c r="R2915" t="s">
        <v>31305</v>
      </c>
      <c r="S2915" t="s">
        <v>31306</v>
      </c>
      <c r="T2915" t="s">
        <v>31307</v>
      </c>
      <c r="U2915" t="s">
        <v>31308</v>
      </c>
      <c r="V2915">
        <f>-657.73347392417 -166.196164745235 -73.4682584927181</f>
        <v>-897.39789716212306</v>
      </c>
      <c r="W2915" t="s">
        <v>31309</v>
      </c>
      <c r="X2915" t="s">
        <v>31310</v>
      </c>
      <c r="Y2915" t="s">
        <v>31311</v>
      </c>
    </row>
    <row r="2916" spans="1:25" x14ac:dyDescent="0.3">
      <c r="A2916">
        <v>145750</v>
      </c>
      <c r="B2916" t="s">
        <v>31312</v>
      </c>
      <c r="C2916">
        <f>-682.076478684384 -71.9324603882694 -76.0165752421271</f>
        <v>-830.02551431478059</v>
      </c>
      <c r="D2916">
        <f>-714.933555339792 -84.6949752445123 -186.35126171282</f>
        <v>-985.97979229712428</v>
      </c>
      <c r="E2916">
        <f>-728.242715225357 -91.1734378203342 -283.857973085364</f>
        <v>-1103.2741261310553</v>
      </c>
      <c r="F2916">
        <f>-734.787221205513 -95.4746947178493 -372.609870524021</f>
        <v>-1202.8717864473833</v>
      </c>
      <c r="G2916">
        <f>-735.456761000368 -98.2150730184819 -461.662094759427</f>
        <v>-1295.3339287782769</v>
      </c>
      <c r="H2916">
        <f>-730.20630944418 -100.475897169085 -586.113361509395</f>
        <v>-1416.7955681226599</v>
      </c>
      <c r="I2916">
        <f>-695.35214100642 -94.2408670883352 -661.288825197325</f>
        <v>-1450.88183329208</v>
      </c>
      <c r="J2916">
        <f>-737.429984850685 -72.2199911829938 -532.051098373429</f>
        <v>-1341.7010744071076</v>
      </c>
      <c r="K2916" t="s">
        <v>31313</v>
      </c>
      <c r="L2916" t="s">
        <v>31314</v>
      </c>
      <c r="M2916" t="s">
        <v>31315</v>
      </c>
      <c r="N2916">
        <f>-727.603635444005 -126.741967383788 -530.646082773544</f>
        <v>-1384.9916856013369</v>
      </c>
      <c r="O2916">
        <f>-705.15253071084 -258.818439873391 -499.842923243298</f>
        <v>-1463.813893827529</v>
      </c>
      <c r="P2916">
        <f>-682.229720008162 -284.328944016676 -207.584441236601</f>
        <v>-1174.1431052614389</v>
      </c>
      <c r="Q2916">
        <f>-535.565165677473 -116.282416098463 -298.692943071128</f>
        <v>-950.54052484706403</v>
      </c>
      <c r="R2916" t="s">
        <v>31316</v>
      </c>
      <c r="S2916" t="s">
        <v>31317</v>
      </c>
      <c r="T2916" t="s">
        <v>31318</v>
      </c>
      <c r="U2916" t="s">
        <v>31319</v>
      </c>
      <c r="V2916">
        <f>-657.811027085456 -166.402735263038 -73.4499370804695</f>
        <v>-897.66369942896347</v>
      </c>
      <c r="W2916" t="s">
        <v>31320</v>
      </c>
      <c r="X2916" t="s">
        <v>31321</v>
      </c>
      <c r="Y2916" t="s">
        <v>31322</v>
      </c>
    </row>
    <row r="2917" spans="1:25" x14ac:dyDescent="0.3">
      <c r="A2917">
        <v>145800</v>
      </c>
      <c r="B2917" t="s">
        <v>31323</v>
      </c>
      <c r="C2917">
        <f>-682.113822785012 -72.017990040618 -76.0166645421044</f>
        <v>-830.14847736773436</v>
      </c>
      <c r="D2917">
        <f>-714.99560493843 -84.7907006857761 -186.342846879615</f>
        <v>-986.12915250382105</v>
      </c>
      <c r="E2917">
        <f>-728.306058823558 -91.2810200347328 -283.848490499651</f>
        <v>-1103.4355693579419</v>
      </c>
      <c r="F2917">
        <f>-734.843643968407 -95.5937051110128 -372.600472963546</f>
        <v>-1203.0378220429659</v>
      </c>
      <c r="G2917">
        <f>-735.498191578586 -98.3458947973936 -461.652321815267</f>
        <v>-1295.4964081912467</v>
      </c>
      <c r="H2917">
        <f>-730.218632653028 -100.623104992599 -586.102250730834</f>
        <v>-1416.943988376461</v>
      </c>
      <c r="I2917">
        <f>-695.357781149291 -94.3865267574514 -661.274320300757</f>
        <v>-1451.0186282074994</v>
      </c>
      <c r="J2917">
        <f>-737.468869497878 -72.3627572501406 -532.045765688014</f>
        <v>-1341.8773924360326</v>
      </c>
      <c r="K2917" t="s">
        <v>31324</v>
      </c>
      <c r="L2917" t="s">
        <v>31325</v>
      </c>
      <c r="M2917" t="s">
        <v>31326</v>
      </c>
      <c r="N2917">
        <f>-727.614926819041 -126.87930238425 -530.63011745854</f>
        <v>-1385.1243466618309</v>
      </c>
      <c r="O2917">
        <f>-705.118791221198 -258.947994263232 -499.797320802386</f>
        <v>-1463.864106286816</v>
      </c>
      <c r="P2917">
        <f>-682.125330943297 -284.591966120172 -207.556132037079</f>
        <v>-1174.2734291005481</v>
      </c>
      <c r="Q2917">
        <f>-535.694182170228 -116.222466172426 -298.443581208557</f>
        <v>-950.36022955121109</v>
      </c>
      <c r="R2917" t="s">
        <v>31327</v>
      </c>
      <c r="S2917" t="s">
        <v>31328</v>
      </c>
      <c r="T2917" t="s">
        <v>31329</v>
      </c>
      <c r="U2917" t="s">
        <v>31330</v>
      </c>
      <c r="V2917">
        <f>-657.837834739559 -166.432139746148 -73.4419291059713</f>
        <v>-897.71190359167827</v>
      </c>
      <c r="W2917" t="s">
        <v>31331</v>
      </c>
      <c r="X2917" t="s">
        <v>31332</v>
      </c>
      <c r="Y2917" t="s">
        <v>31333</v>
      </c>
    </row>
    <row r="2918" spans="1:25" x14ac:dyDescent="0.3">
      <c r="A2918">
        <v>145850</v>
      </c>
      <c r="B2918" t="s">
        <v>31334</v>
      </c>
      <c r="C2918">
        <f>-682.164539248482 -72.1086677034388 -76.0615512048188</f>
        <v>-830.33475815673955</v>
      </c>
      <c r="D2918">
        <f>-715.071468869743 -84.8887628369918 -186.379465867413</f>
        <v>-986.33969757414775</v>
      </c>
      <c r="E2918">
        <f>-728.375856524868 -91.3690974928505 -283.886664835392</f>
        <v>-1103.6316188531105</v>
      </c>
      <c r="F2918">
        <f>-734.896921001897 -95.6643092890617 -372.640628582986</f>
        <v>-1203.2018588739447</v>
      </c>
      <c r="G2918">
        <f>-735.524217032945 -98.3890067060322 -461.693612094788</f>
        <v>-1295.6068358337652</v>
      </c>
      <c r="H2918">
        <f>-730.195500329652 -100.616290762776 -586.142078990502</f>
        <v>-1416.9538700829298</v>
      </c>
      <c r="I2918">
        <f>-695.296534386755 -94.3630952516556 -661.295237421952</f>
        <v>-1450.9548670603626</v>
      </c>
      <c r="J2918">
        <f>-737.498126340676 -72.3831825222562 -532.078455479918</f>
        <v>-1341.9597643428501</v>
      </c>
      <c r="K2918" t="s">
        <v>31335</v>
      </c>
      <c r="L2918" t="s">
        <v>31336</v>
      </c>
      <c r="M2918" t="s">
        <v>31337</v>
      </c>
      <c r="N2918">
        <f>-727.582637383761 -126.889114364306 -530.67841248905</f>
        <v>-1385.150164237117</v>
      </c>
      <c r="O2918">
        <f>-704.990107066212 -258.939441981953 -499.864705060426</f>
        <v>-1463.7942541085908</v>
      </c>
      <c r="P2918">
        <f>-682.264505768311 -284.46919737066 -207.59275304482</f>
        <v>-1174.3264561837909</v>
      </c>
      <c r="Q2918">
        <f>-535.798977412148 -115.945127806604 -298.137327150136</f>
        <v>-949.881432368888</v>
      </c>
      <c r="R2918" t="s">
        <v>31338</v>
      </c>
      <c r="S2918" t="s">
        <v>31339</v>
      </c>
      <c r="T2918" t="s">
        <v>31340</v>
      </c>
      <c r="U2918" t="s">
        <v>31341</v>
      </c>
      <c r="V2918">
        <f>-657.831375585104 -166.430562135508 -73.4911268719584</f>
        <v>-897.75306459257035</v>
      </c>
      <c r="W2918" t="s">
        <v>31342</v>
      </c>
      <c r="X2918" t="s">
        <v>31343</v>
      </c>
      <c r="Y2918" t="s">
        <v>31344</v>
      </c>
    </row>
    <row r="2919" spans="1:25" x14ac:dyDescent="0.3">
      <c r="A2919">
        <v>145900</v>
      </c>
      <c r="B2919" t="s">
        <v>31345</v>
      </c>
      <c r="C2919">
        <f>-682.312118695991 -72.1698076886577 -76.0695635901018</f>
        <v>-830.55148997475044</v>
      </c>
      <c r="D2919">
        <f>-715.230885509294 -84.953244799867 -186.383439793196</f>
        <v>-986.56757010235697</v>
      </c>
      <c r="E2919">
        <f>-728.541978180439 -91.4166691252146 -283.890939470941</f>
        <v>-1103.8495867765946</v>
      </c>
      <c r="F2919">
        <f>-735.067390472587 -95.6891640486107 -372.645672407574</f>
        <v>-1203.4022269287716</v>
      </c>
      <c r="G2919">
        <f>-735.696873310636 -98.3836742364205 -461.699438624966</f>
        <v>-1295.7799861720223</v>
      </c>
      <c r="H2919">
        <f>-730.369115668669 -100.560957988855 -586.149092626481</f>
        <v>-1417.0791662840049</v>
      </c>
      <c r="I2919">
        <f>-695.431889584048 -94.2879562469818 -661.282689773138</f>
        <v>-1451.0025356041679</v>
      </c>
      <c r="J2919">
        <f>-737.686383221714 -72.3524016185592 -532.074583646061</f>
        <v>-1342.1133684863341</v>
      </c>
      <c r="K2919" t="s">
        <v>31346</v>
      </c>
      <c r="L2919" t="s">
        <v>31347</v>
      </c>
      <c r="M2919" t="s">
        <v>31348</v>
      </c>
      <c r="N2919">
        <f>-727.740850988059 -126.853309529265 -530.695384253615</f>
        <v>-1385.2895447709391</v>
      </c>
      <c r="O2919">
        <f>-705.096330529479 -258.908309100983 -499.912458552544</f>
        <v>-1463.9170981830059</v>
      </c>
      <c r="P2919">
        <f>-682.301289037764 -284.414098829945 -207.643762366449</f>
        <v>-1174.3591502341581</v>
      </c>
      <c r="Q2919">
        <f>-536.103979114385 -115.892891667838 -298.626321781201</f>
        <v>-950.62319256342391</v>
      </c>
      <c r="R2919" t="s">
        <v>31349</v>
      </c>
      <c r="S2919" t="s">
        <v>31350</v>
      </c>
      <c r="T2919" t="s">
        <v>31351</v>
      </c>
      <c r="U2919" t="s">
        <v>31352</v>
      </c>
      <c r="V2919">
        <f>-657.955253499588 -166.420934774659 -73.5037110238007</f>
        <v>-897.8798992980478</v>
      </c>
      <c r="W2919" t="s">
        <v>31353</v>
      </c>
      <c r="X2919" t="s">
        <v>31354</v>
      </c>
      <c r="Y2919" t="s">
        <v>31355</v>
      </c>
    </row>
    <row r="2920" spans="1:25" x14ac:dyDescent="0.3">
      <c r="A2920">
        <v>145950</v>
      </c>
      <c r="B2920" t="s">
        <v>31356</v>
      </c>
      <c r="C2920">
        <f>-682.445243268266 -72.2872690183195 -76.0870915347527</f>
        <v>-830.81960382133832</v>
      </c>
      <c r="D2920">
        <f>-715.393857208546 -85.0572068901428 -186.39377875003</f>
        <v>-986.84484284871883</v>
      </c>
      <c r="E2920">
        <f>-728.723918523115 -91.5069173673727 -283.899362046575</f>
        <v>-1104.1301979370628</v>
      </c>
      <c r="F2920">
        <f>-735.263602683914 -95.7663150152678 -372.653793840973</f>
        <v>-1203.6837115401547</v>
      </c>
      <c r="G2920">
        <f>-735.904499781604 -98.4471276737358 -461.707984327391</f>
        <v>-1296.0596117827308</v>
      </c>
      <c r="H2920">
        <f>-730.589393190202 -100.604834180988 -586.158285099391</f>
        <v>-1417.3525124705811</v>
      </c>
      <c r="I2920">
        <f>-695.641206876057 -94.3246309509608 -661.286331969915</f>
        <v>-1451.2521697969328</v>
      </c>
      <c r="J2920">
        <f>-737.899864576136 -72.4044595515281 -532.078682250872</f>
        <v>-1342.3830063785363</v>
      </c>
      <c r="K2920" t="s">
        <v>31357</v>
      </c>
      <c r="L2920" t="s">
        <v>31358</v>
      </c>
      <c r="M2920" t="s">
        <v>31359</v>
      </c>
      <c r="N2920">
        <f>-727.956691825663 -126.906112455395 -530.709034536863</f>
        <v>-1385.5718388179212</v>
      </c>
      <c r="O2920">
        <f>-705.370837008102 -258.976353027341 -499.958997201319</f>
        <v>-1464.3061872367621</v>
      </c>
      <c r="P2920">
        <f>-682.344741650222 -284.750930150673 -207.732010517955</f>
        <v>-1174.8276823188498</v>
      </c>
      <c r="Q2920">
        <f>-536.308629422116 -116.193857681801 -298.906768865069</f>
        <v>-951.40925596898603</v>
      </c>
      <c r="R2920" t="s">
        <v>31360</v>
      </c>
      <c r="S2920" t="s">
        <v>31361</v>
      </c>
      <c r="T2920" t="s">
        <v>31362</v>
      </c>
      <c r="U2920" t="s">
        <v>31363</v>
      </c>
      <c r="V2920">
        <f>-658.119305544078 -166.550573356668 -73.5184559289559</f>
        <v>-898.18833482970183</v>
      </c>
      <c r="W2920" t="s">
        <v>31364</v>
      </c>
      <c r="X2920" t="s">
        <v>31365</v>
      </c>
      <c r="Y2920" t="s">
        <v>31366</v>
      </c>
    </row>
    <row r="2921" spans="1:25" x14ac:dyDescent="0.3">
      <c r="A2921">
        <v>146000</v>
      </c>
      <c r="B2921" t="s">
        <v>31367</v>
      </c>
      <c r="C2921">
        <f>-682.694725620985 -72.3643315587997 -76.097202442517</f>
        <v>-831.1562596223016</v>
      </c>
      <c r="D2921">
        <f>-715.645147249139 -85.1222255026366 -186.404670326777</f>
        <v>-987.17204307855263</v>
      </c>
      <c r="E2921">
        <f>-728.947824029511 -91.5276122336094 -283.917057612516</f>
        <v>-1104.3924938756363</v>
      </c>
      <c r="F2921">
        <f>-735.450653596742 -95.7329293239858 -372.676663227899</f>
        <v>-1203.8602461486266</v>
      </c>
      <c r="G2921">
        <f>-736.042289865404 -98.3456532374048 -461.733137575936</f>
        <v>-1296.1210806787449</v>
      </c>
      <c r="H2921">
        <f>-730.645708686766 -100.393704529931 -586.181997871773</f>
        <v>-1417.2214110884702</v>
      </c>
      <c r="I2921">
        <f>-695.64491717726 -94.0906758247204 -661.283605364971</f>
        <v>-1451.0191983669515</v>
      </c>
      <c r="J2921">
        <f>-737.984850114102 -72.239794051368 -532.082053935767</f>
        <v>-1342.3066981012371</v>
      </c>
      <c r="K2921" t="s">
        <v>31368</v>
      </c>
      <c r="L2921" t="s">
        <v>31369</v>
      </c>
      <c r="M2921" t="s">
        <v>31370</v>
      </c>
      <c r="N2921">
        <f>-728.056148564845 -126.745162062303 -530.754451092616</f>
        <v>-1385.5557617197642</v>
      </c>
      <c r="O2921">
        <f>-705.590855705544 -258.855251931454 -500.132039133802</f>
        <v>-1464.5781467708</v>
      </c>
      <c r="P2921">
        <f>-682.642111317415 -285.051375742074 -207.936410491444</f>
        <v>-1175.629897550933</v>
      </c>
      <c r="Q2921">
        <f>-536.480042383974 -116.48697058726 -298.895456455614</f>
        <v>-951.86246942684807</v>
      </c>
      <c r="R2921" t="s">
        <v>31371</v>
      </c>
      <c r="S2921" t="s">
        <v>31372</v>
      </c>
      <c r="T2921" t="s">
        <v>31373</v>
      </c>
      <c r="U2921" t="s">
        <v>31374</v>
      </c>
      <c r="V2921">
        <f>-658.39240761891 -166.622048091304 -73.5595228359059</f>
        <v>-898.57397854611997</v>
      </c>
      <c r="W2921" t="s">
        <v>31375</v>
      </c>
      <c r="X2921" t="s">
        <v>31376</v>
      </c>
      <c r="Y2921" t="s">
        <v>31377</v>
      </c>
    </row>
    <row r="2922" spans="1:25" x14ac:dyDescent="0.3">
      <c r="A2922">
        <v>146050</v>
      </c>
      <c r="B2922" t="s">
        <v>31378</v>
      </c>
      <c r="C2922">
        <f>-682.742746101174 -72.3293542468433 -76.1261294734607</f>
        <v>-831.19822982147798</v>
      </c>
      <c r="D2922">
        <f>-715.699423998299 -85.0813604733294 -186.432361759336</f>
        <v>-987.21314623096441</v>
      </c>
      <c r="E2922">
        <f>-728.9883865428 -91.4847324242805 -283.946743613614</f>
        <v>-1104.4198625806944</v>
      </c>
      <c r="F2922">
        <f>-735.470861381113 -95.68967466766 -372.707924892649</f>
        <v>-1203.868460941422</v>
      </c>
      <c r="G2922">
        <f>-736.034317537624 -98.3040894920473 -461.764609557853</f>
        <v>-1296.1030165875243</v>
      </c>
      <c r="H2922">
        <f>-730.589860691317 -100.356763600003 -586.211242279169</f>
        <v>-1417.157866570489</v>
      </c>
      <c r="I2922">
        <f>-695.552507251871 -94.0647605542983 -661.296752813917</f>
        <v>-1450.9140206200864</v>
      </c>
      <c r="J2922">
        <f>-737.931263959369 -72.1974540521417 -532.114405641011</f>
        <v>-1342.2431236525217</v>
      </c>
      <c r="K2922" t="s">
        <v>31379</v>
      </c>
      <c r="L2922" t="s">
        <v>31380</v>
      </c>
      <c r="M2922" t="s">
        <v>31381</v>
      </c>
      <c r="N2922">
        <f>-728.040043990414 -126.709401744326 -530.782400126155</f>
        <v>-1385.5318458608949</v>
      </c>
      <c r="O2922">
        <f>-705.627543682907 -258.844577212895 -500.181722939309</f>
        <v>-1464.6538438351108</v>
      </c>
      <c r="P2922">
        <f>-682.773721536641 -285.238505414012 -207.996397991726</f>
        <v>-1176.0086249423791</v>
      </c>
      <c r="Q2922">
        <f>-536.517951738136 -116.560079675249 -298.592881034015</f>
        <v>-951.67091244740004</v>
      </c>
      <c r="R2922" t="s">
        <v>31382</v>
      </c>
      <c r="S2922" t="s">
        <v>31383</v>
      </c>
      <c r="T2922" t="s">
        <v>31384</v>
      </c>
      <c r="U2922" t="s">
        <v>31385</v>
      </c>
      <c r="V2922">
        <f>-658.462680230378 -166.517251368379 -73.5894989492871</f>
        <v>-898.56943054804412</v>
      </c>
      <c r="W2922" t="s">
        <v>31386</v>
      </c>
      <c r="X2922" t="s">
        <v>31387</v>
      </c>
      <c r="Y2922" t="s">
        <v>31388</v>
      </c>
    </row>
    <row r="2923" spans="1:25" x14ac:dyDescent="0.3">
      <c r="A2923">
        <v>146100</v>
      </c>
      <c r="B2923" t="s">
        <v>31389</v>
      </c>
      <c r="C2923">
        <f>-682.818466311551 -72.2347669860195 -76.1630579588423</f>
        <v>-831.21629125641277</v>
      </c>
      <c r="D2923">
        <f>-715.798243883682 -85.0067509705883 -186.4600536083</f>
        <v>-987.26504846257023</v>
      </c>
      <c r="E2923">
        <f>-729.134766698184 -91.442851357671 -283.965865557514</f>
        <v>-1104.5434836133691</v>
      </c>
      <c r="F2923">
        <f>-735.671438974699 -95.684008667594 -372.721214425002</f>
        <v>-1204.0766620672948</v>
      </c>
      <c r="G2923">
        <f>-736.300009622033 -98.3422313568432 -461.776142736846</f>
        <v>-1296.4183837157223</v>
      </c>
      <c r="H2923">
        <f>-730.957690149241 -100.464590462352 -586.226058041624</f>
        <v>-1417.648338653217</v>
      </c>
      <c r="I2923">
        <f>-695.932528577465 -94.2174162011929 -661.320922315861</f>
        <v>-1451.4708670945188</v>
      </c>
      <c r="J2923">
        <f>-738.218026675262 -72.2682841439083 -532.137477952138</f>
        <v>-1342.6237887713082</v>
      </c>
      <c r="K2923" t="s">
        <v>31390</v>
      </c>
      <c r="L2923" t="s">
        <v>31391</v>
      </c>
      <c r="M2923" t="s">
        <v>31392</v>
      </c>
      <c r="N2923">
        <f>-728.399072779971 -126.792930385538 -530.786020644254</f>
        <v>-1385.978023809763</v>
      </c>
      <c r="O2923">
        <f>-706.110556046971 -258.948405963827 -500.198231861469</f>
        <v>-1465.2571938722672</v>
      </c>
      <c r="P2923">
        <f>-683.774098595242 -285.300324836714 -207.969096775293</f>
        <v>-1177.043520207249</v>
      </c>
      <c r="Q2923">
        <f>-537.116409800804 -116.927807421149 -298.484796437858</f>
        <v>-952.52901365981097</v>
      </c>
      <c r="R2923" t="s">
        <v>31393</v>
      </c>
      <c r="S2923" t="s">
        <v>31394</v>
      </c>
      <c r="T2923" t="s">
        <v>31395</v>
      </c>
      <c r="U2923" t="s">
        <v>31396</v>
      </c>
      <c r="V2923">
        <f>-658.562011751511 -166.369098593971 -73.6240387921024</f>
        <v>-898.55514913758441</v>
      </c>
      <c r="W2923" t="s">
        <v>31397</v>
      </c>
      <c r="X2923" t="s">
        <v>31398</v>
      </c>
      <c r="Y2923" t="s">
        <v>31399</v>
      </c>
    </row>
    <row r="2924" spans="1:25" x14ac:dyDescent="0.3">
      <c r="A2924">
        <v>146150</v>
      </c>
      <c r="B2924" t="s">
        <v>31400</v>
      </c>
      <c r="C2924">
        <f>-682.865632463965 -72.1805876842031 -76.1780662283138</f>
        <v>-831.22428637648193</v>
      </c>
      <c r="D2924">
        <f>-715.87946757762 -84.9656270310022 -186.463350985848</f>
        <v>-987.30844559447019</v>
      </c>
      <c r="E2924">
        <f>-729.277494459664 -91.4254262833094 -283.959104419305</f>
        <v>-1104.6620251622785</v>
      </c>
      <c r="F2924">
        <f>-735.882816314214 -95.6930513243685 -372.708109473299</f>
        <v>-1204.2839771118815</v>
      </c>
      <c r="G2924">
        <f>-736.59306822195 -98.3828705491032 -461.761489377916</f>
        <v>-1296.7374281489692</v>
      </c>
      <c r="H2924">
        <f>-731.37819649566 -100.554934904804 -586.216001144923</f>
        <v>-1418.1491325453869</v>
      </c>
      <c r="I2924">
        <f>-696.37436554152 -94.3366784508753 -661.323220597954</f>
        <v>-1452.0342645903493</v>
      </c>
      <c r="J2924">
        <f>-738.56921792671 -72.3346025189854 -532.130796169527</f>
        <v>-1343.0346166152226</v>
      </c>
      <c r="K2924" t="s">
        <v>31401</v>
      </c>
      <c r="L2924" t="s">
        <v>31402</v>
      </c>
      <c r="M2924" t="s">
        <v>31403</v>
      </c>
      <c r="N2924">
        <f>-728.776740767028 -126.863680872129 -530.768775370831</f>
        <v>-1386.409197009988</v>
      </c>
      <c r="O2924">
        <f>-706.562323180052 -259.034492936378 -500.170692113152</f>
        <v>-1465.7675082295818</v>
      </c>
      <c r="P2924">
        <f>-684.216516128964 -285.290697716666 -207.93359055658</f>
        <v>-1177.44080440221</v>
      </c>
      <c r="Q2924">
        <f>-537.515583033193 -117.069231646601 -298.659831183253</f>
        <v>-953.24464586304703</v>
      </c>
      <c r="R2924" t="s">
        <v>31404</v>
      </c>
      <c r="S2924" t="s">
        <v>31405</v>
      </c>
      <c r="T2924" t="s">
        <v>31406</v>
      </c>
      <c r="U2924" t="s">
        <v>31407</v>
      </c>
      <c r="V2924">
        <f>-658.651763319643 -166.299934064273 -73.6088457282178</f>
        <v>-898.56054311213381</v>
      </c>
      <c r="W2924" t="s">
        <v>31408</v>
      </c>
      <c r="X2924" t="s">
        <v>31409</v>
      </c>
      <c r="Y2924" t="s">
        <v>31410</v>
      </c>
    </row>
    <row r="2925" spans="1:25" x14ac:dyDescent="0.3">
      <c r="A2925">
        <v>146200</v>
      </c>
      <c r="B2925" t="s">
        <v>31411</v>
      </c>
      <c r="C2925">
        <f>-683.082854962805 -72.154483153314 -76.1825371431886</f>
        <v>-831.41987525930756</v>
      </c>
      <c r="D2925">
        <f>-716.147931107733 -84.9534689498947 -186.450845937609</f>
        <v>-987.55224599523672</v>
      </c>
      <c r="E2925">
        <f>-729.682379796207 -91.4522020728368 -283.925242804842</f>
        <v>-1105.0598246738859</v>
      </c>
      <c r="F2925">
        <f>-736.449046749863 -95.7651897941286 -372.65992742603</f>
        <v>-1204.8741639700215</v>
      </c>
      <c r="G2925">
        <f>-737.358467542539 -98.510195555926 -461.709765716007</f>
        <v>-1297.5784288144719</v>
      </c>
      <c r="H2925">
        <f>-732.461234222955 -100.76925422724 -586.17549091806</f>
        <v>-1419.405979368255</v>
      </c>
      <c r="I2925">
        <f>-697.524298177936 -94.6263464900437 -661.32007506267</f>
        <v>-1453.4707197306498</v>
      </c>
      <c r="J2925">
        <f>-739.505850951482 -72.509610600456 -532.091596294928</f>
        <v>-1344.1070578468659</v>
      </c>
      <c r="K2925" t="s">
        <v>31412</v>
      </c>
      <c r="L2925" t="s">
        <v>31413</v>
      </c>
      <c r="M2925" t="s">
        <v>31414</v>
      </c>
      <c r="N2925">
        <f>-729.72672721978 -127.040752712626 -530.71708475986</f>
        <v>-1387.4845646922658</v>
      </c>
      <c r="O2925">
        <f>-707.437569875249 -259.198654528989 -500.130603124552</f>
        <v>-1466.7668275287899</v>
      </c>
      <c r="P2925">
        <f>-684.95494516043 -285.593063127772 -207.916534521281</f>
        <v>-1178.464542809483</v>
      </c>
      <c r="Q2925">
        <f>-538.510116734428 -117.542992005374 -299.371159540482</f>
        <v>-955.42426828028397</v>
      </c>
      <c r="R2925" t="s">
        <v>31415</v>
      </c>
      <c r="S2925" t="s">
        <v>31416</v>
      </c>
      <c r="T2925" t="s">
        <v>31417</v>
      </c>
      <c r="U2925" t="s">
        <v>31418</v>
      </c>
      <c r="V2925">
        <f>-658.922084953014 -166.34953116384 -73.6082081004694</f>
        <v>-898.87982421732329</v>
      </c>
      <c r="W2925" t="s">
        <v>31419</v>
      </c>
      <c r="X2925" t="s">
        <v>31420</v>
      </c>
      <c r="Y2925" t="s">
        <v>31421</v>
      </c>
    </row>
    <row r="2926" spans="1:25" x14ac:dyDescent="0.3">
      <c r="A2926">
        <v>146250</v>
      </c>
      <c r="B2926" t="s">
        <v>31422</v>
      </c>
      <c r="C2926">
        <f>-683.195692259236 -72.0551309898115 -76.1666023571108</f>
        <v>-831.4174256061583</v>
      </c>
      <c r="D2926">
        <f>-716.286583688248 -84.8777977337413 -186.424389591546</f>
        <v>-987.58877101353528</v>
      </c>
      <c r="E2926">
        <f>-729.897158936635 -91.395330665842 -283.886870419746</f>
        <v>-1105.1793600222231</v>
      </c>
      <c r="F2926">
        <f>-736.754528292993 -95.724573125825 -372.613956881799</f>
        <v>-1205.093058300617</v>
      </c>
      <c r="G2926">
        <f>-737.776519609232 -98.4849009740753 -461.662053436962</f>
        <v>-1297.9234740202694</v>
      </c>
      <c r="H2926">
        <f>-733.059057767498 -100.763915631768 -586.134327554498</f>
        <v>-1419.9573009537639</v>
      </c>
      <c r="I2926">
        <f>-698.191776993361 -94.6402851937694 -661.31290587982</f>
        <v>-1454.1449680669505</v>
      </c>
      <c r="J2926">
        <f>-740.032734608865 -72.4967910840062 -532.045152597376</f>
        <v>-1344.5746782902472</v>
      </c>
      <c r="K2926" t="s">
        <v>31423</v>
      </c>
      <c r="L2926" t="s">
        <v>31424</v>
      </c>
      <c r="M2926" t="s">
        <v>31425</v>
      </c>
      <c r="N2926">
        <f>-730.237169054052 -127.025184570488 -530.675436839798</f>
        <v>-1387.9377904643379</v>
      </c>
      <c r="O2926">
        <f>-707.867382084644 -259.173369420752 -500.094453439267</f>
        <v>-1467.135204944663</v>
      </c>
      <c r="P2926">
        <f>-685.36391336078 -285.529648520056 -207.878500748981</f>
        <v>-1178.7720626298169</v>
      </c>
      <c r="Q2926">
        <f>-538.868269255504 -117.808557883254 -299.854204136281</f>
        <v>-956.53103127503891</v>
      </c>
      <c r="R2926" t="s">
        <v>31426</v>
      </c>
      <c r="S2926" t="s">
        <v>31427</v>
      </c>
      <c r="T2926" t="s">
        <v>31428</v>
      </c>
      <c r="U2926" t="s">
        <v>31429</v>
      </c>
      <c r="V2926">
        <f>-659.011311447568 -166.237080411315 -73.5881032194043</f>
        <v>-898.83649507828727</v>
      </c>
      <c r="W2926" t="s">
        <v>31430</v>
      </c>
      <c r="X2926" t="s">
        <v>31431</v>
      </c>
      <c r="Y2926" t="s">
        <v>31432</v>
      </c>
    </row>
    <row r="2927" spans="1:25" x14ac:dyDescent="0.3">
      <c r="A2927">
        <v>146300</v>
      </c>
      <c r="B2927" t="s">
        <v>31433</v>
      </c>
      <c r="C2927">
        <f>-683.310207444969 -71.7939050579062 -76.1279251447244</f>
        <v>-831.23203764759955</v>
      </c>
      <c r="D2927">
        <f>-716.432641406084 -84.6587969177302 -186.371361280712</f>
        <v>-987.46279960452625</v>
      </c>
      <c r="E2927">
        <f>-730.161447558866 -91.2152891559372 -283.81458673088</f>
        <v>-1105.1913234456833</v>
      </c>
      <c r="F2927">
        <f>-737.162908393232 -95.5800484611453 -372.528562546467</f>
        <v>-1205.2715194008442</v>
      </c>
      <c r="G2927">
        <f>-738.366216196414 -98.375265431152 -461.573503711793</f>
        <v>-1298.3149853393591</v>
      </c>
      <c r="H2927">
        <f>-733.940891238782 -100.701353091792 -586.055680208023</f>
        <v>-1420.6979245385969</v>
      </c>
      <c r="I2927">
        <f>-699.223773086885 -94.5947701586855 -661.304958536125</f>
        <v>-1455.1235017816955</v>
      </c>
      <c r="J2927">
        <f>-740.810176572904 -72.4179744187728 -531.961508342306</f>
        <v>-1345.1896593339829</v>
      </c>
      <c r="K2927" t="s">
        <v>31434</v>
      </c>
      <c r="L2927" t="s">
        <v>31435</v>
      </c>
      <c r="M2927" t="s">
        <v>31436</v>
      </c>
      <c r="N2927">
        <f>-730.966219196939 -126.937526116023 -530.592844094421</f>
        <v>-1388.496589407383</v>
      </c>
      <c r="O2927">
        <f>-708.457206128002 -259.063127779915 -500.013489288506</f>
        <v>-1467.5338231964229</v>
      </c>
      <c r="P2927">
        <f>-686.052291970274 -285.237441857814 -207.773732249835</f>
        <v>-1179.0634660779231</v>
      </c>
      <c r="Q2927">
        <f>-538.77391720135 -118.181967016702 -299.710809304932</f>
        <v>-956.66669352298402</v>
      </c>
      <c r="R2927" t="s">
        <v>31437</v>
      </c>
      <c r="S2927" t="s">
        <v>31438</v>
      </c>
      <c r="T2927" t="s">
        <v>31439</v>
      </c>
      <c r="U2927" t="s">
        <v>31440</v>
      </c>
      <c r="V2927">
        <f>-659.056797463492 -165.955985576114 -73.541021343944</f>
        <v>-898.55380438354996</v>
      </c>
      <c r="W2927" t="s">
        <v>31441</v>
      </c>
      <c r="X2927" t="s">
        <v>31442</v>
      </c>
      <c r="Y2927" t="s">
        <v>31443</v>
      </c>
    </row>
    <row r="2928" spans="1:25" x14ac:dyDescent="0.3">
      <c r="A2928">
        <v>146350</v>
      </c>
      <c r="B2928" t="s">
        <v>31444</v>
      </c>
      <c r="C2928">
        <f>-683.322474709977 -71.6419186623161 -76.1250366709038</f>
        <v>-831.0894300431969</v>
      </c>
      <c r="D2928">
        <f>-716.446390709131 -84.5364240040717 -186.364582470802</f>
        <v>-987.34739718400476</v>
      </c>
      <c r="E2928">
        <f>-730.228140932165 -91.1175327932028 -283.798759196962</f>
        <v>-1105.14443292233</v>
      </c>
      <c r="F2928">
        <f>-737.29858243967 -95.5042891751679 -372.506122224834</f>
        <v>-1205.3089938396718</v>
      </c>
      <c r="G2928">
        <f>-738.591667886321 -98.3212291047882 -461.548984386377</f>
        <v>-1298.4618813774864</v>
      </c>
      <c r="H2928">
        <f>-734.313442485799 -100.677299015363 -586.035796506132</f>
        <v>-1421.026538007294</v>
      </c>
      <c r="I2928">
        <f>-699.673390410734 -94.5778784009779 -661.321182896124</f>
        <v>-1455.5724517078359</v>
      </c>
      <c r="J2928">
        <f>-741.120499472727 -72.3811282157853 -531.940445902432</f>
        <v>-1345.4420735909443</v>
      </c>
      <c r="K2928" t="s">
        <v>31445</v>
      </c>
      <c r="L2928" t="s">
        <v>31446</v>
      </c>
      <c r="M2928" t="s">
        <v>31447</v>
      </c>
      <c r="N2928">
        <f>-731.271647373189 -126.899817141392 -530.570263214259</f>
        <v>-1388.74172772884</v>
      </c>
      <c r="O2928">
        <f>-708.736997096101 -259.021217305522 -499.999115492223</f>
        <v>-1467.757329893846</v>
      </c>
      <c r="P2928">
        <f>-686.317869104122 -285.127335175604 -207.754189070573</f>
        <v>-1179.199393350299</v>
      </c>
      <c r="Q2928">
        <f>-538.607507314772 -118.428296703486 -299.645243707615</f>
        <v>-956.68104772587299</v>
      </c>
      <c r="R2928" t="s">
        <v>31448</v>
      </c>
      <c r="S2928" t="s">
        <v>31449</v>
      </c>
      <c r="T2928" t="s">
        <v>31450</v>
      </c>
      <c r="U2928" t="s">
        <v>31451</v>
      </c>
      <c r="V2928">
        <f>-659.040251244226 -165.781863875898 -73.522819056411</f>
        <v>-898.34493417653505</v>
      </c>
      <c r="W2928" t="s">
        <v>31452</v>
      </c>
      <c r="X2928" t="s">
        <v>31453</v>
      </c>
      <c r="Y2928" t="s">
        <v>31454</v>
      </c>
    </row>
    <row r="2929" spans="1:25" x14ac:dyDescent="0.3">
      <c r="A2929">
        <v>146400</v>
      </c>
      <c r="B2929" t="s">
        <v>31455</v>
      </c>
      <c r="C2929">
        <f>-683.330472277919 -71.4032129086139 -76.1235591337</f>
        <v>-830.85724432023289</v>
      </c>
      <c r="D2929">
        <f>-716.461562191253 -84.3200590419358 -186.358337983554</f>
        <v>-987.13995921674291</v>
      </c>
      <c r="E2929">
        <f>-730.399359768257 -90.9127628258695 -283.769429244271</f>
        <v>-1105.0815518383974</v>
      </c>
      <c r="F2929">
        <f>-737.671989669138 -95.3069985079445 -372.460258954062</f>
        <v>-1205.4392471311446</v>
      </c>
      <c r="G2929">
        <f>-739.228142852098 -98.1277167922107 -461.498723885018</f>
        <v>-1298.8545835293266</v>
      </c>
      <c r="H2929">
        <f>-735.380508531811 -100.484963936329 -585.999540461764</f>
        <v>-1421.865012929904</v>
      </c>
      <c r="I2929">
        <f>-700.906047414705 -94.3883363122 -661.361178248866</f>
        <v>-1456.655561975771</v>
      </c>
      <c r="J2929">
        <f>-741.999295809865 -72.1880636996377 -531.8812184352</f>
        <v>-1346.0685779447026</v>
      </c>
      <c r="K2929" t="s">
        <v>31456</v>
      </c>
      <c r="L2929" t="s">
        <v>31457</v>
      </c>
      <c r="M2929" t="s">
        <v>31458</v>
      </c>
      <c r="N2929">
        <f>-732.148127139774 -126.707209184955 -530.544583185667</f>
        <v>-1389.3999195103961</v>
      </c>
      <c r="O2929">
        <f>-709.502634247818 -258.807466020255 -499.987843589778</f>
        <v>-1468.2979438578509</v>
      </c>
      <c r="P2929">
        <f>-686.757892928234 -284.851573494779 -207.762650860652</f>
        <v>-1179.3721172836649</v>
      </c>
      <c r="Q2929">
        <f>-538.935098915033 -118.143258535255 -299.455772981001</f>
        <v>-956.53413043128899</v>
      </c>
      <c r="R2929" t="s">
        <v>31459</v>
      </c>
      <c r="S2929" t="s">
        <v>31460</v>
      </c>
      <c r="T2929" t="s">
        <v>31461</v>
      </c>
      <c r="U2929" t="s">
        <v>31462</v>
      </c>
      <c r="V2929">
        <f>-659.042149615313 -165.489420795205 -73.5094876501174</f>
        <v>-898.04105806063535</v>
      </c>
      <c r="W2929" t="s">
        <v>31463</v>
      </c>
      <c r="X2929" t="s">
        <v>31464</v>
      </c>
      <c r="Y2929" t="s">
        <v>31465</v>
      </c>
    </row>
    <row r="2930" spans="1:25" x14ac:dyDescent="0.3">
      <c r="A2930">
        <v>146450</v>
      </c>
      <c r="B2930" t="s">
        <v>31466</v>
      </c>
      <c r="C2930">
        <f>-683.333077733982 -71.2511500905075 -76.1079978396544</f>
        <v>-830.69222566414396</v>
      </c>
      <c r="D2930">
        <f>-716.474409926098 -84.1736944849412 -186.338980800471</f>
        <v>-986.98708521151025</v>
      </c>
      <c r="E2930">
        <f>-730.486351757633 -90.783589004802 -283.738264569849</f>
        <v>-1105.008205332284</v>
      </c>
      <c r="F2930">
        <f>-737.852891830629 -95.1977760740037 -372.42031634047</f>
        <v>-1205.4709842451027</v>
      </c>
      <c r="G2930">
        <f>-739.530111009198 -98.0423013267932 -461.455924643261</f>
        <v>-1299.0283369792523</v>
      </c>
      <c r="H2930">
        <f>-735.879816690531 -100.436423349248 -585.96189667674</f>
        <v>-1422.2781367165189</v>
      </c>
      <c r="I2930">
        <f>-701.490045256037 -94.3524638243265 -661.363273708036</f>
        <v>-1457.2057827883996</v>
      </c>
      <c r="J2930">
        <f>-742.41927431432 -72.1247149527286 -531.841820878496</f>
        <v>-1346.3858101455446</v>
      </c>
      <c r="K2930" t="s">
        <v>31467</v>
      </c>
      <c r="L2930" t="s">
        <v>31468</v>
      </c>
      <c r="M2930" t="s">
        <v>31469</v>
      </c>
      <c r="N2930">
        <f>-732.552929498479 -126.641065335552 -530.504195800679</f>
        <v>-1389.69819063471</v>
      </c>
      <c r="O2930">
        <f>-709.828007234883 -258.726696159863 -499.948022912846</f>
        <v>-1468.502726307592</v>
      </c>
      <c r="P2930">
        <f>-686.909638347825 -284.567647905404 -207.718217452806</f>
        <v>-1179.195503706035</v>
      </c>
      <c r="Q2930">
        <f>-539.154443686991 -117.887804731329 -299.57188299688</f>
        <v>-956.61413141520006</v>
      </c>
      <c r="R2930" t="s">
        <v>31470</v>
      </c>
      <c r="S2930" t="s">
        <v>31471</v>
      </c>
      <c r="T2930" t="s">
        <v>31472</v>
      </c>
      <c r="U2930" t="s">
        <v>31473</v>
      </c>
      <c r="V2930">
        <f>-659.010254168067 -165.268702889769 -73.5065213275212</f>
        <v>-897.78547838535724</v>
      </c>
      <c r="W2930" t="s">
        <v>31474</v>
      </c>
      <c r="X2930" t="s">
        <v>31475</v>
      </c>
      <c r="Y2930" t="s">
        <v>31476</v>
      </c>
    </row>
    <row r="2931" spans="1:25" x14ac:dyDescent="0.3">
      <c r="A2931">
        <v>146500</v>
      </c>
      <c r="B2931" t="s">
        <v>31477</v>
      </c>
      <c r="C2931">
        <f>-683.384081770762 -71.078496075212 -76.0816568347896</f>
        <v>-830.54423468076357</v>
      </c>
      <c r="D2931">
        <f>-716.555618458615 -84.0113333064596 -186.302352789588</f>
        <v>-986.86930455466256</v>
      </c>
      <c r="E2931">
        <f>-730.70666470322 -90.6553247281714 -283.679326887627</f>
        <v>-1105.0413163190183</v>
      </c>
      <c r="F2931">
        <f>-738.245667956625 -95.1096623193372 -372.3447198927</f>
        <v>-1205.7000501686621</v>
      </c>
      <c r="G2931">
        <f>-740.142115067339 -98.0024648975534 -461.374299438569</f>
        <v>-1299.5188794034614</v>
      </c>
      <c r="H2931">
        <f>-736.847067611487 -100.471578692222 -585.888875427897</f>
        <v>-1423.207521731606</v>
      </c>
      <c r="I2931">
        <f>-702.608403893247 -94.4206039793082 -661.361630003635</f>
        <v>-1458.3906378761903</v>
      </c>
      <c r="J2931">
        <f>-743.253198047681 -72.1311880856421 -531.767805187951</f>
        <v>-1347.1521913212741</v>
      </c>
      <c r="K2931" t="s">
        <v>31478</v>
      </c>
      <c r="L2931" t="s">
        <v>31479</v>
      </c>
      <c r="M2931" t="s">
        <v>31480</v>
      </c>
      <c r="N2931">
        <f>-733.34092382849 -126.638971598371 -530.424541082877</f>
        <v>-1390.4044365097379</v>
      </c>
      <c r="O2931">
        <f>-710.389281825195 -258.686221248666 -499.844604944617</f>
        <v>-1468.920108018478</v>
      </c>
      <c r="P2931">
        <f>-687.010523957544 -284.286572499998 -207.63028460473</f>
        <v>-1178.9273810622719</v>
      </c>
      <c r="Q2931">
        <f>-539.845970111641 -117.211577833067 -299.713777278621</f>
        <v>-956.77132522332897</v>
      </c>
      <c r="R2931" t="s">
        <v>31481</v>
      </c>
      <c r="S2931" t="s">
        <v>31482</v>
      </c>
      <c r="T2931" t="s">
        <v>31483</v>
      </c>
      <c r="U2931" t="s">
        <v>31484</v>
      </c>
      <c r="V2931">
        <f>-659.066811605725 -165.041512384517 -73.4719096799074</f>
        <v>-897.58023367014937</v>
      </c>
      <c r="W2931" t="s">
        <v>31485</v>
      </c>
      <c r="X2931" t="s">
        <v>31486</v>
      </c>
      <c r="Y2931" t="s">
        <v>31487</v>
      </c>
    </row>
    <row r="2932" spans="1:25" x14ac:dyDescent="0.3">
      <c r="A2932">
        <v>146550</v>
      </c>
      <c r="B2932" t="s">
        <v>31488</v>
      </c>
      <c r="C2932">
        <f>-683.366465580198 -71.0823658292824 -76.0645838320404</f>
        <v>-830.51341524152076</v>
      </c>
      <c r="D2932">
        <f>-716.557481312262 -84.0278458713661 -186.277937081556</f>
        <v>-986.86326426518417</v>
      </c>
      <c r="E2932">
        <f>-730.780621278139 -90.6905296333389 -283.643016500337</f>
        <v>-1105.1141674118148</v>
      </c>
      <c r="F2932">
        <f>-738.407610392979 -95.1640248926229 -372.300102315095</f>
        <v>-1205.8717376006969</v>
      </c>
      <c r="G2932">
        <f>-740.415160820814 -98.0775180035234 -461.32663852677</f>
        <v>-1299.8193173511074</v>
      </c>
      <c r="H2932">
        <f>-737.299253162612 -100.576486395716 -585.84510023393</f>
        <v>-1423.7208397922579</v>
      </c>
      <c r="I2932">
        <f>-703.137318899203 -94.5407972376852 -661.353776327843</f>
        <v>-1459.0318924647313</v>
      </c>
      <c r="J2932">
        <f>-743.6441632 -72.2261369935394 -531.722135962129</f>
        <v>-1347.5924361556683</v>
      </c>
      <c r="K2932" t="s">
        <v>31489</v>
      </c>
      <c r="L2932" t="s">
        <v>31490</v>
      </c>
      <c r="M2932" t="s">
        <v>31491</v>
      </c>
      <c r="N2932">
        <f>-733.696655223856 -126.727504177441 -530.379282199359</f>
        <v>-1390.803441600656</v>
      </c>
      <c r="O2932">
        <f>-710.620570733758 -258.749371105219 -499.802603502189</f>
        <v>-1469.1725453411659</v>
      </c>
      <c r="P2932">
        <f>-687.066751473775 -284.25799533669 -207.594195877229</f>
        <v>-1178.918942687694</v>
      </c>
      <c r="Q2932">
        <f>-540.02836892914 -117.033189113132 -299.60753814548</f>
        <v>-956.66909618775207</v>
      </c>
      <c r="R2932" t="s">
        <v>31492</v>
      </c>
      <c r="S2932" t="s">
        <v>31493</v>
      </c>
      <c r="T2932" t="s">
        <v>31494</v>
      </c>
      <c r="U2932" t="s">
        <v>31495</v>
      </c>
      <c r="V2932">
        <f>-659.035880132038 -165.050663355703 -73.4607322627312</f>
        <v>-897.54727575047218</v>
      </c>
      <c r="W2932" t="s">
        <v>31496</v>
      </c>
      <c r="X2932" t="s">
        <v>31497</v>
      </c>
      <c r="Y2932" t="s">
        <v>31498</v>
      </c>
    </row>
    <row r="2933" spans="1:25" x14ac:dyDescent="0.3">
      <c r="A2933">
        <v>146600</v>
      </c>
      <c r="B2933" t="s">
        <v>31499</v>
      </c>
      <c r="C2933">
        <f>-683.378672220947 -71.1355303400322 -76.0483809713666</f>
        <v>-830.5625835323458</v>
      </c>
      <c r="D2933">
        <f>-716.579981479105 -84.1018683178313 -186.256161376693</f>
        <v>-986.93801117362932</v>
      </c>
      <c r="E2933">
        <f>-730.865386209903 -90.7804184528894 -283.611102545166</f>
        <v>-1105.2569072079584</v>
      </c>
      <c r="F2933">
        <f>-738.570499129502 -95.2672281630923 -372.260612782468</f>
        <v>-1206.0983400750624</v>
      </c>
      <c r="G2933">
        <f>-740.677992603949 -98.1922861840727 -461.284474041742</f>
        <v>-1300.1547528297638</v>
      </c>
      <c r="H2933">
        <f>-737.724597939609 -100.705050598919 -585.80669484331</f>
        <v>-1424.236343381838</v>
      </c>
      <c r="I2933">
        <f>-703.634330402546 -94.677705984727 -661.34833991379</f>
        <v>-1459.660376301063</v>
      </c>
      <c r="J2933">
        <f>-744.016940327691 -72.3519577566426 -531.678914425199</f>
        <v>-1348.0478125095326</v>
      </c>
      <c r="K2933" t="s">
        <v>31500</v>
      </c>
      <c r="L2933" t="s">
        <v>31501</v>
      </c>
      <c r="M2933" t="s">
        <v>31502</v>
      </c>
      <c r="N2933">
        <f>-734.031528782754 -126.846680403466 -530.342434561276</f>
        <v>-1391.2206437474961</v>
      </c>
      <c r="O2933">
        <f>-710.834757274132 -258.849373039487 -499.753946598093</f>
        <v>-1469.438076911712</v>
      </c>
      <c r="P2933">
        <f>-687.130535701713 -284.284250127388 -207.551372921793</f>
        <v>-1178.966158750894</v>
      </c>
      <c r="Q2933">
        <f>-540.143237079873 -116.925965727442 -299.40332120313</f>
        <v>-956.47252401044489</v>
      </c>
      <c r="R2933" t="s">
        <v>31503</v>
      </c>
      <c r="S2933" t="s">
        <v>31504</v>
      </c>
      <c r="T2933" t="s">
        <v>31505</v>
      </c>
      <c r="U2933" t="s">
        <v>31506</v>
      </c>
      <c r="V2933">
        <f>-659.023116131809 -165.154894814024 -73.4461101798107</f>
        <v>-897.6241211256438</v>
      </c>
      <c r="W2933" t="s">
        <v>31507</v>
      </c>
      <c r="X2933" t="s">
        <v>31508</v>
      </c>
      <c r="Y2933" t="s">
        <v>31509</v>
      </c>
    </row>
    <row r="2934" spans="1:25" x14ac:dyDescent="0.3">
      <c r="A2934">
        <v>146650</v>
      </c>
      <c r="B2934" t="s">
        <v>31510</v>
      </c>
      <c r="C2934">
        <f>-683.393308027819 -71.1425075446554 -76.0330985825277</f>
        <v>-830.56891415500206</v>
      </c>
      <c r="D2934">
        <f>-716.630718214829 -84.1406634582127 -186.226439398221</f>
        <v>-986.99782107126271</v>
      </c>
      <c r="E2934">
        <f>-731.033572063787 -90.8391475433466 -283.562616957142</f>
        <v>-1105.4353365642755</v>
      </c>
      <c r="F2934">
        <f>-738.88009711275 -95.3399683278866 -372.199024268601</f>
        <v>-1206.4190897092376</v>
      </c>
      <c r="G2934">
        <f>-741.164437236162 -98.2738857417005 -461.218200326371</f>
        <v>-1300.6565233042336</v>
      </c>
      <c r="H2934">
        <f>-738.495105715683 -100.79256462598 -585.74672314742</f>
        <v>-1425.034393489083</v>
      </c>
      <c r="I2934">
        <f>-704.545409494515 -94.747723084731 -661.350227815498</f>
        <v>-1460.6433603947439</v>
      </c>
      <c r="J2934">
        <f>-744.699508462896 -72.4434289784924 -531.606646309676</f>
        <v>-1348.7495837510644</v>
      </c>
      <c r="K2934" t="s">
        <v>31511</v>
      </c>
      <c r="L2934" t="s">
        <v>31512</v>
      </c>
      <c r="M2934" t="s">
        <v>31513</v>
      </c>
      <c r="N2934">
        <f>-734.64003180407 -126.924984649403 -530.289081631236</f>
        <v>-1391.8540980847088</v>
      </c>
      <c r="O2934">
        <f>-711.224197305111 -258.901021588798 -499.743476264457</f>
        <v>-1469.8686951583661</v>
      </c>
      <c r="P2934">
        <f>-687.192789150578 -284.331911027163 -207.567216566136</f>
        <v>-1179.0919167438772</v>
      </c>
      <c r="Q2934">
        <f>-540.469123923211 -116.661577187316 -299.271441992451</f>
        <v>-956.40214310297802</v>
      </c>
      <c r="R2934" t="s">
        <v>31514</v>
      </c>
      <c r="S2934" t="s">
        <v>31515</v>
      </c>
      <c r="T2934" t="s">
        <v>31516</v>
      </c>
      <c r="U2934" t="s">
        <v>31517</v>
      </c>
      <c r="V2934">
        <f>-658.979436466173 -165.041769448286 -73.4390963382806</f>
        <v>-897.46030225273955</v>
      </c>
      <c r="W2934" t="s">
        <v>31518</v>
      </c>
      <c r="X2934" t="s">
        <v>31519</v>
      </c>
      <c r="Y2934" t="s">
        <v>31520</v>
      </c>
    </row>
    <row r="2935" spans="1:25" x14ac:dyDescent="0.3">
      <c r="A2935">
        <v>146700</v>
      </c>
      <c r="B2935" t="s">
        <v>31521</v>
      </c>
      <c r="C2935">
        <f>-683.489742038519 -71.1175201294143 -76.0361425420963</f>
        <v>-830.64340471002959</v>
      </c>
      <c r="D2935">
        <f>-716.763634985046 -84.1415699142237 -186.215297226694</f>
        <v>-987.12050212596375</v>
      </c>
      <c r="E2935">
        <f>-731.281958194718 -90.8578387595204 -283.533199363644</f>
        <v>-1105.6729963178823</v>
      </c>
      <c r="F2935">
        <f>-739.267376981273 -95.3719843567447 -372.156486320114</f>
        <v>-1206.7958476581316</v>
      </c>
      <c r="G2935">
        <f>-741.725322051878 -98.3149983053155 -461.170718116844</f>
        <v>-1301.2110384740377</v>
      </c>
      <c r="H2935">
        <f>-739.334495894889 -100.841079233549 -585.704723395752</f>
        <v>-1425.88029852419</v>
      </c>
      <c r="I2935">
        <f>-705.507779016367 -94.7581873134897 -661.360452181725</f>
        <v>-1461.6264185115815</v>
      </c>
      <c r="J2935">
        <f>-745.444769979517 -72.4937726794391 -531.552984893267</f>
        <v>-1349.491527552223</v>
      </c>
      <c r="K2935" t="s">
        <v>31522</v>
      </c>
      <c r="L2935" t="s">
        <v>31523</v>
      </c>
      <c r="M2935" t="s">
        <v>31524</v>
      </c>
      <c r="N2935">
        <f>-735.328314757441 -126.965190681067 -530.253908764124</f>
        <v>-1392.5474142026321</v>
      </c>
      <c r="O2935">
        <f>-711.75460957332 -258.914767739633 -499.724118046163</f>
        <v>-1470.3934953591161</v>
      </c>
      <c r="P2935">
        <f>-687.434289675824 -284.287886268936 -207.566694825412</f>
        <v>-1179.288870770172</v>
      </c>
      <c r="Q2935">
        <f>-540.986769390957 -116.43681111022 -299.381755458252</f>
        <v>-956.80533595942893</v>
      </c>
      <c r="R2935" t="s">
        <v>31525</v>
      </c>
      <c r="S2935" t="s">
        <v>31526</v>
      </c>
      <c r="T2935" t="s">
        <v>31527</v>
      </c>
      <c r="U2935" t="s">
        <v>31528</v>
      </c>
      <c r="V2935">
        <f>-659.043338280857 -165.009132678085 -73.4294740483776</f>
        <v>-897.48194500731961</v>
      </c>
      <c r="W2935" t="s">
        <v>31529</v>
      </c>
      <c r="X2935" t="s">
        <v>31530</v>
      </c>
      <c r="Y2935" t="s">
        <v>31531</v>
      </c>
    </row>
    <row r="2936" spans="1:25" x14ac:dyDescent="0.3">
      <c r="A2936">
        <v>146750</v>
      </c>
      <c r="B2936" t="s">
        <v>31532</v>
      </c>
      <c r="C2936">
        <f>-683.500741696906 -71.1008782295896 -76.0332931950286</f>
        <v>-830.63491312152416</v>
      </c>
      <c r="D2936">
        <f>-716.773636995263 -84.1350581636874 -186.211441263091</f>
        <v>-987.12013642204147</v>
      </c>
      <c r="E2936">
        <f>-731.322198819466 -90.860406641903 -283.524277518069</f>
        <v>-1105.706882979438</v>
      </c>
      <c r="F2936">
        <f>-739.347769398787 -95.3827398153837 -372.143517971359</f>
        <v>-1206.8740271855297</v>
      </c>
      <c r="G2936">
        <f>-741.858586383975 -98.3336415256614 -461.156076278106</f>
        <v>-1301.3483041877423</v>
      </c>
      <c r="H2936">
        <f>-739.555059742218 -100.870283225505 -585.691538348953</f>
        <v>-1426.116881316676</v>
      </c>
      <c r="I2936">
        <f>-705.760837762281 -94.7758894369354 -661.360829845351</f>
        <v>-1461.8975570445673</v>
      </c>
      <c r="J2936">
        <f>-745.636879385862 -72.5201079255571 -531.538176162108</f>
        <v>-1349.6951634735271</v>
      </c>
      <c r="K2936" t="s">
        <v>31533</v>
      </c>
      <c r="L2936" t="s">
        <v>31534</v>
      </c>
      <c r="M2936" t="s">
        <v>31535</v>
      </c>
      <c r="N2936">
        <f>-735.500576221457 -126.987980000765 -530.24122412592</f>
        <v>-1392.729780348142</v>
      </c>
      <c r="O2936">
        <f>-711.887492355673 -258.927730958347 -499.714026722817</f>
        <v>-1470.5292500368369</v>
      </c>
      <c r="P2936">
        <f>-687.500254824887 -284.220356191556 -207.555164274634</f>
        <v>-1179.275775291077</v>
      </c>
      <c r="Q2936">
        <f>-541.049305371423 -116.401135048153 -299.422838089609</f>
        <v>-956.87327850918496</v>
      </c>
      <c r="R2936" t="s">
        <v>31536</v>
      </c>
      <c r="S2936" t="s">
        <v>31537</v>
      </c>
      <c r="T2936" t="s">
        <v>31538</v>
      </c>
      <c r="U2936" t="s">
        <v>31539</v>
      </c>
      <c r="V2936">
        <f>-659.010887939438 -164.954877085478 -73.4260677468978</f>
        <v>-897.39183277181382</v>
      </c>
      <c r="W2936" t="s">
        <v>31540</v>
      </c>
      <c r="X2936" t="s">
        <v>31541</v>
      </c>
      <c r="Y2936" t="s">
        <v>31542</v>
      </c>
    </row>
    <row r="2937" spans="1:25" x14ac:dyDescent="0.3">
      <c r="A2937">
        <v>146800</v>
      </c>
      <c r="B2937" t="s">
        <v>31543</v>
      </c>
      <c r="C2937">
        <f>-683.625478179866 -71.2637965605984 -76.0528757918233</f>
        <v>-830.94215053228777</v>
      </c>
      <c r="D2937">
        <f>-716.901940891234 -84.3255872301288 -186.22674300361</f>
        <v>-987.45427112497282</v>
      </c>
      <c r="E2937">
        <f>-731.474481712185 -91.0781344740794 -283.534045412839</f>
        <v>-1106.0866615991035</v>
      </c>
      <c r="F2937">
        <f>-739.530398662288 -95.6259342367239 -372.149160169866</f>
        <v>-1207.3054930688779</v>
      </c>
      <c r="G2937">
        <f>-742.080376402017 -98.6026189833649 -461.159720681929</f>
        <v>-1301.8427160673109</v>
      </c>
      <c r="H2937">
        <f>-739.840848636128 -101.175025670213 -585.695738805871</f>
        <v>-1426.711613112212</v>
      </c>
      <c r="I2937">
        <f>-706.062925133689 -95.085404240986 -661.372652608039</f>
        <v>-1462.5209819827139</v>
      </c>
      <c r="J2937">
        <f>-745.905109185844 -72.8112606301072 -531.54747609226</f>
        <v>-1350.2638459082114</v>
      </c>
      <c r="K2937" t="s">
        <v>31544</v>
      </c>
      <c r="L2937" t="s">
        <v>31545</v>
      </c>
      <c r="M2937" t="s">
        <v>31546</v>
      </c>
      <c r="N2937">
        <f>-735.747643430533 -127.274799798405 -530.239762095191</f>
        <v>-1393.2622053241289</v>
      </c>
      <c r="O2937">
        <f>-712.051918739608 -259.190702363347 -499.676570044981</f>
        <v>-1470.9191911479361</v>
      </c>
      <c r="P2937">
        <f>-687.689180753752 -284.388820532391 -207.507551437874</f>
        <v>-1179.5855527240171</v>
      </c>
      <c r="Q2937">
        <f>-541.163690233 -116.579006906746 -299.273624078026</f>
        <v>-957.01632121777197</v>
      </c>
      <c r="R2937" t="s">
        <v>31547</v>
      </c>
      <c r="S2937" t="s">
        <v>31548</v>
      </c>
      <c r="T2937" t="s">
        <v>31549</v>
      </c>
      <c r="U2937" t="s">
        <v>31550</v>
      </c>
      <c r="V2937">
        <f>-659.135035199327 -165.152421070683 -73.4355398758876</f>
        <v>-897.72299614589758</v>
      </c>
      <c r="W2937" t="s">
        <v>31551</v>
      </c>
      <c r="X2937" t="s">
        <v>31552</v>
      </c>
      <c r="Y2937" t="s">
        <v>31553</v>
      </c>
    </row>
    <row r="2938" spans="1:25" x14ac:dyDescent="0.3">
      <c r="A2938">
        <v>146850</v>
      </c>
      <c r="B2938" t="s">
        <v>31554</v>
      </c>
      <c r="C2938">
        <f>-683.72748907819 -71.373652520567 -76.0776023754554</f>
        <v>-831.17874397421247</v>
      </c>
      <c r="D2938">
        <f>-716.996177774359 -84.4371069477521 -186.253594422575</f>
        <v>-987.68687914468615</v>
      </c>
      <c r="E2938">
        <f>-731.575496793409 -91.205779600497 -283.558800154031</f>
        <v>-1106.3400765479369</v>
      </c>
      <c r="F2938">
        <f>-739.643167882999 -95.7741329220122 -372.171902804114</f>
        <v>-1207.5892036091252</v>
      </c>
      <c r="G2938">
        <f>-742.21065758319 -98.7775661661719 -461.180954052681</f>
        <v>-1302.1691778020429</v>
      </c>
      <c r="H2938">
        <f>-740.001719495271 -101.393908054537 -585.716541278418</f>
        <v>-1427.112168828226</v>
      </c>
      <c r="I2938">
        <f>-706.217687363705 -95.3302784318612 -661.39291183271</f>
        <v>-1462.9408776282762</v>
      </c>
      <c r="J2938">
        <f>-746.05191191114 -73.0109563253523 -531.576813761566</f>
        <v>-1350.6396819980582</v>
      </c>
      <c r="K2938" t="s">
        <v>31555</v>
      </c>
      <c r="L2938" t="s">
        <v>31556</v>
      </c>
      <c r="M2938" t="s">
        <v>31557</v>
      </c>
      <c r="N2938">
        <f>-735.895639765058 -127.474300098912 -530.252446189231</f>
        <v>-1393.6223860532009</v>
      </c>
      <c r="O2938">
        <f>-712.193227356941 -259.381951270675 -499.652301824523</f>
        <v>-1471.2274804521389</v>
      </c>
      <c r="P2938">
        <f>-687.881972333623 -284.526431220199 -207.47436320241</f>
        <v>-1179.8827667562321</v>
      </c>
      <c r="Q2938">
        <f>-541.240402856337 -116.748638669342 -299.11358728973</f>
        <v>-957.10262881540893</v>
      </c>
      <c r="R2938" t="s">
        <v>31558</v>
      </c>
      <c r="S2938" t="s">
        <v>31559</v>
      </c>
      <c r="T2938" t="s">
        <v>31560</v>
      </c>
      <c r="U2938" t="s">
        <v>31561</v>
      </c>
      <c r="V2938">
        <f>-659.232555811345 -165.262457610045 -73.459258231905</f>
        <v>-897.954271653295</v>
      </c>
      <c r="W2938" t="s">
        <v>31562</v>
      </c>
      <c r="X2938" t="s">
        <v>31563</v>
      </c>
      <c r="Y2938" t="s">
        <v>31564</v>
      </c>
    </row>
    <row r="2939" spans="1:25" x14ac:dyDescent="0.3">
      <c r="A2939">
        <v>146900</v>
      </c>
      <c r="B2939" t="s">
        <v>31565</v>
      </c>
      <c r="C2939">
        <f>-683.854398373495 -71.4906369855959 -76.1153357580999</f>
        <v>-831.46037111719079</v>
      </c>
      <c r="D2939">
        <f>-717.125261194496 -84.561587345783 -186.289908122629</f>
        <v>-987.97675666290797</v>
      </c>
      <c r="E2939">
        <f>-731.735683801581 -91.355040330927 -283.588534828635</f>
        <v>-1106.679258961143</v>
      </c>
      <c r="F2939">
        <f>-739.843997485593 -95.9524888144116 -372.196452519606</f>
        <v>-1207.9929388196106</v>
      </c>
      <c r="G2939">
        <f>-742.464793466622 -98.9908304470684 -461.202911104901</f>
        <v>-1302.6585350185915</v>
      </c>
      <c r="H2939">
        <f>-740.343545786977 -101.661604317081 -585.73887047074</f>
        <v>-1427.744020574798</v>
      </c>
      <c r="I2939">
        <f>-706.551107849117 -95.65726235056 -661.416042300751</f>
        <v>-1463.624412500428</v>
      </c>
      <c r="J2939">
        <f>-746.364639192519 -73.256564269807 -531.607418933796</f>
        <v>-1351.2286223961219</v>
      </c>
      <c r="K2939" t="s">
        <v>31566</v>
      </c>
      <c r="L2939" t="s">
        <v>31567</v>
      </c>
      <c r="M2939" t="s">
        <v>31568</v>
      </c>
      <c r="N2939">
        <f>-736.18926042045 -127.716053309366 -530.266096828864</f>
        <v>-1394.1714105586798</v>
      </c>
      <c r="O2939">
        <f>-712.450837360415 -259.607297643404 -499.622892988567</f>
        <v>-1471.6810279923859</v>
      </c>
      <c r="P2939">
        <f>-688.182767809592 -284.618574187376 -207.429958329313</f>
        <v>-1180.2313003262809</v>
      </c>
      <c r="Q2939">
        <f>-541.459810563421 -116.848997391181 -298.953920923987</f>
        <v>-957.26272887858909</v>
      </c>
      <c r="R2939" t="s">
        <v>31569</v>
      </c>
      <c r="S2939" t="s">
        <v>31570</v>
      </c>
      <c r="T2939" t="s">
        <v>31571</v>
      </c>
      <c r="U2939" t="s">
        <v>31572</v>
      </c>
      <c r="V2939">
        <f>-659.338997145057 -165.320753257892 -73.503476970577</f>
        <v>-898.16322737352596</v>
      </c>
      <c r="W2939" t="s">
        <v>31573</v>
      </c>
      <c r="X2939" t="s">
        <v>31574</v>
      </c>
      <c r="Y2939" t="s">
        <v>31575</v>
      </c>
    </row>
    <row r="2940" spans="1:25" x14ac:dyDescent="0.3">
      <c r="A2940">
        <v>146950</v>
      </c>
      <c r="B2940" t="s">
        <v>31576</v>
      </c>
      <c r="C2940">
        <f>-683.996624235581 -71.5802393463514 -76.122046203993</f>
        <v>-831.69890978592537</v>
      </c>
      <c r="D2940">
        <f>-717.27993162258 -84.6665711630992 -186.290982073449</f>
        <v>-988.23748485912813</v>
      </c>
      <c r="E2940">
        <f>-731.899388814366 -91.473051098666 -283.587386716988</f>
        <v>-1106.95982663002</v>
      </c>
      <c r="F2940">
        <f>-740.015147120499 -96.081748145661 -372.194036585188</f>
        <v>-1208.290931851348</v>
      </c>
      <c r="G2940">
        <f>-742.642844221517 -99.1305098606576 -461.199877469873</f>
        <v>-1302.9732315520475</v>
      </c>
      <c r="H2940">
        <f>-740.530707273622 -101.814785355719 -585.735555423166</f>
        <v>-1428.081048052507</v>
      </c>
      <c r="I2940">
        <f>-706.726615060087 -95.8271753760146 -661.40893840181</f>
        <v>-1463.9627288379115</v>
      </c>
      <c r="J2940">
        <f>-746.55572539019 -73.4054092353218 -531.607004948016</f>
        <v>-1351.5681395735278</v>
      </c>
      <c r="K2940" t="s">
        <v>31577</v>
      </c>
      <c r="L2940" t="s">
        <v>31578</v>
      </c>
      <c r="M2940" t="s">
        <v>31579</v>
      </c>
      <c r="N2940">
        <f>-736.364585594767 -127.86176029628 -530.260323300514</f>
        <v>-1394.4866691915608</v>
      </c>
      <c r="O2940">
        <f>-712.599062162354 -259.746357792444 -499.594892077046</f>
        <v>-1471.9403120318439</v>
      </c>
      <c r="P2940">
        <f>-688.314373235359 -284.69819076011 -207.398246774426</f>
        <v>-1180.4108107698951</v>
      </c>
      <c r="Q2940">
        <f>-541.556834528242 -116.973788879519 -298.949561310139</f>
        <v>-957.4801847179001</v>
      </c>
      <c r="R2940" t="s">
        <v>31580</v>
      </c>
      <c r="S2940" t="s">
        <v>31581</v>
      </c>
      <c r="T2940" t="s">
        <v>31582</v>
      </c>
      <c r="U2940" t="s">
        <v>31583</v>
      </c>
      <c r="V2940">
        <f>-659.476896818764 -165.423618008375 -73.497674522961</f>
        <v>-898.39818935009998</v>
      </c>
      <c r="W2940" t="s">
        <v>31584</v>
      </c>
      <c r="X2940" t="s">
        <v>31585</v>
      </c>
      <c r="Y2940" t="s">
        <v>31586</v>
      </c>
    </row>
    <row r="2941" spans="1:25" x14ac:dyDescent="0.3">
      <c r="A2941">
        <v>147000</v>
      </c>
      <c r="B2941" t="s">
        <v>31587</v>
      </c>
      <c r="C2941">
        <f>-684.246924347818 -71.8099219515511 -76.1067155888758</f>
        <v>-832.16356188824489</v>
      </c>
      <c r="D2941">
        <f>-717.553984311706 -84.9354514796363 -186.263845726723</f>
        <v>-988.75328151806525</v>
      </c>
      <c r="E2941">
        <f>-732.172689842138 -91.7693168615351 -283.558386284397</f>
        <v>-1107.50039298807</v>
      </c>
      <c r="F2941">
        <f>-740.2790352443 -96.3999843883046 -372.164828714899</f>
        <v>-1208.8438483475036</v>
      </c>
      <c r="G2941">
        <f>-742.888348757358 -99.4677730590723 -461.170603115426</f>
        <v>-1303.5267249318563</v>
      </c>
      <c r="H2941">
        <f>-740.741438594419 -102.17495914804 -585.705226296683</f>
        <v>-1428.621624039142</v>
      </c>
      <c r="I2941">
        <f>-706.906672837615 -96.1972440899892 -661.365633057145</f>
        <v>-1464.4695499847494</v>
      </c>
      <c r="J2941">
        <f>-746.799123951489 -73.7589198559759 -531.583638785212</f>
        <v>-1352.1416825926769</v>
      </c>
      <c r="K2941" t="s">
        <v>31588</v>
      </c>
      <c r="L2941" t="s">
        <v>31589</v>
      </c>
      <c r="M2941" t="s">
        <v>31590</v>
      </c>
      <c r="N2941">
        <f>-736.57330761335 -128.20837889343 -530.223675332522</f>
        <v>-1395.0053618393022</v>
      </c>
      <c r="O2941">
        <f>-712.736243523087 -260.074588103036 -499.536390040413</f>
        <v>-1472.3472216665359</v>
      </c>
      <c r="P2941">
        <f>-688.426777933253 -285.010597816477 -207.340508051748</f>
        <v>-1180.7778838014781</v>
      </c>
      <c r="Q2941">
        <f>-541.696691139191 -117.229724169055 -298.832373182135</f>
        <v>-957.75878849038099</v>
      </c>
      <c r="R2941" t="s">
        <v>31591</v>
      </c>
      <c r="S2941" t="s">
        <v>31592</v>
      </c>
      <c r="T2941" t="s">
        <v>31593</v>
      </c>
      <c r="U2941" t="s">
        <v>31594</v>
      </c>
      <c r="V2941">
        <f>-659.683811919729 -165.691373533562 -73.458555302492</f>
        <v>-898.83374075578297</v>
      </c>
      <c r="W2941" t="s">
        <v>31595</v>
      </c>
      <c r="X2941" t="s">
        <v>31596</v>
      </c>
      <c r="Y2941" t="s">
        <v>31597</v>
      </c>
    </row>
    <row r="2942" spans="1:25" x14ac:dyDescent="0.3">
      <c r="A2942">
        <v>147050</v>
      </c>
      <c r="B2942" t="s">
        <v>31598</v>
      </c>
      <c r="C2942">
        <f>-684.305269855179 -71.8708198869334 -76.1044731013442</f>
        <v>-832.28056284345655</v>
      </c>
      <c r="D2942">
        <f>-717.610851449334 -85.0224445056447 -186.258879688058</f>
        <v>-988.89217564303658</v>
      </c>
      <c r="E2942">
        <f>-732.208712066771 -91.8666550355427 -283.555973150483</f>
        <v>-1107.6313402527967</v>
      </c>
      <c r="F2942">
        <f>-740.288036634791 -96.5017280989275 -372.164596199803</f>
        <v>-1208.9543609335215</v>
      </c>
      <c r="G2942">
        <f>-742.862423877828 -99.5684222050689 -461.171373369222</f>
        <v>-1303.6022194521188</v>
      </c>
      <c r="H2942">
        <f>-740.658169468497 -102.268411754268 -585.705121455075</f>
        <v>-1428.6317026778399</v>
      </c>
      <c r="I2942">
        <f>-706.799253184618 -96.2788850815119 -661.353831420728</f>
        <v>-1464.4319696868579</v>
      </c>
      <c r="J2942">
        <f>-746.752285393098 -73.8576487651198 -531.584820148544</f>
        <v>-1352.1947543067618</v>
      </c>
      <c r="K2942" t="s">
        <v>31599</v>
      </c>
      <c r="L2942" t="s">
        <v>31600</v>
      </c>
      <c r="M2942" t="s">
        <v>31601</v>
      </c>
      <c r="N2942">
        <f>-736.504028475391 -128.302840156462 -530.223057022509</f>
        <v>-1395.0299256543622</v>
      </c>
      <c r="O2942">
        <f>-712.634024522241 -260.159850864481 -499.531649134454</f>
        <v>-1472.325524521176</v>
      </c>
      <c r="P2942">
        <f>-688.308646167191 -285.119569241694 -207.339165468901</f>
        <v>-1180.7673808777861</v>
      </c>
      <c r="Q2942">
        <f>-541.701512718398 -117.216714568303 -298.804176268395</f>
        <v>-957.72240355509598</v>
      </c>
      <c r="R2942" t="s">
        <v>31602</v>
      </c>
      <c r="S2942" t="s">
        <v>31603</v>
      </c>
      <c r="T2942" t="s">
        <v>31604</v>
      </c>
      <c r="U2942" t="s">
        <v>31605</v>
      </c>
      <c r="V2942">
        <f>-659.710862491136 -165.689796733228 -73.445002831682</f>
        <v>-898.84566205604608</v>
      </c>
      <c r="W2942" t="s">
        <v>31606</v>
      </c>
      <c r="X2942" t="s">
        <v>31607</v>
      </c>
      <c r="Y2942" t="s">
        <v>31608</v>
      </c>
    </row>
    <row r="2943" spans="1:25" x14ac:dyDescent="0.3">
      <c r="A2943">
        <v>147100</v>
      </c>
      <c r="B2943" t="s">
        <v>31609</v>
      </c>
      <c r="C2943">
        <f>-684.512361215619 -72.1974754950597 -76.1009307320713</f>
        <v>-832.81076744275003</v>
      </c>
      <c r="D2943">
        <f>-717.841082228971 -85.4158894847596 -186.2402525442</f>
        <v>-989.49722425793061</v>
      </c>
      <c r="E2943">
        <f>-732.400686013859 -92.2974691998076 -283.54045851642</f>
        <v>-1108.2386137300864</v>
      </c>
      <c r="F2943">
        <f>-740.421220042314 -96.9584696159948 -372.153068713392</f>
        <v>-1209.5327583717008</v>
      </c>
      <c r="G2943">
        <f>-742.912573280436 -100.042876504867 -461.161581801748</f>
        <v>-1304.1170315870511</v>
      </c>
      <c r="H2943">
        <f>-740.566760930556 -102.759050091007 -585.692428134272</f>
        <v>-1429.0182391558351</v>
      </c>
      <c r="I2943">
        <f>-706.666211598958 -96.7473174005335 -661.320775807655</f>
        <v>-1464.7343048071464</v>
      </c>
      <c r="J2943">
        <f>-746.741332862952 -74.34486636877 -531.583205473948</f>
        <v>-1352.6694047056701</v>
      </c>
      <c r="K2943" t="s">
        <v>31610</v>
      </c>
      <c r="L2943" t="s">
        <v>31611</v>
      </c>
      <c r="M2943" t="s">
        <v>31612</v>
      </c>
      <c r="N2943">
        <f>-736.456712679084 -128.782737421603 -530.201998698033</f>
        <v>-1395.4414487987201</v>
      </c>
      <c r="O2943">
        <f>-712.504549441391 -260.614977083577 -499.46250592592</f>
        <v>-1472.5820324508882</v>
      </c>
      <c r="P2943">
        <f>-688.286597715529 -285.359013246785 -207.242699032945</f>
        <v>-1180.8883099952591</v>
      </c>
      <c r="Q2943">
        <f>-541.621415517142 -117.54561236819 -298.778786050781</f>
        <v>-957.94581393611315</v>
      </c>
      <c r="R2943" t="s">
        <v>31613</v>
      </c>
      <c r="S2943" t="s">
        <v>31614</v>
      </c>
      <c r="T2943" t="s">
        <v>31615</v>
      </c>
      <c r="U2943" t="s">
        <v>31616</v>
      </c>
      <c r="V2943">
        <f>-659.920753989038 -166.086161772109 -73.403495234557</f>
        <v>-899.41041099570396</v>
      </c>
      <c r="W2943" t="s">
        <v>31617</v>
      </c>
      <c r="X2943" t="s">
        <v>31618</v>
      </c>
      <c r="Y2943" t="s">
        <v>31619</v>
      </c>
    </row>
    <row r="2944" spans="1:25" x14ac:dyDescent="0.3">
      <c r="A2944">
        <v>147150</v>
      </c>
      <c r="B2944" t="s">
        <v>31620</v>
      </c>
      <c r="C2944">
        <f>-684.643223902156 -72.2974173276922 -76.0999662319915</f>
        <v>-833.04060746183973</v>
      </c>
      <c r="D2944">
        <f>-717.991816876585 -85.5543984160811 -186.228671845346</f>
        <v>-989.77488713801199</v>
      </c>
      <c r="E2944">
        <f>-732.532765382298 -92.4610827227609 -283.529894270058</f>
        <v>-1108.5237423751169</v>
      </c>
      <c r="F2944">
        <f>-740.521546621429 -97.1414655991117 -372.144240450018</f>
        <v>-1209.8072526705587</v>
      </c>
      <c r="G2944">
        <f>-742.966207761239 -100.241848009902 -461.153628534834</f>
        <v>-1304.3616843059751</v>
      </c>
      <c r="H2944">
        <f>-740.539694664148 -102.976756571615 -585.682438867732</f>
        <v>-1429.1988901034952</v>
      </c>
      <c r="I2944">
        <f>-706.620958549928 -96.9563489291908 -661.30198149556</f>
        <v>-1464.8792889746787</v>
      </c>
      <c r="J2944">
        <f>-746.75810428202 -74.5561038321011 -531.58161682569</f>
        <v>-1352.8958249398111</v>
      </c>
      <c r="K2944" t="s">
        <v>31621</v>
      </c>
      <c r="L2944" t="s">
        <v>31622</v>
      </c>
      <c r="M2944" t="s">
        <v>31623</v>
      </c>
      <c r="N2944">
        <f>-736.456895099773 -128.990428201397 -530.185437104538</f>
        <v>-1395.6327604057078</v>
      </c>
      <c r="O2944">
        <f>-712.470773987857 -260.808833467284 -499.409592473616</f>
        <v>-1472.689199928757</v>
      </c>
      <c r="P2944">
        <f>-688.285903114331 -285.463327596855 -207.179452724522</f>
        <v>-1180.9286834357079</v>
      </c>
      <c r="Q2944">
        <f>-541.639682380116 -117.678197150896 -298.797758950849</f>
        <v>-958.11563848186108</v>
      </c>
      <c r="R2944" t="s">
        <v>31624</v>
      </c>
      <c r="S2944" t="s">
        <v>31625</v>
      </c>
      <c r="T2944" t="s">
        <v>31626</v>
      </c>
      <c r="U2944" t="s">
        <v>31627</v>
      </c>
      <c r="V2944">
        <f>-660.028786408759 -166.136208415354 -73.3780332208102</f>
        <v>-899.54302804492306</v>
      </c>
      <c r="W2944" t="s">
        <v>31628</v>
      </c>
      <c r="X2944" t="s">
        <v>31629</v>
      </c>
      <c r="Y2944" t="s">
        <v>31630</v>
      </c>
    </row>
    <row r="2945" spans="1:25" x14ac:dyDescent="0.3">
      <c r="A2945">
        <v>147200</v>
      </c>
      <c r="B2945" t="s">
        <v>31631</v>
      </c>
      <c r="C2945">
        <f>-685.024797217596 -72.6149908050228 -76.0953138106493</f>
        <v>-833.735101833268</v>
      </c>
      <c r="D2945">
        <f>-718.399753560324 -85.9358788594503 -186.208403637874</f>
        <v>-990.54403605764833</v>
      </c>
      <c r="E2945">
        <f>-732.89383934069 -92.8886563427099 -283.513315036365</f>
        <v>-1109.2958107197649</v>
      </c>
      <c r="F2945">
        <f>-740.811803041093 -97.6071687277171 -372.13201509791</f>
        <v>-1210.55098686672</v>
      </c>
      <c r="G2945">
        <f>-743.156821339176 -100.741989052349 -461.142700252442</f>
        <v>-1305.0415106439671</v>
      </c>
      <c r="H2945">
        <f>-740.561088449301 -103.521101886031 -585.66718083371</f>
        <v>-1429.749371169042</v>
      </c>
      <c r="I2945">
        <f>-706.601021078991 -97.5002052804721 -661.268141904706</f>
        <v>-1465.3693682641692</v>
      </c>
      <c r="J2945">
        <f>-746.871163139978 -75.0847421256276 -531.585287476084</f>
        <v>-1353.5411927416894</v>
      </c>
      <c r="K2945" t="s">
        <v>31632</v>
      </c>
      <c r="L2945" t="s">
        <v>31633</v>
      </c>
      <c r="M2945" t="s">
        <v>31634</v>
      </c>
      <c r="N2945">
        <f>-736.535533007274 -129.511652271082 -530.155181150918</f>
        <v>-1396.202366429274</v>
      </c>
      <c r="O2945">
        <f>-712.477503240558 -261.300480998372 -499.317693019873</f>
        <v>-1473.0956772588029</v>
      </c>
      <c r="P2945">
        <f>-688.353513540822 -285.855556412288 -207.074168672087</f>
        <v>-1181.2832386251971</v>
      </c>
      <c r="Q2945">
        <f>-541.693629609872 -118.155298957572 -298.825768386825</f>
        <v>-958.67469695426894</v>
      </c>
      <c r="R2945" t="s">
        <v>31635</v>
      </c>
      <c r="S2945" t="s">
        <v>31636</v>
      </c>
      <c r="T2945" t="s">
        <v>31637</v>
      </c>
      <c r="U2945" t="s">
        <v>31638</v>
      </c>
      <c r="V2945">
        <f>-660.405138081558 -166.503278635199 -73.3196948523754</f>
        <v>-900.22811156913235</v>
      </c>
      <c r="W2945" t="s">
        <v>31639</v>
      </c>
      <c r="X2945" t="s">
        <v>31640</v>
      </c>
      <c r="Y2945" t="s">
        <v>31641</v>
      </c>
    </row>
    <row r="2946" spans="1:25" x14ac:dyDescent="0.3">
      <c r="A2946">
        <v>147250</v>
      </c>
      <c r="B2946" t="s">
        <v>31642</v>
      </c>
      <c r="C2946">
        <f>-685.226937339661 -72.7617316935347 -76.0995743660243</f>
        <v>-834.08824339922</v>
      </c>
      <c r="D2946">
        <f>-718.603448481838 -86.1055294872933 -186.209362601904</f>
        <v>-990.91834057103529</v>
      </c>
      <c r="E2946">
        <f>-733.073881833947 -93.0793134472862 -283.516176015489</f>
        <v>-1109.6693712967221</v>
      </c>
      <c r="F2946">
        <f>-740.95998725541 -97.8176436643856 -372.136849480019</f>
        <v>-1210.9144803998147</v>
      </c>
      <c r="G2946">
        <f>-743.262784739633 -100.97310631423 -461.147895103959</f>
        <v>-1305.383786157822</v>
      </c>
      <c r="H2946">
        <f>-740.597437443074 -103.781982224888 -585.670293986876</f>
        <v>-1430.0497136548379</v>
      </c>
      <c r="I2946">
        <f>-706.609971892797 -97.7733395658972 -661.259817337595</f>
        <v>-1465.6431287962891</v>
      </c>
      <c r="J2946">
        <f>-746.943854721897 -75.33366082429 -531.598663405771</f>
        <v>-1353.8761789519581</v>
      </c>
      <c r="K2946" t="s">
        <v>31643</v>
      </c>
      <c r="L2946" t="s">
        <v>31644</v>
      </c>
      <c r="M2946" t="s">
        <v>31645</v>
      </c>
      <c r="N2946">
        <f>-736.596893116959 -129.758047398346 -530.149587832016</f>
        <v>-1396.504528347321</v>
      </c>
      <c r="O2946">
        <f>-712.510344350725 -261.533863100092 -499.273582844383</f>
        <v>-1473.3177902951998</v>
      </c>
      <c r="P2946">
        <f>-688.410774978442 -286.025954016212 -207.022801005079</f>
        <v>-1181.4595299997329</v>
      </c>
      <c r="Q2946">
        <f>-541.709171551838 -118.373466591024 -298.795218765285</f>
        <v>-958.87785690814701</v>
      </c>
      <c r="R2946" t="s">
        <v>31646</v>
      </c>
      <c r="S2946" t="s">
        <v>31647</v>
      </c>
      <c r="T2946" t="s">
        <v>31648</v>
      </c>
      <c r="U2946" t="s">
        <v>31649</v>
      </c>
      <c r="V2946">
        <f>-660.585940466293 -166.64012887203 -73.3130297908383</f>
        <v>-900.53909912916129</v>
      </c>
      <c r="W2946" t="s">
        <v>31650</v>
      </c>
      <c r="X2946" t="s">
        <v>31651</v>
      </c>
      <c r="Y2946" t="s">
        <v>31652</v>
      </c>
    </row>
    <row r="2947" spans="1:25" x14ac:dyDescent="0.3">
      <c r="A2947">
        <v>147300</v>
      </c>
      <c r="B2947" t="s">
        <v>31653</v>
      </c>
      <c r="C2947">
        <f>-685.598583443687 -72.8645010788258 -76.112791874512</f>
        <v>-834.57587639702479</v>
      </c>
      <c r="D2947">
        <f>-718.996132274058 -86.2758753480515 -186.208099375757</f>
        <v>-991.48010699786653</v>
      </c>
      <c r="E2947">
        <f>-733.4229724746 -93.2915937311387 -283.518344678139</f>
        <v>-1110.2329108838776</v>
      </c>
      <c r="F2947">
        <f>-741.244168165662 -98.0616431820199 -372.142955536265</f>
        <v>-1211.448766883947</v>
      </c>
      <c r="G2947">
        <f>-743.456315644772 -101.242586457895 -461.155447027395</f>
        <v>-1305.854349130062</v>
      </c>
      <c r="H2947">
        <f>-740.637169781175 -104.080914500199 -585.673826159757</f>
        <v>-1430.3919104411311</v>
      </c>
      <c r="I2947">
        <f>-706.596881486205 -98.0768217550459 -661.239914875966</f>
        <v>-1465.9136181172169</v>
      </c>
      <c r="J2947">
        <f>-747.064167773454 -75.6225487121861 -531.617097000124</f>
        <v>-1354.3038134857641</v>
      </c>
      <c r="K2947" t="s">
        <v>31654</v>
      </c>
      <c r="L2947" t="s">
        <v>31655</v>
      </c>
      <c r="M2947" t="s">
        <v>31656</v>
      </c>
      <c r="N2947">
        <f>-736.691396869976 -130.041266884543 -530.141937428162</f>
        <v>-1396.8746011826811</v>
      </c>
      <c r="O2947">
        <f>-712.538374314101 -261.798056997122 -499.224856620119</f>
        <v>-1473.5612879313421</v>
      </c>
      <c r="P2947">
        <f>-688.566427653273 -286.228262144733 -206.958297073349</f>
        <v>-1181.752986871355</v>
      </c>
      <c r="Q2947">
        <f>-541.860718309861 -118.606646951922 -298.780198920308</f>
        <v>-959.24756418209108</v>
      </c>
      <c r="R2947" t="s">
        <v>31657</v>
      </c>
      <c r="S2947" t="s">
        <v>31658</v>
      </c>
      <c r="T2947" t="s">
        <v>31659</v>
      </c>
      <c r="U2947" t="s">
        <v>31660</v>
      </c>
      <c r="V2947">
        <f>-660.90502788831 -166.706656335733 -73.2981178326525</f>
        <v>-900.90980205669541</v>
      </c>
      <c r="W2947" t="s">
        <v>31661</v>
      </c>
      <c r="X2947" t="s">
        <v>31662</v>
      </c>
      <c r="Y2947" t="s">
        <v>31663</v>
      </c>
    </row>
    <row r="2948" spans="1:25" x14ac:dyDescent="0.3">
      <c r="A2948">
        <v>147350</v>
      </c>
      <c r="B2948" t="s">
        <v>31664</v>
      </c>
      <c r="C2948">
        <f>-685.862787484423 -72.9564227812771 -76.1127398569765</f>
        <v>-834.93195012267665</v>
      </c>
      <c r="D2948">
        <f>-719.285467841603 -86.3990358044921 -186.196448828977</f>
        <v>-991.88095247507204</v>
      </c>
      <c r="E2948">
        <f>-733.694332257542 -93.429364080411 -283.50855394518</f>
        <v>-1110.6322502831331</v>
      </c>
      <c r="F2948">
        <f>-741.482596324904 -98.2074739781671 -372.135462735341</f>
        <v>-1211.825533038412</v>
      </c>
      <c r="G2948">
        <f>-743.645422117666 -101.391198028038 -461.149121039016</f>
        <v>-1306.18574118472</v>
      </c>
      <c r="H2948">
        <f>-740.740106664186 -104.227664079877 -585.665547178281</f>
        <v>-1430.6333179223441</v>
      </c>
      <c r="I2948">
        <f>-706.671764278765 -98.2121530708758 -661.218110998758</f>
        <v>-1466.1020283483988</v>
      </c>
      <c r="J2948">
        <f>-747.214215450331 -75.771946741189 -531.613094072997</f>
        <v>-1354.599256264517</v>
      </c>
      <c r="K2948" t="s">
        <v>31665</v>
      </c>
      <c r="L2948" t="s">
        <v>31666</v>
      </c>
      <c r="M2948" t="s">
        <v>31667</v>
      </c>
      <c r="N2948">
        <f>-736.822995430457 -130.186990341394 -530.131093631467</f>
        <v>-1397.1410794033181</v>
      </c>
      <c r="O2948">
        <f>-712.637762432754 -261.930816408608 -499.194195295428</f>
        <v>-1473.7627741367901</v>
      </c>
      <c r="P2948">
        <f>-688.766082542445 -286.323144019529 -206.916259809917</f>
        <v>-1182.005486371891</v>
      </c>
      <c r="Q2948">
        <f>-542.030895469936 -118.736201217938 -298.754717527522</f>
        <v>-959.52181421539603</v>
      </c>
      <c r="R2948" t="s">
        <v>31668</v>
      </c>
      <c r="S2948" t="s">
        <v>31669</v>
      </c>
      <c r="T2948" t="s">
        <v>31670</v>
      </c>
      <c r="U2948" t="s">
        <v>31671</v>
      </c>
      <c r="V2948">
        <f>-661.163562690032 -166.820136400573 -73.2720184912198</f>
        <v>-901.2557175818248</v>
      </c>
      <c r="W2948" t="s">
        <v>31672</v>
      </c>
      <c r="X2948" t="s">
        <v>31673</v>
      </c>
      <c r="Y2948" t="s">
        <v>31674</v>
      </c>
    </row>
    <row r="2949" spans="1:25" x14ac:dyDescent="0.3">
      <c r="A2949">
        <v>147400</v>
      </c>
      <c r="B2949" t="s">
        <v>31675</v>
      </c>
      <c r="C2949">
        <f>-686.349925013504 -73.0195948990432 -76.1035838422995</f>
        <v>-835.47310375484676</v>
      </c>
      <c r="D2949">
        <f>-719.810064263254 -86.5283804892319 -186.16799621401</f>
        <v>-992.50644096649603</v>
      </c>
      <c r="E2949">
        <f>-734.182088152789 -93.576469645988 -283.484009576223</f>
        <v>-1111.2425673749999</v>
      </c>
      <c r="F2949">
        <f>-741.908311789832 -98.3551432156676 -372.116493524819</f>
        <v>-1212.3799485303186</v>
      </c>
      <c r="G2949">
        <f>-743.979862828911 -101.523843881898 -461.132852680538</f>
        <v>-1306.636559391347</v>
      </c>
      <c r="H2949">
        <f>-740.916483697831 -104.322696561557 -585.6463122328</f>
        <v>-1430.885492492188</v>
      </c>
      <c r="I2949">
        <f>-706.779193849609 -98.2600871069169 -661.163947960518</f>
        <v>-1466.2032289170438</v>
      </c>
      <c r="J2949">
        <f>-747.481644971647 -75.8875728760135 -531.593962407239</f>
        <v>-1354.9631802548995</v>
      </c>
      <c r="K2949" t="s">
        <v>31676</v>
      </c>
      <c r="L2949" t="s">
        <v>31677</v>
      </c>
      <c r="M2949" t="s">
        <v>31678</v>
      </c>
      <c r="N2949">
        <f>-737.047398418573 -130.294374986996 -530.114155337039</f>
        <v>-1397.4559287426082</v>
      </c>
      <c r="O2949">
        <f>-712.803387334273 -262.026882972786 -499.181419869814</f>
        <v>-1474.0116901768729</v>
      </c>
      <c r="P2949">
        <f>-689.059826220436 -286.44464328043 -206.895210018198</f>
        <v>-1182.399679519064</v>
      </c>
      <c r="Q2949">
        <f>-542.344889320797 -118.85801887457 -298.766307828204</f>
        <v>-959.96921602357111</v>
      </c>
      <c r="R2949" t="s">
        <v>31679</v>
      </c>
      <c r="S2949" t="s">
        <v>31680</v>
      </c>
      <c r="T2949" t="s">
        <v>31681</v>
      </c>
      <c r="U2949" t="s">
        <v>31682</v>
      </c>
      <c r="V2949">
        <f>-661.579329667207 -166.831955894907 -73.2415628338788</f>
        <v>-901.65284839599281</v>
      </c>
      <c r="W2949" t="s">
        <v>31683</v>
      </c>
      <c r="X2949" t="s">
        <v>31684</v>
      </c>
      <c r="Y2949" t="s">
        <v>31685</v>
      </c>
    </row>
    <row r="2950" spans="1:25" x14ac:dyDescent="0.3">
      <c r="A2950">
        <v>147450</v>
      </c>
      <c r="B2950" t="s">
        <v>31686</v>
      </c>
      <c r="C2950">
        <f>-686.637434147522 -73.1464551584734 -76.0846981069014</f>
        <v>-835.86858741289677</v>
      </c>
      <c r="D2950">
        <f>-720.125928200213 -86.6915718320012 -186.135992102941</f>
        <v>-992.95349213515522</v>
      </c>
      <c r="E2950">
        <f>-734.493606066604 -93.7447592163256 -283.452399410467</f>
        <v>-1111.6907646933967</v>
      </c>
      <c r="F2950">
        <f>-742.203645982761 -98.5174871467592 -372.086571453846</f>
        <v>-1212.8077045833661</v>
      </c>
      <c r="G2950">
        <f>-744.246565068397 -101.669286366094 -461.104099320313</f>
        <v>-1307.0199507548041</v>
      </c>
      <c r="H2950">
        <f>-741.13014131615 -104.433271096898 -585.617086876615</f>
        <v>-1431.180499289663</v>
      </c>
      <c r="I2950">
        <f>-706.964052191621 -98.3429694895143 -661.119421767927</f>
        <v>-1466.4264434490624</v>
      </c>
      <c r="J2950">
        <f>-747.731087788152 -76.0158580260298 -531.559755381018</f>
        <v>-1355.3067011951998</v>
      </c>
      <c r="K2950" t="s">
        <v>31687</v>
      </c>
      <c r="L2950" t="s">
        <v>31688</v>
      </c>
      <c r="M2950" t="s">
        <v>31689</v>
      </c>
      <c r="N2950">
        <f>-737.271945908886 -130.418194114263 -530.090335189952</f>
        <v>-1397.780475213101</v>
      </c>
      <c r="O2950">
        <f>-712.980368487918 -262.146312368529 -499.171220543921</f>
        <v>-1474.2979014003679</v>
      </c>
      <c r="P2950">
        <f>-689.298265592653 -286.615671949594 -206.884413704274</f>
        <v>-1182.798351246521</v>
      </c>
      <c r="Q2950">
        <f>-542.61426740383 -119.007985340176 -298.766551823988</f>
        <v>-960.38880456799393</v>
      </c>
      <c r="R2950" t="s">
        <v>31690</v>
      </c>
      <c r="S2950" t="s">
        <v>31691</v>
      </c>
      <c r="T2950" t="s">
        <v>31692</v>
      </c>
      <c r="U2950" t="s">
        <v>31693</v>
      </c>
      <c r="V2950">
        <f>-661.866698280401 -167.042668365386 -73.208355784613</f>
        <v>-902.11772243040002</v>
      </c>
      <c r="W2950" t="s">
        <v>31694</v>
      </c>
      <c r="X2950" t="s">
        <v>31695</v>
      </c>
      <c r="Y2950" t="s">
        <v>31696</v>
      </c>
    </row>
    <row r="2951" spans="1:25" x14ac:dyDescent="0.3">
      <c r="A2951">
        <v>147500</v>
      </c>
      <c r="B2951" t="s">
        <v>31697</v>
      </c>
      <c r="C2951">
        <f>-687.154848866893 -73.2122092452287 -76.0841345026995</f>
        <v>-836.45119261482114</v>
      </c>
      <c r="D2951">
        <f>-720.730932414404 -86.8337408549222 -186.099162980102</f>
        <v>-993.66383624942819</v>
      </c>
      <c r="E2951">
        <f>-735.100836262463 -93.8891946808905 -283.41507063399</f>
        <v>-1112.4051015773434</v>
      </c>
      <c r="F2951">
        <f>-742.781962377797 -98.6382558421857 -372.053152197349</f>
        <v>-1213.4733704173316</v>
      </c>
      <c r="G2951">
        <f>-744.764583357171 -101.740087203079 -461.073884673703</f>
        <v>-1307.578555233953</v>
      </c>
      <c r="H2951">
        <f>-741.531014710571 -104.406448419616 -585.585773536658</f>
        <v>-1431.5232366668452</v>
      </c>
      <c r="I2951">
        <f>-707.308526741491 -98.2286322890068 -661.055561218416</f>
        <v>-1466.5927202489138</v>
      </c>
      <c r="J2951">
        <f>-748.219445440067 -76.0383804916473 -531.513306377199</f>
        <v>-1355.7711323089134</v>
      </c>
      <c r="K2951" t="s">
        <v>31698</v>
      </c>
      <c r="L2951" t="s">
        <v>31699</v>
      </c>
      <c r="M2951" t="s">
        <v>31700</v>
      </c>
      <c r="N2951">
        <f>-737.688562597312 -130.427755400626 -530.075177614302</f>
        <v>-1398.19149561224</v>
      </c>
      <c r="O2951">
        <f>-713.295845440116 -262.153276527462 -499.211098710954</f>
        <v>-1474.6602206785319</v>
      </c>
      <c r="P2951">
        <f>-689.738203298077 -286.710382729899 -206.921710612391</f>
        <v>-1183.3702966403671</v>
      </c>
      <c r="Q2951">
        <f>-543.171635127222 -118.986873939604 -298.779847215615</f>
        <v>-960.93835628244096</v>
      </c>
      <c r="R2951" t="s">
        <v>31701</v>
      </c>
      <c r="S2951" t="s">
        <v>31702</v>
      </c>
      <c r="T2951" t="s">
        <v>31703</v>
      </c>
      <c r="U2951" t="s">
        <v>31704</v>
      </c>
      <c r="V2951">
        <f>-662.292084962955 -167.065389215226 -73.1814520241705</f>
        <v>-902.53892620235149</v>
      </c>
      <c r="W2951" t="s">
        <v>31705</v>
      </c>
      <c r="X2951" t="s">
        <v>31706</v>
      </c>
      <c r="Y2951" t="s">
        <v>31707</v>
      </c>
    </row>
    <row r="2952" spans="1:25" x14ac:dyDescent="0.3">
      <c r="A2952">
        <v>147550</v>
      </c>
      <c r="B2952" t="s">
        <v>31708</v>
      </c>
      <c r="C2952">
        <f>-687.379538732838 -73.1897716412503 -76.0869720693048</f>
        <v>-836.65628244339314</v>
      </c>
      <c r="D2952">
        <f>-720.974070948184 -86.8278078403964 -186.094477389631</f>
        <v>-993.89635617821148</v>
      </c>
      <c r="E2952">
        <f>-735.323393084632 -93.8666519693522 -283.414564227891</f>
        <v>-1112.6046092818751</v>
      </c>
      <c r="F2952">
        <f>-742.970653328549 -98.5879961530336 -372.056949404541</f>
        <v>-1213.6155988861237</v>
      </c>
      <c r="G2952">
        <f>-744.90430209982 -101.64872875529 -461.080152040358</f>
        <v>-1307.6331828954681</v>
      </c>
      <c r="H2952">
        <f>-741.586243649899 -104.243434557464 -585.591488663508</f>
        <v>-1431.4211668708708</v>
      </c>
      <c r="I2952">
        <f>-707.332458402541 -98.0045925531944 -661.041989298582</f>
        <v>-1466.3790402543173</v>
      </c>
      <c r="J2952">
        <f>-748.333311384868 -75.910933234684 -531.507673822393</f>
        <v>-1355.751918441945</v>
      </c>
      <c r="K2952" t="s">
        <v>31709</v>
      </c>
      <c r="L2952" t="s">
        <v>31710</v>
      </c>
      <c r="M2952" t="s">
        <v>31711</v>
      </c>
      <c r="N2952">
        <f>-737.759461863251 -130.292469827054 -530.092741656371</f>
        <v>-1398.144673346676</v>
      </c>
      <c r="O2952">
        <f>-713.313414600199 -262.014315483694 -499.251875487146</f>
        <v>-1474.5796055710391</v>
      </c>
      <c r="P2952">
        <f>-689.804722417637 -286.641570373045 -206.964196080036</f>
        <v>-1183.4104888707179</v>
      </c>
      <c r="Q2952">
        <f>-543.269134902986 -118.884904286499 -298.811307643112</f>
        <v>-960.96534683259711</v>
      </c>
      <c r="R2952" t="s">
        <v>31712</v>
      </c>
      <c r="S2952" t="s">
        <v>31713</v>
      </c>
      <c r="T2952" t="s">
        <v>31714</v>
      </c>
      <c r="U2952" t="s">
        <v>31715</v>
      </c>
      <c r="V2952">
        <f>-662.44966930142 -167.007780813831 -73.1783294341589</f>
        <v>-902.6357795494099</v>
      </c>
      <c r="W2952" t="s">
        <v>31716</v>
      </c>
      <c r="X2952" t="s">
        <v>31717</v>
      </c>
      <c r="Y2952" t="s">
        <v>31718</v>
      </c>
    </row>
    <row r="2953" spans="1:25" x14ac:dyDescent="0.3">
      <c r="A2953">
        <v>147600</v>
      </c>
      <c r="B2953" t="s">
        <v>31719</v>
      </c>
      <c r="C2953">
        <f>-687.729451293094 -73.3688808358734 -76.1477134797259</f>
        <v>-837.24604560869329</v>
      </c>
      <c r="D2953">
        <f>-721.31177440007 -87.0592238085179 -186.152413594241</f>
        <v>-994.52341180282895</v>
      </c>
      <c r="E2953">
        <f>-735.587858265914 -94.0797091843774 -283.484671323869</f>
        <v>-1113.1522387741604</v>
      </c>
      <c r="F2953">
        <f>-743.142598468207 -98.7591873806773 -372.137176116954</f>
        <v>-1214.0389619658383</v>
      </c>
      <c r="G2953">
        <f>-744.957196413458 -101.752094233789 -461.165094829615</f>
        <v>-1307.8743854768618</v>
      </c>
      <c r="H2953">
        <f>-741.445107295954 -104.224739354303 -585.673728657802</f>
        <v>-1431.3435753080589</v>
      </c>
      <c r="I2953">
        <f>-707.115473802128 -97.8569633898968 -661.078955456764</f>
        <v>-1466.0513926487888</v>
      </c>
      <c r="J2953">
        <f>-748.316805424252 -75.9530793318348 -531.573810433957</f>
        <v>-1355.8436951900439</v>
      </c>
      <c r="K2953" t="s">
        <v>31720</v>
      </c>
      <c r="L2953" t="s">
        <v>31721</v>
      </c>
      <c r="M2953" t="s">
        <v>31722</v>
      </c>
      <c r="N2953">
        <f>-737.664399198006 -130.320216475375 -530.193497495306</f>
        <v>-1398.1781131686871</v>
      </c>
      <c r="O2953">
        <f>-713.066392932424 -262.020481661848 -499.404285911914</f>
        <v>-1474.4911605061861</v>
      </c>
      <c r="P2953">
        <f>-689.638318604032 -286.793363272427 -207.122452563312</f>
        <v>-1183.5541344397709</v>
      </c>
      <c r="Q2953">
        <f>-543.285065129981 -118.853068947155 -298.924667925562</f>
        <v>-961.06280200269794</v>
      </c>
      <c r="R2953" t="s">
        <v>31723</v>
      </c>
      <c r="S2953" t="s">
        <v>31724</v>
      </c>
      <c r="T2953" t="s">
        <v>31725</v>
      </c>
      <c r="U2953" t="s">
        <v>31726</v>
      </c>
      <c r="V2953">
        <f>-662.708204845179 -167.241415405379 -73.2366563582568</f>
        <v>-903.18627660881486</v>
      </c>
      <c r="W2953" t="s">
        <v>31727</v>
      </c>
      <c r="X2953" t="s">
        <v>31728</v>
      </c>
      <c r="Y2953" t="s">
        <v>31729</v>
      </c>
    </row>
    <row r="2954" spans="1:25" x14ac:dyDescent="0.3">
      <c r="A2954">
        <v>147650</v>
      </c>
      <c r="B2954" t="s">
        <v>31730</v>
      </c>
      <c r="C2954">
        <f>-687.925927636212 -73.4525330240673 -76.1669076411625</f>
        <v>-837.54536830144184</v>
      </c>
      <c r="D2954">
        <f>-721.517333477669 -87.1641252488041 -186.166128757233</f>
        <v>-994.84758748370609</v>
      </c>
      <c r="E2954">
        <f>-735.764367637666 -94.1775766151294 -283.503116524917</f>
        <v>-1113.4450607777126</v>
      </c>
      <c r="F2954">
        <f>-743.277226773269 -98.8409704445768 -372.160043205546</f>
        <v>-1214.2782404233917</v>
      </c>
      <c r="G2954">
        <f>-745.034342463956 -101.807771200037 -461.19024125469</f>
        <v>-1308.032354918683</v>
      </c>
      <c r="H2954">
        <f>-741.425549527862 -104.233498607848 -585.696801736405</f>
        <v>-1431.355849872115</v>
      </c>
      <c r="I2954">
        <f>-707.062582748593 -97.8026889138333 -661.081517655268</f>
        <v>-1465.9467893176943</v>
      </c>
      <c r="J2954">
        <f>-748.366125071756 -75.9875513592635 -531.592260704255</f>
        <v>-1355.9459371352746</v>
      </c>
      <c r="K2954" t="s">
        <v>31731</v>
      </c>
      <c r="L2954" t="s">
        <v>31732</v>
      </c>
      <c r="M2954" t="s">
        <v>31733</v>
      </c>
      <c r="N2954">
        <f>-737.661060064534 -130.34458501258 -530.222831485915</f>
        <v>-1398.2284765630288</v>
      </c>
      <c r="O2954">
        <f>-712.958830458076 -262.033475925817 -499.482135518598</f>
        <v>-1474.474441902491</v>
      </c>
      <c r="P2954">
        <f>-689.617013879185 -286.88798392491 -207.200427038733</f>
        <v>-1183.7054248428281</v>
      </c>
      <c r="Q2954">
        <f>-543.392488094298 -118.823200909598 -298.979923858375</f>
        <v>-961.19561286227099</v>
      </c>
      <c r="R2954" t="s">
        <v>31734</v>
      </c>
      <c r="S2954" t="s">
        <v>31735</v>
      </c>
      <c r="T2954" t="s">
        <v>31736</v>
      </c>
      <c r="U2954" t="s">
        <v>31737</v>
      </c>
      <c r="V2954">
        <f>-662.848741716682 -167.30825521002 -73.2621864985849</f>
        <v>-903.41918342528686</v>
      </c>
      <c r="W2954" t="s">
        <v>31738</v>
      </c>
      <c r="X2954" t="s">
        <v>31739</v>
      </c>
      <c r="Y2954" t="s">
        <v>31740</v>
      </c>
    </row>
    <row r="2955" spans="1:25" x14ac:dyDescent="0.3">
      <c r="A2955">
        <v>147700</v>
      </c>
      <c r="B2955" t="s">
        <v>31741</v>
      </c>
      <c r="C2955">
        <f>-688.273529291755 -73.4787945486772 -76.2063529211318</f>
        <v>-837.95867676156411</v>
      </c>
      <c r="D2955">
        <f>-721.912834100236 -87.2401451047502 -186.184786078058</f>
        <v>-995.33776528304418</v>
      </c>
      <c r="E2955">
        <f>-736.1350582386 -94.2420796447957 -283.526220811852</f>
        <v>-1113.9033586952478</v>
      </c>
      <c r="F2955">
        <f>-743.597527169157 -98.8734011590475 -372.188990098477</f>
        <v>-1214.6599184266815</v>
      </c>
      <c r="G2955">
        <f>-745.276234648811 -101.78556473073 -461.222406471055</f>
        <v>-1308.2842058505962</v>
      </c>
      <c r="H2955">
        <f>-741.528526653561 -104.111057067375 -585.726859999443</f>
        <v>-1431.366443720379</v>
      </c>
      <c r="I2955">
        <f>-707.130478938254 -97.5516821415536 -661.084539736405</f>
        <v>-1465.7667008162125</v>
      </c>
      <c r="J2955">
        <f>-748.585945614533 -75.9198112494437 -531.608836829451</f>
        <v>-1356.1145936934277</v>
      </c>
      <c r="K2955" t="s">
        <v>31742</v>
      </c>
      <c r="L2955" t="s">
        <v>31743</v>
      </c>
      <c r="M2955" t="s">
        <v>31744</v>
      </c>
      <c r="N2955">
        <f>-737.769438247656 -130.2555892455 -530.268378993926</f>
        <v>-1398.2934064870819</v>
      </c>
      <c r="O2955">
        <f>-712.857350179019 -261.928479739191 -499.602972788062</f>
        <v>-1474.3888027062721</v>
      </c>
      <c r="P2955">
        <f>-689.540206475065 -286.965331210328 -207.334888849811</f>
        <v>-1183.840426535204</v>
      </c>
      <c r="Q2955">
        <f>-543.604573436857 -118.593230256238 -299.010993893619</f>
        <v>-961.20879758671401</v>
      </c>
      <c r="R2955" t="s">
        <v>31745</v>
      </c>
      <c r="S2955" t="s">
        <v>31746</v>
      </c>
      <c r="T2955" t="s">
        <v>31747</v>
      </c>
      <c r="U2955" t="s">
        <v>31748</v>
      </c>
      <c r="V2955">
        <f>-663.028948573372 -167.213594804964 -73.3178859897542</f>
        <v>-903.56042936809024</v>
      </c>
      <c r="W2955" t="s">
        <v>31749</v>
      </c>
      <c r="X2955" t="s">
        <v>31750</v>
      </c>
      <c r="Y2955" t="s">
        <v>31751</v>
      </c>
    </row>
    <row r="2956" spans="1:25" x14ac:dyDescent="0.3">
      <c r="A2956">
        <v>147750</v>
      </c>
      <c r="B2956" t="s">
        <v>31752</v>
      </c>
      <c r="C2956">
        <f>-688.436332449913 -73.4412527961931 -76.2280939636514</f>
        <v>-838.10567920975757</v>
      </c>
      <c r="D2956">
        <f>-722.107369079176 -87.2265471034365 -186.193837507965</f>
        <v>-995.52775369057747</v>
      </c>
      <c r="E2956">
        <f>-736.33710942796 -94.2164895411598 -283.535057998099</f>
        <v>-1114.0886569672189</v>
      </c>
      <c r="F2956">
        <f>-743.797816337973 -98.8239409777977 -372.199204662321</f>
        <v>-1214.8209619780919</v>
      </c>
      <c r="G2956">
        <f>-745.46613242769 -101.698598340584 -461.234144107485</f>
        <v>-1308.398874875759</v>
      </c>
      <c r="H2956">
        <f>-741.694712781593 -103.95706574189 -585.738985326644</f>
        <v>-1431.3907638501269</v>
      </c>
      <c r="I2956">
        <f>-707.28373058618 -97.3261187100578 -661.084446882727</f>
        <v>-1465.6942961789648</v>
      </c>
      <c r="J2956">
        <f>-748.79170478984 -75.8008459022612 -531.607972372837</f>
        <v>-1356.2005230649384</v>
      </c>
      <c r="K2956" t="s">
        <v>31753</v>
      </c>
      <c r="L2956" t="s">
        <v>31754</v>
      </c>
      <c r="M2956" t="s">
        <v>31755</v>
      </c>
      <c r="N2956">
        <f>-737.916980723492 -130.125528364387 -530.293156240969</f>
        <v>-1398.3356653288479</v>
      </c>
      <c r="O2956">
        <f>-712.869378456286 -261.788100756932 -499.680509957971</f>
        <v>-1474.3379891711891</v>
      </c>
      <c r="P2956">
        <f>-689.585596227655 -286.903140404323 -207.416315867165</f>
        <v>-1183.9050524991428</v>
      </c>
      <c r="Q2956">
        <f>-543.788973652168 -118.36360471407 -299.006001999767</f>
        <v>-961.15858036600503</v>
      </c>
      <c r="R2956" t="s">
        <v>31756</v>
      </c>
      <c r="S2956" t="s">
        <v>31757</v>
      </c>
      <c r="T2956" t="s">
        <v>31758</v>
      </c>
      <c r="U2956" t="s">
        <v>31759</v>
      </c>
      <c r="V2956">
        <f>-663.106734951751 -167.146664398902 -73.3512569465818</f>
        <v>-903.60465629723478</v>
      </c>
      <c r="W2956" t="s">
        <v>31760</v>
      </c>
      <c r="X2956" t="s">
        <v>31761</v>
      </c>
      <c r="Y2956" t="s">
        <v>31762</v>
      </c>
    </row>
    <row r="2957" spans="1:25" x14ac:dyDescent="0.3">
      <c r="A2957">
        <v>147800</v>
      </c>
      <c r="B2957" t="s">
        <v>31763</v>
      </c>
      <c r="C2957">
        <f>-688.747562389808 -73.4990076930729 -76.247148360642</f>
        <v>-838.49371844352288</v>
      </c>
      <c r="D2957">
        <f>-722.494005598224 -87.3591423220817 -186.180267237545</f>
        <v>-996.03341515785064</v>
      </c>
      <c r="E2957">
        <f>-736.761907160265 -94.3306206901107 -283.51730613767</f>
        <v>-1114.6098339880457</v>
      </c>
      <c r="F2957">
        <f>-744.245226475361 -98.8873503828785 -372.182145260425</f>
        <v>-1215.3147221186646</v>
      </c>
      <c r="G2957">
        <f>-745.923732656189 -101.675656361532 -461.219569753363</f>
        <v>-1308.818958771084</v>
      </c>
      <c r="H2957">
        <f>-742.153593016445 -103.775524634907 -585.727260551408</f>
        <v>-1431.6563782027602</v>
      </c>
      <c r="I2957">
        <f>-707.745263681007 -96.9785844491305 -661.059331944663</f>
        <v>-1465.7831800748004</v>
      </c>
      <c r="J2957">
        <f>-749.304039502662 -75.6991517859575 -531.561885234597</f>
        <v>-1356.5650765232165</v>
      </c>
      <c r="K2957" t="s">
        <v>31764</v>
      </c>
      <c r="L2957" t="s">
        <v>31765</v>
      </c>
      <c r="M2957" t="s">
        <v>31766</v>
      </c>
      <c r="N2957">
        <f>-738.321321622736 -130.003756007758 -530.313400857244</f>
        <v>-1398.638478487738</v>
      </c>
      <c r="O2957">
        <f>-713.010594455098 -261.642860007407 -499.820973493625</f>
        <v>-1474.4744279561301</v>
      </c>
      <c r="P2957">
        <f>-689.687577026544 -287.018132247421 -207.582587178101</f>
        <v>-1184.2882964520659</v>
      </c>
      <c r="Q2957">
        <f>-544.319256472565 -117.99961205078 -298.969845155995</f>
        <v>-961.28871367934005</v>
      </c>
      <c r="R2957" t="s">
        <v>31767</v>
      </c>
      <c r="S2957" t="s">
        <v>31768</v>
      </c>
      <c r="T2957" t="s">
        <v>31769</v>
      </c>
      <c r="U2957" t="s">
        <v>31770</v>
      </c>
      <c r="V2957">
        <f>-663.289602897898 -167.234654081384 -73.3701487349668</f>
        <v>-903.89440571424882</v>
      </c>
      <c r="W2957" t="s">
        <v>31771</v>
      </c>
      <c r="X2957" t="s">
        <v>31772</v>
      </c>
      <c r="Y2957" t="s">
        <v>31773</v>
      </c>
    </row>
    <row r="2958" spans="1:25" x14ac:dyDescent="0.3">
      <c r="A2958">
        <v>147850</v>
      </c>
      <c r="B2958" t="s">
        <v>31774</v>
      </c>
      <c r="C2958">
        <f>-688.901289930513 -73.4808583866376 -76.2391652748644</f>
        <v>-838.62131359201499</v>
      </c>
      <c r="D2958">
        <f>-722.681813379386 -87.3723026537674 -186.157988669243</f>
        <v>-996.21210470239635</v>
      </c>
      <c r="E2958">
        <f>-736.95617857101 -94.3272385054422 -283.495205553459</f>
        <v>-1114.7786226299113</v>
      </c>
      <c r="F2958">
        <f>-744.435560617187 -98.8505104391097 -372.162220843485</f>
        <v>-1215.4482918997817</v>
      </c>
      <c r="G2958">
        <f>-746.100452862689 -101.585988002589 -461.201410699289</f>
        <v>-1308.887851564567</v>
      </c>
      <c r="H2958">
        <f>-742.301006187775 -103.591221731038 -585.709869991577</f>
        <v>-1431.6020979103901</v>
      </c>
      <c r="I2958">
        <f>-707.897164523642 -96.6902571699729 -661.034305184026</f>
        <v>-1465.6217268776409</v>
      </c>
      <c r="J2958">
        <f>-749.493805015734 -75.562068460926 -531.525489769501</f>
        <v>-1356.5813632461609</v>
      </c>
      <c r="K2958" t="s">
        <v>31775</v>
      </c>
      <c r="L2958" t="s">
        <v>31776</v>
      </c>
      <c r="M2958" t="s">
        <v>31777</v>
      </c>
      <c r="N2958">
        <f>-738.452167564565 -129.855573404009 -530.314156776244</f>
        <v>-1398.6218977448179</v>
      </c>
      <c r="O2958">
        <f>-713.032648292979 -261.48843199866 -499.896059690153</f>
        <v>-1474.4171399817919</v>
      </c>
      <c r="P2958">
        <f>-689.693636281429 -286.973638023796 -207.668377560379</f>
        <v>-1184.3356518656039</v>
      </c>
      <c r="Q2958">
        <f>-544.515560771084 -117.74092153212 -298.961603590575</f>
        <v>-961.21808589377895</v>
      </c>
      <c r="R2958" t="s">
        <v>31778</v>
      </c>
      <c r="S2958" t="s">
        <v>31779</v>
      </c>
      <c r="T2958" t="s">
        <v>31780</v>
      </c>
      <c r="U2958" t="s">
        <v>31781</v>
      </c>
      <c r="V2958">
        <f>-663.421890908238 -167.204430189828 -73.3566117842275</f>
        <v>-903.98293288229354</v>
      </c>
      <c r="W2958" t="s">
        <v>31782</v>
      </c>
      <c r="X2958" t="s">
        <v>31783</v>
      </c>
      <c r="Y2958" t="s">
        <v>31784</v>
      </c>
    </row>
    <row r="2959" spans="1:25" x14ac:dyDescent="0.3">
      <c r="A2959">
        <v>147900</v>
      </c>
      <c r="B2959" t="s">
        <v>31785</v>
      </c>
      <c r="C2959">
        <f>-689.210056271554 -73.5012640371418 -76.2645935046374</f>
        <v>-838.97591381333325</v>
      </c>
      <c r="D2959">
        <f>-723.044618331267 -87.4536794484081 -186.158963965854</f>
        <v>-996.65726174552913</v>
      </c>
      <c r="E2959">
        <f>-737.314458843062 -94.3820163320468 -283.498698829342</f>
        <v>-1115.1951740044508</v>
      </c>
      <c r="F2959">
        <f>-744.768106594039 -98.848372703353 -372.170812940599</f>
        <v>-1215.7872922379909</v>
      </c>
      <c r="G2959">
        <f>-746.385295179171 -101.492989276647 -461.213643435564</f>
        <v>-1309.0919278913821</v>
      </c>
      <c r="H2959">
        <f>-742.496282258991 -103.334829104338 -585.721890330739</f>
        <v>-1431.5530016940679</v>
      </c>
      <c r="I2959">
        <f>-708.087154165317 -96.2423849604976 -661.026137545786</f>
        <v>-1465.3556766716006</v>
      </c>
      <c r="J2959">
        <f>-749.773904957018 -75.3862019807025 -531.507288831462</f>
        <v>-1356.6673957691823</v>
      </c>
      <c r="K2959" t="s">
        <v>31786</v>
      </c>
      <c r="L2959" t="s">
        <v>31787</v>
      </c>
      <c r="M2959" t="s">
        <v>31788</v>
      </c>
      <c r="N2959">
        <f>-738.641363081605 -129.662468368698 -530.356733877744</f>
        <v>-1398.6605653280471</v>
      </c>
      <c r="O2959">
        <f>-713.036700238734 -261.282380411184 -500.046954764083</f>
        <v>-1474.3660354140011</v>
      </c>
      <c r="P2959">
        <f>-689.792497247296 -287.042370790641 -207.835887172165</f>
        <v>-1184.670755210102</v>
      </c>
      <c r="Q2959">
        <f>-544.788902953002 -117.553514407674 -298.931091496312</f>
        <v>-961.27350885698797</v>
      </c>
      <c r="R2959" t="s">
        <v>31789</v>
      </c>
      <c r="S2959" t="s">
        <v>31790</v>
      </c>
      <c r="T2959" t="s">
        <v>31791</v>
      </c>
      <c r="U2959" t="s">
        <v>31792</v>
      </c>
      <c r="V2959">
        <f>-663.577036933641 -167.261599529743 -73.3896871160557</f>
        <v>-904.22832357943969</v>
      </c>
      <c r="W2959" t="s">
        <v>31793</v>
      </c>
      <c r="X2959" t="s">
        <v>31794</v>
      </c>
      <c r="Y2959" t="s">
        <v>31795</v>
      </c>
    </row>
    <row r="2960" spans="1:25" x14ac:dyDescent="0.3">
      <c r="A2960">
        <v>147950</v>
      </c>
      <c r="B2960" t="s">
        <v>31796</v>
      </c>
      <c r="C2960">
        <f>-689.411386394563 -73.5721754961886 -76.2687786285792</f>
        <v>-839.2523405193308</v>
      </c>
      <c r="D2960">
        <f>-723.245557122231 -87.5629510485403 -186.158438692272</f>
        <v>-996.9669468630434</v>
      </c>
      <c r="E2960">
        <f>-737.505317470483 -94.4848052103806 -283.500028031963</f>
        <v>-1115.4901507128266</v>
      </c>
      <c r="F2960">
        <f>-744.945491485885 -98.9295491937106 -372.174484547788</f>
        <v>-1216.0495252273836</v>
      </c>
      <c r="G2960">
        <f>-746.544578129894 -101.536309516312 -461.218627361772</f>
        <v>-1309.299515007978</v>
      </c>
      <c r="H2960">
        <f>-742.625431558684 -103.308121982554 -585.72694873838</f>
        <v>-1431.660502279618</v>
      </c>
      <c r="I2960">
        <f>-708.213095139843 -96.1439041114148 -661.023041360322</f>
        <v>-1465.3800406115797</v>
      </c>
      <c r="J2960">
        <f>-749.932018226717 -75.3931806907726 -531.498905610574</f>
        <v>-1356.8241045280636</v>
      </c>
      <c r="K2960" t="s">
        <v>31797</v>
      </c>
      <c r="L2960" t="s">
        <v>31798</v>
      </c>
      <c r="M2960" t="s">
        <v>31799</v>
      </c>
      <c r="N2960">
        <f>-738.768154597482 -129.663557520552 -530.375124755929</f>
        <v>-1398.806836873963</v>
      </c>
      <c r="O2960">
        <f>-713.133683286518 -261.287225439336 -500.119933063599</f>
        <v>-1474.540841789453</v>
      </c>
      <c r="P2960">
        <f>-689.925316171008 -287.186133623692 -207.918272820382</f>
        <v>-1185.0297226150822</v>
      </c>
      <c r="Q2960">
        <f>-544.917667627085 -117.620773838957 -298.864714876811</f>
        <v>-961.40315634285298</v>
      </c>
      <c r="R2960" t="s">
        <v>31800</v>
      </c>
      <c r="S2960" t="s">
        <v>31801</v>
      </c>
      <c r="T2960" t="s">
        <v>31802</v>
      </c>
      <c r="U2960" t="s">
        <v>31803</v>
      </c>
      <c r="V2960">
        <f>-663.731353425009 -167.398362752577 -73.3695933753307</f>
        <v>-904.49930955291677</v>
      </c>
      <c r="W2960" t="s">
        <v>31804</v>
      </c>
      <c r="X2960" t="s">
        <v>31805</v>
      </c>
      <c r="Y2960" t="s">
        <v>31806</v>
      </c>
    </row>
    <row r="2961" spans="1:25" x14ac:dyDescent="0.3">
      <c r="A2961">
        <v>148000</v>
      </c>
      <c r="B2961" t="s">
        <v>31807</v>
      </c>
      <c r="C2961">
        <f>-689.669345255825 -73.658946619248 -76.2534924723441</f>
        <v>-839.58178434741706</v>
      </c>
      <c r="D2961">
        <f>-723.500431998256 -87.6981341852007 -186.137924294623</f>
        <v>-997.33649047807967</v>
      </c>
      <c r="E2961">
        <f>-737.739553475825 -94.6000873358004 -283.483897345369</f>
        <v>-1115.8235381569943</v>
      </c>
      <c r="F2961">
        <f>-745.15278315924 -99.0024516868533 -372.162651385339</f>
        <v>-1216.3178862314323</v>
      </c>
      <c r="G2961">
        <f>-746.716452367544 -101.542281319724 -461.20954351704</f>
        <v>-1309.4682772043079</v>
      </c>
      <c r="H2961">
        <f>-742.738653774991 -103.195004102191 -585.717567792884</f>
        <v>-1431.651225670066</v>
      </c>
      <c r="I2961">
        <f>-708.312090555938 -95.9286000641964 -660.997225320093</f>
        <v>-1465.2379159402274</v>
      </c>
      <c r="J2961">
        <f>-750.093088432545 -75.3366769377539 -531.466921676457</f>
        <v>-1356.8966870467557</v>
      </c>
      <c r="K2961" t="s">
        <v>31808</v>
      </c>
      <c r="L2961" t="s">
        <v>31809</v>
      </c>
      <c r="M2961" t="s">
        <v>31810</v>
      </c>
      <c r="N2961">
        <f>-738.885181649477 -129.598813949242 -530.388499624703</f>
        <v>-1398.872495223422</v>
      </c>
      <c r="O2961">
        <f>-713.184702058227 -261.230756468122 -500.207254945558</f>
        <v>-1474.622713471907</v>
      </c>
      <c r="P2961">
        <f>-690.14845665384 -287.280145862292 -208.005192532614</f>
        <v>-1185.4337950487459</v>
      </c>
      <c r="Q2961">
        <f>-545.149209251188 -117.548082973958 -298.653500979268</f>
        <v>-961.350793204414</v>
      </c>
      <c r="R2961" t="s">
        <v>31811</v>
      </c>
      <c r="S2961" t="s">
        <v>31812</v>
      </c>
      <c r="T2961" t="s">
        <v>31813</v>
      </c>
      <c r="U2961" t="s">
        <v>31814</v>
      </c>
      <c r="V2961">
        <f>-663.899829516965 -167.455844024932 -73.3178292163711</f>
        <v>-904.67350275826811</v>
      </c>
      <c r="W2961" t="s">
        <v>31815</v>
      </c>
      <c r="X2961" t="s">
        <v>31816</v>
      </c>
      <c r="Y2961" t="s">
        <v>31817</v>
      </c>
    </row>
    <row r="2962" spans="1:25" x14ac:dyDescent="0.3">
      <c r="A2962">
        <v>148050</v>
      </c>
      <c r="B2962" t="s">
        <v>31818</v>
      </c>
      <c r="C2962">
        <f>-689.772043824818 -73.837381374198 -76.2593544144821</f>
        <v>-839.86877961349808</v>
      </c>
      <c r="D2962">
        <f>-723.624768788508 -87.8890230901712 -186.135395240834</f>
        <v>-997.64918711951327</v>
      </c>
      <c r="E2962">
        <f>-737.859269501372 -94.7723127336336 -283.483695906181</f>
        <v>-1116.1152781411865</v>
      </c>
      <c r="F2962">
        <f>-745.258167635633 -99.1465484189465 -372.164859220415</f>
        <v>-1216.5695752749943</v>
      </c>
      <c r="G2962">
        <f>-746.797363783381 -101.647120401892 -461.213320505093</f>
        <v>-1309.657804690366</v>
      </c>
      <c r="H2962">
        <f>-742.774396419029 -103.233682218084 -585.720750609099</f>
        <v>-1431.7288292462122</v>
      </c>
      <c r="I2962">
        <f>-708.332373372004 -95.9268063213239 -660.989473870213</f>
        <v>-1465.2486535635408</v>
      </c>
      <c r="J2962">
        <f>-750.153923802093 -75.4053022737048 -531.458111214378</f>
        <v>-1357.0173372901759</v>
      </c>
      <c r="K2962" t="s">
        <v>31819</v>
      </c>
      <c r="L2962" t="s">
        <v>31820</v>
      </c>
      <c r="M2962" t="s">
        <v>31821</v>
      </c>
      <c r="N2962">
        <f>-738.935467405181 -129.665806894379 -530.404167330864</f>
        <v>-1399.005441630424</v>
      </c>
      <c r="O2962">
        <f>-713.240306050407 -261.305328856612 -500.261283215796</f>
        <v>-1474.806918122815</v>
      </c>
      <c r="P2962">
        <f>-690.252716142682 -287.445521611186 -208.06373444869</f>
        <v>-1185.7619722025579</v>
      </c>
      <c r="Q2962">
        <f>-545.282571503378 -117.623513042393 -298.590063136994</f>
        <v>-961.49614768276501</v>
      </c>
      <c r="R2962" t="s">
        <v>31822</v>
      </c>
      <c r="S2962" t="s">
        <v>31823</v>
      </c>
      <c r="T2962" t="s">
        <v>31824</v>
      </c>
      <c r="U2962" t="s">
        <v>31825</v>
      </c>
      <c r="V2962">
        <f>-663.995904403037 -167.687481924951 -73.3193859995072</f>
        <v>-905.00277232749522</v>
      </c>
      <c r="W2962" t="s">
        <v>31826</v>
      </c>
      <c r="X2962" t="s">
        <v>31827</v>
      </c>
      <c r="Y2962" t="s">
        <v>31828</v>
      </c>
    </row>
    <row r="2963" spans="1:25" x14ac:dyDescent="0.3">
      <c r="A2963">
        <v>148100</v>
      </c>
      <c r="B2963" t="s">
        <v>31829</v>
      </c>
      <c r="C2963">
        <f>-689.937644872234 -74.1549309497605 -76.2782549149924</f>
        <v>-840.37083073698693</v>
      </c>
      <c r="D2963">
        <f>-723.798690910702 -88.2089748424503 -186.151563807325</f>
        <v>-998.15922956047734</v>
      </c>
      <c r="E2963">
        <f>-738.002267195796 -95.0322983445137 -283.508518012662</f>
        <v>-1116.5430835529717</v>
      </c>
      <c r="F2963">
        <f>-745.356706988566 -99.3280444167226 -372.197182894513</f>
        <v>-1216.8819342998015</v>
      </c>
      <c r="G2963">
        <f>-746.83441376834 -101.725925582229 -461.249444411555</f>
        <v>-1309.809783762124</v>
      </c>
      <c r="H2963">
        <f>-742.707880826061 -103.144197438979 -585.755560277215</f>
        <v>-1431.607638542255</v>
      </c>
      <c r="I2963">
        <f>-708.224081108345 -95.7486189538096 -660.996630368052</f>
        <v>-1464.9693304302066</v>
      </c>
      <c r="J2963">
        <f>-750.147820683604 -75.3923250691797 -531.462062347125</f>
        <v>-1357.0022080999088</v>
      </c>
      <c r="K2963" t="s">
        <v>31830</v>
      </c>
      <c r="L2963" t="s">
        <v>31831</v>
      </c>
      <c r="M2963" t="s">
        <v>31832</v>
      </c>
      <c r="N2963">
        <f>-738.899740529465 -129.647880044723 -530.471220270486</f>
        <v>-1399.0188408446741</v>
      </c>
      <c r="O2963">
        <f>-713.179024250105 -261.312170676098 -500.444818732122</f>
        <v>-1474.936013658325</v>
      </c>
      <c r="P2963">
        <f>-690.367484355133 -287.649591830064 -208.25108748077</f>
        <v>-1186.268163665967</v>
      </c>
      <c r="Q2963">
        <f>-545.50536308903 -117.635339585205 -298.589320404117</f>
        <v>-961.73002307835191</v>
      </c>
      <c r="R2963" t="s">
        <v>31833</v>
      </c>
      <c r="S2963" t="s">
        <v>31834</v>
      </c>
      <c r="T2963" t="s">
        <v>31835</v>
      </c>
      <c r="U2963" t="s">
        <v>31836</v>
      </c>
      <c r="V2963">
        <f>-664.128823068154 -168.015411811197 -73.3553641007554</f>
        <v>-905.49959898010638</v>
      </c>
      <c r="W2963" t="s">
        <v>31837</v>
      </c>
      <c r="X2963" t="s">
        <v>31838</v>
      </c>
      <c r="Y2963" t="s">
        <v>31839</v>
      </c>
    </row>
    <row r="2964" spans="1:25" x14ac:dyDescent="0.3">
      <c r="A2964">
        <v>148150</v>
      </c>
      <c r="B2964" t="s">
        <v>31840</v>
      </c>
      <c r="C2964">
        <f>-689.983639732332 -74.2906816402024 -76.2882398679649</f>
        <v>-840.56256124049924</v>
      </c>
      <c r="D2964">
        <f>-723.854502035793 -88.3302840007024 -186.160336493744</f>
        <v>-998.34512253023934</v>
      </c>
      <c r="E2964">
        <f>-738.047832556196 -95.1089065600743 -283.521794489147</f>
        <v>-1116.6785336054172</v>
      </c>
      <c r="F2964">
        <f>-745.385120656521 -99.3508528849084 -372.214693506252</f>
        <v>-1216.9506670476815</v>
      </c>
      <c r="G2964">
        <f>-746.837828038721 -101.68147194518 -461.269104037194</f>
        <v>-1309.7884040210949</v>
      </c>
      <c r="H2964">
        <f>-742.667816128988 -102.991181422005 -585.774990891357</f>
        <v>-1431.4339884423498</v>
      </c>
      <c r="I2964">
        <f>-708.156351205849 -95.5351928128379 -660.997242895866</f>
        <v>-1464.6887869145528</v>
      </c>
      <c r="J2964">
        <f>-750.138226250612 -75.289012150283 -531.460154631574</f>
        <v>-1356.8873930324689</v>
      </c>
      <c r="K2964" t="s">
        <v>31841</v>
      </c>
      <c r="L2964" t="s">
        <v>31842</v>
      </c>
      <c r="M2964" t="s">
        <v>31843</v>
      </c>
      <c r="N2964">
        <f>-738.867412321437 -129.540625840531 -530.511989101234</f>
        <v>-1398.920027263202</v>
      </c>
      <c r="O2964">
        <f>-713.116691660978 -261.21600723226 -500.562239740106</f>
        <v>-1474.8949386333438</v>
      </c>
      <c r="P2964">
        <f>-690.342866555928 -287.723955673058 -208.380866142251</f>
        <v>-1186.4476883712371</v>
      </c>
      <c r="Q2964">
        <f>-545.510649669941 -117.536497883734 -298.440654890658</f>
        <v>-961.48780244433306</v>
      </c>
      <c r="R2964" t="s">
        <v>31844</v>
      </c>
      <c r="S2964" t="s">
        <v>31845</v>
      </c>
      <c r="T2964" t="s">
        <v>31846</v>
      </c>
      <c r="U2964" t="s">
        <v>31847</v>
      </c>
      <c r="V2964">
        <f>-664.174451945784 -168.116433527268 -73.397426939087</f>
        <v>-905.688312412139</v>
      </c>
      <c r="W2964" t="s">
        <v>31848</v>
      </c>
      <c r="X2964" t="s">
        <v>31849</v>
      </c>
      <c r="Y2964" t="s">
        <v>31850</v>
      </c>
    </row>
    <row r="2965" spans="1:25" x14ac:dyDescent="0.3">
      <c r="A2965">
        <v>148200</v>
      </c>
      <c r="B2965" t="s">
        <v>31851</v>
      </c>
      <c r="C2965">
        <f>-690.073533861119 -74.4847714370661 -76.3195807359273</f>
        <v>-840.87788603411241</v>
      </c>
      <c r="D2965">
        <f>-723.964827424654 -88.5083152470206 -186.187445670396</f>
        <v>-998.66058834207058</v>
      </c>
      <c r="E2965">
        <f>-738.14885500423 -95.201070755405 -283.556212184205</f>
        <v>-1116.9061379438399</v>
      </c>
      <c r="F2965">
        <f>-745.466245705905 -99.3350418550634 -372.2557412706</f>
        <v>-1217.0570288315685</v>
      </c>
      <c r="G2965">
        <f>-746.887723448775 -101.526019577768 -461.314285452345</f>
        <v>-1309.7280284788881</v>
      </c>
      <c r="H2965">
        <f>-742.662254426633 -102.606922528202 -585.820487099442</f>
        <v>-1431.0896640542769</v>
      </c>
      <c r="I2965">
        <f>-708.098911905231 -94.9968532439656 -661.003594981034</f>
        <v>-1464.0993601302307</v>
      </c>
      <c r="J2965">
        <f>-750.188113772448 -75.0111288507192 -531.45920830573</f>
        <v>-1356.6584509288973</v>
      </c>
      <c r="K2965" t="s">
        <v>31852</v>
      </c>
      <c r="L2965" t="s">
        <v>31853</v>
      </c>
      <c r="M2965" t="s">
        <v>31854</v>
      </c>
      <c r="N2965">
        <f>-738.855282214566 -129.25138436715 -530.603778979658</f>
        <v>-1398.7104455613739</v>
      </c>
      <c r="O2965">
        <f>-712.959490261426 -260.936177747463 -500.824180109832</f>
        <v>-1474.7198481187211</v>
      </c>
      <c r="P2965">
        <f>-690.227397002498 -287.886208197665 -208.680039469617</f>
        <v>-1186.79364466978</v>
      </c>
      <c r="Q2965">
        <f>-545.707825129765 -117.202582355948 -298.301774916905</f>
        <v>-961.21218240261805</v>
      </c>
      <c r="R2965" t="s">
        <v>31855</v>
      </c>
      <c r="S2965" t="s">
        <v>31856</v>
      </c>
      <c r="T2965" t="s">
        <v>31857</v>
      </c>
      <c r="U2965" t="s">
        <v>31858</v>
      </c>
      <c r="V2965">
        <f>-664.233241976671 -168.280756115436 -73.4434714568823</f>
        <v>-905.95746954898937</v>
      </c>
      <c r="W2965" t="s">
        <v>31859</v>
      </c>
      <c r="X2965" t="s">
        <v>31860</v>
      </c>
      <c r="Y2965" t="s">
        <v>31861</v>
      </c>
    </row>
    <row r="2966" spans="1:25" x14ac:dyDescent="0.3">
      <c r="A2966">
        <v>148250</v>
      </c>
      <c r="B2966" t="s">
        <v>31862</v>
      </c>
      <c r="C2966">
        <f>-690.132905349433 -74.5882983791164 -76.3353830813144</f>
        <v>-841.0565868098638</v>
      </c>
      <c r="D2966">
        <f>-724.037087691347 -88.6168601826489 -186.198643171366</f>
        <v>-998.85259104536192</v>
      </c>
      <c r="E2966">
        <f>-738.2181755234 -95.2726782619859 -283.570369029952</f>
        <v>-1117.0612228153379</v>
      </c>
      <c r="F2966">
        <f>-745.527102913112 -99.3557711016196 -372.272902069979</f>
        <v>-1217.1557760847106</v>
      </c>
      <c r="G2966">
        <f>-746.934107895296 -101.477758731789 -461.333391803972</f>
        <v>-1309.745258431057</v>
      </c>
      <c r="H2966">
        <f>-742.682370528394 -102.442519629927 -585.839681181229</f>
        <v>-1430.96457133955</v>
      </c>
      <c r="I2966">
        <f>-708.093875810764 -94.7392618658928 -661.001506647597</f>
        <v>-1463.8346443242538</v>
      </c>
      <c r="J2966">
        <f>-750.241853486787 -74.9020582203668 -531.454983734164</f>
        <v>-1356.5988954413178</v>
      </c>
      <c r="K2966" t="s">
        <v>31863</v>
      </c>
      <c r="L2966" t="s">
        <v>31864</v>
      </c>
      <c r="M2966" t="s">
        <v>31865</v>
      </c>
      <c r="N2966">
        <f>-738.86489912797 -129.133865026769 -530.646265086307</f>
        <v>-1398.6450292410461</v>
      </c>
      <c r="O2966">
        <f>-712.870610051647 -260.815416745806 -500.949116114967</f>
        <v>-1474.63514291242</v>
      </c>
      <c r="P2966">
        <f>-690.147745775532 -287.914724984361 -208.818114153182</f>
        <v>-1186.8805849130749</v>
      </c>
      <c r="Q2966">
        <f>-545.796072505994 -117.041722644935 -298.349780202704</f>
        <v>-961.18757535363295</v>
      </c>
      <c r="R2966" t="s">
        <v>31866</v>
      </c>
      <c r="S2966" t="s">
        <v>31867</v>
      </c>
      <c r="T2966" t="s">
        <v>31868</v>
      </c>
      <c r="U2966" t="s">
        <v>31869</v>
      </c>
      <c r="V2966">
        <f>-664.287605814353 -168.395077046767 -73.4549700269135</f>
        <v>-906.13765288803359</v>
      </c>
      <c r="W2966" t="s">
        <v>31870</v>
      </c>
      <c r="X2966" t="s">
        <v>31871</v>
      </c>
      <c r="Y2966" t="s">
        <v>31872</v>
      </c>
    </row>
    <row r="2967" spans="1:25" x14ac:dyDescent="0.3">
      <c r="A2967">
        <v>148300</v>
      </c>
      <c r="B2967" t="s">
        <v>31873</v>
      </c>
      <c r="C2967">
        <f>-690.255660296848 -74.7646554223729 -76.353668309397</f>
        <v>-841.37398402861788</v>
      </c>
      <c r="D2967">
        <f>-724.160105522248 -88.8271736783857 -186.21242482693</f>
        <v>-999.19970402756383</v>
      </c>
      <c r="E2967">
        <f>-738.317240384501 -95.4147637636873 -283.59239577206</f>
        <v>-1117.3243999202484</v>
      </c>
      <c r="F2967">
        <f>-745.593541083875 -99.396912950078 -372.302198561677</f>
        <v>-1217.29265259563</v>
      </c>
      <c r="G2967">
        <f>-746.957054715922 -101.377405148647 -461.366562576625</f>
        <v>-1309.701022441194</v>
      </c>
      <c r="H2967">
        <f>-742.632917585219 -102.101798665211 -585.871963911353</f>
        <v>-1430.6066801617831</v>
      </c>
      <c r="I2967">
        <f>-707.999938236591 -94.1900865964471 -660.991804509417</f>
        <v>-1463.1818293424551</v>
      </c>
      <c r="J2967">
        <f>-750.276185851582 -74.6774341155489 -531.440451747896</f>
        <v>-1356.3940717150267</v>
      </c>
      <c r="K2967" t="s">
        <v>31874</v>
      </c>
      <c r="L2967" t="s">
        <v>31875</v>
      </c>
      <c r="M2967" t="s">
        <v>31876</v>
      </c>
      <c r="N2967">
        <f>-738.795252982244 -128.888573819426 -530.726284954211</f>
        <v>-1398.4101117558812</v>
      </c>
      <c r="O2967">
        <f>-712.579775430314 -260.57229929303 -501.212019572415</f>
        <v>-1474.3640942957591</v>
      </c>
      <c r="P2967">
        <f>-689.951514709187 -288.068980163648 -209.110896771665</f>
        <v>-1187.1313916445001</v>
      </c>
      <c r="Q2967">
        <f>-545.885223983358 -116.863842035127 -298.467323950635</f>
        <v>-961.21638996911997</v>
      </c>
      <c r="R2967" t="s">
        <v>31877</v>
      </c>
      <c r="S2967" t="s">
        <v>31878</v>
      </c>
      <c r="T2967" t="s">
        <v>31879</v>
      </c>
      <c r="U2967" t="s">
        <v>31880</v>
      </c>
      <c r="V2967">
        <f>-664.289102833314 -168.520639034038 -73.4858188343122</f>
        <v>-906.29556070166427</v>
      </c>
      <c r="W2967" t="s">
        <v>31881</v>
      </c>
      <c r="X2967" t="s">
        <v>31882</v>
      </c>
      <c r="Y2967" t="s">
        <v>31883</v>
      </c>
    </row>
    <row r="2968" spans="1:25" x14ac:dyDescent="0.3">
      <c r="A2968">
        <v>148350</v>
      </c>
      <c r="B2968" t="s">
        <v>31884</v>
      </c>
      <c r="C2968">
        <f>-690.372074742944 -74.9412416434675 -76.3544532275326</f>
        <v>-841.66776961394419</v>
      </c>
      <c r="D2968">
        <f>-724.289310208512 -89.0344081607019 -186.205416848079</f>
        <v>-999.52913521729295</v>
      </c>
      <c r="E2968">
        <f>-738.449268923646 -95.6028476429447 -283.586000991593</f>
        <v>-1117.6381175581837</v>
      </c>
      <c r="F2968">
        <f>-745.724330726681 -99.5494663979724 -372.297691896839</f>
        <v>-1217.5714890214924</v>
      </c>
      <c r="G2968">
        <f>-747.082428181972 -101.475740522985 -461.363202205794</f>
        <v>-1309.921370910751</v>
      </c>
      <c r="H2968">
        <f>-742.746420709865 -102.104854194357 -585.868778506655</f>
        <v>-1430.720053410877</v>
      </c>
      <c r="I2968">
        <f>-708.101993530175 -94.089257061008 -660.972250560916</f>
        <v>-1463.1635011520989</v>
      </c>
      <c r="J2968">
        <f>-750.424714040253 -74.7285081684103 -531.417887061381</f>
        <v>-1356.5711092700442</v>
      </c>
      <c r="K2968" t="s">
        <v>31885</v>
      </c>
      <c r="L2968" t="s">
        <v>31886</v>
      </c>
      <c r="M2968" t="s">
        <v>31887</v>
      </c>
      <c r="N2968">
        <f>-738.884395843056 -128.927489787549 -530.742135585866</f>
        <v>-1398.554021216471</v>
      </c>
      <c r="O2968">
        <f>-712.522015862752 -260.597064343698 -501.326328656237</f>
        <v>-1474.4454088626871</v>
      </c>
      <c r="P2968">
        <f>-690.004777279446 -288.33102893146 -209.238992629998</f>
        <v>-1187.5747988409039</v>
      </c>
      <c r="Q2968">
        <f>-546.024813081953 -116.984428446226 -298.463290196917</f>
        <v>-961.47253172509602</v>
      </c>
      <c r="R2968" t="s">
        <v>31888</v>
      </c>
      <c r="S2968" t="s">
        <v>31889</v>
      </c>
      <c r="T2968" t="s">
        <v>31890</v>
      </c>
      <c r="U2968" t="s">
        <v>31891</v>
      </c>
      <c r="V2968">
        <f>-664.35516352951 -168.785255427789 -73.5017312337012</f>
        <v>-906.64215019100027</v>
      </c>
      <c r="W2968" t="s">
        <v>31892</v>
      </c>
      <c r="X2968" t="s">
        <v>31893</v>
      </c>
      <c r="Y2968" t="s">
        <v>31894</v>
      </c>
    </row>
    <row r="2969" spans="1:25" x14ac:dyDescent="0.3">
      <c r="A2969">
        <v>148400</v>
      </c>
      <c r="B2969" t="s">
        <v>31895</v>
      </c>
      <c r="C2969">
        <f>-690.647217934243 -75.197555398729 -76.3749307525438</f>
        <v>-842.2197040855159</v>
      </c>
      <c r="D2969">
        <f>-724.574375312696 -89.3683728188979 -186.212839014365</f>
        <v>-1000.1555871459589</v>
      </c>
      <c r="E2969">
        <f>-738.780690611921 -95.9214562985219 -283.587779696086</f>
        <v>-1118.289926606529</v>
      </c>
      <c r="F2969">
        <f>-746.111754819171 -99.8221423790521 -372.296802339051</f>
        <v>-1218.2306995372742</v>
      </c>
      <c r="G2969">
        <f>-747.539560763414 -101.669762191672 -461.362896616355</f>
        <v>-1310.5722195714411</v>
      </c>
      <c r="H2969">
        <f>-743.314812692009 -102.154511450486 -585.872996738186</f>
        <v>-1431.342320880681</v>
      </c>
      <c r="I2969">
        <f>-708.687043222781 -93.9506933212311 -660.963742801894</f>
        <v>-1463.6014793459062</v>
      </c>
      <c r="J2969">
        <f>-750.996588367103 -74.852533308019 -531.385346496683</f>
        <v>-1357.234468171805</v>
      </c>
      <c r="K2969" t="s">
        <v>31896</v>
      </c>
      <c r="L2969" t="s">
        <v>31897</v>
      </c>
      <c r="M2969" t="s">
        <v>31898</v>
      </c>
      <c r="N2969">
        <f>-739.351294637389 -129.029937807524 -530.779278972862</f>
        <v>-1399.1605114177751</v>
      </c>
      <c r="O2969">
        <f>-712.74653599066 -260.688740021198 -501.498906193284</f>
        <v>-1474.934182205142</v>
      </c>
      <c r="P2969">
        <f>-690.37951728064 -288.751739127918 -209.431399747474</f>
        <v>-1188.5626561560321</v>
      </c>
      <c r="Q2969">
        <f>-546.426026881071 -117.13581486892 -298.179708913425</f>
        <v>-961.74155066341598</v>
      </c>
      <c r="R2969" t="s">
        <v>31899</v>
      </c>
      <c r="S2969" t="s">
        <v>31900</v>
      </c>
      <c r="T2969" t="s">
        <v>31901</v>
      </c>
      <c r="U2969" t="s">
        <v>31902</v>
      </c>
      <c r="V2969">
        <f>-664.448496274751 -169.006701758225 -73.5234259804929</f>
        <v>-906.97862401346902</v>
      </c>
      <c r="W2969" t="s">
        <v>31903</v>
      </c>
      <c r="X2969" t="s">
        <v>31904</v>
      </c>
      <c r="Y2969" t="s">
        <v>31905</v>
      </c>
    </row>
    <row r="2970" spans="1:25" x14ac:dyDescent="0.3">
      <c r="A2970">
        <v>148450</v>
      </c>
      <c r="B2970" t="s">
        <v>31906</v>
      </c>
      <c r="C2970">
        <f>-690.800607791429 -75.2725739201784 -76.4001175700529</f>
        <v>-842.47329928166027</v>
      </c>
      <c r="D2970">
        <f>-724.735544934604 -89.4829924691538 -186.230433816383</f>
        <v>-1000.4489712201408</v>
      </c>
      <c r="E2970">
        <f>-738.958103223889 -96.0297416448411 -283.60349538819</f>
        <v>-1118.5913402569201</v>
      </c>
      <c r="F2970">
        <f>-746.307164779408 -99.9083995900837 -372.311938189948</f>
        <v>-1218.5275025594397</v>
      </c>
      <c r="G2970">
        <f>-747.756288764991 -101.717229410353 -461.378723235992</f>
        <v>-1310.8522414113361</v>
      </c>
      <c r="H2970">
        <f>-743.564628083837 -102.129946210781 -585.890036579454</f>
        <v>-1431.584610874072</v>
      </c>
      <c r="I2970">
        <f>-708.943035007811 -93.8459937576112 -660.974947848524</f>
        <v>-1463.7639766139462</v>
      </c>
      <c r="J2970">
        <f>-751.25305359086 -74.8640539759176 -531.385267307865</f>
        <v>-1357.5023748746426</v>
      </c>
      <c r="K2970" t="s">
        <v>31907</v>
      </c>
      <c r="L2970" t="s">
        <v>31908</v>
      </c>
      <c r="M2970" t="s">
        <v>31909</v>
      </c>
      <c r="N2970">
        <f>-739.565233334162 -129.032635855482 -530.812179522653</f>
        <v>-1399.4100487122969</v>
      </c>
      <c r="O2970">
        <f>-712.873245560245 -260.683001298597 -501.593218936907</f>
        <v>-1475.1494657957489</v>
      </c>
      <c r="P2970">
        <f>-690.629638838147 -288.830868766607 -209.524459954912</f>
        <v>-1188.9849675596661</v>
      </c>
      <c r="Q2970">
        <f>-546.562679405271 -117.17495299432 -298.010744459034</f>
        <v>-961.74837685862485</v>
      </c>
      <c r="R2970" t="s">
        <v>31910</v>
      </c>
      <c r="S2970" t="s">
        <v>31911</v>
      </c>
      <c r="T2970" t="s">
        <v>31912</v>
      </c>
      <c r="U2970" t="s">
        <v>31913</v>
      </c>
      <c r="V2970">
        <f>-664.503008782505 -169.060280687989 -73.5381738287481</f>
        <v>-907.10146329924214</v>
      </c>
      <c r="W2970" t="s">
        <v>31914</v>
      </c>
      <c r="X2970" t="s">
        <v>31915</v>
      </c>
      <c r="Y2970" t="s">
        <v>31916</v>
      </c>
    </row>
    <row r="2971" spans="1:25" x14ac:dyDescent="0.3">
      <c r="A2971">
        <v>148500</v>
      </c>
      <c r="B2971" t="s">
        <v>31917</v>
      </c>
      <c r="C2971">
        <f>-691.132995192154 -75.3770687286722 -76.4749000649452</f>
        <v>-842.9849639857714</v>
      </c>
      <c r="D2971">
        <f>-725.072880044198 -89.5911895871322 -186.30312032713</f>
        <v>-1000.9671899584603</v>
      </c>
      <c r="E2971">
        <f>-739.34256314586 -96.1177496542713 -283.670751761285</f>
        <v>-1119.1310645614162</v>
      </c>
      <c r="F2971">
        <f>-746.752080225896 -99.967707644907 -372.375461284334</f>
        <v>-1219.095249155137</v>
      </c>
      <c r="G2971">
        <f>-748.279548818267 -101.735914885405 -461.441477911668</f>
        <v>-1311.4569416153399</v>
      </c>
      <c r="H2971">
        <f>-744.216234318639 -102.078509830871 -585.9573492201</f>
        <v>-1432.2520933696101</v>
      </c>
      <c r="I2971">
        <f>-709.641403981414 -93.703843830261 -661.053837305341</f>
        <v>-1464.3990851170161</v>
      </c>
      <c r="J2971">
        <f>-751.878108400306 -74.8497443735607 -531.430364403636</f>
        <v>-1358.1582171775026</v>
      </c>
      <c r="K2971" t="s">
        <v>31918</v>
      </c>
      <c r="L2971" t="s">
        <v>31919</v>
      </c>
      <c r="M2971" t="s">
        <v>31920</v>
      </c>
      <c r="N2971">
        <f>-740.13054351323 -129.005742045003 -530.897914154988</f>
        <v>-1400.0341997132209</v>
      </c>
      <c r="O2971">
        <f>-713.263727209735 -260.639330990605 -501.77857410599</f>
        <v>-1475.6816323063299</v>
      </c>
      <c r="P2971">
        <f>-691.197662330449 -288.950475415985 -209.712332261439</f>
        <v>-1189.8604700078731</v>
      </c>
      <c r="Q2971">
        <f>-546.65228068785 -117.514224761933 -297.843305855441</f>
        <v>-962.00981130522382</v>
      </c>
      <c r="R2971" t="s">
        <v>31921</v>
      </c>
      <c r="S2971" t="s">
        <v>31922</v>
      </c>
      <c r="T2971" t="s">
        <v>31923</v>
      </c>
      <c r="U2971" t="s">
        <v>31924</v>
      </c>
      <c r="V2971">
        <f>-664.776990334872 -169.102899417598 -73.6175462402978</f>
        <v>-907.49743599276781</v>
      </c>
      <c r="W2971" t="s">
        <v>31925</v>
      </c>
      <c r="X2971" t="s">
        <v>31926</v>
      </c>
      <c r="Y2971" t="s">
        <v>31927</v>
      </c>
    </row>
    <row r="2972" spans="1:25" x14ac:dyDescent="0.3">
      <c r="A2972">
        <v>148550</v>
      </c>
      <c r="B2972" t="s">
        <v>31928</v>
      </c>
      <c r="C2972">
        <f>-691.310733818888 -75.4286004339949 -76.5020697925344</f>
        <v>-843.24140404541731</v>
      </c>
      <c r="D2972">
        <f>-725.261707242779 -89.6483374254815 -186.326283327293</f>
        <v>-1001.2363279955536</v>
      </c>
      <c r="E2972">
        <f>-739.58048987023 -96.1782508118126 -283.686374725884</f>
        <v>-1119.4451154079266</v>
      </c>
      <c r="F2972">
        <f>-747.05064196577 -100.03012283278 -372.385864256473</f>
        <v>-1219.4666290550228</v>
      </c>
      <c r="G2972">
        <f>-748.654985712269 -101.799064079008 -461.450642930521</f>
        <v>-1311.9046927217978</v>
      </c>
      <c r="H2972">
        <f>-744.715855871334 -102.141031205263 -585.970498564331</f>
        <v>-1432.8273856409282</v>
      </c>
      <c r="I2972">
        <f>-710.185301617333 -93.7673949341773 -661.087407004083</f>
        <v>-1465.0401035555933</v>
      </c>
      <c r="J2972">
        <f>-752.32935970762 -74.9138281074097 -531.43575783429</f>
        <v>-1358.6789456493198</v>
      </c>
      <c r="K2972" t="s">
        <v>31929</v>
      </c>
      <c r="L2972" t="s">
        <v>31930</v>
      </c>
      <c r="M2972" t="s">
        <v>31931</v>
      </c>
      <c r="N2972">
        <f>-740.569204958275 -129.067304628556 -530.91517190127</f>
        <v>-1400.5516814881012</v>
      </c>
      <c r="O2972">
        <f>-713.629737590981 -260.692151871776 -501.826685531382</f>
        <v>-1476.1485749941389</v>
      </c>
      <c r="P2972">
        <f>-691.608652080714 -288.937539649166 -209.750458406027</f>
        <v>-1190.2966501359072</v>
      </c>
      <c r="Q2972">
        <f>-546.773198259202 -117.707881410362 -297.807351073361</f>
        <v>-962.28843074292502</v>
      </c>
      <c r="R2972" t="s">
        <v>31932</v>
      </c>
      <c r="S2972" t="s">
        <v>31933</v>
      </c>
      <c r="T2972" t="s">
        <v>31934</v>
      </c>
      <c r="U2972" t="s">
        <v>31935</v>
      </c>
      <c r="V2972">
        <f>-664.942912678445 -169.098391868125 -73.6561492115671</f>
        <v>-907.69745375813716</v>
      </c>
      <c r="W2972" t="s">
        <v>31936</v>
      </c>
      <c r="X2972" t="s">
        <v>31937</v>
      </c>
      <c r="Y2972" t="s">
        <v>31938</v>
      </c>
    </row>
    <row r="2973" spans="1:25" x14ac:dyDescent="0.3">
      <c r="A2973">
        <v>148600</v>
      </c>
      <c r="B2973" t="s">
        <v>31939</v>
      </c>
      <c r="C2973">
        <f>-691.635785822652 -75.5723686261134 -76.547376191479</f>
        <v>-843.75553064024439</v>
      </c>
      <c r="D2973">
        <f>-725.668354892216 -89.8088248707631 -186.344077458146</f>
        <v>-1001.8212572211252</v>
      </c>
      <c r="E2973">
        <f>-740.138422639163 -96.3610906812611 -283.680376277186</f>
        <v>-1120.1798895976101</v>
      </c>
      <c r="F2973">
        <f>-747.778245663379 -100.2361593622 -372.364451578568</f>
        <v>-1220.3788566041469</v>
      </c>
      <c r="G2973">
        <f>-749.585058985861 -102.030828698715 -461.424704094284</f>
        <v>-1313.0405917788601</v>
      </c>
      <c r="H2973">
        <f>-745.962501175709 -102.411281588523 -585.954062277961</f>
        <v>-1434.3278450421931</v>
      </c>
      <c r="I2973">
        <f>-711.523500140391 -94.0902051610377 -661.118904236654</f>
        <v>-1466.7326095380827</v>
      </c>
      <c r="J2973">
        <f>-753.433334819941 -75.1664407337669 -531.408609461766</f>
        <v>-1360.0083850154738</v>
      </c>
      <c r="K2973" t="s">
        <v>31940</v>
      </c>
      <c r="L2973" t="s">
        <v>31941</v>
      </c>
      <c r="M2973" t="s">
        <v>31942</v>
      </c>
      <c r="N2973">
        <f>-741.679836712544 -129.321408682395 -530.901316628779</f>
        <v>-1401.902562023718</v>
      </c>
      <c r="O2973">
        <f>-714.644407918711 -260.947659048884 -501.870519751459</f>
        <v>-1477.4625867190539</v>
      </c>
      <c r="P2973">
        <f>-692.287198819749 -289.229786627583 -209.823590073056</f>
        <v>-1191.340575520388</v>
      </c>
      <c r="Q2973">
        <f>-547.716757684184 -117.750386818447 -297.829668631</f>
        <v>-963.29681313363108</v>
      </c>
      <c r="R2973" t="s">
        <v>31943</v>
      </c>
      <c r="S2973" t="s">
        <v>31944</v>
      </c>
      <c r="T2973" t="s">
        <v>31945</v>
      </c>
      <c r="U2973" t="s">
        <v>31946</v>
      </c>
      <c r="V2973">
        <f>-665.274775387395 -169.237020958617 -73.7158826423135</f>
        <v>-908.22767898832558</v>
      </c>
      <c r="W2973" t="s">
        <v>31947</v>
      </c>
      <c r="X2973" t="s">
        <v>31948</v>
      </c>
      <c r="Y2973" t="s">
        <v>31949</v>
      </c>
    </row>
    <row r="2974" spans="1:25" x14ac:dyDescent="0.3">
      <c r="A2974">
        <v>148650</v>
      </c>
      <c r="B2974" t="s">
        <v>31950</v>
      </c>
      <c r="C2974">
        <f>-691.830087938257 -75.6593408002715 -76.5512315421834</f>
        <v>-844.04066028071179</v>
      </c>
      <c r="D2974">
        <f>-725.916899150884 -89.917926551385 -186.328330770955</f>
        <v>-1002.163156473224</v>
      </c>
      <c r="E2974">
        <f>-740.473792734751 -96.487269815935 -283.650426839642</f>
        <v>-1120.611489390328</v>
      </c>
      <c r="F2974">
        <f>-748.208329850392 -100.376775597012 -372.325586364518</f>
        <v>-1220.9106918119219</v>
      </c>
      <c r="G2974">
        <f>-750.125643696873 -102.185080267304 -461.383477566739</f>
        <v>-1313.694201530916</v>
      </c>
      <c r="H2974">
        <f>-746.673897681519 -102.583472879264 -585.91754770004</f>
        <v>-1435.174918260823</v>
      </c>
      <c r="I2974">
        <f>-712.298787035323 -94.2951847401072 -661.11515581521</f>
        <v>-1467.70912759064</v>
      </c>
      <c r="J2974">
        <f>-754.0624680205 -75.3290711386162 -531.365550458467</f>
        <v>-1360.7570896175832</v>
      </c>
      <c r="K2974" t="s">
        <v>31951</v>
      </c>
      <c r="L2974" t="s">
        <v>31952</v>
      </c>
      <c r="M2974" t="s">
        <v>31953</v>
      </c>
      <c r="N2974">
        <f>-742.323259190431 -129.48722738154 -530.86696625748</f>
        <v>-1402.6774528294511</v>
      </c>
      <c r="O2974">
        <f>-715.255281665043 -261.11140574272 -501.873034194178</f>
        <v>-1478.239721601941</v>
      </c>
      <c r="P2974">
        <f>-692.66263706051 -289.437563446548 -209.848406807266</f>
        <v>-1191.9486073143239</v>
      </c>
      <c r="Q2974">
        <f>-548.398282769226 -117.698638041289 -297.850736430334</f>
        <v>-963.94765724084891</v>
      </c>
      <c r="R2974" t="s">
        <v>31954</v>
      </c>
      <c r="S2974" t="s">
        <v>31955</v>
      </c>
      <c r="T2974" t="s">
        <v>31956</v>
      </c>
      <c r="U2974" t="s">
        <v>31957</v>
      </c>
      <c r="V2974">
        <f>-665.476551694737 -169.359505434743 -73.7144557331533</f>
        <v>-908.55051286263335</v>
      </c>
      <c r="W2974" t="s">
        <v>31958</v>
      </c>
      <c r="X2974" t="s">
        <v>31959</v>
      </c>
      <c r="Y2974" t="s">
        <v>31960</v>
      </c>
    </row>
    <row r="2975" spans="1:25" x14ac:dyDescent="0.3">
      <c r="A2975">
        <v>148700</v>
      </c>
      <c r="B2975" t="s">
        <v>31961</v>
      </c>
      <c r="C2975">
        <f>-692.293296709348 -75.8583345916273 -76.5223684074084</f>
        <v>-844.6739997083838</v>
      </c>
      <c r="D2975">
        <f>-726.49067381609 -90.2004950577735 -186.254099432109</f>
        <v>-1002.9452683059725</v>
      </c>
      <c r="E2975">
        <f>-741.23080049103 -96.7959123302102 -283.546797206111</f>
        <v>-1121.5735100273512</v>
      </c>
      <c r="F2975">
        <f>-749.166076268643 -100.689837588702 -372.204082593233</f>
        <v>-1222.0599964505782</v>
      </c>
      <c r="G2975">
        <f>-751.318821362518 -102.483119952147 -461.256801957093</f>
        <v>-1315.058743271758</v>
      </c>
      <c r="H2975">
        <f>-748.231441958508 -102.839485956266 -585.800670063796</f>
        <v>-1436.87159797857</v>
      </c>
      <c r="I2975">
        <f>-714.012717850837 -94.5616398579043 -661.070754674022</f>
        <v>-1469.6451123827633</v>
      </c>
      <c r="J2975">
        <f>-755.458351194346 -75.6030833168413 -531.21796100348</f>
        <v>-1362.2793955146674</v>
      </c>
      <c r="K2975" t="s">
        <v>31962</v>
      </c>
      <c r="L2975" t="s">
        <v>31963</v>
      </c>
      <c r="M2975" t="s">
        <v>31964</v>
      </c>
      <c r="N2975">
        <f>-743.721775909752 -129.762269243054 -530.772164084866</f>
        <v>-1404.256209237672</v>
      </c>
      <c r="O2975">
        <f>-716.565385875627 -261.395702060161 -501.889225777806</f>
        <v>-1479.850313713594</v>
      </c>
      <c r="P2975">
        <f>-693.499062869418 -289.891230770264 -209.918190219193</f>
        <v>-1193.308483858875</v>
      </c>
      <c r="Q2975">
        <f>-549.927334781536 -117.549837837289 -297.875348429017</f>
        <v>-965.35252104784206</v>
      </c>
      <c r="R2975" t="s">
        <v>31965</v>
      </c>
      <c r="S2975" t="s">
        <v>31966</v>
      </c>
      <c r="T2975" t="s">
        <v>31967</v>
      </c>
      <c r="U2975" t="s">
        <v>31968</v>
      </c>
      <c r="V2975">
        <f>-665.92687162309 -169.640660825007 -73.6284447932146</f>
        <v>-909.19597724131165</v>
      </c>
      <c r="W2975" t="s">
        <v>31969</v>
      </c>
      <c r="X2975" t="s">
        <v>31970</v>
      </c>
      <c r="Y2975" t="s">
        <v>31971</v>
      </c>
    </row>
    <row r="2976" spans="1:25" x14ac:dyDescent="0.3">
      <c r="A2976">
        <v>148750</v>
      </c>
      <c r="B2976" t="s">
        <v>31972</v>
      </c>
      <c r="C2976">
        <f>-692.482185465236 -75.7834662948605 -76.5068439243155</f>
        <v>-844.77249568441198</v>
      </c>
      <c r="D2976">
        <f>-726.748787389379 -90.1763889821019 -186.210358431456</f>
        <v>-1003.1355348029369</v>
      </c>
      <c r="E2976">
        <f>-741.585601426732 -96.7969543525199 -283.486845672815</f>
        <v>-1121.869401452067</v>
      </c>
      <c r="F2976">
        <f>-749.623079681482 -100.705823565421 -372.134208160283</f>
        <v>-1222.463111407186</v>
      </c>
      <c r="G2976">
        <f>-751.892579134425 -102.505707840576 -461.183908481705</f>
        <v>-1315.5821954567059</v>
      </c>
      <c r="H2976">
        <f>-748.983220809906 -102.862278617138 -585.73193649006</f>
        <v>-1437.5774359171041</v>
      </c>
      <c r="I2976">
        <f>-714.84356867761 -94.5825083203769 -661.037669987251</f>
        <v>-1470.4637469852378</v>
      </c>
      <c r="J2976">
        <f>-756.135460405035 -75.6265292184464 -531.139235965711</f>
        <v>-1362.9012255891926</v>
      </c>
      <c r="K2976" t="s">
        <v>31973</v>
      </c>
      <c r="L2976" t="s">
        <v>31974</v>
      </c>
      <c r="M2976" t="s">
        <v>31975</v>
      </c>
      <c r="N2976">
        <f>-744.391538483638 -129.784245472991 -530.709737366553</f>
        <v>-1404.8855213231818</v>
      </c>
      <c r="O2976">
        <f>-717.170974443223 -261.409340455321 -501.880072365458</f>
        <v>-1480.4603872640018</v>
      </c>
      <c r="P2976">
        <f>-693.918328897852 -290.020683542205 -209.935079245879</f>
        <v>-1193.874091685936</v>
      </c>
      <c r="Q2976">
        <f>-550.4664824417 -117.574913237527 -297.883265706726</f>
        <v>-965.92466138595296</v>
      </c>
      <c r="R2976" t="s">
        <v>31976</v>
      </c>
      <c r="S2976" t="s">
        <v>31977</v>
      </c>
      <c r="T2976" t="s">
        <v>31978</v>
      </c>
      <c r="U2976" t="s">
        <v>31979</v>
      </c>
      <c r="V2976">
        <f>-666.038833405496 -169.526492695448 -73.5884049678303</f>
        <v>-909.15373106877439</v>
      </c>
      <c r="W2976" t="s">
        <v>31980</v>
      </c>
      <c r="X2976" t="s">
        <v>31981</v>
      </c>
      <c r="Y2976" t="s">
        <v>31982</v>
      </c>
    </row>
    <row r="2977" spans="1:25" x14ac:dyDescent="0.3">
      <c r="A2977">
        <v>148800</v>
      </c>
      <c r="B2977" t="s">
        <v>31983</v>
      </c>
      <c r="C2977">
        <f>-692.996417133317 -75.7621979827674 -76.4720448766935</f>
        <v>-845.23065999277787</v>
      </c>
      <c r="D2977">
        <f>-727.367356300949 -90.2224831068494 -186.134103493043</f>
        <v>-1003.7239429008414</v>
      </c>
      <c r="E2977">
        <f>-742.37728922511 -96.8829289494017 -283.381208808828</f>
        <v>-1122.6414269833397</v>
      </c>
      <c r="F2977">
        <f>-750.604593880562 -100.820704198496 -372.009869783268</f>
        <v>-1223.4351678623259</v>
      </c>
      <c r="G2977">
        <f>-753.09687257266 -102.641678846568 -461.053225681698</f>
        <v>-1316.7917771009261</v>
      </c>
      <c r="H2977">
        <f>-750.532755450476 -103.019298817375 -585.608836140375</f>
        <v>-1439.1608904082259</v>
      </c>
      <c r="I2977">
        <f>-716.550352947303 -94.7376992392642 -660.98536064561</f>
        <v>-1472.2734128321772</v>
      </c>
      <c r="J2977">
        <f>-757.542319719834 -75.7761274902585 -531.00126452125</f>
        <v>-1364.3197117313425</v>
      </c>
      <c r="K2977" t="s">
        <v>31984</v>
      </c>
      <c r="L2977" t="s">
        <v>31985</v>
      </c>
      <c r="M2977" t="s">
        <v>31986</v>
      </c>
      <c r="N2977">
        <f>-745.779877933093 -129.93000494651 -530.594865917732</f>
        <v>-1406.3047487973349</v>
      </c>
      <c r="O2977">
        <f>-718.433131778981 -261.54941754983 -501.853931570478</f>
        <v>-1481.836480899289</v>
      </c>
      <c r="P2977">
        <f>-694.957998262664 -290.298387270373 -209.940232817338</f>
        <v>-1195.196618350375</v>
      </c>
      <c r="Q2977">
        <f>-551.618087535342 -117.571414967009 -297.51859801176</f>
        <v>-966.70810051411104</v>
      </c>
      <c r="R2977" t="s">
        <v>31987</v>
      </c>
      <c r="S2977" t="s">
        <v>31988</v>
      </c>
      <c r="T2977" t="s">
        <v>31989</v>
      </c>
      <c r="U2977" t="s">
        <v>31990</v>
      </c>
      <c r="V2977">
        <f>-666.489400453231 -169.63880334503 -73.5342423887811</f>
        <v>-909.66244618704206</v>
      </c>
      <c r="W2977" t="s">
        <v>31991</v>
      </c>
      <c r="X2977" t="s">
        <v>31992</v>
      </c>
      <c r="Y2977" t="s">
        <v>31993</v>
      </c>
    </row>
    <row r="2978" spans="1:25" x14ac:dyDescent="0.3">
      <c r="A2978">
        <v>148850</v>
      </c>
      <c r="B2978" t="s">
        <v>31994</v>
      </c>
      <c r="C2978">
        <f>-693.219400860932 -75.8624114966652 -76.4676104443723</f>
        <v>-845.54942280196951</v>
      </c>
      <c r="D2978">
        <f>-727.634230477066 -90.3483786500494 -186.112541272639</f>
        <v>-1004.0951503997544</v>
      </c>
      <c r="E2978">
        <f>-742.726017543317 -97.0205736021077 -283.345992000383</f>
        <v>-1123.0925831458076</v>
      </c>
      <c r="F2978">
        <f>-751.04525374632 -100.964476394382 -371.965915100766</f>
        <v>-1223.9756452414681</v>
      </c>
      <c r="G2978">
        <f>-753.647219375742 -102.786930214067 -461.006135242754</f>
        <v>-1317.4402848325631</v>
      </c>
      <c r="H2978">
        <f>-751.254617612148 -103.161436784771 -585.565114302587</f>
        <v>-1439.9811686995058</v>
      </c>
      <c r="I2978">
        <f>-717.355582875362 -94.8761022502624 -660.978892330022</f>
        <v>-1473.2105774556462</v>
      </c>
      <c r="J2978">
        <f>-758.19301610567 -75.9205560555495 -530.947266633041</f>
        <v>-1365.0608387942605</v>
      </c>
      <c r="K2978" t="s">
        <v>31995</v>
      </c>
      <c r="L2978" t="s">
        <v>31996</v>
      </c>
      <c r="M2978" t="s">
        <v>31997</v>
      </c>
      <c r="N2978">
        <f>-746.421983876466 -130.072713571261 -530.558437731838</f>
        <v>-1407.0531351795651</v>
      </c>
      <c r="O2978">
        <f>-719.033373319599 -261.693317705886 -501.85339222953</f>
        <v>-1482.5800832550151</v>
      </c>
      <c r="P2978">
        <f>-695.502815848625 -290.472082593247 -209.947011818952</f>
        <v>-1195.921910260824</v>
      </c>
      <c r="Q2978">
        <f>-552.132931786228 -117.707522116242 -297.40186191606</f>
        <v>-967.24231581852996</v>
      </c>
      <c r="R2978" t="s">
        <v>31998</v>
      </c>
      <c r="S2978" t="s">
        <v>31999</v>
      </c>
      <c r="T2978" t="s">
        <v>32000</v>
      </c>
      <c r="U2978" t="s">
        <v>32001</v>
      </c>
      <c r="V2978">
        <f>-666.667999960808 -169.698801976867 -73.5319740417077</f>
        <v>-909.89877597938266</v>
      </c>
      <c r="W2978" t="s">
        <v>32002</v>
      </c>
      <c r="X2978" t="s">
        <v>32003</v>
      </c>
      <c r="Y2978" t="s">
        <v>32004</v>
      </c>
    </row>
    <row r="2979" spans="1:25" x14ac:dyDescent="0.3">
      <c r="A2979">
        <v>148900</v>
      </c>
      <c r="B2979" t="s">
        <v>32005</v>
      </c>
      <c r="C2979">
        <f>-693.629150112765 -76.0749584308543 -76.4963045169972</f>
        <v>-846.20041306061648</v>
      </c>
      <c r="D2979">
        <f>-728.147550939235 -90.5855122768503 -186.105310084199</f>
        <v>-1004.8383733002843</v>
      </c>
      <c r="E2979">
        <f>-743.415415054 -97.2683771675725 -283.310721701409</f>
        <v>-1123.9945139229815</v>
      </c>
      <c r="F2979">
        <f>-751.929192980354 -101.216853813375 -371.911883801346</f>
        <v>-1225.057930595075</v>
      </c>
      <c r="G2979">
        <f>-754.760871479423 -103.03814627146 -460.94508300678</f>
        <v>-1318.7441007576631</v>
      </c>
      <c r="H2979">
        <f>-752.725539336046 -103.404198441098 -585.510478288161</f>
        <v>-1441.6402160653051</v>
      </c>
      <c r="I2979">
        <f>-718.979555990537 -95.1080536576312 -660.991747830952</f>
        <v>-1475.0793574791203</v>
      </c>
      <c r="J2979">
        <f>-759.51745319321 -76.1692400840565 -530.87133562766</f>
        <v>-1366.5580289049265</v>
      </c>
      <c r="K2979" t="s">
        <v>32006</v>
      </c>
      <c r="L2979" t="s">
        <v>32007</v>
      </c>
      <c r="M2979" t="s">
        <v>32008</v>
      </c>
      <c r="N2979">
        <f>-747.724948028547 -130.316924771779 -530.519531858714</f>
        <v>-1408.5614046590399</v>
      </c>
      <c r="O2979">
        <f>-720.211739505937 -261.931278073078 -501.896333388513</f>
        <v>-1484.039350967528</v>
      </c>
      <c r="P2979">
        <f>-696.424787207704 -290.706486559523 -210.010606078611</f>
        <v>-1197.141879845838</v>
      </c>
      <c r="Q2979">
        <f>-553.331623012238 -117.70821702566 -297.456360642672</f>
        <v>-968.49620068056993</v>
      </c>
      <c r="R2979" t="s">
        <v>32009</v>
      </c>
      <c r="S2979" t="s">
        <v>32010</v>
      </c>
      <c r="T2979" t="s">
        <v>32011</v>
      </c>
      <c r="U2979" t="s">
        <v>32012</v>
      </c>
      <c r="V2979">
        <f>-667.104816072594 -169.912558625595 -73.5389220023125</f>
        <v>-910.55629670050143</v>
      </c>
      <c r="W2979" t="s">
        <v>32013</v>
      </c>
      <c r="X2979" t="s">
        <v>32014</v>
      </c>
      <c r="Y2979" t="s">
        <v>32015</v>
      </c>
    </row>
    <row r="2980" spans="1:25" x14ac:dyDescent="0.3">
      <c r="A2980">
        <v>148950</v>
      </c>
      <c r="B2980" t="s">
        <v>32016</v>
      </c>
      <c r="C2980">
        <f>-693.841888685814 -76.1874911937215 -76.5031069117655</f>
        <v>-846.53248679130093</v>
      </c>
      <c r="D2980">
        <f>-728.401686707289 -90.6941516769348 -186.099642518446</f>
        <v>-1005.1954809026697</v>
      </c>
      <c r="E2980">
        <f>-743.764594165152 -97.3785302754818 -283.289966741386</f>
        <v>-1124.4330911820198</v>
      </c>
      <c r="F2980">
        <f>-752.388916469539 -101.329561197735 -371.88036164624</f>
        <v>-1225.598839313514</v>
      </c>
      <c r="G2980">
        <f>-755.355793967561 -103.153775768511 -460.90900969053</f>
        <v>-1319.418579426602</v>
      </c>
      <c r="H2980">
        <f>-753.535115539036 -103.523846349064 -585.477680463759</f>
        <v>-1442.536642351859</v>
      </c>
      <c r="I2980">
        <f>-719.875473956677 -95.2246043782015 -660.997061489852</f>
        <v>-1476.0971398247304</v>
      </c>
      <c r="J2980">
        <f>-760.242683975223 -76.2894003704802 -530.827910424465</f>
        <v>-1367.3599947701682</v>
      </c>
      <c r="K2980" t="s">
        <v>32017</v>
      </c>
      <c r="L2980" t="s">
        <v>32018</v>
      </c>
      <c r="M2980" t="s">
        <v>32019</v>
      </c>
      <c r="N2980">
        <f>-748.429838123731 -130.432735231033 -530.49451768532</f>
        <v>-1409.357091040084</v>
      </c>
      <c r="O2980">
        <f>-720.821930916888 -262.031124193343 -501.90458578716</f>
        <v>-1484.757640897391</v>
      </c>
      <c r="P2980">
        <f>-696.808071731021 -290.790099009562 -210.0356139662</f>
        <v>-1197.633784706783</v>
      </c>
      <c r="Q2980">
        <f>-553.903706689258 -117.653513161357 -297.516879453608</f>
        <v>-969.07409930422295</v>
      </c>
      <c r="R2980" t="s">
        <v>32020</v>
      </c>
      <c r="S2980" t="s">
        <v>32021</v>
      </c>
      <c r="T2980" t="s">
        <v>32022</v>
      </c>
      <c r="U2980" t="s">
        <v>32023</v>
      </c>
      <c r="V2980">
        <f>-667.3271362126 -170.031800584681 -73.5452258070869</f>
        <v>-910.90416260436791</v>
      </c>
      <c r="W2980" t="s">
        <v>32024</v>
      </c>
      <c r="X2980" t="s">
        <v>32025</v>
      </c>
      <c r="Y2980" t="s">
        <v>32026</v>
      </c>
    </row>
    <row r="2981" spans="1:25" x14ac:dyDescent="0.3">
      <c r="A2981">
        <v>149000</v>
      </c>
      <c r="B2981" t="s">
        <v>32027</v>
      </c>
      <c r="C2981">
        <f>-694.229706867449 -76.3622603429357 -76.5017224481436</f>
        <v>-847.09368965852821</v>
      </c>
      <c r="D2981">
        <f>-728.882061202715 -90.8963559507594 -186.065458311698</f>
        <v>-1005.8438754651723</v>
      </c>
      <c r="E2981">
        <f>-744.436685907277 -97.6124282426479 -283.223018245781</f>
        <v>-1125.272132395706</v>
      </c>
      <c r="F2981">
        <f>-753.28023529564 -101.594641393068 -371.790452027834</f>
        <v>-1226.6653287165418</v>
      </c>
      <c r="G2981">
        <f>-756.512501648295 -103.451213673962 -460.809158985565</f>
        <v>-1320.7728743078219</v>
      </c>
      <c r="H2981">
        <f>-755.110700058218 -103.866553004387 -585.38322539388</f>
        <v>-1444.360478456485</v>
      </c>
      <c r="I2981">
        <f>-721.630908287045 -95.5602600081698 -660.981654420518</f>
        <v>-1478.1728227157328</v>
      </c>
      <c r="J2981">
        <f>-761.664390901024 -76.6186118546549 -530.721323216935</f>
        <v>-1369.004325972614</v>
      </c>
      <c r="K2981" t="s">
        <v>32028</v>
      </c>
      <c r="L2981" t="s">
        <v>32029</v>
      </c>
      <c r="M2981" t="s">
        <v>32030</v>
      </c>
      <c r="N2981">
        <f>-749.790811832502 -130.748907243667 -530.407231969192</f>
        <v>-1410.9469510453609</v>
      </c>
      <c r="O2981">
        <f>-721.937335996996 -262.315476831532 -501.914628063389</f>
        <v>-1486.1674408919171</v>
      </c>
      <c r="P2981">
        <f>-697.461704379768 -291.139818279587 -210.090619080945</f>
        <v>-1198.6921417403</v>
      </c>
      <c r="Q2981">
        <f>-555.01226406317 -117.606805184486 -297.528034237581</f>
        <v>-970.14710348523704</v>
      </c>
      <c r="R2981" t="s">
        <v>32031</v>
      </c>
      <c r="S2981" t="s">
        <v>32032</v>
      </c>
      <c r="T2981" t="s">
        <v>32033</v>
      </c>
      <c r="U2981" t="s">
        <v>32034</v>
      </c>
      <c r="V2981">
        <f>-667.675507216266 -170.183953135366 -73.5818152886459</f>
        <v>-911.44127564027792</v>
      </c>
      <c r="W2981" t="s">
        <v>32035</v>
      </c>
      <c r="X2981" t="s">
        <v>32036</v>
      </c>
      <c r="Y2981" t="s">
        <v>32037</v>
      </c>
    </row>
    <row r="2982" spans="1:25" x14ac:dyDescent="0.3">
      <c r="A2982">
        <v>149050</v>
      </c>
      <c r="B2982" t="s">
        <v>32038</v>
      </c>
      <c r="C2982">
        <f>-694.326033377033 -76.4566453492932 -76.5067432661507</f>
        <v>-847.28942199247695</v>
      </c>
      <c r="D2982">
        <f>-729.022928274959 -91.0159739292883 -186.052973044021</f>
        <v>-1006.0918752482683</v>
      </c>
      <c r="E2982">
        <f>-744.649628660015 -97.7478522541187 -283.197976303413</f>
        <v>-1125.5954572175467</v>
      </c>
      <c r="F2982">
        <f>-753.572086323421 -101.741448212947 -371.756876803059</f>
        <v>-1227.070411339427</v>
      </c>
      <c r="G2982">
        <f>-756.896992616616 -103.606038676747 -460.772150950031</f>
        <v>-1321.2751822433938</v>
      </c>
      <c r="H2982">
        <f>-755.638858151793 -104.028501906051 -585.347498964105</f>
        <v>-1445.014859021949</v>
      </c>
      <c r="I2982">
        <f>-722.239372206184 -95.7026234868622 -660.979521290216</f>
        <v>-1478.9215169832623</v>
      </c>
      <c r="J2982">
        <f>-762.151033864089 -76.7822916420103 -530.679918666796</f>
        <v>-1369.6132441728951</v>
      </c>
      <c r="K2982" t="s">
        <v>32039</v>
      </c>
      <c r="L2982" t="s">
        <v>32040</v>
      </c>
      <c r="M2982" t="s">
        <v>32041</v>
      </c>
      <c r="N2982">
        <f>-750.233882855999 -130.902968393042 -530.376015242805</f>
        <v>-1411.5128664918461</v>
      </c>
      <c r="O2982">
        <f>-722.238696543664 -262.44742542016 -501.899532629665</f>
        <v>-1486.5856545934889</v>
      </c>
      <c r="P2982">
        <f>-697.588293045323 -291.243753666712 -210.087446082836</f>
        <v>-1198.9194927948711</v>
      </c>
      <c r="Q2982">
        <f>-555.390669867333 -117.506021177551 -297.5282684649</f>
        <v>-970.424959509784</v>
      </c>
      <c r="R2982" t="s">
        <v>32042</v>
      </c>
      <c r="S2982" t="s">
        <v>32043</v>
      </c>
      <c r="T2982" t="s">
        <v>32044</v>
      </c>
      <c r="U2982" t="s">
        <v>32045</v>
      </c>
      <c r="V2982">
        <f>-667.757886560967 -170.258414869085 -73.5904367211496</f>
        <v>-911.60673815120151</v>
      </c>
      <c r="W2982" t="s">
        <v>32046</v>
      </c>
      <c r="X2982" t="s">
        <v>32047</v>
      </c>
      <c r="Y2982" t="s">
        <v>32048</v>
      </c>
    </row>
    <row r="2983" spans="1:25" x14ac:dyDescent="0.3">
      <c r="A2983">
        <v>149100</v>
      </c>
      <c r="B2983" t="s">
        <v>32049</v>
      </c>
      <c r="C2983">
        <f>-694.443406033964 -76.7008828478361 -76.5200772900472</f>
        <v>-847.66436617184729</v>
      </c>
      <c r="D2983">
        <f>-729.226473264449 -91.3388112180553 -186.028449376268</f>
        <v>-1006.5937338587723</v>
      </c>
      <c r="E2983">
        <f>-744.978971604956 -98.1025255389458 -283.150930031689</f>
        <v>-1126.2324271755906</v>
      </c>
      <c r="F2983">
        <f>-754.035418463892 -102.110426799752 -371.69563580571</f>
        <v>-1227.8414810693539</v>
      </c>
      <c r="G2983">
        <f>-757.514751843957 -103.973515022775 -460.704939654592</f>
        <v>-1322.1932065213241</v>
      </c>
      <c r="H2983">
        <f>-756.493324460311 -104.376723756159 -585.282627617282</f>
        <v>-1446.1526758337518</v>
      </c>
      <c r="I2983">
        <f>-723.237767068054 -95.9815309773717 -660.970326339146</f>
        <v>-1480.1896243845717</v>
      </c>
      <c r="J2983">
        <f>-762.95230862692 -77.1501541397797 -530.598954587177</f>
        <v>-1370.7014173538766</v>
      </c>
      <c r="K2983" t="s">
        <v>32050</v>
      </c>
      <c r="L2983" t="s">
        <v>32051</v>
      </c>
      <c r="M2983" t="s">
        <v>32052</v>
      </c>
      <c r="N2983">
        <f>-750.933332873132 -131.248515041433 -530.325422900578</f>
        <v>-1412.5072708151429</v>
      </c>
      <c r="O2983">
        <f>-722.616443009166 -262.73418539912 -501.888129831017</f>
        <v>-1487.238758239303</v>
      </c>
      <c r="P2983">
        <f>-697.676262804346 -291.400279534512 -210.087759747821</f>
        <v>-1199.1643020866791</v>
      </c>
      <c r="Q2983">
        <f>-555.83553916193 -117.402962902739 -297.591969276482</f>
        <v>-970.830471341151</v>
      </c>
      <c r="R2983" t="s">
        <v>32053</v>
      </c>
      <c r="S2983" t="s">
        <v>32054</v>
      </c>
      <c r="T2983" t="s">
        <v>32055</v>
      </c>
      <c r="U2983" t="s">
        <v>32056</v>
      </c>
      <c r="V2983">
        <f>-667.728447810334 -170.462750583605 -73.620199098182</f>
        <v>-911.81139749212093</v>
      </c>
      <c r="W2983" t="s">
        <v>32057</v>
      </c>
      <c r="X2983" t="s">
        <v>32058</v>
      </c>
      <c r="Y2983" t="s">
        <v>32059</v>
      </c>
    </row>
    <row r="2984" spans="1:25" x14ac:dyDescent="0.3">
      <c r="A2984">
        <v>149150</v>
      </c>
      <c r="B2984" t="s">
        <v>32060</v>
      </c>
      <c r="C2984">
        <f>-694.472948519566 -76.8715695634036 -76.5327166121123</f>
        <v>-847.87723469508182</v>
      </c>
      <c r="D2984">
        <f>-729.288894584203 -91.5675394885518 -186.022883719544</f>
        <v>-1006.8793177922988</v>
      </c>
      <c r="E2984">
        <f>-745.106691466184 -98.3491571782199 -283.133482034355</f>
        <v>-1126.5893306787589</v>
      </c>
      <c r="F2984">
        <f>-754.23696585827 -102.360310821616 -371.670397084804</f>
        <v>-1228.2676737646898</v>
      </c>
      <c r="G2984">
        <f>-757.804618716075 -104.213062000062 -460.676500638746</f>
        <v>-1322.6941813548829</v>
      </c>
      <c r="H2984">
        <f>-756.921812100125 -104.587093092409 -585.255433109719</f>
        <v>-1446.7643383022528</v>
      </c>
      <c r="I2984">
        <f>-723.742231402685 -96.1451408928418 -660.971064177455</f>
        <v>-1480.8584364729818</v>
      </c>
      <c r="J2984">
        <f>-763.348206981896 -77.3796007276516 -530.558260097775</f>
        <v>-1371.2860678073225</v>
      </c>
      <c r="K2984" t="s">
        <v>32061</v>
      </c>
      <c r="L2984" t="s">
        <v>32062</v>
      </c>
      <c r="M2984" t="s">
        <v>32063</v>
      </c>
      <c r="N2984">
        <f>-751.272452064288 -131.465434416804 -530.310354834205</f>
        <v>-1413.048241315297</v>
      </c>
      <c r="O2984">
        <f>-722.800121055022 -262.924070396702 -501.899435304882</f>
        <v>-1487.623626756606</v>
      </c>
      <c r="P2984">
        <f>-697.613615975685 -291.628542503458 -210.124085257135</f>
        <v>-1199.366243736278</v>
      </c>
      <c r="Q2984">
        <f>-555.995427708118 -117.480517750534 -297.689076161298</f>
        <v>-971.16502161994993</v>
      </c>
      <c r="R2984" t="s">
        <v>32064</v>
      </c>
      <c r="S2984" t="s">
        <v>32065</v>
      </c>
      <c r="T2984" t="s">
        <v>32066</v>
      </c>
      <c r="U2984" t="s">
        <v>32067</v>
      </c>
      <c r="V2984">
        <f>-667.704795732078 -170.599433406863 -73.6204379071318</f>
        <v>-911.92466704607273</v>
      </c>
      <c r="W2984" t="s">
        <v>32068</v>
      </c>
      <c r="X2984" t="s">
        <v>32069</v>
      </c>
      <c r="Y2984" t="s">
        <v>32070</v>
      </c>
    </row>
    <row r="2985" spans="1:25" x14ac:dyDescent="0.3">
      <c r="A2985">
        <v>149200</v>
      </c>
      <c r="B2985" t="s">
        <v>32071</v>
      </c>
      <c r="C2985">
        <f>-694.493380289413 -77.1013088045985 -76.5435606863173</f>
        <v>-848.13824978032881</v>
      </c>
      <c r="D2985">
        <f>-729.364598257621 -91.9442495050644 -185.996380383488</f>
        <v>-1007.3052281461734</v>
      </c>
      <c r="E2985">
        <f>-745.286552222414 -98.7681218338553 -283.086912836548</f>
        <v>-1127.1415868928173</v>
      </c>
      <c r="F2985">
        <f>-754.532975610055 -102.783642694903 -371.611598783195</f>
        <v>-1228.9282170881529</v>
      </c>
      <c r="G2985">
        <f>-758.238446900083 -104.605363969335 -460.612666678573</f>
        <v>-1323.456477547991</v>
      </c>
      <c r="H2985">
        <f>-757.570463811417 -104.898300795759 -585.193036698932</f>
        <v>-1447.6618013061079</v>
      </c>
      <c r="I2985">
        <f>-724.526007086561 -96.3380413417265 -660.954607174375</f>
        <v>-1481.8186556026626</v>
      </c>
      <c r="J2985">
        <f>-763.963804550357 -77.7401206828253 -530.467713193234</f>
        <v>-1372.1716384264164</v>
      </c>
      <c r="K2985" t="s">
        <v>32072</v>
      </c>
      <c r="L2985" t="s">
        <v>32073</v>
      </c>
      <c r="M2985" t="s">
        <v>32074</v>
      </c>
      <c r="N2985">
        <f>-751.765058492087 -131.798673648296 -530.27511016523</f>
        <v>-1413.8388423056131</v>
      </c>
      <c r="O2985">
        <f>-722.977826235085 -263.200959193488 -501.939859545096</f>
        <v>-1488.118644973669</v>
      </c>
      <c r="P2985">
        <f>-697.293103687286 -291.932362689295 -210.2105844745</f>
        <v>-1199.4360508510811</v>
      </c>
      <c r="Q2985">
        <f>-556.178659520382 -117.408020971854 -297.839491284539</f>
        <v>-971.42617177677494</v>
      </c>
      <c r="R2985" t="s">
        <v>32075</v>
      </c>
      <c r="S2985" t="s">
        <v>32076</v>
      </c>
      <c r="T2985" t="s">
        <v>32077</v>
      </c>
      <c r="U2985" t="s">
        <v>32078</v>
      </c>
      <c r="V2985">
        <f>-667.559850467098 -170.803342532932 -73.5813657208219</f>
        <v>-911.944558720852</v>
      </c>
      <c r="W2985" t="s">
        <v>32079</v>
      </c>
      <c r="X2985" t="s">
        <v>32080</v>
      </c>
      <c r="Y2985" t="s">
        <v>32081</v>
      </c>
    </row>
    <row r="2986" spans="1:25" x14ac:dyDescent="0.3">
      <c r="A2986">
        <v>149250</v>
      </c>
      <c r="B2986" t="s">
        <v>32082</v>
      </c>
      <c r="C2986">
        <f>-694.473456719848 -77.1457089839407 -76.5216690748906</f>
        <v>-848.14083477867928</v>
      </c>
      <c r="D2986">
        <f>-729.355221114526 -92.061093407995 -185.961233257126</f>
        <v>-1007.377547779647</v>
      </c>
      <c r="E2986">
        <f>-745.293744443114 -98.9093370635657 -283.047292886364</f>
        <v>-1127.2503743930436</v>
      </c>
      <c r="F2986">
        <f>-754.557640824049 -102.931687705135 -371.569979741696</f>
        <v>-1229.0593082708801</v>
      </c>
      <c r="G2986">
        <f>-758.283132012968 -104.744288417479 -460.570448564061</f>
        <v>-1323.597868994508</v>
      </c>
      <c r="H2986">
        <f>-757.645480743655 -105.00741354519 -585.150975209443</f>
        <v>-1447.8038694982879</v>
      </c>
      <c r="I2986">
        <f>-724.642829333916 -96.3952075040964 -660.924937693734</f>
        <v>-1481.9629745317466</v>
      </c>
      <c r="J2986">
        <f>-764.058865930282 -77.8699727008475 -530.417725045983</f>
        <v>-1372.3465636771125</v>
      </c>
      <c r="K2986" t="s">
        <v>32083</v>
      </c>
      <c r="L2986" t="s">
        <v>32084</v>
      </c>
      <c r="M2986" t="s">
        <v>32085</v>
      </c>
      <c r="N2986">
        <f>-751.793289303557 -131.91330715682 -530.240657782837</f>
        <v>-1413.947254243214</v>
      </c>
      <c r="O2986">
        <f>-722.842001083186 -263.278512087142 -501.9143663465</f>
        <v>-1488.0348795168279</v>
      </c>
      <c r="P2986">
        <f>-696.90832159455 -291.98824748626 -210.204949175583</f>
        <v>-1199.1015182563929</v>
      </c>
      <c r="Q2986">
        <f>-556.088778834633 -117.219512873119 -297.821331431598</f>
        <v>-971.12962313935009</v>
      </c>
      <c r="R2986" t="s">
        <v>32086</v>
      </c>
      <c r="S2986" t="s">
        <v>32087</v>
      </c>
      <c r="T2986" t="s">
        <v>32088</v>
      </c>
      <c r="U2986" t="s">
        <v>32089</v>
      </c>
      <c r="V2986">
        <f>-667.44656239605 -170.847784661879 -73.5355501646212</f>
        <v>-911.82989722255024</v>
      </c>
      <c r="W2986" t="s">
        <v>32090</v>
      </c>
      <c r="X2986" t="s">
        <v>32091</v>
      </c>
      <c r="Y2986" t="s">
        <v>32092</v>
      </c>
    </row>
    <row r="2987" spans="1:25" x14ac:dyDescent="0.3">
      <c r="A2987">
        <v>149300</v>
      </c>
      <c r="B2987" t="s">
        <v>32093</v>
      </c>
      <c r="C2987">
        <f>-694.476643859316 -77.4786130067296 -76.4062168194208</f>
        <v>-848.36147368546642</v>
      </c>
      <c r="D2987">
        <f>-729.357759346307 -92.6017752616751 -185.817455849888</f>
        <v>-1007.7769904578702</v>
      </c>
      <c r="E2987">
        <f>-745.27754409907 -99.5233489889215 -282.90140265326</f>
        <v>-1127.7022957412514</v>
      </c>
      <c r="F2987">
        <f>-754.514694918607 -103.571639475082 -371.425612627554</f>
        <v>-1229.511947021243</v>
      </c>
      <c r="G2987">
        <f>-758.203068520071 -105.369649428727 -460.427856804236</f>
        <v>-1324.000574753034</v>
      </c>
      <c r="H2987">
        <f>-757.501953845973 -105.570327006861 -585.00833788492</f>
        <v>-1448.0806187377541</v>
      </c>
      <c r="I2987">
        <f>-724.531008059953 -96.8755060256588 -660.786630381582</f>
        <v>-1482.1931444671936</v>
      </c>
      <c r="J2987">
        <f>-764.000376260441 -78.4733022291621 -530.26489842538</f>
        <v>-1372.7385769149832</v>
      </c>
      <c r="K2987" t="s">
        <v>32094</v>
      </c>
      <c r="L2987" t="s">
        <v>32095</v>
      </c>
      <c r="M2987" t="s">
        <v>32096</v>
      </c>
      <c r="N2987">
        <f>-751.620653014455 -132.490700451048 -530.108336439511</f>
        <v>-1414.2196899050141</v>
      </c>
      <c r="O2987">
        <f>-722.337065762502 -263.787467917466 -501.801069579265</f>
        <v>-1487.925603259233</v>
      </c>
      <c r="P2987">
        <f>-696.005394599721 -292.402020809565 -210.117901694344</f>
        <v>-1198.52531710363</v>
      </c>
      <c r="Q2987">
        <f>-555.99645293653 -117.064093649383 -297.896040015724</f>
        <v>-970.95658660163701</v>
      </c>
      <c r="R2987" t="s">
        <v>32097</v>
      </c>
      <c r="S2987" t="s">
        <v>32098</v>
      </c>
      <c r="T2987" t="s">
        <v>32099</v>
      </c>
      <c r="U2987" t="s">
        <v>32100</v>
      </c>
      <c r="V2987">
        <f>-667.252727272896 -171.444569783962 -73.3035519757838</f>
        <v>-912.00084903264178</v>
      </c>
      <c r="W2987" t="s">
        <v>32101</v>
      </c>
      <c r="X2987" t="s">
        <v>32102</v>
      </c>
      <c r="Y2987" t="s">
        <v>32103</v>
      </c>
    </row>
    <row r="2988" spans="1:25" x14ac:dyDescent="0.3">
      <c r="A2988">
        <v>149350</v>
      </c>
      <c r="B2988" t="s">
        <v>32104</v>
      </c>
      <c r="C2988">
        <f>-694.453821117092 -78.1637501086317 -76.2937654782495</f>
        <v>-848.91133670397323</v>
      </c>
      <c r="D2988">
        <f>-729.314017296998 -93.3855622786707 -185.697951248026</f>
        <v>-1008.3975308236948</v>
      </c>
      <c r="E2988">
        <f>-745.201624487742 -100.347065687104 -282.784491266731</f>
        <v>-1128.3331814415769</v>
      </c>
      <c r="F2988">
        <f>-754.403141196886 -104.41440858182 -371.311436172394</f>
        <v>-1230.1289859511</v>
      </c>
      <c r="G2988">
        <f>-758.048791665722 -106.214356613689 -460.315370250812</f>
        <v>-1324.5785185302229</v>
      </c>
      <c r="H2988">
        <f>-757.280307205567 -106.400221703222 -584.895512475425</f>
        <v>-1448.576041384214</v>
      </c>
      <c r="I2988">
        <f>-724.304590565447 -97.6873712982828 -660.669646750385</f>
        <v>-1482.6616086141148</v>
      </c>
      <c r="J2988">
        <f>-763.8299134554 -79.3146512793961 -530.152570704049</f>
        <v>-1373.2971354388451</v>
      </c>
      <c r="K2988" t="s">
        <v>32105</v>
      </c>
      <c r="L2988" t="s">
        <v>32106</v>
      </c>
      <c r="M2988" t="s">
        <v>32107</v>
      </c>
      <c r="N2988">
        <f>-751.407098211975 -133.322213209374 -529.99543314299</f>
        <v>-1414.7247445643391</v>
      </c>
      <c r="O2988">
        <f>-721.979350865872 -264.585988542151 -501.699629337979</f>
        <v>-1488.2649687460021</v>
      </c>
      <c r="P2988">
        <f>-695.529860994945 -293.142044171586 -210.0215176535</f>
        <v>-1198.6934228200309</v>
      </c>
      <c r="Q2988">
        <f>-555.992094244317 -117.488847718283 -297.919056410184</f>
        <v>-971.3999983727839</v>
      </c>
      <c r="R2988" t="s">
        <v>32108</v>
      </c>
      <c r="S2988" t="s">
        <v>32109</v>
      </c>
      <c r="T2988" t="s">
        <v>32110</v>
      </c>
      <c r="U2988" t="s">
        <v>32111</v>
      </c>
      <c r="V2988">
        <f>-667.17987483412 -172.651306320338 -73.0995980191071</f>
        <v>-912.93077917356516</v>
      </c>
      <c r="W2988" t="s">
        <v>32112</v>
      </c>
      <c r="X2988" t="s">
        <v>32113</v>
      </c>
      <c r="Y2988" t="s">
        <v>32114</v>
      </c>
    </row>
    <row r="2989" spans="1:25" x14ac:dyDescent="0.3">
      <c r="A2989">
        <v>149400</v>
      </c>
      <c r="B2989" t="s">
        <v>32115</v>
      </c>
      <c r="C2989">
        <f>-693.980425166085 -79.2219263309739 -76.1041352988724</f>
        <v>-849.30648679593128</v>
      </c>
      <c r="D2989">
        <f>-728.918349239182 -94.7162961246064 -185.445313801415</f>
        <v>-1009.0799591652035</v>
      </c>
      <c r="E2989">
        <f>-744.780069685912 -101.799560057698 -282.527097938503</f>
        <v>-1129.1067276821132</v>
      </c>
      <c r="F2989">
        <f>-753.91746116356 -105.932800693752 -371.057851539575</f>
        <v>-1230.9081133968871</v>
      </c>
      <c r="G2989">
        <f>-757.457200520588 -107.754603124635 -460.06556380652</f>
        <v>-1325.277367451743</v>
      </c>
      <c r="H2989">
        <f>-756.496396421483 -107.92563959198 -584.644357655592</f>
        <v>-1449.0663936690551</v>
      </c>
      <c r="I2989">
        <f>-723.507753618633 -99.2090313543064 -660.412437557135</f>
        <v>-1483.1292225300745</v>
      </c>
      <c r="J2989">
        <f>-763.138890544412 -80.8485287947783 -529.908471213132</f>
        <v>-1373.8958905523223</v>
      </c>
      <c r="K2989" t="s">
        <v>32116</v>
      </c>
      <c r="L2989" t="s">
        <v>32117</v>
      </c>
      <c r="M2989" t="s">
        <v>32118</v>
      </c>
      <c r="N2989">
        <f>-750.699489800011 -134.852168807333 -529.738446824617</f>
        <v>-1415.2901054319609</v>
      </c>
      <c r="O2989">
        <f>-721.232061552104 -266.115381745984 -501.40286824742</f>
        <v>-1488.7503115455079</v>
      </c>
      <c r="P2989">
        <f>-694.442137755444 -294.706616942522 -209.759252140032</f>
        <v>-1198.9080068379981</v>
      </c>
      <c r="Q2989">
        <f>-555.597993030018 -118.610601091562 -297.869155003923</f>
        <v>-972.07774912550303</v>
      </c>
      <c r="R2989" t="s">
        <v>32119</v>
      </c>
      <c r="S2989" t="s">
        <v>32120</v>
      </c>
      <c r="T2989" t="s">
        <v>32121</v>
      </c>
      <c r="U2989" t="s">
        <v>32122</v>
      </c>
      <c r="V2989">
        <f>-666.472134580698 -173.378963804549 -72.9242702040334</f>
        <v>-912.77536858928045</v>
      </c>
      <c r="W2989" t="s">
        <v>32123</v>
      </c>
      <c r="X2989" t="s">
        <v>32124</v>
      </c>
      <c r="Y2989" t="s">
        <v>32125</v>
      </c>
    </row>
    <row r="2990" spans="1:25" x14ac:dyDescent="0.3">
      <c r="A2990">
        <v>149450</v>
      </c>
      <c r="B2990" t="s">
        <v>32126</v>
      </c>
      <c r="C2990">
        <f>-693.535839749107 -79.3767341273857 -75.9857069908268</f>
        <v>-848.8982808673195</v>
      </c>
      <c r="D2990">
        <f>-728.621523876942 -94.9409853892315 -185.269616701756</f>
        <v>-1008.8321259679295</v>
      </c>
      <c r="E2990">
        <f>-744.504215621633 -102.057240296335 -282.345708507803</f>
        <v>-1128.907164425771</v>
      </c>
      <c r="F2990">
        <f>-753.615703408046 -106.209444147958 -370.878003944559</f>
        <v>-1230.7031515005631</v>
      </c>
      <c r="G2990">
        <f>-757.084060420033 -108.040096743008 -459.888483160224</f>
        <v>-1325.012640323265</v>
      </c>
      <c r="H2990">
        <f>-755.975439655689 -108.21355259901 -584.4660296072</f>
        <v>-1448.6550218618991</v>
      </c>
      <c r="I2990">
        <f>-722.972166425267 -99.5259003212453 -660.230981505454</f>
        <v>-1482.7290482519663</v>
      </c>
      <c r="J2990">
        <f>-762.665642102352 -81.1314229641986 -529.738373131238</f>
        <v>-1373.5354381977886</v>
      </c>
      <c r="K2990" t="s">
        <v>32127</v>
      </c>
      <c r="L2990" t="s">
        <v>32128</v>
      </c>
      <c r="M2990" t="s">
        <v>32129</v>
      </c>
      <c r="N2990">
        <f>-750.260920952921 -135.143002477234 -529.552770116521</f>
        <v>-1414.956693546676</v>
      </c>
      <c r="O2990">
        <f>-720.900267965985 -266.424369780097 -501.180394989425</f>
        <v>-1488.505032735507</v>
      </c>
      <c r="P2990">
        <f>-694.169906900547 -294.989680559856 -209.528610521015</f>
        <v>-1198.6881979814179</v>
      </c>
      <c r="Q2990">
        <f>-555.303624097416 -119.030804080443 -297.877369039571</f>
        <v>-972.21179721742999</v>
      </c>
      <c r="R2990" t="s">
        <v>32130</v>
      </c>
      <c r="S2990" t="s">
        <v>32131</v>
      </c>
      <c r="T2990" t="s">
        <v>32132</v>
      </c>
      <c r="U2990" t="s">
        <v>32133</v>
      </c>
      <c r="V2990">
        <f>-666.246178637344 -173.596185317231 -72.7567255445591</f>
        <v>-912.59908949913404</v>
      </c>
      <c r="W2990" t="s">
        <v>32134</v>
      </c>
      <c r="X2990" t="s">
        <v>32135</v>
      </c>
      <c r="Y2990" t="s">
        <v>32136</v>
      </c>
    </row>
    <row r="2991" spans="1:25" x14ac:dyDescent="0.3">
      <c r="A2991">
        <v>149500</v>
      </c>
      <c r="B2991" t="s">
        <v>32137</v>
      </c>
      <c r="C2991">
        <f>-692.468546750177 -79.3355529725042 -75.5733409726117</f>
        <v>-847.37744069529288</v>
      </c>
      <c r="D2991">
        <f>-727.806369090531 -94.6939896847661 -184.805019907115</f>
        <v>-1007.3053786824121</v>
      </c>
      <c r="E2991">
        <f>-743.718413546342 -101.746310028392 -281.881035934665</f>
        <v>-1127.3457595093992</v>
      </c>
      <c r="F2991">
        <f>-752.781578037682 -105.881728348568 -370.419095113803</f>
        <v>-1229.082401500053</v>
      </c>
      <c r="G2991">
        <f>-756.126631042244 -107.737680936634 -459.433631792021</f>
        <v>-1323.2979437708989</v>
      </c>
      <c r="H2991">
        <f>-754.767920486829 -107.990050569783 -584.008582587673</f>
        <v>-1446.7665536442851</v>
      </c>
      <c r="I2991">
        <f>-721.794944179089 -99.4992345741703 -659.809212222291</f>
        <v>-1481.1033909755502</v>
      </c>
      <c r="J2991">
        <f>-761.447361420737 -80.8458420634352 -529.310430569838</f>
        <v>-1371.6036340540102</v>
      </c>
      <c r="K2991" t="s">
        <v>32138</v>
      </c>
      <c r="L2991" t="s">
        <v>32139</v>
      </c>
      <c r="M2991" t="s">
        <v>32140</v>
      </c>
      <c r="N2991">
        <f>-749.284257309783 -134.91213625693 -529.068253766735</f>
        <v>-1413.264647333448</v>
      </c>
      <c r="O2991">
        <f>-720.561190424188 -266.30924943405 -500.571929630563</f>
        <v>-1487.442369488801</v>
      </c>
      <c r="P2991">
        <f>-693.635310114764 -294.559250053296 -208.907428107803</f>
        <v>-1197.1019882758631</v>
      </c>
      <c r="Q2991">
        <f>-554.098668685033 -119.384196218427 -297.756164740022</f>
        <v>-971.2390296434819</v>
      </c>
      <c r="R2991" t="s">
        <v>32141</v>
      </c>
      <c r="S2991" t="s">
        <v>32142</v>
      </c>
      <c r="T2991" t="s">
        <v>32143</v>
      </c>
      <c r="U2991" t="s">
        <v>32144</v>
      </c>
      <c r="V2991">
        <f>-666.147026296607 -172.939365050081 -72.3660013643995</f>
        <v>-911.45239271108755</v>
      </c>
      <c r="W2991" t="s">
        <v>32145</v>
      </c>
      <c r="X2991" t="s">
        <v>32146</v>
      </c>
      <c r="Y2991" t="s">
        <v>32147</v>
      </c>
    </row>
    <row r="2992" spans="1:25" x14ac:dyDescent="0.3">
      <c r="A2992">
        <v>149550</v>
      </c>
      <c r="B2992" t="s">
        <v>32148</v>
      </c>
      <c r="C2992">
        <f>-692.41261346354 -79.0628526406159 -75.2887178558323</f>
        <v>-846.76418395998815</v>
      </c>
      <c r="D2992">
        <f>-727.846000447236 -94.283653050848 -184.508810320556</f>
        <v>-1006.6384638186399</v>
      </c>
      <c r="E2992">
        <f>-743.748184683148 -101.252262362015 -281.592468249531</f>
        <v>-1126.592915294694</v>
      </c>
      <c r="F2992">
        <f>-752.765179939795 -105.324734634566 -370.138075869874</f>
        <v>-1228.2279904442348</v>
      </c>
      <c r="G2992">
        <f>-756.025881795176 -107.132720411602 -459.156853143271</f>
        <v>-1322.315455350049</v>
      </c>
      <c r="H2992">
        <f>-754.509758894348 -107.334794711324 -583.730101636694</f>
        <v>-1445.5746552423661</v>
      </c>
      <c r="I2992">
        <f>-721.637409050478 -99.0084643811505 -659.592476392163</f>
        <v>-1480.2383498237914</v>
      </c>
      <c r="J2992">
        <f>-761.140488850048 -80.1865134919221 -529.028130791816</f>
        <v>-1370.3551331337862</v>
      </c>
      <c r="K2992" t="s">
        <v>32149</v>
      </c>
      <c r="L2992" t="s">
        <v>32150</v>
      </c>
      <c r="M2992" t="s">
        <v>32151</v>
      </c>
      <c r="N2992">
        <f>-749.213406803825 -134.30536614447 -528.795117441901</f>
        <v>-1412.3138903901959</v>
      </c>
      <c r="O2992">
        <f>-721.070438231656 -265.81367676248 -500.294135831226</f>
        <v>-1487.1782508253621</v>
      </c>
      <c r="P2992">
        <f>-693.838491243306 -294.053828079498 -208.657063936766</f>
        <v>-1196.5493832595698</v>
      </c>
      <c r="Q2992">
        <f>-553.703643912804 -119.59552432396 -297.973249956693</f>
        <v>-971.27241819345704</v>
      </c>
      <c r="R2992" t="s">
        <v>32152</v>
      </c>
      <c r="S2992" t="s">
        <v>32153</v>
      </c>
      <c r="T2992" t="s">
        <v>32154</v>
      </c>
      <c r="U2992" t="s">
        <v>32155</v>
      </c>
      <c r="V2992">
        <f>-666.54697651254 -172.470211165277 -72.1205219594234</f>
        <v>-911.13770963724039</v>
      </c>
      <c r="W2992" t="s">
        <v>32156</v>
      </c>
      <c r="X2992" t="s">
        <v>32157</v>
      </c>
      <c r="Y2992" t="s">
        <v>32158</v>
      </c>
    </row>
    <row r="2993" spans="1:25" x14ac:dyDescent="0.3">
      <c r="A2993">
        <v>149600</v>
      </c>
      <c r="B2993" t="s">
        <v>32159</v>
      </c>
      <c r="C2993">
        <f>-692.448123577092 -79.7519949931392 -74.9701489981803</f>
        <v>-847.17026756841153</v>
      </c>
      <c r="D2993">
        <f>-727.891828547371 -94.6863814931196 -184.226379672442</f>
        <v>-1006.8045897129326</v>
      </c>
      <c r="E2993">
        <f>-743.660008640413 -101.447058767364 -281.346553792175</f>
        <v>-1126.4536211999521</v>
      </c>
      <c r="F2993">
        <f>-752.495689734703 -105.350504683958 -369.918140292498</f>
        <v>-1227.7643347111589</v>
      </c>
      <c r="G2993">
        <f>-755.512355633663 -107.019027724085 -458.948238474702</f>
        <v>-1321.47962183245</v>
      </c>
      <c r="H2993">
        <f>-753.588041879889 -107.063269776196 -583.515900057289</f>
        <v>-1444.1672117133739</v>
      </c>
      <c r="I2993">
        <f>-721.186644381789 -99.2294746077159 -659.633010626175</f>
        <v>-1480.0491296156799</v>
      </c>
      <c r="J2993">
        <f>-760.005836394865 -79.9006645405453 -528.795450436349</f>
        <v>-1368.7019513717594</v>
      </c>
      <c r="K2993" t="s">
        <v>32160</v>
      </c>
      <c r="L2993" t="s">
        <v>32161</v>
      </c>
      <c r="M2993" t="s">
        <v>32162</v>
      </c>
      <c r="N2993">
        <f>-748.863851530465 -134.186859134382 -528.604105172384</f>
        <v>-1411.6548158372311</v>
      </c>
      <c r="O2993">
        <f>-722.522967131153 -266.042254588663 -500.078965274161</f>
        <v>-1488.644186993977</v>
      </c>
      <c r="P2993">
        <f>-694.576634637573 -294.772423200326 -208.55740336922</f>
        <v>-1197.906461207119</v>
      </c>
      <c r="Q2993">
        <f>-553.353102737648 -121.711735046846 -298.87243302314</f>
        <v>-973.93727080763392</v>
      </c>
      <c r="R2993" t="s">
        <v>32163</v>
      </c>
      <c r="S2993" t="s">
        <v>32164</v>
      </c>
      <c r="T2993" t="s">
        <v>32165</v>
      </c>
      <c r="U2993" t="s">
        <v>32166</v>
      </c>
      <c r="V2993">
        <f>-666.943071760132 -173.468200222696 -71.8135808347499</f>
        <v>-912.22485281757804</v>
      </c>
      <c r="W2993" t="s">
        <v>32167</v>
      </c>
      <c r="X2993" t="s">
        <v>32168</v>
      </c>
      <c r="Y2993" t="s">
        <v>32169</v>
      </c>
    </row>
    <row r="2994" spans="1:25" x14ac:dyDescent="0.3">
      <c r="A2994">
        <v>149650</v>
      </c>
      <c r="B2994" t="s">
        <v>32170</v>
      </c>
      <c r="C2994">
        <f>-692.500586930057 -80.1542582263461 -75.0151877229515</f>
        <v>-847.67003287935461</v>
      </c>
      <c r="D2994">
        <f>-727.843736098075 -95.0119690514408 -184.314435685674</f>
        <v>-1007.1701408351898</v>
      </c>
      <c r="E2994">
        <f>-743.494751453032 -101.69507572407 -281.458802494132</f>
        <v>-1126.6486296712339</v>
      </c>
      <c r="F2994">
        <f>-752.20893427525 -105.531000714171 -370.045446367089</f>
        <v>-1227.78538135651</v>
      </c>
      <c r="G2994">
        <f>-755.085855882631 -107.143281992297 -459.081189641075</f>
        <v>-1321.3103275160031</v>
      </c>
      <c r="H2994">
        <f>-752.945896050942 -107.126668522834 -583.645409571688</f>
        <v>-1443.7179741454638</v>
      </c>
      <c r="I2994">
        <f>-720.906307026158 -99.6144150380649 -659.947781184931</f>
        <v>-1480.4685032491539</v>
      </c>
      <c r="J2994">
        <f>-759.230624250993 -79.9450820724618 -528.918954505602</f>
        <v>-1368.0946608290567</v>
      </c>
      <c r="K2994" t="s">
        <v>32171</v>
      </c>
      <c r="L2994" t="s">
        <v>32172</v>
      </c>
      <c r="M2994" t="s">
        <v>32173</v>
      </c>
      <c r="N2994">
        <f>-748.5444858434 -134.322813285591 -528.742679500519</f>
        <v>-1411.6099786295099</v>
      </c>
      <c r="O2994">
        <f>-723.18860951645 -266.367142952605 -500.182785017416</f>
        <v>-1489.7385374864712</v>
      </c>
      <c r="P2994">
        <f>-695.48380861796 -295.340208038863 -208.66224858667</f>
        <v>-1199.4862652434931</v>
      </c>
      <c r="Q2994">
        <f>-552.939660020921 -123.508683637373 -299.249142428013</f>
        <v>-975.69748608630698</v>
      </c>
      <c r="R2994" t="s">
        <v>32174</v>
      </c>
      <c r="S2994" t="s">
        <v>32175</v>
      </c>
      <c r="T2994" t="s">
        <v>32176</v>
      </c>
      <c r="U2994" t="s">
        <v>32177</v>
      </c>
      <c r="V2994">
        <f>-667.10755541584 -173.918965727436 -71.7866881509559</f>
        <v>-912.81320929423191</v>
      </c>
      <c r="W2994" t="s">
        <v>32178</v>
      </c>
      <c r="X2994" t="s">
        <v>32179</v>
      </c>
      <c r="Y2994" t="s">
        <v>32180</v>
      </c>
    </row>
    <row r="2995" spans="1:25" x14ac:dyDescent="0.3">
      <c r="A2995">
        <v>149700</v>
      </c>
      <c r="B2995" t="s">
        <v>32181</v>
      </c>
      <c r="C2995">
        <f>-692.885055116599 -81.1562416060777 -75.2512229838522</f>
        <v>-849.29251970652899</v>
      </c>
      <c r="D2995">
        <f>-728.126044022454 -95.9064009156781 -184.598085662185</f>
        <v>-1008.6305306003171</v>
      </c>
      <c r="E2995">
        <f>-743.560457102736 -102.523205801368 -281.781696229225</f>
        <v>-1127.8653591333291</v>
      </c>
      <c r="F2995">
        <f>-752.017607468415 -106.332210565436 -370.394350910943</f>
        <v>-1228.744168944794</v>
      </c>
      <c r="G2995">
        <f>-754.570638292429 -107.9701255816 -459.439564144257</f>
        <v>-1321.9803280182859</v>
      </c>
      <c r="H2995">
        <f>-751.90409315395 -108.060041834629 -583.993436877469</f>
        <v>-1443.9575718660481</v>
      </c>
      <c r="I2995">
        <f>-720.551772818065 -101.272258017302 -660.648508496215</f>
        <v>-1482.4725393315821</v>
      </c>
      <c r="J2995">
        <f>-757.991986497639 -80.7510150930212 -529.308249184774</f>
        <v>-1368.0512507754343</v>
      </c>
      <c r="K2995" t="s">
        <v>32182</v>
      </c>
      <c r="L2995" t="s">
        <v>32183</v>
      </c>
      <c r="M2995" t="s">
        <v>32184</v>
      </c>
      <c r="N2995">
        <f>-748.163026665717 -135.289904385706 -529.058501315024</f>
        <v>-1412.511432366447</v>
      </c>
      <c r="O2995">
        <f>-724.584725225955 -267.661889066227 -500.465516067089</f>
        <v>-1492.712130359271</v>
      </c>
      <c r="P2995">
        <f>-697.986148432955 -297.279222266396 -208.906725329651</f>
        <v>-1204.172096029002</v>
      </c>
      <c r="Q2995">
        <f>-552.997993122877 -127.137116629001 -298.801023996179</f>
        <v>-978.93613374805705</v>
      </c>
      <c r="R2995" t="s">
        <v>32185</v>
      </c>
      <c r="S2995" t="s">
        <v>32186</v>
      </c>
      <c r="T2995" t="s">
        <v>32187</v>
      </c>
      <c r="U2995" t="s">
        <v>32188</v>
      </c>
      <c r="V2995">
        <f>-667.364371507893 -174.932143913314 -71.9919057005806</f>
        <v>-914.28842112178756</v>
      </c>
      <c r="W2995" t="s">
        <v>32189</v>
      </c>
      <c r="X2995" t="s">
        <v>32190</v>
      </c>
      <c r="Y2995" t="s">
        <v>32191</v>
      </c>
    </row>
    <row r="2996" spans="1:25" x14ac:dyDescent="0.3">
      <c r="A2996">
        <v>149750</v>
      </c>
      <c r="B2996" t="s">
        <v>32192</v>
      </c>
      <c r="C2996">
        <f>-693.089345615929 -81.304435869779 -75.3808529698548</f>
        <v>-849.77463445556282</v>
      </c>
      <c r="D2996">
        <f>-728.364112901114 -96.0428621356837 -184.718391277387</f>
        <v>-1009.1253663141847</v>
      </c>
      <c r="E2996">
        <f>-743.731511704398 -102.645086492755 -281.913618656911</f>
        <v>-1128.2902168540641</v>
      </c>
      <c r="F2996">
        <f>-752.084170944852 -106.449880959529 -370.536380720538</f>
        <v>-1229.0704326249188</v>
      </c>
      <c r="G2996">
        <f>-754.485934296072 -108.101582331609 -459.585443428605</f>
        <v>-1322.172960056286</v>
      </c>
      <c r="H2996">
        <f>-751.557177011224 -108.237214550511 -584.133433824605</f>
        <v>-1443.9278253863399</v>
      </c>
      <c r="I2996">
        <f>-720.510397803089 -101.772656420046 -660.940625505424</f>
        <v>-1483.2236797285591</v>
      </c>
      <c r="J2996">
        <f>-757.57781102998 -80.8758700110324 -529.467023996114</f>
        <v>-1367.9207050371265</v>
      </c>
      <c r="K2996" t="s">
        <v>32193</v>
      </c>
      <c r="L2996" t="s">
        <v>32194</v>
      </c>
      <c r="M2996" t="s">
        <v>32195</v>
      </c>
      <c r="N2996">
        <f>-748.114092528708 -135.479199752628 -529.185102105887</f>
        <v>-1412.7783943872232</v>
      </c>
      <c r="O2996">
        <f>-725.315657178745 -268.012485880273 -500.632526837955</f>
        <v>-1493.9606698969731</v>
      </c>
      <c r="P2996">
        <f>-699.300784106038 -297.806756234649 -209.039001763789</f>
        <v>-1206.1465421044761</v>
      </c>
      <c r="Q2996">
        <f>-553.248723946047 -128.215972911081 -298.250198904675</f>
        <v>-979.71489576180306</v>
      </c>
      <c r="R2996" t="s">
        <v>32196</v>
      </c>
      <c r="S2996" t="s">
        <v>32197</v>
      </c>
      <c r="T2996" t="s">
        <v>32198</v>
      </c>
      <c r="U2996" t="s">
        <v>32199</v>
      </c>
      <c r="V2996">
        <f>-667.631762657067 -174.972501652667 -72.0054024953515</f>
        <v>-914.60966680508557</v>
      </c>
      <c r="W2996" t="s">
        <v>32200</v>
      </c>
      <c r="X2996" t="s">
        <v>32201</v>
      </c>
      <c r="Y2996" t="s">
        <v>32202</v>
      </c>
    </row>
    <row r="2997" spans="1:25" x14ac:dyDescent="0.3">
      <c r="A2997">
        <v>149800</v>
      </c>
      <c r="B2997" t="s">
        <v>32203</v>
      </c>
      <c r="C2997">
        <f>-693.105582239034 -81.4700492431023 -75.5295799884985</f>
        <v>-850.1052114706348</v>
      </c>
      <c r="D2997">
        <f>-728.37516968059 -96.0088654992289 -184.895386633703</f>
        <v>-1009.2794218135219</v>
      </c>
      <c r="E2997">
        <f>-743.640043541505 -102.555612236383 -282.110579102613</f>
        <v>-1128.3062348805011</v>
      </c>
      <c r="F2997">
        <f>-751.856252996788 -106.370404718576 -370.745684580603</f>
        <v>-1228.9723422959669</v>
      </c>
      <c r="G2997">
        <f>-754.074931679332 -108.106206655204 -459.797992010115</f>
        <v>-1321.9791303446511</v>
      </c>
      <c r="H2997">
        <f>-750.839849242781 -108.447276347299 -584.337986694493</f>
        <v>-1443.6251122845729</v>
      </c>
      <c r="I2997">
        <f>-720.369251565095 -102.569058675805 -661.422537616957</f>
        <v>-1484.3608478578572</v>
      </c>
      <c r="J2997">
        <f>-756.640598040203 -80.9367582986838 -529.722732913239</f>
        <v>-1367.3000892521259</v>
      </c>
      <c r="K2997" t="s">
        <v>32204</v>
      </c>
      <c r="L2997" t="s">
        <v>32205</v>
      </c>
      <c r="M2997" t="s">
        <v>32206</v>
      </c>
      <c r="N2997">
        <f>-747.886283308354 -135.657715408362 -529.345462790659</f>
        <v>-1412.889461507375</v>
      </c>
      <c r="O2997">
        <f>-726.646635316214 -268.455984511074 -500.781434177635</f>
        <v>-1495.884054004923</v>
      </c>
      <c r="P2997">
        <f>-701.205713537693 -298.488166476419 -209.161801512342</f>
        <v>-1208.855681526454</v>
      </c>
      <c r="Q2997">
        <f>-553.58738019011 -129.996129671306 -297.875648492051</f>
        <v>-981.45915835346705</v>
      </c>
      <c r="R2997" t="s">
        <v>32207</v>
      </c>
      <c r="S2997" t="s">
        <v>32208</v>
      </c>
      <c r="T2997" t="s">
        <v>32209</v>
      </c>
      <c r="U2997" t="s">
        <v>32210</v>
      </c>
      <c r="V2997">
        <f>-667.978173306466 -174.89670630334 -72.1602151258544</f>
        <v>-915.03509473566044</v>
      </c>
      <c r="W2997" t="s">
        <v>32211</v>
      </c>
      <c r="X2997" t="s">
        <v>32212</v>
      </c>
      <c r="Y2997" t="s">
        <v>32213</v>
      </c>
    </row>
    <row r="2998" spans="1:25" x14ac:dyDescent="0.3">
      <c r="A2998">
        <v>149850</v>
      </c>
      <c r="B2998" t="s">
        <v>32214</v>
      </c>
      <c r="C2998">
        <f>-693.017630436237 -81.4145863413376 -75.5487911346348</f>
        <v>-849.98100791220941</v>
      </c>
      <c r="D2998">
        <f>-728.269981018332 -95.7719456095367 -184.944310438118</f>
        <v>-1008.9862370659868</v>
      </c>
      <c r="E2998">
        <f>-743.500288434493 -102.269538110765 -282.168019765647</f>
        <v>-1127.9378463109049</v>
      </c>
      <c r="F2998">
        <f>-751.679441682468 -106.082060269905 -370.806796945015</f>
        <v>-1228.5682988973881</v>
      </c>
      <c r="G2998">
        <f>-753.855350847054 -107.860979509342 -459.859179715527</f>
        <v>-1321.575510071923</v>
      </c>
      <c r="H2998">
        <f>-750.555190912556 -108.310748557215 -584.397206422791</f>
        <v>-1443.2631458925621</v>
      </c>
      <c r="I2998">
        <f>-720.332148713712 -102.634017622368 -661.59415718196</f>
        <v>-1484.5603235180399</v>
      </c>
      <c r="J2998">
        <f>-756.227535579908 -80.7279077342869 -529.804943777531</f>
        <v>-1366.760387091726</v>
      </c>
      <c r="K2998" t="s">
        <v>32215</v>
      </c>
      <c r="L2998" t="s">
        <v>32216</v>
      </c>
      <c r="M2998" t="s">
        <v>32217</v>
      </c>
      <c r="N2998">
        <f>-747.787225624082 -135.497774454906 -529.383373913167</f>
        <v>-1412.668373992155</v>
      </c>
      <c r="O2998">
        <f>-727.338992978094 -268.393338943105 -500.68521774316</f>
        <v>-1496.4175496643588</v>
      </c>
      <c r="P2998">
        <f>-702.005844631011 -298.238932907023 -209.037172934894</f>
        <v>-1209.281950472928</v>
      </c>
      <c r="Q2998">
        <f>-553.615410920276 -130.595426338356 -298.069701743254</f>
        <v>-982.28053900188593</v>
      </c>
      <c r="R2998" t="s">
        <v>32218</v>
      </c>
      <c r="S2998" t="s">
        <v>32219</v>
      </c>
      <c r="T2998" t="s">
        <v>32220</v>
      </c>
      <c r="U2998" t="s">
        <v>32221</v>
      </c>
      <c r="V2998">
        <f>-668.319420628235 -174.954513528843 -72.2012505121</f>
        <v>-915.47518466917802</v>
      </c>
      <c r="W2998" t="s">
        <v>32222</v>
      </c>
      <c r="X2998" t="s">
        <v>32223</v>
      </c>
      <c r="Y2998" t="s">
        <v>32224</v>
      </c>
    </row>
    <row r="2999" spans="1:25" x14ac:dyDescent="0.3">
      <c r="A2999">
        <v>149900</v>
      </c>
      <c r="B2999" t="s">
        <v>32225</v>
      </c>
      <c r="C2999">
        <f>-692.919277112709 -81.2867258166865 -75.5003676796993</f>
        <v>-849.70637060909473</v>
      </c>
      <c r="D2999">
        <f>-728.345884032228 -95.248729180577 -184.890652501453</f>
        <v>-1008.485265714258</v>
      </c>
      <c r="E2999">
        <f>-743.668353695331 -101.604031751363 -282.109483454134</f>
        <v>-1127.3818689008281</v>
      </c>
      <c r="F2999">
        <f>-751.913504586078 -105.355511029734 -370.744634537016</f>
        <v>-1228.0136501528279</v>
      </c>
      <c r="G2999">
        <f>-754.140008083695 -107.140781866483 -459.795705265373</f>
        <v>-1321.0764952155509</v>
      </c>
      <c r="H2999">
        <f>-750.896713969279 -107.666644873703 -584.334896745912</f>
        <v>-1442.898255588894</v>
      </c>
      <c r="I2999">
        <f>-721.108606283889 -102.231953522267 -661.718082521085</f>
        <v>-1485.0586423272409</v>
      </c>
      <c r="J2999">
        <f>-756.320963294779 -80.01682964858 -529.751105442624</f>
        <v>-1366.0888983859829</v>
      </c>
      <c r="K2999" t="s">
        <v>32226</v>
      </c>
      <c r="L2999" t="s">
        <v>32227</v>
      </c>
      <c r="M2999" t="s">
        <v>32228</v>
      </c>
      <c r="N2999">
        <f>-748.326874469769 -134.853583058922 -529.311455385738</f>
        <v>-1412.4919129144291</v>
      </c>
      <c r="O2999">
        <f>-729.109999216593 -267.834456205747 -500.233169224878</f>
        <v>-1497.1776246472182</v>
      </c>
      <c r="P2999">
        <f>-703.863777379058 -297.078273300689 -208.51650466895</f>
        <v>-1209.4585553486968</v>
      </c>
      <c r="Q2999">
        <f>-554.162102835519 -131.210701354227 -298.673120038526</f>
        <v>-984.04592422827204</v>
      </c>
      <c r="R2999" t="s">
        <v>32229</v>
      </c>
      <c r="S2999" t="s">
        <v>32230</v>
      </c>
      <c r="T2999" t="s">
        <v>32231</v>
      </c>
      <c r="U2999" t="s">
        <v>32232</v>
      </c>
      <c r="V2999">
        <f>-669.298670417327 -174.751327936473 -72.1735205697174</f>
        <v>-916.22351892351742</v>
      </c>
      <c r="W2999" t="s">
        <v>32233</v>
      </c>
      <c r="X2999" t="s">
        <v>32234</v>
      </c>
      <c r="Y2999" t="s">
        <v>32235</v>
      </c>
    </row>
    <row r="3000" spans="1:25" x14ac:dyDescent="0.3">
      <c r="A3000">
        <v>149950</v>
      </c>
      <c r="B3000" t="s">
        <v>32236</v>
      </c>
      <c r="C3000">
        <f>-693.01449924166 -81.3304243621434 -75.4630457821396</f>
        <v>-849.80796938594301</v>
      </c>
      <c r="D3000">
        <f>-728.531230979213 -95.1508712558083 -184.842091005636</f>
        <v>-1008.5241932406573</v>
      </c>
      <c r="E3000">
        <f>-743.920661870838 -101.468262664328 -282.052665517208</f>
        <v>-1127.4415900523741</v>
      </c>
      <c r="F3000">
        <f>-752.224473431372 -105.214606107874 -370.682471155455</f>
        <v>-1228.121550694701</v>
      </c>
      <c r="G3000">
        <f>-754.508542759085 -107.023244351706 -459.73169302795</f>
        <v>-1321.263480138741</v>
      </c>
      <c r="H3000">
        <f>-751.345241115792 -107.610073109569 -584.272832303788</f>
        <v>-1443.2281465291489</v>
      </c>
      <c r="I3000">
        <f>-721.732089464914 -102.299199142306 -661.731675750009</f>
        <v>-1485.7629643572291</v>
      </c>
      <c r="J3000">
        <f>-756.666081022899 -79.9236816819562 -529.697457084893</f>
        <v>-1366.2872197897482</v>
      </c>
      <c r="K3000" t="s">
        <v>32237</v>
      </c>
      <c r="L3000" t="s">
        <v>32238</v>
      </c>
      <c r="M3000" t="s">
        <v>32239</v>
      </c>
      <c r="N3000">
        <f>-748.808442473109 -134.780022843354 -529.239365371668</f>
        <v>-1412.8278306881311</v>
      </c>
      <c r="O3000">
        <f>-730.000853034362 -267.764432840771 -500.014613574503</f>
        <v>-1497.7798994496361</v>
      </c>
      <c r="P3000">
        <f>-704.736033214329 -296.741114237745 -208.272864424209</f>
        <v>-1209.750011876283</v>
      </c>
      <c r="Q3000">
        <f>-554.328347948144 -131.709886848768 -298.788668809163</f>
        <v>-984.82690360607512</v>
      </c>
      <c r="R3000" t="s">
        <v>32240</v>
      </c>
      <c r="S3000" t="s">
        <v>32241</v>
      </c>
      <c r="T3000" t="s">
        <v>32242</v>
      </c>
      <c r="U3000" t="s">
        <v>32243</v>
      </c>
      <c r="V3000">
        <f>-669.829485884455 -174.81679752237 -72.1082283658511</f>
        <v>-916.7545117726761</v>
      </c>
      <c r="W3000" t="s">
        <v>32244</v>
      </c>
      <c r="X3000" t="s">
        <v>32245</v>
      </c>
      <c r="Y3000" t="s">
        <v>32246</v>
      </c>
    </row>
    <row r="3001" spans="1:25" x14ac:dyDescent="0.3">
      <c r="A3001">
        <v>150000</v>
      </c>
      <c r="B3001" t="s">
        <v>32247</v>
      </c>
      <c r="C3001">
        <f>-692.938182071665 -81.5163562986132 -75.4740635966173</f>
        <v>-849.92860196689549</v>
      </c>
      <c r="D3001">
        <f>-728.456679255438 -95.2329081723445 -184.865663383399</f>
        <v>-1008.5552508111815</v>
      </c>
      <c r="E3001">
        <f>-743.938371687236 -101.559679088524 -282.061055682258</f>
        <v>-1127.5591064580181</v>
      </c>
      <c r="F3001">
        <f>-752.36438699758 -105.353723273669 -370.677362781618</f>
        <v>-1228.3954730528671</v>
      </c>
      <c r="G3001">
        <f>-754.809523626022 -107.251166682317 -459.720376988261</f>
        <v>-1321.7810672966002</v>
      </c>
      <c r="H3001">
        <f>-751.912211673349 -108.005497562685 -584.266948726781</f>
        <v>-1444.184657962815</v>
      </c>
      <c r="I3001">
        <f>-722.480127060041 -102.941866991058 -661.811418774266</f>
        <v>-1487.2334128253651</v>
      </c>
      <c r="J3001">
        <f>-757.01611930194 -80.2314835267266 -529.715587916424</f>
        <v>-1366.9631907450907</v>
      </c>
      <c r="K3001" t="s">
        <v>32248</v>
      </c>
      <c r="L3001" t="s">
        <v>32249</v>
      </c>
      <c r="M3001" t="s">
        <v>32250</v>
      </c>
      <c r="N3001">
        <f>-749.358232643272 -135.115573417881 -529.204876302622</f>
        <v>-1413.6786823637749</v>
      </c>
      <c r="O3001">
        <f>-731.040137260795 -268.167395667747 -499.873892977787</f>
        <v>-1499.0814259063291</v>
      </c>
      <c r="P3001">
        <f>-705.484529321312 -296.944583586982 -208.137766812229</f>
        <v>-1210.566879720523</v>
      </c>
      <c r="Q3001">
        <f>-554.268593951661 -132.664507039169 -298.673250702645</f>
        <v>-985.60635169347506</v>
      </c>
      <c r="R3001" t="s">
        <v>32251</v>
      </c>
      <c r="S3001" t="s">
        <v>32252</v>
      </c>
      <c r="T3001" t="s">
        <v>32253</v>
      </c>
      <c r="U3001" t="s">
        <v>32254</v>
      </c>
      <c r="V3001">
        <f>-670.05407186439 -174.883235307898 -72.1144591608107</f>
        <v>-917.05176633309873</v>
      </c>
      <c r="W3001" t="s">
        <v>32255</v>
      </c>
      <c r="X3001" t="s">
        <v>32256</v>
      </c>
      <c r="Y3001" t="s">
        <v>32257</v>
      </c>
    </row>
    <row r="3002" spans="1:25" x14ac:dyDescent="0.3">
      <c r="A3002">
        <v>150050</v>
      </c>
      <c r="B3002" t="s">
        <v>32258</v>
      </c>
      <c r="C3002">
        <f>-692.89499386348 -81.4610811764751 -75.480465341031</f>
        <v>-849.83654038098609</v>
      </c>
      <c r="D3002">
        <f>-728.381641610219 -95.1767171756509 -184.882486152711</f>
        <v>-1008.440844938581</v>
      </c>
      <c r="E3002">
        <f>-743.901257235044 -101.51141076498 -282.071350483723</f>
        <v>-1127.4840184837471</v>
      </c>
      <c r="F3002">
        <f>-752.388233579671 -105.316617390645 -370.6813451565</f>
        <v>-1228.386196126816</v>
      </c>
      <c r="G3002">
        <f>-754.921168121888 -107.229573082821 -459.721523703063</f>
        <v>-1321.872264907772</v>
      </c>
      <c r="H3002">
        <f>-752.174255895261 -108.010126511943 -584.271363538878</f>
        <v>-1444.4557459460821</v>
      </c>
      <c r="I3002">
        <f>-722.814243429703 -103.001070063628 -661.846804562322</f>
        <v>-1487.6621180556531</v>
      </c>
      <c r="J3002">
        <f>-757.193141126854 -80.2219860439284 -529.719286501019</f>
        <v>-1367.1344136718014</v>
      </c>
      <c r="K3002" t="s">
        <v>32259</v>
      </c>
      <c r="L3002" t="s">
        <v>32260</v>
      </c>
      <c r="M3002" t="s">
        <v>32261</v>
      </c>
      <c r="N3002">
        <f>-749.572934140208 -135.111321567881 -529.207130208578</f>
        <v>-1413.8913859166669</v>
      </c>
      <c r="O3002">
        <f>-731.343499314303 -268.167698038998 -499.846057830507</f>
        <v>-1499.3572551838079</v>
      </c>
      <c r="P3002">
        <f>-705.749034792355 -296.87278874689 -208.106207317435</f>
        <v>-1210.7280308566801</v>
      </c>
      <c r="Q3002">
        <f>-554.352295755396 -132.724187929605 -298.577966229578</f>
        <v>-985.654449914579</v>
      </c>
      <c r="R3002" t="s">
        <v>32262</v>
      </c>
      <c r="S3002" t="s">
        <v>32263</v>
      </c>
      <c r="T3002" t="s">
        <v>32264</v>
      </c>
      <c r="U3002" t="s">
        <v>32265</v>
      </c>
      <c r="V3002">
        <f>-670.034198659554 -174.863650048573 -72.0930281848636</f>
        <v>-916.99087689299051</v>
      </c>
      <c r="W3002" t="s">
        <v>32266</v>
      </c>
      <c r="X3002" t="s">
        <v>32267</v>
      </c>
      <c r="Y3002" t="s">
        <v>32268</v>
      </c>
    </row>
    <row r="3003" spans="1:25" x14ac:dyDescent="0.3">
      <c r="A3003">
        <v>150100</v>
      </c>
      <c r="B3003" t="s">
        <v>32269</v>
      </c>
      <c r="C3003">
        <f>-692.967974122698 -81.7690385254446 -75.4936117314504</f>
        <v>-850.230624379593</v>
      </c>
      <c r="D3003">
        <f>-728.334728922182 -95.546370980248 -184.926661782199</f>
        <v>-1008.807761684629</v>
      </c>
      <c r="E3003">
        <f>-743.841107469545 -101.945374227438 -282.113319078404</f>
        <v>-1127.8998007753871</v>
      </c>
      <c r="F3003">
        <f>-752.353393763167 -105.813735628637 -370.718321807012</f>
        <v>-1228.8854511988161</v>
      </c>
      <c r="G3003">
        <f>-754.949110141453 -107.794443023052 -459.75526353777</f>
        <v>-1322.4988167022752</v>
      </c>
      <c r="H3003">
        <f>-752.329124209243 -108.674476722022 -584.307158945807</f>
        <v>-1445.3107598770721</v>
      </c>
      <c r="I3003">
        <f>-723.020013309106 -103.638952666009 -661.899916830068</f>
        <v>-1488.5588828051832</v>
      </c>
      <c r="J3003">
        <f>-757.298041990971 -80.8435461651749 -529.772167690644</f>
        <v>-1367.9137558467899</v>
      </c>
      <c r="K3003" t="s">
        <v>32270</v>
      </c>
      <c r="L3003" t="s">
        <v>32271</v>
      </c>
      <c r="M3003" t="s">
        <v>32272</v>
      </c>
      <c r="N3003">
        <f>-749.66604282417 -135.730912024965 -529.223817182381</f>
        <v>-1414.620772031516</v>
      </c>
      <c r="O3003">
        <f>-731.364145696004 -268.767867753856 -499.830684927381</f>
        <v>-1499.9626983772412</v>
      </c>
      <c r="P3003">
        <f>-705.743688586685 -297.356029188231 -208.081645958548</f>
        <v>-1211.181363733464</v>
      </c>
      <c r="Q3003">
        <f>-554.218064310205 -133.22301585228 -298.365581314998</f>
        <v>-985.80666147748298</v>
      </c>
      <c r="R3003" t="s">
        <v>32273</v>
      </c>
      <c r="S3003" t="s">
        <v>32274</v>
      </c>
      <c r="T3003" t="s">
        <v>32275</v>
      </c>
      <c r="U3003" t="s">
        <v>32276</v>
      </c>
      <c r="V3003">
        <f>-669.98218908614 -175.585808874303 -72.0910835990602</f>
        <v>-917.65908155950319</v>
      </c>
      <c r="W3003" t="s">
        <v>32277</v>
      </c>
      <c r="X3003" t="s">
        <v>32278</v>
      </c>
      <c r="Y3003" t="s">
        <v>32279</v>
      </c>
    </row>
    <row r="3004" spans="1:25" x14ac:dyDescent="0.3">
      <c r="A3004">
        <v>150150</v>
      </c>
      <c r="B3004" t="s">
        <v>32280</v>
      </c>
      <c r="C3004">
        <f>-693.005604890439 -81.886773372882 -75.5192348544294</f>
        <v>-850.41161311775045</v>
      </c>
      <c r="D3004">
        <f>-728.303922498686 -95.773490907706 -184.960558620228</f>
        <v>-1009.03797202662</v>
      </c>
      <c r="E3004">
        <f>-743.789117785927 -102.229797360539 -282.147045938978</f>
        <v>-1128.165961085444</v>
      </c>
      <c r="F3004">
        <f>-752.296084635117 -106.138156215582 -370.750525029085</f>
        <v>-1229.1847658797842</v>
      </c>
      <c r="G3004">
        <f>-754.899803066591 -108.148614081132 -459.78658305476</f>
        <v>-1322.8350002024829</v>
      </c>
      <c r="H3004">
        <f>-752.304093666745 -109.060750854743 -584.338801372201</f>
        <v>-1445.7036458936891</v>
      </c>
      <c r="I3004">
        <f>-722.951951072215 -103.973815851765 -661.911958793156</f>
        <v>-1488.837725717136</v>
      </c>
      <c r="J3004">
        <f>-757.257726766915 -81.2151152349143 -529.809956974587</f>
        <v>-1368.2827989764162</v>
      </c>
      <c r="K3004" t="s">
        <v>32281</v>
      </c>
      <c r="L3004" t="s">
        <v>32282</v>
      </c>
      <c r="M3004" t="s">
        <v>32283</v>
      </c>
      <c r="N3004">
        <f>-749.634910290891 -136.103585688785 -529.249162700025</f>
        <v>-1414.9876586797009</v>
      </c>
      <c r="O3004">
        <f>-731.311534620407 -269.12837918355 -499.810404662809</f>
        <v>-1500.250318466766</v>
      </c>
      <c r="P3004">
        <f>-705.691488708938 -297.659605554736 -208.055899091356</f>
        <v>-1211.40699335503</v>
      </c>
      <c r="Q3004">
        <f>-553.491875811154 -133.969386068392 -298.009491011884</f>
        <v>-985.47075289143004</v>
      </c>
      <c r="R3004" t="s">
        <v>32284</v>
      </c>
      <c r="S3004" t="s">
        <v>32285</v>
      </c>
      <c r="T3004" t="s">
        <v>32286</v>
      </c>
      <c r="U3004" t="s">
        <v>32287</v>
      </c>
      <c r="V3004">
        <f>-669.890034145673 -175.806230263653 -72.0873954840858</f>
        <v>-917.78365989341182</v>
      </c>
      <c r="W3004" t="s">
        <v>32288</v>
      </c>
      <c r="X3004" t="s">
        <v>32289</v>
      </c>
      <c r="Y3004" t="s">
        <v>32290</v>
      </c>
    </row>
    <row r="3005" spans="1:25" x14ac:dyDescent="0.3">
      <c r="A3005">
        <v>150200</v>
      </c>
      <c r="B3005" t="s">
        <v>32291</v>
      </c>
      <c r="C3005">
        <f>-692.770691210431 -81.6116013950975 -75.5583527456376</f>
        <v>-849.94064535116615</v>
      </c>
      <c r="D3005">
        <f>-728.001033653671 -95.606532411931 -185.007840502279</f>
        <v>-1008.615406567881</v>
      </c>
      <c r="E3005">
        <f>-743.510547628535 -102.152938023914 -282.184314220396</f>
        <v>-1127.8477998728449</v>
      </c>
      <c r="F3005">
        <f>-752.071933556005 -106.145731476711 -370.778821110577</f>
        <v>-1228.9964861432929</v>
      </c>
      <c r="G3005">
        <f>-754.761833537075 -108.245573479492 -459.810174399796</f>
        <v>-1322.8175814163628</v>
      </c>
      <c r="H3005">
        <f>-752.318976473396 -109.289865573275 -584.36445523541</f>
        <v>-1445.9732972820811</v>
      </c>
      <c r="I3005">
        <f>-722.900887976799 -104.14542678532 -661.908820575718</f>
        <v>-1488.955135337837</v>
      </c>
      <c r="J3005">
        <f>-757.177581996178 -81.3825218568144 -529.85864276048</f>
        <v>-1368.4187466134724</v>
      </c>
      <c r="K3005" t="s">
        <v>32292</v>
      </c>
      <c r="L3005" t="s">
        <v>32293</v>
      </c>
      <c r="M3005" t="s">
        <v>32294</v>
      </c>
      <c r="N3005">
        <f>-749.61030477496 -136.278159411684 -529.249914907291</f>
        <v>-1415.1383790939349</v>
      </c>
      <c r="O3005">
        <f>-731.330679941327 -269.271276057275 -499.627496214218</f>
        <v>-1500.22945221282</v>
      </c>
      <c r="P3005">
        <f>-705.801179315581 -297.10155155617 -207.797135371997</f>
        <v>-1210.6998662437479</v>
      </c>
      <c r="Q3005">
        <f>-552.803423269046 -134.261688061744 -297.940151615678</f>
        <v>-985.00526294646795</v>
      </c>
      <c r="R3005" t="s">
        <v>32295</v>
      </c>
      <c r="S3005" t="s">
        <v>32296</v>
      </c>
      <c r="T3005" t="s">
        <v>32297</v>
      </c>
      <c r="U3005" t="s">
        <v>32298</v>
      </c>
      <c r="V3005">
        <f>-669.448988751832 -175.217925034559 -72.0758102104655</f>
        <v>-916.74272399685651</v>
      </c>
      <c r="W3005" t="s">
        <v>32299</v>
      </c>
      <c r="X3005" t="s">
        <v>32300</v>
      </c>
      <c r="Y3005" t="s">
        <v>32301</v>
      </c>
    </row>
    <row r="3006" spans="1:25" x14ac:dyDescent="0.3">
      <c r="A3006">
        <v>150250</v>
      </c>
      <c r="B3006" t="s">
        <v>32302</v>
      </c>
      <c r="C3006">
        <f>-692.647235347458 -81.4075942660685 -75.561965439979</f>
        <v>-849.61679505350548</v>
      </c>
      <c r="D3006">
        <f>-727.8517559876 -95.4169696916056 -185.017928640757</f>
        <v>-1008.2866543199625</v>
      </c>
      <c r="E3006">
        <f>-743.377307696193 -102.006172031001 -282.188887401034</f>
        <v>-1127.5723671282281</v>
      </c>
      <c r="F3006">
        <f>-751.969390063765 -106.050654864731 -370.778127481803</f>
        <v>-1228.798172410299</v>
      </c>
      <c r="G3006">
        <f>-754.705906115651 -108.215747487907 -459.806503340587</f>
        <v>-1322.7281569441452</v>
      </c>
      <c r="H3006">
        <f>-752.345036285833 -109.365821694817 -584.361568203223</f>
        <v>-1446.0724261838729</v>
      </c>
      <c r="I3006">
        <f>-722.887438944894 -104.237400290502 -661.891894778276</f>
        <v>-1489.016734013672</v>
      </c>
      <c r="J3006">
        <f>-757.147182888198 -81.4094129331766 -529.875909510096</f>
        <v>-1368.4325053314706</v>
      </c>
      <c r="K3006" t="s">
        <v>32303</v>
      </c>
      <c r="L3006" t="s">
        <v>32304</v>
      </c>
      <c r="M3006" t="s">
        <v>32305</v>
      </c>
      <c r="N3006">
        <f>-749.620681113678 -136.310104652153 -529.226291145217</f>
        <v>-1415.1570769110481</v>
      </c>
      <c r="O3006">
        <f>-731.38589083504 -269.269794761796 -499.482773395584</f>
        <v>-1500.1384589924201</v>
      </c>
      <c r="P3006">
        <f>-705.874927173298 -296.677271865074 -207.610770181107</f>
        <v>-1210.162969219479</v>
      </c>
      <c r="Q3006">
        <f>-553.170906507204 -133.729275352744 -298.055647223529</f>
        <v>-984.95582908347706</v>
      </c>
      <c r="R3006" t="s">
        <v>32306</v>
      </c>
      <c r="S3006" t="s">
        <v>32307</v>
      </c>
      <c r="T3006" t="s">
        <v>32308</v>
      </c>
      <c r="U3006" t="s">
        <v>32309</v>
      </c>
      <c r="V3006">
        <f>-669.28308772715 -175.036943133407 -72.0382525381098</f>
        <v>-916.3582833986668</v>
      </c>
      <c r="W3006" t="s">
        <v>32310</v>
      </c>
      <c r="X3006" t="s">
        <v>32311</v>
      </c>
      <c r="Y3006" t="s">
        <v>32312</v>
      </c>
    </row>
    <row r="3007" spans="1:25" x14ac:dyDescent="0.3">
      <c r="A3007">
        <v>150300</v>
      </c>
      <c r="B3007" t="s">
        <v>32313</v>
      </c>
      <c r="C3007">
        <f>-692.51068768559 -81.3937895262522 -75.5016457473986</f>
        <v>-849.40612295924086</v>
      </c>
      <c r="D3007">
        <f>-727.790816784535 -95.4136878011788 -184.931801147878</f>
        <v>-1008.1363057335917</v>
      </c>
      <c r="E3007">
        <f>-743.426852551573 -102.108718668859 -282.077866458267</f>
        <v>-1127.613437678699</v>
      </c>
      <c r="F3007">
        <f>-752.138109308462 -106.288352666993 -370.649135372506</f>
        <v>-1229.0755973479611</v>
      </c>
      <c r="G3007">
        <f>-755.013771115534 -108.628333299225 -459.668868455944</f>
        <v>-1323.3109728707032</v>
      </c>
      <c r="H3007">
        <f>-752.868267268528 -110.064469653998 -584.224697133631</f>
        <v>-1447.1574340561569</v>
      </c>
      <c r="I3007">
        <f>-723.362532765061 -105.087999643053 -661.746887213669</f>
        <v>-1490.197419621783</v>
      </c>
      <c r="J3007">
        <f>-757.560148873834 -81.9807150701585 -529.794872629057</f>
        <v>-1369.3357365730494</v>
      </c>
      <c r="K3007" t="s">
        <v>32314</v>
      </c>
      <c r="L3007" t="s">
        <v>32315</v>
      </c>
      <c r="M3007" t="s">
        <v>32316</v>
      </c>
      <c r="N3007">
        <f>-750.064705737927 -136.884298666128 -529.032791365438</f>
        <v>-1415.9817957694931</v>
      </c>
      <c r="O3007">
        <f>-731.843651037835 -269.841682926563 -499.212364546003</f>
        <v>-1500.8976985104011</v>
      </c>
      <c r="P3007">
        <f>-706.227086022492 -297.356582574338 -207.359633875935</f>
        <v>-1210.943302472765</v>
      </c>
      <c r="Q3007">
        <f>-554.39963340254 -133.196594615288 -297.085898897106</f>
        <v>-984.68212691493409</v>
      </c>
      <c r="R3007" t="s">
        <v>32317</v>
      </c>
      <c r="S3007" t="s">
        <v>32318</v>
      </c>
      <c r="T3007" t="s">
        <v>32319</v>
      </c>
      <c r="U3007" t="s">
        <v>32320</v>
      </c>
      <c r="V3007">
        <f>-669.273959112945 -175.012037753036 -71.9416789449884</f>
        <v>-916.22767581096946</v>
      </c>
      <c r="W3007" t="s">
        <v>32321</v>
      </c>
      <c r="X3007" t="s">
        <v>32322</v>
      </c>
      <c r="Y3007" t="s">
        <v>32323</v>
      </c>
    </row>
    <row r="3008" spans="1:25" x14ac:dyDescent="0.3">
      <c r="A3008">
        <v>150350</v>
      </c>
      <c r="B3008" t="s">
        <v>32324</v>
      </c>
      <c r="C3008">
        <f>-692.579183221086 -81.402042430536 -75.460380535143</f>
        <v>-849.44160618676506</v>
      </c>
      <c r="D3008">
        <f>-727.906947553009 -95.4035093656901 -184.877653091477</f>
        <v>-1008.188110010176</v>
      </c>
      <c r="E3008">
        <f>-743.60338349044 -102.106924346672 -282.013339238954</f>
        <v>-1127.7236470760661</v>
      </c>
      <c r="F3008">
        <f>-752.377473146694 -106.303899900855 -370.577712929678</f>
        <v>-1229.259085977227</v>
      </c>
      <c r="G3008">
        <f>-755.324166362744 -108.670933678603 -459.594303572577</f>
        <v>-1323.5894036139239</v>
      </c>
      <c r="H3008">
        <f>-753.286653557966 -110.15491483261 -584.151299836293</f>
        <v>-1447.5928682268691</v>
      </c>
      <c r="I3008">
        <f>-723.737642388806 -105.242872800832 -661.660966802951</f>
        <v>-1490.641481992589</v>
      </c>
      <c r="J3008">
        <f>-757.939169289152 -82.0513043128074 -529.728345027703</f>
        <v>-1369.7188186296623</v>
      </c>
      <c r="K3008" t="s">
        <v>32325</v>
      </c>
      <c r="L3008" t="s">
        <v>32326</v>
      </c>
      <c r="M3008" t="s">
        <v>32327</v>
      </c>
      <c r="N3008">
        <f>-750.427410100935 -136.952440517954 -528.951498807591</f>
        <v>-1416.3313494264798</v>
      </c>
      <c r="O3008">
        <f>-732.191558359821 -269.925823306894 -499.190700698472</f>
        <v>-1501.3080823651871</v>
      </c>
      <c r="P3008">
        <f>-706.335045741024 -297.933227201463 -207.406173798408</f>
        <v>-1211.6744467408951</v>
      </c>
      <c r="Q3008">
        <f>-555.274404942582 -132.763775737499 -296.572408573641</f>
        <v>-984.61058925372208</v>
      </c>
      <c r="R3008" t="s">
        <v>32328</v>
      </c>
      <c r="S3008" t="s">
        <v>32329</v>
      </c>
      <c r="T3008" t="s">
        <v>32330</v>
      </c>
      <c r="U3008" t="s">
        <v>32331</v>
      </c>
      <c r="V3008">
        <f>-669.382988616132 -174.971676140918 -71.88643878266</f>
        <v>-916.24110353971002</v>
      </c>
      <c r="W3008" t="s">
        <v>32332</v>
      </c>
      <c r="X3008" t="s">
        <v>32333</v>
      </c>
      <c r="Y3008" t="s">
        <v>32334</v>
      </c>
    </row>
    <row r="3009" spans="1:25" x14ac:dyDescent="0.3">
      <c r="A3009">
        <v>150400</v>
      </c>
      <c r="B3009" t="s">
        <v>32335</v>
      </c>
      <c r="C3009">
        <f>-692.654845414971 -81.4123018591066 -75.4557757189687</f>
        <v>-849.52292299304622</v>
      </c>
      <c r="D3009">
        <f>-728.041301222365 -95.4159180378288 -184.853839619596</f>
        <v>-1008.3110588797897</v>
      </c>
      <c r="E3009">
        <f>-743.78729961992 -102.090534130663 -281.983487548733</f>
        <v>-1127.8613212993159</v>
      </c>
      <c r="F3009">
        <f>-752.604674066012 -106.250362852333 -370.545178518044</f>
        <v>-1229.4002154363889</v>
      </c>
      <c r="G3009">
        <f>-755.592645660473 -108.5697893151 -459.561733354003</f>
        <v>-1323.7241683295761</v>
      </c>
      <c r="H3009">
        <f>-753.609950037599 -109.976767632135 -584.120526696052</f>
        <v>-1447.707244365786</v>
      </c>
      <c r="I3009">
        <f>-723.888233861457 -105.123600531481 -661.567835861754</f>
        <v>-1490.579670254692</v>
      </c>
      <c r="J3009">
        <f>-758.242059622124 -81.9072471039337 -529.678148093775</f>
        <v>-1369.8274548198328</v>
      </c>
      <c r="K3009" t="s">
        <v>32336</v>
      </c>
      <c r="L3009" t="s">
        <v>32337</v>
      </c>
      <c r="M3009" t="s">
        <v>32338</v>
      </c>
      <c r="N3009">
        <f>-750.722833540458 -136.807924478709 -528.938350515339</f>
        <v>-1416.4691085345062</v>
      </c>
      <c r="O3009">
        <f>-732.510473022689 -269.817657524379 -499.337001123286</f>
        <v>-1501.665131670354</v>
      </c>
      <c r="P3009">
        <f>-706.60885961426 -298.715634078191 -207.643249804788</f>
        <v>-1212.9677434972391</v>
      </c>
      <c r="Q3009">
        <f>-556.166828462924 -132.520180515847 -295.94469648536</f>
        <v>-984.63170546413085</v>
      </c>
      <c r="R3009" t="s">
        <v>32339</v>
      </c>
      <c r="S3009" t="s">
        <v>32340</v>
      </c>
      <c r="T3009" t="s">
        <v>32341</v>
      </c>
      <c r="U3009" t="s">
        <v>32342</v>
      </c>
      <c r="V3009">
        <f>-669.344422653532 -174.976600464645 -71.9592032279674</f>
        <v>-916.28022634614433</v>
      </c>
      <c r="W3009" t="s">
        <v>32343</v>
      </c>
      <c r="X3009" t="s">
        <v>32344</v>
      </c>
      <c r="Y3009" t="s">
        <v>32345</v>
      </c>
    </row>
    <row r="3010" spans="1:25" x14ac:dyDescent="0.3">
      <c r="A3010">
        <v>150450</v>
      </c>
      <c r="B3010" t="s">
        <v>32346</v>
      </c>
      <c r="C3010">
        <f>-692.59697741776 -81.2614703668038 -75.4589751861364</f>
        <v>-849.31742297070014</v>
      </c>
      <c r="D3010">
        <f>-727.991527635367 -95.253301260063 -184.855761050662</f>
        <v>-1008.100589946092</v>
      </c>
      <c r="E3010">
        <f>-743.740230281568 -101.897500402426 -281.98715666197</f>
        <v>-1127.624887345964</v>
      </c>
      <c r="F3010">
        <f>-752.557828678305 -106.021950177227 -370.550558752179</f>
        <v>-1229.130337607711</v>
      </c>
      <c r="G3010">
        <f>-755.543650983474 -108.298088981778 -459.568245436912</f>
        <v>-1323.4099854021638</v>
      </c>
      <c r="H3010">
        <f>-753.555247746423 -109.636797142437 -584.127683030757</f>
        <v>-1447.319727919617</v>
      </c>
      <c r="I3010">
        <f>-723.713810076957 -104.738472987979 -661.526151692214</f>
        <v>-1489.9784347571499</v>
      </c>
      <c r="J3010">
        <f>-758.183556237474 -81.5964018727536 -529.670186678354</f>
        <v>-1369.4501447885816</v>
      </c>
      <c r="K3010" t="s">
        <v>32347</v>
      </c>
      <c r="L3010" t="s">
        <v>32348</v>
      </c>
      <c r="M3010" t="s">
        <v>32349</v>
      </c>
      <c r="N3010">
        <f>-750.676946330465 -136.499120864841 -528.960321527686</f>
        <v>-1416.1363887229918</v>
      </c>
      <c r="O3010">
        <f>-732.524598224128 -269.537800589128 -499.442672761402</f>
        <v>-1501.5050715746579</v>
      </c>
      <c r="P3010">
        <f>-706.690848096353 -298.955633368464 -207.794949873261</f>
        <v>-1213.441431338078</v>
      </c>
      <c r="Q3010">
        <f>-556.654015559587 -132.322438754511 -295.960601939632</f>
        <v>-984.93705625373013</v>
      </c>
      <c r="R3010" t="s">
        <v>32350</v>
      </c>
      <c r="S3010" t="s">
        <v>32351</v>
      </c>
      <c r="T3010" t="s">
        <v>32352</v>
      </c>
      <c r="U3010" t="s">
        <v>32353</v>
      </c>
      <c r="V3010">
        <f>-669.283713741853 -174.629161008705 -71.9611314495244</f>
        <v>-915.87400620008248</v>
      </c>
      <c r="W3010" t="s">
        <v>32354</v>
      </c>
      <c r="X3010" t="s">
        <v>32355</v>
      </c>
      <c r="Y3010" t="s">
        <v>32356</v>
      </c>
    </row>
    <row r="3011" spans="1:25" x14ac:dyDescent="0.3">
      <c r="A3011">
        <v>150500</v>
      </c>
      <c r="B3011" t="s">
        <v>32357</v>
      </c>
      <c r="C3011">
        <f>-692.633732918754 -81.2590093575901 -75.4563458531372</f>
        <v>-849.3490881294814</v>
      </c>
      <c r="D3011">
        <f>-728.002256105473 -95.2188500915947 -184.865757330772</f>
        <v>-1008.0868635278397</v>
      </c>
      <c r="E3011">
        <f>-743.728999077723 -101.808190060591 -282.004268928553</f>
        <v>-1127.5414580668669</v>
      </c>
      <c r="F3011">
        <f>-752.526872345811 -105.871026914157 -370.572552356553</f>
        <v>-1228.9704516165209</v>
      </c>
      <c r="G3011">
        <f>-755.493030981199 -108.073953115172 -459.592835601059</f>
        <v>-1323.1598196974301</v>
      </c>
      <c r="H3011">
        <f>-753.477121583943 -109.297718197724 -584.152985813593</f>
        <v>-1446.9278255952599</v>
      </c>
      <c r="I3011">
        <f>-723.337751652547 -104.221380626895 -661.424480522993</f>
        <v>-1488.9836128024349</v>
      </c>
      <c r="J3011">
        <f>-758.097423429721 -81.3047157266925 -529.670298219783</f>
        <v>-1369.0724373761964</v>
      </c>
      <c r="K3011" t="s">
        <v>32358</v>
      </c>
      <c r="L3011" t="s">
        <v>32359</v>
      </c>
      <c r="M3011" t="s">
        <v>32360</v>
      </c>
      <c r="N3011">
        <f>-750.631004953468 -136.213608537004 -529.010071869942</f>
        <v>-1415.8546853604139</v>
      </c>
      <c r="O3011">
        <f>-732.614984046312 -269.263174722933 -499.540909078365</f>
        <v>-1501.41906784761</v>
      </c>
      <c r="P3011">
        <f>-706.538724210353 -299.049061485869 -207.952177295061</f>
        <v>-1213.5399629912831</v>
      </c>
      <c r="Q3011">
        <f>-557.614695277696 -131.396729761463 -296.0724240727</f>
        <v>-985.08384911185908</v>
      </c>
      <c r="R3011" t="s">
        <v>32361</v>
      </c>
      <c r="S3011" t="s">
        <v>32362</v>
      </c>
      <c r="T3011" t="s">
        <v>32363</v>
      </c>
      <c r="U3011" t="s">
        <v>32364</v>
      </c>
      <c r="V3011">
        <f>-669.457806499599 -174.744651609842 -71.9597429777209</f>
        <v>-916.16220108716186</v>
      </c>
      <c r="W3011" t="s">
        <v>32365</v>
      </c>
      <c r="X3011" t="s">
        <v>32366</v>
      </c>
      <c r="Y3011" t="s">
        <v>32367</v>
      </c>
    </row>
    <row r="3012" spans="1:25" x14ac:dyDescent="0.3">
      <c r="A3012">
        <v>150550</v>
      </c>
      <c r="B3012" t="s">
        <v>32368</v>
      </c>
      <c r="C3012">
        <f>-692.617133916983 -81.191982579978 -75.4716966095765</f>
        <v>-849.28081310653749</v>
      </c>
      <c r="D3012">
        <f>-727.97614816306 -95.1302818292169 -184.88679238414</f>
        <v>-1007.9932223764168</v>
      </c>
      <c r="E3012">
        <f>-743.681160775264 -101.713168149556 -282.029397552519</f>
        <v>-1127.423726477339</v>
      </c>
      <c r="F3012">
        <f>-752.45441103454 -105.774630229127 -370.600041104673</f>
        <v>-1228.8290823683401</v>
      </c>
      <c r="G3012">
        <f>-755.391025217963 -107.980204673235 -459.621169874968</f>
        <v>-1322.992399766166</v>
      </c>
      <c r="H3012">
        <f>-753.329062344925 -109.21177024341 -584.180539622152</f>
        <v>-1446.7213722104871</v>
      </c>
      <c r="I3012">
        <f>-723.044257899287 -104.071274867844 -661.390994045635</f>
        <v>-1488.506526812766</v>
      </c>
      <c r="J3012">
        <f>-757.969517049832 -81.2154272974801 -529.701383545245</f>
        <v>-1368.8863278925571</v>
      </c>
      <c r="K3012" t="s">
        <v>32369</v>
      </c>
      <c r="L3012" t="s">
        <v>32370</v>
      </c>
      <c r="M3012" t="s">
        <v>32371</v>
      </c>
      <c r="N3012">
        <f>-750.50324829502 -136.124222132178 -529.03492311646</f>
        <v>-1415.662393543658</v>
      </c>
      <c r="O3012">
        <f>-732.506958040657 -269.179950812885 -499.553435417914</f>
        <v>-1501.240344271456</v>
      </c>
      <c r="P3012">
        <f>-706.073370087337 -299.188520146021 -208.019648406297</f>
        <v>-1213.2815386396551</v>
      </c>
      <c r="Q3012">
        <f>-557.8333189242 -130.819315903817 -295.926276499563</f>
        <v>-984.57891132758004</v>
      </c>
      <c r="R3012" t="s">
        <v>32372</v>
      </c>
      <c r="S3012" t="s">
        <v>32373</v>
      </c>
      <c r="T3012" t="s">
        <v>32374</v>
      </c>
      <c r="U3012" t="s">
        <v>32375</v>
      </c>
      <c r="V3012">
        <f>-669.469182416899 -174.574324292233 -71.9821361674514</f>
        <v>-916.02564287658333</v>
      </c>
      <c r="W3012" t="s">
        <v>32376</v>
      </c>
      <c r="X3012" t="s">
        <v>32377</v>
      </c>
      <c r="Y3012" t="s">
        <v>32378</v>
      </c>
    </row>
    <row r="3013" spans="1:25" x14ac:dyDescent="0.3">
      <c r="A3013">
        <v>150600</v>
      </c>
      <c r="B3013" t="s">
        <v>32379</v>
      </c>
      <c r="C3013">
        <f>-692.529633858991 -81.1263311375806 -75.486742173671</f>
        <v>-849.1427071702426</v>
      </c>
      <c r="D3013">
        <f>-727.865573409043 -94.9517811190578 -184.923604127701</f>
        <v>-1007.7409586558018</v>
      </c>
      <c r="E3013">
        <f>-743.503183033715 -101.465050851191 -282.081749047095</f>
        <v>-1127.0499829320011</v>
      </c>
      <c r="F3013">
        <f>-752.197367679586 -105.4726153256 -370.662702346424</f>
        <v>-1228.3326853516101</v>
      </c>
      <c r="G3013">
        <f>-755.03763868202 -107.632339578167 -459.688072528392</f>
        <v>-1322.358050788579</v>
      </c>
      <c r="H3013">
        <f>-752.823868321899 -108.807086455378 -584.245459012986</f>
        <v>-1445.8764137902631</v>
      </c>
      <c r="I3013">
        <f>-722.225038438912 -103.546272488353 -661.323817021288</f>
        <v>-1487.095127948553</v>
      </c>
      <c r="J3013">
        <f>-757.555962977604 -80.8390329972742 -529.759600033491</f>
        <v>-1368.1545960083693</v>
      </c>
      <c r="K3013" t="s">
        <v>32380</v>
      </c>
      <c r="L3013" t="s">
        <v>32381</v>
      </c>
      <c r="M3013" t="s">
        <v>32382</v>
      </c>
      <c r="N3013">
        <f>-750.040059109124 -135.741254103087 -529.108230023043</f>
        <v>-1414.889543235254</v>
      </c>
      <c r="O3013">
        <f>-731.951667655385 -268.794179791811 -499.653487778501</f>
        <v>-1500.3993352256971</v>
      </c>
      <c r="P3013">
        <f>-705.244696002454 -299.142762049478 -208.17959996156</f>
        <v>-1212.567058013492</v>
      </c>
      <c r="Q3013">
        <f>-558.00095104972 -129.70710803203 -295.71102774262</f>
        <v>-983.41908682436997</v>
      </c>
      <c r="R3013" t="s">
        <v>32383</v>
      </c>
      <c r="S3013" t="s">
        <v>32384</v>
      </c>
      <c r="T3013" t="s">
        <v>32385</v>
      </c>
      <c r="U3013" t="s">
        <v>32386</v>
      </c>
      <c r="V3013">
        <f>-669.462469680691 -174.402889904367 -72.0687226482652</f>
        <v>-915.93408223332324</v>
      </c>
      <c r="W3013" t="s">
        <v>32387</v>
      </c>
      <c r="X3013" t="s">
        <v>32388</v>
      </c>
      <c r="Y3013" t="s">
        <v>32389</v>
      </c>
    </row>
    <row r="3014" spans="1:25" x14ac:dyDescent="0.3">
      <c r="A3014">
        <v>150650</v>
      </c>
      <c r="B3014" t="s">
        <v>32390</v>
      </c>
      <c r="C3014">
        <f>-692.415363901706 -81.0780964074755 -75.5092011995146</f>
        <v>-849.00266150869606</v>
      </c>
      <c r="D3014">
        <f>-727.748525943597 -94.8590645688794 -184.952683167542</f>
        <v>-1007.5602736800183</v>
      </c>
      <c r="E3014">
        <f>-743.367514789614 -101.341970444201 -282.115885426639</f>
        <v>-1126.8253706604542</v>
      </c>
      <c r="F3014">
        <f>-752.039018149139 -105.323784498838 -370.700214789474</f>
        <v>-1228.063017437451</v>
      </c>
      <c r="G3014">
        <f>-754.851059069046 -107.458485855883 -459.727060083468</f>
        <v>-1322.0366050083971</v>
      </c>
      <c r="H3014">
        <f>-752.592426052637 -108.598272315508 -584.283935293646</f>
        <v>-1445.4746336617909</v>
      </c>
      <c r="I3014">
        <f>-721.852637591962 -103.284424120039 -661.302535600887</f>
        <v>-1486.4395973128881</v>
      </c>
      <c r="J3014">
        <f>-757.361985996058 -80.6479973282945 -529.792179012989</f>
        <v>-1367.8021623373415</v>
      </c>
      <c r="K3014" t="s">
        <v>32391</v>
      </c>
      <c r="L3014" t="s">
        <v>32392</v>
      </c>
      <c r="M3014" t="s">
        <v>32393</v>
      </c>
      <c r="N3014">
        <f>-749.810672631078 -135.545441942729 -529.152914844827</f>
        <v>-1414.5090294186339</v>
      </c>
      <c r="O3014">
        <f>-731.68236651309 -268.601791388953 -499.734427547601</f>
        <v>-1500.018585449644</v>
      </c>
      <c r="P3014">
        <f>-704.583250770644 -299.216135017565 -208.324812997055</f>
        <v>-1212.1241987852641</v>
      </c>
      <c r="Q3014">
        <f>-557.987841626506 -129.059380681332 -295.544881802277</f>
        <v>-982.59210411011497</v>
      </c>
      <c r="R3014" t="s">
        <v>32394</v>
      </c>
      <c r="S3014" t="s">
        <v>32395</v>
      </c>
      <c r="T3014" t="s">
        <v>32396</v>
      </c>
      <c r="U3014" t="s">
        <v>32397</v>
      </c>
      <c r="V3014">
        <f>-669.409391880609 -174.360625861414 -72.106919431707</f>
        <v>-915.87693717372986</v>
      </c>
      <c r="W3014" t="s">
        <v>32398</v>
      </c>
      <c r="X3014" t="s">
        <v>32399</v>
      </c>
      <c r="Y3014" t="s">
        <v>32400</v>
      </c>
    </row>
    <row r="3015" spans="1:25" x14ac:dyDescent="0.3">
      <c r="A3015">
        <v>150700</v>
      </c>
      <c r="B3015" t="s">
        <v>32401</v>
      </c>
      <c r="C3015">
        <f>-692.156769406633 -80.8766666656634 -75.5248650131358</f>
        <v>-848.55830108543216</v>
      </c>
      <c r="D3015">
        <f>-727.49993737295 -94.5557682093183 -184.977815007858</f>
        <v>-1007.0335205901263</v>
      </c>
      <c r="E3015">
        <f>-743.107330494121 -100.953953319265 -282.148500098717</f>
        <v>-1126.2097839121029</v>
      </c>
      <c r="F3015">
        <f>-751.761473690809 -104.857020591296 -370.738046436944</f>
        <v>-1227.356540719049</v>
      </c>
      <c r="G3015">
        <f>-754.550000052551 -106.908752907008 -459.767616664163</f>
        <v>-1321.2263696237219</v>
      </c>
      <c r="H3015">
        <f>-752.25265470765 -107.926409141935 -584.324916250332</f>
        <v>-1444.503980099917</v>
      </c>
      <c r="I3015">
        <f>-721.275685724937 -102.520148824458 -661.241775731876</f>
        <v>-1485.0376102812711</v>
      </c>
      <c r="J3015">
        <f>-757.072258114902 -80.03416687232 -529.80787983048</f>
        <v>-1366.914304817702</v>
      </c>
      <c r="K3015" t="s">
        <v>32402</v>
      </c>
      <c r="L3015" t="s">
        <v>32403</v>
      </c>
      <c r="M3015" t="s">
        <v>32404</v>
      </c>
      <c r="N3015">
        <f>-749.455015271219 -134.923109332326 -529.218899791275</f>
        <v>-1413.59702439482</v>
      </c>
      <c r="O3015">
        <f>-731.220742642151 -267.98484818483 -499.875703999683</f>
        <v>-1499.0812948266641</v>
      </c>
      <c r="P3015">
        <f>-703.492475985445 -299.112909490259 -208.579508725984</f>
        <v>-1211.1848942016879</v>
      </c>
      <c r="Q3015">
        <f>-557.369438488511 -128.203661748309 -295.118326859813</f>
        <v>-980.69142709663299</v>
      </c>
      <c r="R3015" t="s">
        <v>32405</v>
      </c>
      <c r="S3015" t="s">
        <v>32406</v>
      </c>
      <c r="T3015" t="s">
        <v>32407</v>
      </c>
      <c r="U3015" t="s">
        <v>32408</v>
      </c>
      <c r="V3015">
        <f>-669.24019550094 -174.14333441467 -72.1750725565871</f>
        <v>-915.55860247219709</v>
      </c>
      <c r="W3015" t="s">
        <v>32409</v>
      </c>
      <c r="X3015" t="s">
        <v>32410</v>
      </c>
      <c r="Y3015" t="s">
        <v>32411</v>
      </c>
    </row>
    <row r="3016" spans="1:25" x14ac:dyDescent="0.3">
      <c r="A3016">
        <v>150750</v>
      </c>
      <c r="B3016" t="s">
        <v>32412</v>
      </c>
      <c r="C3016">
        <f>-692.030007367683 -80.8143254149378 -75.5331377226179</f>
        <v>-848.37747050523865</v>
      </c>
      <c r="D3016">
        <f>-727.358228928034 -94.4675290663453 -184.994206532591</f>
        <v>-1006.8199645269702</v>
      </c>
      <c r="E3016">
        <f>-742.942979197596 -100.827696642725 -282.171009434451</f>
        <v>-1125.9416852747718</v>
      </c>
      <c r="F3016">
        <f>-751.572762279201 -104.689554420252 -370.764734432232</f>
        <v>-1227.0270511316849</v>
      </c>
      <c r="G3016">
        <f>-754.333158452019 -106.692397044346 -459.796236740956</f>
        <v>-1320.821792237321</v>
      </c>
      <c r="H3016">
        <f>-751.992773892167 -107.633540166784 -584.353242643187</f>
        <v>-1443.9795567021379</v>
      </c>
      <c r="I3016">
        <f>-720.912406293718 -102.173419461282 -661.224813523355</f>
        <v>-1484.3106392783552</v>
      </c>
      <c r="J3016">
        <f>-756.847246850213 -79.7770287883823 -529.821042140851</f>
        <v>-1366.4453177794462</v>
      </c>
      <c r="K3016" t="s">
        <v>32413</v>
      </c>
      <c r="L3016" t="s">
        <v>32414</v>
      </c>
      <c r="M3016" t="s">
        <v>32415</v>
      </c>
      <c r="N3016">
        <f>-749.198118622529 -134.661899392206 -529.262721318323</f>
        <v>-1413.122739333058</v>
      </c>
      <c r="O3016">
        <f>-730.93090965105 -267.727415174001 -499.970189751551</f>
        <v>-1498.6285145766021</v>
      </c>
      <c r="P3016">
        <f>-703.266625538044 -298.83123257871 -208.665508471357</f>
        <v>-1210.763366588111</v>
      </c>
      <c r="Q3016">
        <f>-557.007477552024 -127.957967423402 -295.045214562763</f>
        <v>-980.01065953818909</v>
      </c>
      <c r="R3016" t="s">
        <v>32416</v>
      </c>
      <c r="S3016" t="s">
        <v>32417</v>
      </c>
      <c r="T3016" t="s">
        <v>32418</v>
      </c>
      <c r="U3016" t="s">
        <v>32419</v>
      </c>
      <c r="V3016">
        <f>-669.112439006084 -174.086916414206 -72.2167130527633</f>
        <v>-915.41606847305331</v>
      </c>
      <c r="W3016" t="s">
        <v>32420</v>
      </c>
      <c r="X3016" t="s">
        <v>32421</v>
      </c>
      <c r="Y3016" t="s">
        <v>32422</v>
      </c>
    </row>
    <row r="3017" spans="1:25" x14ac:dyDescent="0.3">
      <c r="A3017">
        <v>150800</v>
      </c>
      <c r="B3017" t="s">
        <v>32423</v>
      </c>
      <c r="C3017">
        <f>-691.685980528268 -80.4822321026452 -75.5613910511591</f>
        <v>-847.72960368207237</v>
      </c>
      <c r="D3017">
        <f>-726.984777245949 -94.1068196122379 -185.035610559634</f>
        <v>-1006.127207417821</v>
      </c>
      <c r="E3017">
        <f>-742.48305250731 -100.401816392763 -282.230343821978</f>
        <v>-1125.115212722051</v>
      </c>
      <c r="F3017">
        <f>-751.009094465664 -104.188999102813 -370.837336369209</f>
        <v>-1226.0354299376861</v>
      </c>
      <c r="G3017">
        <f>-753.639907852656 -106.101650413415 -459.874835303831</f>
        <v>-1319.6163935699019</v>
      </c>
      <c r="H3017">
        <f>-751.091534621113 -106.901015466694 -584.428763490568</f>
        <v>-1442.4213135783752</v>
      </c>
      <c r="I3017">
        <f>-719.810412198721 -101.322812653865 -661.210165517724</f>
        <v>-1482.3433903703099</v>
      </c>
      <c r="J3017">
        <f>-756.047168013693 -79.1079233702176 -529.873274994503</f>
        <v>-1365.0283663784135</v>
      </c>
      <c r="K3017" t="s">
        <v>32424</v>
      </c>
      <c r="L3017" t="s">
        <v>32425</v>
      </c>
      <c r="M3017" t="s">
        <v>32426</v>
      </c>
      <c r="N3017">
        <f>-748.37874131218 -133.990540712865 -529.364189435679</f>
        <v>-1411.7334714607241</v>
      </c>
      <c r="O3017">
        <f>-730.164150606991 -267.06750573761 -500.092509812811</f>
        <v>-1497.324166157412</v>
      </c>
      <c r="P3017">
        <f>-702.761629435145 -298.180254879797 -208.763924285087</f>
        <v>-1209.7058086000288</v>
      </c>
      <c r="Q3017">
        <f>-556.306581079303 -127.47574451769 -295.145378494911</f>
        <v>-978.92770409190393</v>
      </c>
      <c r="R3017" t="s">
        <v>32427</v>
      </c>
      <c r="S3017" t="s">
        <v>32428</v>
      </c>
      <c r="T3017" t="s">
        <v>32429</v>
      </c>
      <c r="U3017" t="s">
        <v>32430</v>
      </c>
      <c r="V3017">
        <f>-668.757027703485 -173.675012113695 -72.2682055232261</f>
        <v>-914.70024534040624</v>
      </c>
      <c r="W3017" t="s">
        <v>32431</v>
      </c>
      <c r="X3017" t="s">
        <v>32432</v>
      </c>
      <c r="Y3017" t="s">
        <v>32433</v>
      </c>
    </row>
    <row r="3018" spans="1:25" x14ac:dyDescent="0.3">
      <c r="A3018">
        <v>150850</v>
      </c>
      <c r="B3018" t="s">
        <v>32434</v>
      </c>
      <c r="C3018">
        <f>-691.453870791038 -80.2722455268541 -75.5793928418504</f>
        <v>-847.30550915974254</v>
      </c>
      <c r="D3018">
        <f>-726.755335395526 -93.8494604883862 -185.058585393284</f>
        <v>-1005.6633812771962</v>
      </c>
      <c r="E3018">
        <f>-742.213812264861 -100.112010724807 -282.261854822143</f>
        <v>-1124.5876778118109</v>
      </c>
      <c r="F3018">
        <f>-750.687076126495 -103.872306262796 -370.875135558072</f>
        <v>-1225.434517947363</v>
      </c>
      <c r="G3018">
        <f>-753.248835025912 -105.760352690184 -459.915037181416</f>
        <v>-1318.924224897512</v>
      </c>
      <c r="H3018">
        <f>-750.586994452211 -106.527096257363 -584.466884415997</f>
        <v>-1441.5809751255711</v>
      </c>
      <c r="I3018">
        <f>-719.18996065893 -100.893589267627 -661.196994713116</f>
        <v>-1481.2805446396731</v>
      </c>
      <c r="J3018">
        <f>-755.59951614523 -78.7492405723555 -529.908669603754</f>
        <v>-1364.2574263213396</v>
      </c>
      <c r="K3018" t="s">
        <v>32435</v>
      </c>
      <c r="L3018" t="s">
        <v>32436</v>
      </c>
      <c r="M3018" t="s">
        <v>32437</v>
      </c>
      <c r="N3018">
        <f>-747.91712841977 -133.630037515439 -529.406714100277</f>
        <v>-1410.953880035486</v>
      </c>
      <c r="O3018">
        <f>-729.691396224913 -266.717185047475 -500.167553218326</f>
        <v>-1496.5761344907141</v>
      </c>
      <c r="P3018">
        <f>-702.388215305537 -297.86298932864 -208.833223373068</f>
        <v>-1209.0844280072449</v>
      </c>
      <c r="Q3018">
        <f>-556.03473587867 -127.023728084515 -295.120460767885</f>
        <v>-978.17892473106997</v>
      </c>
      <c r="R3018" t="s">
        <v>32438</v>
      </c>
      <c r="S3018" t="s">
        <v>32439</v>
      </c>
      <c r="T3018" t="s">
        <v>32440</v>
      </c>
      <c r="U3018" t="s">
        <v>32441</v>
      </c>
      <c r="V3018">
        <f>-668.549859423968 -173.439281762457 -72.3350199952378</f>
        <v>-914.3241611816627</v>
      </c>
      <c r="W3018" t="s">
        <v>32442</v>
      </c>
      <c r="X3018" t="s">
        <v>32443</v>
      </c>
      <c r="Y3018" t="s">
        <v>32444</v>
      </c>
    </row>
    <row r="3019" spans="1:25" x14ac:dyDescent="0.3">
      <c r="A3019">
        <v>150900</v>
      </c>
      <c r="B3019" t="s">
        <v>32445</v>
      </c>
      <c r="C3019">
        <f>-690.888882969031 -79.7961169086331 -75.6388599341855</f>
        <v>-846.3238598118495</v>
      </c>
      <c r="D3019">
        <f>-726.179871600197 -93.283454305061 -185.132586405409</f>
        <v>-1004.595912310667</v>
      </c>
      <c r="E3019">
        <f>-741.605961628073 -99.4891823968863 -282.344605903876</f>
        <v>-1123.4397499288355</v>
      </c>
      <c r="F3019">
        <f>-750.041871770636 -103.203719108223 -370.963363474291</f>
        <v>-1224.2089543531501</v>
      </c>
      <c r="G3019">
        <f>-752.55884782889 -105.050029679879 -460.005360060858</f>
        <v>-1317.614237569627</v>
      </c>
      <c r="H3019">
        <f>-749.827407916408 -105.761249885318 -584.555985289191</f>
        <v>-1440.1446430909168</v>
      </c>
      <c r="I3019">
        <f>-718.23879701265 -100.042104504744 -661.201045257615</f>
        <v>-1479.481946775009</v>
      </c>
      <c r="J3019">
        <f>-754.896922011165 -78.0115446441322 -529.988982748711</f>
        <v>-1362.8974494040081</v>
      </c>
      <c r="K3019" t="s">
        <v>32446</v>
      </c>
      <c r="L3019" t="s">
        <v>32447</v>
      </c>
      <c r="M3019" t="s">
        <v>32448</v>
      </c>
      <c r="N3019">
        <f>-747.161900740627 -132.885063779915 -529.505905059075</f>
        <v>-1409.552869579617</v>
      </c>
      <c r="O3019">
        <f>-728.853868859875 -265.961957341853 -500.286120348388</f>
        <v>-1495.1019465501161</v>
      </c>
      <c r="P3019">
        <f>-701.406197911836 -297.183909461272 -208.97342976119</f>
        <v>-1207.5635371342978</v>
      </c>
      <c r="Q3019">
        <f>-555.247727196504 -126.202009947825 -295.308651269838</f>
        <v>-976.75838841416703</v>
      </c>
      <c r="R3019" t="s">
        <v>32449</v>
      </c>
      <c r="S3019" t="s">
        <v>32450</v>
      </c>
      <c r="T3019" t="s">
        <v>32451</v>
      </c>
      <c r="U3019" t="s">
        <v>32452</v>
      </c>
      <c r="V3019">
        <f>-668.064649283547 -172.852291383731 -72.450242627466</f>
        <v>-913.367183294744</v>
      </c>
      <c r="W3019" t="s">
        <v>32453</v>
      </c>
      <c r="X3019" t="s">
        <v>32454</v>
      </c>
      <c r="Y3019" t="s">
        <v>32455</v>
      </c>
    </row>
    <row r="3020" spans="1:25" x14ac:dyDescent="0.3">
      <c r="A3020">
        <v>150950</v>
      </c>
      <c r="B3020" t="s">
        <v>32456</v>
      </c>
      <c r="C3020">
        <f>-690.628540498611 -79.6928689306898 -75.6527988986435</f>
        <v>-845.97420832794421</v>
      </c>
      <c r="D3020">
        <f>-725.911803943902 -93.1367624559614 -185.154331469218</f>
        <v>-1004.2028978690814</v>
      </c>
      <c r="E3020">
        <f>-741.330064458171 -99.3181591658758 -282.36917343158</f>
        <v>-1123.0173970556268</v>
      </c>
      <c r="F3020">
        <f>-749.759140122898 -103.01490545884 -370.989337205928</f>
        <v>-1223.7633827876659</v>
      </c>
      <c r="G3020">
        <f>-752.269927427995 -104.846690142174 -460.031904651869</f>
        <v>-1317.1485222220381</v>
      </c>
      <c r="H3020">
        <f>-749.530809351454 -105.540340712873 -584.58237181974</f>
        <v>-1439.653521884067</v>
      </c>
      <c r="I3020">
        <f>-717.866391529733 -99.7978455010717 -661.194485067704</f>
        <v>-1478.8587220985087</v>
      </c>
      <c r="J3020">
        <f>-754.623504690091 -77.8011131202109 -530.012104225736</f>
        <v>-1362.4367220360377</v>
      </c>
      <c r="K3020" t="s">
        <v>32457</v>
      </c>
      <c r="L3020" t="s">
        <v>32458</v>
      </c>
      <c r="M3020" t="s">
        <v>32459</v>
      </c>
      <c r="N3020">
        <f>-746.848957927544 -132.669120917094 -529.535551626255</f>
        <v>-1409.053630470893</v>
      </c>
      <c r="O3020">
        <f>-728.478498171373 -265.739574925958 -500.338876301045</f>
        <v>-1494.556949398376</v>
      </c>
      <c r="P3020">
        <f>-700.974008226748 -296.973932081179 -209.032999884841</f>
        <v>-1206.980940192768</v>
      </c>
      <c r="Q3020">
        <f>-554.856855946971 -125.984975440485 -295.42437504966</f>
        <v>-976.2662064371159</v>
      </c>
      <c r="R3020" t="s">
        <v>32460</v>
      </c>
      <c r="S3020" t="s">
        <v>32461</v>
      </c>
      <c r="T3020" t="s">
        <v>32462</v>
      </c>
      <c r="U3020" t="s">
        <v>32463</v>
      </c>
      <c r="V3020">
        <f>-667.835594964707 -172.727896988014 -72.5013585151744</f>
        <v>-913.06485046789533</v>
      </c>
      <c r="W3020" t="s">
        <v>32464</v>
      </c>
      <c r="X3020" t="s">
        <v>32465</v>
      </c>
      <c r="Y3020" t="s">
        <v>32466</v>
      </c>
    </row>
    <row r="3021" spans="1:25" x14ac:dyDescent="0.3">
      <c r="A3021">
        <v>151000</v>
      </c>
      <c r="B3021" t="s">
        <v>32467</v>
      </c>
      <c r="C3021">
        <f>-690.29041886456 -79.4291674985177 -75.7073390450651</f>
        <v>-845.42692540814278</v>
      </c>
      <c r="D3021">
        <f>-725.575735790572 -92.7692686679601 -185.220863792813</f>
        <v>-1003.5658682513451</v>
      </c>
      <c r="E3021">
        <f>-740.982627695135 -98.8901985574641 -282.441366747054</f>
        <v>-1122.3141929996532</v>
      </c>
      <c r="F3021">
        <f>-749.397021054543 -102.542598870305 -371.064714495869</f>
        <v>-1223.004334420717</v>
      </c>
      <c r="G3021">
        <f>-751.88951479042 -104.339338310354 -460.108532333895</f>
        <v>-1316.3373854346692</v>
      </c>
      <c r="H3021">
        <f>-749.121384343956 -104.992974399775 -584.658668665689</f>
        <v>-1438.7730274094201</v>
      </c>
      <c r="I3021">
        <f>-717.329332652329 -99.2267533348806 -661.215952190083</f>
        <v>-1477.7720381772926</v>
      </c>
      <c r="J3021">
        <f>-754.260268322679 -77.2760968884202 -530.081354264907</f>
        <v>-1361.6177194760062</v>
      </c>
      <c r="K3021" t="s">
        <v>32468</v>
      </c>
      <c r="L3021" t="s">
        <v>32469</v>
      </c>
      <c r="M3021" t="s">
        <v>32470</v>
      </c>
      <c r="N3021">
        <f>-746.418777730347 -132.134658462262 -529.619100843234</f>
        <v>-1408.1725370358431</v>
      </c>
      <c r="O3021">
        <f>-727.914636061347 -265.201334483474 -500.476794475063</f>
        <v>-1493.5927650198842</v>
      </c>
      <c r="P3021">
        <f>-700.403361317972 -296.518739974287 -209.180490591167</f>
        <v>-1206.1025918834259</v>
      </c>
      <c r="Q3021">
        <f>-554.3214491908 -125.493317479271 -295.558695567975</f>
        <v>-975.37346223804593</v>
      </c>
      <c r="R3021" t="s">
        <v>32471</v>
      </c>
      <c r="S3021" t="s">
        <v>32472</v>
      </c>
      <c r="T3021" t="s">
        <v>32473</v>
      </c>
      <c r="U3021" t="s">
        <v>32474</v>
      </c>
      <c r="V3021">
        <f>-667.511167844403 -172.451094905155 -72.6256886706244</f>
        <v>-912.58795142018243</v>
      </c>
      <c r="W3021" t="s">
        <v>32475</v>
      </c>
      <c r="X3021" t="s">
        <v>32476</v>
      </c>
      <c r="Y3021" t="s">
        <v>32477</v>
      </c>
    </row>
    <row r="3022" spans="1:25" x14ac:dyDescent="0.3">
      <c r="A3022">
        <v>151050</v>
      </c>
      <c r="B3022" t="s">
        <v>32478</v>
      </c>
      <c r="C3022">
        <f>-690.120205637176 -79.3062605470701 -75.7421895529097</f>
        <v>-845.16865573715586</v>
      </c>
      <c r="D3022">
        <f>-725.380868426409 -92.6181604381387 -185.267038725489</f>
        <v>-1003.2660675900368</v>
      </c>
      <c r="E3022">
        <f>-740.778662722626 -98.7117384257343 -282.490726553876</f>
        <v>-1121.9811277022363</v>
      </c>
      <c r="F3022">
        <f>-749.189857518068 -102.338706907926 -371.115417821358</f>
        <v>-1222.6439822473521</v>
      </c>
      <c r="G3022">
        <f>-751.684112159037 -104.109045017064 -460.159696462592</f>
        <v>-1315.9528536386929</v>
      </c>
      <c r="H3022">
        <f>-748.923866355909 -104.724864086473 -584.710113938845</f>
        <v>-1438.3588443812268</v>
      </c>
      <c r="I3022">
        <f>-717.081812044351 -98.9476797580414 -661.2459535337</f>
        <v>-1477.2754453360924</v>
      </c>
      <c r="J3022">
        <f>-754.073332802315 -77.0265119934154 -530.12452446336</f>
        <v>-1361.2243692590905</v>
      </c>
      <c r="K3022" t="s">
        <v>32479</v>
      </c>
      <c r="L3022" t="s">
        <v>32480</v>
      </c>
      <c r="M3022" t="s">
        <v>32481</v>
      </c>
      <c r="N3022">
        <f>-746.203685109097 -131.88112627601 -529.678746108724</f>
        <v>-1407.7635574938311</v>
      </c>
      <c r="O3022">
        <f>-727.638510430891 -264.948380181681 -500.587186379048</f>
        <v>-1493.17407699162</v>
      </c>
      <c r="P3022">
        <f>-700.103523111238 -296.343375802717 -209.301546316294</f>
        <v>-1205.748445230249</v>
      </c>
      <c r="Q3022">
        <f>-554.020312921244 -125.283038052209 -295.608684306464</f>
        <v>-974.91203527991706</v>
      </c>
      <c r="R3022" t="s">
        <v>32482</v>
      </c>
      <c r="S3022" t="s">
        <v>32483</v>
      </c>
      <c r="T3022" t="s">
        <v>32484</v>
      </c>
      <c r="U3022" t="s">
        <v>32485</v>
      </c>
      <c r="V3022">
        <f>-667.271384463114 -172.297054198003 -72.7066157626227</f>
        <v>-912.27505442373979</v>
      </c>
      <c r="W3022" t="s">
        <v>32486</v>
      </c>
      <c r="X3022" t="s">
        <v>32487</v>
      </c>
      <c r="Y3022" t="s">
        <v>32488</v>
      </c>
    </row>
    <row r="3023" spans="1:25" x14ac:dyDescent="0.3">
      <c r="A3023">
        <v>151100</v>
      </c>
      <c r="B3023" t="s">
        <v>32489</v>
      </c>
      <c r="C3023">
        <f>-689.916421035633 -79.1170446048291 -75.7816035034247</f>
        <v>-844.81506914388672</v>
      </c>
      <c r="D3023">
        <f>-725.153682579224 -92.4035122726709 -185.317115907748</f>
        <v>-1002.8743107596429</v>
      </c>
      <c r="E3023">
        <f>-740.519423438483 -98.4494614750647 -282.548706819777</f>
        <v>-1121.5175917333247</v>
      </c>
      <c r="F3023">
        <f>-748.896542466586 -102.023463894719 -371.178814145359</f>
        <v>-1222.098820506664</v>
      </c>
      <c r="G3023">
        <f>-751.351589517262 -103.730414645246 -460.225521497699</f>
        <v>-1315.3075256602069</v>
      </c>
      <c r="H3023">
        <f>-748.53121866087 -104.246756502263 -584.774970198545</f>
        <v>-1437.552945361678</v>
      </c>
      <c r="I3023">
        <f>-716.586552504183 -98.4039728382044 -661.263092288432</f>
        <v>-1476.2536176308195</v>
      </c>
      <c r="J3023">
        <f>-753.742373403815 -76.5970990248493 -530.170519430801</f>
        <v>-1360.5099918594653</v>
      </c>
      <c r="K3023" t="s">
        <v>32490</v>
      </c>
      <c r="L3023" t="s">
        <v>32491</v>
      </c>
      <c r="M3023" t="s">
        <v>32492</v>
      </c>
      <c r="N3023">
        <f>-745.80227737135 -131.441964977292 -529.763361954795</f>
        <v>-1407.0076043034369</v>
      </c>
      <c r="O3023">
        <f>-727.111191482898 -264.518636181225 -500.768707477599</f>
        <v>-1492.398535141722</v>
      </c>
      <c r="P3023">
        <f>-699.611122558214 -295.994084351494 -209.488313755222</f>
        <v>-1205.0935206649299</v>
      </c>
      <c r="Q3023">
        <f>-553.609945962515 -124.812549056584 -295.693889263517</f>
        <v>-974.11638428261597</v>
      </c>
      <c r="R3023" t="s">
        <v>32493</v>
      </c>
      <c r="S3023" t="s">
        <v>32494</v>
      </c>
      <c r="T3023" t="s">
        <v>32495</v>
      </c>
      <c r="U3023" t="s">
        <v>32496</v>
      </c>
      <c r="V3023">
        <f>-667.02570892227 -172.107834417689 -72.785369739392</f>
        <v>-911.918913079351</v>
      </c>
      <c r="W3023" t="s">
        <v>32497</v>
      </c>
      <c r="X3023" t="s">
        <v>32498</v>
      </c>
      <c r="Y3023" t="s">
        <v>32499</v>
      </c>
    </row>
    <row r="3024" spans="1:25" x14ac:dyDescent="0.3">
      <c r="A3024">
        <v>151150</v>
      </c>
      <c r="B3024" t="s">
        <v>32500</v>
      </c>
      <c r="C3024">
        <f>-689.849665322213 -78.9610669296851 -75.792142394595</f>
        <v>-844.60287464649309</v>
      </c>
      <c r="D3024">
        <f>-725.079998903882 -92.2289071000287 -185.332139233339</f>
        <v>-1002.6410452372497</v>
      </c>
      <c r="E3024">
        <f>-740.428024727605 -98.2516607291809 -282.567969936743</f>
        <v>-1121.2476553935289</v>
      </c>
      <c r="F3024">
        <f>-748.784552539201 -101.801208441164 -371.201104300098</f>
        <v>-1221.786865280463</v>
      </c>
      <c r="G3024">
        <f>-751.214584068989 -103.479524803737 -460.248896060735</f>
        <v>-1314.943004933461</v>
      </c>
      <c r="H3024">
        <f>-748.354834993382 -103.950970748371 -584.797762213533</f>
        <v>-1437.1035679552861</v>
      </c>
      <c r="I3024">
        <f>-716.366727076849 -98.0561065315446 -661.263626529874</f>
        <v>-1475.6864601382676</v>
      </c>
      <c r="J3024">
        <f>-753.604885091099 -76.3241411938704 -530.185286007725</f>
        <v>-1360.1143122926946</v>
      </c>
      <c r="K3024" t="s">
        <v>32501</v>
      </c>
      <c r="L3024" t="s">
        <v>32502</v>
      </c>
      <c r="M3024" t="s">
        <v>32503</v>
      </c>
      <c r="N3024">
        <f>-745.621739829143 -131.162829883209 -529.794445318235</f>
        <v>-1406.579015030587</v>
      </c>
      <c r="O3024">
        <f>-726.859644839978 -264.233187181177 -500.83614821133</f>
        <v>-1491.9289802324852</v>
      </c>
      <c r="P3024">
        <f>-699.46138776148 -295.764353898762 -209.552180710644</f>
        <v>-1204.777922370886</v>
      </c>
      <c r="Q3024">
        <f>-553.390043307277 -124.639990623169 -295.752458942454</f>
        <v>-973.78249287289987</v>
      </c>
      <c r="R3024" t="s">
        <v>32504</v>
      </c>
      <c r="S3024" t="s">
        <v>32505</v>
      </c>
      <c r="T3024" t="s">
        <v>32506</v>
      </c>
      <c r="U3024" t="s">
        <v>32507</v>
      </c>
      <c r="V3024">
        <f>-666.943244057103 -171.90164281004 -72.8151552859217</f>
        <v>-911.66004215306475</v>
      </c>
      <c r="W3024" t="s">
        <v>32508</v>
      </c>
      <c r="X3024" t="s">
        <v>32509</v>
      </c>
      <c r="Y3024" t="s">
        <v>32510</v>
      </c>
    </row>
    <row r="3025" spans="1:25" x14ac:dyDescent="0.3">
      <c r="A3025">
        <v>151200</v>
      </c>
      <c r="B3025" t="s">
        <v>32511</v>
      </c>
      <c r="C3025">
        <f>-689.823132628125 -78.6709880995894 -75.8227544915856</f>
        <v>-844.31687521929996</v>
      </c>
      <c r="D3025">
        <f>-725.029995502099 -91.9249025417581 -185.371975369301</f>
        <v>-1002.3268734131582</v>
      </c>
      <c r="E3025">
        <f>-740.349081289303 -97.9180704187426 -282.614304628043</f>
        <v>-1120.8814563360884</v>
      </c>
      <c r="F3025">
        <f>-748.676168005384 -101.432482340859 -371.251402558153</f>
        <v>-1221.3600529043961</v>
      </c>
      <c r="G3025">
        <f>-751.073928615242 -103.06583146853 -460.301053150719</f>
        <v>-1314.4408132344911</v>
      </c>
      <c r="H3025">
        <f>-748.166461951581 -103.463156254047 -584.848997613719</f>
        <v>-1436.4786158193469</v>
      </c>
      <c r="I3025">
        <f>-716.088726257739 -97.4631774220177 -661.269243739823</f>
        <v>-1474.8211474195796</v>
      </c>
      <c r="J3025">
        <f>-753.479234690758 -75.8749441888696 -530.223245948964</f>
        <v>-1359.5774248285916</v>
      </c>
      <c r="K3025" t="s">
        <v>32512</v>
      </c>
      <c r="L3025" t="s">
        <v>32513</v>
      </c>
      <c r="M3025" t="s">
        <v>32514</v>
      </c>
      <c r="N3025">
        <f>-745.412515324434 -130.701716964164 -529.860052671448</f>
        <v>-1405.9742849600461</v>
      </c>
      <c r="O3025">
        <f>-726.494636823097 -263.755113236141 -500.930216597198</f>
        <v>-1491.1799666564361</v>
      </c>
      <c r="P3025">
        <f>-699.284685249924 -295.366879389164 -209.637457262837</f>
        <v>-1204.289021901925</v>
      </c>
      <c r="Q3025">
        <f>-553.200085635756 -124.238134248685 -295.806538532469</f>
        <v>-973.24475841690992</v>
      </c>
      <c r="R3025" t="s">
        <v>32515</v>
      </c>
      <c r="S3025" t="s">
        <v>32516</v>
      </c>
      <c r="T3025" t="s">
        <v>32517</v>
      </c>
      <c r="U3025" t="s">
        <v>32518</v>
      </c>
      <c r="V3025">
        <f>-666.888159676297 -171.529838896206 -72.9089954506659</f>
        <v>-911.32699402316894</v>
      </c>
      <c r="W3025" t="s">
        <v>32519</v>
      </c>
      <c r="X3025" t="s">
        <v>32520</v>
      </c>
      <c r="Y3025" t="s">
        <v>32521</v>
      </c>
    </row>
    <row r="3026" spans="1:25" x14ac:dyDescent="0.3">
      <c r="A3026">
        <v>151250</v>
      </c>
      <c r="B3026" t="s">
        <v>32522</v>
      </c>
      <c r="C3026">
        <f>-689.919992122219 -78.5768637912456 -75.8329695200127</f>
        <v>-844.32982543347737</v>
      </c>
      <c r="D3026">
        <f>-725.1002340147 -91.8281994752147 -185.391064238758</f>
        <v>-1002.3194977286727</v>
      </c>
      <c r="E3026">
        <f>-740.395727252346 -97.8097047197882 -282.637801481567</f>
        <v>-1120.8432334537013</v>
      </c>
      <c r="F3026">
        <f>-748.701303842632 -101.309502241923 -371.277596153631</f>
        <v>-1221.2884022381861</v>
      </c>
      <c r="G3026">
        <f>-751.077642797786 -102.923728202303 -460.327973386009</f>
        <v>-1314.329344386098</v>
      </c>
      <c r="H3026">
        <f>-748.140156281397 -103.289174830137 -584.875423591263</f>
        <v>-1436.304754702797</v>
      </c>
      <c r="I3026">
        <f>-716.013171588338 -97.2490313621978 -661.271857795427</f>
        <v>-1474.5340607459627</v>
      </c>
      <c r="J3026">
        <f>-753.485081857799 -75.7178165856797 -530.244349371765</f>
        <v>-1359.4472478152436</v>
      </c>
      <c r="K3026" t="s">
        <v>32523</v>
      </c>
      <c r="L3026" t="s">
        <v>32524</v>
      </c>
      <c r="M3026" t="s">
        <v>32525</v>
      </c>
      <c r="N3026">
        <f>-745.380523334647 -130.538920371099 -529.892391173479</f>
        <v>-1405.811834879225</v>
      </c>
      <c r="O3026">
        <f>-726.403598262146 -263.586350468335 -500.97539374115</f>
        <v>-1490.9653424716312</v>
      </c>
      <c r="P3026">
        <f>-699.355721700084 -295.229483804827 -209.670829390873</f>
        <v>-1204.2560348957841</v>
      </c>
      <c r="Q3026">
        <f>-553.076802537316 -124.262425358237 -295.831268509344</f>
        <v>-973.17049640489699</v>
      </c>
      <c r="R3026" t="s">
        <v>32526</v>
      </c>
      <c r="S3026" t="s">
        <v>32527</v>
      </c>
      <c r="T3026" t="s">
        <v>32528</v>
      </c>
      <c r="U3026" t="s">
        <v>32529</v>
      </c>
      <c r="V3026">
        <f>-666.959458484058 -171.428846093076 -72.9258305506988</f>
        <v>-911.31413512783286</v>
      </c>
      <c r="W3026" t="s">
        <v>32530</v>
      </c>
      <c r="X3026" t="s">
        <v>32531</v>
      </c>
      <c r="Y3026" t="s">
        <v>32532</v>
      </c>
    </row>
    <row r="3027" spans="1:25" x14ac:dyDescent="0.3">
      <c r="A3027">
        <v>151300</v>
      </c>
      <c r="B3027" t="s">
        <v>32533</v>
      </c>
      <c r="C3027">
        <f>-690.235601624816 -78.6132650447852 -75.8511703621972</f>
        <v>-844.70003703179839</v>
      </c>
      <c r="D3027">
        <f>-725.397869451999 -91.8944232898599 -185.411425456253</f>
        <v>-1002.7037181981119</v>
      </c>
      <c r="E3027">
        <f>-740.67554759577 -97.8609064890809 -282.661962090551</f>
        <v>-1121.1984161754019</v>
      </c>
      <c r="F3027">
        <f>-748.963532721411 -101.330933229248 -371.304442215249</f>
        <v>-1221.5989081659079</v>
      </c>
      <c r="G3027">
        <f>-751.320686875311 -102.89853303072 -460.356261516121</f>
        <v>-1314.5754814221521</v>
      </c>
      <c r="H3027">
        <f>-748.354627639227 -103.181084629259 -584.903190520056</f>
        <v>-1436.438902788542</v>
      </c>
      <c r="I3027">
        <f>-716.14125312837 -97.0784952943452 -661.258227724324</f>
        <v>-1474.477976147039</v>
      </c>
      <c r="J3027">
        <f>-753.742174021627 -75.6504719831891 -530.255703681815</f>
        <v>-1359.648349686631</v>
      </c>
      <c r="K3027" t="s">
        <v>32534</v>
      </c>
      <c r="L3027" t="s">
        <v>32535</v>
      </c>
      <c r="M3027" t="s">
        <v>32536</v>
      </c>
      <c r="N3027">
        <f>-745.577509556392 -130.462964858767 -529.936967778702</f>
        <v>-1405.977442193861</v>
      </c>
      <c r="O3027">
        <f>-726.479414063918 -263.506067388598 -501.069028290927</f>
        <v>-1491.0545097434431</v>
      </c>
      <c r="P3027">
        <f>-699.895663765492 -295.126470941202 -209.71935544311</f>
        <v>-1204.7414901498041</v>
      </c>
      <c r="Q3027">
        <f>-553.212474289696 -124.582749315074 -296.031181022566</f>
        <v>-973.82640462733605</v>
      </c>
      <c r="R3027" t="s">
        <v>32537</v>
      </c>
      <c r="S3027" t="s">
        <v>32538</v>
      </c>
      <c r="T3027" t="s">
        <v>32539</v>
      </c>
      <c r="U3027" t="s">
        <v>32540</v>
      </c>
      <c r="V3027">
        <f>-667.181023151742 -171.505549648277 -72.9520151083511</f>
        <v>-911.63858790837014</v>
      </c>
      <c r="W3027" t="s">
        <v>32541</v>
      </c>
      <c r="X3027" t="s">
        <v>32542</v>
      </c>
      <c r="Y3027" t="s">
        <v>32543</v>
      </c>
    </row>
    <row r="3028" spans="1:25" x14ac:dyDescent="0.3">
      <c r="A3028">
        <v>151350</v>
      </c>
      <c r="B3028" t="s">
        <v>32544</v>
      </c>
      <c r="C3028">
        <f>-690.420924560539 -78.687714341228 -75.8798370482651</f>
        <v>-844.98847595003213</v>
      </c>
      <c r="D3028">
        <f>-725.602769343457 -92.0009826366329 -185.429888244885</f>
        <v>-1003.0336402249749</v>
      </c>
      <c r="E3028">
        <f>-740.913851626462 -97.9740273086795 -282.67469895398</f>
        <v>-1121.5625778891215</v>
      </c>
      <c r="F3028">
        <f>-749.238680264274 -101.440784192057 -371.314016600889</f>
        <v>-1221.9934810572199</v>
      </c>
      <c r="G3028">
        <f>-751.639097160081 -102.995218553951 -460.364889954046</f>
        <v>-1314.999205668078</v>
      </c>
      <c r="H3028">
        <f>-748.740386714549 -103.248466225463 -584.913479889078</f>
        <v>-1436.90233282909</v>
      </c>
      <c r="I3028">
        <f>-716.499910293527 -97.1207606901498 -661.254926779461</f>
        <v>-1474.8755977631379</v>
      </c>
      <c r="J3028">
        <f>-754.11583115085 -75.7333642041045 -530.256995868496</f>
        <v>-1360.1061912234504</v>
      </c>
      <c r="K3028" t="s">
        <v>32545</v>
      </c>
      <c r="L3028" t="s">
        <v>32546</v>
      </c>
      <c r="M3028" t="s">
        <v>32547</v>
      </c>
      <c r="N3028">
        <f>-745.916080206735 -130.540693181392 -529.954640318654</f>
        <v>-1406.4114137067809</v>
      </c>
      <c r="O3028">
        <f>-726.716746191465 -263.56866031844 -501.114066626742</f>
        <v>-1491.399473136647</v>
      </c>
      <c r="P3028">
        <f>-700.246558591227 -295.215396930595 -209.75685042076</f>
        <v>-1205.2188059425819</v>
      </c>
      <c r="Q3028">
        <f>-553.573668386137 -124.688251592253 -296.118860997672</f>
        <v>-974.38078097606194</v>
      </c>
      <c r="R3028" t="s">
        <v>32548</v>
      </c>
      <c r="S3028" t="s">
        <v>32549</v>
      </c>
      <c r="T3028" t="s">
        <v>32550</v>
      </c>
      <c r="U3028" t="s">
        <v>32551</v>
      </c>
      <c r="V3028">
        <f>-667.335258968599 -171.594564152404 -72.9636962185181</f>
        <v>-911.89351933952105</v>
      </c>
      <c r="W3028" t="s">
        <v>32552</v>
      </c>
      <c r="X3028" t="s">
        <v>32553</v>
      </c>
      <c r="Y3028" t="s">
        <v>32554</v>
      </c>
    </row>
    <row r="3029" spans="1:25" x14ac:dyDescent="0.3">
      <c r="A3029">
        <v>151400</v>
      </c>
      <c r="B3029" t="s">
        <v>32555</v>
      </c>
      <c r="C3029">
        <f>-690.873388011368 -78.6329017873087 -75.907945082745</f>
        <v>-845.41423488142163</v>
      </c>
      <c r="D3029">
        <f>-726.103923568995 -92.0139098035193 -185.434053701597</f>
        <v>-1003.5518870741113</v>
      </c>
      <c r="E3029">
        <f>-741.544024619659 -98.0209307527165 -282.656421376889</f>
        <v>-1122.2213767492644</v>
      </c>
      <c r="F3029">
        <f>-750.02133855212 -101.506264084231 -371.280549368187</f>
        <v>-1222.808152004538</v>
      </c>
      <c r="G3029">
        <f>-752.61033213854 -103.064559671217 -460.326083115931</f>
        <v>-1316.0009749256881</v>
      </c>
      <c r="H3029">
        <f>-750.012512887946 -103.305890847504 -584.881311074453</f>
        <v>-1438.1997148099031</v>
      </c>
      <c r="I3029">
        <f>-717.76507336914 -97.1306976659824 -661.215974413341</f>
        <v>-1476.1117454484634</v>
      </c>
      <c r="J3029">
        <f>-755.314558318388 -75.8048644088537 -530.210431543468</f>
        <v>-1361.3298542707098</v>
      </c>
      <c r="K3029" t="s">
        <v>32556</v>
      </c>
      <c r="L3029" t="s">
        <v>32557</v>
      </c>
      <c r="M3029" t="s">
        <v>32558</v>
      </c>
      <c r="N3029">
        <f>-746.996872098353 -130.594508940728 -529.930955834766</f>
        <v>-1407.5223368738471</v>
      </c>
      <c r="O3029">
        <f>-727.47651725423 -263.588004311658 -501.123211735479</f>
        <v>-1492.187733301367</v>
      </c>
      <c r="P3029">
        <f>-700.964378354928 -295.169185251575 -209.762708350284</f>
        <v>-1205.8962719567869</v>
      </c>
      <c r="Q3029">
        <f>-554.371132263369 -124.451490107543 -295.88320283709</f>
        <v>-974.7058252080019</v>
      </c>
      <c r="R3029" t="s">
        <v>32559</v>
      </c>
      <c r="S3029" t="s">
        <v>32560</v>
      </c>
      <c r="T3029" t="s">
        <v>32561</v>
      </c>
      <c r="U3029" t="s">
        <v>32562</v>
      </c>
      <c r="V3029">
        <f>-667.664749035141 -171.405843956976 -72.9785994320027</f>
        <v>-912.04919242411972</v>
      </c>
      <c r="W3029" t="s">
        <v>32563</v>
      </c>
      <c r="X3029" t="s">
        <v>32564</v>
      </c>
      <c r="Y3029" t="s">
        <v>32565</v>
      </c>
    </row>
    <row r="3030" spans="1:25" x14ac:dyDescent="0.3">
      <c r="A3030">
        <v>151450</v>
      </c>
      <c r="B3030" t="s">
        <v>32566</v>
      </c>
      <c r="C3030">
        <f>-691.192776845737 -78.6325649601141 -75.9201296690195</f>
        <v>-845.74547147487056</v>
      </c>
      <c r="D3030">
        <f>-726.477165376208 -92.0473250282622 -185.424716670916</f>
        <v>-1003.9492070753862</v>
      </c>
      <c r="E3030">
        <f>-742.007795748718 -98.0724831625998 -282.631626686104</f>
        <v>-1122.7119055974217</v>
      </c>
      <c r="F3030">
        <f>-750.585029896909 -101.568828997302 -371.245640957544</f>
        <v>-1223.3994998517551</v>
      </c>
      <c r="G3030">
        <f>-753.292112609307 -103.131183023506 -460.287560208767</f>
        <v>-1316.7108558415798</v>
      </c>
      <c r="H3030">
        <f>-750.878106392232 -103.369911585185 -584.846447674745</f>
        <v>-1439.0944656521619</v>
      </c>
      <c r="I3030">
        <f>-718.645156261007 -97.1581977743139 -661.184428615485</f>
        <v>-1476.9877826508059</v>
      </c>
      <c r="J3030">
        <f>-756.135190607607 -75.8754615931938 -530.168181611071</f>
        <v>-1362.1788338118718</v>
      </c>
      <c r="K3030" t="s">
        <v>32567</v>
      </c>
      <c r="L3030" t="s">
        <v>32568</v>
      </c>
      <c r="M3030" t="s">
        <v>32569</v>
      </c>
      <c r="N3030">
        <f>-747.745561654958 -130.654286458543 -529.900525297526</f>
        <v>-1408.3003734110271</v>
      </c>
      <c r="O3030">
        <f>-728.031900212329 -263.628333840779 -501.12566862179</f>
        <v>-1492.7859026748981</v>
      </c>
      <c r="P3030">
        <f>-701.325702062567 -295.249100548746 -209.787107684978</f>
        <v>-1206.3619102962909</v>
      </c>
      <c r="Q3030">
        <f>-554.96052839323 -124.333144513596 -295.902517843245</f>
        <v>-975.19619075007108</v>
      </c>
      <c r="R3030" t="s">
        <v>32570</v>
      </c>
      <c r="S3030" t="s">
        <v>32571</v>
      </c>
      <c r="T3030" t="s">
        <v>32572</v>
      </c>
      <c r="U3030" t="s">
        <v>32573</v>
      </c>
      <c r="V3030">
        <f>-667.937297655153 -171.449749408637 -72.9766789407583</f>
        <v>-912.36372600454831</v>
      </c>
      <c r="W3030" t="s">
        <v>32574</v>
      </c>
      <c r="X3030" t="s">
        <v>32575</v>
      </c>
      <c r="Y3030" t="s">
        <v>32576</v>
      </c>
    </row>
    <row r="3031" spans="1:25" x14ac:dyDescent="0.3">
      <c r="A3031">
        <v>151500</v>
      </c>
      <c r="B3031" t="s">
        <v>32577</v>
      </c>
      <c r="C3031">
        <f>-691.961460217165 -78.6439409329927 -75.9371607424686</f>
        <v>-846.54256189262628</v>
      </c>
      <c r="D3031">
        <f>-727.357245057228 -92.1784622853438 -185.391129698356</f>
        <v>-1004.9268370409279</v>
      </c>
      <c r="E3031">
        <f>-743.097181458433 -98.251738087008 -282.561205354605</f>
        <v>-1123.910124900046</v>
      </c>
      <c r="F3031">
        <f>-751.909216631379 -101.767965119331 -371.151501469601</f>
        <v>-1224.8286832203109</v>
      </c>
      <c r="G3031">
        <f>-754.896307580393 -103.324325741933 -460.184515937936</f>
        <v>-1318.4051492602621</v>
      </c>
      <c r="H3031">
        <f>-752.92017392543 -103.525653804741 -584.751253050564</f>
        <v>-1441.197080780735</v>
      </c>
      <c r="I3031">
        <f>-720.760866118897 -97.2102380440023 -661.111795853767</f>
        <v>-1479.0829000166664</v>
      </c>
      <c r="J3031">
        <f>-758.057752914416 -76.0589327148712 -530.047651118595</f>
        <v>-1364.1643367478823</v>
      </c>
      <c r="K3031" t="s">
        <v>32578</v>
      </c>
      <c r="L3031" t="s">
        <v>32579</v>
      </c>
      <c r="M3031" t="s">
        <v>32580</v>
      </c>
      <c r="N3031">
        <f>-749.521795479698 -130.815200095958 -529.823656903436</f>
        <v>-1410.1606524790918</v>
      </c>
      <c r="O3031">
        <f>-729.437778839954 -263.758850775199 -501.168536653134</f>
        <v>-1494.3651662682871</v>
      </c>
      <c r="P3031">
        <f>-702.264733190471 -295.281546280159 -209.862733493278</f>
        <v>-1207.409012963908</v>
      </c>
      <c r="Q3031">
        <f>-556.251317931389 -124.175982521149 -296.198348944977</f>
        <v>-976.62564939751496</v>
      </c>
      <c r="R3031" t="s">
        <v>32581</v>
      </c>
      <c r="S3031" t="s">
        <v>32582</v>
      </c>
      <c r="T3031" t="s">
        <v>32583</v>
      </c>
      <c r="U3031" t="s">
        <v>32584</v>
      </c>
      <c r="V3031">
        <f>-668.513328205499 -171.499049538548 -72.9723306612078</f>
        <v>-912.98470840525476</v>
      </c>
      <c r="W3031" t="s">
        <v>32585</v>
      </c>
      <c r="X3031" t="s">
        <v>32586</v>
      </c>
      <c r="Y3031" t="s">
        <v>32587</v>
      </c>
    </row>
    <row r="3032" spans="1:25" x14ac:dyDescent="0.3">
      <c r="A3032">
        <v>151550</v>
      </c>
      <c r="B3032" t="s">
        <v>32588</v>
      </c>
      <c r="C3032">
        <f>-692.299797588611 -78.619563759141 -75.9544627970519</f>
        <v>-846.87382414480385</v>
      </c>
      <c r="D3032">
        <f>-727.750818676568 -92.2237749577095 -185.381891411224</f>
        <v>-1005.3564850455014</v>
      </c>
      <c r="E3032">
        <f>-743.589469565968 -98.3254211362608 -282.53426304634</f>
        <v>-1124.4491537485687</v>
      </c>
      <c r="F3032">
        <f>-752.510823011104 -101.854829862532 -371.112964464919</f>
        <v>-1225.4786173385551</v>
      </c>
      <c r="G3032">
        <f>-755.627134916587 -103.411113752557 -460.14158768701</f>
        <v>-1319.1798363561538</v>
      </c>
      <c r="H3032">
        <f>-753.851972193276 -103.597964142293 -584.711430301659</f>
        <v>-1442.161366637228</v>
      </c>
      <c r="I3032">
        <f>-721.732551520716 -97.2239688454542 -661.083860977686</f>
        <v>-1480.0403813438561</v>
      </c>
      <c r="J3032">
        <f>-758.933501331266 -76.1425759834833 -529.996803388066</f>
        <v>-1365.0728807028154</v>
      </c>
      <c r="K3032" t="s">
        <v>32589</v>
      </c>
      <c r="L3032" t="s">
        <v>32590</v>
      </c>
      <c r="M3032" t="s">
        <v>32591</v>
      </c>
      <c r="N3032">
        <f>-750.332779123481 -130.888811866535 -529.7921781056</f>
        <v>-1411.013769095616</v>
      </c>
      <c r="O3032">
        <f>-730.060846900532 -263.811722499965 -501.171132438121</f>
        <v>-1495.0437018386181</v>
      </c>
      <c r="P3032">
        <f>-702.602343460357 -295.249315503906 -209.882879573278</f>
        <v>-1207.7345385375411</v>
      </c>
      <c r="Q3032">
        <f>-556.849056564224 -123.991321237891 -296.355467710275</f>
        <v>-977.19584551239006</v>
      </c>
      <c r="R3032" t="s">
        <v>32592</v>
      </c>
      <c r="S3032" t="s">
        <v>32593</v>
      </c>
      <c r="T3032" t="s">
        <v>32594</v>
      </c>
      <c r="U3032" t="s">
        <v>32595</v>
      </c>
      <c r="V3032">
        <f>-668.721529882216 -171.413034285665 -72.9722870092396</f>
        <v>-913.10685117712069</v>
      </c>
      <c r="W3032" t="s">
        <v>32596</v>
      </c>
      <c r="X3032" t="s">
        <v>32597</v>
      </c>
      <c r="Y3032" t="s">
        <v>32598</v>
      </c>
    </row>
    <row r="3033" spans="1:25" x14ac:dyDescent="0.3">
      <c r="A3033">
        <v>151600</v>
      </c>
      <c r="B3033" t="s">
        <v>32599</v>
      </c>
      <c r="C3033">
        <f>-693.14491375801 -78.8571883857971 -75.9432010893964</f>
        <v>-847.94530323320362</v>
      </c>
      <c r="D3033">
        <f>-728.667843164811 -92.6357716837555 -185.325495356908</f>
        <v>-1006.6291102054745</v>
      </c>
      <c r="E3033">
        <f>-744.684531487296 -98.8614658157892 -282.440760334112</f>
        <v>-1125.9867576371971</v>
      </c>
      <c r="F3033">
        <f>-753.81352331318 -102.492745228088 -370.994202457373</f>
        <v>-1227.300470998641</v>
      </c>
      <c r="G3033">
        <f>-757.184038764402 -104.13873297913 -460.012119851538</f>
        <v>-1321.3348915950701</v>
      </c>
      <c r="H3033">
        <f>-755.811924444795 -104.437446048311 -584.586652024706</f>
        <v>-1444.8360225178121</v>
      </c>
      <c r="I3033">
        <f>-723.806684533401 -98.0013280397187 -661.001816523147</f>
        <v>-1482.8098290962666</v>
      </c>
      <c r="J3033">
        <f>-760.782885881552 -76.9434976099684 -529.881228483992</f>
        <v>-1367.6076119755126</v>
      </c>
      <c r="K3033" t="s">
        <v>32600</v>
      </c>
      <c r="L3033" t="s">
        <v>32601</v>
      </c>
      <c r="M3033" t="s">
        <v>32602</v>
      </c>
      <c r="N3033">
        <f>-752.048475139653 -131.668511248635 -529.653813206807</f>
        <v>-1413.3707995950949</v>
      </c>
      <c r="O3033">
        <f>-731.334856050479 -264.517783916935 -501.02849495485</f>
        <v>-1496.881134922264</v>
      </c>
      <c r="P3033">
        <f>-703.413692085292 -295.72902522908 -209.759735079401</f>
        <v>-1208.902452393773</v>
      </c>
      <c r="Q3033">
        <f>-558.121544663073 -124.174402031561 -296.42040725493</f>
        <v>-978.71635394956411</v>
      </c>
      <c r="R3033" t="s">
        <v>32603</v>
      </c>
      <c r="S3033" t="s">
        <v>32604</v>
      </c>
      <c r="T3033" t="s">
        <v>32605</v>
      </c>
      <c r="U3033" t="s">
        <v>32606</v>
      </c>
      <c r="V3033">
        <f>-669.42570863071 -171.789247131874 -72.9281116733807</f>
        <v>-914.14306743596467</v>
      </c>
      <c r="W3033" t="s">
        <v>32607</v>
      </c>
      <c r="X3033" t="s">
        <v>32608</v>
      </c>
      <c r="Y3033" t="s">
        <v>32609</v>
      </c>
    </row>
    <row r="3034" spans="1:25" x14ac:dyDescent="0.3">
      <c r="A3034">
        <v>151650</v>
      </c>
      <c r="B3034" t="s">
        <v>32610</v>
      </c>
      <c r="C3034">
        <f>-694.169438178283 -79.2834889156496 -75.9210644174044</f>
        <v>-849.37399151133707</v>
      </c>
      <c r="D3034">
        <f>-729.786588636788 -93.2348642613264 -185.250763284854</f>
        <v>-1008.2722161829684</v>
      </c>
      <c r="E3034">
        <f>-745.992184076006 -99.613913105257 -282.324649637659</f>
        <v>-1127.930746818922</v>
      </c>
      <c r="F3034">
        <f>-755.335640016076 -103.385822799295 -370.849937214049</f>
        <v>-1229.5714000294201</v>
      </c>
      <c r="G3034">
        <f>-758.964209731997 -105.172558985555 -459.854912847794</f>
        <v>-1323.991681565346</v>
      </c>
      <c r="H3034">
        <f>-757.997950809096 -105.666889215089 -584.432724951408</f>
        <v>-1448.0975649755928</v>
      </c>
      <c r="I3034">
        <f>-726.160739367675 -99.239612920295 -660.918776402879</f>
        <v>-1486.3191286908491</v>
      </c>
      <c r="J3034">
        <f>-762.858764507159 -78.098016432476 -529.755094104165</f>
        <v>-1370.7118750437999</v>
      </c>
      <c r="K3034" t="s">
        <v>32611</v>
      </c>
      <c r="L3034" t="s">
        <v>32612</v>
      </c>
      <c r="M3034" t="s">
        <v>32613</v>
      </c>
      <c r="N3034">
        <f>-753.987586682761 -132.800730125922 -529.469345815018</f>
        <v>-1416.257662623701</v>
      </c>
      <c r="O3034">
        <f>-732.825117348156 -265.56910022413 -500.776037521408</f>
        <v>-1499.1702550936941</v>
      </c>
      <c r="P3034">
        <f>-704.411349479573 -296.307294152678 -209.504760201722</f>
        <v>-1210.2234038339732</v>
      </c>
      <c r="Q3034">
        <f>-559.474561214291 -124.611596375314 -296.480361441435</f>
        <v>-980.56651903104</v>
      </c>
      <c r="R3034" t="s">
        <v>32614</v>
      </c>
      <c r="S3034" t="s">
        <v>32615</v>
      </c>
      <c r="T3034" t="s">
        <v>32616</v>
      </c>
      <c r="U3034" t="s">
        <v>32617</v>
      </c>
      <c r="V3034">
        <f>-670.332174265686 -172.344992308655 -72.861488847414</f>
        <v>-915.53865542175504</v>
      </c>
      <c r="W3034" t="s">
        <v>32618</v>
      </c>
      <c r="X3034" t="s">
        <v>32619</v>
      </c>
      <c r="Y3034" t="s">
        <v>32620</v>
      </c>
    </row>
    <row r="3035" spans="1:25" x14ac:dyDescent="0.3">
      <c r="A3035">
        <v>151700</v>
      </c>
      <c r="B3035" t="s">
        <v>32621</v>
      </c>
      <c r="C3035">
        <f>-694.612012626555 -79.2508066955044 -75.9013881864529</f>
        <v>-849.7642075085123</v>
      </c>
      <c r="D3035">
        <f>-730.304526791565 -93.2814918040336 -185.196460967683</f>
        <v>-1008.7824795632816</v>
      </c>
      <c r="E3035">
        <f>-746.635083012185 -99.7370649891677 -282.24431940514</f>
        <v>-1128.6164674064926</v>
      </c>
      <c r="F3035">
        <f>-756.115859455648 -103.581444315678 -370.751798852366</f>
        <v>-1230.4491026236919</v>
      </c>
      <c r="G3035">
        <f>-759.906186419347 -105.442874652975 -459.74844356961</f>
        <v>-1325.0975046419321</v>
      </c>
      <c r="H3035">
        <f>-759.191079674665 -106.043568680735 -584.327467877704</f>
        <v>-1449.562116233104</v>
      </c>
      <c r="I3035">
        <f>-727.453427633371 -99.6504149467893 -660.857835571121</f>
        <v>-1487.9616781512814</v>
      </c>
      <c r="J3035">
        <f>-763.970382495141 -78.4327253151503 -529.663973034539</f>
        <v>-1372.0670808448303</v>
      </c>
      <c r="K3035" t="s">
        <v>32622</v>
      </c>
      <c r="L3035" t="s">
        <v>32623</v>
      </c>
      <c r="M3035" t="s">
        <v>32624</v>
      </c>
      <c r="N3035">
        <f>-755.041205816528 -133.125836444955 -529.349085231087</f>
        <v>-1417.5161274925699</v>
      </c>
      <c r="O3035">
        <f>-733.669550197741 -265.853583531193 -500.606775158746</f>
        <v>-1500.1299088876799</v>
      </c>
      <c r="P3035">
        <f>-704.978125911215 -296.312273202379 -209.333207260067</f>
        <v>-1210.623606373661</v>
      </c>
      <c r="Q3035">
        <f>-560.294282076492 -124.521215749971 -296.541773005882</f>
        <v>-981.35727083234497</v>
      </c>
      <c r="R3035" t="s">
        <v>32625</v>
      </c>
      <c r="S3035" t="s">
        <v>32626</v>
      </c>
      <c r="T3035" t="s">
        <v>32627</v>
      </c>
      <c r="U3035" t="s">
        <v>32628</v>
      </c>
      <c r="V3035">
        <f>-670.663759678171 -172.238374249567 -72.8109636190494</f>
        <v>-915.71309754678737</v>
      </c>
      <c r="W3035" t="s">
        <v>32629</v>
      </c>
      <c r="X3035" t="s">
        <v>32630</v>
      </c>
      <c r="Y3035" t="s">
        <v>32631</v>
      </c>
    </row>
    <row r="3036" spans="1:25" x14ac:dyDescent="0.3">
      <c r="A3036">
        <v>151750</v>
      </c>
      <c r="B3036" t="s">
        <v>32632</v>
      </c>
      <c r="C3036">
        <f>-695.160791422286 -79.3445607505155 -75.8450410303806</f>
        <v>-850.35039320318208</v>
      </c>
      <c r="D3036">
        <f>-730.934893763352 -93.4269916706077 -185.106737301411</f>
        <v>-1009.4686227353707</v>
      </c>
      <c r="E3036">
        <f>-747.389864197884 -99.9275181734358 -282.130579451897</f>
        <v>-1129.4479618232167</v>
      </c>
      <c r="F3036">
        <f>-757.00535680119 -103.811539371327 -370.621754076075</f>
        <v>-1231.438650248592</v>
      </c>
      <c r="G3036">
        <f>-760.952707811858 -105.71021810945 -459.610903037682</f>
        <v>-1326.27382895899</v>
      </c>
      <c r="H3036">
        <f>-760.480465580265 -106.359229356332 -584.190891288389</f>
        <v>-1451.0305862249861</v>
      </c>
      <c r="I3036">
        <f>-728.847381120159 -99.9784844736497 -660.765441580429</f>
        <v>-1489.5913071742375</v>
      </c>
      <c r="J3036">
        <f>-765.191476792032 -78.7333291936511 -529.528806300258</f>
        <v>-1373.4536122859411</v>
      </c>
      <c r="K3036" t="s">
        <v>32633</v>
      </c>
      <c r="L3036" t="s">
        <v>32634</v>
      </c>
      <c r="M3036" t="s">
        <v>32635</v>
      </c>
      <c r="N3036">
        <f>-756.185135641427 -133.413795917643 -529.209959166575</f>
        <v>-1418.8088907256451</v>
      </c>
      <c r="O3036">
        <f>-734.62491954756 -266.098221781857 -500.401864554875</f>
        <v>-1501.125005884292</v>
      </c>
      <c r="P3036">
        <f>-705.64757767261 -296.263885936596 -209.126136102124</f>
        <v>-1211.0375997113301</v>
      </c>
      <c r="Q3036">
        <f>-561.168863553052 -124.402605772573 -296.536101100556</f>
        <v>-982.10757042618093</v>
      </c>
      <c r="R3036" t="s">
        <v>32636</v>
      </c>
      <c r="S3036" t="s">
        <v>32637</v>
      </c>
      <c r="T3036" t="s">
        <v>32638</v>
      </c>
      <c r="U3036" t="s">
        <v>32639</v>
      </c>
      <c r="V3036">
        <f>-671.254865905947 -172.390168232978 -72.689774707217</f>
        <v>-916.33480884614198</v>
      </c>
      <c r="W3036" t="s">
        <v>32640</v>
      </c>
      <c r="X3036" t="s">
        <v>32641</v>
      </c>
      <c r="Y3036" t="s">
        <v>32642</v>
      </c>
    </row>
    <row r="3037" spans="1:25" x14ac:dyDescent="0.3">
      <c r="A3037">
        <v>151800</v>
      </c>
      <c r="B3037" t="s">
        <v>32643</v>
      </c>
      <c r="C3037">
        <f>-696.196719818972 -79.5352789382036 -75.7341774677089</f>
        <v>-851.46617622488463</v>
      </c>
      <c r="D3037">
        <f>-732.106440739886 -93.7895591028399 -184.929147981777</f>
        <v>-1010.8251478245029</v>
      </c>
      <c r="E3037">
        <f>-748.781766324892 -100.406356439691 -281.907508137812</f>
        <v>-1131.095630902395</v>
      </c>
      <c r="F3037">
        <f>-758.638870482904 -104.380246308728 -370.368130833689</f>
        <v>-1233.3872476253212</v>
      </c>
      <c r="G3037">
        <f>-762.870409398571 -106.350080245314 -459.342680162014</f>
        <v>-1328.563169805899</v>
      </c>
      <c r="H3037">
        <f>-762.839543945479 -107.07618023315 -583.923079975452</f>
        <v>-1453.8388041540811</v>
      </c>
      <c r="I3037">
        <f>-731.409277204996 -100.723421373646 -660.583450880652</f>
        <v>-1492.716149459294</v>
      </c>
      <c r="J3037">
        <f>-767.448821203015 -79.4317988928285 -529.261702098969</f>
        <v>-1376.1423221948126</v>
      </c>
      <c r="K3037" t="s">
        <v>32644</v>
      </c>
      <c r="L3037" t="s">
        <v>32645</v>
      </c>
      <c r="M3037" t="s">
        <v>32646</v>
      </c>
      <c r="N3037">
        <f>-758.257463670657 -134.081470011718 -528.94090809817</f>
        <v>-1421.279841780545</v>
      </c>
      <c r="O3037">
        <f>-736.203462435 -266.662763693706 -500.092227755306</f>
        <v>-1502.958453884012</v>
      </c>
      <c r="P3037">
        <f>-706.671702926918 -296.521463646801 -208.840555536301</f>
        <v>-1212.0337221100201</v>
      </c>
      <c r="Q3037">
        <f>-562.736438955249 -124.328860893763 -296.494611433482</f>
        <v>-983.55991128249411</v>
      </c>
      <c r="R3037" t="s">
        <v>32647</v>
      </c>
      <c r="S3037" t="s">
        <v>32648</v>
      </c>
      <c r="T3037" t="s">
        <v>32649</v>
      </c>
      <c r="U3037" t="s">
        <v>32650</v>
      </c>
      <c r="V3037">
        <f>-672.12896190684 -172.891965469019 -72.5102609307799</f>
        <v>-917.5311883066388</v>
      </c>
      <c r="W3037" t="s">
        <v>32651</v>
      </c>
      <c r="X3037" t="s">
        <v>32652</v>
      </c>
      <c r="Y3037" t="s">
        <v>32653</v>
      </c>
    </row>
    <row r="3038" spans="1:25" x14ac:dyDescent="0.3">
      <c r="A3038">
        <v>151850</v>
      </c>
      <c r="B3038" t="s">
        <v>32654</v>
      </c>
      <c r="C3038">
        <f>-696.683652483282 -79.6052814041984 -75.7098946756687</f>
        <v>-851.99882856314912</v>
      </c>
      <c r="D3038">
        <f>-732.642697340367 -93.9725404411697 -184.873687042255</f>
        <v>-1011.4889248237918</v>
      </c>
      <c r="E3038">
        <f>-749.411508141121 -100.65870459337 -281.831325826496</f>
        <v>-1131.9015385609869</v>
      </c>
      <c r="F3038">
        <f>-759.373449760005 -104.683474745529 -370.277879554624</f>
        <v>-1234.3348040601579</v>
      </c>
      <c r="G3038">
        <f>-763.730338982389 -106.691159685337 -459.245414269679</f>
        <v>-1329.666912937405</v>
      </c>
      <c r="H3038">
        <f>-763.895439260099 -107.455796502109 -583.825601017404</f>
        <v>-1455.1768367796121</v>
      </c>
      <c r="I3038">
        <f>-732.561038084415 -101.101069905071 -660.525067041046</f>
        <v>-1494.187175030532</v>
      </c>
      <c r="J3038">
        <f>-768.465797056179 -79.8025228787267 -529.165433620181</f>
        <v>-1377.4337535550867</v>
      </c>
      <c r="K3038" t="s">
        <v>32655</v>
      </c>
      <c r="L3038" t="s">
        <v>32656</v>
      </c>
      <c r="M3038" t="s">
        <v>32657</v>
      </c>
      <c r="N3038">
        <f>-759.179800505099 -134.436134326074 -528.842473897746</f>
        <v>-1422.458408728919</v>
      </c>
      <c r="O3038">
        <f>-736.870062240787 -266.973628245483 -499.95883622313</f>
        <v>-1503.8025267093999</v>
      </c>
      <c r="P3038">
        <f>-707.153165890419 -296.589478652759 -208.70123446399</f>
        <v>-1212.4438790071681</v>
      </c>
      <c r="Q3038">
        <f>-563.400875144162 -124.309479561774 -296.483596917959</f>
        <v>-984.19395162389492</v>
      </c>
      <c r="R3038" t="s">
        <v>32658</v>
      </c>
      <c r="S3038" t="s">
        <v>32659</v>
      </c>
      <c r="T3038" t="s">
        <v>32660</v>
      </c>
      <c r="U3038" t="s">
        <v>32661</v>
      </c>
      <c r="V3038">
        <f>-672.470223606726 -173.010967561938 -72.4639085581045</f>
        <v>-917.9450997267686</v>
      </c>
      <c r="W3038" t="s">
        <v>32662</v>
      </c>
      <c r="X3038" t="s">
        <v>32663</v>
      </c>
      <c r="Y3038" t="s">
        <v>32664</v>
      </c>
    </row>
    <row r="3039" spans="1:25" x14ac:dyDescent="0.3">
      <c r="A3039">
        <v>151900</v>
      </c>
      <c r="B3039" t="s">
        <v>32665</v>
      </c>
      <c r="C3039">
        <f>-697.555003602752 -79.8039325522332 -75.7322064105708</f>
        <v>-853.09114256555597</v>
      </c>
      <c r="D3039">
        <f>-733.626273689358 -94.3597781574058 -184.834019277989</f>
        <v>-1012.8200711247528</v>
      </c>
      <c r="E3039">
        <f>-750.588163598036 -101.167261478784 -281.749449542511</f>
        <v>-1133.5048746193311</v>
      </c>
      <c r="F3039">
        <f>-760.76344008126 -105.284618505572 -370.167594854252</f>
        <v>-1236.215653441084</v>
      </c>
      <c r="G3039">
        <f>-765.372362970358 -107.364918885349 -459.120762569005</f>
        <v>-1331.858044424712</v>
      </c>
      <c r="H3039">
        <f>-765.929695702957 -108.208667821693 -583.699241092913</f>
        <v>-1457.8376046175631</v>
      </c>
      <c r="I3039">
        <f>-734.795152563709 -101.807579390353 -660.476182926326</f>
        <v>-1497.0789148803881</v>
      </c>
      <c r="J3039">
        <f>-770.41308935057 -80.5352916406813 -529.042114461824</f>
        <v>-1379.9904954530753</v>
      </c>
      <c r="K3039" t="s">
        <v>32666</v>
      </c>
      <c r="L3039" t="s">
        <v>32667</v>
      </c>
      <c r="M3039" t="s">
        <v>32668</v>
      </c>
      <c r="N3039">
        <f>-760.955756834151 -135.139436317051 -528.714620325128</f>
        <v>-1424.80981347633</v>
      </c>
      <c r="O3039">
        <f>-738.197232791878 -267.588880241227 -499.765364101489</f>
        <v>-1505.5514771345941</v>
      </c>
      <c r="P3039">
        <f>-707.987872927324 -296.780180001859 -208.51554110912</f>
        <v>-1213.2835940383029</v>
      </c>
      <c r="Q3039">
        <f>-564.831434322706 -124.205916429649 -296.692718271683</f>
        <v>-985.73006902403802</v>
      </c>
      <c r="R3039" t="s">
        <v>32669</v>
      </c>
      <c r="S3039" t="s">
        <v>32670</v>
      </c>
      <c r="T3039" t="s">
        <v>32671</v>
      </c>
      <c r="U3039" t="s">
        <v>32672</v>
      </c>
      <c r="V3039">
        <f>-673.135305964874 -173.248087254309 -72.4593776388144</f>
        <v>-918.84277085799738</v>
      </c>
      <c r="W3039" t="s">
        <v>32673</v>
      </c>
      <c r="X3039" t="s">
        <v>32674</v>
      </c>
      <c r="Y3039" t="s">
        <v>32675</v>
      </c>
    </row>
    <row r="3040" spans="1:25" x14ac:dyDescent="0.3">
      <c r="A3040">
        <v>151950</v>
      </c>
      <c r="B3040" t="s">
        <v>32676</v>
      </c>
      <c r="C3040">
        <f>-698.005802860628 -79.8798850745102 -75.7478945638808</f>
        <v>-853.63358249901898</v>
      </c>
      <c r="D3040">
        <f>-734.098699997607 -94.5428120980852 -184.828193732673</f>
        <v>-1013.4697058283651</v>
      </c>
      <c r="E3040">
        <f>-751.120446497453 -101.410426048348 -281.728946052661</f>
        <v>-1134.2598185984621</v>
      </c>
      <c r="F3040">
        <f>-761.366233861068 -105.568775424033 -370.136906861962</f>
        <v>-1237.0719161470631</v>
      </c>
      <c r="G3040">
        <f>-766.061935866986 -107.675727044035 -459.085047690865</f>
        <v>-1332.822710601886</v>
      </c>
      <c r="H3040">
        <f>-766.757632611223 -108.540504569628 -583.662576600588</f>
        <v>-1458.9607137814389</v>
      </c>
      <c r="I3040">
        <f>-735.702062210083 -102.103616900099 -660.468422521193</f>
        <v>-1498.2741016313751</v>
      </c>
      <c r="J3040">
        <f>-771.223079940172 -80.8653760109781 -529.005020207345</f>
        <v>-1381.0934761584952</v>
      </c>
      <c r="K3040" t="s">
        <v>32677</v>
      </c>
      <c r="L3040" t="s">
        <v>32678</v>
      </c>
      <c r="M3040" t="s">
        <v>32679</v>
      </c>
      <c r="N3040">
        <f>-761.679940511439 -135.454616382487 -528.679299868829</f>
        <v>-1425.813856762755</v>
      </c>
      <c r="O3040">
        <f>-738.698678133597 -267.859423097913 -499.715457585167</f>
        <v>-1506.273558816677</v>
      </c>
      <c r="P3040">
        <f>-708.284164585124 -296.916125128204 -208.473401013349</f>
        <v>-1213.673690726677</v>
      </c>
      <c r="Q3040">
        <f>-565.26767912115 -124.356781530425 -296.906546954492</f>
        <v>-986.53100760606696</v>
      </c>
      <c r="R3040" t="s">
        <v>32680</v>
      </c>
      <c r="S3040" t="s">
        <v>32681</v>
      </c>
      <c r="T3040" t="s">
        <v>32682</v>
      </c>
      <c r="U3040" t="s">
        <v>32683</v>
      </c>
      <c r="V3040">
        <f>-673.458991288416 -173.345260696008 -72.4524150166119</f>
        <v>-919.25666700103591</v>
      </c>
      <c r="W3040" t="s">
        <v>32684</v>
      </c>
      <c r="X3040" t="s">
        <v>32685</v>
      </c>
      <c r="Y3040" t="s">
        <v>32686</v>
      </c>
    </row>
    <row r="3041" spans="1:25" x14ac:dyDescent="0.3">
      <c r="A3041">
        <v>152000</v>
      </c>
      <c r="B3041" t="s">
        <v>32687</v>
      </c>
      <c r="C3041">
        <f>-698.979780177597 -79.9002198490507 -75.736640475557</f>
        <v>-854.61664050220475</v>
      </c>
      <c r="D3041">
        <f>-735.105816896102 -94.7349118450868 -184.782692659036</f>
        <v>-1014.6234214002249</v>
      </c>
      <c r="E3041">
        <f>-752.191737979302 -101.691935456974 -281.665824307625</f>
        <v>-1135.5494977439009</v>
      </c>
      <c r="F3041">
        <f>-762.509527540331 -105.906495803994 -370.062810440532</f>
        <v>-1238.478833784857</v>
      </c>
      <c r="G3041">
        <f>-767.29137165175 -108.042604041093 -459.005518937085</f>
        <v>-1334.3394946299279</v>
      </c>
      <c r="H3041">
        <f>-768.121946017788 -108.918344529849 -583.582343598717</f>
        <v>-1460.6226341463539</v>
      </c>
      <c r="I3041">
        <f>-737.167777970362 -102.399690777111 -660.42219707747</f>
        <v>-1499.9896658249429</v>
      </c>
      <c r="J3041">
        <f>-772.613321857214 -81.2533410078327 -528.921679125996</f>
        <v>-1382.7883419910427</v>
      </c>
      <c r="K3041" t="s">
        <v>32688</v>
      </c>
      <c r="L3041" t="s">
        <v>32689</v>
      </c>
      <c r="M3041" t="s">
        <v>32690</v>
      </c>
      <c r="N3041">
        <f>-762.899593926742 -135.812591288685 -528.602773878157</f>
        <v>-1427.3149590935841</v>
      </c>
      <c r="O3041">
        <f>-739.51495369649 -268.134660529187 -499.585158798265</f>
        <v>-1507.2347730239419</v>
      </c>
      <c r="P3041">
        <f>-708.767265867595 -297.006922242333 -208.359857662901</f>
        <v>-1214.134045772829</v>
      </c>
      <c r="Q3041">
        <f>-565.925533436459 -124.51378722442 -297.203751471613</f>
        <v>-987.64307213249185</v>
      </c>
      <c r="R3041" t="s">
        <v>32691</v>
      </c>
      <c r="S3041" t="s">
        <v>32692</v>
      </c>
      <c r="T3041" t="s">
        <v>32693</v>
      </c>
      <c r="U3041" t="s">
        <v>32694</v>
      </c>
      <c r="V3041">
        <f>-674.287860860461 -173.335635613581 -72.3365720618071</f>
        <v>-919.96006853584913</v>
      </c>
      <c r="W3041" t="s">
        <v>32695</v>
      </c>
      <c r="X3041" t="s">
        <v>32696</v>
      </c>
      <c r="Y3041" t="s">
        <v>32697</v>
      </c>
    </row>
    <row r="3042" spans="1:25" x14ac:dyDescent="0.3">
      <c r="A3042">
        <v>152050</v>
      </c>
      <c r="B3042" t="s">
        <v>32698</v>
      </c>
      <c r="C3042">
        <f>-699.510559545756 -79.9620845781801 -75.7077864303744</f>
        <v>-855.18043055431053</v>
      </c>
      <c r="D3042">
        <f>-735.632249260839 -94.8914076885811 -184.742516767651</f>
        <v>-1015.2661737170711</v>
      </c>
      <c r="E3042">
        <f>-752.707790520631 -101.891883991642 -281.624217249957</f>
        <v>-1136.2238917622299</v>
      </c>
      <c r="F3042">
        <f>-763.01328299202 -106.129886960616 -370.021549512161</f>
        <v>-1239.1647194647969</v>
      </c>
      <c r="G3042">
        <f>-767.779819281944 -108.272161658868 -458.965008908502</f>
        <v>-1335.0169898493141</v>
      </c>
      <c r="H3042">
        <f>-768.585884419324 -109.137733939668 -583.54183858132</f>
        <v>-1461.2654569403121</v>
      </c>
      <c r="I3042">
        <f>-737.644119720877 -102.578770635861 -660.383342331845</f>
        <v>-1500.6062326885831</v>
      </c>
      <c r="J3042">
        <f>-773.131316101313 -81.4849921295666 -528.879474652617</f>
        <v>-1383.4957828834968</v>
      </c>
      <c r="K3042" t="s">
        <v>32699</v>
      </c>
      <c r="L3042" t="s">
        <v>32700</v>
      </c>
      <c r="M3042" t="s">
        <v>32701</v>
      </c>
      <c r="N3042">
        <f>-763.330970324481 -136.028722407835 -528.563974924611</f>
        <v>-1427.9236676569271</v>
      </c>
      <c r="O3042">
        <f>-739.727969910589 -268.302430588698 -499.515583795651</f>
        <v>-1507.5459842949381</v>
      </c>
      <c r="P3042">
        <f>-708.937967975901 -297.091482250962 -208.286461691514</f>
        <v>-1214.315911918377</v>
      </c>
      <c r="Q3042">
        <f>-566.123278056282 -124.704609254698 -297.379853657522</f>
        <v>-988.20774096850187</v>
      </c>
      <c r="R3042" t="s">
        <v>32702</v>
      </c>
      <c r="S3042" t="s">
        <v>32703</v>
      </c>
      <c r="T3042" t="s">
        <v>32704</v>
      </c>
      <c r="U3042" t="s">
        <v>32705</v>
      </c>
      <c r="V3042">
        <f>-674.741216480777 -173.405573367965 -72.2774206728009</f>
        <v>-920.42421052154282</v>
      </c>
      <c r="W3042" t="s">
        <v>32706</v>
      </c>
      <c r="X3042" t="s">
        <v>32707</v>
      </c>
      <c r="Y3042" t="s">
        <v>32708</v>
      </c>
    </row>
    <row r="3043" spans="1:25" x14ac:dyDescent="0.3">
      <c r="A3043">
        <v>152100</v>
      </c>
      <c r="B3043" t="s">
        <v>32709</v>
      </c>
      <c r="C3043">
        <f>-700.394245783918 -80.1661770360313 -75.7127344019082</f>
        <v>-856.27315722185745</v>
      </c>
      <c r="D3043">
        <f>-736.565534617329 -95.2788606878645 -184.705700670253</f>
        <v>-1016.5500959754465</v>
      </c>
      <c r="E3043">
        <f>-753.617387652996 -102.357661131643 -281.585950269224</f>
        <v>-1137.5609990538628</v>
      </c>
      <c r="F3043">
        <f>-763.87247159257 -106.635049327572 -369.987136979172</f>
        <v>-1240.494657899314</v>
      </c>
      <c r="G3043">
        <f>-768.559141441869 -108.784167191623 -458.9346862241</f>
        <v>-1336.2779948575919</v>
      </c>
      <c r="H3043">
        <f>-769.222383233566 -109.625136222451 -583.512708596649</f>
        <v>-1462.3602280526661</v>
      </c>
      <c r="I3043">
        <f>-738.228794895812 -102.991159548523 -660.326820421178</f>
        <v>-1501.546774865513</v>
      </c>
      <c r="J3043">
        <f>-773.900794275361 -81.9958470959858 -528.849524029353</f>
        <v>-1384.7461654006997</v>
      </c>
      <c r="K3043" t="s">
        <v>32710</v>
      </c>
      <c r="L3043" t="s">
        <v>32711</v>
      </c>
      <c r="M3043" t="s">
        <v>32712</v>
      </c>
      <c r="N3043">
        <f>-763.96021492667 -136.514298023818 -528.534532107269</f>
        <v>-1429.009045057757</v>
      </c>
      <c r="O3043">
        <f>-739.934607655033 -268.693812942037 -499.382492390143</f>
        <v>-1508.010912987213</v>
      </c>
      <c r="P3043">
        <f>-709.015587577055 -297.205620087888 -208.139843875104</f>
        <v>-1214.3610515400469</v>
      </c>
      <c r="Q3043">
        <f>-566.436048830512 -124.921101878468 -297.805691041477</f>
        <v>-989.16284175045712</v>
      </c>
      <c r="R3043" t="s">
        <v>32713</v>
      </c>
      <c r="S3043" t="s">
        <v>32714</v>
      </c>
      <c r="T3043" t="s">
        <v>32715</v>
      </c>
      <c r="U3043" t="s">
        <v>32716</v>
      </c>
      <c r="V3043">
        <f>-675.436508750444 -173.633251069046 -72.1817727676844</f>
        <v>-921.25153258717432</v>
      </c>
      <c r="W3043" t="s">
        <v>32717</v>
      </c>
      <c r="X3043" t="s">
        <v>32718</v>
      </c>
      <c r="Y3043" t="s">
        <v>32719</v>
      </c>
    </row>
    <row r="3044" spans="1:25" x14ac:dyDescent="0.3">
      <c r="A3044">
        <v>152150</v>
      </c>
      <c r="B3044" t="s">
        <v>32720</v>
      </c>
      <c r="C3044">
        <f>-700.789151945041 -80.1747613868203 -75.7204129942551</f>
        <v>-856.68432632611632</v>
      </c>
      <c r="D3044">
        <f>-736.975388942179 -95.3766203106709 -184.696079322995</f>
        <v>-1017.048088575845</v>
      </c>
      <c r="E3044">
        <f>-754.005293273643 -102.49694498917 -281.577059615168</f>
        <v>-1138.0792978779812</v>
      </c>
      <c r="F3044">
        <f>-764.225337054679 -106.798387450122 -369.981204939456</f>
        <v>-1241.004929444257</v>
      </c>
      <c r="G3044">
        <f>-768.861587850952 -108.957664471438 -458.93112321177</f>
        <v>-1336.75037553416</v>
      </c>
      <c r="H3044">
        <f>-769.43809518501 -109.798183286747 -583.50949930658</f>
        <v>-1462.745777778337</v>
      </c>
      <c r="I3044">
        <f>-738.397626495534 -103.134864981061 -660.30214021483</f>
        <v>-1501.8346316914251</v>
      </c>
      <c r="J3044">
        <f>-774.190412797789 -82.1757159301997 -528.849430421615</f>
        <v>-1385.2155591496037</v>
      </c>
      <c r="K3044" t="s">
        <v>32721</v>
      </c>
      <c r="L3044" t="s">
        <v>32722</v>
      </c>
      <c r="M3044" t="s">
        <v>32723</v>
      </c>
      <c r="N3044">
        <f>-764.178373843187 -136.680925817851 -528.527972950277</f>
        <v>-1429.387272611315</v>
      </c>
      <c r="O3044">
        <f>-739.864319012993 -268.782138710838 -499.292255983836</f>
        <v>-1507.9387137076669</v>
      </c>
      <c r="P3044">
        <f>-708.853609148067 -297.206899472079 -208.050904353414</f>
        <v>-1214.1114129735602</v>
      </c>
      <c r="Q3044">
        <f>-566.256097561734 -125.089218705131 -298.008251982872</f>
        <v>-989.35356824973701</v>
      </c>
      <c r="R3044" t="s">
        <v>32724</v>
      </c>
      <c r="S3044" t="s">
        <v>32725</v>
      </c>
      <c r="T3044" t="s">
        <v>32726</v>
      </c>
      <c r="U3044" t="s">
        <v>32727</v>
      </c>
      <c r="V3044">
        <f>-675.624240891035 -173.58234355314 -72.1882461878791</f>
        <v>-921.3948306320541</v>
      </c>
      <c r="W3044" t="s">
        <v>32728</v>
      </c>
      <c r="X3044" t="s">
        <v>32729</v>
      </c>
      <c r="Y3044" t="s">
        <v>32730</v>
      </c>
    </row>
    <row r="3045" spans="1:25" x14ac:dyDescent="0.3">
      <c r="A3045">
        <v>152200</v>
      </c>
      <c r="B3045" t="s">
        <v>32731</v>
      </c>
      <c r="C3045">
        <f>-701.400989191807 -80.4713332153101 -75.7483637875401</f>
        <v>-857.6206861946572</v>
      </c>
      <c r="D3045">
        <f>-737.661891615073 -95.8581166479264 -184.67316585086</f>
        <v>-1018.1931741138594</v>
      </c>
      <c r="E3045">
        <f>-754.665793138455 -103.085401955383 -281.550855245529</f>
        <v>-1139.302050339367</v>
      </c>
      <c r="F3045">
        <f>-764.823278906725 -107.465036096043 -369.95833219939</f>
        <v>-1242.2466472021581</v>
      </c>
      <c r="G3045">
        <f>-769.357159601234 -109.683535892236 -458.912092314462</f>
        <v>-1337.9527878079321</v>
      </c>
      <c r="H3045">
        <f>-769.748312424871 -110.587849641192 -583.490744896271</f>
        <v>-1463.8269069623339</v>
      </c>
      <c r="I3045">
        <f>-738.590200413338 -103.899890855693 -660.23360528549</f>
        <v>-1502.723696554521</v>
      </c>
      <c r="J3045">
        <f>-774.651255978962 -82.9501517146161 -528.851564803816</f>
        <v>-1386.4529724973941</v>
      </c>
      <c r="K3045" t="s">
        <v>32732</v>
      </c>
      <c r="L3045" t="s">
        <v>32733</v>
      </c>
      <c r="M3045" t="s">
        <v>32734</v>
      </c>
      <c r="N3045">
        <f>-764.501049066504 -137.429587198187 -528.488036002764</f>
        <v>-1430.4186722674549</v>
      </c>
      <c r="O3045">
        <f>-739.405409066142 -269.316832656446 -498.936636674394</f>
        <v>-1507.6588783969819</v>
      </c>
      <c r="P3045">
        <f>-707.730467172146 -297.537023478696 -207.746825563063</f>
        <v>-1213.014316213905</v>
      </c>
      <c r="Q3045">
        <f>-564.763995102513 -126.224934510953 -298.651267620692</f>
        <v>-989.64019723415811</v>
      </c>
      <c r="R3045" t="s">
        <v>32735</v>
      </c>
      <c r="S3045" t="s">
        <v>32736</v>
      </c>
      <c r="T3045" t="s">
        <v>32737</v>
      </c>
      <c r="U3045" t="s">
        <v>32738</v>
      </c>
      <c r="V3045">
        <f>-676.03455365734 -173.905869388275 -72.1598407142699</f>
        <v>-922.10026375988491</v>
      </c>
      <c r="W3045" t="s">
        <v>32739</v>
      </c>
      <c r="X3045" t="s">
        <v>32740</v>
      </c>
      <c r="Y3045" t="s">
        <v>32741</v>
      </c>
    </row>
    <row r="3046" spans="1:25" x14ac:dyDescent="0.3">
      <c r="A3046">
        <v>152250</v>
      </c>
      <c r="B3046" t="s">
        <v>32742</v>
      </c>
      <c r="C3046">
        <f>-701.732401972916 -80.5862421240184 -75.7482123281923</f>
        <v>-858.06685642512673</v>
      </c>
      <c r="D3046">
        <f>-738.016584446541 -96.0627002276843 -184.652600957042</f>
        <v>-1018.7318856312672</v>
      </c>
      <c r="E3046">
        <f>-754.993645402275 -103.354722416464 -281.530136582179</f>
        <v>-1139.878504400918</v>
      </c>
      <c r="F3046">
        <f>-765.106780059755 -107.789347307996 -369.94002008908</f>
        <v>-1242.836147456831</v>
      </c>
      <c r="G3046">
        <f>-769.575759210575 -110.059299331057 -458.895647230704</f>
        <v>-1338.530705772336</v>
      </c>
      <c r="H3046">
        <f>-769.854813088924 -111.032258815286 -583.474097410521</f>
        <v>-1464.3611693147309</v>
      </c>
      <c r="I3046">
        <f>-738.628458325359 -104.345610801113 -660.189253806779</f>
        <v>-1503.163322933251</v>
      </c>
      <c r="J3046">
        <f>-774.845519069622 -83.3717379282137 -528.854522629886</f>
        <v>-1387.0717796277218</v>
      </c>
      <c r="K3046" t="s">
        <v>32743</v>
      </c>
      <c r="L3046" t="s">
        <v>32744</v>
      </c>
      <c r="M3046" t="s">
        <v>32745</v>
      </c>
      <c r="N3046">
        <f>-764.618550799469 -137.836544299364 -528.452002871242</f>
        <v>-1430.907097970075</v>
      </c>
      <c r="O3046">
        <f>-739.082909010093 -269.595080050295 -498.717643653265</f>
        <v>-1507.395632713653</v>
      </c>
      <c r="P3046">
        <f>-706.714794937076 -297.660210360405 -207.588950159956</f>
        <v>-1211.9639554574371</v>
      </c>
      <c r="Q3046">
        <f>-563.013351462914 -127.393839462641 -299.29566496319</f>
        <v>-989.70285588874503</v>
      </c>
      <c r="R3046" t="s">
        <v>32746</v>
      </c>
      <c r="S3046" t="s">
        <v>32747</v>
      </c>
      <c r="T3046" t="s">
        <v>32748</v>
      </c>
      <c r="U3046" t="s">
        <v>32749</v>
      </c>
      <c r="V3046">
        <f>-676.209712120585 -174.026264333096 -72.1405179195935</f>
        <v>-922.37649437327457</v>
      </c>
      <c r="W3046" t="s">
        <v>32750</v>
      </c>
      <c r="X3046" t="s">
        <v>32751</v>
      </c>
      <c r="Y3046" t="s">
        <v>32752</v>
      </c>
    </row>
    <row r="3047" spans="1:25" x14ac:dyDescent="0.3">
      <c r="A3047">
        <v>152300</v>
      </c>
      <c r="B3047" t="s">
        <v>32753</v>
      </c>
      <c r="C3047">
        <f>-702.059182357565 -80.6291763791007 -75.7625033652027</f>
        <v>-858.45086210186844</v>
      </c>
      <c r="D3047">
        <f>-738.365980667898 -96.2164390060423 -184.643603409927</f>
        <v>-1019.2260230838673</v>
      </c>
      <c r="E3047">
        <f>-755.295378681608 -103.566360548595 -281.525056480191</f>
        <v>-1140.3867957103939</v>
      </c>
      <c r="F3047">
        <f>-765.336617737518 -108.039856250571 -369.941268340597</f>
        <v>-1243.3177423286861</v>
      </c>
      <c r="G3047">
        <f>-769.704475328614 -110.335008204056 -458.90127990823</f>
        <v>-1338.9407634408999</v>
      </c>
      <c r="H3047">
        <f>-769.811270560053 -111.329440771606 -583.479849055926</f>
        <v>-1464.6205603875851</v>
      </c>
      <c r="I3047">
        <f>-738.515877547262 -104.609107212422 -660.164029433783</f>
        <v>-1503.289014193467</v>
      </c>
      <c r="J3047">
        <f>-774.924160073727 -83.6682736805291 -528.871782024471</f>
        <v>-1387.4642157787271</v>
      </c>
      <c r="K3047" t="s">
        <v>32754</v>
      </c>
      <c r="L3047" t="s">
        <v>32755</v>
      </c>
      <c r="M3047" t="s">
        <v>32756</v>
      </c>
      <c r="N3047">
        <f>-764.604360789843 -138.115360216782 -528.446058736927</f>
        <v>-1431.1657797435519</v>
      </c>
      <c r="O3047">
        <f>-738.747544558092 -269.815100728901 -498.651048776478</f>
        <v>-1507.2136940634709</v>
      </c>
      <c r="P3047">
        <f>-705.059121627899 -298.28746774196 -207.711885956025</f>
        <v>-1211.058475325884</v>
      </c>
      <c r="Q3047">
        <f>-560.880189656389 -128.908994815912 -300.308953374869</f>
        <v>-990.09813784717005</v>
      </c>
      <c r="R3047" t="s">
        <v>32757</v>
      </c>
      <c r="S3047" t="s">
        <v>32758</v>
      </c>
      <c r="T3047" t="s">
        <v>32759</v>
      </c>
      <c r="U3047" t="s">
        <v>32760</v>
      </c>
      <c r="V3047">
        <f>-676.34033278886 -174.082526469969 -72.128898802751</f>
        <v>-922.55175806158002</v>
      </c>
      <c r="W3047" t="s">
        <v>32761</v>
      </c>
      <c r="X3047" t="s">
        <v>32762</v>
      </c>
      <c r="Y3047" t="s">
        <v>32763</v>
      </c>
    </row>
    <row r="3048" spans="1:25" x14ac:dyDescent="0.3">
      <c r="A3048">
        <v>152350</v>
      </c>
      <c r="B3048" t="s">
        <v>32764</v>
      </c>
      <c r="C3048">
        <f>-702.917859417703 -80.9218694895782 -75.7608474015327</f>
        <v>-859.60057630881386</v>
      </c>
      <c r="D3048">
        <f>-739.24209607696 -96.714255864367 -184.606457290338</f>
        <v>-1020.562809231665</v>
      </c>
      <c r="E3048">
        <f>-756.044600537528 -104.100856979815 -281.507210276148</f>
        <v>-1141.652667793491</v>
      </c>
      <c r="F3048">
        <f>-765.910212663891 -108.552502309426 -369.944265407183</f>
        <v>-1244.4069803805</v>
      </c>
      <c r="G3048">
        <f>-770.041208224842 -110.768563759724 -458.917661005309</f>
        <v>-1339.7274329898751</v>
      </c>
      <c r="H3048">
        <f>-769.752488100527 -111.592205243385 -583.497114465246</f>
        <v>-1464.8418078091581</v>
      </c>
      <c r="I3048">
        <f>-738.330415710361 -104.65909883756 -660.110520386849</f>
        <v>-1503.1000349347701</v>
      </c>
      <c r="J3048">
        <f>-775.173494932816 -84.0318097038027 -528.867879219406</f>
        <v>-1388.0731838560246</v>
      </c>
      <c r="K3048" t="s">
        <v>32765</v>
      </c>
      <c r="L3048" t="s">
        <v>32766</v>
      </c>
      <c r="M3048" t="s">
        <v>32767</v>
      </c>
      <c r="N3048">
        <f>-764.585611954193 -138.427720630547 -528.483806764803</f>
        <v>-1431.497139349543</v>
      </c>
      <c r="O3048">
        <f>-738.144582334296 -270.062117487718 -498.936230089749</f>
        <v>-1507.1429299117631</v>
      </c>
      <c r="P3048">
        <f>-701.327174204059 -300.382725687697 -208.563446687014</f>
        <v>-1210.2733465787701</v>
      </c>
      <c r="Q3048">
        <f>-556.542036465306 -132.733304797056 -303.33593715645</f>
        <v>-992.61127841881193</v>
      </c>
      <c r="R3048" t="s">
        <v>32768</v>
      </c>
      <c r="S3048" t="s">
        <v>32769</v>
      </c>
      <c r="T3048" t="s">
        <v>32770</v>
      </c>
      <c r="U3048" t="s">
        <v>32771</v>
      </c>
      <c r="V3048">
        <f>-676.931809919578 -174.41266168193 -72.0433575572036</f>
        <v>-923.38782915871161</v>
      </c>
      <c r="W3048" t="s">
        <v>32772</v>
      </c>
      <c r="X3048" t="s">
        <v>32773</v>
      </c>
      <c r="Y3048" t="s">
        <v>32774</v>
      </c>
    </row>
    <row r="3049" spans="1:25" x14ac:dyDescent="0.3">
      <c r="A3049">
        <v>152400</v>
      </c>
      <c r="B3049" t="s">
        <v>32775</v>
      </c>
      <c r="C3049">
        <f>-703.60766111018 -80.9009497465673 -75.7901591589954</f>
        <v>-860.29877001574266</v>
      </c>
      <c r="D3049">
        <f>-739.866007599805 -96.9081779441665 -184.626351049208</f>
        <v>-1021.4005365931795</v>
      </c>
      <c r="E3049">
        <f>-756.544459339542 -104.291103762424 -281.548878191352</f>
        <v>-1142.3844412933179</v>
      </c>
      <c r="F3049">
        <f>-766.26703899655 -108.6653043593 -370.005650850048</f>
        <v>-1244.9379942058981</v>
      </c>
      <c r="G3049">
        <f>-770.223304450262 -110.727973402349 -458.99048495363</f>
        <v>-1339.9417628062411</v>
      </c>
      <c r="H3049">
        <f>-769.656692244241 -111.257780044967 -583.570693895924</f>
        <v>-1464.4851661851321</v>
      </c>
      <c r="I3049">
        <f>-738.192132694631 -104.021260682182 -660.138620788426</f>
        <v>-1502.3520141652389</v>
      </c>
      <c r="J3049">
        <f>-775.335245901353 -83.8529788261737 -528.889440772652</f>
        <v>-1388.0776655001787</v>
      </c>
      <c r="K3049" t="s">
        <v>32776</v>
      </c>
      <c r="L3049" t="s">
        <v>32777</v>
      </c>
      <c r="M3049" t="s">
        <v>32778</v>
      </c>
      <c r="N3049">
        <f>-764.476803522926 -138.196198615486 -528.608966322071</f>
        <v>-1431.2819684604829</v>
      </c>
      <c r="O3049">
        <f>-737.576877700306 -269.823448242921 -499.482507458544</f>
        <v>-1506.882833401771</v>
      </c>
      <c r="P3049">
        <f>-697.778686714476 -302.727605924414 -209.784930069464</f>
        <v>-1210.2912227083539</v>
      </c>
      <c r="Q3049">
        <f>-553.248618478959 -136.239810505418 -306.963773115379</f>
        <v>-996.45220209975594</v>
      </c>
      <c r="R3049" t="s">
        <v>32779</v>
      </c>
      <c r="S3049" t="s">
        <v>32780</v>
      </c>
      <c r="T3049" t="s">
        <v>32781</v>
      </c>
      <c r="U3049" t="s">
        <v>32782</v>
      </c>
      <c r="V3049">
        <f>-677.172799290573 -174.394028251229 -72.0419894568136</f>
        <v>-923.60881699861557</v>
      </c>
      <c r="W3049" t="s">
        <v>32783</v>
      </c>
      <c r="X3049" t="s">
        <v>32784</v>
      </c>
      <c r="Y3049" t="s">
        <v>32785</v>
      </c>
    </row>
    <row r="3050" spans="1:25" x14ac:dyDescent="0.3">
      <c r="A3050">
        <v>152450</v>
      </c>
      <c r="B3050" t="s">
        <v>32786</v>
      </c>
      <c r="C3050">
        <f>-703.87633770729 -80.8887491923592 -75.8370277457768</f>
        <v>-860.60211464542601</v>
      </c>
      <c r="D3050">
        <f>-740.067137910512 -96.9914246789018 -184.681558110539</f>
        <v>-1021.7401206999527</v>
      </c>
      <c r="E3050">
        <f>-756.682439893388 -104.363487469634 -281.615842820322</f>
        <v>-1142.6617701833441</v>
      </c>
      <c r="F3050">
        <f>-766.343910409551 -108.692517967374 -370.081473819041</f>
        <v>-1245.1179021959661</v>
      </c>
      <c r="G3050">
        <f>-770.234456478437 -110.674649458881 -459.071303507215</f>
        <v>-1339.9804094445331</v>
      </c>
      <c r="H3050">
        <f>-769.570805038661 -111.055372508217 -583.651456193271</f>
        <v>-1464.277633740149</v>
      </c>
      <c r="I3050">
        <f>-738.100746915973 -103.672416423526 -660.202990171902</f>
        <v>-1501.976153511401</v>
      </c>
      <c r="J3050">
        <f>-775.341052176786 -83.7259501583083 -528.941944487667</f>
        <v>-1388.0089468227611</v>
      </c>
      <c r="K3050" t="s">
        <v>32787</v>
      </c>
      <c r="L3050" t="s">
        <v>32788</v>
      </c>
      <c r="M3050" t="s">
        <v>32789</v>
      </c>
      <c r="N3050">
        <f>-764.384723231447 -138.049687164795 -528.717659590196</f>
        <v>-1431.1520699864379</v>
      </c>
      <c r="O3050">
        <f>-737.282524440603 -269.676312492208 -499.77153676963</f>
        <v>-1506.7303737024411</v>
      </c>
      <c r="P3050">
        <f>-696.54440683986 -303.370280977232 -210.295596235768</f>
        <v>-1210.2102840528601</v>
      </c>
      <c r="Q3050">
        <f>-551.997144042251 -137.574575923004 -308.625463441582</f>
        <v>-998.19718340683698</v>
      </c>
      <c r="R3050" t="s">
        <v>32790</v>
      </c>
      <c r="S3050" t="s">
        <v>32791</v>
      </c>
      <c r="T3050" t="s">
        <v>32792</v>
      </c>
      <c r="U3050" t="s">
        <v>32793</v>
      </c>
      <c r="V3050">
        <f>-677.185531498425 -174.309113479769 -72.1085568048665</f>
        <v>-923.6032017830604</v>
      </c>
      <c r="W3050" t="s">
        <v>32794</v>
      </c>
      <c r="X3050" t="s">
        <v>32795</v>
      </c>
      <c r="Y3050" t="s">
        <v>32796</v>
      </c>
    </row>
    <row r="3051" spans="1:25" x14ac:dyDescent="0.3">
      <c r="A3051">
        <v>152500</v>
      </c>
      <c r="B3051" t="s">
        <v>32797</v>
      </c>
      <c r="C3051">
        <f>-704.435366073114 -81.0954264543332 -75.9131257354505</f>
        <v>-861.44391826289768</v>
      </c>
      <c r="D3051">
        <f>-740.47289247747 -97.3042463515923 -184.792798654565</f>
        <v>-1022.5699374836273</v>
      </c>
      <c r="E3051">
        <f>-756.932492307661 -104.625686844531 -281.757462930469</f>
        <v>-1143.315642082661</v>
      </c>
      <c r="F3051">
        <f>-766.441140752682 -108.854779689099 -370.244435718594</f>
        <v>-1245.540356160375</v>
      </c>
      <c r="G3051">
        <f>-770.16617193666 -110.681974968934 -459.244564329067</f>
        <v>-1340.092711234661</v>
      </c>
      <c r="H3051">
        <f>-769.257406242798 -110.789339279074 -583.823827292074</f>
        <v>-1463.8705728139462</v>
      </c>
      <c r="I3051">
        <f>-737.745513179859 -103.149689706212 -660.332995266665</f>
        <v>-1501.228198152736</v>
      </c>
      <c r="J3051">
        <f>-775.233556340976 -83.6000353516539 -529.066679335417</f>
        <v>-1387.900271028047</v>
      </c>
      <c r="K3051" t="s">
        <v>32798</v>
      </c>
      <c r="L3051" t="s">
        <v>32799</v>
      </c>
      <c r="M3051" t="s">
        <v>32800</v>
      </c>
      <c r="N3051">
        <f>-764.080943910717 -137.884165599936 -528.938556935882</f>
        <v>-1430.9036664465352</v>
      </c>
      <c r="O3051">
        <f>-736.510468996367 -269.462371035148 -500.214387959486</f>
        <v>-1506.187227991001</v>
      </c>
      <c r="P3051">
        <f>-695.185344962003 -303.941899300448 -210.914134151653</f>
        <v>-1210.041378414104</v>
      </c>
      <c r="Q3051">
        <f>-549.849387215825 -139.625122897545 -310.555135099781</f>
        <v>-1000.0296452131511</v>
      </c>
      <c r="R3051" t="s">
        <v>32801</v>
      </c>
      <c r="S3051" t="s">
        <v>32802</v>
      </c>
      <c r="T3051" t="s">
        <v>32803</v>
      </c>
      <c r="U3051" t="s">
        <v>32804</v>
      </c>
      <c r="V3051">
        <f>-677.385435571884 -174.638713367355 -72.1854667222884</f>
        <v>-924.20961566152744</v>
      </c>
      <c r="W3051" t="s">
        <v>32805</v>
      </c>
      <c r="X3051" t="s">
        <v>32806</v>
      </c>
      <c r="Y3051" t="s">
        <v>32807</v>
      </c>
    </row>
    <row r="3052" spans="1:25" x14ac:dyDescent="0.3">
      <c r="A3052">
        <v>152550</v>
      </c>
      <c r="B3052" t="s">
        <v>32808</v>
      </c>
      <c r="C3052">
        <f>-704.672269930135 -81.305105675526 -75.9741373205276</f>
        <v>-861.95151292618857</v>
      </c>
      <c r="D3052">
        <f>-740.640619624337 -97.5375026530884 -184.873245963737</f>
        <v>-1023.0513682411623</v>
      </c>
      <c r="E3052">
        <f>-757.006558267243 -104.840052458101 -281.855084084621</f>
        <v>-1143.7016948099649</v>
      </c>
      <c r="F3052">
        <f>-766.415928985184 -109.037529666077 -370.354117284323</f>
        <v>-1245.8075759355841</v>
      </c>
      <c r="G3052">
        <f>-770.02706312748 -110.818201156513 -459.35997239401</f>
        <v>-1340.2052366780031</v>
      </c>
      <c r="H3052">
        <f>-768.943939102896 -110.845364522615 -583.937755621059</f>
        <v>-1463.72705924657</v>
      </c>
      <c r="I3052">
        <f>-737.376261899843 -103.101070105601 -660.41355128415</f>
        <v>-1500.8908832895941</v>
      </c>
      <c r="J3052">
        <f>-775.040929485486 -83.7003676928548 -529.172004679913</f>
        <v>-1387.9133018582538</v>
      </c>
      <c r="K3052" t="s">
        <v>32809</v>
      </c>
      <c r="L3052" t="s">
        <v>32810</v>
      </c>
      <c r="M3052" t="s">
        <v>32811</v>
      </c>
      <c r="N3052">
        <f>-763.800094078636 -137.966395334253 -529.062435217062</f>
        <v>-1430.828924629951</v>
      </c>
      <c r="O3052">
        <f>-736.04650773557 -269.523056657487 -500.421798133981</f>
        <v>-1505.9913625270381</v>
      </c>
      <c r="P3052">
        <f>-694.866724291879 -304.434275547361 -211.152600447346</f>
        <v>-1210.4536002865859</v>
      </c>
      <c r="Q3052">
        <f>-548.998117049711 -140.868918088181 -311.250705047981</f>
        <v>-1001.117740185873</v>
      </c>
      <c r="R3052" t="s">
        <v>32812</v>
      </c>
      <c r="S3052" t="s">
        <v>32813</v>
      </c>
      <c r="T3052" t="s">
        <v>32814</v>
      </c>
      <c r="U3052" t="s">
        <v>32815</v>
      </c>
      <c r="V3052">
        <f>-677.428832822429 -174.92337428794 -72.2679649862492</f>
        <v>-924.62017209661815</v>
      </c>
      <c r="W3052" t="s">
        <v>32816</v>
      </c>
      <c r="X3052" t="s">
        <v>32817</v>
      </c>
      <c r="Y3052" t="s">
        <v>32818</v>
      </c>
    </row>
    <row r="3053" spans="1:25" x14ac:dyDescent="0.3">
      <c r="A3053">
        <v>152600</v>
      </c>
      <c r="B3053" t="s">
        <v>32819</v>
      </c>
      <c r="C3053">
        <f>-705.073172191245 -81.4025193198461 -76.1657641425578</f>
        <v>-862.6414556536489</v>
      </c>
      <c r="D3053">
        <f>-740.856042186014 -97.6223040117135 -185.127804042617</f>
        <v>-1023.6061502403444</v>
      </c>
      <c r="E3053">
        <f>-757.008533912307 -104.85402339925 -282.150841118459</f>
        <v>-1144.013398430016</v>
      </c>
      <c r="F3053">
        <f>-766.201789000246 -108.966495616143 -370.676606455817</f>
        <v>-1245.8448910722059</v>
      </c>
      <c r="G3053">
        <f>-769.57363756112 -110.641445464605 -459.693770239106</f>
        <v>-1339.9088532648311</v>
      </c>
      <c r="H3053">
        <f>-768.132092368964 -110.500432071381 -584.267901083924</f>
        <v>-1462.9004255242689</v>
      </c>
      <c r="I3053">
        <f>-736.410362092403 -102.575888617172 -660.661355426345</f>
        <v>-1499.6476061359201</v>
      </c>
      <c r="J3053">
        <f>-774.444780767153 -83.4415169966397 -529.483958992547</f>
        <v>-1387.3702567563396</v>
      </c>
      <c r="K3053" t="s">
        <v>32820</v>
      </c>
      <c r="L3053" t="s">
        <v>32821</v>
      </c>
      <c r="M3053" t="s">
        <v>32822</v>
      </c>
      <c r="N3053">
        <f>-763.088175311564 -137.683463170302 -529.414088696639</f>
        <v>-1430.185727178505</v>
      </c>
      <c r="O3053">
        <f>-735.126598313784 -269.243821029152 -500.973308769798</f>
        <v>-1505.343728112734</v>
      </c>
      <c r="P3053">
        <f>-694.336364869714 -305.239919265681 -211.781919759431</f>
        <v>-1211.3582038948259</v>
      </c>
      <c r="Q3053">
        <f>-547.631172644248 -143.007366233686 -312.821913461584</f>
        <v>-1003.460452339518</v>
      </c>
      <c r="R3053" t="s">
        <v>32823</v>
      </c>
      <c r="S3053" t="s">
        <v>32824</v>
      </c>
      <c r="T3053" t="s">
        <v>32825</v>
      </c>
      <c r="U3053" t="s">
        <v>32826</v>
      </c>
      <c r="V3053">
        <f>-677.441242668531 -174.968744925324 -72.4818291412827</f>
        <v>-924.8918167351377</v>
      </c>
      <c r="W3053" t="s">
        <v>32827</v>
      </c>
      <c r="X3053" t="s">
        <v>32828</v>
      </c>
      <c r="Y3053" t="s">
        <v>32829</v>
      </c>
    </row>
    <row r="3054" spans="1:25" x14ac:dyDescent="0.3">
      <c r="A3054">
        <v>152650</v>
      </c>
      <c r="B3054" t="s">
        <v>32830</v>
      </c>
      <c r="C3054">
        <f>-705.290988441934 -81.5366408314194 -76.2970366790153</f>
        <v>-863.12466595236867</v>
      </c>
      <c r="D3054">
        <f>-740.987211514926 -97.7839306378817 -185.283364294835</f>
        <v>-1024.0545064476428</v>
      </c>
      <c r="E3054">
        <f>-757.036629161458 -104.9793519018 -282.326161796769</f>
        <v>-1144.342142860027</v>
      </c>
      <c r="F3054">
        <f>-766.123542014957 -109.036624930386 -370.865543210608</f>
        <v>-1246.0257101559509</v>
      </c>
      <c r="G3054">
        <f>-769.375895168596 -110.634686015244 -459.88851512181</f>
        <v>-1339.8990963056499</v>
      </c>
      <c r="H3054">
        <f>-767.753136855933 -110.364236964686 -584.460286240017</f>
        <v>-1462.5776600606359</v>
      </c>
      <c r="I3054">
        <f>-735.924192960548 -102.346965100391 -660.799515285899</f>
        <v>-1499.070673346838</v>
      </c>
      <c r="J3054">
        <f>-774.171465779438 -83.367677693346 -529.657812817646</f>
        <v>-1387.1969562904301</v>
      </c>
      <c r="K3054" t="s">
        <v>32831</v>
      </c>
      <c r="L3054" t="s">
        <v>32832</v>
      </c>
      <c r="M3054" t="s">
        <v>32833</v>
      </c>
      <c r="N3054">
        <f>-762.762971443793 -137.59874459602 -529.626919944881</f>
        <v>-1429.9886359846942</v>
      </c>
      <c r="O3054">
        <f>-734.790780719137 -269.181411645137 -501.322809169419</f>
        <v>-1505.295001533693</v>
      </c>
      <c r="P3054">
        <f>-694.126387635179 -305.861963685663 -212.199750565209</f>
        <v>-1212.1881018860508</v>
      </c>
      <c r="Q3054">
        <f>-547.131278087195 -144.331486469628 -313.940653112173</f>
        <v>-1005.403417668996</v>
      </c>
      <c r="R3054" t="s">
        <v>32834</v>
      </c>
      <c r="S3054" t="s">
        <v>32835</v>
      </c>
      <c r="T3054" t="s">
        <v>32836</v>
      </c>
      <c r="U3054" t="s">
        <v>32837</v>
      </c>
      <c r="V3054">
        <f>-677.425665802005 -174.970865315602 -72.6596065338443</f>
        <v>-925.05613765145142</v>
      </c>
      <c r="W3054" t="s">
        <v>32838</v>
      </c>
      <c r="X3054" t="s">
        <v>32839</v>
      </c>
      <c r="Y3054" t="s">
        <v>32840</v>
      </c>
    </row>
    <row r="3055" spans="1:25" x14ac:dyDescent="0.3">
      <c r="A3055">
        <v>152700</v>
      </c>
      <c r="B3055" t="s">
        <v>32841</v>
      </c>
      <c r="C3055">
        <f>-705.558353265844 -81.5720213183926 -76.3799326164941</f>
        <v>-863.51030720073061</v>
      </c>
      <c r="D3055">
        <f>-741.270674639969 -97.9110468298703 -185.347208152591</f>
        <v>-1024.5289296224303</v>
      </c>
      <c r="E3055">
        <f>-757.196212937434 -105.032543781394 -282.415810128345</f>
        <v>-1144.6445668471729</v>
      </c>
      <c r="F3055">
        <f>-766.111361609397 -108.964507287065 -370.978303323867</f>
        <v>-1246.0541722203291</v>
      </c>
      <c r="G3055">
        <f>-769.13079292595 -110.37875362827 -460.012801794727</f>
        <v>-1339.5223483489472</v>
      </c>
      <c r="H3055">
        <f>-767.118202313019 -109.791875406692 -584.577573325645</f>
        <v>-1461.487651045356</v>
      </c>
      <c r="I3055">
        <f>-735.012346257134 -101.579952114823 -660.779969965185</f>
        <v>-1497.372268337142</v>
      </c>
      <c r="J3055">
        <f>-773.781787769489 -82.9502351688529 -529.728415210723</f>
        <v>-1386.4604381490649</v>
      </c>
      <c r="K3055" t="s">
        <v>32842</v>
      </c>
      <c r="L3055" t="s">
        <v>32843</v>
      </c>
      <c r="M3055" t="s">
        <v>32844</v>
      </c>
      <c r="N3055">
        <f>-762.225913998035 -137.150030070148 -529.797148508348</f>
        <v>-1429.173092576531</v>
      </c>
      <c r="O3055">
        <f>-734.213856461279 -268.809771943077 -501.868256275348</f>
        <v>-1504.8918846797042</v>
      </c>
      <c r="P3055">
        <f>-693.900594197178 -306.289706601249 -212.798573863474</f>
        <v>-1212.988874661901</v>
      </c>
      <c r="Q3055">
        <f>-545.520723331885 -147.198888539378 -316.357235708096</f>
        <v>-1009.0768475793591</v>
      </c>
      <c r="R3055" t="s">
        <v>32845</v>
      </c>
      <c r="S3055" t="s">
        <v>32846</v>
      </c>
      <c r="T3055" t="s">
        <v>32847</v>
      </c>
      <c r="U3055" t="s">
        <v>32848</v>
      </c>
      <c r="V3055">
        <f>-677.32623012311 -174.923868290067 -72.803392704168</f>
        <v>-925.05349111734506</v>
      </c>
      <c r="W3055" t="s">
        <v>32849</v>
      </c>
      <c r="X3055" t="s">
        <v>32850</v>
      </c>
      <c r="Y3055" t="s">
        <v>32851</v>
      </c>
    </row>
    <row r="3056" spans="1:25" x14ac:dyDescent="0.3">
      <c r="A3056">
        <v>152750</v>
      </c>
      <c r="B3056" t="s">
        <v>32852</v>
      </c>
      <c r="C3056">
        <f>-705.553175546645 -81.5009357297863 -76.4099505615073</f>
        <v>-863.46406183793863</v>
      </c>
      <c r="D3056">
        <f>-741.331428772943 -97.8719638430493 -185.350926600874</f>
        <v>-1024.5543192168664</v>
      </c>
      <c r="E3056">
        <f>-757.253125219068 -104.974711883164 -282.421464515495</f>
        <v>-1144.6493016177269</v>
      </c>
      <c r="F3056">
        <f>-766.139784692231 -108.869336277556 -370.988430528715</f>
        <v>-1245.9975514985022</v>
      </c>
      <c r="G3056">
        <f>-769.105752887458 -110.224803261327 -460.025621161644</f>
        <v>-1339.3561773104291</v>
      </c>
      <c r="H3056">
        <f>-766.9924401781 -109.532215336797 -584.588306641854</f>
        <v>-1461.1129621567511</v>
      </c>
      <c r="I3056">
        <f>-734.735050180517 -101.237138447661 -660.717633013286</f>
        <v>-1496.6898216414638</v>
      </c>
      <c r="J3056">
        <f>-773.742905046611 -82.7461811577322 -529.722414981189</f>
        <v>-1386.2115011855321</v>
      </c>
      <c r="K3056" t="s">
        <v>32853</v>
      </c>
      <c r="L3056" t="s">
        <v>32854</v>
      </c>
      <c r="M3056" t="s">
        <v>32855</v>
      </c>
      <c r="N3056">
        <f>-762.101880391276 -136.927802547017 -529.826212237528</f>
        <v>-1428.8558951758209</v>
      </c>
      <c r="O3056">
        <f>-733.991763704997 -268.583678381014 -502.028275761667</f>
        <v>-1504.6037178476779</v>
      </c>
      <c r="P3056">
        <f>-693.890729031451 -306.005293263144 -212.921445110491</f>
        <v>-1212.8174674050861</v>
      </c>
      <c r="Q3056">
        <f>-544.546024058288 -148.529981610565 -317.556907642357</f>
        <v>-1010.6329133112099</v>
      </c>
      <c r="R3056" t="s">
        <v>32856</v>
      </c>
      <c r="S3056" t="s">
        <v>32857</v>
      </c>
      <c r="T3056" t="s">
        <v>32858</v>
      </c>
      <c r="U3056" t="s">
        <v>32859</v>
      </c>
      <c r="V3056">
        <f>-677.204440217869 -174.773353741111 -72.8374695057793</f>
        <v>-924.81526346475925</v>
      </c>
      <c r="W3056" t="s">
        <v>32860</v>
      </c>
      <c r="X3056" t="s">
        <v>32861</v>
      </c>
      <c r="Y3056" t="s">
        <v>32862</v>
      </c>
    </row>
    <row r="3057" spans="1:25" x14ac:dyDescent="0.3">
      <c r="A3057">
        <v>152800</v>
      </c>
      <c r="B3057" t="s">
        <v>32863</v>
      </c>
      <c r="C3057">
        <f>-705.489560207339 -81.5628382066161 -76.452081675993</f>
        <v>-863.50448008994806</v>
      </c>
      <c r="D3057">
        <f>-741.294568698179 -98.0535395406373 -185.366109093591</f>
        <v>-1024.7142173324073</v>
      </c>
      <c r="E3057">
        <f>-757.232900045122 -105.180901739359 -282.432165966304</f>
        <v>-1144.8459677507851</v>
      </c>
      <c r="F3057">
        <f>-766.131177243531 -109.064729475831 -370.998500873012</f>
        <v>-1246.1944075923741</v>
      </c>
      <c r="G3057">
        <f>-769.105354768698 -110.374067232628 -460.035919862044</f>
        <v>-1339.5153418633699</v>
      </c>
      <c r="H3057">
        <f>-766.99998718901 -109.578977804546 -584.598264203316</f>
        <v>-1461.1772291968718</v>
      </c>
      <c r="I3057">
        <f>-734.484062715173 -101.154316690122 -660.603311492769</f>
        <v>-1496.241690898064</v>
      </c>
      <c r="J3057">
        <f>-773.810919547049 -82.8519847196361 -529.711224248336</f>
        <v>-1386.3741285150211</v>
      </c>
      <c r="K3057" t="s">
        <v>32864</v>
      </c>
      <c r="L3057" t="s">
        <v>32865</v>
      </c>
      <c r="M3057" t="s">
        <v>32866</v>
      </c>
      <c r="N3057">
        <f>-762.042007046046 -137.005800549088 -529.857922996293</f>
        <v>-1428.9057305914271</v>
      </c>
      <c r="O3057">
        <f>-733.727596816685 -268.652497202748 -502.17767871394</f>
        <v>-1504.557772733373</v>
      </c>
      <c r="P3057">
        <f>-693.970928791057 -305.309404857924 -212.925367686537</f>
        <v>-1212.2057013355179</v>
      </c>
      <c r="Q3057">
        <f>-542.282407520065 -151.405002362833 -319.484673516003</f>
        <v>-1013.172083398901</v>
      </c>
      <c r="R3057" t="s">
        <v>32867</v>
      </c>
      <c r="S3057" t="s">
        <v>32868</v>
      </c>
      <c r="T3057" t="s">
        <v>32869</v>
      </c>
      <c r="U3057" t="s">
        <v>32870</v>
      </c>
      <c r="V3057">
        <f>-676.865740319975 -174.771899316604 -72.8880714530967</f>
        <v>-924.52571108967572</v>
      </c>
      <c r="W3057" t="s">
        <v>32871</v>
      </c>
      <c r="X3057" t="s">
        <v>32872</v>
      </c>
      <c r="Y3057" t="s">
        <v>32873</v>
      </c>
    </row>
    <row r="3058" spans="1:25" x14ac:dyDescent="0.3">
      <c r="A3058">
        <v>152850</v>
      </c>
      <c r="B3058" t="s">
        <v>32874</v>
      </c>
      <c r="C3058">
        <f>-705.381570044931 -81.5625497269905 -76.4576948798315</f>
        <v>-863.40181465175294</v>
      </c>
      <c r="D3058">
        <f>-741.234256215518 -98.1018585946139 -185.348709812684</f>
        <v>-1024.684824622816</v>
      </c>
      <c r="E3058">
        <f>-757.204579605283 -105.235080543313 -282.409229414105</f>
        <v>-1144.8488895627011</v>
      </c>
      <c r="F3058">
        <f>-766.127391652736 -109.109235719777 -370.973354785826</f>
        <v>-1246.209982158339</v>
      </c>
      <c r="G3058">
        <f>-769.121654722178 -110.393340350627 -460.010565751277</f>
        <v>-1339.525560824082</v>
      </c>
      <c r="H3058">
        <f>-767.039523227991 -109.546339124853 -584.572876723028</f>
        <v>-1461.1587390758721</v>
      </c>
      <c r="I3058">
        <f>-734.449013230273 -101.071872922898 -660.540448836002</f>
        <v>-1496.061334989173</v>
      </c>
      <c r="J3058">
        <f>-773.866173752623 -82.8478192166319 -529.673840501263</f>
        <v>-1386.387833470518</v>
      </c>
      <c r="K3058" t="s">
        <v>32875</v>
      </c>
      <c r="L3058" t="s">
        <v>32876</v>
      </c>
      <c r="M3058" t="s">
        <v>32877</v>
      </c>
      <c r="N3058">
        <f>-762.045333822424 -136.990258037995 -529.844501887675</f>
        <v>-1428.8800937480942</v>
      </c>
      <c r="O3058">
        <f>-733.641807912736 -268.621534740294 -502.201469963065</f>
        <v>-1504.4648126160951</v>
      </c>
      <c r="P3058">
        <f>-694.276072274586 -304.845882218105 -212.841349284154</f>
        <v>-1211.9633037768449</v>
      </c>
      <c r="Q3058">
        <f>-541.713400840973 -152.382407482846 -320.221113227215</f>
        <v>-1014.3169215510341</v>
      </c>
      <c r="R3058" t="s">
        <v>32878</v>
      </c>
      <c r="S3058" t="s">
        <v>32879</v>
      </c>
      <c r="T3058" t="s">
        <v>32880</v>
      </c>
      <c r="U3058" t="s">
        <v>32881</v>
      </c>
      <c r="V3058">
        <f>-676.680085836421 -174.717465704703 -72.8561786490199</f>
        <v>-924.25373019014376</v>
      </c>
      <c r="W3058" t="s">
        <v>32882</v>
      </c>
      <c r="X3058" t="s">
        <v>32883</v>
      </c>
      <c r="Y3058" t="s">
        <v>32884</v>
      </c>
    </row>
    <row r="3059" spans="1:25" x14ac:dyDescent="0.3">
      <c r="A3059">
        <v>152900</v>
      </c>
      <c r="B3059" t="s">
        <v>32885</v>
      </c>
      <c r="C3059">
        <f>-705.267849039072 -81.5981232337688 -76.4450998670027</f>
        <v>-863.31107213984342</v>
      </c>
      <c r="D3059">
        <f>-741.193999536793 -98.2675303744686 -185.292067994802</f>
        <v>-1024.7535979060635</v>
      </c>
      <c r="E3059">
        <f>-757.209080337067 -105.422162884225 -282.343536656217</f>
        <v>-1144.974779877509</v>
      </c>
      <c r="F3059">
        <f>-766.163589888604 -109.278144989058 -370.905409728275</f>
        <v>-1246.347144605937</v>
      </c>
      <c r="G3059">
        <f>-769.180659566912 -110.504115265776 -459.942509875202</f>
        <v>-1339.6272847078901</v>
      </c>
      <c r="H3059">
        <f>-767.120887356818 -109.532785540101 -584.504386705716</f>
        <v>-1461.1580596026351</v>
      </c>
      <c r="I3059">
        <f>-734.481866188685 -100.950188334273 -660.438906201086</f>
        <v>-1495.8709607240439</v>
      </c>
      <c r="J3059">
        <f>-774.016631891966 -82.906448208932 -529.578937060963</f>
        <v>-1386.502017161861</v>
      </c>
      <c r="K3059" t="s">
        <v>32886</v>
      </c>
      <c r="L3059" t="s">
        <v>32887</v>
      </c>
      <c r="M3059" t="s">
        <v>32888</v>
      </c>
      <c r="N3059">
        <f>-762.037887133211 -137.013963000801 -529.802886171275</f>
        <v>-1428.8547363052871</v>
      </c>
      <c r="O3059">
        <f>-733.293841125275 -268.595626308288 -502.280605636697</f>
        <v>-1504.1700730702598</v>
      </c>
      <c r="P3059">
        <f>-695.250831978521 -303.805391909042 -212.618505856489</f>
        <v>-1211.674729744052</v>
      </c>
      <c r="Q3059">
        <f>-542.165731728112 -153.026168823784 -321.620455581738</f>
        <v>-1016.812356133634</v>
      </c>
      <c r="R3059" t="s">
        <v>32889</v>
      </c>
      <c r="S3059" t="s">
        <v>32890</v>
      </c>
      <c r="T3059" t="s">
        <v>32891</v>
      </c>
      <c r="U3059" t="s">
        <v>32892</v>
      </c>
      <c r="V3059">
        <f>-676.385558215156 -174.637954926121 -72.8342615740373</f>
        <v>-923.85777471531435</v>
      </c>
      <c r="W3059" t="s">
        <v>32893</v>
      </c>
      <c r="X3059" t="s">
        <v>32894</v>
      </c>
      <c r="Y3059" t="s">
        <v>32895</v>
      </c>
    </row>
    <row r="3060" spans="1:25" x14ac:dyDescent="0.3">
      <c r="A3060">
        <v>152950</v>
      </c>
      <c r="B3060" t="s">
        <v>32896</v>
      </c>
      <c r="C3060">
        <f>-705.252628913772 -81.6272638744533 -76.4318469245563</f>
        <v>-863.31173971278167</v>
      </c>
      <c r="D3060">
        <f>-741.229894997518 -98.3669583626535 -185.251121208289</f>
        <v>-1024.8479745684606</v>
      </c>
      <c r="E3060">
        <f>-757.294386748399 -105.545031313643 -282.292715863818</f>
        <v>-1145.13213392586</v>
      </c>
      <c r="F3060">
        <f>-766.295377573658 -109.406676017565 -370.849527637091</f>
        <v>-1246.551581228314</v>
      </c>
      <c r="G3060">
        <f>-769.360383992507 -110.621705660287 -459.885342021629</f>
        <v>-1339.867431674423</v>
      </c>
      <c r="H3060">
        <f>-767.369129870156 -109.616874836955 -584.447963938024</f>
        <v>-1461.4339686451351</v>
      </c>
      <c r="I3060">
        <f>-734.747395844151 -100.986683791352 -660.384629603524</f>
        <v>-1496.1187092390269</v>
      </c>
      <c r="J3060">
        <f>-774.278013420843 -83.0149539677936 -529.512417718002</f>
        <v>-1386.8053851066386</v>
      </c>
      <c r="K3060" t="s">
        <v>32897</v>
      </c>
      <c r="L3060" t="s">
        <v>32898</v>
      </c>
      <c r="M3060" t="s">
        <v>32899</v>
      </c>
      <c r="N3060">
        <f>-762.212700563853 -137.103195767618 -529.755745779243</f>
        <v>-1429.071642110714</v>
      </c>
      <c r="O3060">
        <f>-733.26705443273 -268.653996544441 -502.274985075183</f>
        <v>-1504.196036052354</v>
      </c>
      <c r="P3060">
        <f>-695.863686668612 -303.463151657463 -212.481065614163</f>
        <v>-1211.807903940238</v>
      </c>
      <c r="Q3060">
        <f>-543.188398850496 -152.925715097193 -322.388437394376</f>
        <v>-1018.5025513420651</v>
      </c>
      <c r="R3060" t="s">
        <v>32900</v>
      </c>
      <c r="S3060" t="s">
        <v>32901</v>
      </c>
      <c r="T3060" t="s">
        <v>32902</v>
      </c>
      <c r="U3060" t="s">
        <v>32903</v>
      </c>
      <c r="V3060">
        <f>-676.293233314406 -174.647825795188 -72.8012643139748</f>
        <v>-923.74232342356891</v>
      </c>
      <c r="W3060" t="s">
        <v>32904</v>
      </c>
      <c r="X3060" t="s">
        <v>32905</v>
      </c>
      <c r="Y3060" t="s">
        <v>32906</v>
      </c>
    </row>
    <row r="3061" spans="1:25" x14ac:dyDescent="0.3">
      <c r="A3061">
        <v>153000</v>
      </c>
      <c r="B3061" t="s">
        <v>32907</v>
      </c>
      <c r="C3061">
        <f>-705.324736161626 -81.5616976309212 -76.3936015911868</f>
        <v>-863.280035383734</v>
      </c>
      <c r="D3061">
        <f>-741.383346892191 -98.4471485634092 -185.163528577401</f>
        <v>-1024.9940240330011</v>
      </c>
      <c r="E3061">
        <f>-757.569192982098 -105.676215229033 -282.181066406153</f>
        <v>-1145.4264746172839</v>
      </c>
      <c r="F3061">
        <f>-766.699680124747 -109.553110330552 -370.723939555391</f>
        <v>-1246.9767300106901</v>
      </c>
      <c r="G3061">
        <f>-769.913999036824 -110.750147187523 -459.754731472497</f>
        <v>-1340.418877696844</v>
      </c>
      <c r="H3061">
        <f>-768.151386387633 -109.684213872381 -584.320263684839</f>
        <v>-1462.1558639448531</v>
      </c>
      <c r="I3061">
        <f>-735.597034161831 -100.965116812531 -660.275561153677</f>
        <v>-1496.8377121280389</v>
      </c>
      <c r="J3061">
        <f>-775.034196956401 -83.1260104267277 -529.360247230025</f>
        <v>-1387.5204546131538</v>
      </c>
      <c r="K3061" t="s">
        <v>32908</v>
      </c>
      <c r="L3061" t="s">
        <v>32909</v>
      </c>
      <c r="M3061" t="s">
        <v>32910</v>
      </c>
      <c r="N3061">
        <f>-762.819929944995 -137.180517070007 -529.650045631983</f>
        <v>-1429.650492646985</v>
      </c>
      <c r="O3061">
        <f>-733.504456979516 -268.661977732358 -502.241325484417</f>
        <v>-1504.4077601962911</v>
      </c>
      <c r="P3061">
        <f>-696.764592131206 -302.998214419339 -212.306254540465</f>
        <v>-1212.0690610910099</v>
      </c>
      <c r="Q3061">
        <f>-544.988714380562 -152.416957559712 -323.392861926667</f>
        <v>-1020.7985338669411</v>
      </c>
      <c r="R3061" t="s">
        <v>32911</v>
      </c>
      <c r="S3061" t="s">
        <v>32912</v>
      </c>
      <c r="T3061" t="s">
        <v>32913</v>
      </c>
      <c r="U3061" t="s">
        <v>32914</v>
      </c>
      <c r="V3061">
        <f>-676.125150368332 -174.471187345028 -72.7014866402342</f>
        <v>-923.29782435359425</v>
      </c>
      <c r="W3061" t="s">
        <v>32915</v>
      </c>
      <c r="X3061" t="s">
        <v>32916</v>
      </c>
      <c r="Y3061" t="s">
        <v>32917</v>
      </c>
    </row>
    <row r="3062" spans="1:25" x14ac:dyDescent="0.3">
      <c r="A3062">
        <v>153050</v>
      </c>
      <c r="B3062" t="s">
        <v>32918</v>
      </c>
      <c r="C3062">
        <f>-705.409827945071 -81.6940554565182 -76.3630830760166</f>
        <v>-863.46696647760575</v>
      </c>
      <c r="D3062">
        <f>-741.50439632925 -98.6546362708814 -185.109393091722</f>
        <v>-1025.2684256918533</v>
      </c>
      <c r="E3062">
        <f>-757.751477990151 -105.906201608922 -282.115078368622</f>
        <v>-1145.7727579676948</v>
      </c>
      <c r="F3062">
        <f>-766.949379880291 -109.78508280357 -370.650904510476</f>
        <v>-1247.3853671943371</v>
      </c>
      <c r="G3062">
        <f>-770.243156039686 -110.96438808316 -459.678986317813</f>
        <v>-1340.886530440659</v>
      </c>
      <c r="H3062">
        <f>-768.604289487343 -109.85184788471 -584.245853014476</f>
        <v>-1462.7019903865289</v>
      </c>
      <c r="I3062">
        <f>-736.10069340343 -101.079863987812 -660.216795935268</f>
        <v>-1497.39735332651</v>
      </c>
      <c r="J3062">
        <f>-775.47700507255 -83.3242685719924 -529.269802512399</f>
        <v>-1388.0710761569414</v>
      </c>
      <c r="K3062" t="s">
        <v>32919</v>
      </c>
      <c r="L3062" t="s">
        <v>32920</v>
      </c>
      <c r="M3062" t="s">
        <v>32921</v>
      </c>
      <c r="N3062">
        <f>-763.173979797144 -137.358486963761 -529.590444027614</f>
        <v>-1430.1229107885192</v>
      </c>
      <c r="O3062">
        <f>-733.642947556095 -268.805897568928 -502.22942962583</f>
        <v>-1504.678274750853</v>
      </c>
      <c r="P3062">
        <f>-697.248496746629 -302.876426161763 -212.219376681661</f>
        <v>-1212.344299590053</v>
      </c>
      <c r="Q3062">
        <f>-545.586859040211 -152.198526853101 -323.330986985594</f>
        <v>-1021.116372878906</v>
      </c>
      <c r="R3062" t="s">
        <v>32922</v>
      </c>
      <c r="S3062" t="s">
        <v>32923</v>
      </c>
      <c r="T3062" t="s">
        <v>32924</v>
      </c>
      <c r="U3062" t="s">
        <v>32925</v>
      </c>
      <c r="V3062">
        <f>-676.152723890683 -174.656169672894 -72.6471348625253</f>
        <v>-923.45602842610219</v>
      </c>
      <c r="W3062" t="s">
        <v>32926</v>
      </c>
      <c r="X3062" t="s">
        <v>32927</v>
      </c>
      <c r="Y3062" t="s">
        <v>32928</v>
      </c>
    </row>
    <row r="3063" spans="1:25" x14ac:dyDescent="0.3">
      <c r="A3063">
        <v>153100</v>
      </c>
      <c r="B3063" t="s">
        <v>32929</v>
      </c>
      <c r="C3063">
        <f>-705.624170582784 -81.9477699735996 -76.3223365547697</f>
        <v>-863.89427711115331</v>
      </c>
      <c r="D3063">
        <f>-741.766863213343 -99.1116728074165 -185.02064312844</f>
        <v>-1025.8991791491994</v>
      </c>
      <c r="E3063">
        <f>-758.110690131124 -106.424662682834 -282.005442645844</f>
        <v>-1146.540795459802</v>
      </c>
      <c r="F3063">
        <f>-767.417739552651 -110.311291326108 -370.529568356992</f>
        <v>-1248.258599235751</v>
      </c>
      <c r="G3063">
        <f>-770.84263488915 -111.446884660524 -459.553280372123</f>
        <v>-1341.842799921797</v>
      </c>
      <c r="H3063">
        <f>-769.409281230119 -110.21751700579 -584.121560469261</f>
        <v>-1463.7483587051699</v>
      </c>
      <c r="I3063">
        <f>-737.017362947426 -101.290677842483 -660.122193652393</f>
        <v>-1498.430234442302</v>
      </c>
      <c r="J3063">
        <f>-776.294238531649 -83.7651692848054 -529.110745453788</f>
        <v>-1389.1701532702423</v>
      </c>
      <c r="K3063" t="s">
        <v>32930</v>
      </c>
      <c r="L3063" t="s">
        <v>32931</v>
      </c>
      <c r="M3063" t="s">
        <v>32932</v>
      </c>
      <c r="N3063">
        <f>-763.785814117148 -137.751864390451 -529.499715221542</f>
        <v>-1431.0373937291411</v>
      </c>
      <c r="O3063">
        <f>-733.741587426226 -269.104261953599 -502.251688083969</f>
        <v>-1505.097537463794</v>
      </c>
      <c r="P3063">
        <f>-698.094372257445 -302.633500902935 -212.085664811525</f>
        <v>-1212.8135379719049</v>
      </c>
      <c r="Q3063">
        <f>-546.747165899158 -151.629093216206 -323.182896046894</f>
        <v>-1021.5591551622579</v>
      </c>
      <c r="R3063" t="s">
        <v>32933</v>
      </c>
      <c r="S3063" t="s">
        <v>32934</v>
      </c>
      <c r="T3063" t="s">
        <v>32935</v>
      </c>
      <c r="U3063" t="s">
        <v>32936</v>
      </c>
      <c r="V3063">
        <f>-676.225894151718 -174.813348851373 -72.5650497935638</f>
        <v>-923.60429279665482</v>
      </c>
      <c r="W3063" t="s">
        <v>32937</v>
      </c>
      <c r="X3063" t="s">
        <v>32938</v>
      </c>
      <c r="Y3063" t="s">
        <v>32939</v>
      </c>
    </row>
    <row r="3064" spans="1:25" x14ac:dyDescent="0.3">
      <c r="A3064">
        <v>153150</v>
      </c>
      <c r="B3064" t="s">
        <v>32940</v>
      </c>
      <c r="C3064">
        <f>-705.806778092235 -81.9688364400027 -76.2900278356237</f>
        <v>-864.06564236786153</v>
      </c>
      <c r="D3064">
        <f>-741.958672217343 -99.2343708782611 -184.969159559189</f>
        <v>-1026.162202654793</v>
      </c>
      <c r="E3064">
        <f>-758.347710371389 -106.581376809388 -281.943851463889</f>
        <v>-1146.872938644666</v>
      </c>
      <c r="F3064">
        <f>-767.709877559127 -110.477078772059 -370.461675564468</f>
        <v>-1248.648631895654</v>
      </c>
      <c r="G3064">
        <f>-771.204118051051 -111.599043565647 -459.482930647216</f>
        <v>-1342.2860922639138</v>
      </c>
      <c r="H3064">
        <f>-769.88239109839 -110.326027215698 -584.051919045057</f>
        <v>-1464.2603373591451</v>
      </c>
      <c r="I3064">
        <f>-737.542194421856 -101.316952231991 -660.0649706208</f>
        <v>-1498.924117274647</v>
      </c>
      <c r="J3064">
        <f>-776.774564104197 -83.9061539165376 -529.026497014032</f>
        <v>-1389.7072150347667</v>
      </c>
      <c r="K3064" t="s">
        <v>32941</v>
      </c>
      <c r="L3064" t="s">
        <v>32942</v>
      </c>
      <c r="M3064" t="s">
        <v>32943</v>
      </c>
      <c r="N3064">
        <f>-764.153544543409 -137.866294212061 -529.444119085206</f>
        <v>-1431.4639578406759</v>
      </c>
      <c r="O3064">
        <f>-733.82361124005 -269.159985066415 -502.248194731326</f>
        <v>-1505.231791037791</v>
      </c>
      <c r="P3064">
        <f>-698.595928817635 -302.556813863273 -212.015762847052</f>
        <v>-1213.16850552796</v>
      </c>
      <c r="Q3064">
        <f>-547.591333410452 -151.350015459202 -323.30365232558</f>
        <v>-1022.245001195234</v>
      </c>
      <c r="R3064" t="s">
        <v>32944</v>
      </c>
      <c r="S3064" t="s">
        <v>32945</v>
      </c>
      <c r="T3064" t="s">
        <v>32946</v>
      </c>
      <c r="U3064" t="s">
        <v>32947</v>
      </c>
      <c r="V3064">
        <f>-676.299690012862 -174.78484767426 -72.4963338658973</f>
        <v>-923.58087155301939</v>
      </c>
      <c r="W3064" t="s">
        <v>32948</v>
      </c>
      <c r="X3064" t="s">
        <v>32949</v>
      </c>
      <c r="Y3064" t="s">
        <v>32950</v>
      </c>
    </row>
    <row r="3065" spans="1:25" x14ac:dyDescent="0.3">
      <c r="A3065">
        <v>153200</v>
      </c>
      <c r="B3065" t="s">
        <v>32951</v>
      </c>
      <c r="C3065">
        <f>-706.362515504386 -81.935922929595 -76.1918114589027</f>
        <v>-864.49024989288375</v>
      </c>
      <c r="D3065">
        <f>-742.501516714102 -99.3955811929901 -184.844234459215</f>
        <v>-1026.741332366307</v>
      </c>
      <c r="E3065">
        <f>-758.980913311039 -106.832797801407 -281.796705774213</f>
        <v>-1147.6104168866591</v>
      </c>
      <c r="F3065">
        <f>-768.464755031743 -110.780198864963 -370.299363864213</f>
        <v>-1249.5443177609191</v>
      </c>
      <c r="G3065">
        <f>-772.120403079047 -111.921881835219 -459.313764515609</f>
        <v>-1343.3560494298749</v>
      </c>
      <c r="H3065">
        <f>-771.065142315911 -110.642313208492 -583.885331270897</f>
        <v>-1465.5927867953001</v>
      </c>
      <c r="I3065">
        <f>-738.874483103241 -101.53324232071 -659.949847192171</f>
        <v>-1500.3575726161221</v>
      </c>
      <c r="J3065">
        <f>-777.938126800142 -84.2484965931479 -528.844915350681</f>
        <v>-1391.0315387439709</v>
      </c>
      <c r="K3065" t="s">
        <v>32952</v>
      </c>
      <c r="L3065" t="s">
        <v>32953</v>
      </c>
      <c r="M3065" t="s">
        <v>32954</v>
      </c>
      <c r="N3065">
        <f>-765.120955664936 -138.162181273174 -529.290196694908</f>
        <v>-1432.5733336330181</v>
      </c>
      <c r="O3065">
        <f>-734.281251283193 -269.356818662107 -502.19721976477</f>
        <v>-1505.8352897100699</v>
      </c>
      <c r="P3065">
        <f>-700.222021585741 -302.916551066849 -211.84410790886</f>
        <v>-1214.98268056145</v>
      </c>
      <c r="Q3065">
        <f>-550.172965206236 -150.496271553692 -322.768408723577</f>
        <v>-1023.4376454835051</v>
      </c>
      <c r="R3065" t="s">
        <v>32955</v>
      </c>
      <c r="S3065" t="s">
        <v>32956</v>
      </c>
      <c r="T3065" t="s">
        <v>32957</v>
      </c>
      <c r="U3065" t="s">
        <v>32958</v>
      </c>
      <c r="V3065">
        <f>-676.501499481629 -174.82394065831 -72.3569830507955</f>
        <v>-923.68242319073454</v>
      </c>
      <c r="W3065" t="s">
        <v>32959</v>
      </c>
      <c r="X3065" t="s">
        <v>32960</v>
      </c>
      <c r="Y3065" t="s">
        <v>32961</v>
      </c>
    </row>
    <row r="3066" spans="1:25" x14ac:dyDescent="0.3">
      <c r="A3066">
        <v>153250</v>
      </c>
      <c r="B3066" t="s">
        <v>32962</v>
      </c>
      <c r="C3066">
        <f>-706.612626575097 -82.0672367172707 -76.1912291463616</f>
        <v>-864.87109243872931</v>
      </c>
      <c r="D3066">
        <f>-742.737101008833 -99.5988701263842 -184.836904523931</f>
        <v>-1027.1728756591481</v>
      </c>
      <c r="E3066">
        <f>-759.252052771147 -107.070681814223 -281.780568947309</f>
        <v>-1148.1033035326791</v>
      </c>
      <c r="F3066">
        <f>-768.787271864083 -111.039010551262 -370.276888915592</f>
        <v>-1250.1031713309369</v>
      </c>
      <c r="G3066">
        <f>-772.513488984213 -112.190170559833 -459.288225809713</f>
        <v>-1343.9918853537592</v>
      </c>
      <c r="H3066">
        <f>-771.576780665985 -110.911530107774 -583.860758998515</f>
        <v>-1466.3490697722741</v>
      </c>
      <c r="I3066">
        <f>-739.443995238224 -101.76799851985 -659.945597811972</f>
        <v>-1501.157591570046</v>
      </c>
      <c r="J3066">
        <f>-778.441946438486 -84.5280327844418 -528.814499671151</f>
        <v>-1391.7844788940788</v>
      </c>
      <c r="K3066" t="s">
        <v>32963</v>
      </c>
      <c r="L3066" t="s">
        <v>32964</v>
      </c>
      <c r="M3066" t="s">
        <v>32965</v>
      </c>
      <c r="N3066">
        <f>-765.53604089065 -138.420438615007 -529.270609767824</f>
        <v>-1433.2270892734809</v>
      </c>
      <c r="O3066">
        <f>-734.458347424758 -269.569430994783 -502.21382073559</f>
        <v>-1506.2415991551309</v>
      </c>
      <c r="P3066">
        <f>-700.983348701631 -303.102813473503 -211.789743755123</f>
        <v>-1215.875905930257</v>
      </c>
      <c r="Q3066">
        <f>-551.669893288816 -149.778929023086 -322.461028093617</f>
        <v>-1023.9098504055189</v>
      </c>
      <c r="R3066" t="s">
        <v>32966</v>
      </c>
      <c r="S3066" t="s">
        <v>32967</v>
      </c>
      <c r="T3066" t="s">
        <v>32968</v>
      </c>
      <c r="U3066" t="s">
        <v>32969</v>
      </c>
      <c r="V3066">
        <f>-676.595684319091 -174.940191362124 -72.3264789215851</f>
        <v>-923.86235460280011</v>
      </c>
      <c r="W3066" t="s">
        <v>32970</v>
      </c>
      <c r="X3066" t="s">
        <v>32971</v>
      </c>
      <c r="Y3066" t="s">
        <v>32972</v>
      </c>
    </row>
    <row r="3067" spans="1:25" x14ac:dyDescent="0.3">
      <c r="A3067">
        <v>153300</v>
      </c>
      <c r="B3067" t="s">
        <v>32973</v>
      </c>
      <c r="C3067">
        <f>-707.09919270236 -82.2498789983094 -76.2485143752174</f>
        <v>-865.59758607588685</v>
      </c>
      <c r="D3067">
        <f>-743.203165904196 -99.9155572750873 -184.879232397962</f>
        <v>-1027.9979555772452</v>
      </c>
      <c r="E3067">
        <f>-759.7978551173 -107.460143926365 -281.803672260554</f>
        <v>-1149.0616713042191</v>
      </c>
      <c r="F3067">
        <f>-769.443635670354 -111.478994109562 -370.285609829204</f>
        <v>-1251.20823960912</v>
      </c>
      <c r="G3067">
        <f>-773.318777583785 -112.664033164245 -459.290304953713</f>
        <v>-1345.2731157017431</v>
      </c>
      <c r="H3067">
        <f>-772.629542749624 -111.414957817411 -583.864587541379</f>
        <v>-1467.9090881084139</v>
      </c>
      <c r="I3067">
        <f>-740.584688833669 -102.234210607329 -659.982083955566</f>
        <v>-1502.8009833965641</v>
      </c>
      <c r="J3067">
        <f>-779.466078943038 -85.0378130287577 -528.811720472405</f>
        <v>-1393.3156124442007</v>
      </c>
      <c r="K3067" t="s">
        <v>32974</v>
      </c>
      <c r="L3067" t="s">
        <v>32975</v>
      </c>
      <c r="M3067" t="s">
        <v>32976</v>
      </c>
      <c r="N3067">
        <f>-766.399598891552 -138.891431944306 -529.279519923248</f>
        <v>-1434.570550759106</v>
      </c>
      <c r="O3067">
        <f>-734.853857503173 -269.936861908695 -502.245034905504</f>
        <v>-1507.0357543173718</v>
      </c>
      <c r="P3067">
        <f>-702.467926084711 -303.131812945506 -211.658598514116</f>
        <v>-1217.258337544333</v>
      </c>
      <c r="Q3067">
        <f>-554.27578010726 -148.139141758481 -321.509527631866</f>
        <v>-1023.9244494976069</v>
      </c>
      <c r="R3067" t="s">
        <v>32977</v>
      </c>
      <c r="S3067" t="s">
        <v>32978</v>
      </c>
      <c r="T3067" t="s">
        <v>32979</v>
      </c>
      <c r="U3067" t="s">
        <v>32980</v>
      </c>
      <c r="V3067">
        <f>-676.807736992756 -174.971162989712 -72.3701790915811</f>
        <v>-924.14907907404904</v>
      </c>
      <c r="W3067" t="s">
        <v>32981</v>
      </c>
      <c r="X3067" t="s">
        <v>32982</v>
      </c>
      <c r="Y3067" t="s">
        <v>32983</v>
      </c>
    </row>
    <row r="3068" spans="1:25" x14ac:dyDescent="0.3">
      <c r="A3068">
        <v>153350</v>
      </c>
      <c r="B3068" t="s">
        <v>32984</v>
      </c>
      <c r="C3068">
        <f>-707.388853499177 -82.3433309566025 -76.2577986959349</f>
        <v>-865.98998315171434</v>
      </c>
      <c r="D3068">
        <f>-743.478783101065 -100.050258545874 -184.886595366796</f>
        <v>-1028.415637013735</v>
      </c>
      <c r="E3068">
        <f>-760.105401575401 -107.612456952426 -281.804113629023</f>
        <v>-1149.5219721568499</v>
      </c>
      <c r="F3068">
        <f>-769.797951149707 -111.639765269382 -370.280667236788</f>
        <v>-1251.718383655877</v>
      </c>
      <c r="G3068">
        <f>-773.738041765244 -112.824739466713 -459.282361388966</f>
        <v>-1345.8451426209231</v>
      </c>
      <c r="H3068">
        <f>-773.158713105509 -111.56599869106 -583.857315877404</f>
        <v>-1468.582027673973</v>
      </c>
      <c r="I3068">
        <f>-741.15426947862 -102.356989570913 -659.988263205934</f>
        <v>-1503.4995222554671</v>
      </c>
      <c r="J3068">
        <f>-779.990813947932 -85.2038244961195 -528.796663093503</f>
        <v>-1393.9913015375546</v>
      </c>
      <c r="K3068" t="s">
        <v>32985</v>
      </c>
      <c r="L3068" t="s">
        <v>32986</v>
      </c>
      <c r="M3068" t="s">
        <v>32987</v>
      </c>
      <c r="N3068">
        <f>-766.836531525582 -139.035945296521 -529.279418241105</f>
        <v>-1435.151895063208</v>
      </c>
      <c r="O3068">
        <f>-735.061725797266 -270.032253808736 -502.270875281188</f>
        <v>-1507.3648548871899</v>
      </c>
      <c r="P3068">
        <f>-703.112376651697 -303.161178385088 -211.628520793334</f>
        <v>-1217.902075830119</v>
      </c>
      <c r="Q3068">
        <f>-555.893857928514 -147.057884598193 -321.215594732393</f>
        <v>-1024.1673372590999</v>
      </c>
      <c r="R3068" t="s">
        <v>32988</v>
      </c>
      <c r="S3068" t="s">
        <v>32989</v>
      </c>
      <c r="T3068" t="s">
        <v>32990</v>
      </c>
      <c r="U3068" t="s">
        <v>32991</v>
      </c>
      <c r="V3068">
        <f>-676.980969402994 -175.050347724657 -72.4033678980655</f>
        <v>-924.43468502571648</v>
      </c>
      <c r="W3068" t="s">
        <v>32992</v>
      </c>
      <c r="X3068" t="s">
        <v>32993</v>
      </c>
      <c r="Y3068" t="s">
        <v>32994</v>
      </c>
    </row>
    <row r="3069" spans="1:25" x14ac:dyDescent="0.3">
      <c r="A3069">
        <v>153400</v>
      </c>
      <c r="B3069" t="s">
        <v>32995</v>
      </c>
      <c r="C3069">
        <f>-707.923153217807 -82.3529996435354 -76.2418863434069</f>
        <v>-866.51803920474936</v>
      </c>
      <c r="D3069">
        <f>-744.012392580727 -100.150741192138 -184.855966594956</f>
        <v>-1029.019100367821</v>
      </c>
      <c r="E3069">
        <f>-760.686096236492 -107.735757168974 -281.763829506254</f>
        <v>-1150.1856829117201</v>
      </c>
      <c r="F3069">
        <f>-770.440774554278 -111.759903267636 -370.233524313205</f>
        <v>-1252.434202135119</v>
      </c>
      <c r="G3069">
        <f>-774.46307025541 -112.915539704849 -459.231962584914</f>
        <v>-1346.610572545173</v>
      </c>
      <c r="H3069">
        <f>-774.019735630058 -111.586594662812 -583.806566931187</f>
        <v>-1469.4128972240569</v>
      </c>
      <c r="I3069">
        <f>-742.074159267277 -102.307040854898 -659.953918261852</f>
        <v>-1504.3351183840268</v>
      </c>
      <c r="J3069">
        <f>-780.87180726756 -85.2751644175862 -528.724184198632</f>
        <v>-1394.8711558837781</v>
      </c>
      <c r="K3069" t="s">
        <v>32996</v>
      </c>
      <c r="L3069" t="s">
        <v>32997</v>
      </c>
      <c r="M3069" t="s">
        <v>32998</v>
      </c>
      <c r="N3069">
        <f>-767.55785320045 -139.06763477968 -529.250629696429</f>
        <v>-1435.876117676559</v>
      </c>
      <c r="O3069">
        <f>-735.321794714929 -269.966627437501 -502.32863465182</f>
        <v>-1507.6170568042501</v>
      </c>
      <c r="P3069">
        <f>-704.239330418943 -303.170803435103 -211.601003200511</f>
        <v>-1219.0111370545571</v>
      </c>
      <c r="Q3069">
        <f>-558.466010023994 -145.086100364783 -320.276065809753</f>
        <v>-1023.8281761985299</v>
      </c>
      <c r="R3069" t="s">
        <v>32999</v>
      </c>
      <c r="S3069" t="s">
        <v>33000</v>
      </c>
      <c r="T3069" t="s">
        <v>33001</v>
      </c>
      <c r="U3069" t="s">
        <v>33002</v>
      </c>
      <c r="V3069">
        <f>-677.349682231771 -174.934374384019 -72.3702230837918</f>
        <v>-924.65427969958171</v>
      </c>
      <c r="W3069" t="s">
        <v>33003</v>
      </c>
      <c r="X3069" t="s">
        <v>33004</v>
      </c>
      <c r="Y3069" t="s">
        <v>33005</v>
      </c>
    </row>
    <row r="3070" spans="1:25" x14ac:dyDescent="0.3">
      <c r="A3070">
        <v>153450</v>
      </c>
      <c r="B3070" t="s">
        <v>33006</v>
      </c>
      <c r="C3070">
        <f>-708.166659012832 -82.5022731376495 -76.2220361387076</f>
        <v>-866.89096828918912</v>
      </c>
      <c r="D3070">
        <f>-744.26952070934 -100.350916692794 -184.823279276358</f>
        <v>-1029.4437166784919</v>
      </c>
      <c r="E3070">
        <f>-760.975196237497 -107.941838538495 -281.72499358951</f>
        <v>-1150.642028365502</v>
      </c>
      <c r="F3070">
        <f>-770.766807342826 -111.955316458848 -370.191214683891</f>
        <v>-1252.913338485565</v>
      </c>
      <c r="G3070">
        <f>-774.834488257843 -113.082766747412 -459.187899901681</f>
        <v>-1347.1051549069359</v>
      </c>
      <c r="H3070">
        <f>-774.463124104058 -111.695500358781 -583.762268442133</f>
        <v>-1469.9208929049719</v>
      </c>
      <c r="I3070">
        <f>-742.553188864394 -102.380127626936 -659.920122925721</f>
        <v>-1504.853439417051</v>
      </c>
      <c r="J3070">
        <f>-781.320700432932 -85.4191043479651 -528.663809816478</f>
        <v>-1395.4036145973751</v>
      </c>
      <c r="K3070" t="s">
        <v>33007</v>
      </c>
      <c r="L3070" t="s">
        <v>33008</v>
      </c>
      <c r="M3070" t="s">
        <v>33009</v>
      </c>
      <c r="N3070">
        <f>-767.932367696701 -139.192769795748 -529.222759018159</f>
        <v>-1436.3478965106081</v>
      </c>
      <c r="O3070">
        <f>-735.499944073891 -270.050450831789 -502.345899219667</f>
        <v>-1507.8962941253471</v>
      </c>
      <c r="P3070">
        <f>-704.838987638367 -303.319232642804 -211.580946908775</f>
        <v>-1219.7391671899459</v>
      </c>
      <c r="Q3070">
        <f>-559.439321356007 -144.63298952427 -319.878998625517</f>
        <v>-1023.9513095057939</v>
      </c>
      <c r="R3070" t="s">
        <v>33010</v>
      </c>
      <c r="S3070" t="s">
        <v>33011</v>
      </c>
      <c r="T3070" t="s">
        <v>33012</v>
      </c>
      <c r="U3070" t="s">
        <v>33013</v>
      </c>
      <c r="V3070">
        <f>-677.543083945179 -175.133722477018 -72.3570102664045</f>
        <v>-925.03381668860141</v>
      </c>
      <c r="W3070" t="s">
        <v>33014</v>
      </c>
      <c r="X3070" t="s">
        <v>33015</v>
      </c>
      <c r="Y3070" t="s">
        <v>33016</v>
      </c>
    </row>
    <row r="3071" spans="1:25" x14ac:dyDescent="0.3">
      <c r="A3071">
        <v>153500</v>
      </c>
      <c r="B3071" t="s">
        <v>33017</v>
      </c>
      <c r="C3071">
        <f>-708.541476080121 -82.7133652765905 -76.1861917891436</f>
        <v>-867.44103314585504</v>
      </c>
      <c r="D3071">
        <f>-744.699416073463 -100.663729987915 -184.752359645715</f>
        <v>-1030.115505707093</v>
      </c>
      <c r="E3071">
        <f>-761.491048200179 -108.278703208975 -281.637287709867</f>
        <v>-1151.407039119021</v>
      </c>
      <c r="F3071">
        <f>-771.375312201811 -112.287574986539 -370.093419402375</f>
        <v>-1253.756306590725</v>
      </c>
      <c r="G3071">
        <f>-775.550440858148 -113.382497615062 -459.08555584658</f>
        <v>-1348.0184943197901</v>
      </c>
      <c r="H3071">
        <f>-775.344522052508 -111.919527539491 -583.659412482887</f>
        <v>-1470.9234620748859</v>
      </c>
      <c r="I3071">
        <f>-743.494267541652 -102.526914699432 -659.832706363697</f>
        <v>-1505.8538886047809</v>
      </c>
      <c r="J3071">
        <f>-782.185191845209 -85.6907010105657 -528.536191468011</f>
        <v>-1396.4120843237856</v>
      </c>
      <c r="K3071" t="s">
        <v>33018</v>
      </c>
      <c r="L3071" t="s">
        <v>33019</v>
      </c>
      <c r="M3071" t="s">
        <v>33020</v>
      </c>
      <c r="N3071">
        <f>-768.68508195373 -139.435887103326 -529.145070894523</f>
        <v>-1437.2660399515789</v>
      </c>
      <c r="O3071">
        <f>-735.959246814774 -270.244444942451 -502.38021792137</f>
        <v>-1508.5839096785949</v>
      </c>
      <c r="P3071">
        <f>-705.938037735566 -303.617657676236 -211.560427478378</f>
        <v>-1221.1161228901799</v>
      </c>
      <c r="Q3071">
        <f>-560.169487025782 -144.805720394141 -319.176294261377</f>
        <v>-1024.1515016813</v>
      </c>
      <c r="R3071" t="s">
        <v>33021</v>
      </c>
      <c r="S3071" t="s">
        <v>33022</v>
      </c>
      <c r="T3071" t="s">
        <v>33023</v>
      </c>
      <c r="U3071" t="s">
        <v>33024</v>
      </c>
      <c r="V3071">
        <f>-677.836596285395 -175.364528795784 -72.2797847840521</f>
        <v>-925.48090986523118</v>
      </c>
      <c r="W3071" t="s">
        <v>33025</v>
      </c>
      <c r="X3071" t="s">
        <v>33026</v>
      </c>
      <c r="Y3071" t="s">
        <v>33027</v>
      </c>
    </row>
    <row r="3072" spans="1:25" x14ac:dyDescent="0.3">
      <c r="A3072">
        <v>153550</v>
      </c>
      <c r="B3072" t="s">
        <v>33028</v>
      </c>
      <c r="C3072">
        <f>-708.651782957977 -82.8141165079253 -76.1997933623176</f>
        <v>-867.6656928282199</v>
      </c>
      <c r="D3072">
        <f>-744.826564571431 -100.816876535503 -184.751753348561</f>
        <v>-1030.3951944554951</v>
      </c>
      <c r="E3072">
        <f>-761.666439932752 -108.452011367462 -281.626683890887</f>
        <v>-1151.7451351911011</v>
      </c>
      <c r="F3072">
        <f>-771.607390037195 -112.469672576987 -370.076099558099</f>
        <v>-1254.1531621722811</v>
      </c>
      <c r="G3072">
        <f>-775.851907248368 -113.564013480096 -459.064970327241</f>
        <v>-1348.4808910557049</v>
      </c>
      <c r="H3072">
        <f>-775.755968274041 -112.090137624386 -583.638793483326</f>
        <v>-1471.4848993817532</v>
      </c>
      <c r="I3072">
        <f>-743.938015268585 -102.662219446058 -659.821106318756</f>
        <v>-1506.4213410333991</v>
      </c>
      <c r="J3072">
        <f>-782.563050935194 -85.869975518762 -528.507370981487</f>
        <v>-1396.9403974354432</v>
      </c>
      <c r="K3072" t="s">
        <v>33029</v>
      </c>
      <c r="L3072" t="s">
        <v>33030</v>
      </c>
      <c r="M3072" t="s">
        <v>33031</v>
      </c>
      <c r="N3072">
        <f>-769.033184477623 -139.60745875242 -529.132750864858</f>
        <v>-1437.7733940949011</v>
      </c>
      <c r="O3072">
        <f>-736.222023740142 -270.39840527992 -502.408208020664</f>
        <v>-1509.0286370407262</v>
      </c>
      <c r="P3072">
        <f>-706.418589904421 -303.786766248782 -211.567853509481</f>
        <v>-1221.7732096626839</v>
      </c>
      <c r="Q3072">
        <f>-560.418599758052 -145.067075824948 -319.005794947775</f>
        <v>-1024.4914705307749</v>
      </c>
      <c r="R3072" t="s">
        <v>33032</v>
      </c>
      <c r="S3072" t="s">
        <v>33033</v>
      </c>
      <c r="T3072" t="s">
        <v>33034</v>
      </c>
      <c r="U3072" t="s">
        <v>33035</v>
      </c>
      <c r="V3072">
        <f>-677.813522715595 -175.505961934602 -72.2994363982261</f>
        <v>-925.61892104842309</v>
      </c>
      <c r="W3072" t="s">
        <v>33036</v>
      </c>
      <c r="X3072" t="s">
        <v>33037</v>
      </c>
      <c r="Y3072" t="s">
        <v>33038</v>
      </c>
    </row>
    <row r="3073" spans="1:25" x14ac:dyDescent="0.3">
      <c r="A3073">
        <v>153600</v>
      </c>
      <c r="B3073" t="s">
        <v>33039</v>
      </c>
      <c r="C3073">
        <f>-708.75211544504 -83.0428279178448 -76.2485569249126</f>
        <v>-868.04350028779731</v>
      </c>
      <c r="D3073">
        <f>-744.903468393276 -101.125757380675 -184.794918841653</f>
        <v>-1030.8241446156039</v>
      </c>
      <c r="E3073">
        <f>-761.814155280506 -108.794310913135 -281.654952019354</f>
        <v>-1152.263418212995</v>
      </c>
      <c r="F3073">
        <f>-771.855136694516 -112.829280360711 -370.092141493488</f>
        <v>-1254.776558548715</v>
      </c>
      <c r="G3073">
        <f>-776.235299916356 -113.927950351111 -459.07445623589</f>
        <v>-1349.237706503357</v>
      </c>
      <c r="H3073">
        <f>-776.365343442053 -112.446804301954 -583.648135716437</f>
        <v>-1472.4602834604439</v>
      </c>
      <c r="I3073">
        <f>-744.637738153587 -102.959158910695 -659.860883296516</f>
        <v>-1507.4577803607981</v>
      </c>
      <c r="J3073">
        <f>-783.09104996129 -86.234532652078 -528.502991800025</f>
        <v>-1397.828574413393</v>
      </c>
      <c r="K3073" t="s">
        <v>33040</v>
      </c>
      <c r="L3073" t="s">
        <v>33041</v>
      </c>
      <c r="M3073" t="s">
        <v>33042</v>
      </c>
      <c r="N3073">
        <f>-769.525176650168 -139.962629340472 -529.155883585278</f>
        <v>-1438.643689575918</v>
      </c>
      <c r="O3073">
        <f>-736.590197025188 -270.733785088213 -502.458387387557</f>
        <v>-1509.7823695009579</v>
      </c>
      <c r="P3073">
        <f>-707.118428014762 -303.806624142885 -211.54804626435</f>
        <v>-1222.4730984219971</v>
      </c>
      <c r="Q3073">
        <f>-560.563237365802 -145.582876865124 -318.961757979006</f>
        <v>-1025.1078722099321</v>
      </c>
      <c r="R3073" t="s">
        <v>33043</v>
      </c>
      <c r="S3073" t="s">
        <v>33044</v>
      </c>
      <c r="T3073" t="s">
        <v>33045</v>
      </c>
      <c r="U3073" t="s">
        <v>33046</v>
      </c>
      <c r="V3073">
        <f>-677.741777307164 -175.73670947096 -72.3184861843947</f>
        <v>-925.79697296251879</v>
      </c>
      <c r="W3073" t="s">
        <v>33047</v>
      </c>
      <c r="X3073" t="s">
        <v>33048</v>
      </c>
      <c r="Y3073" t="s">
        <v>33049</v>
      </c>
    </row>
    <row r="3074" spans="1:25" x14ac:dyDescent="0.3">
      <c r="A3074">
        <v>153650</v>
      </c>
      <c r="B3074" t="s">
        <v>33050</v>
      </c>
      <c r="C3074">
        <f>-708.827884100523 -83.2206303205104 -76.2798115339037</f>
        <v>-868.3283259549371</v>
      </c>
      <c r="D3074">
        <f>-744.967104543951 -101.343839567157 -184.823536992318</f>
        <v>-1031.134481103426</v>
      </c>
      <c r="E3074">
        <f>-761.897814739041 -109.026133151815 -281.678991827387</f>
        <v>-1152.6029397182429</v>
      </c>
      <c r="F3074">
        <f>-771.969050501234 -113.065272355572 -370.112578723452</f>
        <v>-1255.1469015802581</v>
      </c>
      <c r="G3074">
        <f>-776.391387551306 -114.159622666125 -459.092792173693</f>
        <v>-1349.6438023911239</v>
      </c>
      <c r="H3074">
        <f>-776.592960199719 -112.663395896175 -583.666173120403</f>
        <v>-1472.9225292162969</v>
      </c>
      <c r="I3074">
        <f>-744.91012069834 -103.148429034398 -659.894151363263</f>
        <v>-1507.952701096001</v>
      </c>
      <c r="J3074">
        <f>-783.299435311493 -86.4608940651999 -528.514009643513</f>
        <v>-1398.2743390202058</v>
      </c>
      <c r="K3074" t="s">
        <v>33051</v>
      </c>
      <c r="L3074" t="s">
        <v>33052</v>
      </c>
      <c r="M3074" t="s">
        <v>33053</v>
      </c>
      <c r="N3074">
        <f>-769.709071583719 -140.182661882923 -529.181229432673</f>
        <v>-1439.0729628993149</v>
      </c>
      <c r="O3074">
        <f>-736.685910490829 -270.931731756229 -502.49688380942</f>
        <v>-1510.1145260564781</v>
      </c>
      <c r="P3074">
        <f>-707.240871952613 -303.970935301345 -211.580076353996</f>
        <v>-1222.7918836079539</v>
      </c>
      <c r="Q3074">
        <f>-560.848186294359 -145.661543300623 -319.089045075653</f>
        <v>-1025.5987746706351</v>
      </c>
      <c r="R3074" t="s">
        <v>33054</v>
      </c>
      <c r="S3074" t="s">
        <v>33055</v>
      </c>
      <c r="T3074" t="s">
        <v>33056</v>
      </c>
      <c r="U3074" t="s">
        <v>33057</v>
      </c>
      <c r="V3074">
        <f>-677.780126925023 -175.895933645239 -72.3432546146686</f>
        <v>-926.01931518493052</v>
      </c>
      <c r="W3074" t="s">
        <v>33058</v>
      </c>
      <c r="X3074" t="s">
        <v>33059</v>
      </c>
      <c r="Y3074" t="s">
        <v>33060</v>
      </c>
    </row>
    <row r="3075" spans="1:25" x14ac:dyDescent="0.3">
      <c r="A3075">
        <v>153700</v>
      </c>
      <c r="B3075" t="s">
        <v>33061</v>
      </c>
      <c r="C3075">
        <f>-708.932246320918 -83.3330483073299 -76.3110522849452</f>
        <v>-868.57634691319311</v>
      </c>
      <c r="D3075">
        <f>-745.086773514631 -101.49403331275 -184.843301842874</f>
        <v>-1031.424108670255</v>
      </c>
      <c r="E3075">
        <f>-762.077821497261 -109.186216494329 -281.687487674551</f>
        <v>-1152.9515256661409</v>
      </c>
      <c r="F3075">
        <f>-772.222845140859 -113.224562670781 -370.112650903004</f>
        <v>-1255.5600587146441</v>
      </c>
      <c r="G3075">
        <f>-776.738615679294 -114.306980903998 -459.088302488775</f>
        <v>-1350.1338990720669</v>
      </c>
      <c r="H3075">
        <f>-777.091266049525 -112.78160189021 -583.661025872995</f>
        <v>-1473.53389381273</v>
      </c>
      <c r="I3075">
        <f>-745.488498221381 -103.220946063953 -659.916400697351</f>
        <v>-1508.6258449826851</v>
      </c>
      <c r="J3075">
        <f>-783.77874410989 -86.604255956583 -528.494616893612</f>
        <v>-1398.8776169600851</v>
      </c>
      <c r="K3075" t="s">
        <v>33062</v>
      </c>
      <c r="L3075" t="s">
        <v>33063</v>
      </c>
      <c r="M3075" t="s">
        <v>33064</v>
      </c>
      <c r="N3075">
        <f>-770.093370180096 -140.301472502017 -529.190925244289</f>
        <v>-1439.585767926402</v>
      </c>
      <c r="O3075">
        <f>-736.774260233071 -270.988518567739 -502.577081902115</f>
        <v>-1510.3398607029251</v>
      </c>
      <c r="P3075">
        <f>-707.223555120625 -304.056605940881 -211.674257885104</f>
        <v>-1222.9544189466101</v>
      </c>
      <c r="Q3075">
        <f>-561.559572424275 -145.075557617386 -319.181857944742</f>
        <v>-1025.8169879864031</v>
      </c>
      <c r="R3075" t="s">
        <v>33065</v>
      </c>
      <c r="S3075" t="s">
        <v>33066</v>
      </c>
      <c r="T3075" t="s">
        <v>33067</v>
      </c>
      <c r="U3075" t="s">
        <v>33068</v>
      </c>
      <c r="V3075">
        <f>-677.831192725762 -175.816556867838 -72.3669278843996</f>
        <v>-926.01467747799961</v>
      </c>
      <c r="W3075" t="s">
        <v>33069</v>
      </c>
      <c r="X3075" t="s">
        <v>33070</v>
      </c>
      <c r="Y3075" t="s">
        <v>33071</v>
      </c>
    </row>
    <row r="3076" spans="1:25" x14ac:dyDescent="0.3">
      <c r="A3076">
        <v>153750</v>
      </c>
      <c r="B3076" t="s">
        <v>33072</v>
      </c>
      <c r="C3076">
        <f>-708.997066505721 -83.3926667098849 -76.3113027778475</f>
        <v>-868.70103599345339</v>
      </c>
      <c r="D3076">
        <f>-745.169538912215 -101.554324967229 -184.837471788408</f>
        <v>-1031.5613356678521</v>
      </c>
      <c r="E3076">
        <f>-762.198824281886 -109.253002695373 -281.674420450289</f>
        <v>-1153.1262474275479</v>
      </c>
      <c r="F3076">
        <f>-772.388454242262 -113.298564556744 -370.094183437872</f>
        <v>-1255.781202236878</v>
      </c>
      <c r="G3076">
        <f>-776.959303786858 -114.388430724886 -459.066873337961</f>
        <v>-1350.4146078497049</v>
      </c>
      <c r="H3076">
        <f>-777.400043844712 -112.872889038963 -583.639577390489</f>
        <v>-1473.9125102741639</v>
      </c>
      <c r="I3076">
        <f>-745.833030960821 -103.304524725655 -659.908797131013</f>
        <v>-1509.0463528174892</v>
      </c>
      <c r="J3076">
        <f>-784.074459471894 -86.6977932993377 -528.470393202574</f>
        <v>-1399.2426459738058</v>
      </c>
      <c r="K3076" t="s">
        <v>33073</v>
      </c>
      <c r="L3076" t="s">
        <v>33074</v>
      </c>
      <c r="M3076" t="s">
        <v>33075</v>
      </c>
      <c r="N3076">
        <f>-770.337705078006 -140.381814372644 -529.17211793595</f>
        <v>-1439.8916373866</v>
      </c>
      <c r="O3076">
        <f>-736.849431988948 -271.028557328706 -502.578609388733</f>
        <v>-1510.456598706387</v>
      </c>
      <c r="P3076">
        <f>-707.091161714993 -304.161866666821 -211.704293877718</f>
        <v>-1222.9573222595318</v>
      </c>
      <c r="Q3076">
        <f>-562.121638361566 -144.463921951922 -319.087957097771</f>
        <v>-1025.6735174112591</v>
      </c>
      <c r="R3076" t="s">
        <v>33076</v>
      </c>
      <c r="S3076" t="s">
        <v>33077</v>
      </c>
      <c r="T3076" t="s">
        <v>33078</v>
      </c>
      <c r="U3076" t="s">
        <v>33079</v>
      </c>
      <c r="V3076">
        <f>-677.848380146199 -175.840577253811 -72.3805859334899</f>
        <v>-926.06954333349995</v>
      </c>
      <c r="W3076" t="s">
        <v>33080</v>
      </c>
      <c r="X3076" t="s">
        <v>33081</v>
      </c>
      <c r="Y3076" t="s">
        <v>33082</v>
      </c>
    </row>
    <row r="3077" spans="1:25" x14ac:dyDescent="0.3">
      <c r="A3077">
        <v>153800</v>
      </c>
      <c r="B3077" t="s">
        <v>33083</v>
      </c>
      <c r="C3077">
        <f>-709.152143064827 -83.7040196248114 -76.2871036304932</f>
        <v>-869.1432663201316</v>
      </c>
      <c r="D3077">
        <f>-745.329071145611 -101.891281680936 -184.807543566572</f>
        <v>-1032.0278963931191</v>
      </c>
      <c r="E3077">
        <f>-762.399172912725 -109.609191892755 -281.635754350049</f>
        <v>-1153.6441191555291</v>
      </c>
      <c r="F3077">
        <f>-772.641811553743 -113.669409487197 -370.048664420068</f>
        <v>-1256.3598854610079</v>
      </c>
      <c r="G3077">
        <f>-777.282604676956 -114.769054731803 -459.017694139988</f>
        <v>-1351.0693535487469</v>
      </c>
      <c r="H3077">
        <f>-777.839280601172 -113.260561359828 -583.589962656916</f>
        <v>-1474.689804617916</v>
      </c>
      <c r="I3077">
        <f>-746.332556498037 -103.676687357301 -659.88213497781</f>
        <v>-1509.8913788331479</v>
      </c>
      <c r="J3077">
        <f>-784.517411337734 -87.0965120446857 -528.415980464545</f>
        <v>-1400.0299038469648</v>
      </c>
      <c r="K3077" t="s">
        <v>33084</v>
      </c>
      <c r="L3077" t="s">
        <v>33085</v>
      </c>
      <c r="M3077" t="s">
        <v>33086</v>
      </c>
      <c r="N3077">
        <f>-770.671234630783 -140.75229170006 -529.127716272341</f>
        <v>-1440.5512426031842</v>
      </c>
      <c r="O3077">
        <f>-736.884632924378 -271.317405264084 -502.507771211779</f>
        <v>-1510.7098094002411</v>
      </c>
      <c r="P3077">
        <f>-706.622924254945 -304.444961088723 -211.684787361222</f>
        <v>-1222.7526727048898</v>
      </c>
      <c r="Q3077">
        <f>-563.331307936256 -143.084455170991 -318.835001754342</f>
        <v>-1025.250764861589</v>
      </c>
      <c r="R3077" t="s">
        <v>33087</v>
      </c>
      <c r="S3077" t="s">
        <v>33088</v>
      </c>
      <c r="T3077" t="s">
        <v>33089</v>
      </c>
      <c r="U3077" t="s">
        <v>33090</v>
      </c>
      <c r="V3077">
        <f>-678.022129444366 -176.166002149442 -72.3372468841247</f>
        <v>-926.52537847793269</v>
      </c>
      <c r="W3077" t="s">
        <v>33091</v>
      </c>
      <c r="X3077" t="s">
        <v>33092</v>
      </c>
      <c r="Y3077" t="s">
        <v>33093</v>
      </c>
    </row>
    <row r="3078" spans="1:25" x14ac:dyDescent="0.3">
      <c r="A3078">
        <v>153850</v>
      </c>
      <c r="B3078" t="s">
        <v>33094</v>
      </c>
      <c r="C3078">
        <f>-709.218199661328 -83.8808400711189 -76.2817006834673</f>
        <v>-869.38074041591415</v>
      </c>
      <c r="D3078">
        <f>-745.408422124063 -102.073096905944 -184.796911263266</f>
        <v>-1032.278430293273</v>
      </c>
      <c r="E3078">
        <f>-762.483982842959 -109.809040936877 -281.622658334722</f>
        <v>-1153.915682114558</v>
      </c>
      <c r="F3078">
        <f>-772.729792604692 -113.890171795394 -370.034213972034</f>
        <v>-1256.65417837212</v>
      </c>
      <c r="G3078">
        <f>-777.372581576225 -115.01438140342 -459.002940825215</f>
        <v>-1351.3899038048598</v>
      </c>
      <c r="H3078">
        <f>-777.931099387947 -113.543295675377 -583.575575771626</f>
        <v>-1475.0499708349498</v>
      </c>
      <c r="I3078">
        <f>-746.439488584013 -103.964378812841 -659.874552032341</f>
        <v>-1510.2784194291949</v>
      </c>
      <c r="J3078">
        <f>-784.63600502998 -87.369781056241 -528.409319566599</f>
        <v>-1400.4151056528199</v>
      </c>
      <c r="K3078" t="s">
        <v>33095</v>
      </c>
      <c r="L3078" t="s">
        <v>33096</v>
      </c>
      <c r="M3078" t="s">
        <v>33097</v>
      </c>
      <c r="N3078">
        <f>-770.734641630878 -141.011534690243 -529.105121147706</f>
        <v>-1440.8512974688269</v>
      </c>
      <c r="O3078">
        <f>-736.793008689107 -271.528913722566 -502.460724553799</f>
        <v>-1510.7826469654719</v>
      </c>
      <c r="P3078">
        <f>-706.439786402538 -304.576727734164 -211.63824220554</f>
        <v>-1222.6547563422419</v>
      </c>
      <c r="Q3078">
        <f>-563.956923897406 -142.290136493819 -318.467699312899</f>
        <v>-1024.7147597041239</v>
      </c>
      <c r="R3078" t="s">
        <v>33098</v>
      </c>
      <c r="S3078" t="s">
        <v>33099</v>
      </c>
      <c r="T3078" t="s">
        <v>33100</v>
      </c>
      <c r="U3078" t="s">
        <v>33101</v>
      </c>
      <c r="V3078">
        <f>-678.065300325447 -176.304766873196 -72.3557485252671</f>
        <v>-926.72581572391016</v>
      </c>
      <c r="W3078" t="s">
        <v>33102</v>
      </c>
      <c r="X3078" t="s">
        <v>33103</v>
      </c>
      <c r="Y3078" t="s">
        <v>33104</v>
      </c>
    </row>
    <row r="3079" spans="1:25" x14ac:dyDescent="0.3">
      <c r="A3079">
        <v>153900</v>
      </c>
      <c r="B3079" t="s">
        <v>33105</v>
      </c>
      <c r="C3079">
        <f>-709.284797699187 -84.0457557964382 -76.2987453180003</f>
        <v>-869.62929881362561</v>
      </c>
      <c r="D3079">
        <f>-745.485573639609 -102.241558144262 -184.809774053977</f>
        <v>-1032.5369058378481</v>
      </c>
      <c r="E3079">
        <f>-762.55341123918 -110.013149474164 -281.634065493014</f>
        <v>-1154.200626206358</v>
      </c>
      <c r="F3079">
        <f>-772.785803875798 -114.140132748222 -370.045092780441</f>
        <v>-1256.971029404461</v>
      </c>
      <c r="G3079">
        <f>-777.408794803842 -115.323275464696 -459.013928007215</f>
        <v>-1351.7459982757532</v>
      </c>
      <c r="H3079">
        <f>-777.933556748579 -113.948173533822 -583.58784291416</f>
        <v>-1475.469573196561</v>
      </c>
      <c r="I3079">
        <f>-746.426472466728 -104.408286569218 -659.885429601338</f>
        <v>-1510.7201886372841</v>
      </c>
      <c r="J3079">
        <f>-784.680128859206 -87.7390803359331 -528.443725026607</f>
        <v>-1400.8629342217459</v>
      </c>
      <c r="K3079" t="s">
        <v>33106</v>
      </c>
      <c r="L3079" t="s">
        <v>33107</v>
      </c>
      <c r="M3079" t="s">
        <v>33108</v>
      </c>
      <c r="N3079">
        <f>-770.725153280958 -141.367513510009 -529.094441023496</f>
        <v>-1441.1871078144629</v>
      </c>
      <c r="O3079">
        <f>-736.686770068543 -271.869208169632 -502.427172521437</f>
        <v>-1510.9831507596118</v>
      </c>
      <c r="P3079">
        <f>-705.962925435155 -305.493797222959 -211.709735712282</f>
        <v>-1223.166458370396</v>
      </c>
      <c r="Q3079">
        <f>-565.266747374837 -141.074669053979 -317.642763803579</f>
        <v>-1023.984180232395</v>
      </c>
      <c r="R3079" t="s">
        <v>33109</v>
      </c>
      <c r="S3079" t="s">
        <v>33110</v>
      </c>
      <c r="T3079" t="s">
        <v>33111</v>
      </c>
      <c r="U3079" t="s">
        <v>33112</v>
      </c>
      <c r="V3079">
        <f>-678.089070736377 -176.303438977943 -72.4081602397466</f>
        <v>-926.80066995406662</v>
      </c>
      <c r="W3079" t="s">
        <v>33113</v>
      </c>
      <c r="X3079" t="s">
        <v>33114</v>
      </c>
      <c r="Y3079" t="s">
        <v>33115</v>
      </c>
    </row>
    <row r="3080" spans="1:25" x14ac:dyDescent="0.3">
      <c r="A3080">
        <v>153950</v>
      </c>
      <c r="B3080" t="s">
        <v>33116</v>
      </c>
      <c r="C3080">
        <f>-709.306082560459 -84.0564140998197 -76.2988410098942</f>
        <v>-869.66133767017288</v>
      </c>
      <c r="D3080">
        <f>-745.492986559817 -102.231365944525 -184.817949979905</f>
        <v>-1032.5423024842471</v>
      </c>
      <c r="E3080">
        <f>-762.534725556728 -109.992286488917 -281.647812387977</f>
        <v>-1154.174824433622</v>
      </c>
      <c r="F3080">
        <f>-772.738207408312 -114.111900361427 -370.06247341645</f>
        <v>-1256.9125811861891</v>
      </c>
      <c r="G3080">
        <f>-777.327439750046 -115.28955317035 -459.033233178487</f>
        <v>-1351.650226098883</v>
      </c>
      <c r="H3080">
        <f>-777.800226436709 -113.908279060205 -583.607282188954</f>
        <v>-1475.3157876858679</v>
      </c>
      <c r="I3080">
        <f>-746.259918790362 -104.378284913964 -659.892348349848</f>
        <v>-1510.530552054174</v>
      </c>
      <c r="J3080">
        <f>-784.577173457045 -87.703844910046 -528.464554993442</f>
        <v>-1400.7455733605329</v>
      </c>
      <c r="K3080" t="s">
        <v>33117</v>
      </c>
      <c r="L3080" t="s">
        <v>33118</v>
      </c>
      <c r="M3080" t="s">
        <v>33119</v>
      </c>
      <c r="N3080">
        <f>-770.607172762198 -141.328329511247 -529.11222696377</f>
        <v>-1441.0477292372152</v>
      </c>
      <c r="O3080">
        <f>-736.579875717243 -271.830789029789 -502.466667201406</f>
        <v>-1510.877331948438</v>
      </c>
      <c r="P3080">
        <f>-705.870251424934 -305.688228408169 -211.774816209249</f>
        <v>-1223.333296042352</v>
      </c>
      <c r="Q3080">
        <f>-565.512320513002 -140.683278611886 -317.244571727491</f>
        <v>-1023.4401708523791</v>
      </c>
      <c r="R3080" t="s">
        <v>33120</v>
      </c>
      <c r="S3080" t="s">
        <v>33121</v>
      </c>
      <c r="T3080" t="s">
        <v>33122</v>
      </c>
      <c r="U3080" t="s">
        <v>33123</v>
      </c>
      <c r="V3080">
        <f>-678.15053065927 -176.289360392168 -72.4306093270562</f>
        <v>-926.87050037849417</v>
      </c>
      <c r="W3080" t="s">
        <v>33124</v>
      </c>
      <c r="X3080" t="s">
        <v>33125</v>
      </c>
      <c r="Y3080" t="s">
        <v>33126</v>
      </c>
    </row>
    <row r="3081" spans="1:25" x14ac:dyDescent="0.3">
      <c r="A3081">
        <v>154000</v>
      </c>
      <c r="B3081" t="s">
        <v>33127</v>
      </c>
      <c r="C3081">
        <f>-709.30937251012 -84.1420440878784 -76.3068377606676</f>
        <v>-869.75825435866602</v>
      </c>
      <c r="D3081">
        <f>-745.48049306898 -102.324171248194 -184.830049603281</f>
        <v>-1032.6347139204549</v>
      </c>
      <c r="E3081">
        <f>-762.434047903457 -110.094795404353 -281.674485889315</f>
        <v>-1154.203329197125</v>
      </c>
      <c r="F3081">
        <f>-772.527283897031 -114.224707816372 -370.101300452462</f>
        <v>-1256.853292165865</v>
      </c>
      <c r="G3081">
        <f>-776.975532214995 -115.414692513168 -459.07912912043</f>
        <v>-1351.4693538485931</v>
      </c>
      <c r="H3081">
        <f>-777.219253910808 -114.053527980386 -583.654093527881</f>
        <v>-1474.9268754190748</v>
      </c>
      <c r="I3081">
        <f>-745.542439380633 -104.567664097382 -659.887992920266</f>
        <v>-1509.9980963982812</v>
      </c>
      <c r="J3081">
        <f>-784.0881815256 -87.8377836404724 -528.528099575623</f>
        <v>-1400.4540647416952</v>
      </c>
      <c r="K3081" t="s">
        <v>33128</v>
      </c>
      <c r="L3081" t="s">
        <v>33129</v>
      </c>
      <c r="M3081" t="s">
        <v>33130</v>
      </c>
      <c r="N3081">
        <f>-770.135846893567 -141.467245770469 -529.14143291874</f>
        <v>-1440.7445255827761</v>
      </c>
      <c r="O3081">
        <f>-736.159497070252 -271.960303415128 -502.433964962105</f>
        <v>-1510.5537654474849</v>
      </c>
      <c r="P3081">
        <f>-706.029596053651 -305.703527447181 -211.668075373398</f>
        <v>-1223.40119887423</v>
      </c>
      <c r="Q3081">
        <f>-564.985016450934 -140.748046454783 -316.29594039486</f>
        <v>-1022.029003300577</v>
      </c>
      <c r="R3081" t="s">
        <v>33131</v>
      </c>
      <c r="S3081" t="s">
        <v>33132</v>
      </c>
      <c r="T3081" t="s">
        <v>33133</v>
      </c>
      <c r="U3081" t="s">
        <v>33134</v>
      </c>
      <c r="V3081">
        <f>-678.19234284186 -176.397776615138 -72.4286397967219</f>
        <v>-927.01875925371985</v>
      </c>
      <c r="W3081" t="s">
        <v>33135</v>
      </c>
      <c r="X3081" t="s">
        <v>33136</v>
      </c>
      <c r="Y3081" t="s">
        <v>33137</v>
      </c>
    </row>
    <row r="3082" spans="1:25" x14ac:dyDescent="0.3">
      <c r="A3082">
        <v>154050</v>
      </c>
      <c r="B3082" t="s">
        <v>33138</v>
      </c>
      <c r="C3082">
        <f>-709.306814362892 -84.1968828141146 -76.3025949759399</f>
        <v>-869.80629215294653</v>
      </c>
      <c r="D3082">
        <f>-745.476746878525 -102.380621398781 -184.825870083883</f>
        <v>-1032.6832383611891</v>
      </c>
      <c r="E3082">
        <f>-762.379244333376 -110.158878852135 -281.678624059466</f>
        <v>-1154.2167472449771</v>
      </c>
      <c r="F3082">
        <f>-772.405548371881 -114.298708373915 -370.112666901216</f>
        <v>-1256.8169236470121</v>
      </c>
      <c r="G3082">
        <f>-776.765875387193 -115.502220265604 -459.09458152156</f>
        <v>-1351.362677174357</v>
      </c>
      <c r="H3082">
        <f>-776.864864029599 -114.164097377715 -583.669886603944</f>
        <v>-1474.698848011258</v>
      </c>
      <c r="I3082">
        <f>-745.107462955697 -104.707814918215 -659.874112640814</f>
        <v>-1509.689390514726</v>
      </c>
      <c r="J3082">
        <f>-783.787067015873 -87.9353503389789 -528.556888060603</f>
        <v>-1400.2793054154549</v>
      </c>
      <c r="K3082" t="s">
        <v>33139</v>
      </c>
      <c r="L3082" t="s">
        <v>33140</v>
      </c>
      <c r="M3082" t="s">
        <v>33141</v>
      </c>
      <c r="N3082">
        <f>-769.855632399165 -141.570609382207 -529.144180271176</f>
        <v>-1440.5704220525481</v>
      </c>
      <c r="O3082">
        <f>-735.966920064692 -272.08418487067 -502.36790441866</f>
        <v>-1510.4190093540219</v>
      </c>
      <c r="P3082">
        <f>-706.312699568526 -305.523140634479 -211.518046363842</f>
        <v>-1223.353886566847</v>
      </c>
      <c r="Q3082">
        <f>-564.515550109208 -141.05355495193 -315.893136070514</f>
        <v>-1021.462241131652</v>
      </c>
      <c r="R3082" t="s">
        <v>33142</v>
      </c>
      <c r="S3082" t="s">
        <v>33143</v>
      </c>
      <c r="T3082" t="s">
        <v>33144</v>
      </c>
      <c r="U3082" t="s">
        <v>33145</v>
      </c>
      <c r="V3082">
        <f>-678.183160158128 -176.457025144523 -72.4175565106373</f>
        <v>-927.0577418132882</v>
      </c>
      <c r="W3082" t="s">
        <v>33146</v>
      </c>
      <c r="X3082" t="s">
        <v>33147</v>
      </c>
      <c r="Y3082" t="s">
        <v>33148</v>
      </c>
    </row>
    <row r="3083" spans="1:25" x14ac:dyDescent="0.3">
      <c r="A3083">
        <v>154100</v>
      </c>
      <c r="B3083" t="s">
        <v>33149</v>
      </c>
      <c r="C3083">
        <f>-709.336400517148 -84.2250260513754 -76.3121147904402</f>
        <v>-869.87354135896362</v>
      </c>
      <c r="D3083">
        <f>-745.46372685882 -102.411003416016 -184.849164307235</f>
        <v>-1032.7238945820709</v>
      </c>
      <c r="E3083">
        <f>-762.22817113637 -110.215835486391 -281.723931907279</f>
        <v>-1154.1679385300399</v>
      </c>
      <c r="F3083">
        <f>-772.088070302496 -114.390521440161 -370.175034360162</f>
        <v>-1256.6536261028191</v>
      </c>
      <c r="G3083">
        <f>-776.240060141377 -115.641079626478 -459.166257004257</f>
        <v>-1351.0473967721118</v>
      </c>
      <c r="H3083">
        <f>-776.004300018774 -114.382612785511 -583.742150871647</f>
        <v>-1474.129063675932</v>
      </c>
      <c r="I3083">
        <f>-744.063269971937 -105.006240653315 -659.879488775848</f>
        <v>-1508.9489994011001</v>
      </c>
      <c r="J3083">
        <f>-783.03870253757 -88.1093693291889 -528.664682938117</f>
        <v>-1399.812754804876</v>
      </c>
      <c r="K3083" t="s">
        <v>33150</v>
      </c>
      <c r="L3083" t="s">
        <v>33151</v>
      </c>
      <c r="M3083" t="s">
        <v>33152</v>
      </c>
      <c r="N3083">
        <f>-769.177368294822 -141.763449762505 -529.180400384814</f>
        <v>-1440.1212184421411</v>
      </c>
      <c r="O3083">
        <f>-735.500527435592 -272.295323590167 -502.244158971897</f>
        <v>-1510.0400099976559</v>
      </c>
      <c r="P3083">
        <f>-706.543555988493 -305.172420520336 -211.260006187856</f>
        <v>-1222.9759826966852</v>
      </c>
      <c r="Q3083">
        <f>-563.658808670892 -141.651106395229 -315.64200808338</f>
        <v>-1020.951923149501</v>
      </c>
      <c r="R3083" t="s">
        <v>33153</v>
      </c>
      <c r="S3083" t="s">
        <v>33154</v>
      </c>
      <c r="T3083" t="s">
        <v>33155</v>
      </c>
      <c r="U3083" t="s">
        <v>33156</v>
      </c>
      <c r="V3083">
        <f>-678.27034755978 -176.511094733364 -72.3982228166774</f>
        <v>-927.17966510982137</v>
      </c>
      <c r="W3083" t="s">
        <v>33157</v>
      </c>
      <c r="X3083" t="s">
        <v>33158</v>
      </c>
      <c r="Y3083" t="s">
        <v>33159</v>
      </c>
    </row>
    <row r="3084" spans="1:25" x14ac:dyDescent="0.3">
      <c r="A3084">
        <v>154150</v>
      </c>
      <c r="B3084" t="s">
        <v>33160</v>
      </c>
      <c r="C3084">
        <f>-709.331145854454 -84.1252043526827 -76.3260370265647</f>
        <v>-869.78238723370134</v>
      </c>
      <c r="D3084">
        <f>-745.438338922508 -102.304973338178 -184.870844845576</f>
        <v>-1032.6141571062619</v>
      </c>
      <c r="E3084">
        <f>-762.141114858856 -110.1224303442 -281.755156500836</f>
        <v>-1154.018701703892</v>
      </c>
      <c r="F3084">
        <f>-771.92699831282 -114.316267771676 -370.213631506312</f>
        <v>-1256.4568975908082</v>
      </c>
      <c r="G3084">
        <f>-775.986990680113 -115.594282874526 -459.208620297824</f>
        <v>-1350.7898938524629</v>
      </c>
      <c r="H3084">
        <f>-775.603488128509 -114.383516625436 -583.78460237819</f>
        <v>-1473.7716071321349</v>
      </c>
      <c r="I3084">
        <f>-743.566640361754 -105.056252501621 -659.887679570864</f>
        <v>-1508.5105724342388</v>
      </c>
      <c r="J3084">
        <f>-782.684807115674 -88.0844539757215 -528.725429993537</f>
        <v>-1399.4946910849326</v>
      </c>
      <c r="K3084" t="s">
        <v>33161</v>
      </c>
      <c r="L3084" t="s">
        <v>33162</v>
      </c>
      <c r="M3084" t="s">
        <v>33163</v>
      </c>
      <c r="N3084">
        <f>-768.859719231638 -141.748235997325 -529.204455891631</f>
        <v>-1439.8124111205939</v>
      </c>
      <c r="O3084">
        <f>-735.259874596801 -272.282537235359 -502.173828912073</f>
        <v>-1509.7162407442329</v>
      </c>
      <c r="P3084">
        <f>-706.385763609043 -305.17300581093 -211.183033274307</f>
        <v>-1222.7418026942801</v>
      </c>
      <c r="Q3084">
        <f>-563.553550272671 -141.617206799568 -315.582857252934</f>
        <v>-1020.753614325173</v>
      </c>
      <c r="R3084" t="s">
        <v>33164</v>
      </c>
      <c r="S3084" t="s">
        <v>33165</v>
      </c>
      <c r="T3084" t="s">
        <v>33166</v>
      </c>
      <c r="U3084" t="s">
        <v>33167</v>
      </c>
      <c r="V3084">
        <f>-678.272881922645 -176.389536666256 -72.4058668256596</f>
        <v>-927.06828541456048</v>
      </c>
      <c r="W3084" t="s">
        <v>33168</v>
      </c>
      <c r="X3084" t="s">
        <v>33169</v>
      </c>
      <c r="Y3084" t="s">
        <v>33170</v>
      </c>
    </row>
    <row r="3085" spans="1:25" x14ac:dyDescent="0.3">
      <c r="A3085">
        <v>154200</v>
      </c>
      <c r="B3085" t="s">
        <v>33171</v>
      </c>
      <c r="C3085">
        <f>-709.353971691398 -83.9268193069125 -76.3119385499408</f>
        <v>-869.59272954825133</v>
      </c>
      <c r="D3085">
        <f>-745.453841672675 -102.083130672495 -184.863134150769</f>
        <v>-1032.4001064959391</v>
      </c>
      <c r="E3085">
        <f>-762.082313325122 -109.912952719276 -281.759148273244</f>
        <v>-1153.7544143176419</v>
      </c>
      <c r="F3085">
        <f>-771.774347928324 -114.129959765707 -370.226812570147</f>
        <v>-1256.131120264178</v>
      </c>
      <c r="G3085">
        <f>-775.713886759094 -115.443197354616 -459.226738803326</f>
        <v>-1350.383822917036</v>
      </c>
      <c r="H3085">
        <f>-775.135261354811 -114.293716088022 -583.802789068442</f>
        <v>-1473.2317665112751</v>
      </c>
      <c r="I3085">
        <f>-742.949796629677 -105.050034731399 -659.853182076671</f>
        <v>-1507.853013437747</v>
      </c>
      <c r="J3085">
        <f>-782.296865090786 -87.9660325583109 -528.767534621309</f>
        <v>-1399.030432270406</v>
      </c>
      <c r="K3085" t="s">
        <v>33172</v>
      </c>
      <c r="L3085" t="s">
        <v>33173</v>
      </c>
      <c r="M3085" t="s">
        <v>33174</v>
      </c>
      <c r="N3085">
        <f>-768.48289240534 -141.633106353592 -529.198563296514</f>
        <v>-1439.314562055446</v>
      </c>
      <c r="O3085">
        <f>-734.913045458914 -272.146338840893 -502.048886733874</f>
        <v>-1509.1082710336809</v>
      </c>
      <c r="P3085">
        <f>-706.008759309501 -304.787043262735 -211.032864778194</f>
        <v>-1221.8286673504299</v>
      </c>
      <c r="Q3085">
        <f>-563.428397996698 -141.284702762507 -315.859869750287</f>
        <v>-1020.5729705094919</v>
      </c>
      <c r="R3085" t="s">
        <v>33175</v>
      </c>
      <c r="S3085" t="s">
        <v>33176</v>
      </c>
      <c r="T3085" t="s">
        <v>33177</v>
      </c>
      <c r="U3085" t="s">
        <v>33178</v>
      </c>
      <c r="V3085">
        <f>-678.35623566622 -176.126944882485 -72.3747874162078</f>
        <v>-926.85796796491275</v>
      </c>
      <c r="W3085" t="s">
        <v>33179</v>
      </c>
      <c r="X3085" t="s">
        <v>33180</v>
      </c>
      <c r="Y3085" t="s">
        <v>33181</v>
      </c>
    </row>
    <row r="3086" spans="1:25" x14ac:dyDescent="0.3">
      <c r="A3086">
        <v>154250</v>
      </c>
      <c r="B3086" t="s">
        <v>33182</v>
      </c>
      <c r="C3086">
        <f>-709.359284416167 -83.8096102867396 -76.3002579548601</f>
        <v>-869.4691526577667</v>
      </c>
      <c r="D3086">
        <f>-745.480228544001 -101.979038217165 -184.842271921388</f>
        <v>-1032.3015386825539</v>
      </c>
      <c r="E3086">
        <f>-762.089720018634 -109.8180064493 -281.740680878309</f>
        <v>-1153.6484073462429</v>
      </c>
      <c r="F3086">
        <f>-771.749444215764 -114.041865755383 -370.21162834415</f>
        <v>-1256.0029383152969</v>
      </c>
      <c r="G3086">
        <f>-775.641694531308 -115.360191046625 -459.213693659052</f>
        <v>-1350.2155792369849</v>
      </c>
      <c r="H3086">
        <f>-774.98135797911 -114.215760803581 -583.78917691635</f>
        <v>-1472.986295699041</v>
      </c>
      <c r="I3086">
        <f>-742.734298602838 -104.990891738762 -659.815849263786</f>
        <v>-1507.541039605386</v>
      </c>
      <c r="J3086">
        <f>-782.19106958431 -87.8889152298954 -528.759796236485</f>
        <v>-1398.8397810506904</v>
      </c>
      <c r="K3086" t="s">
        <v>33183</v>
      </c>
      <c r="L3086" t="s">
        <v>33184</v>
      </c>
      <c r="M3086" t="s">
        <v>33185</v>
      </c>
      <c r="N3086">
        <f>-768.352885098605 -141.549805385661 -529.179481591258</f>
        <v>-1439.0821720755239</v>
      </c>
      <c r="O3086">
        <f>-734.730560332767 -272.046141830661 -502.003705174551</f>
        <v>-1508.7804073379789</v>
      </c>
      <c r="P3086">
        <f>-705.811509397051 -304.596769889071 -210.978913071009</f>
        <v>-1221.387192357131</v>
      </c>
      <c r="Q3086">
        <f>-563.302128958462 -141.130835397492 -315.959063108951</f>
        <v>-1020.392027464905</v>
      </c>
      <c r="R3086" t="s">
        <v>33186</v>
      </c>
      <c r="S3086" t="s">
        <v>33187</v>
      </c>
      <c r="T3086" t="s">
        <v>33188</v>
      </c>
      <c r="U3086" t="s">
        <v>33189</v>
      </c>
      <c r="V3086">
        <f>-678.350795511259 -175.908274034822 -72.3708467069066</f>
        <v>-926.62991625298764</v>
      </c>
      <c r="W3086" t="s">
        <v>33190</v>
      </c>
      <c r="X3086" t="s">
        <v>33191</v>
      </c>
      <c r="Y3086" t="s">
        <v>33192</v>
      </c>
    </row>
    <row r="3087" spans="1:25" x14ac:dyDescent="0.3">
      <c r="A3087">
        <v>154300</v>
      </c>
      <c r="B3087" t="s">
        <v>33193</v>
      </c>
      <c r="C3087">
        <f>-709.428259386445 -83.8217068711555 -76.2884499977139</f>
        <v>-869.53841625531436</v>
      </c>
      <c r="D3087">
        <f>-745.576199640535 -102.035833096067 -184.813951001299</f>
        <v>-1032.4259837379011</v>
      </c>
      <c r="E3087">
        <f>-762.163823644811 -109.892248685321 -281.71489739422</f>
        <v>-1153.770969724352</v>
      </c>
      <c r="F3087">
        <f>-771.78490213764 -114.123028935996 -370.189592085594</f>
        <v>-1256.0975231592299</v>
      </c>
      <c r="G3087">
        <f>-775.619952699155 -115.438637607707 -459.19421114504</f>
        <v>-1350.2528014519021</v>
      </c>
      <c r="H3087">
        <f>-774.860480664897 -114.27991682171 -583.768986602695</f>
        <v>-1472.909384089302</v>
      </c>
      <c r="I3087">
        <f>-742.519297948594 -105.046310678612 -659.754687202513</f>
        <v>-1507.320295829719</v>
      </c>
      <c r="J3087">
        <f>-782.146384386837 -87.9677240498443 -528.742572750912</f>
        <v>-1398.8566811875933</v>
      </c>
      <c r="K3087" t="s">
        <v>33194</v>
      </c>
      <c r="L3087" t="s">
        <v>33195</v>
      </c>
      <c r="M3087" t="s">
        <v>33196</v>
      </c>
      <c r="N3087">
        <f>-768.243061899386 -141.611862900389 -529.156879168814</f>
        <v>-1439.011803968589</v>
      </c>
      <c r="O3087">
        <f>-734.461062825191 -272.061480169022 -501.959598838836</f>
        <v>-1508.4821418330489</v>
      </c>
      <c r="P3087">
        <f>-705.380331207899 -304.580452696787 -210.94758246082</f>
        <v>-1220.908366365506</v>
      </c>
      <c r="Q3087">
        <f>-563.227847247694 -140.888327406926 -316.058970358276</f>
        <v>-1020.1751450128959</v>
      </c>
      <c r="R3087" t="s">
        <v>33197</v>
      </c>
      <c r="S3087" t="s">
        <v>33198</v>
      </c>
      <c r="T3087" t="s">
        <v>33199</v>
      </c>
      <c r="U3087" t="s">
        <v>33200</v>
      </c>
      <c r="V3087">
        <f>-678.417454413882 -176.016496883821 -72.326044463156</f>
        <v>-926.75999576085894</v>
      </c>
      <c r="W3087" t="s">
        <v>33201</v>
      </c>
      <c r="X3087" t="s">
        <v>33202</v>
      </c>
      <c r="Y3087" t="s">
        <v>33203</v>
      </c>
    </row>
    <row r="3088" spans="1:25" x14ac:dyDescent="0.3">
      <c r="A3088">
        <v>154350</v>
      </c>
      <c r="B3088" t="s">
        <v>33204</v>
      </c>
      <c r="C3088">
        <f>-709.514858559589 -83.7330927498933 -76.2867320060518</f>
        <v>-869.53468331553415</v>
      </c>
      <c r="D3088">
        <f>-745.664138432367 -101.974609167779 -184.807241204413</f>
        <v>-1032.445988804559</v>
      </c>
      <c r="E3088">
        <f>-762.2452360888 -109.840254367682 -281.708556872419</f>
        <v>-1153.7940473289009</v>
      </c>
      <c r="F3088">
        <f>-771.857172297053 -114.073669375584 -370.184117603441</f>
        <v>-1256.114959276078</v>
      </c>
      <c r="G3088">
        <f>-775.679764233574 -115.385551241714 -459.189140796524</f>
        <v>-1350.2544562718119</v>
      </c>
      <c r="H3088">
        <f>-774.899351651151 -114.21500591116 -583.763837001653</f>
        <v>-1472.8781945639639</v>
      </c>
      <c r="I3088">
        <f>-742.53275819803 -104.950852603856 -659.734921145178</f>
        <v>-1507.2185319470641</v>
      </c>
      <c r="J3088">
        <f>-782.217384061506 -87.9139738651775 -528.736394579361</f>
        <v>-1398.8677525060443</v>
      </c>
      <c r="K3088" t="s">
        <v>33205</v>
      </c>
      <c r="L3088" t="s">
        <v>33206</v>
      </c>
      <c r="M3088" t="s">
        <v>33207</v>
      </c>
      <c r="N3088">
        <f>-768.268221227725 -141.546203436678 -529.153082229044</f>
        <v>-1438.9675068934471</v>
      </c>
      <c r="O3088">
        <f>-734.360568858969 -271.966992212542 -501.959552311115</f>
        <v>-1508.2871133826261</v>
      </c>
      <c r="P3088">
        <f>-705.257304959039 -304.428143842525 -210.943259201228</f>
        <v>-1220.6287080027919</v>
      </c>
      <c r="Q3088">
        <f>-563.379983168087 -140.481488603713 -316.029864185246</f>
        <v>-1019.8913359570461</v>
      </c>
      <c r="R3088" t="s">
        <v>33208</v>
      </c>
      <c r="S3088" t="s">
        <v>33209</v>
      </c>
      <c r="T3088" t="s">
        <v>33210</v>
      </c>
      <c r="U3088" t="s">
        <v>33211</v>
      </c>
      <c r="V3088">
        <f>-678.422709705872 -175.839458370288 -72.3270671115229</f>
        <v>-926.58923518768279</v>
      </c>
      <c r="W3088" t="s">
        <v>33212</v>
      </c>
      <c r="X3088" t="s">
        <v>33213</v>
      </c>
      <c r="Y3088" t="s">
        <v>33214</v>
      </c>
    </row>
    <row r="3089" spans="1:25" x14ac:dyDescent="0.3">
      <c r="A3089">
        <v>154400</v>
      </c>
      <c r="B3089" t="s">
        <v>33215</v>
      </c>
      <c r="C3089">
        <f>-709.753232345403 -83.720519941725 -76.284024445352</f>
        <v>-869.75777673248001</v>
      </c>
      <c r="D3089">
        <f>-745.931304484041 -101.992153806434 -184.789902224938</f>
        <v>-1032.7133605154129</v>
      </c>
      <c r="E3089">
        <f>-762.501343139375 -109.879380526625 -281.691321831639</f>
        <v>-1154.072045497639</v>
      </c>
      <c r="F3089">
        <f>-772.088688366301 -114.129725351676 -370.168672531066</f>
        <v>-1256.387086249043</v>
      </c>
      <c r="G3089">
        <f>-775.872797868456 -115.454575708597 -459.175212530975</f>
        <v>-1350.502586108028</v>
      </c>
      <c r="H3089">
        <f>-775.024399835597 -114.297015815235 -583.749645871106</f>
        <v>-1473.0710615219382</v>
      </c>
      <c r="I3089">
        <f>-742.637308086857 -104.946351360463 -659.701321233022</f>
        <v>-1507.284980680342</v>
      </c>
      <c r="J3089">
        <f>-782.427081428394 -88.0045400316777 -528.729422117757</f>
        <v>-1399.1610435778289</v>
      </c>
      <c r="K3089" t="s">
        <v>33216</v>
      </c>
      <c r="L3089" t="s">
        <v>33217</v>
      </c>
      <c r="M3089" t="s">
        <v>33218</v>
      </c>
      <c r="N3089">
        <f>-768.368325914507 -141.608288647068 -529.131818591932</f>
        <v>-1439.1084331535069</v>
      </c>
      <c r="O3089">
        <f>-734.154035225686 -271.93084931909 -501.876870835053</f>
        <v>-1507.9617553798291</v>
      </c>
      <c r="P3089">
        <f>-704.589372410972 -304.360951645035 -210.903604897314</f>
        <v>-1219.853928953321</v>
      </c>
      <c r="Q3089">
        <f>-564.374008434132 -138.966567055492 -315.952206578406</f>
        <v>-1019.29278206803</v>
      </c>
      <c r="R3089" t="s">
        <v>33219</v>
      </c>
      <c r="S3089" t="s">
        <v>33220</v>
      </c>
      <c r="T3089" t="s">
        <v>33221</v>
      </c>
      <c r="U3089" t="s">
        <v>33222</v>
      </c>
      <c r="V3089">
        <f>-678.649869688248 -175.950744869868 -72.3241102424498</f>
        <v>-926.92472480056585</v>
      </c>
      <c r="W3089" t="s">
        <v>33223</v>
      </c>
      <c r="X3089" t="s">
        <v>33224</v>
      </c>
      <c r="Y3089" t="s">
        <v>33225</v>
      </c>
    </row>
    <row r="3090" spans="1:25" x14ac:dyDescent="0.3">
      <c r="A3090">
        <v>154450</v>
      </c>
      <c r="B3090" t="s">
        <v>33226</v>
      </c>
      <c r="C3090">
        <f>-709.827519213431 -83.7002332717508 -76.2851617210933</f>
        <v>-869.81291420627508</v>
      </c>
      <c r="D3090">
        <f>-746.030760923082 -101.984384980956 -184.78050756659</f>
        <v>-1032.7956534706279</v>
      </c>
      <c r="E3090">
        <f>-762.606220547056 -109.883433689036 -281.680105157641</f>
        <v>-1154.1697593937329</v>
      </c>
      <c r="F3090">
        <f>-772.192287765135 -114.143991992769 -370.157128999151</f>
        <v>-1256.493408757055</v>
      </c>
      <c r="G3090">
        <f>-775.969181298733 -115.47753004458 -459.163831238245</f>
        <v>-1350.6105425815581</v>
      </c>
      <c r="H3090">
        <f>-775.104845272585 -114.329911193409 -583.738090083962</f>
        <v>-1473.1728465499559</v>
      </c>
      <c r="I3090">
        <f>-742.720055043571 -104.927901578104 -659.684585053499</f>
        <v>-1507.3325416751741</v>
      </c>
      <c r="J3090">
        <f>-782.548232880556 -88.041954122823 -528.721343077275</f>
        <v>-1399.3115300806539</v>
      </c>
      <c r="K3090" t="s">
        <v>33227</v>
      </c>
      <c r="L3090" t="s">
        <v>33228</v>
      </c>
      <c r="M3090" t="s">
        <v>33229</v>
      </c>
      <c r="N3090">
        <f>-768.422191058638 -141.627916088353 -529.116872601708</f>
        <v>-1439.1669797486989</v>
      </c>
      <c r="O3090">
        <f>-734.027156684191 -271.901033334701 -501.820819399234</f>
        <v>-1507.7490094181262</v>
      </c>
      <c r="P3090">
        <f>-704.392128987419 -304.058849127089 -210.824525655379</f>
        <v>-1219.2755037698869</v>
      </c>
      <c r="Q3090">
        <f>-564.494443790209 -138.363164692172 -315.821731594471</f>
        <v>-1018.679340076852</v>
      </c>
      <c r="R3090" t="s">
        <v>33230</v>
      </c>
      <c r="S3090" t="s">
        <v>33231</v>
      </c>
      <c r="T3090" t="s">
        <v>33232</v>
      </c>
      <c r="U3090" t="s">
        <v>33233</v>
      </c>
      <c r="V3090">
        <f>-678.673693962729 -175.810334393515 -72.3433832210487</f>
        <v>-926.82741157729265</v>
      </c>
      <c r="W3090" t="s">
        <v>33234</v>
      </c>
      <c r="X3090" t="s">
        <v>33235</v>
      </c>
      <c r="Y3090" t="s">
        <v>33236</v>
      </c>
    </row>
    <row r="3091" spans="1:25" x14ac:dyDescent="0.3">
      <c r="A3091">
        <v>154500</v>
      </c>
      <c r="B3091" t="s">
        <v>33237</v>
      </c>
      <c r="C3091">
        <f>-710.038142103418 -83.5708659428032 -76.270024963387</f>
        <v>-869.87903300960807</v>
      </c>
      <c r="D3091">
        <f>-746.282883222912 -101.895981619428 -184.744654612491</f>
        <v>-1032.923519454831</v>
      </c>
      <c r="E3091">
        <f>-762.869165270561 -109.806908601242 -281.641384805486</f>
        <v>-1154.3174586772889</v>
      </c>
      <c r="F3091">
        <f>-772.454516564362 -114.068335257758 -370.118412464757</f>
        <v>-1256.641264286877</v>
      </c>
      <c r="G3091">
        <f>-776.220423113918 -115.391773985889 -459.125745163096</f>
        <v>-1350.7379422629028</v>
      </c>
      <c r="H3091">
        <f>-775.330216363548 -114.217944869121 -583.69971512911</f>
        <v>-1473.2478763617789</v>
      </c>
      <c r="I3091">
        <f>-742.958817093982 -104.711014039716 -659.63865123217</f>
        <v>-1507.308482365868</v>
      </c>
      <c r="J3091">
        <f>-782.830010380686 -87.9534539726834 -528.679324651097</f>
        <v>-1399.4627890044662</v>
      </c>
      <c r="K3091" t="s">
        <v>33238</v>
      </c>
      <c r="L3091" t="s">
        <v>33239</v>
      </c>
      <c r="M3091" t="s">
        <v>33240</v>
      </c>
      <c r="N3091">
        <f>-768.613971553195 -141.515634924143 -529.082367057014</f>
        <v>-1439.2119735343522</v>
      </c>
      <c r="O3091">
        <f>-734.049915111406 -271.740407922877 -501.751491956919</f>
        <v>-1507.541814991202</v>
      </c>
      <c r="P3091">
        <f>-704.242838445107 -303.765637653029 -210.758215509945</f>
        <v>-1218.7666916080811</v>
      </c>
      <c r="Q3091">
        <f>-564.785555435147 -137.564969108446 -315.543064156043</f>
        <v>-1017.893588699636</v>
      </c>
      <c r="R3091" t="s">
        <v>33241</v>
      </c>
      <c r="S3091" t="s">
        <v>33242</v>
      </c>
      <c r="T3091" t="s">
        <v>33243</v>
      </c>
      <c r="U3091" t="s">
        <v>33244</v>
      </c>
      <c r="V3091">
        <f>-678.808699612581 -175.620315166149 -72.3396391428621</f>
        <v>-926.76865392159209</v>
      </c>
      <c r="W3091" t="s">
        <v>33245</v>
      </c>
      <c r="X3091" t="s">
        <v>33246</v>
      </c>
      <c r="Y3091" t="s">
        <v>33247</v>
      </c>
    </row>
    <row r="3092" spans="1:25" x14ac:dyDescent="0.3">
      <c r="A3092">
        <v>154550</v>
      </c>
      <c r="B3092" t="s">
        <v>33248</v>
      </c>
      <c r="C3092">
        <f>-710.101319942996 -83.4359889651093 -76.2689107568741</f>
        <v>-869.80621966497949</v>
      </c>
      <c r="D3092">
        <f>-746.360482863598 -101.800725431666 -184.731928205369</f>
        <v>-1032.8931365006331</v>
      </c>
      <c r="E3092">
        <f>-762.93813127208 -109.714713622272 -281.629862797531</f>
        <v>-1154.2827076918829</v>
      </c>
      <c r="F3092">
        <f>-772.506339372341 -113.966689059428 -370.109308562681</f>
        <v>-1256.5823369944501</v>
      </c>
      <c r="G3092">
        <f>-776.245420968346 -115.268253975206 -459.118112579444</f>
        <v>-1350.6317875229961</v>
      </c>
      <c r="H3092">
        <f>-775.307546572545 -114.051078991983 -583.691140904678</f>
        <v>-1473.0497664692061</v>
      </c>
      <c r="I3092">
        <f>-742.92181015075 -104.492013253892 -659.617555515975</f>
        <v>-1507.031378920617</v>
      </c>
      <c r="J3092">
        <f>-782.837541718948 -87.8080997250545 -528.664649275092</f>
        <v>-1399.3102907190946</v>
      </c>
      <c r="K3092" t="s">
        <v>33249</v>
      </c>
      <c r="L3092" t="s">
        <v>33250</v>
      </c>
      <c r="M3092" t="s">
        <v>33251</v>
      </c>
      <c r="N3092">
        <f>-768.603043427532 -141.365274330093 -529.080799213467</f>
        <v>-1439.0491169710922</v>
      </c>
      <c r="O3092">
        <f>-734.060261299938 -271.587167257126 -501.755604465257</f>
        <v>-1507.4030330223211</v>
      </c>
      <c r="P3092">
        <f>-704.177642833302 -303.489205722416 -210.756367796655</f>
        <v>-1218.4232163523729</v>
      </c>
      <c r="Q3092">
        <f>-564.829664929047 -137.163662282015 -315.488640711767</f>
        <v>-1017.481967922829</v>
      </c>
      <c r="R3092" t="s">
        <v>33252</v>
      </c>
      <c r="S3092" t="s">
        <v>33253</v>
      </c>
      <c r="T3092" t="s">
        <v>33254</v>
      </c>
      <c r="U3092" t="s">
        <v>33255</v>
      </c>
      <c r="V3092">
        <f>-678.809163587512 -175.444795986707 -72.3319339874048</f>
        <v>-926.58589356162372</v>
      </c>
      <c r="W3092" t="s">
        <v>33256</v>
      </c>
      <c r="X3092" t="s">
        <v>33257</v>
      </c>
      <c r="Y3092" t="s">
        <v>33258</v>
      </c>
    </row>
    <row r="3093" spans="1:25" x14ac:dyDescent="0.3">
      <c r="A3093">
        <v>154600</v>
      </c>
      <c r="B3093" t="s">
        <v>33259</v>
      </c>
      <c r="C3093">
        <f>-710.267557345763 -83.5105173118482 -76.2524244743884</f>
        <v>-870.03049913199948</v>
      </c>
      <c r="D3093">
        <f>-746.559498311817 -101.945940359434 -184.692472160604</f>
        <v>-1033.1979108318551</v>
      </c>
      <c r="E3093">
        <f>-763.102438268656 -109.864990824438 -281.596016673714</f>
        <v>-1154.5634457668079</v>
      </c>
      <c r="F3093">
        <f>-772.612918480977 -114.097886551286 -370.08258825628</f>
        <v>-1256.793393288543</v>
      </c>
      <c r="G3093">
        <f>-776.267790960024 -115.356055893868 -459.095394130101</f>
        <v>-1350.7192409839929</v>
      </c>
      <c r="H3093">
        <f>-775.184735751881 -114.052261292233 -583.666446422026</f>
        <v>-1472.9034434661398</v>
      </c>
      <c r="I3093">
        <f>-742.748175668538 -104.391358779608 -659.558269389955</f>
        <v>-1506.697803838101</v>
      </c>
      <c r="J3093">
        <f>-782.804538760366 -87.8543988411029 -528.630828035658</f>
        <v>-1399.2897656371269</v>
      </c>
      <c r="K3093" t="s">
        <v>33260</v>
      </c>
      <c r="L3093" t="s">
        <v>33261</v>
      </c>
      <c r="M3093" t="s">
        <v>33262</v>
      </c>
      <c r="N3093">
        <f>-768.518047748457 -141.3975945862 -529.066974432629</f>
        <v>-1438.9826167672859</v>
      </c>
      <c r="O3093">
        <f>-733.896891017865 -271.598465968723 -501.734035165366</f>
        <v>-1507.229392151954</v>
      </c>
      <c r="P3093">
        <f>-703.8674089696 -303.091051622911 -210.705451979401</f>
        <v>-1217.6639125719121</v>
      </c>
      <c r="Q3093">
        <f>-564.674022523619 -136.496679291069 -315.215660814832</f>
        <v>-1016.3863626295199</v>
      </c>
      <c r="R3093" t="s">
        <v>33263</v>
      </c>
      <c r="S3093" t="s">
        <v>33264</v>
      </c>
      <c r="T3093" t="s">
        <v>33265</v>
      </c>
      <c r="U3093" t="s">
        <v>33266</v>
      </c>
      <c r="V3093">
        <f>-678.963012534987 -175.52092859314 -72.2971477074249</f>
        <v>-926.78108883555194</v>
      </c>
      <c r="W3093" t="s">
        <v>33267</v>
      </c>
      <c r="X3093" t="s">
        <v>33268</v>
      </c>
      <c r="Y3093" t="s">
        <v>33269</v>
      </c>
    </row>
    <row r="3094" spans="1:25" x14ac:dyDescent="0.3">
      <c r="A3094">
        <v>154650</v>
      </c>
      <c r="B3094" t="s">
        <v>33270</v>
      </c>
      <c r="C3094">
        <f>-710.348947323528 -83.5003211286307 -76.2643078854346</f>
        <v>-870.11357633759337</v>
      </c>
      <c r="D3094">
        <f>-746.64917655441 -101.941237976918 -184.700694042614</f>
        <v>-1033.291108573942</v>
      </c>
      <c r="E3094">
        <f>-763.16618669268 -109.856977278775 -281.608768694287</f>
        <v>-1154.6319326657419</v>
      </c>
      <c r="F3094">
        <f>-772.639610249387 -114.083404029502 -370.09960321692</f>
        <v>-1256.822617495809</v>
      </c>
      <c r="G3094">
        <f>-776.243970530398 -115.33127786274 -459.114791991765</f>
        <v>-1350.6900403849029</v>
      </c>
      <c r="H3094">
        <f>-775.076287282545 -114.0090069957 -583.684853921923</f>
        <v>-1472.770148200168</v>
      </c>
      <c r="I3094">
        <f>-742.606004125698 -104.302303439614 -659.556369847807</f>
        <v>-1506.4646774131188</v>
      </c>
      <c r="J3094">
        <f>-782.74958721102 -87.8235577591751 -528.650728621331</f>
        <v>-1399.2238735915262</v>
      </c>
      <c r="K3094" t="s">
        <v>33271</v>
      </c>
      <c r="L3094" t="s">
        <v>33272</v>
      </c>
      <c r="M3094" t="s">
        <v>33273</v>
      </c>
      <c r="N3094">
        <f>-768.430660532112 -141.358082354344 -529.084676829228</f>
        <v>-1438.8734197156841</v>
      </c>
      <c r="O3094">
        <f>-733.749239226479 -271.537729742054 -501.720150755691</f>
        <v>-1507.0071197242239</v>
      </c>
      <c r="P3094">
        <f>-703.582220535366 -303.007407079799 -210.70340828503</f>
        <v>-1217.293035900195</v>
      </c>
      <c r="Q3094">
        <f>-564.383192157858 -136.25976958096 -314.961219733064</f>
        <v>-1015.604181471882</v>
      </c>
      <c r="R3094" t="s">
        <v>33274</v>
      </c>
      <c r="S3094" t="s">
        <v>33275</v>
      </c>
      <c r="T3094" t="s">
        <v>33276</v>
      </c>
      <c r="U3094" t="s">
        <v>33277</v>
      </c>
      <c r="V3094">
        <f>-679.030785407596 -175.49824860763 -72.3197694555088</f>
        <v>-926.84880347073477</v>
      </c>
      <c r="W3094" t="s">
        <v>33278</v>
      </c>
      <c r="X3094" t="s">
        <v>33279</v>
      </c>
      <c r="Y3094" t="s">
        <v>33280</v>
      </c>
    </row>
    <row r="3095" spans="1:25" x14ac:dyDescent="0.3">
      <c r="A3095">
        <v>154700</v>
      </c>
      <c r="B3095" t="s">
        <v>33281</v>
      </c>
      <c r="C3095">
        <f>-710.390075755523 -83.6226283557359 -76.2824884810954</f>
        <v>-870.29519259235417</v>
      </c>
      <c r="D3095">
        <f>-746.720825432667 -102.101274036502 -184.702225395064</f>
        <v>-1033.524324864233</v>
      </c>
      <c r="E3095">
        <f>-763.214101506579 -110.032062127133 -281.613205622824</f>
        <v>-1154.859369256536</v>
      </c>
      <c r="F3095">
        <f>-772.644870391137 -114.265680295156 -370.108287394908</f>
        <v>-1257.018838081201</v>
      </c>
      <c r="G3095">
        <f>-776.185428233008 -115.513828492565 -459.125943249654</f>
        <v>-1350.825199975227</v>
      </c>
      <c r="H3095">
        <f>-774.906397567907 -114.184627183278 -583.694811332207</f>
        <v>-1472.785836083392</v>
      </c>
      <c r="I3095">
        <f>-742.415254911715 -104.384788761035 -659.545504442362</f>
        <v>-1506.345548115112</v>
      </c>
      <c r="J3095">
        <f>-782.665116668044 -88.0120215422645 -528.666551320373</f>
        <v>-1399.3436895306813</v>
      </c>
      <c r="K3095" t="s">
        <v>33282</v>
      </c>
      <c r="L3095" t="s">
        <v>33283</v>
      </c>
      <c r="M3095" t="s">
        <v>33284</v>
      </c>
      <c r="N3095">
        <f>-768.273364315148 -141.527057784905 -529.089835701781</f>
        <v>-1438.890257801834</v>
      </c>
      <c r="O3095">
        <f>-733.520628540809 -271.67958013225 -501.713191069835</f>
        <v>-1506.9133997428939</v>
      </c>
      <c r="P3095">
        <f>-703.497628728724 -302.636513929085 -210.62647056918</f>
        <v>-1216.7606132269889</v>
      </c>
      <c r="Q3095">
        <f>-562.970455121241 -136.989030208864 -314.856549414241</f>
        <v>-1014.8160347443461</v>
      </c>
      <c r="R3095" t="s">
        <v>33285</v>
      </c>
      <c r="S3095" t="s">
        <v>33286</v>
      </c>
      <c r="T3095" t="s">
        <v>33287</v>
      </c>
      <c r="U3095" t="s">
        <v>33288</v>
      </c>
      <c r="V3095">
        <f>-678.991122015759 -175.497890417182 -72.3636831802951</f>
        <v>-926.85269561323605</v>
      </c>
      <c r="W3095" t="s">
        <v>33289</v>
      </c>
      <c r="X3095" t="s">
        <v>33290</v>
      </c>
      <c r="Y3095" t="s">
        <v>33291</v>
      </c>
    </row>
    <row r="3096" spans="1:25" x14ac:dyDescent="0.3">
      <c r="A3096">
        <v>154750</v>
      </c>
      <c r="B3096" t="s">
        <v>33292</v>
      </c>
      <c r="C3096">
        <f>-710.488610800056 -83.9012523508242 -76.2845228021376</f>
        <v>-870.6743859530178</v>
      </c>
      <c r="D3096">
        <f>-746.827453246793 -102.429176366615 -184.693182720776</f>
        <v>-1033.9498123341841</v>
      </c>
      <c r="E3096">
        <f>-763.303513930361 -110.365597641874 -281.606581877032</f>
        <v>-1155.275693449267</v>
      </c>
      <c r="F3096">
        <f>-772.707649466248 -114.59032813574 -370.104888331799</f>
        <v>-1257.4028659337869</v>
      </c>
      <c r="G3096">
        <f>-776.210202334184 -115.81578315632 -459.124426165097</f>
        <v>-1351.1504116556011</v>
      </c>
      <c r="H3096">
        <f>-774.865734691822 -114.440933962354 -583.692052259456</f>
        <v>-1472.998720913632</v>
      </c>
      <c r="I3096">
        <f>-742.371976138904 -104.579544527615 -659.533587429604</f>
        <v>-1506.485108096123</v>
      </c>
      <c r="J3096">
        <f>-782.675424698566 -88.2944239065397 -528.658686161439</f>
        <v>-1399.6285347665448</v>
      </c>
      <c r="K3096" t="s">
        <v>33293</v>
      </c>
      <c r="L3096" t="s">
        <v>33294</v>
      </c>
      <c r="M3096" t="s">
        <v>33295</v>
      </c>
      <c r="N3096">
        <f>-768.239304689533 -141.79744653524 -529.093466449148</f>
        <v>-1439.1302176739209</v>
      </c>
      <c r="O3096">
        <f>-733.408075877291 -271.93117454804 -501.715013942235</f>
        <v>-1507.054264367566</v>
      </c>
      <c r="P3096">
        <f>-703.046951631182 -302.987701138015 -210.673842690823</f>
        <v>-1216.70849546002</v>
      </c>
      <c r="Q3096">
        <f>-562.434164477744 -137.526723151171 -315.084409995699</f>
        <v>-1015.045297624614</v>
      </c>
      <c r="R3096" t="s">
        <v>33296</v>
      </c>
      <c r="S3096" t="s">
        <v>33297</v>
      </c>
      <c r="T3096" t="s">
        <v>33298</v>
      </c>
      <c r="U3096" t="s">
        <v>33299</v>
      </c>
      <c r="V3096">
        <f>-679.044549158614 -175.806613120402 -72.3903842333633</f>
        <v>-927.24154651237939</v>
      </c>
      <c r="W3096" t="s">
        <v>33300</v>
      </c>
      <c r="X3096" t="s">
        <v>33301</v>
      </c>
      <c r="Y3096" t="s">
        <v>33302</v>
      </c>
    </row>
    <row r="3097" spans="1:25" x14ac:dyDescent="0.3">
      <c r="A3097">
        <v>154800</v>
      </c>
      <c r="B3097" t="s">
        <v>33303</v>
      </c>
      <c r="C3097">
        <f>-710.381097490907 -86.702539047049 -76.4089693363001</f>
        <v>-873.49260587425601</v>
      </c>
      <c r="D3097">
        <f>-746.592323833105 -105.305463069886 -184.84744287021</f>
        <v>-1036.7452297732009</v>
      </c>
      <c r="E3097">
        <f>-762.975498111361 -113.225056540877 -281.77806062026</f>
        <v>-1157.978615272498</v>
      </c>
      <c r="F3097">
        <f>-772.298225656219 -117.410285790151 -370.286773767226</f>
        <v>-1259.9952852135959</v>
      </c>
      <c r="G3097">
        <f>-775.720066698835 -118.574447773905 -459.310261626651</f>
        <v>-1353.6047760993911</v>
      </c>
      <c r="H3097">
        <f>-774.262114134736 -117.094607717599 -583.875496999624</f>
        <v>-1475.232218851959</v>
      </c>
      <c r="I3097">
        <f>-741.803951695611 -107.104030000736 -659.715276689624</f>
        <v>-1508.623258385971</v>
      </c>
      <c r="J3097">
        <f>-782.183167829092 -91.0110683878894 -528.828027461552</f>
        <v>-1402.0222636785334</v>
      </c>
      <c r="K3097" t="s">
        <v>33304</v>
      </c>
      <c r="L3097" t="s">
        <v>33305</v>
      </c>
      <c r="M3097" t="s">
        <v>33306</v>
      </c>
      <c r="N3097">
        <f>-767.624229788892 -144.480619894505 -529.292963557337</f>
        <v>-1441.397813240734</v>
      </c>
      <c r="O3097">
        <f>-732.50619193155 -274.555484715381 -502.076497037838</f>
        <v>-1509.1381736847691</v>
      </c>
      <c r="P3097">
        <f>-699.68318093453 -306.856888820694 -211.438443221965</f>
        <v>-1217.978512977189</v>
      </c>
      <c r="Q3097">
        <f>-559.135076703198 -141.446019340427 -316.015481078019</f>
        <v>-1016.596577121644</v>
      </c>
      <c r="R3097" t="s">
        <v>33307</v>
      </c>
      <c r="S3097" t="s">
        <v>33308</v>
      </c>
      <c r="T3097" t="s">
        <v>33309</v>
      </c>
      <c r="U3097" t="s">
        <v>33310</v>
      </c>
      <c r="V3097">
        <f>-678.257561084142 -179.907743331607 -72.7311658593178</f>
        <v>-930.8964702750668</v>
      </c>
      <c r="W3097" t="s">
        <v>33311</v>
      </c>
      <c r="X3097" t="s">
        <v>33312</v>
      </c>
      <c r="Y3097" t="s">
        <v>33313</v>
      </c>
    </row>
    <row r="3098" spans="1:25" x14ac:dyDescent="0.3">
      <c r="A3098">
        <v>154850</v>
      </c>
      <c r="B3098" t="s">
        <v>33314</v>
      </c>
      <c r="C3098">
        <f>-710.482491884133 -85.4290128713908 -76.4544765798778</f>
        <v>-872.36598133540156</v>
      </c>
      <c r="D3098">
        <f>-746.487276279883 -103.895323062122 -184.984993585433</f>
        <v>-1035.367592927438</v>
      </c>
      <c r="E3098">
        <f>-762.757474050592 -111.708102401199 -281.94318174282</f>
        <v>-1156.408758194611</v>
      </c>
      <c r="F3098">
        <f>-772.00656218369 -115.80121349017 -370.464047710559</f>
        <v>-1258.2718233844189</v>
      </c>
      <c r="G3098">
        <f>-775.384908284013 -116.875817650194 -459.490264245978</f>
        <v>-1351.750990180185</v>
      </c>
      <c r="H3098">
        <f>-773.898592668225 -115.272986228265 -584.053628489358</f>
        <v>-1473.2252073858481</v>
      </c>
      <c r="I3098">
        <f>-741.500842497915 -105.146344235534 -659.901338817916</f>
        <v>-1506.5485255513649</v>
      </c>
      <c r="J3098">
        <f>-781.896615599817 -89.2614486608097 -528.983262378365</f>
        <v>-1400.1413266389918</v>
      </c>
      <c r="K3098" t="s">
        <v>33315</v>
      </c>
      <c r="L3098" t="s">
        <v>33316</v>
      </c>
      <c r="M3098" t="s">
        <v>33317</v>
      </c>
      <c r="N3098">
        <f>-767.208689819901 -142.695206510941 -529.495609746425</f>
        <v>-1439.399506077267</v>
      </c>
      <c r="O3098">
        <f>-731.67948254256 -272.708948942602 -502.426591746538</f>
        <v>-1506.8150232317</v>
      </c>
      <c r="P3098">
        <f>-694.287840320908 -307.739572528673 -212.65789004614</f>
        <v>-1214.685302895721</v>
      </c>
      <c r="Q3098">
        <f>-558.219007158017 -138.120203942238 -316.414340863073</f>
        <v>-1012.7535519633279</v>
      </c>
      <c r="R3098" t="s">
        <v>33318</v>
      </c>
      <c r="S3098" t="s">
        <v>33319</v>
      </c>
      <c r="T3098" t="s">
        <v>33320</v>
      </c>
      <c r="U3098" t="s">
        <v>33321</v>
      </c>
      <c r="V3098">
        <f>-678.434255173128 -176.738301886163 -72.8143385441957</f>
        <v>-927.98689560348669</v>
      </c>
      <c r="W3098" t="s">
        <v>33322</v>
      </c>
      <c r="X3098" t="s">
        <v>33323</v>
      </c>
      <c r="Y3098" t="s">
        <v>33324</v>
      </c>
    </row>
    <row r="3099" spans="1:25" x14ac:dyDescent="0.3">
      <c r="A3099">
        <v>154900</v>
      </c>
      <c r="B3099" t="s">
        <v>33325</v>
      </c>
      <c r="C3099">
        <f>-711.201955700133 -82.7477421926716 -76.783750906212</f>
        <v>-870.73344879901663</v>
      </c>
      <c r="D3099">
        <f>-747.016649191064 -101.391227819101 -185.346885843295</f>
        <v>-1033.7547628534599</v>
      </c>
      <c r="E3099">
        <f>-763.154158997443 -109.026273402927 -282.341417899989</f>
        <v>-1154.5218503003589</v>
      </c>
      <c r="F3099">
        <f>-772.297343536892 -112.817134372271 -370.886680740705</f>
        <v>-1256.0011586498679</v>
      </c>
      <c r="G3099">
        <f>-775.586912190006 -113.438350628858 -459.920714159366</f>
        <v>-1348.94597697823</v>
      </c>
      <c r="H3099">
        <f>-773.996704761786 -111.037578328951 -584.469922884734</f>
        <v>-1469.504205975471</v>
      </c>
      <c r="I3099">
        <f>-741.926201340365 -100.258776897335 -660.366715174778</f>
        <v>-1502.551693412478</v>
      </c>
      <c r="J3099">
        <f>-782.320367323668 -85.4576763224212 -529.245807470458</f>
        <v>-1397.0238511165471</v>
      </c>
      <c r="K3099" t="s">
        <v>33326</v>
      </c>
      <c r="L3099" t="s">
        <v>33327</v>
      </c>
      <c r="M3099" t="s">
        <v>33328</v>
      </c>
      <c r="N3099">
        <f>-767.072620845805 -138.730419932393 -530.078058566322</f>
        <v>-1435.88109934452</v>
      </c>
      <c r="O3099">
        <f>-729.933778731329 -268.397214771237 -503.576530424181</f>
        <v>-1501.9075239267468</v>
      </c>
      <c r="P3099">
        <f>-681.123579871733 -308.791844004918 -216.214166650461</f>
        <v>-1206.129590527112</v>
      </c>
      <c r="Q3099">
        <f>-555.211948339025 -130.490662862423 -318.223158884857</f>
        <v>-1003.925770086305</v>
      </c>
      <c r="R3099" t="s">
        <v>33329</v>
      </c>
      <c r="S3099" t="s">
        <v>33330</v>
      </c>
      <c r="T3099" t="s">
        <v>33331</v>
      </c>
      <c r="U3099" t="s">
        <v>33332</v>
      </c>
      <c r="V3099">
        <f>-678.850490602639 -172.709202899594 -73.0519184335691</f>
        <v>-924.61161193580199</v>
      </c>
      <c r="W3099" t="s">
        <v>33333</v>
      </c>
      <c r="X3099" t="s">
        <v>33334</v>
      </c>
      <c r="Y3099" t="s">
        <v>33335</v>
      </c>
    </row>
    <row r="3100" spans="1:25" x14ac:dyDescent="0.3">
      <c r="A3100">
        <v>154950</v>
      </c>
      <c r="B3100" t="s">
        <v>33336</v>
      </c>
      <c r="C3100">
        <f>-711.479745991566 -83.6778872598795 -77.0490317244459</f>
        <v>-872.20666497589139</v>
      </c>
      <c r="D3100">
        <f>-747.138063525055 -102.433544565694 -185.644277035668</f>
        <v>-1035.2158851264171</v>
      </c>
      <c r="E3100">
        <f>-763.184207527862 -109.936650314388 -282.664282843448</f>
        <v>-1155.785140685698</v>
      </c>
      <c r="F3100">
        <f>-772.260895294724 -113.516030358468 -371.22534028122</f>
        <v>-1257.002265934412</v>
      </c>
      <c r="G3100">
        <f>-775.501429362409 -113.828762364564 -460.26250881333</f>
        <v>-1349.592700540303</v>
      </c>
      <c r="H3100">
        <f>-773.861652055885 -110.89331902247 -584.79974445954</f>
        <v>-1469.5547155378949</v>
      </c>
      <c r="I3100">
        <f>-742.071081648824 -99.6145836796786 -660.741723091778</f>
        <v>-1502.4273884202807</v>
      </c>
      <c r="J3100">
        <f>-782.435743528689 -85.6170898684177 -529.47430484585</f>
        <v>-1397.5271382429569</v>
      </c>
      <c r="K3100" t="s">
        <v>33337</v>
      </c>
      <c r="L3100" t="s">
        <v>33338</v>
      </c>
      <c r="M3100" t="s">
        <v>33339</v>
      </c>
      <c r="N3100">
        <f>-766.730833089457 -138.753056941525 -530.519893081582</f>
        <v>-1436.003783112564</v>
      </c>
      <c r="O3100">
        <f>-728.28678296568 -268.115101049715 -504.412785939511</f>
        <v>-1500.8146699549061</v>
      </c>
      <c r="P3100">
        <f>-673.164713169559 -311.659728110807 -218.656584659569</f>
        <v>-1203.4810259399351</v>
      </c>
      <c r="Q3100">
        <f>-553.78798430768 -128.042977574295 -319.080539992758</f>
        <v>-1000.9115018747329</v>
      </c>
      <c r="R3100" t="s">
        <v>33340</v>
      </c>
      <c r="S3100" t="s">
        <v>33341</v>
      </c>
      <c r="T3100" t="s">
        <v>33342</v>
      </c>
      <c r="U3100" t="s">
        <v>33343</v>
      </c>
      <c r="V3100">
        <f>-678.647357564292 -173.697429472439 -73.2838357252052</f>
        <v>-925.62862276193619</v>
      </c>
      <c r="W3100" t="s">
        <v>33344</v>
      </c>
      <c r="X3100" t="s">
        <v>33345</v>
      </c>
      <c r="Y3100" t="s">
        <v>33346</v>
      </c>
    </row>
    <row r="3101" spans="1:25" x14ac:dyDescent="0.3">
      <c r="A3101">
        <v>155000</v>
      </c>
      <c r="B3101" t="s">
        <v>33347</v>
      </c>
      <c r="C3101">
        <f>-710.141950984367 -88.4956272731745 -77.5701947378228</f>
        <v>-876.20777299536428</v>
      </c>
      <c r="D3101">
        <f>-745.298140207673 -107.523575406243 -186.281719686733</f>
        <v>-1039.1034353006489</v>
      </c>
      <c r="E3101">
        <f>-761.13618108836 -114.76201504465 -283.356022362238</f>
        <v>-1159.2542184952479</v>
      </c>
      <c r="F3101">
        <f>-770.112197549093 -117.905557197945 -371.943821929268</f>
        <v>-1259.9615766763059</v>
      </c>
      <c r="G3101">
        <f>-773.342585342501 -117.575352849259 -460.981401304441</f>
        <v>-1351.899339496201</v>
      </c>
      <c r="H3101">
        <f>-771.784395477563 -113.521603530655 -585.488227059853</f>
        <v>-1470.7942260680709</v>
      </c>
      <c r="I3101">
        <f>-740.845520360846 -101.111136433979 -661.605113916157</f>
        <v>-1503.561770710982</v>
      </c>
      <c r="J3101">
        <f>-780.900541254626 -88.9207699188103 -529.945431083278</f>
        <v>-1399.7667422567142</v>
      </c>
      <c r="K3101" t="s">
        <v>33348</v>
      </c>
      <c r="L3101" t="s">
        <v>33349</v>
      </c>
      <c r="M3101" t="s">
        <v>33350</v>
      </c>
      <c r="N3101">
        <f>-764.039591848642 -141.690125753089 -531.452481025441</f>
        <v>-1437.1821986271721</v>
      </c>
      <c r="O3101">
        <f>-722.418618194652 -270.311522701917 -506.486002115248</f>
        <v>-1499.2161430118172</v>
      </c>
      <c r="P3101">
        <f>-656.694054461264 -317.772623738197 -223.609692977945</f>
        <v>-1198.0763711774061</v>
      </c>
      <c r="Q3101">
        <f>-548.792545122238 -125.410104718527 -320.588218596804</f>
        <v>-994.79086843756909</v>
      </c>
      <c r="R3101" t="s">
        <v>33351</v>
      </c>
      <c r="S3101" t="s">
        <v>33352</v>
      </c>
      <c r="T3101" t="s">
        <v>33353</v>
      </c>
      <c r="U3101" t="s">
        <v>33354</v>
      </c>
      <c r="V3101">
        <f>-676.264869218425 -177.203397349598 -73.776819779808</f>
        <v>-927.24508634783092</v>
      </c>
      <c r="W3101" t="s">
        <v>33355</v>
      </c>
      <c r="X3101" t="s">
        <v>33356</v>
      </c>
      <c r="Y3101" t="s">
        <v>33357</v>
      </c>
    </row>
    <row r="3102" spans="1:25" x14ac:dyDescent="0.3">
      <c r="A3102">
        <v>155050</v>
      </c>
      <c r="B3102" t="s">
        <v>33358</v>
      </c>
      <c r="C3102">
        <f>-708.704440600922 -91.8444398892932 -77.7877393003204</f>
        <v>-878.33661979053556</v>
      </c>
      <c r="D3102">
        <f>-743.537564138379 -111.128604012057 -186.558118968036</f>
        <v>-1041.2242871184721</v>
      </c>
      <c r="E3102">
        <f>-759.323225210103 -118.275768207135 -283.647720825586</f>
        <v>-1161.2467142428241</v>
      </c>
      <c r="F3102">
        <f>-768.340972393405 -121.214523698422 -372.238328425145</f>
        <v>-1261.7938245169721</v>
      </c>
      <c r="G3102">
        <f>-771.703590726494 -120.551320352839 -461.26903117936</f>
        <v>-1353.5239422586928</v>
      </c>
      <c r="H3102">
        <f>-770.424849234804 -115.896226076193 -585.75804677781</f>
        <v>-1472.079122088807</v>
      </c>
      <c r="I3102">
        <f>-740.104735878503 -102.906167608514 -662.027274624488</f>
        <v>-1505.038178111505</v>
      </c>
      <c r="J3102">
        <f>-779.748948670977 -91.6723894816566 -530.084175128433</f>
        <v>-1401.5055132810667</v>
      </c>
      <c r="K3102" t="s">
        <v>33359</v>
      </c>
      <c r="L3102" t="s">
        <v>33360</v>
      </c>
      <c r="M3102" t="s">
        <v>33361</v>
      </c>
      <c r="N3102">
        <f>-762.226163650085 -144.216911680517 -531.869089497478</f>
        <v>-1438.3121648280799</v>
      </c>
      <c r="O3102">
        <f>-718.749185906487 -272.354499788957 -507.507952688384</f>
        <v>-1498.611638383828</v>
      </c>
      <c r="P3102">
        <f>-648.001398041242 -321.927016159261 -226.210067664779</f>
        <v>-1196.1384818652821</v>
      </c>
      <c r="Q3102">
        <f>-546.578354967975 -125.140447920126 -321.285153682782</f>
        <v>-993.00395657088302</v>
      </c>
      <c r="R3102">
        <f>-744.370062489969 -3.76128887244477 -83.2009549244144</f>
        <v>-831.33230628682816</v>
      </c>
      <c r="S3102" t="s">
        <v>33362</v>
      </c>
      <c r="T3102" t="s">
        <v>33363</v>
      </c>
      <c r="U3102" t="s">
        <v>33364</v>
      </c>
      <c r="V3102">
        <f>-674.214910237279 -180.203555638074 -73.971066341763</f>
        <v>-928.38953221711608</v>
      </c>
      <c r="W3102" t="s">
        <v>33365</v>
      </c>
      <c r="X3102" t="s">
        <v>33366</v>
      </c>
      <c r="Y3102" t="s">
        <v>33367</v>
      </c>
    </row>
    <row r="3103" spans="1:25" x14ac:dyDescent="0.3">
      <c r="A3103">
        <v>155100</v>
      </c>
      <c r="B3103" t="s">
        <v>33368</v>
      </c>
      <c r="C3103">
        <f>-704.534694992591 -100.34063206076 -78.3033357239125</f>
        <v>-883.17866277726341</v>
      </c>
      <c r="D3103">
        <f>-738.788330573278 -120.310960553954 -187.133905408698</f>
        <v>-1046.2331965359301</v>
      </c>
      <c r="E3103">
        <f>-754.551578508226 -127.332458298836 -284.236277456827</f>
        <v>-1166.1203142638892</v>
      </c>
      <c r="F3103">
        <f>-763.732435988225 -129.879682076012 -372.822191050351</f>
        <v>-1266.4343091145879</v>
      </c>
      <c r="G3103">
        <f>-767.443143518026 -128.535969040429 -461.831563223896</f>
        <v>-1357.8106757823509</v>
      </c>
      <c r="H3103">
        <f>-766.84272565694 -122.625692676424 -586.272414575175</f>
        <v>-1475.7408329085392</v>
      </c>
      <c r="I3103">
        <f>-738.050560403415 -108.397079032998 -662.91178914275</f>
        <v>-1509.359428579163</v>
      </c>
      <c r="J3103">
        <f>-776.563962432302 -99.2084182732165 -530.322079855271</f>
        <v>-1406.0944605607895</v>
      </c>
      <c r="K3103" t="s">
        <v>33369</v>
      </c>
      <c r="L3103" t="s">
        <v>33370</v>
      </c>
      <c r="M3103" t="s">
        <v>33371</v>
      </c>
      <c r="N3103">
        <f>-757.649923723366 -151.244582803887 -532.702316418442</f>
        <v>-1441.5968229456951</v>
      </c>
      <c r="O3103">
        <f>-710.365214676466 -278.252404091961 -509.657645047324</f>
        <v>-1498.275263815751</v>
      </c>
      <c r="P3103">
        <f>-631.386262322021 -330.110236723164 -230.974486848796</f>
        <v>-1192.4709858939809</v>
      </c>
      <c r="Q3103">
        <f>-542.117383847544 -126.375236949549 -323.570194771017</f>
        <v>-992.06281556811007</v>
      </c>
      <c r="R3103">
        <f>-742.246380603623 -12.8396693516431 -83.5792227672839</f>
        <v>-838.66527272255007</v>
      </c>
      <c r="S3103" t="s">
        <v>33372</v>
      </c>
      <c r="T3103" t="s">
        <v>33373</v>
      </c>
      <c r="U3103" t="s">
        <v>33374</v>
      </c>
      <c r="V3103">
        <f>-668.047005466037 -188.806945410142 -75.2745520368444</f>
        <v>-932.12850291302345</v>
      </c>
      <c r="W3103" t="s">
        <v>33375</v>
      </c>
      <c r="X3103" t="s">
        <v>33376</v>
      </c>
      <c r="Y3103" t="s">
        <v>33377</v>
      </c>
    </row>
    <row r="3104" spans="1:25" x14ac:dyDescent="0.3">
      <c r="A3104">
        <v>155150</v>
      </c>
      <c r="B3104" t="s">
        <v>33378</v>
      </c>
      <c r="C3104">
        <f>-701.989683497103 -104.770839013156 -78.7859116260638</f>
        <v>-885.54643413632277</v>
      </c>
      <c r="D3104">
        <f>-735.914954286408 -124.844408359991 -187.700331904158</f>
        <v>-1048.4596945505571</v>
      </c>
      <c r="E3104">
        <f>-751.636257329798 -131.752750057325 -284.817683941649</f>
        <v>-1168.206691328772</v>
      </c>
      <c r="F3104">
        <f>-760.875806965867 -134.120051313072 -373.402395737957</f>
        <v>-1268.3982540168961</v>
      </c>
      <c r="G3104">
        <f>-764.744632005089 -132.512732096844 -462.400704348771</f>
        <v>-1359.6580684507039</v>
      </c>
      <c r="H3104">
        <f>-764.469582693415 -126.144581915561 -586.820104704986</f>
        <v>-1477.434269313962</v>
      </c>
      <c r="I3104">
        <f>-736.490009037915 -111.363290148252 -663.655462080496</f>
        <v>-1511.508761266663</v>
      </c>
      <c r="J3104">
        <f>-774.379860583083 -103.057403398202 -530.765913804681</f>
        <v>-1408.2031777859661</v>
      </c>
      <c r="K3104" t="s">
        <v>33379</v>
      </c>
      <c r="L3104" t="s">
        <v>33380</v>
      </c>
      <c r="M3104" t="s">
        <v>33381</v>
      </c>
      <c r="N3104">
        <f>-754.80140664728 -154.836295773279 -533.372847654933</f>
        <v>-1443.0105500754921</v>
      </c>
      <c r="O3104">
        <f>-705.613707728389 -281.231035478309 -510.825542807905</f>
        <v>-1497.6702860146029</v>
      </c>
      <c r="P3104">
        <f>-622.278776660202 -334.035446363624 -233.592507932203</f>
        <v>-1189.9067309560289</v>
      </c>
      <c r="Q3104">
        <f>-540.606251580709 -126.592994879632 -324.960452464315</f>
        <v>-992.15969892465591</v>
      </c>
      <c r="R3104">
        <f>-740.550608676552 -17.5979044525077 -83.7379679679373</f>
        <v>-841.88648109699693</v>
      </c>
      <c r="S3104" t="s">
        <v>33382</v>
      </c>
      <c r="T3104" t="s">
        <v>33383</v>
      </c>
      <c r="U3104" t="s">
        <v>33384</v>
      </c>
      <c r="V3104">
        <f>-664.429704048348 -191.814339839484 -76.3433465371818</f>
        <v>-932.58739042501372</v>
      </c>
      <c r="W3104" t="s">
        <v>33385</v>
      </c>
      <c r="X3104" t="s">
        <v>33386</v>
      </c>
      <c r="Y3104" t="s">
        <v>33387</v>
      </c>
    </row>
    <row r="3105" spans="1:25" x14ac:dyDescent="0.3">
      <c r="A3105">
        <v>155200</v>
      </c>
      <c r="B3105" t="s">
        <v>33388</v>
      </c>
      <c r="C3105">
        <f>-696.298054975569 -114.31663157917 -79.6927966600691</f>
        <v>-890.30748321480814</v>
      </c>
      <c r="D3105">
        <f>-729.904177463595 -134.345405826108 -188.714397078875</f>
        <v>-1052.9639803685779</v>
      </c>
      <c r="E3105">
        <f>-745.690592370889 -141.006975730509 -285.838430538324</f>
        <v>-1172.535998639722</v>
      </c>
      <c r="F3105">
        <f>-755.132255951646 -143.065881641526 -374.409557750012</f>
        <v>-1272.6076953431841</v>
      </c>
      <c r="G3105">
        <f>-759.353967610929 -141.051274530053 -463.383485815186</f>
        <v>-1363.788727956168</v>
      </c>
      <c r="H3105">
        <f>-759.734401633663 -134.003330557506 -587.765909754367</f>
        <v>-1481.5036419455359</v>
      </c>
      <c r="I3105">
        <f>-733.429037985411 -118.402095294428 -665.029514738695</f>
        <v>-1516.860648018534</v>
      </c>
      <c r="J3105">
        <f>-769.929621334464 -111.44943188538 -531.546036149027</f>
        <v>-1412.9250893688709</v>
      </c>
      <c r="K3105" t="s">
        <v>33389</v>
      </c>
      <c r="L3105" t="s">
        <v>33390</v>
      </c>
      <c r="M3105" t="s">
        <v>33391</v>
      </c>
      <c r="N3105">
        <f>-749.204259248616 -162.760230850522 -534.516768049251</f>
        <v>-1446.4812581483891</v>
      </c>
      <c r="O3105">
        <f>-696.950777743514 -287.997354083849 -512.668226544134</f>
        <v>-1497.616358371497</v>
      </c>
      <c r="P3105">
        <f>-604.119514139642 -341.567004319605 -238.617393865714</f>
        <v>-1184.3039123249609</v>
      </c>
      <c r="Q3105">
        <f>-535.851463932218 -128.672416359472 -328.429583898111</f>
        <v>-992.95346418980102</v>
      </c>
      <c r="R3105">
        <f>-736.659955633303 -27.6693455272248 -84.016037197107</f>
        <v>-848.34533835763477</v>
      </c>
      <c r="S3105" t="s">
        <v>33392</v>
      </c>
      <c r="T3105" t="s">
        <v>33393</v>
      </c>
      <c r="U3105" t="s">
        <v>33394</v>
      </c>
      <c r="V3105">
        <f>-655.635482751439 -202.283154594269 -77.5039266684657</f>
        <v>-935.42256401417376</v>
      </c>
      <c r="W3105" t="s">
        <v>33395</v>
      </c>
      <c r="X3105" t="s">
        <v>33396</v>
      </c>
      <c r="Y3105" t="s">
        <v>33397</v>
      </c>
    </row>
    <row r="3106" spans="1:25" x14ac:dyDescent="0.3">
      <c r="A3106">
        <v>155250</v>
      </c>
      <c r="B3106" t="s">
        <v>33398</v>
      </c>
      <c r="C3106">
        <f>-694.320825212972 -119.258762055633 -79.9746700405889</f>
        <v>-893.55425730919387</v>
      </c>
      <c r="D3106">
        <f>-727.752233611528 -139.3357632698 -189.041151315139</f>
        <v>-1056.129148196467</v>
      </c>
      <c r="E3106">
        <f>-743.542995379706 -145.89975707383 -286.171080367227</f>
        <v>-1175.613832820763</v>
      </c>
      <c r="F3106">
        <f>-753.051486435728 -147.815524688805 -374.738235174282</f>
        <v>-1275.605246298815</v>
      </c>
      <c r="G3106">
        <f>-757.405687525885 -145.598362968988 -463.700993506343</f>
        <v>-1366.705044001216</v>
      </c>
      <c r="H3106">
        <f>-758.040728495658 -138.203180310778 -588.062349094347</f>
        <v>-1484.3062579007828</v>
      </c>
      <c r="I3106">
        <f>-732.512343681146 -122.305521452148 -665.52572258973</f>
        <v>-1520.343587723024</v>
      </c>
      <c r="J3106">
        <f>-768.359678545175 -115.903843834019 -531.763271807487</f>
        <v>-1416.0267941866809</v>
      </c>
      <c r="K3106" t="s">
        <v>33399</v>
      </c>
      <c r="L3106" t="s">
        <v>33400</v>
      </c>
      <c r="M3106" t="s">
        <v>33401</v>
      </c>
      <c r="N3106">
        <f>-747.162799197588 -167.011083235669 -534.910741281172</f>
        <v>-1449.084623714429</v>
      </c>
      <c r="O3106">
        <f>-693.612472440923 -291.753830143084 -513.347573624431</f>
        <v>-1498.713876208438</v>
      </c>
      <c r="P3106">
        <f>-595.434688771358 -345.839275310432 -241.268376950065</f>
        <v>-1182.5423410318549</v>
      </c>
      <c r="Q3106">
        <f>-535.210044816687 -130.047700845865 -329.912942878923</f>
        <v>-995.17068854147499</v>
      </c>
      <c r="R3106">
        <f>-735.424042266104 -32.6249348702213 -84.1364851317101</f>
        <v>-852.18546226803539</v>
      </c>
      <c r="S3106" t="s">
        <v>33402</v>
      </c>
      <c r="T3106" t="s">
        <v>33403</v>
      </c>
      <c r="U3106" t="s">
        <v>33404</v>
      </c>
      <c r="V3106">
        <f>-653.652126306685 -206.301381857787 -77.6719701113001</f>
        <v>-937.62547827577202</v>
      </c>
      <c r="W3106" t="s">
        <v>33405</v>
      </c>
      <c r="X3106" t="s">
        <v>33406</v>
      </c>
      <c r="Y3106" t="s">
        <v>33407</v>
      </c>
    </row>
    <row r="3107" spans="1:25" x14ac:dyDescent="0.3">
      <c r="A3107">
        <v>155300</v>
      </c>
      <c r="B3107" t="s">
        <v>33408</v>
      </c>
      <c r="C3107">
        <f>-691.505558028359 -128.072505258617 -80.1729847410697</f>
        <v>-899.75104802804572</v>
      </c>
      <c r="D3107">
        <f>-724.476166670757 -148.387361864627 -189.335532100128</f>
        <v>-1062.1990606355121</v>
      </c>
      <c r="E3107">
        <f>-740.179638625803 -154.823302929428 -286.488253962319</f>
        <v>-1181.4911955175501</v>
      </c>
      <c r="F3107">
        <f>-749.729796725324 -156.497466945316 -375.055941099567</f>
        <v>-1281.283204770207</v>
      </c>
      <c r="G3107">
        <f>-754.248933858985 -153.906349477437 -464.000316996184</f>
        <v>-1372.1556003326059</v>
      </c>
      <c r="H3107">
        <f>-755.243333082812 -145.849552594291 -588.318105251893</f>
        <v>-1489.4109909289959</v>
      </c>
      <c r="I3107">
        <f>-730.990659861468 -129.482510276569 -666.093033956741</f>
        <v>-1526.566204094778</v>
      </c>
      <c r="J3107">
        <f>-765.839848955655 -124.036677969701 -531.88028178806</f>
        <v>-1421.7568087134159</v>
      </c>
      <c r="K3107" t="s">
        <v>33409</v>
      </c>
      <c r="L3107" t="s">
        <v>33410</v>
      </c>
      <c r="M3107" t="s">
        <v>33411</v>
      </c>
      <c r="N3107">
        <f>-743.771647790453 -174.753204520199 -535.343620626373</f>
        <v>-1453.868472937025</v>
      </c>
      <c r="O3107">
        <f>-687.675193125832 -298.5042572347 -514.476312382715</f>
        <v>-1500.6557627432471</v>
      </c>
      <c r="P3107">
        <f>-579.767234004898 -353.45155141493 -246.28266273824</f>
        <v>-1179.5014481580679</v>
      </c>
      <c r="Q3107">
        <f>-534.345502589439 -133.019164873983 -332.290287804515</f>
        <v>-999.65495526793688</v>
      </c>
      <c r="R3107">
        <f>-734.075902829516 -42.280241215984 -84.1359830225853</f>
        <v>-860.49212706808532</v>
      </c>
      <c r="S3107" t="s">
        <v>33412</v>
      </c>
      <c r="T3107" t="s">
        <v>33413</v>
      </c>
      <c r="U3107" t="s">
        <v>33414</v>
      </c>
      <c r="V3107">
        <f>-648.969061902392 -213.856789683148 -78.2386719154081</f>
        <v>-941.0645235009481</v>
      </c>
      <c r="W3107" t="s">
        <v>33415</v>
      </c>
      <c r="X3107" t="s">
        <v>33416</v>
      </c>
      <c r="Y3107" t="s">
        <v>33417</v>
      </c>
    </row>
    <row r="3108" spans="1:25" x14ac:dyDescent="0.3">
      <c r="A3108">
        <v>155350</v>
      </c>
      <c r="B3108" t="s">
        <v>33418</v>
      </c>
      <c r="C3108">
        <f>-690.390788064736 -131.992271324821 -80.3697733315313</f>
        <v>-902.75283272108823</v>
      </c>
      <c r="D3108">
        <f>-723.109619457338 -152.364747407804 -189.597381300383</f>
        <v>-1065.0717481655249</v>
      </c>
      <c r="E3108">
        <f>-738.736422513011 -158.708233186458 -286.768479129089</f>
        <v>-1184.2131348285579</v>
      </c>
      <c r="F3108">
        <f>-748.273866809454 -160.243685410754 -375.33999677912</f>
        <v>-1283.8575489993279</v>
      </c>
      <c r="G3108">
        <f>-752.839187901915 -157.454745336783 -464.27598097003</f>
        <v>-1374.5699142087278</v>
      </c>
      <c r="H3108">
        <f>-753.961088387231 -149.05839456297 -588.570356876977</f>
        <v>-1491.5898398271779</v>
      </c>
      <c r="I3108">
        <f>-730.281170322237 -132.468472443362 -666.474398127345</f>
        <v>-1529.224040892944</v>
      </c>
      <c r="J3108">
        <f>-764.726685330238 -127.499393824513 -532.066912331829</f>
        <v>-1424.2929914865799</v>
      </c>
      <c r="K3108">
        <f>-816.453019983563 -3.10915476886089 -504.743346824028</f>
        <v>-1324.3055215764518</v>
      </c>
      <c r="L3108" t="s">
        <v>33419</v>
      </c>
      <c r="M3108" t="s">
        <v>33420</v>
      </c>
      <c r="N3108">
        <f>-742.208176500644 -178.007005059769 -535.682064322773</f>
        <v>-1455.8972458831859</v>
      </c>
      <c r="O3108">
        <f>-684.86708786655 -301.267139928503 -515.230665483004</f>
        <v>-1501.364893278057</v>
      </c>
      <c r="P3108">
        <f>-573.182831446409 -356.768627560825 -248.702253416213</f>
        <v>-1178.6537124234469</v>
      </c>
      <c r="Q3108">
        <f>-534.129352732764 -134.485457184124 -333.057811073145</f>
        <v>-1001.672620990033</v>
      </c>
      <c r="R3108">
        <f>-733.24046112707 -46.9731491053876 -84.1750526983117</f>
        <v>-864.38866293076933</v>
      </c>
      <c r="S3108" t="s">
        <v>33421</v>
      </c>
      <c r="T3108" t="s">
        <v>33422</v>
      </c>
      <c r="U3108" t="s">
        <v>33423</v>
      </c>
      <c r="V3108">
        <f>-648.054957753737 -216.879474962171 -78.6368580058235</f>
        <v>-943.57129072173143</v>
      </c>
      <c r="W3108" t="s">
        <v>33424</v>
      </c>
      <c r="X3108" t="s">
        <v>33425</v>
      </c>
      <c r="Y3108" t="s">
        <v>33426</v>
      </c>
    </row>
    <row r="3109" spans="1:25" x14ac:dyDescent="0.3">
      <c r="A3109">
        <v>155400</v>
      </c>
      <c r="B3109" t="s">
        <v>33427</v>
      </c>
      <c r="C3109">
        <f>-690.832189174312 -138.399128784871 -80.9972532931499</f>
        <v>-910.22857125233293</v>
      </c>
      <c r="D3109">
        <f>-722.764234930707 -158.931135623922 -190.427698765242</f>
        <v>-1072.1230693198709</v>
      </c>
      <c r="E3109">
        <f>-737.972469670685 -165.017461948388 -287.681523904988</f>
        <v>-1190.671455524061</v>
      </c>
      <c r="F3109">
        <f>-747.236972603557 -166.1644594935 -376.287945389734</f>
        <v>-1289.6893774867908</v>
      </c>
      <c r="G3109">
        <f>-751.641056599965 -162.822747125169 -465.213123612331</f>
        <v>-1379.676927337465</v>
      </c>
      <c r="H3109">
        <f>-752.657999701499 -153.479192492691 -589.44057737833</f>
        <v>-1495.5777695725201</v>
      </c>
      <c r="I3109">
        <f>-730.003197150222 -136.341914519916 -667.530968316002</f>
        <v>-1533.8760799861402</v>
      </c>
      <c r="J3109">
        <f>-763.935070625698 -132.562584527865 -532.795814656506</f>
        <v>-1429.2934698100689</v>
      </c>
      <c r="K3109">
        <f>-817.606388136896 -9.08787107656212 -505.073917922842</f>
        <v>-1331.7681771363002</v>
      </c>
      <c r="L3109" t="s">
        <v>33428</v>
      </c>
      <c r="M3109" t="s">
        <v>33429</v>
      </c>
      <c r="N3109">
        <f>-740.485943915423 -182.619070599695 -536.752619732348</f>
        <v>-1459.857634247466</v>
      </c>
      <c r="O3109">
        <f>-680.847314123877 -304.927444532786 -517.120963216025</f>
        <v>-1502.895721872688</v>
      </c>
      <c r="P3109">
        <f>-566.872528719352 -361.144110814844 -251.714317288791</f>
        <v>-1179.7309568229871</v>
      </c>
      <c r="Q3109">
        <f>-536.138914527791 -136.908649782442 -334.326677704915</f>
        <v>-1007.3742420151481</v>
      </c>
      <c r="R3109">
        <f>-733.960499520007 -55.4374943853675 -84.4188495830474</f>
        <v>-873.81684348842191</v>
      </c>
      <c r="S3109" t="s">
        <v>33430</v>
      </c>
      <c r="T3109" t="s">
        <v>33431</v>
      </c>
      <c r="U3109" t="s">
        <v>33432</v>
      </c>
      <c r="V3109">
        <f>-648.318066404387 -221.232517960834 -79.6596977174388</f>
        <v>-949.21028208265977</v>
      </c>
      <c r="W3109" t="s">
        <v>33433</v>
      </c>
      <c r="X3109" t="s">
        <v>33434</v>
      </c>
      <c r="Y3109" t="s">
        <v>33435</v>
      </c>
    </row>
    <row r="3110" spans="1:25" x14ac:dyDescent="0.3">
      <c r="A3110">
        <v>155450</v>
      </c>
      <c r="B3110" t="s">
        <v>33436</v>
      </c>
      <c r="C3110">
        <f>-691.888700109424 -142.017171940931 -81.2840066307563</f>
        <v>-915.18987868111128</v>
      </c>
      <c r="D3110">
        <f>-723.32691250091 -162.515349406399 -190.863634098271</f>
        <v>-1076.7058960055799</v>
      </c>
      <c r="E3110">
        <f>-738.144369317757 -168.409929106896 -288.189676836947</f>
        <v>-1194.7439752616001</v>
      </c>
      <c r="F3110">
        <f>-747.07294381806 -169.317418299379 -376.833232406974</f>
        <v>-1293.2235945244131</v>
      </c>
      <c r="G3110">
        <f>-751.163215416932 -165.66537430052 -465.761312704502</f>
        <v>-1382.5899024219539</v>
      </c>
      <c r="H3110">
        <f>-751.768188784725 -155.812337889402 -589.952065086483</f>
        <v>-1497.5325917606101</v>
      </c>
      <c r="I3110">
        <f>-729.537649895354 -138.431680128168 -668.110546767798</f>
        <v>-1536.07987679132</v>
      </c>
      <c r="J3110">
        <f>-763.450670807933 -135.230764166729 -533.266630196528</f>
        <v>-1431.9480651711899</v>
      </c>
      <c r="K3110">
        <f>-818.161759193861 -12.2322798191715 -505.401474182975</f>
        <v>-1335.7955131960075</v>
      </c>
      <c r="L3110" t="s">
        <v>33437</v>
      </c>
      <c r="M3110" t="s">
        <v>33438</v>
      </c>
      <c r="N3110">
        <f>-739.553212920375 -185.065615030106 -537.337002817241</f>
        <v>-1461.9558307677221</v>
      </c>
      <c r="O3110">
        <f>-678.930398765209 -306.912071016608 -517.946868977164</f>
        <v>-1503.7893387589811</v>
      </c>
      <c r="P3110">
        <f>-567.112787146546 -363.104088113947 -251.619221083408</f>
        <v>-1181.8360963439011</v>
      </c>
      <c r="Q3110">
        <f>-537.659792300424 -138.727771255302 -334.315263411579</f>
        <v>-1010.7028269673051</v>
      </c>
      <c r="R3110">
        <f>-735.112900568017 -60.0094670280062 -84.5322251863017</f>
        <v>-879.65459278232493</v>
      </c>
      <c r="S3110" t="s">
        <v>33439</v>
      </c>
      <c r="T3110" t="s">
        <v>33440</v>
      </c>
      <c r="U3110" t="s">
        <v>33441</v>
      </c>
      <c r="V3110">
        <f>-649.064973236638 -224.037939407746 -79.9853545077098</f>
        <v>-953.08826715209375</v>
      </c>
      <c r="W3110" t="s">
        <v>33442</v>
      </c>
      <c r="X3110" t="s">
        <v>33443</v>
      </c>
      <c r="Y3110" t="s">
        <v>33444</v>
      </c>
    </row>
    <row r="3111" spans="1:25" x14ac:dyDescent="0.3">
      <c r="A3111">
        <v>155500</v>
      </c>
      <c r="B3111" t="s">
        <v>33445</v>
      </c>
      <c r="C3111">
        <f>-694.381979805061 -150.670800906164 -81.2576674244023</f>
        <v>-926.31044813562721</v>
      </c>
      <c r="D3111">
        <f>-724.603807499077 -170.915553645094 -191.225954120871</f>
        <v>-1086.7453152650419</v>
      </c>
      <c r="E3111">
        <f>-738.197261475815 -176.418791049427 -288.753381096709</f>
        <v>-1203.369433621951</v>
      </c>
      <c r="F3111">
        <f>-745.954870228697 -176.903108425715 -377.51049606236</f>
        <v>-1300.368474716772</v>
      </c>
      <c r="G3111">
        <f>-748.818396427391 -172.753580524976 -466.464507450014</f>
        <v>-1388.0364844023811</v>
      </c>
      <c r="H3111">
        <f>-747.658414679006 -162.126733532755 -590.587494237041</f>
        <v>-1500.372642448802</v>
      </c>
      <c r="I3111">
        <f>-725.880104313815 -144.478401519783 -668.813316038368</f>
        <v>-1539.1718218719661</v>
      </c>
      <c r="J3111">
        <f>-760.444277432056 -142.042514605115 -533.961936909217</f>
        <v>-1436.448728946388</v>
      </c>
      <c r="K3111">
        <f>-816.775424607309 -19.7162641911084 -506.372466338365</f>
        <v>-1342.8641551367823</v>
      </c>
      <c r="L3111" t="s">
        <v>33446</v>
      </c>
      <c r="M3111" t="s">
        <v>33447</v>
      </c>
      <c r="N3111">
        <f>-735.893470267793 -191.563603919898 -537.972262546717</f>
        <v>-1465.429336734408</v>
      </c>
      <c r="O3111">
        <f>-674.069277599875 -312.763000527024 -518.372449441252</f>
        <v>-1505.2047275681512</v>
      </c>
      <c r="P3111">
        <f>-570.532823340943 -369.057277705414 -248.738731791234</f>
        <v>-1188.3288328375909</v>
      </c>
      <c r="Q3111">
        <f>-538.017663368754 -145.601951907185 -332.770425404494</f>
        <v>-1016.390040680433</v>
      </c>
      <c r="R3111">
        <f>-737.689491456281 -70.3799351977203 -84.3899536116343</f>
        <v>-892.45938026563556</v>
      </c>
      <c r="S3111" t="s">
        <v>33448</v>
      </c>
      <c r="T3111" t="s">
        <v>33449</v>
      </c>
      <c r="U3111" t="s">
        <v>33450</v>
      </c>
      <c r="V3111">
        <f>-651.038918561201 -231.305558026966 -79.7863065522131</f>
        <v>-962.13078314038</v>
      </c>
      <c r="W3111" t="s">
        <v>33451</v>
      </c>
      <c r="X3111" t="s">
        <v>33452</v>
      </c>
      <c r="Y3111" t="s">
        <v>33453</v>
      </c>
    </row>
    <row r="3112" spans="1:25" x14ac:dyDescent="0.3">
      <c r="A3112">
        <v>155550</v>
      </c>
      <c r="B3112" t="s">
        <v>33454</v>
      </c>
      <c r="C3112">
        <f>-696.331621358911 -155.798011159094 -80.8082227963533</f>
        <v>-932.93785531435833</v>
      </c>
      <c r="D3112">
        <f>-725.751668094525 -175.850068907485 -191.028972631853</f>
        <v>-1092.630709633863</v>
      </c>
      <c r="E3112">
        <f>-738.495729123647 -181.168800487128 -288.681119936479</f>
        <v>-1208.345649547254</v>
      </c>
      <c r="F3112">
        <f>-745.423427394217 -181.48151975297 -377.50771092491</f>
        <v>-1304.412658072097</v>
      </c>
      <c r="G3112">
        <f>-747.398366671728 -177.15629506781 -466.477511903643</f>
        <v>-1391.0321736431811</v>
      </c>
      <c r="H3112">
        <f>-744.938588550502 -166.280869803661 -590.560104911429</f>
        <v>-1501.7795632655921</v>
      </c>
      <c r="I3112">
        <f>-723.175504139884 -148.5719874397 -668.776365268189</f>
        <v>-1540.523856847773</v>
      </c>
      <c r="J3112">
        <f>-758.382838441615 -146.342500176117 -534.035538531191</f>
        <v>-1438.7608771489231</v>
      </c>
      <c r="K3112">
        <f>-815.142652720041 -24.1168343914549 -506.892066911979</f>
        <v>-1346.151554023475</v>
      </c>
      <c r="L3112" t="s">
        <v>33455</v>
      </c>
      <c r="M3112" t="s">
        <v>33456</v>
      </c>
      <c r="N3112">
        <f>-733.65915146875 -195.79070435799 -537.879331790992</f>
        <v>-1467.3291876177318</v>
      </c>
      <c r="O3112">
        <f>-671.766040152888 -316.88909909781 -517.831100452777</f>
        <v>-1506.4862397034749</v>
      </c>
      <c r="P3112">
        <f>-573.279258924368 -372.866300016175 -246.246663034801</f>
        <v>-1192.392221975344</v>
      </c>
      <c r="Q3112">
        <f>-537.363931194575 -150.285125992599 -331.208980288745</f>
        <v>-1018.858037475919</v>
      </c>
      <c r="R3112">
        <f>-739.700523678306 -75.9195916372697 -84.1182868218705</f>
        <v>-899.7384021374462</v>
      </c>
      <c r="S3112" t="s">
        <v>33457</v>
      </c>
      <c r="T3112" t="s">
        <v>33458</v>
      </c>
      <c r="U3112" t="s">
        <v>33459</v>
      </c>
      <c r="V3112">
        <f>-653.100600055778 -236.175899495297 -79.1583284989804</f>
        <v>-968.43482805005544</v>
      </c>
      <c r="W3112" t="s">
        <v>33460</v>
      </c>
      <c r="X3112" t="s">
        <v>33461</v>
      </c>
      <c r="Y3112" t="s">
        <v>33462</v>
      </c>
    </row>
    <row r="3113" spans="1:25" x14ac:dyDescent="0.3">
      <c r="A3113">
        <v>155600</v>
      </c>
      <c r="B3113" t="s">
        <v>33463</v>
      </c>
      <c r="C3113">
        <f>-702.479777709171 -166.268743768842 -79.7508800797995</f>
        <v>-948.49940155781246</v>
      </c>
      <c r="D3113">
        <f>-729.661756814592 -185.694476985435 -190.656174868022</f>
        <v>-1106.0124086680489</v>
      </c>
      <c r="E3113">
        <f>-740.123115265847 -190.560219019758 -288.602819927094</f>
        <v>-1219.2861542126991</v>
      </c>
      <c r="F3113">
        <f>-744.849691085506 -190.507858720391 -377.574127308073</f>
        <v>-1312.9316771139702</v>
      </c>
      <c r="G3113">
        <f>-744.492617365506 -185.867003160484 -466.549303574268</f>
        <v>-1396.908924100258</v>
      </c>
      <c r="H3113">
        <f>-738.644095094753 -174.608579744761 -590.484139021599</f>
        <v>-1503.736813861113</v>
      </c>
      <c r="I3113">
        <f>-716.420641659111 -156.822095528543 -668.553313500303</f>
        <v>-1541.7960506879572</v>
      </c>
      <c r="J3113">
        <f>-753.641129412062 -154.850516037659 -534.287982749542</f>
        <v>-1442.779628199263</v>
      </c>
      <c r="K3113">
        <f>-810.821632491879 -32.5266828416022 -508.618174958804</f>
        <v>-1351.9664902922852</v>
      </c>
      <c r="L3113" t="s">
        <v>33464</v>
      </c>
      <c r="M3113" t="s">
        <v>33465</v>
      </c>
      <c r="N3113">
        <f>-728.794385065905 -204.275178315776 -537.605284788655</f>
        <v>-1470.674848170336</v>
      </c>
      <c r="O3113">
        <f>-667.391252815738 -325.378725405501 -516.022072230358</f>
        <v>-1508.7920504515969</v>
      </c>
      <c r="P3113">
        <f>-579.088219047812 -380.89102015337 -240.863524237389</f>
        <v>-1200.842763438571</v>
      </c>
      <c r="Q3113">
        <f>-535.029518374005 -160.616349784881 -327.977093548823</f>
        <v>-1023.622961707709</v>
      </c>
      <c r="R3113">
        <f>-745.814058616715 -86.8721936460486 -83.449617304591</f>
        <v>-916.13586956735458</v>
      </c>
      <c r="S3113" t="s">
        <v>33466</v>
      </c>
      <c r="T3113" t="s">
        <v>33467</v>
      </c>
      <c r="U3113" t="s">
        <v>33468</v>
      </c>
      <c r="V3113">
        <f>-659.418845057718 -245.403894697164 -77.805815604929</f>
        <v>-982.628555359811</v>
      </c>
      <c r="W3113" t="s">
        <v>33469</v>
      </c>
      <c r="X3113" t="s">
        <v>33470</v>
      </c>
      <c r="Y3113" t="s">
        <v>33471</v>
      </c>
    </row>
    <row r="3114" spans="1:25" x14ac:dyDescent="0.3">
      <c r="A3114">
        <v>155650</v>
      </c>
      <c r="B3114" t="s">
        <v>33472</v>
      </c>
      <c r="C3114">
        <f>-706.741404219385 -170.470941071773 -79.4863099883438</f>
        <v>-956.69865527950185</v>
      </c>
      <c r="D3114">
        <f>-732.15453632845 -189.400035580274 -190.895858765162</f>
        <v>-1112.4504306738861</v>
      </c>
      <c r="E3114">
        <f>-741.090180247425 -193.914203588645 -289.010085473325</f>
        <v>-1224.0144693093951</v>
      </c>
      <c r="F3114">
        <f>-744.438529662954 -193.585844810778 -378.043375741326</f>
        <v>-1316.0677502150579</v>
      </c>
      <c r="G3114">
        <f>-742.707570659463 -188.715927348094 -466.990289495906</f>
        <v>-1398.413787503463</v>
      </c>
      <c r="H3114">
        <f>-734.946110062032 -177.191680206105 -590.795514190234</f>
        <v>-1502.9333044583709</v>
      </c>
      <c r="I3114">
        <f>-712.30347665986 -159.33060564381 -668.727086329845</f>
        <v>-1540.361168633515</v>
      </c>
      <c r="J3114">
        <f>-750.815183032016 -157.556872013673 -534.79594490863</f>
        <v>-1443.1679999543189</v>
      </c>
      <c r="K3114">
        <f>-808.383020393731 -35.2372251147856 -510.02959228</f>
        <v>-1353.6498377885166</v>
      </c>
      <c r="L3114" t="s">
        <v>33473</v>
      </c>
      <c r="M3114" t="s">
        <v>33474</v>
      </c>
      <c r="N3114">
        <f>-725.907811304864 -206.969010717883 -537.834043575467</f>
        <v>-1470.7108655982142</v>
      </c>
      <c r="O3114">
        <f>-664.709285164675 -328.025993784004 -515.344343161537</f>
        <v>-1508.079622110216</v>
      </c>
      <c r="P3114">
        <f>-581.187087233803 -383.445267255778 -238.678607371933</f>
        <v>-1203.310961861514</v>
      </c>
      <c r="Q3114">
        <f>-533.433433621109 -164.231479456878 -326.517902020334</f>
        <v>-1024.182815098321</v>
      </c>
      <c r="R3114">
        <f>-750.242634545633 -91.7145786339436 -83.2695773475582</f>
        <v>-925.22679052713477</v>
      </c>
      <c r="S3114" t="s">
        <v>33475</v>
      </c>
      <c r="T3114" t="s">
        <v>33476</v>
      </c>
      <c r="U3114" t="s">
        <v>33477</v>
      </c>
      <c r="V3114">
        <f>-663.353638262684 -248.589882308609 -77.4772852506064</f>
        <v>-989.42080582189942</v>
      </c>
      <c r="W3114" t="s">
        <v>33478</v>
      </c>
      <c r="X3114" t="s">
        <v>33479</v>
      </c>
      <c r="Y3114" t="s">
        <v>33480</v>
      </c>
    </row>
    <row r="3115" spans="1:25" x14ac:dyDescent="0.3">
      <c r="A3115">
        <v>155700</v>
      </c>
      <c r="B3115" t="s">
        <v>33481</v>
      </c>
      <c r="C3115">
        <f>-716.710926194839 -175.974041689759 -79.9048155682113</f>
        <v>-972.58978345280934</v>
      </c>
      <c r="D3115">
        <f>-737.230831248221 -193.359441251307 -192.567679740518</f>
        <v>-1123.1579522400459</v>
      </c>
      <c r="E3115">
        <f>-742.389936826482 -196.981170281305 -290.989724908587</f>
        <v>-1230.3608320163739</v>
      </c>
      <c r="F3115">
        <f>-742.502614339829 -196.055412386057 -380.081629051668</f>
        <v>-1318.639655777554</v>
      </c>
      <c r="G3115">
        <f>-737.72124228005 -190.807908653263 -468.895222132884</f>
        <v>-1397.4243730661969</v>
      </c>
      <c r="H3115">
        <f>-725.893836507413 -178.997584783257 -592.351494393373</f>
        <v>-1497.2429156840431</v>
      </c>
      <c r="I3115">
        <f>-702.21310899273 -161.004460698591 -669.943435599247</f>
        <v>-1533.161005290568</v>
      </c>
      <c r="J3115">
        <f>-743.720070491268 -159.553892968646 -536.876459529087</f>
        <v>-1440.1504229890011</v>
      </c>
      <c r="K3115">
        <f>-802.79093552587 -37.4629238074572 -514.304658886086</f>
        <v>-1354.5585182194131</v>
      </c>
      <c r="L3115" t="s">
        <v>33482</v>
      </c>
      <c r="M3115" t="s">
        <v>33483</v>
      </c>
      <c r="N3115">
        <f>-718.476903036274 -208.835473688624 -539.172566660121</f>
        <v>-1466.4849433850191</v>
      </c>
      <c r="O3115">
        <f>-657.059581813468 -329.390762541199 -514.958989451427</f>
        <v>-1501.4093338060939</v>
      </c>
      <c r="P3115">
        <f>-581.950208097049 -385.383720069187 -236.006193418082</f>
        <v>-1203.340121584318</v>
      </c>
      <c r="Q3115">
        <f>-529.194853784128 -167.708725910097 -324.805829009216</f>
        <v>-1021.7094087034409</v>
      </c>
      <c r="R3115">
        <f>-761.838305990526 -99.7486035457813 -83.9851971783821</f>
        <v>-945.57210671468943</v>
      </c>
      <c r="S3115" t="s">
        <v>33484</v>
      </c>
      <c r="T3115" t="s">
        <v>33485</v>
      </c>
      <c r="U3115" t="s">
        <v>33486</v>
      </c>
      <c r="V3115">
        <f>-671.718024718868 -251.733411986242 -77.7533888706098</f>
        <v>-1001.2048255757198</v>
      </c>
      <c r="W3115" t="s">
        <v>33487</v>
      </c>
      <c r="X3115" t="s">
        <v>33488</v>
      </c>
      <c r="Y3115" t="s">
        <v>33489</v>
      </c>
    </row>
    <row r="3116" spans="1:25" x14ac:dyDescent="0.3">
      <c r="A3116">
        <v>155750</v>
      </c>
      <c r="B3116" t="s">
        <v>33490</v>
      </c>
      <c r="C3116">
        <f>-721.406366013155 -178.704108325743 -80.2537868154598</f>
        <v>-980.36426115435779</v>
      </c>
      <c r="D3116">
        <f>-739.775373931762 -195.509440114084 -193.374895410714</f>
        <v>-1128.65970945656</v>
      </c>
      <c r="E3116">
        <f>-743.247503909522 -198.815405726529 -291.882167707118</f>
        <v>-1233.945077343169</v>
      </c>
      <c r="F3116">
        <f>-741.89355272381 -197.700510991536 -380.961637473213</f>
        <v>-1320.5557011885589</v>
      </c>
      <c r="G3116">
        <f>-735.703357697302 -192.368208077997 -469.68308777654</f>
        <v>-1397.7546535518391</v>
      </c>
      <c r="H3116">
        <f>-721.965095068532 -180.557341875266 -592.941254600389</f>
        <v>-1495.463691544187</v>
      </c>
      <c r="I3116">
        <f>-697.677398287851 -162.70039873824 -670.376727826054</f>
        <v>-1530.7545248521451</v>
      </c>
      <c r="J3116">
        <f>-740.711828416612 -161.146146881986 -537.759119037767</f>
        <v>-1439.617094336365</v>
      </c>
      <c r="K3116">
        <f>-800.513934804103 -39.1528031565244 -516.390847657484</f>
        <v>-1356.0575856181113</v>
      </c>
      <c r="L3116" t="s">
        <v>33491</v>
      </c>
      <c r="M3116" t="s">
        <v>33492</v>
      </c>
      <c r="N3116">
        <f>-715.309438524256 -210.363352010317 -539.643890876431</f>
        <v>-1465.3166814110041</v>
      </c>
      <c r="O3116">
        <f>-653.62970123897 -330.613378973342 -514.81611392843</f>
        <v>-1499.059194140742</v>
      </c>
      <c r="P3116">
        <f>-581.597075295473 -387.550419591586 -235.243792549286</f>
        <v>-1204.391287436345</v>
      </c>
      <c r="Q3116">
        <f>-526.376681366306 -170.662911743144 -324.470406333064</f>
        <v>-1021.5099994425141</v>
      </c>
      <c r="R3116">
        <f>-766.909436894123 -103.455170243035 -85.125712764712</f>
        <v>-955.49031990187007</v>
      </c>
      <c r="S3116" t="s">
        <v>33493</v>
      </c>
      <c r="T3116" t="s">
        <v>33494</v>
      </c>
      <c r="U3116" t="s">
        <v>33495</v>
      </c>
      <c r="V3116">
        <f>-676.079845976305 -254.623072656754 -77.7945276013888</f>
        <v>-1008.4974462344478</v>
      </c>
      <c r="W3116" t="s">
        <v>33496</v>
      </c>
      <c r="X3116" t="s">
        <v>33497</v>
      </c>
      <c r="Y3116" t="s">
        <v>33498</v>
      </c>
    </row>
    <row r="3117" spans="1:25" x14ac:dyDescent="0.3">
      <c r="A3117">
        <v>155800</v>
      </c>
      <c r="B3117" t="s">
        <v>33499</v>
      </c>
      <c r="C3117">
        <f>-733.95726325875 -170.182936532062 -82.366804766535</f>
        <v>-986.50700455734693</v>
      </c>
      <c r="D3117">
        <f>-749.932626253429 -186.669081986909 -195.897627212258</f>
        <v>-1132.4993354525959</v>
      </c>
      <c r="E3117">
        <f>-751.262334304586 -189.797950577013 -294.462702669156</f>
        <v>-1235.522987550755</v>
      </c>
      <c r="F3117">
        <f>-747.916425085302 -188.603137685579 -383.488736040873</f>
        <v>-1320.008298811754</v>
      </c>
      <c r="G3117">
        <f>-739.674292274218 -183.287034257588 -472.04397049987</f>
        <v>-1395.005297031676</v>
      </c>
      <c r="H3117">
        <f>-722.999377077305 -171.618896452783 -594.952984258335</f>
        <v>-1489.5712577884231</v>
      </c>
      <c r="I3117">
        <f>-697.260739212634 -154.419899960515 -672.068158766528</f>
        <v>-1523.7487979396769</v>
      </c>
      <c r="J3117">
        <f>-743.139950089699 -152.186689921263 -540.271495185902</f>
        <v>-1435.598135196864</v>
      </c>
      <c r="K3117">
        <f>-803.729888469172 -30.4346889793947 -520.46927684418</f>
        <v>-1354.6338542927465</v>
      </c>
      <c r="L3117" t="s">
        <v>33500</v>
      </c>
      <c r="M3117" t="s">
        <v>33501</v>
      </c>
      <c r="N3117">
        <f>-717.534373643901 -201.320183341946 -541.462135703184</f>
        <v>-1460.316692689031</v>
      </c>
      <c r="O3117">
        <f>-655.537212555585 -321.339184528427 -515.856668283528</f>
        <v>-1492.7330653675401</v>
      </c>
      <c r="P3117">
        <f>-588.167448849158 -379.260704247147 -235.325685428961</f>
        <v>-1202.7538385252658</v>
      </c>
      <c r="Q3117">
        <f>-525.230588083663 -164.859614307612 -325.447890860949</f>
        <v>-1015.5380932522239</v>
      </c>
      <c r="R3117">
        <f>-783.907835480478 -88.8251925460215 -88.6933735438101</f>
        <v>-961.42640157030962</v>
      </c>
      <c r="S3117" t="s">
        <v>33502</v>
      </c>
      <c r="T3117" t="s">
        <v>33503</v>
      </c>
      <c r="U3117" t="s">
        <v>33504</v>
      </c>
      <c r="V3117">
        <f>-685.522402762842 -250.2196312332 -79.3860415551388</f>
        <v>-1015.1280755511808</v>
      </c>
      <c r="W3117" t="s">
        <v>33505</v>
      </c>
      <c r="X3117" t="s">
        <v>33506</v>
      </c>
      <c r="Y3117" t="s">
        <v>33507</v>
      </c>
    </row>
    <row r="3118" spans="1:25" x14ac:dyDescent="0.3">
      <c r="A3118">
        <v>155850</v>
      </c>
      <c r="B3118" t="s">
        <v>33508</v>
      </c>
      <c r="C3118">
        <f>-740.695614468002 -164.616926708067 -83.7319974763409</f>
        <v>-989.04453865240987</v>
      </c>
      <c r="D3118">
        <f>-756.329663628431 -181.029914423076 -197.320700704553</f>
        <v>-1134.68027875606</v>
      </c>
      <c r="E3118">
        <f>-757.212335812396 -184.210561184497 -295.889258560465</f>
        <v>-1237.312155557358</v>
      </c>
      <c r="F3118">
        <f>-753.398600521054 -183.115995854721 -384.897791113005</f>
        <v>-1321.41238748878</v>
      </c>
      <c r="G3118">
        <f>-744.625569426991 -177.956827390898 -473.411297650066</f>
        <v>-1395.993694467955</v>
      </c>
      <c r="H3118">
        <f>-727.142873587437 -166.570834739748 -596.23449660472</f>
        <v>-1489.9482049319049</v>
      </c>
      <c r="I3118">
        <f>-700.640733014053 -149.806137880052 -673.186385636722</f>
        <v>-1523.6332565308271</v>
      </c>
      <c r="J3118">
        <f>-747.63762697033 -147.010742316367 -541.730568560873</f>
        <v>-1436.3789378475699</v>
      </c>
      <c r="K3118">
        <f>-808.256955650708 -25.1874293456287 -522.401416493664</f>
        <v>-1355.8458014900007</v>
      </c>
      <c r="L3118" t="s">
        <v>33509</v>
      </c>
      <c r="M3118" t="s">
        <v>33510</v>
      </c>
      <c r="N3118">
        <f>-722.03471576389 -196.151712145557 -542.641627303102</f>
        <v>-1460.8280552125489</v>
      </c>
      <c r="O3118">
        <f>-660.1583451612 -316.178638733503 -516.725926247003</f>
        <v>-1493.0629101417062</v>
      </c>
      <c r="P3118">
        <f>-594.8801520326 -373.371860256875 -235.551702360028</f>
        <v>-1203.803714649503</v>
      </c>
      <c r="Q3118">
        <f>-526.67857035711 -161.073767266771 -326.814770320798</f>
        <v>-1014.567107944679</v>
      </c>
      <c r="R3118">
        <f>-791.704476523242 -82.6507956234229 -89.932279616695</f>
        <v>-964.28755176335994</v>
      </c>
      <c r="S3118" t="s">
        <v>33511</v>
      </c>
      <c r="T3118" t="s">
        <v>33512</v>
      </c>
      <c r="U3118" t="s">
        <v>33513</v>
      </c>
      <c r="V3118">
        <f>-690.86845674176 -246.769081510153 -80.6676630579294</f>
        <v>-1018.3052013098425</v>
      </c>
      <c r="W3118" t="s">
        <v>33514</v>
      </c>
      <c r="X3118" t="s">
        <v>33515</v>
      </c>
      <c r="Y3118" t="s">
        <v>33516</v>
      </c>
    </row>
    <row r="3119" spans="1:25" x14ac:dyDescent="0.3">
      <c r="A3119">
        <v>155900</v>
      </c>
      <c r="B3119" t="s">
        <v>33517</v>
      </c>
      <c r="C3119">
        <f>-747.068203326061 -156.9671908593 -86.1916205282283</f>
        <v>-990.22701471358937</v>
      </c>
      <c r="D3119">
        <f>-763.568793052136 -173.377812842015 -199.6581000206</f>
        <v>-1136.6047059147511</v>
      </c>
      <c r="E3119">
        <f>-764.995177287967 -177.081536380863 -298.202098459089</f>
        <v>-1240.2788121279189</v>
      </c>
      <c r="F3119">
        <f>-761.597702501888 -176.666327170848 -387.233138783985</f>
        <v>-1325.4971684567211</v>
      </c>
      <c r="G3119">
        <f>-753.164865142843 -172.393580759166 -475.826869248741</f>
        <v>-1401.3853151507501</v>
      </c>
      <c r="H3119">
        <f>-736.078456617219 -162.460667271273 -598.831914825371</f>
        <v>-1497.3710387138631</v>
      </c>
      <c r="I3119">
        <f>-708.407295749154 -146.685516225855 -675.581302328514</f>
        <v>-1530.6741143035229</v>
      </c>
      <c r="J3119">
        <f>-756.203061109828 -142.157173326656 -544.46206749038</f>
        <v>-1442.8223019268639</v>
      </c>
      <c r="K3119">
        <f>-815.920694221886 -19.6996465630241 -526.094797978655</f>
        <v>-1361.7151387635652</v>
      </c>
      <c r="L3119" t="s">
        <v>33518</v>
      </c>
      <c r="M3119" t="s">
        <v>33519</v>
      </c>
      <c r="N3119">
        <f>-730.991619656134 -191.506113772992 -544.944941223424</f>
        <v>-1467.4426746525501</v>
      </c>
      <c r="O3119">
        <f>-670.226411487496 -311.879868723051 -518.06913111254</f>
        <v>-1500.175411323087</v>
      </c>
      <c r="P3119">
        <f>-608.688879688923 -365.011575533821 -235.259355527499</f>
        <v>-1208.9598107502429</v>
      </c>
      <c r="Q3119">
        <f>-530.178989555182 -158.355539232443 -331.073642568732</f>
        <v>-1019.608171356357</v>
      </c>
      <c r="R3119">
        <f>-797.184149496949 -75.3079679456762 -91.3230671344022</f>
        <v>-963.81518457702737</v>
      </c>
      <c r="S3119" t="s">
        <v>33520</v>
      </c>
      <c r="T3119" t="s">
        <v>33521</v>
      </c>
      <c r="U3119" t="s">
        <v>33522</v>
      </c>
      <c r="V3119">
        <f>-696.945336909543 -240.330191472556 -83.6061309804126</f>
        <v>-1020.8816593625116</v>
      </c>
      <c r="W3119" t="s">
        <v>33523</v>
      </c>
      <c r="X3119" t="s">
        <v>33524</v>
      </c>
      <c r="Y3119" t="s">
        <v>33525</v>
      </c>
    </row>
    <row r="3120" spans="1:25" x14ac:dyDescent="0.3">
      <c r="A3120">
        <v>155950</v>
      </c>
      <c r="B3120" t="s">
        <v>33526</v>
      </c>
      <c r="C3120">
        <f>-747.623360133768 -152.020701845855 -87.7234736959032</f>
        <v>-987.36753567552614</v>
      </c>
      <c r="D3120">
        <f>-764.870518107334 -168.283741791545 -201.100147227304</f>
        <v>-1134.254407126183</v>
      </c>
      <c r="E3120">
        <f>-766.949538149805 -172.32372321292 -299.619363394583</f>
        <v>-1238.8926247573079</v>
      </c>
      <c r="F3120">
        <f>-764.150759918452 -172.394170542798 -388.672120626294</f>
        <v>-1325.217051087544</v>
      </c>
      <c r="G3120">
        <f>-756.323642002376 -168.788929945622 -477.35118252644</f>
        <v>-1402.463754474438</v>
      </c>
      <c r="H3120">
        <f>-740.089343951931 -159.976807794552 -600.556650143165</f>
        <v>-1500.6228018896481</v>
      </c>
      <c r="I3120">
        <f>-712.015922961178 -144.79938281968 -677.280576843343</f>
        <v>-1534.0958826242011</v>
      </c>
      <c r="J3120">
        <f>-759.635055120389 -139.07621860903 -546.201936022325</f>
        <v>-1444.913209751744</v>
      </c>
      <c r="K3120">
        <f>-818.405018486697 -16.0863150151995 -528.225572165174</f>
        <v>-1362.7169056670705</v>
      </c>
      <c r="L3120" t="s">
        <v>33527</v>
      </c>
      <c r="M3120" t="s">
        <v>33528</v>
      </c>
      <c r="N3120">
        <f>-734.83144665161 -188.632939813482 -546.478060774963</f>
        <v>-1469.9424472400551</v>
      </c>
      <c r="O3120">
        <f>-675.117940327096 -309.339523739254 -518.931075883381</f>
        <v>-1503.388539949731</v>
      </c>
      <c r="P3120">
        <f>-615.202619014168 -360.120163328546 -235.342128644099</f>
        <v>-1210.6649109868131</v>
      </c>
      <c r="Q3120">
        <f>-532.760411141687 -156.420359505914 -334.137750178203</f>
        <v>-1023.3185208258039</v>
      </c>
      <c r="R3120">
        <f>-797.336692120424 -70.1253709543903 -92.9366984043651</f>
        <v>-960.39876147917937</v>
      </c>
      <c r="S3120" t="s">
        <v>33529</v>
      </c>
      <c r="T3120" t="s">
        <v>33530</v>
      </c>
      <c r="U3120" t="s">
        <v>33531</v>
      </c>
      <c r="V3120">
        <f>-697.917077596829 -235.010837810216 -85.540370832018</f>
        <v>-1018.468286239063</v>
      </c>
      <c r="W3120" t="s">
        <v>33532</v>
      </c>
      <c r="X3120" t="s">
        <v>33533</v>
      </c>
      <c r="Y3120" t="s">
        <v>33534</v>
      </c>
    </row>
    <row r="3121" spans="1:25" x14ac:dyDescent="0.3">
      <c r="A3121">
        <v>156000</v>
      </c>
      <c r="B3121" t="s">
        <v>33535</v>
      </c>
      <c r="C3121">
        <f>-748.276038274223 -137.574989555925 -91.9728297115321</f>
        <v>-977.82385754168001</v>
      </c>
      <c r="D3121">
        <f>-766.792350024789 -154.295886734404 -205.082421880879</f>
        <v>-1126.1706586400719</v>
      </c>
      <c r="E3121">
        <f>-770.174098336676 -159.388404609243 -303.51661628357</f>
        <v>-1233.0791192294892</v>
      </c>
      <c r="F3121">
        <f>-768.645978196681 -160.660731114069 -392.591178714045</f>
        <v>-1321.8978880247951</v>
      </c>
      <c r="G3121">
        <f>-762.177175162262 -158.507891236582 -481.426796488771</f>
        <v>-1402.111862887615</v>
      </c>
      <c r="H3121">
        <f>-747.929336577837 -151.981583035 -605.019722665909</f>
        <v>-1504.9306422787458</v>
      </c>
      <c r="I3121">
        <f>-719.351719897911 -138.158001850614 -681.813377166418</f>
        <v>-1539.3230989149431</v>
      </c>
      <c r="J3121">
        <f>-766.114804390739 -129.837382993337 -550.685228599275</f>
        <v>-1446.6374159833508</v>
      </c>
      <c r="K3121">
        <f>-822.593994866016 -5.68325433312293 -533.508510146332</f>
        <v>-1361.785759345471</v>
      </c>
      <c r="L3121" t="s">
        <v>33536</v>
      </c>
      <c r="M3121" t="s">
        <v>33537</v>
      </c>
      <c r="N3121">
        <f>-742.283373122462 -179.869534769544 -550.580022935721</f>
        <v>-1472.7329308277269</v>
      </c>
      <c r="O3121">
        <f>-684.927076206425 -301.472480678733 -521.969667030768</f>
        <v>-1508.3692239159261</v>
      </c>
      <c r="P3121">
        <f>-629.893969084263 -348.471096045636 -236.743907817456</f>
        <v>-1215.1089729473549</v>
      </c>
      <c r="Q3121">
        <f>-542.689773706823 -149.367943975089 -340.687320922917</f>
        <v>-1032.745038604829</v>
      </c>
      <c r="R3121">
        <f>-795.309659756189 -54.5105622499425 -97.6067800348598</f>
        <v>-947.42700204099128</v>
      </c>
      <c r="S3121" t="s">
        <v>33538</v>
      </c>
      <c r="T3121" t="s">
        <v>33539</v>
      </c>
      <c r="U3121" t="s">
        <v>33540</v>
      </c>
      <c r="V3121">
        <f>-700.698660450423 -221.223311718637 -89.3474492135222</f>
        <v>-1011.2694213825821</v>
      </c>
      <c r="W3121" t="s">
        <v>33541</v>
      </c>
      <c r="X3121" t="s">
        <v>33542</v>
      </c>
      <c r="Y3121" t="s">
        <v>33543</v>
      </c>
    </row>
    <row r="3122" spans="1:25" x14ac:dyDescent="0.3">
      <c r="A3122">
        <v>156050</v>
      </c>
      <c r="B3122" t="s">
        <v>33544</v>
      </c>
      <c r="C3122">
        <f>-749.33223572179 -130.94611695246 -93.7952118058209</f>
        <v>-974.0735644800709</v>
      </c>
      <c r="D3122">
        <f>-768.601517240592 -148.127205491488 -206.709889725012</f>
        <v>-1123.4386124570919</v>
      </c>
      <c r="E3122">
        <f>-772.661010087378 -153.826213925295 -305.085192026567</f>
        <v>-1231.5724160392401</v>
      </c>
      <c r="F3122">
        <f>-771.76197167163 -155.722312340475 -394.157244581922</f>
        <v>-1321.641528594027</v>
      </c>
      <c r="G3122">
        <f>-765.936330203618 -154.268282452254 -483.051562854465</f>
        <v>-1403.256175510337</v>
      </c>
      <c r="H3122">
        <f>-752.601376756161 -148.793268293854 -606.797322109298</f>
        <v>-1508.191967159313</v>
      </c>
      <c r="I3122">
        <f>-723.833492375506 -135.634551503178 -683.636620111617</f>
        <v>-1543.1046639903011</v>
      </c>
      <c r="J3122">
        <f>-770.157136438329 -126.079503053188 -552.490916355485</f>
        <v>-1448.7275558470019</v>
      </c>
      <c r="K3122">
        <f>-825.60912690205 -1.41066180521329 -535.727000304079</f>
        <v>-1362.7467890113421</v>
      </c>
      <c r="L3122" t="s">
        <v>33545</v>
      </c>
      <c r="M3122" t="s">
        <v>33546</v>
      </c>
      <c r="N3122">
        <f>-746.781732477768 -176.325594223613 -552.194965785696</f>
        <v>-1475.302292487077</v>
      </c>
      <c r="O3122">
        <f>-690.463430239802 -298.305235518294 -523.130692192934</f>
        <v>-1511.8993579510302</v>
      </c>
      <c r="P3122">
        <f>-638.499070266374 -343.386310792074 -237.021258082313</f>
        <v>-1218.9066391407609</v>
      </c>
      <c r="Q3122">
        <f>-549.408310380183 -146.06924203304 -342.755195925946</f>
        <v>-1038.2327483391691</v>
      </c>
      <c r="R3122">
        <f>-797.170277029735 -46.8433775312377 -99.3687316892579</f>
        <v>-943.38238625023052</v>
      </c>
      <c r="S3122" t="s">
        <v>33547</v>
      </c>
      <c r="T3122" t="s">
        <v>33548</v>
      </c>
      <c r="U3122" t="s">
        <v>33549</v>
      </c>
      <c r="V3122">
        <f>-702.264544905143 -215.079996658176 -90.5975615218787</f>
        <v>-1007.9421030851977</v>
      </c>
      <c r="W3122" t="s">
        <v>33550</v>
      </c>
      <c r="X3122" t="s">
        <v>33551</v>
      </c>
      <c r="Y3122" t="s">
        <v>33552</v>
      </c>
    </row>
    <row r="3123" spans="1:25" x14ac:dyDescent="0.3">
      <c r="A3123">
        <v>156100</v>
      </c>
      <c r="B3123" t="s">
        <v>33553</v>
      </c>
      <c r="C3123">
        <f>-750.862303167348 -120.622670481948 -95.8351578149744</f>
        <v>-967.3201314642705</v>
      </c>
      <c r="D3123">
        <f>-771.867182989497 -137.982835808427 -208.412353982064</f>
        <v>-1118.262372779988</v>
      </c>
      <c r="E3123">
        <f>-777.171482049158 -144.420969240419 -306.68286386534</f>
        <v>-1228.2753151549171</v>
      </c>
      <c r="F3123">
        <f>-777.309292735496 -147.203225004461 -395.736151256423</f>
        <v>-1320.24866899638</v>
      </c>
      <c r="G3123">
        <f>-772.431595076656 -146.852975512035 -484.698568342049</f>
        <v>-1403.9831389307399</v>
      </c>
      <c r="H3123">
        <f>-760.330024878502 -143.142327996156 -608.636486724296</f>
        <v>-1512.1088395989541</v>
      </c>
      <c r="I3123">
        <f>-731.088256436019 -131.019224029408 -685.467306178315</f>
        <v>-1547.5747866437418</v>
      </c>
      <c r="J3123">
        <f>-776.967691253689 -119.482876522274 -554.444872120705</f>
        <v>-1450.895439896668</v>
      </c>
      <c r="K3123" t="s">
        <v>33554</v>
      </c>
      <c r="L3123" t="s">
        <v>33555</v>
      </c>
      <c r="M3123" t="s">
        <v>33556</v>
      </c>
      <c r="N3123">
        <f>-754.343067397335 -170.067518782028 -553.750200618445</f>
        <v>-1478.160786797808</v>
      </c>
      <c r="O3123">
        <f>-699.526006518057 -292.410507932889 -523.369188399099</f>
        <v>-1515.305702850045</v>
      </c>
      <c r="P3123">
        <f>-653.253440172153 -332.47766552443 -235.541765832933</f>
        <v>-1221.2728715295159</v>
      </c>
      <c r="Q3123">
        <f>-560.703693621152 -138.501748290229 -344.439665322975</f>
        <v>-1043.6451072343559</v>
      </c>
      <c r="R3123">
        <f>-796.959065640708 -36.688141806357 -100.872592919536</f>
        <v>-934.51980036660098</v>
      </c>
      <c r="S3123" t="s">
        <v>33557</v>
      </c>
      <c r="T3123" t="s">
        <v>33558</v>
      </c>
      <c r="U3123" t="s">
        <v>33559</v>
      </c>
      <c r="V3123">
        <f>-704.051672051947 -205.940440060079 -92.1718676255206</f>
        <v>-1002.1639797375466</v>
      </c>
      <c r="W3123" t="s">
        <v>33560</v>
      </c>
      <c r="X3123" t="s">
        <v>33561</v>
      </c>
      <c r="Y3123" t="s">
        <v>33562</v>
      </c>
    </row>
    <row r="3124" spans="1:25" x14ac:dyDescent="0.3">
      <c r="A3124">
        <v>156150</v>
      </c>
      <c r="B3124" t="s">
        <v>33563</v>
      </c>
      <c r="C3124">
        <f>-750.641162216223 -117.867755127051 -96.2419215293429</f>
        <v>-964.75083887261701</v>
      </c>
      <c r="D3124">
        <f>-772.463899485239 -135.133598939506 -208.678053126911</f>
        <v>-1116.275551551656</v>
      </c>
      <c r="E3124">
        <f>-778.319381460381 -141.785638947602 -306.902821859207</f>
        <v>-1227.00784226719</v>
      </c>
      <c r="F3124">
        <f>-778.900715356582 -144.870456335704 -395.944343738092</f>
        <v>-1319.7155154303782</v>
      </c>
      <c r="G3124">
        <f>-774.412083354155 -144.931720978895 -484.928082603216</f>
        <v>-1404.2718869362661</v>
      </c>
      <c r="H3124">
        <f>-762.79867739201 -141.9069363397 -608.931166628857</f>
        <v>-1513.6367803605669</v>
      </c>
      <c r="I3124">
        <f>-733.276151214771 -130.148016688234 -685.7112232811</f>
        <v>-1549.1353911841049</v>
      </c>
      <c r="J3124">
        <f>-779.048455797383 -117.870183365749 -554.787974598405</f>
        <v>-1451.706613761537</v>
      </c>
      <c r="K3124" t="s">
        <v>33564</v>
      </c>
      <c r="L3124" t="s">
        <v>33565</v>
      </c>
      <c r="M3124" t="s">
        <v>33566</v>
      </c>
      <c r="N3124">
        <f>-756.769815215137 -168.60584038883 -553.938973544785</f>
        <v>-1479.3146291487519</v>
      </c>
      <c r="O3124">
        <f>-702.61528381711 -291.078049473099 -522.905966643929</f>
        <v>-1516.5992999341379</v>
      </c>
      <c r="P3124">
        <f>-659.050024632814 -328.003477325732 -234.237017417427</f>
        <v>-1221.290519375973</v>
      </c>
      <c r="Q3124">
        <f>-564.159611733918 -135.676094077713 -344.040648577395</f>
        <v>-1043.8763543890259</v>
      </c>
      <c r="R3124">
        <f>-797.056571520495 -33.0414677018757 -101.062124261387</f>
        <v>-931.16016348375774</v>
      </c>
      <c r="S3124" t="s">
        <v>33567</v>
      </c>
      <c r="T3124" t="s">
        <v>33568</v>
      </c>
      <c r="U3124" t="s">
        <v>33569</v>
      </c>
      <c r="V3124">
        <f>-704.252896943061 -203.433875457874 -92.6394270543033</f>
        <v>-1000.3261994552383</v>
      </c>
      <c r="W3124" t="s">
        <v>33570</v>
      </c>
      <c r="X3124" t="s">
        <v>33571</v>
      </c>
      <c r="Y3124" t="s">
        <v>33572</v>
      </c>
    </row>
    <row r="3125" spans="1:25" x14ac:dyDescent="0.3">
      <c r="A3125">
        <v>156200</v>
      </c>
      <c r="B3125" t="s">
        <v>33573</v>
      </c>
      <c r="C3125">
        <f>-750.687797161179 -115.592064015988 -96.5720371411721</f>
        <v>-962.85189831833918</v>
      </c>
      <c r="D3125">
        <f>-773.179169031926 -132.848339015624 -208.877702435621</f>
        <v>-1114.905210483171</v>
      </c>
      <c r="E3125">
        <f>-779.546795044813 -139.694023091953 -307.057366973068</f>
        <v>-1226.2981851098341</v>
      </c>
      <c r="F3125">
        <f>-780.569358755217 -143.028352661928 -396.086054907474</f>
        <v>-1319.683766324619</v>
      </c>
      <c r="G3125">
        <f>-776.499594655887 -143.413689244541 -485.089032134573</f>
        <v>-1405.0023160350011</v>
      </c>
      <c r="H3125">
        <f>-765.448435689911 -140.918168511668 -609.155217203486</f>
        <v>-1515.5218214050651</v>
      </c>
      <c r="I3125">
        <f>-735.660664719523 -129.436864171167 -685.874963848304</f>
        <v>-1550.9724927389939</v>
      </c>
      <c r="J3125">
        <f>-781.284399178618 -116.576758024634 -555.02561393574</f>
        <v>-1452.8867711389921</v>
      </c>
      <c r="K3125" t="s">
        <v>33574</v>
      </c>
      <c r="L3125" t="s">
        <v>33575</v>
      </c>
      <c r="M3125" t="s">
        <v>33576</v>
      </c>
      <c r="N3125">
        <f>-759.338494880193 -167.455830115727 -554.094163354445</f>
        <v>-1480.8884883503652</v>
      </c>
      <c r="O3125">
        <f>-705.975029282068 -290.18313199072 -522.685790935856</f>
        <v>-1518.8439522086439</v>
      </c>
      <c r="P3125">
        <f>-664.706584544224 -324.184716068754 -233.3209381407</f>
        <v>-1222.2122387536781</v>
      </c>
      <c r="Q3125">
        <f>-567.286241374275 -133.232335568027 -343.308794332687</f>
        <v>-1043.827371274989</v>
      </c>
      <c r="R3125">
        <f>-796.985826738722 -30.3182297361082 -101.477826637687</f>
        <v>-928.78188311251722</v>
      </c>
      <c r="S3125" t="s">
        <v>33577</v>
      </c>
      <c r="T3125" t="s">
        <v>33578</v>
      </c>
      <c r="U3125" t="s">
        <v>33579</v>
      </c>
      <c r="V3125">
        <f>-704.435702113918 -201.414380533047 -92.9526044402545</f>
        <v>-998.8026870872194</v>
      </c>
      <c r="W3125" t="s">
        <v>33580</v>
      </c>
      <c r="X3125" t="s">
        <v>33581</v>
      </c>
      <c r="Y3125" t="s">
        <v>33582</v>
      </c>
    </row>
    <row r="3126" spans="1:25" x14ac:dyDescent="0.3">
      <c r="A3126">
        <v>156250</v>
      </c>
      <c r="B3126" t="s">
        <v>33583</v>
      </c>
      <c r="C3126">
        <f>-749.687975174044 -111.768567016304 -96.6161305823916</f>
        <v>-958.07267277273968</v>
      </c>
      <c r="D3126">
        <f>-773.057607506157 -128.970413238488 -208.750828042092</f>
        <v>-1110.7788487867369</v>
      </c>
      <c r="E3126">
        <f>-780.278803115745 -135.981604033066 -306.859727647174</f>
        <v>-1223.120134795985</v>
      </c>
      <c r="F3126">
        <f>-782.114316391599 -139.545885091387 -395.866247057169</f>
        <v>-1317.5264485401549</v>
      </c>
      <c r="G3126">
        <f>-778.895892203213 -140.243728172991 -484.902223731118</f>
        <v>-1404.041844107322</v>
      </c>
      <c r="H3126">
        <f>-769.072351508501 -138.270709012747 -609.081245175422</f>
        <v>-1516.4243056966702</v>
      </c>
      <c r="I3126">
        <f>-738.837212090921 -127.109753324503 -685.672938116628</f>
        <v>-1551.6199035320519</v>
      </c>
      <c r="J3126">
        <f>-784.129403990906 -113.597364015769 -554.87956500478</f>
        <v>-1452.606333011455</v>
      </c>
      <c r="K3126" t="s">
        <v>33584</v>
      </c>
      <c r="L3126" t="s">
        <v>33585</v>
      </c>
      <c r="M3126" t="s">
        <v>33586</v>
      </c>
      <c r="N3126">
        <f>-762.661008652271 -164.68048718294 -553.992792108659</f>
        <v>-1481.3342879438701</v>
      </c>
      <c r="O3126">
        <f>-710.584168077418 -287.996396031901 -522.666944951845</f>
        <v>-1521.247509061164</v>
      </c>
      <c r="P3126">
        <f>-673.081107530467 -319.167902224074 -232.471944522735</f>
        <v>-1224.720954277276</v>
      </c>
      <c r="Q3126">
        <f>-569.991073692428 -130.384801540688 -341.027353731934</f>
        <v>-1041.4032289650499</v>
      </c>
      <c r="R3126">
        <f>-795.950235300652 -25.471544281241 -101.644549175062</f>
        <v>-923.06632875695504</v>
      </c>
      <c r="S3126" t="s">
        <v>33587</v>
      </c>
      <c r="T3126" t="s">
        <v>33588</v>
      </c>
      <c r="U3126" t="s">
        <v>33589</v>
      </c>
      <c r="V3126">
        <f>-703.380977279988 -198.186571275904 -93.0727777919418</f>
        <v>-994.64032634783382</v>
      </c>
      <c r="W3126" t="s">
        <v>33590</v>
      </c>
      <c r="X3126" t="s">
        <v>33591</v>
      </c>
      <c r="Y3126" t="s">
        <v>33592</v>
      </c>
    </row>
    <row r="3127" spans="1:25" x14ac:dyDescent="0.3">
      <c r="A3127">
        <v>156300</v>
      </c>
      <c r="B3127" t="s">
        <v>33593</v>
      </c>
      <c r="C3127">
        <f>-748.594706647967 -108.748101044853 -96.0021900708482</f>
        <v>-953.34499776366818</v>
      </c>
      <c r="D3127">
        <f>-772.844516778628 -126.114213484588 -207.924348248733</f>
        <v>-1106.883078511949</v>
      </c>
      <c r="E3127">
        <f>-780.814589052898 -133.149273388218 -305.973630816965</f>
        <v>-1219.9374932580811</v>
      </c>
      <c r="F3127">
        <f>-783.314658623441 -136.69564731297 -394.964697004484</f>
        <v>-1314.9750029408949</v>
      </c>
      <c r="G3127">
        <f>-780.742290642286 -137.342348048041 -484.021988594719</f>
        <v>-1402.106627285046</v>
      </c>
      <c r="H3127">
        <f>-771.797194072819 -135.267922678445 -608.265770434573</f>
        <v>-1515.3308871858371</v>
      </c>
      <c r="I3127">
        <f>-741.221705670696 -124.065682468601 -684.716171236876</f>
        <v>-1550.0035593761731</v>
      </c>
      <c r="J3127">
        <f>-786.365070522502 -110.594729612948 -553.930408028277</f>
        <v>-1450.890208163727</v>
      </c>
      <c r="K3127" t="s">
        <v>33594</v>
      </c>
      <c r="L3127" t="s">
        <v>33595</v>
      </c>
      <c r="M3127" t="s">
        <v>33596</v>
      </c>
      <c r="N3127">
        <f>-765.101916625411 -161.766862013569 -553.253850118091</f>
        <v>-1480.1226287570712</v>
      </c>
      <c r="O3127">
        <f>-713.688394706906 -285.513515537391 -522.664783922875</f>
        <v>-1521.8666941671722</v>
      </c>
      <c r="P3127">
        <f>-678.434476099789 -317.16890690068 -232.240338033892</f>
        <v>-1227.8437210343609</v>
      </c>
      <c r="Q3127">
        <f>-570.920032059343 -130.307978215522 -339.82517391709</f>
        <v>-1041.0531841919551</v>
      </c>
      <c r="R3127">
        <f>-795.264771135412 -22.3481562966253 -100.83584414542</f>
        <v>-918.44877157745736</v>
      </c>
      <c r="S3127" t="s">
        <v>33597</v>
      </c>
      <c r="T3127" t="s">
        <v>33598</v>
      </c>
      <c r="U3127" t="s">
        <v>33599</v>
      </c>
      <c r="V3127">
        <f>-701.972586267648 -195.491087859732 -92.9892487819702</f>
        <v>-990.45292290935026</v>
      </c>
      <c r="W3127" t="s">
        <v>33600</v>
      </c>
      <c r="X3127" t="s">
        <v>33601</v>
      </c>
      <c r="Y3127" t="s">
        <v>33602</v>
      </c>
    </row>
    <row r="3128" spans="1:25" x14ac:dyDescent="0.3">
      <c r="A3128">
        <v>156350</v>
      </c>
      <c r="B3128" t="s">
        <v>33603</v>
      </c>
      <c r="C3128">
        <f>-748.729352075366 -107.867741368621 -95.8665557527002</f>
        <v>-952.46364919668713</v>
      </c>
      <c r="D3128">
        <f>-773.429127452719 -125.424193094137 -207.660519554374</f>
        <v>-1106.51384010123</v>
      </c>
      <c r="E3128">
        <f>-781.747827647065 -132.515800065559 -305.676812955675</f>
        <v>-1219.9404406682991</v>
      </c>
      <c r="F3128">
        <f>-784.542053402816 -136.074350216361 -394.658647340936</f>
        <v>-1315.275050960113</v>
      </c>
      <c r="G3128">
        <f>-782.240003176958 -136.696536694918 -483.723464080969</f>
        <v>-1402.660003952845</v>
      </c>
      <c r="H3128">
        <f>-773.645081822771 -134.551807684818 -607.990692559779</f>
        <v>-1516.1875820673679</v>
      </c>
      <c r="I3128">
        <f>-742.935502829848 -123.250331890629 -684.372815604359</f>
        <v>-1550.558650324836</v>
      </c>
      <c r="J3128">
        <f>-788.037841281514 -109.900313198592 -553.598973617543</f>
        <v>-1451.5371280976492</v>
      </c>
      <c r="K3128" t="s">
        <v>33604</v>
      </c>
      <c r="L3128" t="s">
        <v>33605</v>
      </c>
      <c r="M3128" t="s">
        <v>33606</v>
      </c>
      <c r="N3128">
        <f>-766.816711284954 -161.090951047039 -553.014697202799</f>
        <v>-1480.9223595347919</v>
      </c>
      <c r="O3128">
        <f>-715.503865527574 -284.99244346163 -522.811512143314</f>
        <v>-1523.3078211325178</v>
      </c>
      <c r="P3128">
        <f>-680.485229789001 -317.132530745717 -232.411975056839</f>
        <v>-1230.029735591557</v>
      </c>
      <c r="Q3128">
        <f>-571.859365034735 -130.799884822629 -339.796592862093</f>
        <v>-1042.455842719457</v>
      </c>
      <c r="R3128">
        <f>-795.779033180352 -21.1928250555929 -100.658713932739</f>
        <v>-917.63057216868401</v>
      </c>
      <c r="S3128" t="s">
        <v>33607</v>
      </c>
      <c r="T3128" t="s">
        <v>33608</v>
      </c>
      <c r="U3128" t="s">
        <v>33609</v>
      </c>
      <c r="V3128">
        <f>-702.148929249467 -194.916113633926 -93.0381150896416</f>
        <v>-990.10315797303451</v>
      </c>
      <c r="W3128" t="s">
        <v>33610</v>
      </c>
      <c r="X3128" t="s">
        <v>33611</v>
      </c>
      <c r="Y3128" t="s">
        <v>33612</v>
      </c>
    </row>
    <row r="3129" spans="1:25" x14ac:dyDescent="0.3">
      <c r="A3129">
        <v>156400</v>
      </c>
      <c r="B3129" t="s">
        <v>33613</v>
      </c>
      <c r="C3129">
        <f>-749.582359193013 -106.440621452935 -95.8054276183586</f>
        <v>-951.82840826430663</v>
      </c>
      <c r="D3129">
        <f>-774.972329447271 -124.016527667497 -207.441805181208</f>
        <v>-1106.4306622959762</v>
      </c>
      <c r="E3129">
        <f>-783.917012870557 -131.091199793181 -305.404016223923</f>
        <v>-1220.4122288876611</v>
      </c>
      <c r="F3129">
        <f>-787.288674437103 -134.618358222095 -394.366928636087</f>
        <v>-1316.2739612952851</v>
      </c>
      <c r="G3129">
        <f>-785.57359943675 -135.192635264776 -483.445515675512</f>
        <v>-1404.211750377038</v>
      </c>
      <c r="H3129">
        <f>-777.80762858521 -132.9630693816 -607.765878282846</f>
        <v>-1518.5365762496558</v>
      </c>
      <c r="I3129">
        <f>-746.896997312256 -121.38276483807 -684.024990519737</f>
        <v>-1552.304752670063</v>
      </c>
      <c r="J3129">
        <f>-791.79735728314 -108.332155188519 -553.259571788573</f>
        <v>-1453.3890842602318</v>
      </c>
      <c r="K3129" t="s">
        <v>33614</v>
      </c>
      <c r="L3129" t="s">
        <v>33615</v>
      </c>
      <c r="M3129" t="s">
        <v>33616</v>
      </c>
      <c r="N3129">
        <f>-770.652795743892 -159.556281885446 -552.857517706977</f>
        <v>-1483.066595336315</v>
      </c>
      <c r="O3129">
        <f>-719.568521949911 -283.681893836802 -523.131798420462</f>
        <v>-1526.3822142071749</v>
      </c>
      <c r="P3129">
        <f>-683.88727724444 -315.220818809427 -232.746997993983</f>
        <v>-1231.8550940478501</v>
      </c>
      <c r="Q3129">
        <f>-573.956439505971 -129.73100254542 -340.262570523551</f>
        <v>-1043.9500125749421</v>
      </c>
      <c r="R3129">
        <f>-796.785120856264 -19.1084078229453 -100.455861866563</f>
        <v>-916.34939054577239</v>
      </c>
      <c r="S3129" t="s">
        <v>33617</v>
      </c>
      <c r="T3129" t="s">
        <v>33618</v>
      </c>
      <c r="U3129" t="s">
        <v>33619</v>
      </c>
      <c r="V3129">
        <f>-702.784002487881 -193.783618915028 -93.1188954361409</f>
        <v>-989.68651683904989</v>
      </c>
      <c r="W3129" t="s">
        <v>33620</v>
      </c>
      <c r="X3129" t="s">
        <v>33621</v>
      </c>
      <c r="Y3129" t="s">
        <v>33622</v>
      </c>
    </row>
    <row r="3130" spans="1:25" x14ac:dyDescent="0.3">
      <c r="A3130">
        <v>156450</v>
      </c>
      <c r="B3130" t="s">
        <v>33623</v>
      </c>
      <c r="C3130">
        <f>-750.081535502934 -105.333946345592 -95.7993012633699</f>
        <v>-951.21478311189594</v>
      </c>
      <c r="D3130">
        <f>-775.785787562899 -122.882996764878 -207.367866414636</f>
        <v>-1106.036650742413</v>
      </c>
      <c r="E3130">
        <f>-785.019560720468 -129.96100205453 -305.302911394271</f>
        <v>-1220.2834741692691</v>
      </c>
      <c r="F3130">
        <f>-788.660802343325 -133.499104136821 -394.254915040537</f>
        <v>-1316.4148215206831</v>
      </c>
      <c r="G3130">
        <f>-787.223144211071 -134.09202129271 -483.338259501839</f>
        <v>-1404.65342500562</v>
      </c>
      <c r="H3130">
        <f>-779.852711150256 -131.895450453247 -607.683215708234</f>
        <v>-1519.4313773117369</v>
      </c>
      <c r="I3130">
        <f>-748.887823519877 -120.214584230472 -683.904892772957</f>
        <v>-1553.0073005233062</v>
      </c>
      <c r="J3130">
        <f>-793.632499169671 -107.235023469234 -553.136948338703</f>
        <v>-1454.004470977608</v>
      </c>
      <c r="K3130" t="s">
        <v>33624</v>
      </c>
      <c r="L3130" t="s">
        <v>33625</v>
      </c>
      <c r="M3130" t="s">
        <v>33626</v>
      </c>
      <c r="N3130">
        <f>-772.559617210087 -158.489075734922 -552.793238349794</f>
        <v>-1483.8419312948031</v>
      </c>
      <c r="O3130">
        <f>-721.620842640513 -282.674987973569 -523.137937026658</f>
        <v>-1527.4337676407399</v>
      </c>
      <c r="P3130">
        <f>-685.113016737871 -313.869278796191 -232.818656524619</f>
        <v>-1231.8009520586811</v>
      </c>
      <c r="Q3130">
        <f>-575.116461151983 -128.577780474019 -340.608546526228</f>
        <v>-1044.3027881522298</v>
      </c>
      <c r="R3130">
        <f>-797.168715232139 -17.9615907800119 -100.360430329467</f>
        <v>-915.49073634161789</v>
      </c>
      <c r="S3130" t="s">
        <v>33627</v>
      </c>
      <c r="T3130" t="s">
        <v>33628</v>
      </c>
      <c r="U3130" t="s">
        <v>33629</v>
      </c>
      <c r="V3130">
        <f>-703.386969370108 -192.712527314112 -93.1088846150803</f>
        <v>-989.2083812993003</v>
      </c>
      <c r="W3130" t="s">
        <v>33630</v>
      </c>
      <c r="X3130" t="s">
        <v>33631</v>
      </c>
      <c r="Y3130" t="s">
        <v>33632</v>
      </c>
    </row>
    <row r="3131" spans="1:25" x14ac:dyDescent="0.3">
      <c r="A3131">
        <v>156500</v>
      </c>
      <c r="B3131" t="s">
        <v>33633</v>
      </c>
      <c r="C3131">
        <f>-750.498490692396 -103.957594810652 -95.5682267615492</f>
        <v>-950.02431226459726</v>
      </c>
      <c r="D3131">
        <f>-776.626973424703 -121.631819885264 -207.018357357849</f>
        <v>-1105.2771506678159</v>
      </c>
      <c r="E3131">
        <f>-786.309252193696 -128.817187261027 -304.902487124461</f>
        <v>-1220.0289265791839</v>
      </c>
      <c r="F3131">
        <f>-790.388316214984 -132.451034724755 -393.831601024658</f>
        <v>-1316.6709519643971</v>
      </c>
      <c r="G3131">
        <f>-789.419072733066 -133.139105690285 -482.920446871637</f>
        <v>-1405.478625294988</v>
      </c>
      <c r="H3131">
        <f>-782.733273981748 -131.074603351992 -607.30631107968</f>
        <v>-1521.1141884134199</v>
      </c>
      <c r="I3131">
        <f>-751.689452283674 -119.299578884806 -683.481606639085</f>
        <v>-1554.470637807565</v>
      </c>
      <c r="J3131">
        <f>-796.141943270419 -106.327254847491 -552.707078559393</f>
        <v>-1455.1762766773031</v>
      </c>
      <c r="K3131" t="s">
        <v>33634</v>
      </c>
      <c r="L3131" t="s">
        <v>33635</v>
      </c>
      <c r="M3131" t="s">
        <v>33636</v>
      </c>
      <c r="N3131">
        <f>-775.208755233033 -157.638959109084 -552.433443130359</f>
        <v>-1485.281157472476</v>
      </c>
      <c r="O3131">
        <f>-724.52011168938 -281.967513989715 -522.93477374894</f>
        <v>-1529.4223994280349</v>
      </c>
      <c r="P3131">
        <f>-686.514334906726 -312.300167092046 -232.716482785104</f>
        <v>-1231.5309847838762</v>
      </c>
      <c r="Q3131">
        <f>-576.750340887496 -127.341712026501 -341.312639750026</f>
        <v>-1045.4046926640231</v>
      </c>
      <c r="R3131">
        <f>-797.09809615872 -16.8408247735506 -100.05529865957</f>
        <v>-913.99421959184053</v>
      </c>
      <c r="S3131" t="s">
        <v>33637</v>
      </c>
      <c r="T3131" t="s">
        <v>33638</v>
      </c>
      <c r="U3131" t="s">
        <v>33639</v>
      </c>
      <c r="V3131">
        <f>-703.953810975953 -191.438737967275 -92.9736174730688</f>
        <v>-988.36616641629678</v>
      </c>
      <c r="W3131" t="s">
        <v>33640</v>
      </c>
      <c r="X3131" t="s">
        <v>33641</v>
      </c>
      <c r="Y3131" t="s">
        <v>33642</v>
      </c>
    </row>
    <row r="3132" spans="1:25" x14ac:dyDescent="0.3">
      <c r="A3132">
        <v>156550</v>
      </c>
      <c r="B3132" t="s">
        <v>33643</v>
      </c>
      <c r="C3132">
        <f>-750.404852191592 -103.570710024679 -95.4044527503506</f>
        <v>-949.38001496662162</v>
      </c>
      <c r="D3132">
        <f>-776.738823389325 -121.28541048313 -206.799925045742</f>
        <v>-1104.8241589181971</v>
      </c>
      <c r="E3132">
        <f>-786.622901840369 -128.51472521255 -304.660413572027</f>
        <v>-1219.798040624946</v>
      </c>
      <c r="F3132">
        <f>-790.894237387395 -132.191617499859 -393.578825861427</f>
        <v>-1316.6646807486811</v>
      </c>
      <c r="G3132">
        <f>-790.126186308803 -132.926173032127 -482.669281248836</f>
        <v>-1405.7216405897661</v>
      </c>
      <c r="H3132">
        <f>-783.730416467573 -130.930074810461 -607.071565079908</f>
        <v>-1521.7320563579419</v>
      </c>
      <c r="I3132">
        <f>-752.650589127801 -119.132609609335 -683.228628883484</f>
        <v>-1555.0118276206199</v>
      </c>
      <c r="J3132">
        <f>-796.992079252954 -106.144636726134 -552.453718587943</f>
        <v>-1455.590434567031</v>
      </c>
      <c r="K3132" t="s">
        <v>33644</v>
      </c>
      <c r="L3132" t="s">
        <v>33645</v>
      </c>
      <c r="M3132" t="s">
        <v>33646</v>
      </c>
      <c r="N3132">
        <f>-776.097680386186 -157.47225273659 -552.20301992231</f>
        <v>-1485.7729530450861</v>
      </c>
      <c r="O3132">
        <f>-725.489051206039 -281.857689165582 -522.774818724618</f>
        <v>-1530.1215590962388</v>
      </c>
      <c r="P3132">
        <f>-686.944345630074 -311.85714008454 -232.592901419</f>
        <v>-1231.3943871336141</v>
      </c>
      <c r="Q3132">
        <f>-577.437632792321 -126.931270720082 -341.503786010804</f>
        <v>-1045.8726895232071</v>
      </c>
      <c r="R3132">
        <f>-796.943077010432 -16.3259545466337 -99.9216577133162</f>
        <v>-913.19068927038199</v>
      </c>
      <c r="S3132" t="s">
        <v>33647</v>
      </c>
      <c r="T3132" t="s">
        <v>33648</v>
      </c>
      <c r="U3132" t="s">
        <v>33649</v>
      </c>
      <c r="V3132">
        <f>-703.982442008334 -191.075499533961 -92.8916202432551</f>
        <v>-987.94956178555015</v>
      </c>
      <c r="W3132" t="s">
        <v>33650</v>
      </c>
      <c r="X3132" t="s">
        <v>33651</v>
      </c>
      <c r="Y3132" t="s">
        <v>33652</v>
      </c>
    </row>
    <row r="3133" spans="1:25" x14ac:dyDescent="0.3">
      <c r="A3133">
        <v>156600</v>
      </c>
      <c r="B3133" t="s">
        <v>33653</v>
      </c>
      <c r="C3133">
        <f>-750.463460097567 -102.62702387133 -95.2925702962358</f>
        <v>-948.38305426513284</v>
      </c>
      <c r="D3133">
        <f>-777.168007936937 -120.514554116381 -206.572091101398</f>
        <v>-1104.2546531547159</v>
      </c>
      <c r="E3133">
        <f>-787.454630775536 -127.911369867246 -304.378747760664</f>
        <v>-1219.744748403446</v>
      </c>
      <c r="F3133">
        <f>-792.122780574962 -131.746106419967 -393.270399643553</f>
        <v>-1317.139286638482</v>
      </c>
      <c r="G3133">
        <f>-791.783224978929 -132.644417232643 -482.362044599782</f>
        <v>-1406.7896868113539</v>
      </c>
      <c r="H3133">
        <f>-786.018521884936 -130.882774508305 -606.798744027764</f>
        <v>-1523.700040421005</v>
      </c>
      <c r="I3133">
        <f>-754.82258126206 -119.144095201783 -682.91737715451</f>
        <v>-1556.8840536183529</v>
      </c>
      <c r="J3133">
        <f>-798.976089940209 -105.983456897803 -552.159603961089</f>
        <v>-1457.1191507991011</v>
      </c>
      <c r="K3133" t="s">
        <v>33654</v>
      </c>
      <c r="L3133" t="s">
        <v>33655</v>
      </c>
      <c r="M3133" t="s">
        <v>33656</v>
      </c>
      <c r="N3133">
        <f>-778.134451464667 -157.332621870673 -551.921075216752</f>
        <v>-1487.3881485520919</v>
      </c>
      <c r="O3133">
        <f>-727.595945156831 -281.752961438316 -522.563491290549</f>
        <v>-1531.912397885696</v>
      </c>
      <c r="P3133">
        <f>-688.195373116736 -310.790599076851 -232.398672262021</f>
        <v>-1231.3846444556079</v>
      </c>
      <c r="Q3133">
        <f>-578.360964308111 -126.375826891075 -341.844783460001</f>
        <v>-1046.581574659187</v>
      </c>
      <c r="R3133">
        <f>-797.152780196567 -15.2120979642805 -99.7937437498398</f>
        <v>-912.15862191068732</v>
      </c>
      <c r="S3133" t="s">
        <v>33657</v>
      </c>
      <c r="T3133" t="s">
        <v>33658</v>
      </c>
      <c r="U3133" t="s">
        <v>33659</v>
      </c>
      <c r="V3133">
        <f>-704.08823259912 -190.358934674331 -92.8132309030218</f>
        <v>-987.26039817647279</v>
      </c>
      <c r="W3133" t="s">
        <v>33660</v>
      </c>
      <c r="X3133" t="s">
        <v>33661</v>
      </c>
      <c r="Y3133" t="s">
        <v>33662</v>
      </c>
    </row>
    <row r="3134" spans="1:25" x14ac:dyDescent="0.3">
      <c r="A3134">
        <v>156650</v>
      </c>
      <c r="B3134" t="s">
        <v>33663</v>
      </c>
      <c r="C3134">
        <f>-750.454795768145 -102.274102013677 -95.2533492742338</f>
        <v>-947.98224705605571</v>
      </c>
      <c r="D3134">
        <f>-777.321216485675 -120.293158456562 -206.472686908144</f>
        <v>-1104.0870618503809</v>
      </c>
      <c r="E3134">
        <f>-787.801762529137 -127.807378170785 -304.24966360988</f>
        <v>-1219.8588043098021</v>
      </c>
      <c r="F3134">
        <f>-792.666473930695 -131.750063933595 -393.126191531244</f>
        <v>-1317.542729395534</v>
      </c>
      <c r="G3134">
        <f>-792.544050604957 -132.758136037625 -482.217222143766</f>
        <v>-1407.5194087863479</v>
      </c>
      <c r="H3134">
        <f>-787.103263435051 -131.151411468595 -606.670588353469</f>
        <v>-1524.9252632571151</v>
      </c>
      <c r="I3134">
        <f>-755.835406850843 -119.445638673302 -682.764662132476</f>
        <v>-1558.0457076566211</v>
      </c>
      <c r="J3134">
        <f>-799.907454264328 -106.179459857269 -552.028317606277</f>
        <v>-1458.1152317278738</v>
      </c>
      <c r="K3134" t="s">
        <v>33664</v>
      </c>
      <c r="L3134" t="s">
        <v>33665</v>
      </c>
      <c r="M3134" t="s">
        <v>33666</v>
      </c>
      <c r="N3134">
        <f>-779.087616929563 -157.537404965263 -551.781115320537</f>
        <v>-1488.4061372153628</v>
      </c>
      <c r="O3134">
        <f>-728.592511618275 -281.990030975775 -522.438087672509</f>
        <v>-1533.020630266559</v>
      </c>
      <c r="P3134">
        <f>-688.870691854277 -310.380244289198 -232.253014784147</f>
        <v>-1231.5039509276221</v>
      </c>
      <c r="Q3134">
        <f>-578.231159502411 -126.535169655441 -341.846651064786</f>
        <v>-1046.6129802226378</v>
      </c>
      <c r="R3134">
        <f>-797.162984200567 -14.8785629535157 -99.7575443051684</f>
        <v>-911.79909145925114</v>
      </c>
      <c r="S3134" t="s">
        <v>33667</v>
      </c>
      <c r="T3134" t="s">
        <v>33668</v>
      </c>
      <c r="U3134" t="s">
        <v>33669</v>
      </c>
      <c r="V3134">
        <f>-704.003993898666 -189.980597745633 -92.7684740314591</f>
        <v>-986.75306567575808</v>
      </c>
      <c r="W3134" t="s">
        <v>33670</v>
      </c>
      <c r="X3134" t="s">
        <v>33671</v>
      </c>
      <c r="Y3134" t="s">
        <v>33672</v>
      </c>
    </row>
    <row r="3135" spans="1:25" x14ac:dyDescent="0.3">
      <c r="A3135">
        <v>156700</v>
      </c>
      <c r="B3135" t="s">
        <v>33673</v>
      </c>
      <c r="C3135">
        <f>-749.982405791692 -101.853287271601 -95.1644232103768</f>
        <v>-947.00011627366985</v>
      </c>
      <c r="D3135">
        <f>-777.228149674527 -120.176559886799 -206.241631692196</f>
        <v>-1103.646341253522</v>
      </c>
      <c r="E3135">
        <f>-788.102619488833 -127.938650745845 -303.956273595639</f>
        <v>-1219.997543830317</v>
      </c>
      <c r="F3135">
        <f>-793.3484864097 -132.099866656821 -392.801196992029</f>
        <v>-1318.2495500585499</v>
      </c>
      <c r="G3135">
        <f>-793.630573544212 -133.321008142624 -481.889141606379</f>
        <v>-1408.840723293215</v>
      </c>
      <c r="H3135">
        <f>-788.777709496698 -132.006653227766 -606.370175000927</f>
        <v>-1527.154537725391</v>
      </c>
      <c r="I3135">
        <f>-757.422760012471 -120.363220543998 -682.438157220169</f>
        <v>-1560.2241377766381</v>
      </c>
      <c r="J3135">
        <f>-801.28710767115 -106.891565395151 -551.72544921695</f>
        <v>-1459.9041222832511</v>
      </c>
      <c r="K3135" t="s">
        <v>33674</v>
      </c>
      <c r="L3135" t="s">
        <v>33675</v>
      </c>
      <c r="M3135" t="s">
        <v>33676</v>
      </c>
      <c r="N3135">
        <f>-780.539255796956 -158.278527255526 -551.459139667103</f>
        <v>-1490.2769227195849</v>
      </c>
      <c r="O3135">
        <f>-730.144182019013 -282.755894785168 -522.064239841042</f>
        <v>-1534.9643166452229</v>
      </c>
      <c r="P3135">
        <f>-689.576313200253 -310.118800716479 -231.897398859558</f>
        <v>-1231.5925127762901</v>
      </c>
      <c r="Q3135">
        <f>-577.466213175143 -127.255573702671 -341.639044157354</f>
        <v>-1046.3608310351681</v>
      </c>
      <c r="R3135">
        <f>-796.664244663387 -14.4305031931908 -99.7436349478488</f>
        <v>-910.8383828044266</v>
      </c>
      <c r="S3135" t="s">
        <v>33677</v>
      </c>
      <c r="T3135" t="s">
        <v>33678</v>
      </c>
      <c r="U3135" t="s">
        <v>33679</v>
      </c>
      <c r="V3135">
        <f>-703.532056467889 -189.577472417817 -92.6206366323348</f>
        <v>-985.73016551804085</v>
      </c>
      <c r="W3135" t="s">
        <v>33680</v>
      </c>
      <c r="X3135" t="s">
        <v>33681</v>
      </c>
      <c r="Y3135" t="s">
        <v>33682</v>
      </c>
    </row>
    <row r="3136" spans="1:25" x14ac:dyDescent="0.3">
      <c r="A3136">
        <v>156750</v>
      </c>
      <c r="B3136" t="s">
        <v>33683</v>
      </c>
      <c r="C3136">
        <f>-749.775429619734 -101.643045027091 -95.1568113287314</f>
        <v>-946.57528597555643</v>
      </c>
      <c r="D3136">
        <f>-777.192873311369 -120.106990521051 -206.16844381553</f>
        <v>-1103.46830764795</v>
      </c>
      <c r="E3136">
        <f>-788.254011557279 -127.98507975984 -303.852838306493</f>
        <v>-1220.091929623612</v>
      </c>
      <c r="F3136">
        <f>-793.683896755075 -132.248231102549 -392.681878853096</f>
        <v>-1318.6140067107199</v>
      </c>
      <c r="G3136">
        <f>-794.164644290182 -133.568261918867 -481.767554180888</f>
        <v>-1409.500460389937</v>
      </c>
      <c r="H3136">
        <f>-789.603935805542 -132.388304362428 -606.261000405238</f>
        <v>-1528.2532405732081</v>
      </c>
      <c r="I3136">
        <f>-758.239425702563 -120.773701553039 -682.329468163454</f>
        <v>-1561.3425954190561</v>
      </c>
      <c r="J3136">
        <f>-801.968039206732 -107.207339333189 -551.613429658257</f>
        <v>-1460.788808198178</v>
      </c>
      <c r="K3136" t="s">
        <v>33684</v>
      </c>
      <c r="L3136" t="s">
        <v>33685</v>
      </c>
      <c r="M3136" t="s">
        <v>33686</v>
      </c>
      <c r="N3136">
        <f>-781.253677196502 -158.607830380817 -551.34170981512</f>
        <v>-1491.203217392439</v>
      </c>
      <c r="O3136">
        <f>-730.893631605103 -283.104503527273 -521.936684224689</f>
        <v>-1535.934819357065</v>
      </c>
      <c r="P3136">
        <f>-689.980633452631 -310.041416095889 -231.778495885074</f>
        <v>-1231.8005454335939</v>
      </c>
      <c r="Q3136">
        <f>-577.342387542962 -127.607126403259 -341.693191348613</f>
        <v>-1046.6427052948341</v>
      </c>
      <c r="R3136">
        <f>-796.450071095613 -14.1583124620363 -99.7660717986387</f>
        <v>-910.37445535628797</v>
      </c>
      <c r="S3136" t="s">
        <v>33687</v>
      </c>
      <c r="T3136" t="s">
        <v>33688</v>
      </c>
      <c r="U3136" t="s">
        <v>33689</v>
      </c>
      <c r="V3136">
        <f>-703.330814217091 -189.402473703693 -92.5786696550929</f>
        <v>-985.31195757587682</v>
      </c>
      <c r="W3136" t="s">
        <v>33690</v>
      </c>
      <c r="X3136" t="s">
        <v>33691</v>
      </c>
      <c r="Y3136" t="s">
        <v>33692</v>
      </c>
    </row>
    <row r="3137" spans="1:25" x14ac:dyDescent="0.3">
      <c r="A3137">
        <v>156800</v>
      </c>
      <c r="B3137" t="s">
        <v>33693</v>
      </c>
      <c r="C3137">
        <f>-749.695080924652 -101.361710591644 -95.2160924563844</f>
        <v>-946.27288397268046</v>
      </c>
      <c r="D3137">
        <f>-777.404511470487 -120.030589809157 -206.120883444828</f>
        <v>-1103.555984724472</v>
      </c>
      <c r="E3137">
        <f>-788.851930947361 -128.117083200735 -303.743807119696</f>
        <v>-1220.7128212677919</v>
      </c>
      <c r="F3137">
        <f>-794.685790370177 -132.579190174577 -392.537380402723</f>
        <v>-1319.8023609474769</v>
      </c>
      <c r="G3137">
        <f>-795.6246999381 -134.107832110089 -481.616004588541</f>
        <v>-1411.3485366367299</v>
      </c>
      <c r="H3137">
        <f>-791.760247958599 -133.227773334906 -606.135592381305</f>
        <v>-1531.12361367481</v>
      </c>
      <c r="I3137">
        <f>-760.452512926617 -121.688029877443 -682.238735860837</f>
        <v>-1564.3792786648969</v>
      </c>
      <c r="J3137">
        <f>-803.795625902648 -107.905871447593 -551.479856457576</f>
        <v>-1463.181353807817</v>
      </c>
      <c r="K3137" t="s">
        <v>33694</v>
      </c>
      <c r="L3137" t="s">
        <v>33695</v>
      </c>
      <c r="M3137" t="s">
        <v>33696</v>
      </c>
      <c r="N3137">
        <f>-783.126044825572 -159.3242972665 -551.20173550853</f>
        <v>-1493.6520776006018</v>
      </c>
      <c r="O3137">
        <f>-732.776703111949 -283.810903739321 -521.770923604412</f>
        <v>-1538.3585304556821</v>
      </c>
      <c r="P3137">
        <f>-691.184493448304 -309.925408137048 -231.634308426702</f>
        <v>-1232.7442100120541</v>
      </c>
      <c r="Q3137">
        <f>-577.556061968932 -128.266076051173 -341.813079299722</f>
        <v>-1047.635217319827</v>
      </c>
      <c r="R3137">
        <f>-796.394961486201 -13.847216369385 -99.8602635504153</f>
        <v>-910.10244140600139</v>
      </c>
      <c r="S3137" t="s">
        <v>33697</v>
      </c>
      <c r="T3137" t="s">
        <v>33698</v>
      </c>
      <c r="U3137" t="s">
        <v>33699</v>
      </c>
      <c r="V3137">
        <f>-703.387105846939 -189.096144602476 -92.5439221635531</f>
        <v>-985.02717261296812</v>
      </c>
      <c r="W3137" t="s">
        <v>33700</v>
      </c>
      <c r="X3137" t="s">
        <v>33701</v>
      </c>
      <c r="Y3137" t="s">
        <v>33702</v>
      </c>
    </row>
    <row r="3138" spans="1:25" x14ac:dyDescent="0.3">
      <c r="A3138">
        <v>156850</v>
      </c>
      <c r="B3138" t="s">
        <v>33703</v>
      </c>
      <c r="C3138">
        <f>-749.810976649501 -101.238111703153 -95.2583122243281</f>
        <v>-946.30740057698199</v>
      </c>
      <c r="D3138">
        <f>-777.642516892538 -119.970729517919 -206.121847861259</f>
        <v>-1103.735094271716</v>
      </c>
      <c r="E3138">
        <f>-789.269659254827 -128.139205820115 -303.716574660198</f>
        <v>-1221.1254397351399</v>
      </c>
      <c r="F3138">
        <f>-795.296972363851 -132.684966324913 -392.493037705644</f>
        <v>-1320.474976394408</v>
      </c>
      <c r="G3138">
        <f>-796.460127184296 -134.306109218102 -481.567432749432</f>
        <v>-1412.3336691518298</v>
      </c>
      <c r="H3138">
        <f>-792.940929698254 -133.563699158516 -606.098109496698</f>
        <v>-1532.6027383534679</v>
      </c>
      <c r="I3138">
        <f>-761.667857476699 -122.042300118289 -682.218287661296</f>
        <v>-1565.928445256284</v>
      </c>
      <c r="J3138">
        <f>-804.818214282572 -108.178781518104 -551.436973622342</f>
        <v>-1464.433969423018</v>
      </c>
      <c r="K3138" t="s">
        <v>33704</v>
      </c>
      <c r="L3138" t="s">
        <v>33705</v>
      </c>
      <c r="M3138" t="s">
        <v>33706</v>
      </c>
      <c r="N3138">
        <f>-784.16091210777 -159.602127777257 -551.159647491948</f>
        <v>-1494.9226873769749</v>
      </c>
      <c r="O3138">
        <f>-733.81725575116 -284.088107573101 -521.727552595498</f>
        <v>-1539.6329159197589</v>
      </c>
      <c r="P3138">
        <f>-691.777980420185 -309.712197510919 -231.611566773965</f>
        <v>-1233.101744705069</v>
      </c>
      <c r="Q3138">
        <f>-577.76141331054 -128.327573653502 -341.841789957124</f>
        <v>-1047.9307769211659</v>
      </c>
      <c r="R3138">
        <f>-796.40588110091 -13.7754313328765 -99.9182042997707</f>
        <v>-910.09951673355715</v>
      </c>
      <c r="S3138" t="s">
        <v>33707</v>
      </c>
      <c r="T3138" t="s">
        <v>33708</v>
      </c>
      <c r="U3138" t="s">
        <v>33709</v>
      </c>
      <c r="V3138">
        <f>-703.584421991457 -188.947246653074 -92.5436558141975</f>
        <v>-985.07532445872857</v>
      </c>
      <c r="W3138" t="s">
        <v>33710</v>
      </c>
      <c r="X3138" t="s">
        <v>33711</v>
      </c>
      <c r="Y3138" t="s">
        <v>33712</v>
      </c>
    </row>
    <row r="3139" spans="1:25" x14ac:dyDescent="0.3">
      <c r="A3139">
        <v>156900</v>
      </c>
      <c r="B3139" t="s">
        <v>33713</v>
      </c>
      <c r="C3139">
        <f>-750.113750693413 -101.289489267075 -95.2553975333965</f>
        <v>-946.6586374938845</v>
      </c>
      <c r="D3139">
        <f>-778.160275898133 -120.098910688577 -206.051632247831</f>
        <v>-1104.3108188345411</v>
      </c>
      <c r="E3139">
        <f>-790.100631444313 -128.362866912722 -303.600583537626</f>
        <v>-1222.0640818946608</v>
      </c>
      <c r="F3139">
        <f>-796.464050817436 -133.003994681861 -392.348678875846</f>
        <v>-1321.8167243751429</v>
      </c>
      <c r="G3139">
        <f>-798.016508913122 -134.727902729384 -481.415148111363</f>
        <v>-1414.159559753869</v>
      </c>
      <c r="H3139">
        <f>-795.097201809384 -134.134829339587 -605.962148251819</f>
        <v>-1535.1941794007901</v>
      </c>
      <c r="I3139">
        <f>-763.827418857761 -122.569026074849 -682.077064247187</f>
        <v>-1568.473509179797</v>
      </c>
      <c r="J3139">
        <f>-806.715119712856 -108.685885585647 -551.274983963434</f>
        <v>-1466.675989261937</v>
      </c>
      <c r="K3139" t="s">
        <v>33714</v>
      </c>
      <c r="L3139" t="s">
        <v>33715</v>
      </c>
      <c r="M3139" t="s">
        <v>33716</v>
      </c>
      <c r="N3139">
        <f>-786.048542186896 -160.105769156936 -551.035331722139</f>
        <v>-1497.1896430659708</v>
      </c>
      <c r="O3139">
        <f>-735.52562816954 -284.524569032348 -521.640097477612</f>
        <v>-1541.6902946795001</v>
      </c>
      <c r="P3139">
        <f>-692.614354964726 -309.229198509804 -231.572018055498</f>
        <v>-1233.415571530028</v>
      </c>
      <c r="Q3139">
        <f>-578.075481542309 -128.199715728304 -341.844444508207</f>
        <v>-1048.1196417788201</v>
      </c>
      <c r="R3139">
        <f>-796.463368449047 -13.8552165204828 -99.9672133491717</f>
        <v>-910.28579831870161</v>
      </c>
      <c r="S3139" t="s">
        <v>33717</v>
      </c>
      <c r="T3139" t="s">
        <v>33718</v>
      </c>
      <c r="U3139" t="s">
        <v>33719</v>
      </c>
      <c r="V3139">
        <f>-704.041750585362 -188.965611354419 -92.5616212925574</f>
        <v>-985.5689832323385</v>
      </c>
      <c r="W3139" t="s">
        <v>33720</v>
      </c>
      <c r="X3139" t="s">
        <v>33721</v>
      </c>
      <c r="Y3139" t="s">
        <v>33722</v>
      </c>
    </row>
    <row r="3140" spans="1:25" x14ac:dyDescent="0.3">
      <c r="A3140">
        <v>156950</v>
      </c>
      <c r="B3140" t="s">
        <v>33723</v>
      </c>
      <c r="C3140">
        <f>-750.260263004003 -101.247585548289 -95.2712776117432</f>
        <v>-946.77912616403523</v>
      </c>
      <c r="D3140">
        <f>-778.393941986433 -120.116373467052 -206.035343657367</f>
        <v>-1104.5456591108521</v>
      </c>
      <c r="E3140">
        <f>-790.473421288616 -128.433067173975 -303.562629172641</f>
        <v>-1222.4691176352321</v>
      </c>
      <c r="F3140">
        <f>-796.988489191169 -133.122139105773 -392.297168605193</f>
        <v>-1322.407796902135</v>
      </c>
      <c r="G3140">
        <f>-798.718446210518 -134.893503042576 -481.359575976515</f>
        <v>-1414.9715252296089</v>
      </c>
      <c r="H3140">
        <f>-796.073795077396 -134.365632950819 -605.912981286838</f>
        <v>-1536.3524093150529</v>
      </c>
      <c r="I3140">
        <f>-764.778558691782 -122.741375022129 -682.00834326821</f>
        <v>-1569.528276982121</v>
      </c>
      <c r="J3140">
        <f>-807.57864993949 -108.891077271385 -551.213776307465</f>
        <v>-1467.6835035183399</v>
      </c>
      <c r="K3140" t="s">
        <v>33724</v>
      </c>
      <c r="L3140" t="s">
        <v>33725</v>
      </c>
      <c r="M3140" t="s">
        <v>33726</v>
      </c>
      <c r="N3140">
        <f>-786.896460016075 -160.304752034442 -550.992537440806</f>
        <v>-1498.1937494913232</v>
      </c>
      <c r="O3140">
        <f>-736.224150454726 -284.679124837901 -521.652969198098</f>
        <v>-1542.556244490725</v>
      </c>
      <c r="P3140">
        <f>-692.808467509679 -309.103160132867 -231.6360005189</f>
        <v>-1233.547628161446</v>
      </c>
      <c r="Q3140">
        <f>-578.303287065831 -127.981918591967 -341.793051044758</f>
        <v>-1048.078256702556</v>
      </c>
      <c r="R3140">
        <f>-796.58214248964 -13.8788676619567 -99.9759256406207</f>
        <v>-910.43693579221747</v>
      </c>
      <c r="S3140" t="s">
        <v>33727</v>
      </c>
      <c r="T3140" t="s">
        <v>33728</v>
      </c>
      <c r="U3140" t="s">
        <v>33729</v>
      </c>
      <c r="V3140">
        <f>-704.232954473438 -188.803691458841 -92.5562049911522</f>
        <v>-985.59285092343123</v>
      </c>
      <c r="W3140" t="s">
        <v>33730</v>
      </c>
      <c r="X3140" t="s">
        <v>33731</v>
      </c>
      <c r="Y3140" t="s">
        <v>33732</v>
      </c>
    </row>
    <row r="3141" spans="1:25" x14ac:dyDescent="0.3">
      <c r="A3141">
        <v>157000</v>
      </c>
      <c r="B3141" t="s">
        <v>33733</v>
      </c>
      <c r="C3141">
        <f>-750.625105194952 -101.316706551675 -95.274496902206</f>
        <v>-947.21630864883298</v>
      </c>
      <c r="D3141">
        <f>-778.899740794712 -120.247832153372 -205.991979262988</f>
        <v>-1105.139552211072</v>
      </c>
      <c r="E3141">
        <f>-791.24096698235 -128.621784733853 -303.481718841493</f>
        <v>-1223.344470557696</v>
      </c>
      <c r="F3141">
        <f>-798.049879505634 -133.363068919981 -392.191276070578</f>
        <v>-1323.604224496193</v>
      </c>
      <c r="G3141">
        <f>-800.130789825468 -135.185504916609 -481.245182909229</f>
        <v>-1416.5614776513062</v>
      </c>
      <c r="H3141">
        <f>-798.035955986968 -134.726793166431 -605.809332852448</f>
        <v>-1538.5720820058471</v>
      </c>
      <c r="I3141">
        <f>-766.695132950555 -122.923547971088 -681.858363682617</f>
        <v>-1571.4770446042601</v>
      </c>
      <c r="J3141">
        <f>-809.328242778629 -109.233572076889 -551.074636880937</f>
        <v>-1469.636451736455</v>
      </c>
      <c r="K3141" t="s">
        <v>33734</v>
      </c>
      <c r="L3141" t="s">
        <v>33735</v>
      </c>
      <c r="M3141" t="s">
        <v>33736</v>
      </c>
      <c r="N3141">
        <f>-788.587368880381 -160.623750055738 -550.915035685995</f>
        <v>-1500.126154622114</v>
      </c>
      <c r="O3141">
        <f>-737.605535996748 -284.917279567661 -521.757233061608</f>
        <v>-1544.2800486260171</v>
      </c>
      <c r="P3141">
        <f>-693.154670111726 -309.08035325094 -231.875298027234</f>
        <v>-1234.1103213899</v>
      </c>
      <c r="Q3141">
        <f>-579.015776504058 -127.505290180672 -341.664573615798</f>
        <v>-1048.1856403005279</v>
      </c>
      <c r="R3141">
        <f>-796.8683481117 -14.1318242062671 -99.9754499579398</f>
        <v>-910.97562227590686</v>
      </c>
      <c r="S3141" t="s">
        <v>33737</v>
      </c>
      <c r="T3141" t="s">
        <v>33738</v>
      </c>
      <c r="U3141" t="s">
        <v>33739</v>
      </c>
      <c r="V3141">
        <f>-704.637731847976 -188.84231935712 -92.5833927548071</f>
        <v>-986.06344395990311</v>
      </c>
      <c r="W3141" t="s">
        <v>33740</v>
      </c>
      <c r="X3141" t="s">
        <v>33741</v>
      </c>
      <c r="Y3141" t="s">
        <v>33742</v>
      </c>
    </row>
    <row r="3142" spans="1:25" x14ac:dyDescent="0.3">
      <c r="A3142">
        <v>157050</v>
      </c>
      <c r="B3142" t="s">
        <v>33743</v>
      </c>
      <c r="C3142">
        <f>-750.824642180489 -101.503694705402 -95.2867851176561</f>
        <v>-947.61512200354719</v>
      </c>
      <c r="D3142">
        <f>-779.163416294939 -120.444775632094 -205.986266281065</f>
        <v>-1105.5944582080979</v>
      </c>
      <c r="E3142">
        <f>-791.616227914243 -128.833110350725 -303.460392840403</f>
        <v>-1223.9097311053711</v>
      </c>
      <c r="F3142">
        <f>-798.549193430691 -133.588924463999 -392.159762490581</f>
        <v>-1324.297880385272</v>
      </c>
      <c r="G3142">
        <f>-800.777478742361 -135.426772442072 -481.209731796193</f>
        <v>-1417.4139829806261</v>
      </c>
      <c r="H3142">
        <f>-798.913163858532 -134.989379207224 -605.777524519461</f>
        <v>-1539.6800675852171</v>
      </c>
      <c r="I3142">
        <f>-767.534136929138 -123.074326417247 -681.793354505049</f>
        <v>-1572.4018178514339</v>
      </c>
      <c r="J3142">
        <f>-810.120422002369 -109.493308582474 -551.026686781218</f>
        <v>-1470.640417366061</v>
      </c>
      <c r="K3142" t="s">
        <v>33744</v>
      </c>
      <c r="L3142" t="s">
        <v>33745</v>
      </c>
      <c r="M3142" t="s">
        <v>33746</v>
      </c>
      <c r="N3142">
        <f>-789.346760735139 -160.870415339431 -550.89616329754</f>
        <v>-1501.1133393721102</v>
      </c>
      <c r="O3142">
        <f>-738.204044774587 -285.11203567496 -521.815870254195</f>
        <v>-1545.1319507037419</v>
      </c>
      <c r="P3142">
        <f>-693.267656942544 -309.234539427227 -232.005528490807</f>
        <v>-1234.507724860578</v>
      </c>
      <c r="Q3142">
        <f>-579.387614211654 -127.41453859524 -341.658194652562</f>
        <v>-1048.460347459456</v>
      </c>
      <c r="R3142">
        <f>-797.045471376766 -14.2980437878641 -99.9854240268512</f>
        <v>-911.32893919148137</v>
      </c>
      <c r="S3142" t="s">
        <v>33747</v>
      </c>
      <c r="T3142" t="s">
        <v>33748</v>
      </c>
      <c r="U3142" t="s">
        <v>33749</v>
      </c>
      <c r="V3142">
        <f>-704.892231758318 -189.035393599596 -92.6113892131548</f>
        <v>-986.53901457106872</v>
      </c>
      <c r="W3142" t="s">
        <v>33750</v>
      </c>
      <c r="X3142" t="s">
        <v>33751</v>
      </c>
      <c r="Y3142" t="s">
        <v>33752</v>
      </c>
    </row>
    <row r="3143" spans="1:25" x14ac:dyDescent="0.3">
      <c r="A3143">
        <v>157100</v>
      </c>
      <c r="B3143" t="s">
        <v>33753</v>
      </c>
      <c r="C3143">
        <f>-751.300120771447 -101.911953176429 -95.305838889298</f>
        <v>-948.51791283717398</v>
      </c>
      <c r="D3143">
        <f>-779.685204757954 -120.879059582333 -205.989076788868</f>
        <v>-1106.5533411291549</v>
      </c>
      <c r="E3143">
        <f>-792.32132424044 -129.279540680726 -303.438540966661</f>
        <v>-1225.0394058878269</v>
      </c>
      <c r="F3143">
        <f>-799.477553641246 -134.042825654212 -392.119663625612</f>
        <v>-1325.6400429210701</v>
      </c>
      <c r="G3143">
        <f>-801.986498976828 -135.883800409653 -481.162071084592</f>
        <v>-1419.0323704710729</v>
      </c>
      <c r="H3143">
        <f>-800.573843439073 -135.445830249304 -605.735844040762</f>
        <v>-1541.755517729139</v>
      </c>
      <c r="I3143">
        <f>-769.088661227843 -123.29789464482 -681.671021024452</f>
        <v>-1574.0575768971148</v>
      </c>
      <c r="J3143">
        <f>-811.607299133203 -109.960055152195 -550.944887938728</f>
        <v>-1472.5122422241261</v>
      </c>
      <c r="K3143" t="s">
        <v>33754</v>
      </c>
      <c r="L3143" t="s">
        <v>33755</v>
      </c>
      <c r="M3143" t="s">
        <v>33756</v>
      </c>
      <c r="N3143">
        <f>-790.783663774483 -161.317072440187 -550.889298891564</f>
        <v>-1502.9900351062338</v>
      </c>
      <c r="O3143">
        <f>-739.325864094969 -285.481694514017 -522.013353228167</f>
        <v>-1546.8209118371531</v>
      </c>
      <c r="P3143">
        <f>-693.425138312892 -309.602453374628 -232.354044333018</f>
        <v>-1235.3816360205381</v>
      </c>
      <c r="Q3143">
        <f>-580.362509065101 -127.093368785618 -341.707355648154</f>
        <v>-1049.1632334988731</v>
      </c>
      <c r="R3143">
        <f>-797.495758858769 -14.7340229752797 -99.9880646768146</f>
        <v>-912.2178465108633</v>
      </c>
      <c r="S3143" t="s">
        <v>33757</v>
      </c>
      <c r="T3143" t="s">
        <v>33758</v>
      </c>
      <c r="U3143" t="s">
        <v>33759</v>
      </c>
      <c r="V3143">
        <f>-705.409659629126 -189.338497511057 -92.6470001444374</f>
        <v>-987.39515728462038</v>
      </c>
      <c r="W3143" t="s">
        <v>33760</v>
      </c>
      <c r="X3143" t="s">
        <v>33761</v>
      </c>
      <c r="Y3143" t="s">
        <v>33762</v>
      </c>
    </row>
    <row r="3144" spans="1:25" x14ac:dyDescent="0.3">
      <c r="A3144">
        <v>157150</v>
      </c>
      <c r="B3144" t="s">
        <v>33763</v>
      </c>
      <c r="C3144">
        <f>-751.490930855267 -102.022743555487 -95.3047751929995</f>
        <v>-948.81844960375349</v>
      </c>
      <c r="D3144">
        <f>-779.904279952078 -121.002641628917 -205.978527029048</f>
        <v>-1106.8854486100431</v>
      </c>
      <c r="E3144">
        <f>-792.640219723534 -129.390156217095 -303.416144917293</f>
        <v>-1225.446520857922</v>
      </c>
      <c r="F3144">
        <f>-799.91709881807 -134.131558315312 -392.088698739726</f>
        <v>-1326.1373558731079</v>
      </c>
      <c r="G3144">
        <f>-802.577129203797 -135.93982254003 -481.127358535649</f>
        <v>-1419.644310279476</v>
      </c>
      <c r="H3144">
        <f>-801.407151761356 -135.444259766021 -605.703465629513</f>
        <v>-1542.5548771568899</v>
      </c>
      <c r="I3144">
        <f>-769.858331510581 -123.152825456222 -681.589021339198</f>
        <v>-1574.600178306001</v>
      </c>
      <c r="J3144">
        <f>-812.352764514929 -109.991536445448 -550.879461755876</f>
        <v>-1473.2237627162531</v>
      </c>
      <c r="K3144" t="s">
        <v>33764</v>
      </c>
      <c r="L3144" t="s">
        <v>33765</v>
      </c>
      <c r="M3144" t="s">
        <v>33766</v>
      </c>
      <c r="N3144">
        <f>-791.491265681538 -161.33315215274 -550.887761948877</f>
        <v>-1503.7121797831551</v>
      </c>
      <c r="O3144">
        <f>-739.873747777044 -285.471381957787 -522.165392007492</f>
        <v>-1547.5105217423229</v>
      </c>
      <c r="P3144">
        <f>-693.61049863866 -309.571604323487 -232.562137505225</f>
        <v>-1235.744240467372</v>
      </c>
      <c r="Q3144">
        <f>-580.907258777176 -126.78856490652 -341.828816960043</f>
        <v>-1049.5246406437391</v>
      </c>
      <c r="R3144">
        <f>-797.656469214772 -14.9477736970864 -99.9769865693029</f>
        <v>-912.58122948116124</v>
      </c>
      <c r="S3144" t="s">
        <v>33767</v>
      </c>
      <c r="T3144" t="s">
        <v>33768</v>
      </c>
      <c r="U3144" t="s">
        <v>33769</v>
      </c>
      <c r="V3144">
        <f>-705.593399786058 -189.3615595966 -92.6659192170696</f>
        <v>-987.62087859972758</v>
      </c>
      <c r="W3144" t="s">
        <v>33770</v>
      </c>
      <c r="X3144" t="s">
        <v>33771</v>
      </c>
      <c r="Y3144" t="s">
        <v>33772</v>
      </c>
    </row>
    <row r="3145" spans="1:25" x14ac:dyDescent="0.3">
      <c r="A3145">
        <v>157200</v>
      </c>
      <c r="B3145" t="s">
        <v>33773</v>
      </c>
      <c r="C3145">
        <f>-751.938314283954 -102.34673814103 -95.3007209786786</f>
        <v>-949.58577340366253</v>
      </c>
      <c r="D3145">
        <f>-780.42637657138 -121.322094077132 -205.956028392955</f>
        <v>-1107.704499041467</v>
      </c>
      <c r="E3145">
        <f>-793.341141639476 -129.664806362809 -303.37395184712</f>
        <v>-1226.3798998494049</v>
      </c>
      <c r="F3145">
        <f>-800.826442190479 -134.347430621214 -392.032105122765</f>
        <v>-1327.2059779344581</v>
      </c>
      <c r="G3145">
        <f>-803.742186654446 -136.076823282656 -481.064610331814</f>
        <v>-1420.883620268916</v>
      </c>
      <c r="H3145">
        <f>-802.979086878084 -135.448736144445 -605.643175250899</f>
        <v>-1544.0709982734279</v>
      </c>
      <c r="I3145">
        <f>-771.28791261549 -122.839256847264 -681.41721110416</f>
        <v>-1575.5443805669138</v>
      </c>
      <c r="J3145">
        <f>-813.777592383281 -110.067359896674 -550.756958647396</f>
        <v>-1474.6019109273511</v>
      </c>
      <c r="K3145" t="s">
        <v>33774</v>
      </c>
      <c r="L3145" t="s">
        <v>33775</v>
      </c>
      <c r="M3145" t="s">
        <v>33776</v>
      </c>
      <c r="N3145">
        <f>-792.85230505066 -161.382882414535 -550.887617934512</f>
        <v>-1505.122805399707</v>
      </c>
      <c r="O3145">
        <f>-740.985989648358 -285.477026911602 -522.450536327669</f>
        <v>-1548.9135528876291</v>
      </c>
      <c r="P3145">
        <f>-693.944304837995 -309.799144826089 -232.991246496727</f>
        <v>-1236.7346961608109</v>
      </c>
      <c r="Q3145">
        <f>-581.997128124884 -126.426375746876 -342.046992906395</f>
        <v>-1050.4704967781549</v>
      </c>
      <c r="R3145">
        <f>-798.035702872836 -15.2807743672147 -99.9453427063359</f>
        <v>-913.26181994638659</v>
      </c>
      <c r="S3145" t="s">
        <v>33777</v>
      </c>
      <c r="T3145" t="s">
        <v>33778</v>
      </c>
      <c r="U3145" t="s">
        <v>33779</v>
      </c>
      <c r="V3145">
        <f>-706.168463990059 -189.679283869658 -92.6942720303117</f>
        <v>-988.54201989002866</v>
      </c>
      <c r="W3145" t="s">
        <v>33780</v>
      </c>
      <c r="X3145" t="s">
        <v>33781</v>
      </c>
      <c r="Y3145" t="s">
        <v>33782</v>
      </c>
    </row>
    <row r="3146" spans="1:25" x14ac:dyDescent="0.3">
      <c r="A3146">
        <v>157250</v>
      </c>
      <c r="B3146" t="s">
        <v>33783</v>
      </c>
      <c r="C3146">
        <f>-752.212192348562 -102.441415926174 -95.3033181736749</f>
        <v>-949.95692644841097</v>
      </c>
      <c r="D3146">
        <f>-780.731470640848 -121.410457885161 -205.951640994092</f>
        <v>-1108.093569520101</v>
      </c>
      <c r="E3146">
        <f>-793.727909149844 -129.735596260863 -303.360175267597</f>
        <v>-1226.8236806783038</v>
      </c>
      <c r="F3146">
        <f>-801.309616261987 -134.396832012252 -392.011450021378</f>
        <v>-1327.717898295617</v>
      </c>
      <c r="G3146">
        <f>-804.344414233909 -136.098508530535 -481.040227455581</f>
        <v>-1421.483150220025</v>
      </c>
      <c r="H3146">
        <f>-803.771268883224 -135.424399623429 -605.61963180927</f>
        <v>-1544.815300315923</v>
      </c>
      <c r="I3146">
        <f>-772.004001428772 -122.665732139916 -681.336800901045</f>
        <v>-1576.006534469733</v>
      </c>
      <c r="J3146">
        <f>-814.49773234649 -110.068151238463 -550.707828345982</f>
        <v>-1475.273711930935</v>
      </c>
      <c r="K3146" t="s">
        <v>33784</v>
      </c>
      <c r="L3146" t="s">
        <v>33785</v>
      </c>
      <c r="M3146" t="s">
        <v>33786</v>
      </c>
      <c r="N3146">
        <f>-793.549140664054 -161.373958766496 -550.889144659738</f>
        <v>-1505.812244090288</v>
      </c>
      <c r="O3146">
        <f>-741.591153359254 -285.455775236385 -522.569317909794</f>
        <v>-1549.6162465054331</v>
      </c>
      <c r="P3146">
        <f>-694.24307634889 -309.886574432341 -233.169030575334</f>
        <v>-1237.2986813565651</v>
      </c>
      <c r="Q3146">
        <f>-582.575493632886 -126.270789182266 -342.102301933255</f>
        <v>-1050.948584748407</v>
      </c>
      <c r="R3146">
        <f>-798.263345456022 -15.4122948728773 -99.9289849049787</f>
        <v>-913.60462523387798</v>
      </c>
      <c r="S3146" t="s">
        <v>33787</v>
      </c>
      <c r="T3146" t="s">
        <v>33788</v>
      </c>
      <c r="U3146" t="s">
        <v>33789</v>
      </c>
      <c r="V3146">
        <f>-706.467090473903 -189.742691249485 -92.7077641380927</f>
        <v>-988.91754586148068</v>
      </c>
      <c r="W3146" t="s">
        <v>33790</v>
      </c>
      <c r="X3146" t="s">
        <v>33791</v>
      </c>
      <c r="Y3146" t="s">
        <v>33792</v>
      </c>
    </row>
    <row r="3147" spans="1:25" x14ac:dyDescent="0.3">
      <c r="A3147">
        <v>157300</v>
      </c>
      <c r="B3147" t="s">
        <v>33793</v>
      </c>
      <c r="C3147">
        <f>-752.791774572686 -102.620033792328 -95.2667930143904</f>
        <v>-950.67860137940431</v>
      </c>
      <c r="D3147">
        <f>-781.377770615747 -121.571050198245 -205.900945388233</f>
        <v>-1108.8497662022248</v>
      </c>
      <c r="E3147">
        <f>-794.520239994388 -129.869400719985 -303.292201910025</f>
        <v>-1227.6818426243981</v>
      </c>
      <c r="F3147">
        <f>-802.270297498231 -134.500609352592 -391.930507517775</f>
        <v>-1328.7014143685979</v>
      </c>
      <c r="G3147">
        <f>-805.509944795262 -136.165633704018 -480.952777406615</f>
        <v>-1422.628355905895</v>
      </c>
      <c r="H3147">
        <f>-805.261362898638 -135.432243278592 -605.532917662012</f>
        <v>-1546.226523839242</v>
      </c>
      <c r="I3147">
        <f>-773.314234298268 -122.407036741018 -681.128845623399</f>
        <v>-1576.8501166626852</v>
      </c>
      <c r="J3147">
        <f>-815.856216048368 -110.106763068351 -550.581343196603</f>
        <v>-1476.544322313322</v>
      </c>
      <c r="K3147" t="s">
        <v>33794</v>
      </c>
      <c r="L3147" t="s">
        <v>33795</v>
      </c>
      <c r="M3147" t="s">
        <v>33796</v>
      </c>
      <c r="N3147">
        <f>-794.885296476771 -161.403116325571 -550.841499900032</f>
        <v>-1507.129912702374</v>
      </c>
      <c r="O3147">
        <f>-742.852050689505 -285.493621572262 -522.702719610225</f>
        <v>-1551.048391871992</v>
      </c>
      <c r="P3147">
        <f>-695.020405196918 -310.04291328068 -233.39206683115</f>
        <v>-1238.455385308748</v>
      </c>
      <c r="Q3147">
        <f>-583.726949998712 -126.113930433238 -342.179891482422</f>
        <v>-1052.0207719143721</v>
      </c>
      <c r="R3147">
        <f>-798.718887761286 -15.6537956799243 -99.8751600959881</f>
        <v>-914.24784353719849</v>
      </c>
      <c r="S3147" t="s">
        <v>33797</v>
      </c>
      <c r="T3147" t="s">
        <v>33798</v>
      </c>
      <c r="U3147" t="s">
        <v>33799</v>
      </c>
      <c r="V3147">
        <f>-707.154170126924 -189.875903866115 -92.7108658754576</f>
        <v>-989.74093986849653</v>
      </c>
      <c r="W3147" t="s">
        <v>33800</v>
      </c>
      <c r="X3147" t="s">
        <v>33801</v>
      </c>
      <c r="Y3147" t="s">
        <v>33802</v>
      </c>
    </row>
    <row r="3148" spans="1:25" x14ac:dyDescent="0.3">
      <c r="A3148">
        <v>157350</v>
      </c>
      <c r="B3148" t="s">
        <v>33803</v>
      </c>
      <c r="C3148">
        <f>-753.03234501735 -102.76622234459 -95.2361854746243</f>
        <v>-951.03475283656439</v>
      </c>
      <c r="D3148">
        <f>-781.66603182624 -121.706865210611 -205.859822159525</f>
        <v>-1109.2327191963759</v>
      </c>
      <c r="E3148">
        <f>-794.871635314256 -129.991884958726 -303.243699900452</f>
        <v>-1228.1072201734339</v>
      </c>
      <c r="F3148">
        <f>-802.687758378675 -134.608909391833 -391.876866571192</f>
        <v>-1329.1735343416999</v>
      </c>
      <c r="G3148">
        <f>-806.002497706672 -136.257449908956 -480.896670602743</f>
        <v>-1423.156618218371</v>
      </c>
      <c r="H3148">
        <f>-805.868252300016 -135.498358002732 -605.47686416001</f>
        <v>-1546.843474462758</v>
      </c>
      <c r="I3148">
        <f>-773.816954105003 -122.366418232975 -681.010249666596</f>
        <v>-1577.1936220045741</v>
      </c>
      <c r="J3148">
        <f>-816.414328543345 -110.184895501 -550.510450607723</f>
        <v>-1477.109674652068</v>
      </c>
      <c r="K3148" t="s">
        <v>33804</v>
      </c>
      <c r="L3148" t="s">
        <v>33805</v>
      </c>
      <c r="M3148" t="s">
        <v>33806</v>
      </c>
      <c r="N3148">
        <f>-795.440313172349 -161.479852785365 -550.800317405302</f>
        <v>-1507.720483363016</v>
      </c>
      <c r="O3148">
        <f>-743.384491269702 -285.577031041607 -522.725819461861</f>
        <v>-1551.6873417731699</v>
      </c>
      <c r="P3148">
        <f>-695.425893113748 -310.144826617356 -233.437722539535</f>
        <v>-1239.0084422706391</v>
      </c>
      <c r="Q3148">
        <f>-584.196124470399 -126.136529745978 -342.156347881404</f>
        <v>-1052.4890020977809</v>
      </c>
      <c r="R3148">
        <f>-798.86874515285 -15.8037940864667 -99.8316235564417</f>
        <v>-914.50416279575848</v>
      </c>
      <c r="S3148" t="s">
        <v>33807</v>
      </c>
      <c r="T3148" t="s">
        <v>33808</v>
      </c>
      <c r="U3148" t="s">
        <v>33809</v>
      </c>
      <c r="V3148">
        <f>-707.47641235434 -190.036270544096 -92.7024720828214</f>
        <v>-990.21515498125734</v>
      </c>
      <c r="W3148" t="s">
        <v>33810</v>
      </c>
      <c r="X3148" t="s">
        <v>33811</v>
      </c>
      <c r="Y3148" t="s">
        <v>33812</v>
      </c>
    </row>
    <row r="3149" spans="1:25" x14ac:dyDescent="0.3">
      <c r="A3149">
        <v>157400</v>
      </c>
      <c r="B3149" t="s">
        <v>33813</v>
      </c>
      <c r="C3149">
        <f>-753.403764537145 -102.919317333246 -95.1983935192063</f>
        <v>-951.5214753895973</v>
      </c>
      <c r="D3149">
        <f>-782.107381831917 -121.842399796035 -205.806880873154</f>
        <v>-1109.7566625011059</v>
      </c>
      <c r="E3149">
        <f>-795.389660602241 -130.101969949393 -303.182591612436</f>
        <v>-1228.67422216407</v>
      </c>
      <c r="F3149">
        <f>-803.282015607599 -134.690755530089 -391.810485031568</f>
        <v>-1329.783256169256</v>
      </c>
      <c r="G3149">
        <f>-806.680057056999 -136.305497173932 -480.827714660911</f>
        <v>-1423.813268891842</v>
      </c>
      <c r="H3149">
        <f>-806.66961350622 -135.492858333049 -605.407699639888</f>
        <v>-1547.5701714791571</v>
      </c>
      <c r="I3149">
        <f>-774.408103926835 -122.184361889745 -680.820540577547</f>
        <v>-1577.413006394127</v>
      </c>
      <c r="J3149">
        <f>-817.163201060242 -110.203895430711 -550.41979638769</f>
        <v>-1477.7868928786429</v>
      </c>
      <c r="K3149" t="s">
        <v>33814</v>
      </c>
      <c r="L3149" t="s">
        <v>33815</v>
      </c>
      <c r="M3149" t="s">
        <v>33816</v>
      </c>
      <c r="N3149">
        <f>-796.185132643969 -161.497012585309 -550.75261313598</f>
        <v>-1508.4347583652579</v>
      </c>
      <c r="O3149">
        <f>-744.127615711557 -285.613583022588 -522.775690304618</f>
        <v>-1552.5168890387631</v>
      </c>
      <c r="P3149">
        <f>-695.922911596114 -310.292447330634 -233.538077624845</f>
        <v>-1239.753436551593</v>
      </c>
      <c r="Q3149">
        <f>-584.890676137363 -126.160090551145 -342.248675084234</f>
        <v>-1053.2994417727421</v>
      </c>
      <c r="R3149">
        <f>-799.132990146087 -15.9691794816092 -99.7610497951392</f>
        <v>-914.86321942283541</v>
      </c>
      <c r="S3149" t="s">
        <v>33817</v>
      </c>
      <c r="T3149" t="s">
        <v>33818</v>
      </c>
      <c r="U3149" t="s">
        <v>33819</v>
      </c>
      <c r="V3149">
        <f>-707.949397165884 -190.165318744668 -92.7115070417246</f>
        <v>-990.82622295227657</v>
      </c>
      <c r="W3149" t="s">
        <v>33820</v>
      </c>
      <c r="X3149" t="s">
        <v>33821</v>
      </c>
      <c r="Y3149" t="s">
        <v>33822</v>
      </c>
    </row>
    <row r="3150" spans="1:25" x14ac:dyDescent="0.3">
      <c r="A3150">
        <v>157450</v>
      </c>
      <c r="B3150" t="s">
        <v>33823</v>
      </c>
      <c r="C3150">
        <f>-753.586233008222 -102.922332976833 -95.1864458477385</f>
        <v>-951.69501183279351</v>
      </c>
      <c r="D3150">
        <f>-782.31106374804 -121.838135723428 -205.79070423049</f>
        <v>-1109.939903701958</v>
      </c>
      <c r="E3150">
        <f>-795.601196618383 -130.079802808934 -303.16694412492</f>
        <v>-1228.847943552237</v>
      </c>
      <c r="F3150">
        <f>-803.496405753646 -134.647789451039 -391.79548992399</f>
        <v>-1329.9396851286749</v>
      </c>
      <c r="G3150">
        <f>-806.89299141458 -136.236805852894 -480.813398432126</f>
        <v>-1423.9431956996</v>
      </c>
      <c r="H3150">
        <f>-806.875934319802 -135.383245706984 -605.393025129034</f>
        <v>-1547.65220515582</v>
      </c>
      <c r="I3150">
        <f>-774.494284407112 -121.996397044193 -680.740623021602</f>
        <v>-1577.2313044729071</v>
      </c>
      <c r="J3150">
        <f>-817.373651330155 -110.112882264719 -550.397437022304</f>
        <v>-1477.883970617178</v>
      </c>
      <c r="K3150" t="s">
        <v>33824</v>
      </c>
      <c r="L3150" t="s">
        <v>33825</v>
      </c>
      <c r="M3150" t="s">
        <v>33826</v>
      </c>
      <c r="N3150">
        <f>-796.39322815508 -161.404847315363 -550.745881184291</f>
        <v>-1508.5439566547338</v>
      </c>
      <c r="O3150">
        <f>-744.344650896869 -285.53355204003 -522.801705210202</f>
        <v>-1552.6799081471011</v>
      </c>
      <c r="P3150">
        <f>-696.052449601176 -310.292258404417 -233.585482850423</f>
        <v>-1239.930190856016</v>
      </c>
      <c r="Q3150">
        <f>-585.134693941293 -126.124885717784 -342.353414591048</f>
        <v>-1053.612994250125</v>
      </c>
      <c r="R3150">
        <f>-799.288601414611 -15.9700205240122 -99.7349432040247</f>
        <v>-914.99356514264787</v>
      </c>
      <c r="S3150" t="s">
        <v>33827</v>
      </c>
      <c r="T3150" t="s">
        <v>33828</v>
      </c>
      <c r="U3150" t="s">
        <v>33829</v>
      </c>
      <c r="V3150">
        <f>-708.181956472813 -190.13922591335 -92.7107988808458</f>
        <v>-991.03198126700875</v>
      </c>
      <c r="W3150" t="s">
        <v>33830</v>
      </c>
      <c r="X3150" t="s">
        <v>33831</v>
      </c>
      <c r="Y3150" t="s">
        <v>33832</v>
      </c>
    </row>
    <row r="3151" spans="1:25" x14ac:dyDescent="0.3">
      <c r="A3151">
        <v>157500</v>
      </c>
      <c r="B3151" t="s">
        <v>33833</v>
      </c>
      <c r="C3151">
        <f>-753.92941468438 -103.016610534812 -95.1832101006909</f>
        <v>-952.12923531988292</v>
      </c>
      <c r="D3151">
        <f>-782.70109073013 -121.918104744073 -205.777689304733</f>
        <v>-1110.3968847789361</v>
      </c>
      <c r="E3151">
        <f>-795.979667242782 -130.119136517044 -303.158868258227</f>
        <v>-1229.2576720180532</v>
      </c>
      <c r="F3151">
        <f>-803.842730035865 -134.639248834405 -391.7927605771</f>
        <v>-1330.2747394473699</v>
      </c>
      <c r="G3151">
        <f>-807.185132374615 -136.169448082534 -480.813753879077</f>
        <v>-1424.1683343362261</v>
      </c>
      <c r="H3151">
        <f>-807.069289262411 -135.222510882742 -605.392636342919</f>
        <v>-1547.6844364880719</v>
      </c>
      <c r="I3151">
        <f>-774.420061716185 -121.689870206541 -680.598461819042</f>
        <v>-1576.7083937417678</v>
      </c>
      <c r="J3151">
        <f>-817.61642238609 -109.995723824581 -550.386560305938</f>
        <v>-1477.998706516609</v>
      </c>
      <c r="K3151" t="s">
        <v>33834</v>
      </c>
      <c r="L3151" t="s">
        <v>33835</v>
      </c>
      <c r="M3151" t="s">
        <v>33836</v>
      </c>
      <c r="N3151">
        <f>-796.62413026344 -161.282655315099 -550.756801600351</f>
        <v>-1508.6635871788899</v>
      </c>
      <c r="O3151">
        <f>-744.570895497082 -285.421906268576 -522.871788776512</f>
        <v>-1552.8645905421699</v>
      </c>
      <c r="P3151">
        <f>-696.211182918935 -310.222425532905 -233.670466791804</f>
        <v>-1240.104075243644</v>
      </c>
      <c r="Q3151">
        <f>-585.333497214993 -126.103618220278 -342.561537213405</f>
        <v>-1053.9986526486759</v>
      </c>
      <c r="R3151">
        <f>-799.529948746328 -16.0450350281317 -99.6962715407847</f>
        <v>-915.27125531524439</v>
      </c>
      <c r="S3151" t="s">
        <v>33837</v>
      </c>
      <c r="T3151" t="s">
        <v>33838</v>
      </c>
      <c r="U3151" t="s">
        <v>33839</v>
      </c>
      <c r="V3151">
        <f>-708.619637593078 -190.276270479106 -92.7153740771805</f>
        <v>-991.61128214936446</v>
      </c>
      <c r="W3151" t="s">
        <v>33840</v>
      </c>
      <c r="X3151" t="s">
        <v>33841</v>
      </c>
      <c r="Y3151" t="s">
        <v>33842</v>
      </c>
    </row>
    <row r="3152" spans="1:25" x14ac:dyDescent="0.3">
      <c r="A3152">
        <v>157550</v>
      </c>
      <c r="B3152" t="s">
        <v>33843</v>
      </c>
      <c r="C3152">
        <f>-753.991008899185 -103.039720943107 -95.1619221338739</f>
        <v>-952.19265197616585</v>
      </c>
      <c r="D3152">
        <f>-782.764051770372 -121.930237186758 -205.757965566764</f>
        <v>-1110.452254523894</v>
      </c>
      <c r="E3152">
        <f>-796.030844109587 -130.109895265368 -303.142521690728</f>
        <v>-1229.2832610656828</v>
      </c>
      <c r="F3152">
        <f>-803.877473350549 -134.606262063804 -391.77915627425</f>
        <v>-1330.2628916886031</v>
      </c>
      <c r="G3152">
        <f>-807.197630183394 -136.108694420063 -480.801360378155</f>
        <v>-1424.107684981612</v>
      </c>
      <c r="H3152">
        <f>-807.044532741274 -135.118842965886 -605.379904246822</f>
        <v>-1547.5432799539819</v>
      </c>
      <c r="I3152">
        <f>-774.243265205826 -121.510768920201 -680.506013068169</f>
        <v>-1576.260047194196</v>
      </c>
      <c r="J3152">
        <f>-817.613879350558 -109.913363318881 -550.368255514081</f>
        <v>-1477.89549818352</v>
      </c>
      <c r="K3152" t="s">
        <v>33844</v>
      </c>
      <c r="L3152" t="s">
        <v>33845</v>
      </c>
      <c r="M3152" t="s">
        <v>33846</v>
      </c>
      <c r="N3152">
        <f>-796.609973882304 -161.19542331871 -550.749895654569</f>
        <v>-1508.555292855583</v>
      </c>
      <c r="O3152">
        <f>-744.540930264972 -285.33158512625 -522.888236339615</f>
        <v>-1552.760751730837</v>
      </c>
      <c r="P3152">
        <f>-696.067708863465 -310.156851458252 -233.707870590981</f>
        <v>-1239.932430912698</v>
      </c>
      <c r="Q3152">
        <f>-585.227388407837 -126.019434668998 -342.605420546094</f>
        <v>-1053.8522436229291</v>
      </c>
      <c r="R3152">
        <f>-799.511420428954 -16.1509490859603 -99.6640935333829</f>
        <v>-915.32646304829723</v>
      </c>
      <c r="S3152" t="s">
        <v>33847</v>
      </c>
      <c r="T3152" t="s">
        <v>33848</v>
      </c>
      <c r="U3152" t="s">
        <v>33849</v>
      </c>
      <c r="V3152">
        <f>-708.737144769101 -190.2022941809 -92.721321238037</f>
        <v>-991.66076018803801</v>
      </c>
      <c r="W3152" t="s">
        <v>33850</v>
      </c>
      <c r="X3152" t="s">
        <v>33851</v>
      </c>
      <c r="Y3152" t="s">
        <v>33852</v>
      </c>
    </row>
    <row r="3153" spans="1:25" x14ac:dyDescent="0.3">
      <c r="A3153">
        <v>157600</v>
      </c>
      <c r="B3153" t="s">
        <v>33853</v>
      </c>
      <c r="C3153">
        <f>-754.102445072133 -102.961684473077 -95.1304876608511</f>
        <v>-952.19461720606114</v>
      </c>
      <c r="D3153">
        <f>-782.894749665396 -121.848675637551 -205.72203429929</f>
        <v>-1110.4654596022369</v>
      </c>
      <c r="E3153">
        <f>-796.131833018403 -130.000044544332 -303.113084195213</f>
        <v>-1229.244961757948</v>
      </c>
      <c r="F3153">
        <f>-803.93211355902 -134.461639058363 -391.755608257902</f>
        <v>-1330.1493608752849</v>
      </c>
      <c r="G3153">
        <f>-807.185979619137 -135.920137079222 -480.780956897546</f>
        <v>-1423.8870735959051</v>
      </c>
      <c r="H3153">
        <f>-806.919337692061 -134.859901808687 -605.358833096079</f>
        <v>-1547.138072596827</v>
      </c>
      <c r="I3153">
        <f>-773.774447821535 -121.08324232232 -680.303008817843</f>
        <v>-1575.160698961698</v>
      </c>
      <c r="J3153">
        <f>-817.558311495237 -109.693494531657 -550.342575762171</f>
        <v>-1477.594381789065</v>
      </c>
      <c r="K3153" t="s">
        <v>33854</v>
      </c>
      <c r="L3153" t="s">
        <v>33855</v>
      </c>
      <c r="M3153" t="s">
        <v>33856</v>
      </c>
      <c r="N3153">
        <f>-796.515027713655 -160.959433943999 -550.733927193014</f>
        <v>-1508.2083888506679</v>
      </c>
      <c r="O3153">
        <f>-744.382386519932 -285.086352318405 -522.921511171545</f>
        <v>-1552.390250009882</v>
      </c>
      <c r="P3153">
        <f>-695.77348270693 -309.916744696795 -233.76433290084</f>
        <v>-1239.4545603045649</v>
      </c>
      <c r="Q3153">
        <f>-585.006896379726 -125.735036043967 -342.662342563375</f>
        <v>-1053.404274987068</v>
      </c>
      <c r="R3153">
        <f>-799.617139010261 -16.116928724937 -99.6084477154625</f>
        <v>-915.34251545066047</v>
      </c>
      <c r="S3153" t="s">
        <v>33857</v>
      </c>
      <c r="T3153" t="s">
        <v>33858</v>
      </c>
      <c r="U3153" t="s">
        <v>33859</v>
      </c>
      <c r="V3153">
        <f>-708.876073389956 -190.077349872786 -92.7148129192618</f>
        <v>-991.66823618200385</v>
      </c>
      <c r="W3153" t="s">
        <v>33860</v>
      </c>
      <c r="X3153" t="s">
        <v>33861</v>
      </c>
      <c r="Y3153" t="s">
        <v>33862</v>
      </c>
    </row>
    <row r="3154" spans="1:25" x14ac:dyDescent="0.3">
      <c r="A3154">
        <v>157650</v>
      </c>
      <c r="B3154" t="s">
        <v>33863</v>
      </c>
      <c r="C3154">
        <f>-754.093886346871 -102.924861695164 -95.1192231709998</f>
        <v>-952.1379712130348</v>
      </c>
      <c r="D3154">
        <f>-782.888031100395 -121.813510431291 -205.710054138899</f>
        <v>-1110.411595670585</v>
      </c>
      <c r="E3154">
        <f>-796.084799070304 -129.942728998063 -303.10830728279</f>
        <v>-1229.1358353511571</v>
      </c>
      <c r="F3154">
        <f>-803.83109442182 -134.37531780204 -391.756969068848</f>
        <v>-1329.9633812927082</v>
      </c>
      <c r="G3154">
        <f>-807.013294301917 -135.795848062078 -480.785626598195</f>
        <v>-1423.5947689621898</v>
      </c>
      <c r="H3154">
        <f>-806.628003456944 -134.673317047746 -605.362571678116</f>
        <v>-1546.663892182806</v>
      </c>
      <c r="I3154">
        <f>-773.29708989346 -120.78604073116 -680.203785626</f>
        <v>-1574.2869162506199</v>
      </c>
      <c r="J3154">
        <f>-817.333891939064 -109.540414579783 -550.344135702349</f>
        <v>-1477.218442221196</v>
      </c>
      <c r="K3154" t="s">
        <v>33864</v>
      </c>
      <c r="L3154" t="s">
        <v>33865</v>
      </c>
      <c r="M3154" t="s">
        <v>33866</v>
      </c>
      <c r="N3154">
        <f>-796.261231743741 -160.794209220073 -550.740719895702</f>
        <v>-1507.796160859516</v>
      </c>
      <c r="O3154">
        <f>-744.08709895212 -284.903038289797 -522.950477365776</f>
        <v>-1551.9406146076931</v>
      </c>
      <c r="P3154">
        <f>-695.406925239893 -309.7617473452 -233.807805010007</f>
        <v>-1238.9764775951001</v>
      </c>
      <c r="Q3154">
        <f>-584.795978461842 -125.458260705242 -342.657775537948</f>
        <v>-1052.9120147050319</v>
      </c>
      <c r="R3154">
        <f>-799.632387436197 -16.1037252565793 -99.5851449844156</f>
        <v>-915.32125767719185</v>
      </c>
      <c r="S3154" t="s">
        <v>33867</v>
      </c>
      <c r="T3154" t="s">
        <v>33868</v>
      </c>
      <c r="U3154" t="s">
        <v>33869</v>
      </c>
      <c r="V3154">
        <f>-708.830827329258 -190.050605960729 -92.725110763217</f>
        <v>-991.60654405320395</v>
      </c>
      <c r="W3154" t="s">
        <v>33870</v>
      </c>
      <c r="X3154" t="s">
        <v>33871</v>
      </c>
      <c r="Y3154" t="s">
        <v>33872</v>
      </c>
    </row>
    <row r="3155" spans="1:25" x14ac:dyDescent="0.3">
      <c r="A3155">
        <v>157700</v>
      </c>
      <c r="B3155" t="s">
        <v>33873</v>
      </c>
      <c r="C3155">
        <f>-754.052744180423 -102.859827425751 -95.1178498886349</f>
        <v>-952.03042149480882</v>
      </c>
      <c r="D3155">
        <f>-782.826477554946 -121.72983429172 -205.717180039457</f>
        <v>-1110.2734918861229</v>
      </c>
      <c r="E3155">
        <f>-795.963359647874 -129.82612256134 -303.126271420937</f>
        <v>-1228.9157536301509</v>
      </c>
      <c r="F3155">
        <f>-803.637884206437 -134.222695830077 -391.782963159197</f>
        <v>-1329.6435431957109</v>
      </c>
      <c r="G3155">
        <f>-806.731001395922 -135.600892852725 -480.815400362909</f>
        <v>-1423.1472946115559</v>
      </c>
      <c r="H3155">
        <f>-806.202920620585 -134.412783760326 -605.391116188486</f>
        <v>-1546.006820569397</v>
      </c>
      <c r="I3155">
        <f>-772.582912088782 -120.34698334682 -680.069627318108</f>
        <v>-1572.9995227537102</v>
      </c>
      <c r="J3155">
        <f>-816.995298820292 -109.318432799454 -550.372015811458</f>
        <v>-1476.6857474312042</v>
      </c>
      <c r="K3155" t="s">
        <v>33874</v>
      </c>
      <c r="L3155" t="s">
        <v>33875</v>
      </c>
      <c r="M3155" t="s">
        <v>33876</v>
      </c>
      <c r="N3155">
        <f>-795.875372242818 -160.552775499059 -550.771093017678</f>
        <v>-1507.1992407595549</v>
      </c>
      <c r="O3155">
        <f>-743.591175737591 -284.622553444535 -523.004954334047</f>
        <v>-1551.2186835161729</v>
      </c>
      <c r="P3155">
        <f>-694.708492532194 -309.550344354646 -233.902371170679</f>
        <v>-1238.1612080575189</v>
      </c>
      <c r="Q3155">
        <f>-584.388211097826 -125.001541621238 -342.63161301246</f>
        <v>-1052.0213657315239</v>
      </c>
      <c r="R3155">
        <f>-799.604132793514 -16.0792816864862 -99.5536789896868</f>
        <v>-915.23709346968701</v>
      </c>
      <c r="S3155" t="s">
        <v>33877</v>
      </c>
      <c r="T3155" t="s">
        <v>33878</v>
      </c>
      <c r="U3155" t="s">
        <v>33879</v>
      </c>
      <c r="V3155">
        <f>-708.817279239408 -189.899187088733 -92.7207890453793</f>
        <v>-991.43725537352032</v>
      </c>
      <c r="W3155" t="s">
        <v>33880</v>
      </c>
      <c r="X3155" t="s">
        <v>33881</v>
      </c>
      <c r="Y3155" t="s">
        <v>33882</v>
      </c>
    </row>
    <row r="3156" spans="1:25" x14ac:dyDescent="0.3">
      <c r="A3156">
        <v>157750</v>
      </c>
      <c r="B3156" t="s">
        <v>33883</v>
      </c>
      <c r="C3156">
        <f>-753.979076663689 -102.728607137067 -95.099924246348</f>
        <v>-951.80760804710405</v>
      </c>
      <c r="D3156">
        <f>-782.713675247776 -121.596796664334 -205.709707634791</f>
        <v>-1110.0201795469009</v>
      </c>
      <c r="E3156">
        <f>-795.807664887884 -129.683913535832 -303.12540892535</f>
        <v>-1228.616987349066</v>
      </c>
      <c r="F3156">
        <f>-803.439605688494 -134.069478375473 -391.786301008926</f>
        <v>-1329.2953850728932</v>
      </c>
      <c r="G3156">
        <f>-806.486574052484 -135.433437786483 -480.82057615739</f>
        <v>-1422.7405879963569</v>
      </c>
      <c r="H3156">
        <f>-805.890407131248 -134.222221247252 -605.395814113046</f>
        <v>-1545.508442491546</v>
      </c>
      <c r="I3156">
        <f>-771.972099267197 -119.977422815019 -679.905357834598</f>
        <v>-1571.8548799168138</v>
      </c>
      <c r="J3156">
        <f>-816.741599959775 -109.149953356284 -550.378151488829</f>
        <v>-1476.2697048048881</v>
      </c>
      <c r="K3156" t="s">
        <v>33884</v>
      </c>
      <c r="L3156" t="s">
        <v>33885</v>
      </c>
      <c r="M3156" t="s">
        <v>33886</v>
      </c>
      <c r="N3156">
        <f>-795.563886323837 -160.3604566233 -550.774698282642</f>
        <v>-1506.6990412297791</v>
      </c>
      <c r="O3156">
        <f>-743.135313389638 -284.372103832803 -523.027974771824</f>
        <v>-1550.535391994265</v>
      </c>
      <c r="P3156">
        <f>-694.037813610533 -309.320794086916 -233.963543828584</f>
        <v>-1237.3221515260332</v>
      </c>
      <c r="Q3156">
        <f>-584.03168263608 -124.518705313122 -342.580961050409</f>
        <v>-1051.131348999611</v>
      </c>
      <c r="R3156">
        <f>-799.510794695759 -16.0580492382269 -99.5142066549057</f>
        <v>-915.08305058889164</v>
      </c>
      <c r="S3156" t="s">
        <v>33887</v>
      </c>
      <c r="T3156" t="s">
        <v>33888</v>
      </c>
      <c r="U3156" t="s">
        <v>33889</v>
      </c>
      <c r="V3156">
        <f>-708.749547090579 -189.690269744368 -92.72587337547</f>
        <v>-991.16569021041698</v>
      </c>
      <c r="W3156" t="s">
        <v>33890</v>
      </c>
      <c r="X3156" t="s">
        <v>33891</v>
      </c>
      <c r="Y3156" t="s">
        <v>33892</v>
      </c>
    </row>
    <row r="3157" spans="1:25" x14ac:dyDescent="0.3">
      <c r="A3157">
        <v>157800</v>
      </c>
      <c r="B3157" t="s">
        <v>33893</v>
      </c>
      <c r="C3157">
        <f>-753.800478282093 -102.567432917363 -95.0708793830303</f>
        <v>-951.43879058248626</v>
      </c>
      <c r="D3157">
        <f>-782.550533238618 -121.51312694234 -205.663446711418</f>
        <v>-1109.727106892376</v>
      </c>
      <c r="E3157">
        <f>-795.638013656751 -129.625736851987 -303.077897840893</f>
        <v>-1228.341648349631</v>
      </c>
      <c r="F3157">
        <f>-803.255333981743 -134.017888057743 -391.739750918199</f>
        <v>-1329.012972957685</v>
      </c>
      <c r="G3157">
        <f>-806.279390420342 -135.370693081598 -480.774854607036</f>
        <v>-1422.424938108976</v>
      </c>
      <c r="H3157">
        <f>-805.642523329978 -134.124807207643 -605.349673096997</f>
        <v>-1545.117003634618</v>
      </c>
      <c r="I3157">
        <f>-771.363282727621 -119.62911490087 -679.645198468765</f>
        <v>-1570.6375960972559</v>
      </c>
      <c r="J3157">
        <f>-816.568032365547 -109.091257919619 -550.328957198326</f>
        <v>-1475.9882474834919</v>
      </c>
      <c r="K3157" t="s">
        <v>33894</v>
      </c>
      <c r="L3157" t="s">
        <v>33895</v>
      </c>
      <c r="M3157" t="s">
        <v>33896</v>
      </c>
      <c r="N3157">
        <f>-795.277472956136 -160.25486602532 -550.731813729236</f>
        <v>-1506.2641527106921</v>
      </c>
      <c r="O3157">
        <f>-742.582790875264 -284.165986478236 -523.037529137733</f>
        <v>-1549.7863064912331</v>
      </c>
      <c r="P3157">
        <f>-693.204459077256 -308.996164376295 -234.0108514473</f>
        <v>-1236.211474900851</v>
      </c>
      <c r="Q3157">
        <f>-583.719691115671 -123.83954536596 -342.551261818576</f>
        <v>-1050.1104983002069</v>
      </c>
      <c r="R3157">
        <f>-799.481753863106 -16.0260830210882 -99.4889997433889</f>
        <v>-914.99683662758309</v>
      </c>
      <c r="S3157" t="s">
        <v>33897</v>
      </c>
      <c r="T3157" t="s">
        <v>33898</v>
      </c>
      <c r="U3157" t="s">
        <v>33899</v>
      </c>
      <c r="V3157">
        <f>-708.407327930814 -189.422611126153 -92.7169358288545</f>
        <v>-990.54687488582147</v>
      </c>
      <c r="W3157" t="s">
        <v>33900</v>
      </c>
      <c r="X3157" t="s">
        <v>33901</v>
      </c>
      <c r="Y3157" t="s">
        <v>33902</v>
      </c>
    </row>
    <row r="3158" spans="1:25" x14ac:dyDescent="0.3">
      <c r="A3158">
        <v>157850</v>
      </c>
      <c r="B3158" t="s">
        <v>33903</v>
      </c>
      <c r="C3158">
        <f>-753.671768115542 -102.634623911115 -95.0733700114494</f>
        <v>-951.37976203810638</v>
      </c>
      <c r="D3158">
        <f>-782.447545164073 -121.637925557129 -205.649459202554</f>
        <v>-1109.734929923756</v>
      </c>
      <c r="E3158">
        <f>-795.539873362914 -129.764562569382 -303.061932332111</f>
        <v>-1228.3663682644069</v>
      </c>
      <c r="F3158">
        <f>-803.153765308721 -134.155627254101 -391.724176092181</f>
        <v>-1329.0335686550029</v>
      </c>
      <c r="G3158">
        <f>-806.166314583478 -135.49333883995 -480.760050333987</f>
        <v>-1422.4197037574149</v>
      </c>
      <c r="H3158">
        <f>-805.504716332983 -134.211501780625 -605.334167016606</f>
        <v>-1545.050385130214</v>
      </c>
      <c r="I3158">
        <f>-771.067981003147 -119.584866572939 -679.531239373468</f>
        <v>-1570.1840869495541</v>
      </c>
      <c r="J3158">
        <f>-816.470869085381 -109.206205488197 -550.308775403378</f>
        <v>-1475.9858499769562</v>
      </c>
      <c r="K3158" t="s">
        <v>33904</v>
      </c>
      <c r="L3158" t="s">
        <v>33905</v>
      </c>
      <c r="M3158" t="s">
        <v>33906</v>
      </c>
      <c r="N3158">
        <f>-795.120861828784 -160.344918151334 -550.721769992862</f>
        <v>-1506.1875499729799</v>
      </c>
      <c r="O3158">
        <f>-742.278503290276 -284.198744725746 -523.053471057242</f>
        <v>-1549.530719073264</v>
      </c>
      <c r="P3158">
        <f>-692.777389031783 -309.004573616857 -234.045728936689</f>
        <v>-1235.8276915853289</v>
      </c>
      <c r="Q3158">
        <f>-583.637587289856 -123.658943932097 -342.610710964293</f>
        <v>-1049.9072421862461</v>
      </c>
      <c r="R3158">
        <f>-799.445260669993 -16.119218700808 -99.4745002404763</f>
        <v>-915.03897961127734</v>
      </c>
      <c r="S3158" t="s">
        <v>33907</v>
      </c>
      <c r="T3158" t="s">
        <v>33908</v>
      </c>
      <c r="U3158" t="s">
        <v>33909</v>
      </c>
      <c r="V3158">
        <f>-708.186959872204 -189.481758295539 -92.7176939701129</f>
        <v>-990.38641213785593</v>
      </c>
      <c r="W3158" t="s">
        <v>33910</v>
      </c>
      <c r="X3158" t="s">
        <v>33911</v>
      </c>
      <c r="Y3158" t="s">
        <v>33912</v>
      </c>
    </row>
    <row r="3159" spans="1:25" x14ac:dyDescent="0.3">
      <c r="A3159">
        <v>157900</v>
      </c>
      <c r="B3159" t="s">
        <v>33913</v>
      </c>
      <c r="C3159">
        <f>-753.454259831144 -102.756422839003 -95.0542937647211</f>
        <v>-951.26497643486812</v>
      </c>
      <c r="D3159">
        <f>-782.232871555227 -121.822276644606 -205.618738013927</f>
        <v>-1109.6738862137599</v>
      </c>
      <c r="E3159">
        <f>-795.319352467502 -129.944353087411 -303.032504245012</f>
        <v>-1228.296209799925</v>
      </c>
      <c r="F3159">
        <f>-802.923326989537 -134.308664595456 -391.696847278978</f>
        <v>-1328.9288388639711</v>
      </c>
      <c r="G3159">
        <f>-805.921434681782 -135.595870718807 -480.733970370657</f>
        <v>-1422.2512757712459</v>
      </c>
      <c r="H3159">
        <f>-805.234726624834 -134.218844133563 -605.306889716867</f>
        <v>-1544.7604604752642</v>
      </c>
      <c r="I3159">
        <f>-770.585184823999 -119.346742590183 -679.355989123517</f>
        <v>-1569.2879165376989</v>
      </c>
      <c r="J3159">
        <f>-816.27378673146 -109.281519116397 -550.26531745749</f>
        <v>-1475.820623305347</v>
      </c>
      <c r="K3159" t="s">
        <v>33914</v>
      </c>
      <c r="L3159" t="s">
        <v>33915</v>
      </c>
      <c r="M3159" t="s">
        <v>33916</v>
      </c>
      <c r="N3159">
        <f>-794.799977286511 -160.368053749797 -550.711769087501</f>
        <v>-1505.879800123809</v>
      </c>
      <c r="O3159">
        <f>-741.672489911155 -284.123777965154 -523.134635003025</f>
        <v>-1548.9309028793341</v>
      </c>
      <c r="P3159">
        <f>-691.955690383605 -309.030521858383 -234.172530047394</f>
        <v>-1235.158742289382</v>
      </c>
      <c r="Q3159">
        <f>-583.606015884556 -123.240643864031 -342.769742796519</f>
        <v>-1049.616402545106</v>
      </c>
      <c r="R3159">
        <f>-799.302056238813 -16.3256629643486 -99.4331060759553</f>
        <v>-915.06082527911678</v>
      </c>
      <c r="S3159" t="s">
        <v>33917</v>
      </c>
      <c r="T3159" t="s">
        <v>33918</v>
      </c>
      <c r="U3159" t="s">
        <v>33919</v>
      </c>
      <c r="V3159">
        <f>-707.906972049103 -189.465028058218 -92.7116968573234</f>
        <v>-990.08369696464445</v>
      </c>
      <c r="W3159" t="s">
        <v>33920</v>
      </c>
      <c r="X3159" t="s">
        <v>33921</v>
      </c>
      <c r="Y3159" t="s">
        <v>33922</v>
      </c>
    </row>
    <row r="3160" spans="1:25" x14ac:dyDescent="0.3">
      <c r="A3160">
        <v>157950</v>
      </c>
      <c r="B3160" t="s">
        <v>33923</v>
      </c>
      <c r="C3160">
        <f>-753.40018402853 -102.81981033611 -95.0409515888354</f>
        <v>-951.26094595347536</v>
      </c>
      <c r="D3160">
        <f>-782.156679720887 -121.8933917195 -205.609767595724</f>
        <v>-1109.659839036111</v>
      </c>
      <c r="E3160">
        <f>-795.230025944153 -130.000644645401 -303.026553921034</f>
        <v>-1228.257224510588</v>
      </c>
      <c r="F3160">
        <f>-802.82446987333 -134.342589416645 -391.692875629385</f>
        <v>-1328.8599349193601</v>
      </c>
      <c r="G3160">
        <f>-805.815805927101 -135.597997973697 -480.73052286304</f>
        <v>-1422.1443267638381</v>
      </c>
      <c r="H3160">
        <f>-805.122632584862 -134.165998604148 -605.302933049641</f>
        <v>-1544.5915642386508</v>
      </c>
      <c r="I3160">
        <f>-770.395956504208 -119.18229769509 -679.293306997656</f>
        <v>-1568.8715611969542</v>
      </c>
      <c r="J3160">
        <f>-816.193945197767 -109.265313341637 -550.251275393958</f>
        <v>-1475.7105339333621</v>
      </c>
      <c r="K3160" t="s">
        <v>33924</v>
      </c>
      <c r="L3160" t="s">
        <v>33925</v>
      </c>
      <c r="M3160" t="s">
        <v>33926</v>
      </c>
      <c r="N3160">
        <f>-794.661299199316 -160.327023782501 -550.718471743883</f>
        <v>-1505.7067947257001</v>
      </c>
      <c r="O3160">
        <f>-741.394762633312 -284.032449277737 -523.192142589837</f>
        <v>-1548.6193545008859</v>
      </c>
      <c r="P3160">
        <f>-691.538035690272 -308.970747948406 -234.256882418848</f>
        <v>-1234.7656660575258</v>
      </c>
      <c r="Q3160">
        <f>-583.541703045471 -122.963082744716 -342.833136541828</f>
        <v>-1049.3379223320148</v>
      </c>
      <c r="R3160">
        <f>-799.247868486095 -16.4340483403837 -99.419402401299</f>
        <v>-915.10131922777759</v>
      </c>
      <c r="S3160" t="s">
        <v>33927</v>
      </c>
      <c r="T3160" t="s">
        <v>33928</v>
      </c>
      <c r="U3160" t="s">
        <v>33929</v>
      </c>
      <c r="V3160">
        <f>-707.862030508974 -189.490261730554 -92.703182176713</f>
        <v>-990.05547441624105</v>
      </c>
      <c r="W3160" t="s">
        <v>33930</v>
      </c>
      <c r="X3160" t="s">
        <v>33931</v>
      </c>
      <c r="Y3160" t="s">
        <v>33932</v>
      </c>
    </row>
    <row r="3161" spans="1:25" x14ac:dyDescent="0.3">
      <c r="A3161">
        <v>158000</v>
      </c>
      <c r="B3161" t="s">
        <v>33933</v>
      </c>
      <c r="C3161">
        <f>-753.37870957841 -103.041242118101 -95.0351355998425</f>
        <v>-951.45508729635355</v>
      </c>
      <c r="D3161">
        <f>-782.111009980037 -122.1478980173 -205.604539443466</f>
        <v>-1109.8634474408029</v>
      </c>
      <c r="E3161">
        <f>-795.171910140509 -130.237994943946 -303.024378741737</f>
        <v>-1228.4342838261919</v>
      </c>
      <c r="F3161">
        <f>-802.758254874812 -134.54576979004 -391.693039430917</f>
        <v>-1328.997064095769</v>
      </c>
      <c r="G3161">
        <f>-805.744964463171 -135.747002834665 -480.731682143936</f>
        <v>-1422.2236494417721</v>
      </c>
      <c r="H3161">
        <f>-805.049364603585 -134.21780306944 -605.302884560488</f>
        <v>-1544.570052233513</v>
      </c>
      <c r="I3161">
        <f>-770.211493542528 -119.041094683279 -679.201544943823</f>
        <v>-1568.45413316963</v>
      </c>
      <c r="J3161">
        <f>-816.179008955994 -109.384262509863 -550.232643397413</f>
        <v>-1475.7959148632699</v>
      </c>
      <c r="K3161" t="s">
        <v>33934</v>
      </c>
      <c r="L3161" t="s">
        <v>33935</v>
      </c>
      <c r="M3161" t="s">
        <v>33936</v>
      </c>
      <c r="N3161">
        <f>-794.532008278223 -160.397153637939 -550.737894102299</f>
        <v>-1505.6670560184612</v>
      </c>
      <c r="O3161">
        <f>-741.013373922783 -284.012802902488 -523.294041483995</f>
        <v>-1548.320218309266</v>
      </c>
      <c r="P3161">
        <f>-690.945883009562 -308.964705299699 -234.396359121448</f>
        <v>-1234.306947430709</v>
      </c>
      <c r="Q3161">
        <f>-583.476581838039 -122.698346422109 -343.051904248434</f>
        <v>-1049.226832508582</v>
      </c>
      <c r="R3161">
        <f>-799.273043890826 -16.6677030494509 -99.4097030635421</f>
        <v>-915.35045000381899</v>
      </c>
      <c r="S3161" t="s">
        <v>33937</v>
      </c>
      <c r="T3161" t="s">
        <v>33938</v>
      </c>
      <c r="U3161" t="s">
        <v>33939</v>
      </c>
      <c r="V3161">
        <f>-707.775268116667 -189.742092195608 -92.7141169656411</f>
        <v>-990.23147727791616</v>
      </c>
      <c r="W3161" t="s">
        <v>33940</v>
      </c>
      <c r="X3161" t="s">
        <v>33941</v>
      </c>
      <c r="Y3161" t="s">
        <v>33942</v>
      </c>
    </row>
    <row r="3162" spans="1:25" x14ac:dyDescent="0.3">
      <c r="A3162">
        <v>158050</v>
      </c>
      <c r="B3162" t="s">
        <v>33943</v>
      </c>
      <c r="C3162">
        <f>-753.336398183957 -103.159373825656 -95.0414887127597</f>
        <v>-951.53726072237271</v>
      </c>
      <c r="D3162">
        <f>-782.078918066526 -122.287542045909 -205.604573237572</f>
        <v>-1109.971033350007</v>
      </c>
      <c r="E3162">
        <f>-795.139628568354 -130.373559944979 -303.024763103369</f>
        <v>-1228.537951616702</v>
      </c>
      <c r="F3162">
        <f>-802.722026713124 -134.668364120726 -391.694367063499</f>
        <v>-1329.0847578973489</v>
      </c>
      <c r="G3162">
        <f>-805.701226714017 -135.846852199166 -480.73358307263</f>
        <v>-1422.2816619858129</v>
      </c>
      <c r="H3162">
        <f>-804.991405397808 -134.275341615806 -605.304238242889</f>
        <v>-1544.570985256503</v>
      </c>
      <c r="I3162">
        <f>-770.101545461467 -119.013055041869 -679.160742101949</f>
        <v>-1568.275342605285</v>
      </c>
      <c r="J3162">
        <f>-816.151116713575 -109.470559223438 -550.226990625398</f>
        <v>-1475.8486665624109</v>
      </c>
      <c r="K3162" t="s">
        <v>33944</v>
      </c>
      <c r="L3162" t="s">
        <v>33945</v>
      </c>
      <c r="M3162" t="s">
        <v>33946</v>
      </c>
      <c r="N3162">
        <f>-794.456452841019 -160.463146550835 -550.746742758127</f>
        <v>-1505.6663421499811</v>
      </c>
      <c r="O3162">
        <f>-740.8727481143 -284.057576136026 -523.340992234076</f>
        <v>-1548.2713164844022</v>
      </c>
      <c r="P3162">
        <f>-690.72111213973 -308.979905093241 -234.455524742673</f>
        <v>-1234.1565419756439</v>
      </c>
      <c r="Q3162">
        <f>-583.32273714187 -122.717065865324 -343.187312458397</f>
        <v>-1049.2271154655909</v>
      </c>
      <c r="R3162">
        <f>-799.264638836938 -16.8039845536425 -99.4077083645152</f>
        <v>-915.47633175509577</v>
      </c>
      <c r="S3162" t="s">
        <v>33947</v>
      </c>
      <c r="T3162" t="s">
        <v>33948</v>
      </c>
      <c r="U3162" t="s">
        <v>33949</v>
      </c>
      <c r="V3162">
        <f>-707.701763961497 -189.811816922305 -92.7272013645003</f>
        <v>-990.24078224830225</v>
      </c>
      <c r="W3162" t="s">
        <v>33950</v>
      </c>
      <c r="X3162" t="s">
        <v>33951</v>
      </c>
      <c r="Y3162" t="s">
        <v>33952</v>
      </c>
    </row>
    <row r="3163" spans="1:25" x14ac:dyDescent="0.3">
      <c r="A3163">
        <v>158100</v>
      </c>
      <c r="B3163" t="s">
        <v>33953</v>
      </c>
      <c r="C3163">
        <f>-753.22034143257 -103.349962743747 -95.0382033417781</f>
        <v>-951.60850751809505</v>
      </c>
      <c r="D3163">
        <f>-781.988071115246 -122.498110221835 -205.591244373603</f>
        <v>-1110.0774257106841</v>
      </c>
      <c r="E3163">
        <f>-795.056514080077 -130.580913651626 -303.010753795626</f>
        <v>-1228.6481815273291</v>
      </c>
      <c r="F3163">
        <f>-802.640233871643 -134.86434703365 -391.680833522628</f>
        <v>-1329.1854144279209</v>
      </c>
      <c r="G3163">
        <f>-805.615075586792 -136.022225662157 -480.720460580911</f>
        <v>-1422.35776182986</v>
      </c>
      <c r="H3163">
        <f>-804.893721240142 -134.411891413821 -605.290389435496</f>
        <v>-1544.596002089459</v>
      </c>
      <c r="I3163">
        <f>-769.905269528272 -119.021802061909 -679.073796167893</f>
        <v>-1568.000867758074</v>
      </c>
      <c r="J3163">
        <f>-816.088743696849 -109.637193001082 -550.206897202285</f>
        <v>-1475.9328339002159</v>
      </c>
      <c r="K3163" t="s">
        <v>33954</v>
      </c>
      <c r="L3163" t="s">
        <v>33955</v>
      </c>
      <c r="M3163" t="s">
        <v>33956</v>
      </c>
      <c r="N3163">
        <f>-794.333610610021 -160.603815677089 -550.739659351089</f>
        <v>-1505.6770856381991</v>
      </c>
      <c r="O3163">
        <f>-740.663791824132 -284.170274279952 -523.369612162836</f>
        <v>-1548.2036782669202</v>
      </c>
      <c r="P3163">
        <f>-690.324851079189 -309.077090285427 -234.515260139382</f>
        <v>-1233.9172015039981</v>
      </c>
      <c r="Q3163">
        <f>-583.042178687044 -122.798464703719 -343.334293081178</f>
        <v>-1049.174936471941</v>
      </c>
      <c r="R3163">
        <f>-799.169827451619 -17.0133708997937 -99.3881323679306</f>
        <v>-915.57133071934322</v>
      </c>
      <c r="S3163" t="s">
        <v>33957</v>
      </c>
      <c r="T3163" t="s">
        <v>33958</v>
      </c>
      <c r="U3163" t="s">
        <v>33959</v>
      </c>
      <c r="V3163">
        <f>-707.554946397776 -189.952231525579 -92.733546587871</f>
        <v>-990.24072451122606</v>
      </c>
      <c r="W3163" t="s">
        <v>33960</v>
      </c>
      <c r="X3163" t="s">
        <v>33961</v>
      </c>
      <c r="Y3163" t="s">
        <v>33962</v>
      </c>
    </row>
    <row r="3164" spans="1:25" x14ac:dyDescent="0.3">
      <c r="A3164">
        <v>158150</v>
      </c>
      <c r="B3164" t="s">
        <v>33963</v>
      </c>
      <c r="C3164">
        <f>-753.172015114449 -103.5054275477 -95.0385403673477</f>
        <v>-951.71598302949667</v>
      </c>
      <c r="D3164">
        <f>-781.95447661911 -122.668528863661 -205.585203424447</f>
        <v>-1110.208208907218</v>
      </c>
      <c r="E3164">
        <f>-795.026490010358 -130.757893224095 -303.003572652007</f>
        <v>-1228.7879558864599</v>
      </c>
      <c r="F3164">
        <f>-802.60947526292 -135.044694392713 -391.673473649361</f>
        <v>-1329.3276433049941</v>
      </c>
      <c r="G3164">
        <f>-805.579877413447 -136.203330933574 -480.713237334727</f>
        <v>-1422.4964456817479</v>
      </c>
      <c r="H3164">
        <f>-804.848050447551 -134.591303013375 -605.283329112544</f>
        <v>-1544.7226825734701</v>
      </c>
      <c r="I3164">
        <f>-769.800405595122 -119.162078137698 -679.030295070209</f>
        <v>-1567.9927788030291</v>
      </c>
      <c r="J3164">
        <f>-816.051818383768 -109.819204715127 -550.200445265334</f>
        <v>-1476.0714683642291</v>
      </c>
      <c r="K3164" t="s">
        <v>33964</v>
      </c>
      <c r="L3164" t="s">
        <v>33965</v>
      </c>
      <c r="M3164" t="s">
        <v>33966</v>
      </c>
      <c r="N3164">
        <f>-794.288327222293 -160.782227975386 -550.731998980605</f>
        <v>-1505.802554178284</v>
      </c>
      <c r="O3164">
        <f>-740.61336565716 -284.345805916432 -523.365011983779</f>
        <v>-1548.3241835573708</v>
      </c>
      <c r="P3164">
        <f>-690.267286137578 -309.210496251232 -234.50815017148</f>
        <v>-1233.9859325602902</v>
      </c>
      <c r="Q3164">
        <f>-582.972915235522 -122.971545240679 -343.383559764439</f>
        <v>-1049.3280202406399</v>
      </c>
      <c r="R3164">
        <f>-799.125138807054 -17.1359014729644 -99.3903680930179</f>
        <v>-915.65140837303625</v>
      </c>
      <c r="S3164" t="s">
        <v>33967</v>
      </c>
      <c r="T3164" t="s">
        <v>33968</v>
      </c>
      <c r="U3164" t="s">
        <v>33969</v>
      </c>
      <c r="V3164">
        <f>-707.507828799993 -190.185391654356 -92.7356100981652</f>
        <v>-990.42883055251434</v>
      </c>
      <c r="W3164" t="s">
        <v>33970</v>
      </c>
      <c r="X3164" t="s">
        <v>33971</v>
      </c>
      <c r="Y3164" t="s">
        <v>33972</v>
      </c>
    </row>
    <row r="3165" spans="1:25" x14ac:dyDescent="0.3">
      <c r="A3165">
        <v>158200</v>
      </c>
      <c r="B3165" t="s">
        <v>33973</v>
      </c>
      <c r="C3165">
        <f>-753.137796813218 -103.798689718475 -95.0653825039722</f>
        <v>-952.00186903566509</v>
      </c>
      <c r="D3165">
        <f>-781.940502689869 -122.986030807877 -205.602621379081</f>
        <v>-1110.5291548768271</v>
      </c>
      <c r="E3165">
        <f>-795.003564464694 -131.085886522997 -303.02116946235</f>
        <v>-1229.1106204500409</v>
      </c>
      <c r="F3165">
        <f>-802.567528189073 -135.378148544863 -391.692579256853</f>
        <v>-1329.6382559907888</v>
      </c>
      <c r="G3165">
        <f>-805.507573716015 -136.538411704006 -480.733241787412</f>
        <v>-1422.779227207433</v>
      </c>
      <c r="H3165">
        <f>-804.721404808062 -134.925066712493 -605.302943118021</f>
        <v>-1544.9494146385759</v>
      </c>
      <c r="I3165">
        <f>-769.559920167128 -119.463403290425 -678.989067534314</f>
        <v>-1568.0123909918671</v>
      </c>
      <c r="J3165">
        <f>-815.935113403609 -110.147459329041 -550.224489292494</f>
        <v>-1476.307062025144</v>
      </c>
      <c r="K3165" t="s">
        <v>33974</v>
      </c>
      <c r="L3165" t="s">
        <v>33975</v>
      </c>
      <c r="M3165" t="s">
        <v>33976</v>
      </c>
      <c r="N3165">
        <f>-794.199664984 -161.122631774925 -550.747557848022</f>
        <v>-1506.069854606947</v>
      </c>
      <c r="O3165">
        <f>-740.620486987552 -284.718718004937 -523.335744010805</f>
        <v>-1548.6749490032939</v>
      </c>
      <c r="P3165">
        <f>-690.245172466117 -309.492409380137 -234.476138350614</f>
        <v>-1234.2137201968681</v>
      </c>
      <c r="Q3165">
        <f>-582.926474000642 -123.361124666783 -343.511659672619</f>
        <v>-1049.7992583400439</v>
      </c>
      <c r="R3165">
        <f>-799.089866917514 -17.3637448042123 -99.4254418454701</f>
        <v>-915.87905356719637</v>
      </c>
      <c r="S3165" t="s">
        <v>33977</v>
      </c>
      <c r="T3165" t="s">
        <v>33978</v>
      </c>
      <c r="U3165" t="s">
        <v>33979</v>
      </c>
      <c r="V3165">
        <f>-707.496339730153 -190.531680386427 -92.748573041856</f>
        <v>-990.77659315843596</v>
      </c>
      <c r="W3165" t="s">
        <v>33980</v>
      </c>
      <c r="X3165" t="s">
        <v>33981</v>
      </c>
      <c r="Y3165" t="s">
        <v>33982</v>
      </c>
    </row>
    <row r="3166" spans="1:25" x14ac:dyDescent="0.3">
      <c r="A3166">
        <v>158250</v>
      </c>
      <c r="B3166" t="s">
        <v>33983</v>
      </c>
      <c r="C3166">
        <f>-753.197799917265 -103.908449045525 -95.0818048103993</f>
        <v>-952.18805377318927</v>
      </c>
      <c r="D3166">
        <f>-782.009943703947 -123.0998701151 -205.615865224134</f>
        <v>-1110.7256790431809</v>
      </c>
      <c r="E3166">
        <f>-795.068499785902 -131.198855650388 -303.035325077447</f>
        <v>-1229.302680513737</v>
      </c>
      <c r="F3166">
        <f>-802.622860334626 -135.489117203176 -391.70748581006</f>
        <v>-1329.819463347862</v>
      </c>
      <c r="G3166">
        <f>-805.547300629716 -136.646816499083 -480.748756215673</f>
        <v>-1422.942873344472</v>
      </c>
      <c r="H3166">
        <f>-804.732826796609 -135.029596040745 -605.318197206497</f>
        <v>-1545.080620043851</v>
      </c>
      <c r="I3166">
        <f>-769.52608115235 -119.582231027835 -678.985638569835</f>
        <v>-1568.09395075002</v>
      </c>
      <c r="J3166">
        <f>-815.948307104299 -110.249186610647 -550.241338232165</f>
        <v>-1476.4388319471111</v>
      </c>
      <c r="K3166" t="s">
        <v>33984</v>
      </c>
      <c r="L3166" t="s">
        <v>33985</v>
      </c>
      <c r="M3166" t="s">
        <v>33986</v>
      </c>
      <c r="N3166">
        <f>-794.234125146942 -161.233351430156 -550.761367081383</f>
        <v>-1506.2288436584811</v>
      </c>
      <c r="O3166">
        <f>-740.724519135344 -284.85696014138 -523.32506863919</f>
        <v>-1548.9065479159142</v>
      </c>
      <c r="P3166">
        <f>-690.432553321946 -309.607805189986 -234.449179645618</f>
        <v>-1234.48953815755</v>
      </c>
      <c r="Q3166">
        <f>-583.031559010298 -123.544001544796 -343.518673777323</f>
        <v>-1050.0942343324168</v>
      </c>
      <c r="R3166">
        <f>-799.105218492079 -17.4780745792023 -99.4375092072769</f>
        <v>-916.02080227855811</v>
      </c>
      <c r="S3166" t="s">
        <v>33987</v>
      </c>
      <c r="T3166" t="s">
        <v>33988</v>
      </c>
      <c r="U3166" t="s">
        <v>33989</v>
      </c>
      <c r="V3166">
        <f>-707.623058228661 -190.595414422883 -92.7471099977123</f>
        <v>-990.96558264925625</v>
      </c>
      <c r="W3166" t="s">
        <v>33990</v>
      </c>
      <c r="X3166" t="s">
        <v>33991</v>
      </c>
      <c r="Y3166" t="s">
        <v>33992</v>
      </c>
    </row>
    <row r="3167" spans="1:25" x14ac:dyDescent="0.3">
      <c r="A3167">
        <v>158300</v>
      </c>
      <c r="B3167" t="s">
        <v>33993</v>
      </c>
      <c r="C3167">
        <f>-753.344432655886 -104.319825920653 -95.0732362640666</f>
        <v>-952.73749484060556</v>
      </c>
      <c r="D3167">
        <f>-782.146168171725 -123.466635091243 -205.61766866811</f>
        <v>-1111.230471931078</v>
      </c>
      <c r="E3167">
        <f>-795.183034660984 -131.544766732247 -303.041694390447</f>
        <v>-1229.7694957836779</v>
      </c>
      <c r="F3167">
        <f>-802.712290676071 -135.823962578781 -391.716590831089</f>
        <v>-1330.252844085941</v>
      </c>
      <c r="G3167">
        <f>-805.606054191101 -136.979205890323 -480.758870934299</f>
        <v>-1423.344131015723</v>
      </c>
      <c r="H3167">
        <f>-804.742519439243 -135.368144998918 -605.32804314926</f>
        <v>-1545.438707587421</v>
      </c>
      <c r="I3167">
        <f>-769.476952497008 -120.027986961149 -678.989791107041</f>
        <v>-1568.4947305651981</v>
      </c>
      <c r="J3167">
        <f>-815.950995422258 -110.572798760265 -550.25668081022</f>
        <v>-1476.7804749927429</v>
      </c>
      <c r="K3167" t="s">
        <v>33994</v>
      </c>
      <c r="L3167" t="s">
        <v>33995</v>
      </c>
      <c r="M3167" t="s">
        <v>33996</v>
      </c>
      <c r="N3167">
        <f>-794.294040759429 -161.58146290694 -550.766170137896</f>
        <v>-1506.6416738042649</v>
      </c>
      <c r="O3167">
        <f>-740.968600723787 -285.270343138933 -523.291175587098</f>
        <v>-1549.5301194498179</v>
      </c>
      <c r="P3167">
        <f>-690.87434254418 -310.034990687611 -234.38213884341</f>
        <v>-1235.291472075201</v>
      </c>
      <c r="Q3167">
        <f>-583.127797369255 -124.174333152875 -343.457037597913</f>
        <v>-1050.7591681200429</v>
      </c>
      <c r="R3167">
        <f>-799.062797888331 -17.978606015118 -99.4174255526317</f>
        <v>-916.45882945608071</v>
      </c>
      <c r="S3167" t="s">
        <v>33997</v>
      </c>
      <c r="T3167" t="s">
        <v>33998</v>
      </c>
      <c r="U3167" t="s">
        <v>33999</v>
      </c>
      <c r="V3167">
        <f>-707.924760268828 -190.965385466081 -92.7489787640532</f>
        <v>-991.63912449896213</v>
      </c>
      <c r="W3167" t="s">
        <v>34000</v>
      </c>
      <c r="X3167" t="s">
        <v>34001</v>
      </c>
      <c r="Y3167" t="s">
        <v>34002</v>
      </c>
    </row>
    <row r="3168" spans="1:25" x14ac:dyDescent="0.3">
      <c r="A3168">
        <v>158350</v>
      </c>
      <c r="B3168" t="s">
        <v>34003</v>
      </c>
      <c r="C3168">
        <f>-753.465444667277 -104.357662636457 -95.0697335722508</f>
        <v>-952.8928408759848</v>
      </c>
      <c r="D3168">
        <f>-782.263052945365 -123.485425036541 -205.618623872427</f>
        <v>-1111.367101854333</v>
      </c>
      <c r="E3168">
        <f>-795.300228327535 -131.556541660233 -303.043176596812</f>
        <v>-1229.89994658458</v>
      </c>
      <c r="F3168">
        <f>-802.831504453669 -135.83282980096 -391.718073433282</f>
        <v>-1330.3824076879109</v>
      </c>
      <c r="G3168">
        <f>-805.729129507604 -136.98903524898 -480.760195116873</f>
        <v>-1423.4783598734571</v>
      </c>
      <c r="H3168">
        <f>-804.872910676548 -135.3833363602 -605.329469521739</f>
        <v>-1545.5857165584871</v>
      </c>
      <c r="I3168">
        <f>-769.602778128292 -120.113123642442 -679.003475964439</f>
        <v>-1568.7193777351731</v>
      </c>
      <c r="J3168">
        <f>-816.06702307143 -110.580934780129 -550.258292593902</f>
        <v>-1476.906250445461</v>
      </c>
      <c r="K3168" t="s">
        <v>34004</v>
      </c>
      <c r="L3168" t="s">
        <v>34005</v>
      </c>
      <c r="M3168" t="s">
        <v>34006</v>
      </c>
      <c r="N3168">
        <f>-794.432279612182 -161.598939216732 -550.767144333439</f>
        <v>-1506.7983631623529</v>
      </c>
      <c r="O3168">
        <f>-741.185760853626 -285.323700704276 -523.271899499281</f>
        <v>-1549.7813610571829</v>
      </c>
      <c r="P3168">
        <f>-691.205120507083 -310.121468876625 -234.345988184538</f>
        <v>-1235.6725775682462</v>
      </c>
      <c r="Q3168">
        <f>-583.375863855044 -124.311509636561 -343.425716135994</f>
        <v>-1051.113089627599</v>
      </c>
      <c r="R3168">
        <f>-799.133259207396 -18.0607316632443 -99.4232828990416</f>
        <v>-916.6172737696819</v>
      </c>
      <c r="S3168" t="s">
        <v>34007</v>
      </c>
      <c r="T3168" t="s">
        <v>34008</v>
      </c>
      <c r="U3168" t="s">
        <v>34009</v>
      </c>
      <c r="V3168">
        <f>-708.11618969259 -190.915538788913 -92.746927685204</f>
        <v>-991.77865616670704</v>
      </c>
      <c r="W3168" t="s">
        <v>34010</v>
      </c>
      <c r="X3168" t="s">
        <v>34011</v>
      </c>
      <c r="Y3168" t="s">
        <v>34012</v>
      </c>
    </row>
    <row r="3169" spans="1:25" x14ac:dyDescent="0.3">
      <c r="A3169">
        <v>158400</v>
      </c>
      <c r="B3169" t="s">
        <v>34013</v>
      </c>
      <c r="C3169">
        <f>-753.771050374237 -104.784895008095 -95.0567503130628</f>
        <v>-953.61269569539479</v>
      </c>
      <c r="D3169">
        <f>-782.616035557281 -123.906662554475 -205.594173729867</f>
        <v>-1112.1168718416229</v>
      </c>
      <c r="E3169">
        <f>-795.710122066997 -131.970315579661 -303.011788432585</f>
        <v>-1230.692226079243</v>
      </c>
      <c r="F3169">
        <f>-803.299830100992 -136.237887022851 -391.682046140485</f>
        <v>-1331.2197632643281</v>
      </c>
      <c r="G3169">
        <f>-806.262902088192 -137.38317640623 -480.722269612345</f>
        <v>-1424.3683481067669</v>
      </c>
      <c r="H3169">
        <f>-805.505542339507 -135.759340259367 -605.291953478708</f>
        <v>-1546.5568360775819</v>
      </c>
      <c r="I3169">
        <f>-770.263850104706 -120.59439439212 -679.001372139891</f>
        <v>-1569.859616636717</v>
      </c>
      <c r="J3169">
        <f>-816.645228114701 -110.960324538692 -550.208178318854</f>
        <v>-1477.813730972247</v>
      </c>
      <c r="K3169" t="s">
        <v>34014</v>
      </c>
      <c r="L3169" t="s">
        <v>34015</v>
      </c>
      <c r="M3169" t="s">
        <v>34016</v>
      </c>
      <c r="N3169">
        <f>-795.032469706848 -161.987516889698 -550.741817773453</f>
        <v>-1507.761804369999</v>
      </c>
      <c r="O3169">
        <f>-741.878834254299 -285.742021942807 -523.218409390732</f>
        <v>-1550.8392655878381</v>
      </c>
      <c r="P3169">
        <f>-692.099376306442 -310.507741532963 -234.254972264094</f>
        <v>-1236.862090103499</v>
      </c>
      <c r="Q3169">
        <f>-584.186378689957 -124.754652940612 -343.348700472662</f>
        <v>-1052.289732103231</v>
      </c>
      <c r="R3169">
        <f>-799.334401741898 -18.3988211524645 -99.4232125238332</f>
        <v>-917.15643541819566</v>
      </c>
      <c r="S3169" t="s">
        <v>34017</v>
      </c>
      <c r="T3169" t="s">
        <v>34018</v>
      </c>
      <c r="U3169" t="s">
        <v>34019</v>
      </c>
      <c r="V3169">
        <f>-708.510311022089 -191.465385463712 -92.7338450617244</f>
        <v>-992.70954154752542</v>
      </c>
      <c r="W3169" t="s">
        <v>34020</v>
      </c>
      <c r="X3169" t="s">
        <v>34021</v>
      </c>
      <c r="Y3169" t="s">
        <v>34022</v>
      </c>
    </row>
    <row r="3170" spans="1:25" x14ac:dyDescent="0.3">
      <c r="A3170">
        <v>158450</v>
      </c>
      <c r="B3170" t="s">
        <v>34023</v>
      </c>
      <c r="C3170">
        <f>-753.831036202435 -104.880629481579 -95.0593425863426</f>
        <v>-953.77100827035667</v>
      </c>
      <c r="D3170">
        <f>-782.702455290822 -124.013898644877 -205.588047415824</f>
        <v>-1112.304401351523</v>
      </c>
      <c r="E3170">
        <f>-795.829455302851 -132.078898825384 -303.001058079679</f>
        <v>-1230.9094122079141</v>
      </c>
      <c r="F3170">
        <f>-803.453400878228 -136.343684564146 -391.668476911961</f>
        <v>-1331.4655623543349</v>
      </c>
      <c r="G3170">
        <f>-806.455017138719 -137.481692057788 -480.707531318344</f>
        <v>-1424.6442405148509</v>
      </c>
      <c r="H3170">
        <f>-805.756318182814 -135.843026230903 -605.277360173765</f>
        <v>-1546.876704587482</v>
      </c>
      <c r="I3170">
        <f>-770.539856430546 -120.717806967973 -679.00692001385</f>
        <v>-1570.2645834123691</v>
      </c>
      <c r="J3170">
        <f>-816.870438432498 -111.050751705068 -550.185272363555</f>
        <v>-1478.1064625011209</v>
      </c>
      <c r="K3170" t="s">
        <v>34024</v>
      </c>
      <c r="L3170" t="s">
        <v>34025</v>
      </c>
      <c r="M3170" t="s">
        <v>34026</v>
      </c>
      <c r="N3170">
        <f>-795.257198366232 -162.077509165019 -550.735311540442</f>
        <v>-1508.070019071693</v>
      </c>
      <c r="O3170">
        <f>-742.151881601305 -285.850810870609 -523.208411922451</f>
        <v>-1551.2111043943651</v>
      </c>
      <c r="P3170">
        <f>-692.455548075965 -310.545769248952 -234.22449303663</f>
        <v>-1237.225810361547</v>
      </c>
      <c r="Q3170">
        <f>-584.324058423345 -124.850592402285 -343.200428268822</f>
        <v>-1052.3750790944521</v>
      </c>
      <c r="R3170">
        <f>-799.328604431715 -18.5502910428006 -99.4297973275098</f>
        <v>-917.30869280202546</v>
      </c>
      <c r="S3170" t="s">
        <v>34027</v>
      </c>
      <c r="T3170" t="s">
        <v>34028</v>
      </c>
      <c r="U3170" t="s">
        <v>34029</v>
      </c>
      <c r="V3170">
        <f>-708.598985767064 -191.492162107664 -92.7376681011488</f>
        <v>-992.82881597587675</v>
      </c>
      <c r="W3170" t="s">
        <v>34030</v>
      </c>
      <c r="X3170" t="s">
        <v>34031</v>
      </c>
      <c r="Y3170" t="s">
        <v>34032</v>
      </c>
    </row>
    <row r="3171" spans="1:25" x14ac:dyDescent="0.3">
      <c r="A3171">
        <v>158500</v>
      </c>
      <c r="B3171" t="s">
        <v>34033</v>
      </c>
      <c r="C3171">
        <f>-753.900984327323 -105.234128448872 -95.0526672571589</f>
        <v>-954.18778003335387</v>
      </c>
      <c r="D3171">
        <f>-782.850386897087 -124.381976930178 -205.558375708207</f>
        <v>-1112.7907395354719</v>
      </c>
      <c r="E3171">
        <f>-796.033440208072 -132.432094062643 -302.965025993667</f>
        <v>-1231.4305602643819</v>
      </c>
      <c r="F3171">
        <f>-803.70375904839 -136.670910975127 -391.629747849232</f>
        <v>-1332.0044178727489</v>
      </c>
      <c r="G3171">
        <f>-806.747583604325 -137.770001595023 -480.667788715263</f>
        <v>-1425.1853739146109</v>
      </c>
      <c r="H3171">
        <f>-806.103652437412 -136.062514470785 -605.23689520347</f>
        <v>-1547.4030621116672</v>
      </c>
      <c r="I3171">
        <f>-770.971815404785 -120.996023127779 -679.019000787955</f>
        <v>-1570.986839320519</v>
      </c>
      <c r="J3171">
        <f>-817.198652931768 -111.3028036349 -550.126353359533</f>
        <v>-1478.6278099262011</v>
      </c>
      <c r="K3171" t="s">
        <v>34034</v>
      </c>
      <c r="L3171" t="s">
        <v>34035</v>
      </c>
      <c r="M3171" t="s">
        <v>34036</v>
      </c>
      <c r="N3171">
        <f>-795.575445042575 -162.324952391844 -550.714118598959</f>
        <v>-1508.6145160333781</v>
      </c>
      <c r="O3171">
        <f>-742.478180335922 -286.099543313988 -523.186173062512</f>
        <v>-1551.7638967124221</v>
      </c>
      <c r="P3171">
        <f>-692.715573993881 -311.040752844735 -234.234846183308</f>
        <v>-1237.9911730219239</v>
      </c>
      <c r="Q3171">
        <f>-584.695367664884 -124.731792217228 -342.269474583029</f>
        <v>-1051.696634465141</v>
      </c>
      <c r="R3171">
        <f>-799.322103927297 -18.8309201821091 -99.4190806257674</f>
        <v>-917.57210473517353</v>
      </c>
      <c r="S3171" t="s">
        <v>34037</v>
      </c>
      <c r="T3171" t="s">
        <v>34038</v>
      </c>
      <c r="U3171" t="s">
        <v>34039</v>
      </c>
      <c r="V3171">
        <f>-708.7769372741 -191.929597240266 -92.729812682996</f>
        <v>-993.43634719736201</v>
      </c>
      <c r="W3171" t="s">
        <v>34040</v>
      </c>
      <c r="X3171" t="s">
        <v>34041</v>
      </c>
      <c r="Y3171" t="s">
        <v>34042</v>
      </c>
    </row>
    <row r="3172" spans="1:25" x14ac:dyDescent="0.3">
      <c r="A3172">
        <v>158550</v>
      </c>
      <c r="B3172" t="s">
        <v>34043</v>
      </c>
      <c r="C3172">
        <f>-753.975582102435 -105.360289421023 -95.0667741059081</f>
        <v>-954.40264562936613</v>
      </c>
      <c r="D3172">
        <f>-782.959587240404 -124.519734802252 -205.561460221108</f>
        <v>-1113.040782263764</v>
      </c>
      <c r="E3172">
        <f>-796.172287458884 -132.572245378422 -302.963839430736</f>
        <v>-1231.708372268042</v>
      </c>
      <c r="F3172">
        <f>-803.86945227843 -136.810141798387 -391.626423880888</f>
        <v>-1332.3060179577051</v>
      </c>
      <c r="G3172">
        <f>-806.940152772489 -137.904616202395 -480.663516145864</f>
        <v>-1425.508285120748</v>
      </c>
      <c r="H3172">
        <f>-806.333650727229 -136.186906135403 -605.232663962783</f>
        <v>-1547.7532208254152</v>
      </c>
      <c r="I3172">
        <f>-771.301879539208 -121.176632789025 -679.073679158144</f>
        <v>-1571.5521914863771</v>
      </c>
      <c r="J3172">
        <f>-817.413787533378 -111.432467743343 -550.116770266504</f>
        <v>-1478.9630255432248</v>
      </c>
      <c r="K3172" t="s">
        <v>34044</v>
      </c>
      <c r="L3172" t="s">
        <v>34045</v>
      </c>
      <c r="M3172" t="s">
        <v>34046</v>
      </c>
      <c r="N3172">
        <f>-795.787248514287 -162.453110795013 -550.715074059967</f>
        <v>-1508.955433369267</v>
      </c>
      <c r="O3172">
        <f>-742.668447753797 -286.220048209643 -523.192222045053</f>
        <v>-1552.080718008493</v>
      </c>
      <c r="P3172">
        <f>-693.090053239695 -311.233398027265 -234.215591881964</f>
        <v>-1238.5390431489241</v>
      </c>
      <c r="Q3172">
        <f>-584.854979095896 -124.692335410865 -341.632573094067</f>
        <v>-1051.1798876008281</v>
      </c>
      <c r="R3172">
        <f>-799.397086952784 -18.9259474949981 -99.4265420941339</f>
        <v>-917.74957654191599</v>
      </c>
      <c r="S3172" t="s">
        <v>34047</v>
      </c>
      <c r="T3172" t="s">
        <v>34048</v>
      </c>
      <c r="U3172" t="s">
        <v>34049</v>
      </c>
      <c r="V3172">
        <f>-708.877138874601 -192.071370992153 -92.7353739492337</f>
        <v>-993.68388381598766</v>
      </c>
      <c r="W3172" t="s">
        <v>34050</v>
      </c>
      <c r="X3172" t="s">
        <v>34051</v>
      </c>
      <c r="Y3172" t="s">
        <v>34052</v>
      </c>
    </row>
    <row r="3173" spans="1:25" x14ac:dyDescent="0.3">
      <c r="A3173">
        <v>158600</v>
      </c>
      <c r="B3173" t="s">
        <v>34053</v>
      </c>
      <c r="C3173">
        <f>-754.109771922624 -105.664316695215 -95.092905906851</f>
        <v>-954.86699452468997</v>
      </c>
      <c r="D3173">
        <f>-783.166321004886 -124.866141613213 -205.561174702019</f>
        <v>-1113.593637320118</v>
      </c>
      <c r="E3173">
        <f>-796.408632838573 -132.911480292469 -302.960128485886</f>
        <v>-1232.2802416169279</v>
      </c>
      <c r="F3173">
        <f>-804.117565470873 -137.126319762678 -391.622742429356</f>
        <v>-1332.8666276629069</v>
      </c>
      <c r="G3173">
        <f>-807.184051516128 -138.182172651397 -480.660436069415</f>
        <v>-1426.02666023694</v>
      </c>
      <c r="H3173">
        <f>-806.554291207943 -136.395012002989 -605.228548776073</f>
        <v>-1548.1778519870049</v>
      </c>
      <c r="I3173">
        <f>-772.007308550234 -121.631622414649 -679.34728511292</f>
        <v>-1572.986216077803</v>
      </c>
      <c r="J3173">
        <f>-817.633431529322 -111.666556413674 -550.100937116419</f>
        <v>-1479.4009250594149</v>
      </c>
      <c r="K3173" t="s">
        <v>34054</v>
      </c>
      <c r="L3173" t="s">
        <v>34055</v>
      </c>
      <c r="M3173" t="s">
        <v>34056</v>
      </c>
      <c r="N3173">
        <f>-796.029361198822 -162.696374884312 -550.723889849343</f>
        <v>-1509.4496259324769</v>
      </c>
      <c r="O3173">
        <f>-742.917999265634 -286.467824182057 -523.208731714824</f>
        <v>-1552.594555162515</v>
      </c>
      <c r="P3173">
        <f>-693.889432129438 -311.511990028197 -234.140783135793</f>
        <v>-1239.542205293428</v>
      </c>
      <c r="Q3173">
        <f>-585.570627491324 -124.594228522039 -340.816150580738</f>
        <v>-1050.981006594101</v>
      </c>
      <c r="R3173">
        <f>-799.476077666309 -19.3012588935401 -99.4270822613846</f>
        <v>-918.20441882123373</v>
      </c>
      <c r="S3173" t="s">
        <v>34057</v>
      </c>
      <c r="T3173" t="s">
        <v>34058</v>
      </c>
      <c r="U3173" t="s">
        <v>34059</v>
      </c>
      <c r="V3173">
        <f>-709.052017045735 -192.333826817105 -92.7533403455444</f>
        <v>-994.13918420838445</v>
      </c>
      <c r="W3173" t="s">
        <v>34060</v>
      </c>
      <c r="X3173" t="s">
        <v>34061</v>
      </c>
      <c r="Y3173" t="s">
        <v>34062</v>
      </c>
    </row>
    <row r="3174" spans="1:25" x14ac:dyDescent="0.3">
      <c r="A3174">
        <v>158650</v>
      </c>
      <c r="B3174" t="s">
        <v>34063</v>
      </c>
      <c r="C3174">
        <f>-754.181454656787 -105.850206912105 -95.100280520674</f>
        <v>-955.131942089566</v>
      </c>
      <c r="D3174">
        <f>-783.252161366879 -125.042735614721 -205.566326655814</f>
        <v>-1113.861223637414</v>
      </c>
      <c r="E3174">
        <f>-796.461014991853 -133.064621475851 -302.971909333862</f>
        <v>-1232.497545801566</v>
      </c>
      <c r="F3174">
        <f>-804.120857361586 -137.252117302026 -391.639960660496</f>
        <v>-1333.012935324108</v>
      </c>
      <c r="G3174">
        <f>-807.119117413495 -138.274994486245 -480.680476752175</f>
        <v>-1426.0745886519151</v>
      </c>
      <c r="H3174">
        <f>-806.374200552452 -136.436149791414 -605.247277253375</f>
        <v>-1548.057627597241</v>
      </c>
      <c r="I3174">
        <f>-772.060643965942 -121.803487919221 -679.500183512755</f>
        <v>-1573.3643153979178</v>
      </c>
      <c r="J3174">
        <f>-817.500410875247 -111.728913834221 -550.119335550495</f>
        <v>-1479.3486602599628</v>
      </c>
      <c r="K3174" t="s">
        <v>34064</v>
      </c>
      <c r="L3174" t="s">
        <v>34065</v>
      </c>
      <c r="M3174" t="s">
        <v>34066</v>
      </c>
      <c r="N3174">
        <f>-795.903594871967 -162.76180706512 -550.74367027378</f>
        <v>-1509.4090722108672</v>
      </c>
      <c r="O3174">
        <f>-742.837415029634 -286.563250944575 -523.25528024687</f>
        <v>-1552.6559462210789</v>
      </c>
      <c r="P3174">
        <f>-694.087737655219 -311.591845674314 -234.138990903684</f>
        <v>-1239.8185742332171</v>
      </c>
      <c r="Q3174">
        <f>-585.816886138647 -124.669126998369 -340.854467538322</f>
        <v>-1051.3404806753381</v>
      </c>
      <c r="R3174">
        <f>-799.484539081559 -19.4780806754131 -99.4324888436355</f>
        <v>-918.39510860060761</v>
      </c>
      <c r="S3174" t="s">
        <v>34067</v>
      </c>
      <c r="T3174" t="s">
        <v>34068</v>
      </c>
      <c r="U3174" t="s">
        <v>34069</v>
      </c>
      <c r="V3174">
        <f>-709.165367133239 -192.517463004553 -92.7675612527921</f>
        <v>-994.45039139058417</v>
      </c>
      <c r="W3174" t="s">
        <v>34070</v>
      </c>
      <c r="X3174" t="s">
        <v>34071</v>
      </c>
      <c r="Y3174" t="s">
        <v>34072</v>
      </c>
    </row>
    <row r="3175" spans="1:25" x14ac:dyDescent="0.3">
      <c r="A3175">
        <v>158700</v>
      </c>
      <c r="B3175" t="s">
        <v>34073</v>
      </c>
      <c r="C3175">
        <f>-754.419146521088 -106.127938085919 -95.0800633379904</f>
        <v>-955.62714794499743</v>
      </c>
      <c r="D3175">
        <f>-783.553491754797 -125.303607453997 -205.532323605316</f>
        <v>-1114.38942281411</v>
      </c>
      <c r="E3175">
        <f>-796.725804786328 -133.292656655513 -302.945482869786</f>
        <v>-1232.9639443116271</v>
      </c>
      <c r="F3175">
        <f>-804.314535288513 -137.443934888214 -391.621301694504</f>
        <v>-1333.379771871231</v>
      </c>
      <c r="G3175">
        <f>-807.203150541867 -138.425053870704 -480.665935370216</f>
        <v>-1426.2941397827869</v>
      </c>
      <c r="H3175">
        <f>-806.264080399875 -136.522905332404 -605.230435694152</f>
        <v>-1548.0174214264309</v>
      </c>
      <c r="I3175">
        <f>-772.391334508246 -122.189784068403 -679.74372023281</f>
        <v>-1574.3248388094589</v>
      </c>
      <c r="J3175">
        <f>-817.453731618628 -111.834147258552 -550.107279173849</f>
        <v>-1479.3951580510288</v>
      </c>
      <c r="K3175" t="s">
        <v>34074</v>
      </c>
      <c r="L3175" t="s">
        <v>34075</v>
      </c>
      <c r="M3175" t="s">
        <v>34076</v>
      </c>
      <c r="N3175">
        <f>-795.900948518397 -162.885700761598 -550.724365950063</f>
        <v>-1509.5110152300579</v>
      </c>
      <c r="O3175">
        <f>-742.922364915695 -286.716194748655 -523.205448242299</f>
        <v>-1552.844007906649</v>
      </c>
      <c r="P3175">
        <f>-694.79407516002 -311.48289741995 -233.962410221223</f>
        <v>-1240.2393828011932</v>
      </c>
      <c r="Q3175">
        <f>-585.891322458294 -125.234481096458 -341.212550259609</f>
        <v>-1052.338353814361</v>
      </c>
      <c r="R3175">
        <f>-799.668012669587 -19.6478491821688 -99.4279813649839</f>
        <v>-918.74384321673972</v>
      </c>
      <c r="S3175" t="s">
        <v>34077</v>
      </c>
      <c r="T3175" t="s">
        <v>34078</v>
      </c>
      <c r="U3175" t="s">
        <v>34079</v>
      </c>
      <c r="V3175">
        <f>-709.476058870592 -192.914869337646 -92.7719283038758</f>
        <v>-995.16285651211388</v>
      </c>
      <c r="W3175" t="s">
        <v>34080</v>
      </c>
      <c r="X3175" t="s">
        <v>34081</v>
      </c>
      <c r="Y3175" t="s">
        <v>34082</v>
      </c>
    </row>
    <row r="3176" spans="1:25" x14ac:dyDescent="0.3">
      <c r="A3176">
        <v>158750</v>
      </c>
      <c r="B3176" t="s">
        <v>34083</v>
      </c>
      <c r="C3176">
        <f>-754.513579209551 -106.085076757352 -95.0652863965515</f>
        <v>-955.66394236345457</v>
      </c>
      <c r="D3176">
        <f>-783.701402308053 -125.240309131108 -205.506952249323</f>
        <v>-1114.448663688484</v>
      </c>
      <c r="E3176">
        <f>-796.88950726159 -133.228281200876 -302.918119826139</f>
        <v>-1233.035908288605</v>
      </c>
      <c r="F3176">
        <f>-804.4805203283 -137.384635100863 -391.593490621834</f>
        <v>-1333.458646050997</v>
      </c>
      <c r="G3176">
        <f>-807.359530165718 -138.377173606454 -480.638303339991</f>
        <v>-1426.3750071121631</v>
      </c>
      <c r="H3176">
        <f>-806.394819374926 -136.497489087457 -605.202906853162</f>
        <v>-1548.0952153155449</v>
      </c>
      <c r="I3176">
        <f>-772.714456353591 -122.310281986635 -679.831264839641</f>
        <v>-1574.856003179867</v>
      </c>
      <c r="J3176">
        <f>-817.587058731826 -111.795108458642 -550.086345873793</f>
        <v>-1479.4685130642611</v>
      </c>
      <c r="K3176" t="s">
        <v>34084</v>
      </c>
      <c r="L3176" t="s">
        <v>34085</v>
      </c>
      <c r="M3176" t="s">
        <v>34086</v>
      </c>
      <c r="N3176">
        <f>-796.051610185435 -162.854183203117 -550.689936487082</f>
        <v>-1509.5957298756341</v>
      </c>
      <c r="O3176">
        <f>-743.105765616251 -286.695497817508 -523.147129307671</f>
        <v>-1552.9483927414299</v>
      </c>
      <c r="P3176">
        <f>-695.279324536604 -311.246689664707 -233.835759562287</f>
        <v>-1240.361773763598</v>
      </c>
      <c r="Q3176">
        <f>-585.650617040353 -125.5776094837 -341.350404929775</f>
        <v>-1052.5786314538282</v>
      </c>
      <c r="R3176">
        <f>-799.700158778563 -19.6099501326535 -99.4162371801561</f>
        <v>-918.72634609137265</v>
      </c>
      <c r="S3176" t="s">
        <v>34087</v>
      </c>
      <c r="T3176" t="s">
        <v>34088</v>
      </c>
      <c r="U3176" t="s">
        <v>34089</v>
      </c>
      <c r="V3176">
        <f>-709.642885346245 -192.814064563095 -92.7796172350946</f>
        <v>-995.23656714443462</v>
      </c>
      <c r="W3176" t="s">
        <v>34090</v>
      </c>
      <c r="X3176" t="s">
        <v>34091</v>
      </c>
      <c r="Y3176" t="s">
        <v>34092</v>
      </c>
    </row>
    <row r="3177" spans="1:25" x14ac:dyDescent="0.3">
      <c r="A3177">
        <v>158800</v>
      </c>
      <c r="B3177" t="s">
        <v>34093</v>
      </c>
      <c r="C3177">
        <f>-754.682297121586 -105.868285908367 -95.0783065166981</f>
        <v>-955.62888954665118</v>
      </c>
      <c r="D3177">
        <f>-783.929227984733 -124.976125620718 -205.512527265079</f>
        <v>-1114.4178808705299</v>
      </c>
      <c r="E3177">
        <f>-797.156973582723 -132.975108447176 -302.917398018579</f>
        <v>-1233.049480048478</v>
      </c>
      <c r="F3177">
        <f>-804.780140182575 -137.161782009361 -391.58870585937</f>
        <v>-1333.5306280513059</v>
      </c>
      <c r="G3177">
        <f>-807.687935852243 -138.204976397373 -480.631887013079</f>
        <v>-1426.5247992626951</v>
      </c>
      <c r="H3177">
        <f>-806.759784823105 -136.417838353326 -605.198207563654</f>
        <v>-1548.3758307400849</v>
      </c>
      <c r="I3177">
        <f>-773.370160714456 -122.479962274398 -680.003976828046</f>
        <v>-1575.8540998169001</v>
      </c>
      <c r="J3177">
        <f>-817.902469614739 -111.660508788887 -550.096326778558</f>
        <v>-1479.659305182184</v>
      </c>
      <c r="K3177" t="s">
        <v>34094</v>
      </c>
      <c r="L3177" t="s">
        <v>34095</v>
      </c>
      <c r="M3177" t="s">
        <v>34096</v>
      </c>
      <c r="N3177">
        <f>-796.433890306531 -162.748037067071 -550.669151078229</f>
        <v>-1509.851078451831</v>
      </c>
      <c r="O3177">
        <f>-743.752432622801 -286.705633234101 -523.121353383385</f>
        <v>-1553.5794192402871</v>
      </c>
      <c r="P3177">
        <f>-697.056374310148 -310.787655194455 -233.585837973726</f>
        <v>-1241.429867478329</v>
      </c>
      <c r="Q3177">
        <f>-583.354416825391 -127.76803967672 -341.412354796907</f>
        <v>-1052.534811299018</v>
      </c>
      <c r="R3177">
        <f>-799.681048205052 -19.3902529576155 -99.4025970773184</f>
        <v>-918.47389823998594</v>
      </c>
      <c r="S3177" t="s">
        <v>34097</v>
      </c>
      <c r="T3177" t="s">
        <v>34098</v>
      </c>
      <c r="U3177" t="s">
        <v>34099</v>
      </c>
      <c r="V3177">
        <f>-709.943948793598 -192.64710493562 -92.8010304890129</f>
        <v>-995.39208421823082</v>
      </c>
      <c r="W3177" t="s">
        <v>34100</v>
      </c>
      <c r="X3177" t="s">
        <v>34101</v>
      </c>
      <c r="Y3177" t="s">
        <v>34102</v>
      </c>
    </row>
    <row r="3178" spans="1:25" x14ac:dyDescent="0.3">
      <c r="A3178">
        <v>158850</v>
      </c>
      <c r="B3178" t="s">
        <v>34103</v>
      </c>
      <c r="C3178">
        <f>-754.679439871456 -105.843678227876 -95.0908586563115</f>
        <v>-955.61397675564353</v>
      </c>
      <c r="D3178">
        <f>-783.936177166097 -124.938016497201 -205.524821981367</f>
        <v>-1114.399015644665</v>
      </c>
      <c r="E3178">
        <f>-797.170031189234 -132.938753650538 -302.928703377401</f>
        <v>-1233.0374882171729</v>
      </c>
      <c r="F3178">
        <f>-804.798194795247 -137.132338720334 -391.599301341775</f>
        <v>-1333.529834857356</v>
      </c>
      <c r="G3178">
        <f>-807.709774262839 -138.188461229106 -480.642156857402</f>
        <v>-1426.540392349347</v>
      </c>
      <c r="H3178">
        <f>-806.785897770971 -136.425678374728 -605.208833111543</f>
        <v>-1548.420409257242</v>
      </c>
      <c r="I3178">
        <f>-773.527722763488 -122.598712921833 -680.093561543465</f>
        <v>-1576.2199972287858</v>
      </c>
      <c r="J3178">
        <f>-817.899582608293 -111.646154504856 -550.111073273073</f>
        <v>-1479.6568103862219</v>
      </c>
      <c r="K3178" t="s">
        <v>34104</v>
      </c>
      <c r="L3178" t="s">
        <v>34105</v>
      </c>
      <c r="M3178" t="s">
        <v>34106</v>
      </c>
      <c r="N3178">
        <f>-796.485401664162 -162.756638520311 -550.675449482024</f>
        <v>-1509.917489666497</v>
      </c>
      <c r="O3178">
        <f>-744.020068393422 -286.798036250558 -523.128439481719</f>
        <v>-1553.9465441256989</v>
      </c>
      <c r="P3178">
        <f>-697.916193814204 -311.05796477323 -233.513029271922</f>
        <v>-1242.487187859356</v>
      </c>
      <c r="Q3178">
        <f>-582.095231421962 -129.364424244533 -341.326968528723</f>
        <v>-1052.7866241952179</v>
      </c>
      <c r="R3178">
        <f>-799.607306151821 -19.3160934879966 -99.405151486442</f>
        <v>-918.32855112625964</v>
      </c>
      <c r="S3178" t="s">
        <v>34107</v>
      </c>
      <c r="T3178" t="s">
        <v>34108</v>
      </c>
      <c r="U3178" t="s">
        <v>34109</v>
      </c>
      <c r="V3178">
        <f>-709.981372746443 -192.708031261133 -92.8014121673679</f>
        <v>-995.4908161749438</v>
      </c>
      <c r="W3178" t="s">
        <v>34110</v>
      </c>
      <c r="X3178" t="s">
        <v>34111</v>
      </c>
      <c r="Y3178" t="s">
        <v>34112</v>
      </c>
    </row>
    <row r="3179" spans="1:25" x14ac:dyDescent="0.3">
      <c r="A3179">
        <v>158900</v>
      </c>
      <c r="B3179" t="s">
        <v>34113</v>
      </c>
      <c r="C3179">
        <f>-754.559614266483 -105.788349718365 -95.1014668691774</f>
        <v>-955.44943085402542</v>
      </c>
      <c r="D3179">
        <f>-783.814801078254 -124.82593728937 -205.545605734612</f>
        <v>-1114.186344102236</v>
      </c>
      <c r="E3179">
        <f>-797.034264203472 -132.794574201859 -302.954194694479</f>
        <v>-1232.7830330998099</v>
      </c>
      <c r="F3179">
        <f>-804.644300836932 -136.965661219566 -391.627319280073</f>
        <v>-1333.237281336571</v>
      </c>
      <c r="G3179">
        <f>-807.532296796928 -138.007105903028 -480.671234998881</f>
        <v>-1426.210637698837</v>
      </c>
      <c r="H3179">
        <f>-806.569622861059 -136.232270071655 -605.23736191082</f>
        <v>-1548.0392548435339</v>
      </c>
      <c r="I3179">
        <f>-773.44234040625 -122.597067501452 -680.215345269566</f>
        <v>-1576.254753177268</v>
      </c>
      <c r="J3179">
        <f>-817.647932195044 -111.436131849699 -550.139899780403</f>
        <v>-1479.2239638251458</v>
      </c>
      <c r="K3179" t="s">
        <v>34114</v>
      </c>
      <c r="L3179" t="s">
        <v>34115</v>
      </c>
      <c r="M3179" t="s">
        <v>34116</v>
      </c>
      <c r="N3179">
        <f>-796.33856131836 -162.590394086079 -550.704065645614</f>
        <v>-1509.633021050053</v>
      </c>
      <c r="O3179">
        <f>-744.26907693236 -286.820315849909 -523.262146567739</f>
        <v>-1554.3515393500079</v>
      </c>
      <c r="P3179">
        <f>-700.272111892472 -311.470865897421 -233.352206376149</f>
        <v>-1245.0951841660421</v>
      </c>
      <c r="Q3179">
        <f>-579.684767300963 -132.5202102761 -340.525928053212</f>
        <v>-1052.7309056302749</v>
      </c>
      <c r="R3179">
        <f>-799.383588156679 -19.1697217033973 -99.4020024482892</f>
        <v>-917.95531230836548</v>
      </c>
      <c r="S3179" t="s">
        <v>34117</v>
      </c>
      <c r="T3179" t="s">
        <v>34118</v>
      </c>
      <c r="U3179" t="s">
        <v>34119</v>
      </c>
      <c r="V3179">
        <f>-710.065714429477 -192.67899269592 -92.8068102777436</f>
        <v>-995.55151740314056</v>
      </c>
      <c r="W3179" t="s">
        <v>34120</v>
      </c>
      <c r="X3179" t="s">
        <v>34121</v>
      </c>
      <c r="Y3179" t="s">
        <v>34122</v>
      </c>
    </row>
    <row r="3180" spans="1:25" x14ac:dyDescent="0.3">
      <c r="A3180">
        <v>158950</v>
      </c>
      <c r="B3180" t="s">
        <v>34123</v>
      </c>
      <c r="C3180">
        <f>-754.531376152083 -105.575238685139 -95.0904285461709</f>
        <v>-955.19704338339284</v>
      </c>
      <c r="D3180">
        <f>-783.783409527332 -124.544687200055 -205.547215148389</f>
        <v>-1113.8753118757759</v>
      </c>
      <c r="E3180">
        <f>-797.010541626323 -132.484815037222 -302.956965191701</f>
        <v>-1232.4523218552458</v>
      </c>
      <c r="F3180">
        <f>-804.632566874797 -136.641866759812 -391.629646954416</f>
        <v>-1332.9040805890249</v>
      </c>
      <c r="G3180">
        <f>-807.537610567991 -137.681212129343 -480.673140413203</f>
        <v>-1425.8919631105368</v>
      </c>
      <c r="H3180">
        <f>-806.6044578942 -135.915912782982 -605.239713508627</f>
        <v>-1547.7600841858089</v>
      </c>
      <c r="I3180">
        <f>-773.505979099344 -122.378945319109 -680.248136441347</f>
        <v>-1576.1330608598</v>
      </c>
      <c r="J3180">
        <f>-817.646231872893 -111.105831324425 -550.141058232635</f>
        <v>-1478.8931214299532</v>
      </c>
      <c r="K3180" t="s">
        <v>34124</v>
      </c>
      <c r="L3180" t="s">
        <v>34125</v>
      </c>
      <c r="M3180" t="s">
        <v>34126</v>
      </c>
      <c r="N3180">
        <f>-796.383914870793 -162.279659822969 -550.707134241402</f>
        <v>-1509.370708935164</v>
      </c>
      <c r="O3180">
        <f>-744.467176132003 -286.587303124304 -523.319804164048</f>
        <v>-1554.3742834203551</v>
      </c>
      <c r="P3180">
        <f>-701.153336885419 -311.74548675112 -233.350386987214</f>
        <v>-1246.249210623753</v>
      </c>
      <c r="Q3180">
        <f>-579.466214692858 -133.124803026591 -339.829337099879</f>
        <v>-1052.4203548193279</v>
      </c>
      <c r="R3180">
        <f>-799.240009636407 -19.0113988679109 -99.3860816723605</f>
        <v>-917.6374901766784</v>
      </c>
      <c r="S3180" t="s">
        <v>34127</v>
      </c>
      <c r="T3180" t="s">
        <v>34128</v>
      </c>
      <c r="U3180" t="s">
        <v>34129</v>
      </c>
      <c r="V3180">
        <f>-710.196280899118 -192.335389180646 -92.801961219443</f>
        <v>-995.33363129920701</v>
      </c>
      <c r="W3180" t="s">
        <v>34130</v>
      </c>
      <c r="X3180" t="s">
        <v>34131</v>
      </c>
      <c r="Y3180" t="s">
        <v>34132</v>
      </c>
    </row>
    <row r="3181" spans="1:25" x14ac:dyDescent="0.3">
      <c r="A3181">
        <v>159000</v>
      </c>
      <c r="B3181" t="s">
        <v>34133</v>
      </c>
      <c r="C3181">
        <f>-754.387689033757 -105.234701812616 -95.0380291234846</f>
        <v>-954.66041996985768</v>
      </c>
      <c r="D3181">
        <f>-783.643110241261 -124.078502970314 -205.515358762635</f>
        <v>-1113.2369719742101</v>
      </c>
      <c r="E3181">
        <f>-796.891965277522 -131.942770988913 -302.928400919119</f>
        <v>-1231.7631371855541</v>
      </c>
      <c r="F3181">
        <f>-804.543162552187 -136.041881557839 -391.601233448032</f>
        <v>-1332.186277558058</v>
      </c>
      <c r="G3181">
        <f>-807.487565322507 -137.033696659439 -480.643901016023</f>
        <v>-1425.165162997969</v>
      </c>
      <c r="H3181">
        <f>-806.620682733745 -135.2123780443 -605.210136930148</f>
        <v>-1547.043197708193</v>
      </c>
      <c r="I3181">
        <f>-773.528196152192 -121.831294975001 -680.249244447098</f>
        <v>-1575.6087355742911</v>
      </c>
      <c r="J3181">
        <f>-817.59526924408 -110.411356361198 -550.094059196341</f>
        <v>-1478.1006848016191</v>
      </c>
      <c r="K3181" t="s">
        <v>34134</v>
      </c>
      <c r="L3181" t="s">
        <v>34135</v>
      </c>
      <c r="M3181" t="s">
        <v>34136</v>
      </c>
      <c r="N3181">
        <f>-796.40904869351 -161.616279727484 -550.695326358292</f>
        <v>-1508.7206547792862</v>
      </c>
      <c r="O3181">
        <f>-744.681089518406 -286.016140913519 -523.407401119643</f>
        <v>-1554.104631551568</v>
      </c>
      <c r="P3181">
        <f>-701.943838648966 -312.194165418623 -233.44278986144</f>
        <v>-1247.5807939290289</v>
      </c>
      <c r="Q3181">
        <f>-581.549396454236 -132.251661881313 -339.162923093477</f>
        <v>-1052.963981429026</v>
      </c>
      <c r="R3181">
        <f>-798.892555189553 -18.6838351291369 -99.3123229253982</f>
        <v>-916.88871324408819</v>
      </c>
      <c r="S3181" t="s">
        <v>34137</v>
      </c>
      <c r="T3181" t="s">
        <v>34138</v>
      </c>
      <c r="U3181" t="s">
        <v>34139</v>
      </c>
      <c r="V3181">
        <f>-710.165781659123 -192.059343861406 -92.7999302307094</f>
        <v>-995.02505575123837</v>
      </c>
      <c r="W3181" t="s">
        <v>34140</v>
      </c>
      <c r="X3181" t="s">
        <v>34141</v>
      </c>
      <c r="Y3181" t="s">
        <v>34142</v>
      </c>
    </row>
    <row r="3182" spans="1:25" x14ac:dyDescent="0.3">
      <c r="A3182">
        <v>159050</v>
      </c>
      <c r="B3182" t="s">
        <v>34143</v>
      </c>
      <c r="C3182">
        <f>-754.188219457754 -105.218436749376 -95.0179053903728</f>
        <v>-954.42456159750282</v>
      </c>
      <c r="D3182">
        <f>-783.472548958883 -124.033479025153 -205.492483346669</f>
        <v>-1112.998511330705</v>
      </c>
      <c r="E3182">
        <f>-796.734959471662 -131.86868063676 -302.905883597498</f>
        <v>-1231.5095237059199</v>
      </c>
      <c r="F3182">
        <f>-804.394235297134 -135.939020848497 -391.57950273321</f>
        <v>-1331.912758878841</v>
      </c>
      <c r="G3182">
        <f>-807.342796524779 -136.899316436054 -480.622427911818</f>
        <v>-1424.8645408726511</v>
      </c>
      <c r="H3182">
        <f>-806.477473543382 -135.030869218543 -605.187927125211</f>
        <v>-1546.6962698871359</v>
      </c>
      <c r="I3182">
        <f>-773.323616898461 -121.677485906092 -680.204799707304</f>
        <v>-1575.2059025118569</v>
      </c>
      <c r="J3182">
        <f>-817.4435204119 -110.24753444423 -550.062185880786</f>
        <v>-1477.753240736916</v>
      </c>
      <c r="K3182" t="s">
        <v>34144</v>
      </c>
      <c r="L3182" t="s">
        <v>34145</v>
      </c>
      <c r="M3182" t="s">
        <v>34146</v>
      </c>
      <c r="N3182">
        <f>-796.272952596107 -161.458711395756 -550.683402049417</f>
        <v>-1508.4150660412802</v>
      </c>
      <c r="O3182">
        <f>-744.54859674201 -285.855971725431 -523.423516061</f>
        <v>-1553.8280845284412</v>
      </c>
      <c r="P3182">
        <f>-701.655930743928 -312.160129255156 -233.493267670863</f>
        <v>-1247.3093276699469</v>
      </c>
      <c r="Q3182">
        <f>-583.91588568209 -130.15075031568 -338.663443960545</f>
        <v>-1052.7300799583149</v>
      </c>
      <c r="R3182">
        <f>-798.627362791336 -18.6710077910295 -99.2708308245162</f>
        <v>-916.5692014068818</v>
      </c>
      <c r="S3182" t="s">
        <v>34147</v>
      </c>
      <c r="T3182" t="s">
        <v>34148</v>
      </c>
      <c r="U3182" t="s">
        <v>34149</v>
      </c>
      <c r="V3182">
        <f>-710.031715756331 -192.096426895882 -92.7934463296937</f>
        <v>-994.92158898190667</v>
      </c>
      <c r="W3182" t="s">
        <v>34150</v>
      </c>
      <c r="X3182" t="s">
        <v>34151</v>
      </c>
      <c r="Y3182" t="s">
        <v>34152</v>
      </c>
    </row>
    <row r="3183" spans="1:25" x14ac:dyDescent="0.3">
      <c r="A3183">
        <v>159100</v>
      </c>
      <c r="B3183" t="s">
        <v>34153</v>
      </c>
      <c r="C3183">
        <f>-753.765204057428 -105.213037516371 -94.9336683940126</f>
        <v>-953.91190996781165</v>
      </c>
      <c r="D3183">
        <f>-783.100463657738 -123.971646981661 -205.404362212791</f>
        <v>-1112.47647285219</v>
      </c>
      <c r="E3183">
        <f>-796.395344673825 -131.76311130536 -302.816962500502</f>
        <v>-1230.9754184796871</v>
      </c>
      <c r="F3183">
        <f>-804.080480773843 -135.794670484625 -391.490136020061</f>
        <v>-1331.365287278529</v>
      </c>
      <c r="G3183">
        <f>-807.051957260948 -136.715748150718 -480.532484791752</f>
        <v>-1424.300190203418</v>
      </c>
      <c r="H3183">
        <f>-806.216239495483 -134.791041738527 -605.097345487335</f>
        <v>-1546.1046267213451</v>
      </c>
      <c r="I3183">
        <f>-772.976489018573 -121.440521127323 -680.076829745578</f>
        <v>-1574.4938398914742</v>
      </c>
      <c r="J3183">
        <f>-817.209148764336 -110.049071424181 -549.958415139653</f>
        <v>-1477.21663532817</v>
      </c>
      <c r="K3183" t="s">
        <v>34154</v>
      </c>
      <c r="L3183" t="s">
        <v>34155</v>
      </c>
      <c r="M3183" t="s">
        <v>34156</v>
      </c>
      <c r="N3183">
        <f>-795.958840644918 -161.226931498127 -550.606567572078</f>
        <v>-1507.792339715123</v>
      </c>
      <c r="O3183">
        <f>-743.917799814861 -285.489793034411 -523.2818549221</f>
        <v>-1552.6894477713722</v>
      </c>
      <c r="P3183">
        <f>-700.4272214397 -310.589830450392 -233.333961578092</f>
        <v>-1244.351013468184</v>
      </c>
      <c r="Q3183">
        <f>-588.223362060635 -124.983504717383 -338.269475919473</f>
        <v>-1051.476342697491</v>
      </c>
      <c r="R3183">
        <f>-798.134288951566 -18.7304214489773 -99.1305231979527</f>
        <v>-915.99523359849593</v>
      </c>
      <c r="S3183" t="s">
        <v>34157</v>
      </c>
      <c r="T3183" t="s">
        <v>34158</v>
      </c>
      <c r="U3183" t="s">
        <v>34159</v>
      </c>
      <c r="V3183">
        <f>-709.708144898779 -191.98879091963 -92.7777513984286</f>
        <v>-994.47468721683754</v>
      </c>
      <c r="W3183" t="s">
        <v>34160</v>
      </c>
      <c r="X3183" t="s">
        <v>34161</v>
      </c>
      <c r="Y3183" t="s">
        <v>34162</v>
      </c>
    </row>
    <row r="3184" spans="1:25" x14ac:dyDescent="0.3">
      <c r="A3184">
        <v>159150</v>
      </c>
      <c r="B3184" t="s">
        <v>34163</v>
      </c>
      <c r="C3184">
        <f>-753.552179035212 -105.149989380262 -94.8763678818987</f>
        <v>-953.57853629737269</v>
      </c>
      <c r="D3184">
        <f>-782.883586025183 -123.883520288484 -205.352268155664</f>
        <v>-1112.119374469331</v>
      </c>
      <c r="E3184">
        <f>-796.184267373249 -131.669128742732 -302.764564357773</f>
        <v>-1230.617960473754</v>
      </c>
      <c r="F3184">
        <f>-803.878909840375 -135.701219496669 -391.43678181859</f>
        <v>-1331.0169111556338</v>
      </c>
      <c r="G3184">
        <f>-806.864900180598 -136.627820822609 -480.478855139016</f>
        <v>-1423.9715761422231</v>
      </c>
      <c r="H3184">
        <f>-806.055144672287 -134.715277363805 -605.043977898332</f>
        <v>-1545.8143999344238</v>
      </c>
      <c r="I3184">
        <f>-772.809125307079 -121.343332706153 -680.016751164639</f>
        <v>-1574.1692091778709</v>
      </c>
      <c r="J3184">
        <f>-817.072820465094 -109.983058347069 -549.905654632425</f>
        <v>-1476.961533444588</v>
      </c>
      <c r="K3184" t="s">
        <v>34164</v>
      </c>
      <c r="L3184" t="s">
        <v>34165</v>
      </c>
      <c r="M3184" t="s">
        <v>34166</v>
      </c>
      <c r="N3184">
        <f>-795.750165491283 -161.130784289278 -550.552427799946</f>
        <v>-1507.4333775805071</v>
      </c>
      <c r="O3184">
        <f>-743.569012824395 -285.359425260178 -523.210231984276</f>
        <v>-1552.138670068849</v>
      </c>
      <c r="P3184">
        <f>-700.295281431626 -309.93540848205 -233.185082506259</f>
        <v>-1243.4157724199349</v>
      </c>
      <c r="Q3184">
        <f>-589.172960819755 -123.38531251381 -337.596838007746</f>
        <v>-1050.1551113413111</v>
      </c>
      <c r="R3184">
        <f>-797.948509713032 -18.6907068999606 -99.0547789357286</f>
        <v>-915.69399554872109</v>
      </c>
      <c r="S3184" t="s">
        <v>34167</v>
      </c>
      <c r="T3184" t="s">
        <v>34168</v>
      </c>
      <c r="U3184" t="s">
        <v>34169</v>
      </c>
      <c r="V3184">
        <f>-709.435787321584 -191.897912002101 -92.7621793133998</f>
        <v>-994.09587863708487</v>
      </c>
      <c r="W3184" t="s">
        <v>34170</v>
      </c>
      <c r="X3184" t="s">
        <v>34171</v>
      </c>
      <c r="Y3184" t="s">
        <v>34172</v>
      </c>
    </row>
    <row r="3185" spans="1:25" x14ac:dyDescent="0.3">
      <c r="A3185">
        <v>159200</v>
      </c>
      <c r="B3185" t="s">
        <v>34173</v>
      </c>
      <c r="C3185">
        <f>-752.950342663325 -105.02162609631 -94.8377911429012</f>
        <v>-952.80975990253626</v>
      </c>
      <c r="D3185">
        <f>-782.194597970909 -123.742274763418 -205.339104895664</f>
        <v>-1111.2759776299908</v>
      </c>
      <c r="E3185">
        <f>-795.458845299481 -131.439945929535 -302.763129254846</f>
        <v>-1229.6619204838621</v>
      </c>
      <c r="F3185">
        <f>-803.135025340663 -135.362266724635 -391.442092638017</f>
        <v>-1329.939384703315</v>
      </c>
      <c r="G3185">
        <f>-806.117164148724 -136.148524647673 -480.48552737188</f>
        <v>-1422.7512161682769</v>
      </c>
      <c r="H3185">
        <f>-805.317003748007 -134.007696638463 -605.047090740618</f>
        <v>-1544.371791127088</v>
      </c>
      <c r="I3185">
        <f>-772.075486960046 -120.442127641247 -679.987168219705</f>
        <v>-1572.5047828209981</v>
      </c>
      <c r="J3185">
        <f>-816.368496891564 -109.392414980529 -549.863189519568</f>
        <v>-1475.624101391661</v>
      </c>
      <c r="K3185" t="s">
        <v>34174</v>
      </c>
      <c r="L3185" t="s">
        <v>34175</v>
      </c>
      <c r="M3185" t="s">
        <v>34176</v>
      </c>
      <c r="N3185">
        <f>-794.969709711609 -160.507100412098 -550.604210128021</f>
        <v>-1506.081020251728</v>
      </c>
      <c r="O3185">
        <f>-742.905866287384 -284.809013030663 -523.446484759552</f>
        <v>-1551.161364077599</v>
      </c>
      <c r="P3185">
        <f>-698.670858034178 -311.130532372631 -233.719597904</f>
        <v>-1243.5209883108091</v>
      </c>
      <c r="Q3185">
        <f>-589.073538806262 -122.778330335619 -336.494850787662</f>
        <v>-1048.346719929543</v>
      </c>
      <c r="R3185">
        <f>-797.43185406622 -18.6069432028562 -98.9829967902383</f>
        <v>-915.02179405931452</v>
      </c>
      <c r="S3185" t="s">
        <v>34177</v>
      </c>
      <c r="T3185" t="s">
        <v>34178</v>
      </c>
      <c r="U3185" t="s">
        <v>34179</v>
      </c>
      <c r="V3185">
        <f>-708.680273488509 -191.726761373264 -92.758668461227</f>
        <v>-993.165703323</v>
      </c>
      <c r="W3185" t="s">
        <v>34180</v>
      </c>
      <c r="X3185" t="s">
        <v>34181</v>
      </c>
      <c r="Y3185" t="s">
        <v>34182</v>
      </c>
    </row>
    <row r="3186" spans="1:25" x14ac:dyDescent="0.3">
      <c r="A3186">
        <v>159250</v>
      </c>
      <c r="B3186" t="s">
        <v>34183</v>
      </c>
      <c r="C3186">
        <f>-752.698354714919 -104.873028967953 -94.8344624409721</f>
        <v>-952.40584612384407</v>
      </c>
      <c r="D3186">
        <f>-781.929782468988 -123.602999749068 -205.337585201949</f>
        <v>-1110.8703674200051</v>
      </c>
      <c r="E3186">
        <f>-795.202459261213 -131.251794393917 -302.764463097072</f>
        <v>-1229.218716752202</v>
      </c>
      <c r="F3186">
        <f>-802.893331134729 -135.107378712626 -391.444908839352</f>
        <v>-1329.4456186867069</v>
      </c>
      <c r="G3186">
        <f>-805.896751538545 -135.804145489283 -480.488318443981</f>
        <v>-1422.1892154718089</v>
      </c>
      <c r="H3186">
        <f>-805.133067932421 -133.514677700339 -605.047470782957</f>
        <v>-1543.6952164157169</v>
      </c>
      <c r="I3186">
        <f>-771.91519948462 -119.852616757157 -679.980402649486</f>
        <v>-1571.7482188912629</v>
      </c>
      <c r="J3186">
        <f>-816.180800738103 -108.970527641134 -549.831174826065</f>
        <v>-1474.982503205302</v>
      </c>
      <c r="K3186" t="s">
        <v>34184</v>
      </c>
      <c r="L3186" t="s">
        <v>34185</v>
      </c>
      <c r="M3186" t="s">
        <v>34186</v>
      </c>
      <c r="N3186">
        <f>-794.757529679162 -160.073853193977 -550.63918392634</f>
        <v>-1505.470566799479</v>
      </c>
      <c r="O3186">
        <f>-742.640860839945 -284.368611487516 -523.551411786085</f>
        <v>-1550.5608841135461</v>
      </c>
      <c r="P3186">
        <f>-698.337839440004 -311.050327982863 -233.867958183869</f>
        <v>-1243.2561256067361</v>
      </c>
      <c r="Q3186">
        <f>-588.473853669114 -122.558398384171 -336.100871110808</f>
        <v>-1047.1331231640929</v>
      </c>
      <c r="R3186">
        <f>-797.21711942624 -18.4909306595107 -98.9698734906953</f>
        <v>-914.67792357644589</v>
      </c>
      <c r="S3186" t="s">
        <v>34187</v>
      </c>
      <c r="T3186" t="s">
        <v>34188</v>
      </c>
      <c r="U3186" t="s">
        <v>34189</v>
      </c>
      <c r="V3186">
        <f>-708.459822395495 -191.497785147784 -92.7659134166762</f>
        <v>-992.72352095995518</v>
      </c>
      <c r="W3186" t="s">
        <v>34190</v>
      </c>
      <c r="X3186" t="s">
        <v>34191</v>
      </c>
      <c r="Y3186" t="s">
        <v>34192</v>
      </c>
    </row>
    <row r="3187" spans="1:25" x14ac:dyDescent="0.3">
      <c r="A3187">
        <v>159300</v>
      </c>
      <c r="B3187" t="s">
        <v>34193</v>
      </c>
      <c r="C3187">
        <f>-752.471905401719 -104.517788207298 -94.872062511792</f>
        <v>-951.86175612080899</v>
      </c>
      <c r="D3187">
        <f>-781.674600153661 -123.253650709446 -205.381787959662</f>
        <v>-1110.310038822769</v>
      </c>
      <c r="E3187">
        <f>-794.979967623401 -130.846934627975 -302.808512157327</f>
        <v>-1228.6354144087029</v>
      </c>
      <c r="F3187">
        <f>-802.722676493802 -134.628607083991 -391.487606945357</f>
        <v>-1328.83889052315</v>
      </c>
      <c r="G3187">
        <f>-805.799991507386 -135.227288896649 -480.529362785648</f>
        <v>-1421.5566431896832</v>
      </c>
      <c r="H3187">
        <f>-805.162364489432 -132.775356607491 -605.085999432203</f>
        <v>-1543.023720529126</v>
      </c>
      <c r="I3187">
        <f>-772.011988354814 -118.966779243233 -680.021982456561</f>
        <v>-1571.000750054608</v>
      </c>
      <c r="J3187">
        <f>-816.181298912106 -108.31457665547 -549.827010738696</f>
        <v>-1474.3228863062718</v>
      </c>
      <c r="K3187" t="s">
        <v>34194</v>
      </c>
      <c r="L3187" t="s">
        <v>34195</v>
      </c>
      <c r="M3187" t="s">
        <v>34196</v>
      </c>
      <c r="N3187">
        <f>-794.704503645575 -159.394041224824 -550.72251069339</f>
        <v>-1504.8210555637888</v>
      </c>
      <c r="O3187">
        <f>-742.643054983151 -283.753591099611 -523.819630664839</f>
        <v>-1550.2162767476011</v>
      </c>
      <c r="P3187">
        <f>-699.915511065319 -311.010528348661 -233.953088543644</f>
        <v>-1244.8791279576242</v>
      </c>
      <c r="Q3187">
        <f>-587.415313475747 -123.644664879266 -335.385829245321</f>
        <v>-1046.4458076003339</v>
      </c>
      <c r="R3187">
        <f>-797.101672649384 -18.2493411663347 -98.9612947744762</f>
        <v>-914.3123085901949</v>
      </c>
      <c r="S3187" t="s">
        <v>34197</v>
      </c>
      <c r="T3187" t="s">
        <v>34198</v>
      </c>
      <c r="U3187" t="s">
        <v>34199</v>
      </c>
      <c r="V3187">
        <f>-708.177507396018 -191.026090593997 -92.7886373006127</f>
        <v>-991.9922352906276</v>
      </c>
      <c r="W3187" t="s">
        <v>34200</v>
      </c>
      <c r="X3187" t="s">
        <v>34201</v>
      </c>
      <c r="Y3187" t="s">
        <v>34202</v>
      </c>
    </row>
    <row r="3188" spans="1:25" x14ac:dyDescent="0.3">
      <c r="A3188">
        <v>159350</v>
      </c>
      <c r="B3188" t="s">
        <v>34203</v>
      </c>
      <c r="C3188">
        <f>-752.348080394182 -104.56862589623 -94.8713605884558</f>
        <v>-951.78806687886788</v>
      </c>
      <c r="D3188">
        <f>-781.52153950937 -123.295496314302 -205.390391075071</f>
        <v>-1110.2074268987431</v>
      </c>
      <c r="E3188">
        <f>-794.84170063979 -130.846461986431 -302.818364514299</f>
        <v>-1228.5065271405201</v>
      </c>
      <c r="F3188">
        <f>-802.613674531667 -134.575857858956 -391.497101990905</f>
        <v>-1328.6866343815282</v>
      </c>
      <c r="G3188">
        <f>-805.736310862094 -135.107834119739 -480.537558629011</f>
        <v>-1421.3817036108439</v>
      </c>
      <c r="H3188">
        <f>-805.178547089382 -132.547447793165 -605.092586084272</f>
        <v>-1542.8185809668191</v>
      </c>
      <c r="I3188">
        <f>-772.055914606099 -118.652157877566 -680.024829275065</f>
        <v>-1570.7329017587299</v>
      </c>
      <c r="J3188">
        <f>-816.168978816953 -108.137725189497 -549.805367437644</f>
        <v>-1474.112071444094</v>
      </c>
      <c r="K3188" t="s">
        <v>34204</v>
      </c>
      <c r="L3188" t="s">
        <v>34205</v>
      </c>
      <c r="M3188" t="s">
        <v>34206</v>
      </c>
      <c r="N3188">
        <f>-794.679028912101 -159.210585039262 -550.758913428504</f>
        <v>-1504.6485273798671</v>
      </c>
      <c r="O3188">
        <f>-742.589658006376 -283.572630400603 -523.951882912531</f>
        <v>-1550.1141713195098</v>
      </c>
      <c r="P3188">
        <f>-701.364267355748 -310.936199824037 -233.87788879975</f>
        <v>-1246.1783559795349</v>
      </c>
      <c r="Q3188">
        <f>-586.793506177285 -124.724090334674 -335.117416454164</f>
        <v>-1046.635012966123</v>
      </c>
      <c r="R3188">
        <f>-796.941231254651 -18.3396572184492 -98.9516227964399</f>
        <v>-914.23251126954017</v>
      </c>
      <c r="S3188" t="s">
        <v>34207</v>
      </c>
      <c r="T3188" t="s">
        <v>34208</v>
      </c>
      <c r="U3188" t="s">
        <v>34209</v>
      </c>
      <c r="V3188">
        <f>-708.053118429433 -191.124768806169 -92.7958896869853</f>
        <v>-991.97377692258726</v>
      </c>
      <c r="W3188" t="s">
        <v>34210</v>
      </c>
      <c r="X3188" t="s">
        <v>34211</v>
      </c>
      <c r="Y3188" t="s">
        <v>34212</v>
      </c>
    </row>
    <row r="3189" spans="1:25" x14ac:dyDescent="0.3">
      <c r="A3189">
        <v>159400</v>
      </c>
      <c r="B3189" t="s">
        <v>34213</v>
      </c>
      <c r="C3189">
        <f>-752.094309410947 -104.659955248788 -94.8400000843221</f>
        <v>-951.59426474405711</v>
      </c>
      <c r="D3189">
        <f>-781.238140406945 -123.358138691086 -205.371640286422</f>
        <v>-1109.9679193844531</v>
      </c>
      <c r="E3189">
        <f>-794.549046687296 -130.799301499003 -302.809459788218</f>
        <v>-1228.157807974517</v>
      </c>
      <c r="F3189">
        <f>-802.318015225662 -134.395716040655 -391.493992270292</f>
        <v>-1328.2077235366089</v>
      </c>
      <c r="G3189">
        <f>-805.442253889062 -134.761217205831 -480.535158052126</f>
        <v>-1420.7386291470191</v>
      </c>
      <c r="H3189">
        <f>-804.891113343224 -131.933769155345 -605.084377706789</f>
        <v>-1541.9092602053579</v>
      </c>
      <c r="I3189">
        <f>-771.772214567194 -117.91409139249 -679.995090782688</f>
        <v>-1569.681396742372</v>
      </c>
      <c r="J3189">
        <f>-815.888909915096 -107.646979654659 -549.744539457659</f>
        <v>-1473.2804290274139</v>
      </c>
      <c r="K3189" t="s">
        <v>34214</v>
      </c>
      <c r="L3189" t="s">
        <v>34215</v>
      </c>
      <c r="M3189" t="s">
        <v>34216</v>
      </c>
      <c r="N3189">
        <f>-794.37836691875 -158.709008078491 -550.808543759623</f>
        <v>-1503.8959187568639</v>
      </c>
      <c r="O3189">
        <f>-742.068057162194 -283.009528590441 -524.155031300982</f>
        <v>-1549.2326170536171</v>
      </c>
      <c r="P3189">
        <f>-705.525894233797 -311.17611349533 -233.530635836944</f>
        <v>-1250.2326435660709</v>
      </c>
      <c r="Q3189">
        <f>-584.812936869026 -127.282956738321 -331.829051204385</f>
        <v>-1043.9249448117321</v>
      </c>
      <c r="R3189">
        <f>-796.713682127477 -18.4102477108654 -98.9236399329154</f>
        <v>-914.04756977125783</v>
      </c>
      <c r="S3189" t="s">
        <v>34217</v>
      </c>
      <c r="T3189" t="s">
        <v>34218</v>
      </c>
      <c r="U3189" t="s">
        <v>34219</v>
      </c>
      <c r="V3189">
        <f>-707.775613789935 -191.147355718616 -92.8060124400341</f>
        <v>-991.72898194858521</v>
      </c>
      <c r="W3189" t="s">
        <v>34220</v>
      </c>
      <c r="X3189" t="s">
        <v>34221</v>
      </c>
      <c r="Y3189" t="s">
        <v>34222</v>
      </c>
    </row>
    <row r="3190" spans="1:25" x14ac:dyDescent="0.3">
      <c r="A3190">
        <v>159450</v>
      </c>
      <c r="B3190" t="s">
        <v>34223</v>
      </c>
      <c r="C3190">
        <f>-751.979502789142 -104.680522388942 -94.8345293078777</f>
        <v>-951.49455448596166</v>
      </c>
      <c r="D3190">
        <f>-781.117737324194 -123.363340196916 -205.370222336276</f>
        <v>-1109.8512998573858</v>
      </c>
      <c r="E3190">
        <f>-794.384506104973 -130.754394323515 -302.817649520149</f>
        <v>-1227.9565499486368</v>
      </c>
      <c r="F3190">
        <f>-802.09674452127 -134.291477207365 -391.509644688309</f>
        <v>-1327.897866416944</v>
      </c>
      <c r="G3190">
        <f>-805.147146727909 -134.583623284545 -480.553715084705</f>
        <v>-1420.2844850971592</v>
      </c>
      <c r="H3190">
        <f>-804.475053804681 -131.639273950318 -605.099751716323</f>
        <v>-1541.2140794713221</v>
      </c>
      <c r="I3190">
        <f>-771.345174500302 -117.570227367722 -679.996292311455</f>
        <v>-1568.9116941794791</v>
      </c>
      <c r="J3190">
        <f>-815.539217321177 -107.409751192858 -549.747888115194</f>
        <v>-1472.6968566292289</v>
      </c>
      <c r="K3190" t="s">
        <v>34224</v>
      </c>
      <c r="L3190" t="s">
        <v>34225</v>
      </c>
      <c r="M3190" t="s">
        <v>34226</v>
      </c>
      <c r="N3190">
        <f>-794.002484317024 -158.460169287253 -550.838382494635</f>
        <v>-1503.3010360989119</v>
      </c>
      <c r="O3190">
        <f>-741.627282446115 -282.771238859605 -524.362576508082</f>
        <v>-1548.7610978138018</v>
      </c>
      <c r="P3190">
        <f>-707.655586807468 -311.866796661211 -233.518164845021</f>
        <v>-1253.0405483136999</v>
      </c>
      <c r="Q3190">
        <f>-582.694101399642 -129.70731609067 -329.71282083236</f>
        <v>-1042.114238322672</v>
      </c>
      <c r="R3190">
        <f>-796.629562931956 -18.4554905089508 -98.892485876705</f>
        <v>-913.97753931761179</v>
      </c>
      <c r="S3190" t="s">
        <v>34227</v>
      </c>
      <c r="T3190" t="s">
        <v>34228</v>
      </c>
      <c r="U3190" t="s">
        <v>34229</v>
      </c>
      <c r="V3190">
        <f>-707.61007587617 -191.148929886776 -92.8138964865453</f>
        <v>-991.57290224949122</v>
      </c>
      <c r="W3190" t="s">
        <v>34230</v>
      </c>
      <c r="X3190" t="s">
        <v>34231</v>
      </c>
      <c r="Y3190" t="s">
        <v>34232</v>
      </c>
    </row>
    <row r="3191" spans="1:25" x14ac:dyDescent="0.3">
      <c r="A3191">
        <v>159500</v>
      </c>
      <c r="B3191" t="s">
        <v>34233</v>
      </c>
      <c r="C3191">
        <f>-751.848413389602 -104.907159448048 -94.8354709936724</f>
        <v>-951.59104383132239</v>
      </c>
      <c r="D3191">
        <f>-780.984638482542 -123.593795576856 -205.370957751583</f>
        <v>-1109.9493918109811</v>
      </c>
      <c r="E3191">
        <f>-794.229485004272 -130.856061270025 -302.83121418805</f>
        <v>-1227.9167604623472</v>
      </c>
      <c r="F3191">
        <f>-801.911797796086 -134.223925084646 -391.532295839774</f>
        <v>-1327.6680187205061</v>
      </c>
      <c r="G3191">
        <f>-804.921589351478 -134.293929270226 -480.578321000517</f>
        <v>-1419.793839622221</v>
      </c>
      <c r="H3191">
        <f>-804.181010289436 -130.984102013884 -605.114657671009</f>
        <v>-1540.2797699743292</v>
      </c>
      <c r="I3191">
        <f>-771.08139522736 -116.727016884906 -679.989073151029</f>
        <v>-1567.7974852632949</v>
      </c>
      <c r="J3191">
        <f>-815.306548759117 -106.930192864633 -549.698448491731</f>
        <v>-1471.935190115481</v>
      </c>
      <c r="K3191" t="s">
        <v>34234</v>
      </c>
      <c r="L3191" t="s">
        <v>34235</v>
      </c>
      <c r="M3191" t="s">
        <v>34236</v>
      </c>
      <c r="N3191">
        <f>-793.707203096395 -157.951020405844 -550.9261301771</f>
        <v>-1502.5843536793391</v>
      </c>
      <c r="O3191">
        <f>-741.373052480672 -282.395386268753 -524.99703927158</f>
        <v>-1548.765478021005</v>
      </c>
      <c r="P3191">
        <f>-711.767050415631 -312.196523778436 -233.747045055864</f>
        <v>-1257.7106192499311</v>
      </c>
      <c r="Q3191">
        <f>-578.00957714768 -135.415862925539 -328.131446706452</f>
        <v>-1041.556886779671</v>
      </c>
      <c r="R3191">
        <f>-796.53991019396 -18.7737505909156 -98.8351279645503</f>
        <v>-914.14878874942599</v>
      </c>
      <c r="S3191" t="s">
        <v>34237</v>
      </c>
      <c r="T3191" t="s">
        <v>34238</v>
      </c>
      <c r="U3191" t="s">
        <v>34239</v>
      </c>
      <c r="V3191">
        <f>-707.480493963381 -191.360981661853 -92.8455646645667</f>
        <v>-991.68704028980073</v>
      </c>
      <c r="W3191" t="s">
        <v>34240</v>
      </c>
      <c r="X3191" t="s">
        <v>34241</v>
      </c>
      <c r="Y3191" t="s">
        <v>34242</v>
      </c>
    </row>
    <row r="3192" spans="1:25" x14ac:dyDescent="0.3">
      <c r="A3192">
        <v>159550</v>
      </c>
      <c r="B3192" t="s">
        <v>34243</v>
      </c>
      <c r="C3192">
        <f>-751.928413666173 -105.168030806983 -94.8219697088765</f>
        <v>-951.91841418203251</v>
      </c>
      <c r="D3192">
        <f>-781.057499159999 -123.845788088222 -205.360916132742</f>
        <v>-1110.264203380963</v>
      </c>
      <c r="E3192">
        <f>-794.340083104199 -131.049258924728 -302.820433974204</f>
        <v>-1228.2097760031311</v>
      </c>
      <c r="F3192">
        <f>-802.073732209424 -134.343211462882 -391.519815609012</f>
        <v>-1327.936759281318</v>
      </c>
      <c r="G3192">
        <f>-805.152080802981 -134.318386823549 -480.563438755748</f>
        <v>-1420.033906382278</v>
      </c>
      <c r="H3192">
        <f>-804.52490386175 -130.853753636547 -605.09617095695</f>
        <v>-1540.474828455247</v>
      </c>
      <c r="I3192">
        <f>-771.45708339414 -116.488126442725 -679.963816887563</f>
        <v>-1567.909026724428</v>
      </c>
      <c r="J3192">
        <f>-815.611666105312 -106.873645013534 -549.640294929406</f>
        <v>-1472.1256060482519</v>
      </c>
      <c r="K3192" t="s">
        <v>34244</v>
      </c>
      <c r="L3192" t="s">
        <v>34245</v>
      </c>
      <c r="M3192" t="s">
        <v>34246</v>
      </c>
      <c r="N3192">
        <f>-793.990080590843 -157.882972414044 -550.95052930717</f>
        <v>-1502.8235823120569</v>
      </c>
      <c r="O3192">
        <f>-741.687633452462 -282.38061896891 -525.260704236654</f>
        <v>-1549.3289566580261</v>
      </c>
      <c r="P3192">
        <f>-713.444973655852 -311.631702367106 -233.819618888536</f>
        <v>-1258.8962949114941</v>
      </c>
      <c r="Q3192">
        <f>-575.907717573704 -138.020152016001 -328.653131321674</f>
        <v>-1042.5810009113789</v>
      </c>
      <c r="R3192">
        <f>-796.60993833661 -18.9864172844243 -98.8059243697019</f>
        <v>-914.40227999073613</v>
      </c>
      <c r="S3192" t="s">
        <v>34247</v>
      </c>
      <c r="T3192" t="s">
        <v>34248</v>
      </c>
      <c r="U3192" t="s">
        <v>34249</v>
      </c>
      <c r="V3192">
        <f>-707.584372368782 -191.659895966625 -92.8351875528314</f>
        <v>-992.07945588823839</v>
      </c>
      <c r="W3192" t="s">
        <v>34250</v>
      </c>
      <c r="X3192" t="s">
        <v>34251</v>
      </c>
      <c r="Y3192" t="s">
        <v>34252</v>
      </c>
    </row>
    <row r="3193" spans="1:25" x14ac:dyDescent="0.3">
      <c r="A3193">
        <v>159600</v>
      </c>
      <c r="B3193" t="s">
        <v>34253</v>
      </c>
      <c r="C3193">
        <f>-752.195462523066 -105.468698202807 -94.7738978471082</f>
        <v>-952.43805857298116</v>
      </c>
      <c r="D3193">
        <f>-781.322231757937 -124.073909170053 -205.325692526749</f>
        <v>-1110.721833454739</v>
      </c>
      <c r="E3193">
        <f>-794.718119613188 -131.208136307765 -302.774633321333</f>
        <v>-1228.7008892422859</v>
      </c>
      <c r="F3193">
        <f>-802.602075147351 -134.435510408236 -391.463301696227</f>
        <v>-1328.500887251814</v>
      </c>
      <c r="G3193">
        <f>-805.879360677123 -134.338221875542 -480.499787598186</f>
        <v>-1420.7173701508509</v>
      </c>
      <c r="H3193">
        <f>-805.581504054591 -130.76512046546 -605.030746986864</f>
        <v>-1541.3773715069151</v>
      </c>
      <c r="I3193">
        <f>-772.614731437522 -116.229303317414 -679.910135252904</f>
        <v>-1568.75417000784</v>
      </c>
      <c r="J3193">
        <f>-816.555083409182 -106.847618066632 -549.52537050143</f>
        <v>-1472.9280719772439</v>
      </c>
      <c r="K3193" t="s">
        <v>34254</v>
      </c>
      <c r="L3193" t="s">
        <v>34255</v>
      </c>
      <c r="M3193" t="s">
        <v>34256</v>
      </c>
      <c r="N3193">
        <f>-794.870050737959 -157.827368475914 -550.936166665796</f>
        <v>-1503.633585879669</v>
      </c>
      <c r="O3193">
        <f>-742.435523389423 -282.342308674868 -525.540837062942</f>
        <v>-1550.3186691272331</v>
      </c>
      <c r="P3193">
        <f>-714.646451048487 -310.027002315461 -233.90307045761</f>
        <v>-1258.5765238215581</v>
      </c>
      <c r="Q3193">
        <f>-573.303060550073 -140.505534337488 -330.522785995053</f>
        <v>-1044.3313808826142</v>
      </c>
      <c r="R3193">
        <f>-796.817209955375 -19.3092683505893 -98.7335584053772</f>
        <v>-914.86003671134142</v>
      </c>
      <c r="S3193" t="s">
        <v>34257</v>
      </c>
      <c r="T3193" t="s">
        <v>34258</v>
      </c>
      <c r="U3193" t="s">
        <v>34259</v>
      </c>
      <c r="V3193">
        <f>-707.877219826677 -191.869432694366 -92.8517287650517</f>
        <v>-992.59838128609465</v>
      </c>
      <c r="W3193" t="s">
        <v>34260</v>
      </c>
      <c r="X3193" t="s">
        <v>34261</v>
      </c>
      <c r="Y3193" t="s">
        <v>34262</v>
      </c>
    </row>
    <row r="3194" spans="1:25" x14ac:dyDescent="0.3">
      <c r="A3194">
        <v>159650</v>
      </c>
      <c r="B3194" t="s">
        <v>34263</v>
      </c>
      <c r="C3194">
        <f>-752.278854148596 -105.6130054212 -94.7510888039512</f>
        <v>-952.64294837374723</v>
      </c>
      <c r="D3194">
        <f>-781.427655679463 -124.209269892451 -205.298544408328</f>
        <v>-1110.935469980242</v>
      </c>
      <c r="E3194">
        <f>-794.907877252153 -131.322258352955 -302.737603806014</f>
        <v>-1228.967739411122</v>
      </c>
      <c r="F3194">
        <f>-802.895599796014 -134.523242450984 -391.417792390357</f>
        <v>-1328.836634637355</v>
      </c>
      <c r="G3194">
        <f>-806.304889629544 -134.391125552221 -480.44929416034</f>
        <v>-1421.1453093421051</v>
      </c>
      <c r="H3194">
        <f>-806.221578574214 -130.759030164872 -604.978839852175</f>
        <v>-1541.9594485912612</v>
      </c>
      <c r="I3194">
        <f>-773.330408857798 -116.141390542244 -679.87566664413</f>
        <v>-1569.3474660441721</v>
      </c>
      <c r="J3194">
        <f>-817.134957648141 -106.882880459304 -549.443767751246</f>
        <v>-1473.4616058586912</v>
      </c>
      <c r="K3194" t="s">
        <v>34264</v>
      </c>
      <c r="L3194" t="s">
        <v>34265</v>
      </c>
      <c r="M3194" t="s">
        <v>34266</v>
      </c>
      <c r="N3194">
        <f>-795.381535934754 -157.831780296312 -550.915254054734</f>
        <v>-1504.1285702857999</v>
      </c>
      <c r="O3194">
        <f>-742.807772410474 -282.323485187056 -525.695310926337</f>
        <v>-1550.8265685238669</v>
      </c>
      <c r="P3194">
        <f>-714.757309228288 -309.157637662181 -234.003258733644</f>
        <v>-1257.9182056241132</v>
      </c>
      <c r="Q3194">
        <f>-572.436449662338 -141.174960751158 -331.867522535185</f>
        <v>-1045.4789329486809</v>
      </c>
      <c r="R3194">
        <f>-796.881465927306 -19.5068352101264 -98.6872088567121</f>
        <v>-915.07550999414445</v>
      </c>
      <c r="S3194" t="s">
        <v>34267</v>
      </c>
      <c r="T3194" t="s">
        <v>34268</v>
      </c>
      <c r="U3194" t="s">
        <v>34269</v>
      </c>
      <c r="V3194">
        <f>-707.973463950366 -191.981172022437 -92.8498532031066</f>
        <v>-992.80448917590957</v>
      </c>
      <c r="W3194" t="s">
        <v>34270</v>
      </c>
      <c r="X3194" t="s">
        <v>34271</v>
      </c>
      <c r="Y3194" t="s">
        <v>34272</v>
      </c>
    </row>
    <row r="3195" spans="1:25" x14ac:dyDescent="0.3">
      <c r="A3195">
        <v>159700</v>
      </c>
      <c r="B3195" t="s">
        <v>34273</v>
      </c>
      <c r="C3195">
        <f>-752.436936201088 -105.767675892888 -94.6954214276789</f>
        <v>-952.90003352165479</v>
      </c>
      <c r="D3195">
        <f>-781.615878935486 -124.372306036378 -205.233616733237</f>
        <v>-1111.2218017051009</v>
      </c>
      <c r="E3195">
        <f>-795.268283965834 -131.458081596007 -302.65058512219</f>
        <v>-1229.376950684031</v>
      </c>
      <c r="F3195">
        <f>-803.472284084184 -134.618485353942 -391.312477696238</f>
        <v>-1329.4032471343639</v>
      </c>
      <c r="G3195">
        <f>-807.159726079804 -134.426859280443 -480.332780542498</f>
        <v>-1421.9193659027451</v>
      </c>
      <c r="H3195">
        <f>-807.530530887483 -130.689542974016 -604.858801467706</f>
        <v>-1543.0788753292049</v>
      </c>
      <c r="I3195">
        <f>-774.864113337784 -115.923312976778 -679.824588794898</f>
        <v>-1570.6120151094601</v>
      </c>
      <c r="J3195">
        <f>-818.322409338011 -106.895094888199 -549.264889803479</f>
        <v>-1474.482394029689</v>
      </c>
      <c r="K3195" t="s">
        <v>34274</v>
      </c>
      <c r="L3195" t="s">
        <v>34275</v>
      </c>
      <c r="M3195" t="s">
        <v>34276</v>
      </c>
      <c r="N3195">
        <f>-796.412406300931 -157.773244936738 -550.857203082958</f>
        <v>-1505.0428543206272</v>
      </c>
      <c r="O3195">
        <f>-743.517789765356 -282.217268522454 -526.042203423895</f>
        <v>-1551.777261711705</v>
      </c>
      <c r="P3195">
        <f>-714.222741715711 -308.36521158047 -234.410147636417</f>
        <v>-1256.9981009325979</v>
      </c>
      <c r="Q3195">
        <f>-572.734914222154 -141.556426183082 -335.439296197524</f>
        <v>-1049.7306366027601</v>
      </c>
      <c r="R3195">
        <f>-797.088429018901 -19.6896828473671 -98.5982948463019</f>
        <v>-915.37640671256997</v>
      </c>
      <c r="S3195" t="s">
        <v>34277</v>
      </c>
      <c r="T3195" t="s">
        <v>34278</v>
      </c>
      <c r="U3195" t="s">
        <v>34279</v>
      </c>
      <c r="V3195">
        <f>-708.056682692844 -192.079434066622 -92.846318167343</f>
        <v>-992.98243492680899</v>
      </c>
      <c r="W3195" t="s">
        <v>34280</v>
      </c>
      <c r="X3195" t="s">
        <v>34281</v>
      </c>
      <c r="Y3195" t="s">
        <v>34282</v>
      </c>
    </row>
    <row r="3196" spans="1:25" x14ac:dyDescent="0.3">
      <c r="A3196">
        <v>159750</v>
      </c>
      <c r="B3196" t="s">
        <v>34283</v>
      </c>
      <c r="C3196">
        <f>-752.465368031546 -105.809041870361 -94.6834603497658</f>
        <v>-952.95787025167272</v>
      </c>
      <c r="D3196">
        <f>-781.640659309776 -124.434921170043 -205.218881974855</f>
        <v>-1111.294462454674</v>
      </c>
      <c r="E3196">
        <f>-795.385576399398 -131.509325211819 -302.623731780006</f>
        <v>-1229.5186333912229</v>
      </c>
      <c r="F3196">
        <f>-803.712032710209 -134.6469074993 -391.275060408628</f>
        <v>-1329.634000618137</v>
      </c>
      <c r="G3196">
        <f>-807.561254929341 -134.41893534173 -480.288520461182</f>
        <v>-1422.2687107322531</v>
      </c>
      <c r="H3196">
        <f>-808.198881117752 -130.615804558278 -604.811345365301</f>
        <v>-1543.6260310413309</v>
      </c>
      <c r="I3196">
        <f>-775.671692042099 -115.787125411263 -679.825474856211</f>
        <v>-1571.2842923095732</v>
      </c>
      <c r="J3196">
        <f>-818.902906468271 -106.864242888984 -549.182069119498</f>
        <v>-1474.949218476753</v>
      </c>
      <c r="K3196" t="s">
        <v>34284</v>
      </c>
      <c r="L3196" t="s">
        <v>34285</v>
      </c>
      <c r="M3196" t="s">
        <v>34286</v>
      </c>
      <c r="N3196">
        <f>-796.933620776586 -157.714438422424 -550.847757023198</f>
        <v>-1505.4958162222081</v>
      </c>
      <c r="O3196">
        <f>-743.894049908892 -282.140231653232 -526.276887274525</f>
        <v>-1552.3111688366491</v>
      </c>
      <c r="P3196">
        <f>-713.925812538729 -308.524518257934 -234.734549426057</f>
        <v>-1257.18488022272</v>
      </c>
      <c r="Q3196">
        <f>-573.76466279329 -141.383869324055 -337.056117100671</f>
        <v>-1052.2046492180159</v>
      </c>
      <c r="R3196">
        <f>-797.162086020875 -19.7544117811931 -98.5702544953145</f>
        <v>-915.48675229738262</v>
      </c>
      <c r="S3196" t="s">
        <v>34287</v>
      </c>
      <c r="T3196" t="s">
        <v>34288</v>
      </c>
      <c r="U3196" t="s">
        <v>34289</v>
      </c>
      <c r="V3196">
        <f>-708.033020466142 -192.140643599442 -92.8393583947372</f>
        <v>-993.01302246032128</v>
      </c>
      <c r="W3196" t="s">
        <v>34290</v>
      </c>
      <c r="X3196" t="s">
        <v>34291</v>
      </c>
      <c r="Y3196" t="s">
        <v>34292</v>
      </c>
    </row>
    <row r="3197" spans="1:25" x14ac:dyDescent="0.3">
      <c r="A3197">
        <v>159800</v>
      </c>
      <c r="B3197" t="s">
        <v>34293</v>
      </c>
      <c r="C3197">
        <f>-752.493599991166 -105.895875226252 -94.663004336662</f>
        <v>-953.05247955407992</v>
      </c>
      <c r="D3197">
        <f>-781.692857625985 -124.574785845855 -205.183220522258</f>
        <v>-1111.450863994098</v>
      </c>
      <c r="E3197">
        <f>-795.636076224951 -131.629065127788 -302.561228217257</f>
        <v>-1229.8263695699959</v>
      </c>
      <c r="F3197">
        <f>-804.213640348633 -134.72110629864 -391.190354717544</f>
        <v>-1330.1251013648171</v>
      </c>
      <c r="G3197">
        <f>-808.386209803481 -134.418032391588 -480.188851463269</f>
        <v>-1422.993093658338</v>
      </c>
      <c r="H3197">
        <f>-809.551688553458 -130.477596991006 -604.703548124912</f>
        <v>-1544.7328336693761</v>
      </c>
      <c r="I3197">
        <f>-777.354639557797 -115.554937011865 -679.841369083331</f>
        <v>-1572.7509456529929</v>
      </c>
      <c r="J3197">
        <f>-820.079310539591 -106.813231510732 -549.003776691663</f>
        <v>-1475.8963187419859</v>
      </c>
      <c r="K3197" t="s">
        <v>34294</v>
      </c>
      <c r="L3197" t="s">
        <v>34295</v>
      </c>
      <c r="M3197" t="s">
        <v>34296</v>
      </c>
      <c r="N3197">
        <f>-797.998343953371 -157.609934808056 -550.817869184554</f>
        <v>-1506.426147945981</v>
      </c>
      <c r="O3197">
        <f>-744.517964482472 -281.908307249399 -526.568033553683</f>
        <v>-1552.9943052855542</v>
      </c>
      <c r="P3197">
        <f>-713.318027631674 -309.561971777563 -235.272456028609</f>
        <v>-1258.1524554378459</v>
      </c>
      <c r="Q3197">
        <f>-577.904477297652 -139.259241740036 -338.766600290866</f>
        <v>-1055.9303193285541</v>
      </c>
      <c r="R3197">
        <f>-797.328851194136 -19.8575749859274 -98.5369228181555</f>
        <v>-915.72334899821885</v>
      </c>
      <c r="S3197" t="s">
        <v>34297</v>
      </c>
      <c r="T3197" t="s">
        <v>34298</v>
      </c>
      <c r="U3197" t="s">
        <v>34299</v>
      </c>
      <c r="V3197">
        <f>-707.955707683189 -192.227692453873 -92.8366970396944</f>
        <v>-993.02009717675639</v>
      </c>
      <c r="W3197" t="s">
        <v>34300</v>
      </c>
      <c r="X3197" t="s">
        <v>34301</v>
      </c>
      <c r="Y3197" t="s">
        <v>34302</v>
      </c>
    </row>
    <row r="3198" spans="1:25" x14ac:dyDescent="0.3">
      <c r="A3198">
        <v>159850</v>
      </c>
      <c r="B3198" t="s">
        <v>34303</v>
      </c>
      <c r="C3198">
        <f>-752.504031479753 -105.975929304635 -94.6633735233446</f>
        <v>-953.14333430773263</v>
      </c>
      <c r="D3198">
        <f>-781.717177062384 -124.670118423141 -205.177355476738</f>
        <v>-1111.5646509622632</v>
      </c>
      <c r="E3198">
        <f>-795.741928159128 -131.722281645438 -302.54376883835</f>
        <v>-1230.007978642916</v>
      </c>
      <c r="F3198">
        <f>-804.421372868022 -134.806134413148 -391.163181855112</f>
        <v>-1330.3906891362819</v>
      </c>
      <c r="G3198">
        <f>-808.724332298897 -134.487713070936 -480.155542218002</f>
        <v>-1423.367587587835</v>
      </c>
      <c r="H3198">
        <f>-810.101697430906 -130.517845378209 -604.667096804916</f>
        <v>-1545.2866396140312</v>
      </c>
      <c r="I3198">
        <f>-778.089318527897 -115.559835867133 -679.876790747284</f>
        <v>-1573.525945142314</v>
      </c>
      <c r="J3198">
        <f>-820.555096268965 -106.875589931144 -548.943965476723</f>
        <v>-1476.3746516768319</v>
      </c>
      <c r="K3198" t="s">
        <v>34304</v>
      </c>
      <c r="L3198" t="s">
        <v>34305</v>
      </c>
      <c r="M3198" t="s">
        <v>34306</v>
      </c>
      <c r="N3198">
        <f>-798.436080357901 -157.653909955365 -550.807609116782</f>
        <v>-1506.8975994300481</v>
      </c>
      <c r="O3198">
        <f>-744.788564125252 -281.888139398074 -526.666345530546</f>
        <v>-1553.3430490538722</v>
      </c>
      <c r="P3198">
        <f>-713.638153485395 -309.800957683736 -235.390323863592</f>
        <v>-1258.829435032723</v>
      </c>
      <c r="Q3198">
        <f>-581.054913330393 -137.620038717189 -339.43976079805</f>
        <v>-1058.1147128456319</v>
      </c>
      <c r="R3198">
        <f>-797.369595416706 -19.9418778771735 -98.5247051414933</f>
        <v>-915.83617843537286</v>
      </c>
      <c r="S3198" t="s">
        <v>34307</v>
      </c>
      <c r="T3198" t="s">
        <v>34308</v>
      </c>
      <c r="U3198" t="s">
        <v>34309</v>
      </c>
      <c r="V3198">
        <f>-707.937160662178 -192.273842525051 -92.8466649825906</f>
        <v>-993.05766816981964</v>
      </c>
      <c r="W3198" t="s">
        <v>34310</v>
      </c>
      <c r="X3198" t="s">
        <v>34311</v>
      </c>
      <c r="Y3198" t="s">
        <v>34312</v>
      </c>
    </row>
    <row r="3199" spans="1:25" x14ac:dyDescent="0.3">
      <c r="A3199">
        <v>159900</v>
      </c>
      <c r="B3199" t="s">
        <v>34313</v>
      </c>
      <c r="C3199">
        <f>-752.646250008488 -106.011424277884 -94.6650516859661</f>
        <v>-953.32272597233805</v>
      </c>
      <c r="D3199">
        <f>-781.907272965475 -124.732438198832 -205.161738640587</f>
        <v>-1111.801449804894</v>
      </c>
      <c r="E3199">
        <f>-796.109270323646 -131.831804075486 -302.499180192248</f>
        <v>-1230.4402545913799</v>
      </c>
      <c r="F3199">
        <f>-805.003774973584 -134.96852719231 -391.095370422774</f>
        <v>-1331.0676725886681</v>
      </c>
      <c r="G3199">
        <f>-809.576150827904 -134.713203739452 -480.074454907065</f>
        <v>-1424.363809474421</v>
      </c>
      <c r="H3199">
        <f>-811.386484701446 -130.842128312111 -604.583619219099</f>
        <v>-1546.8122322326558</v>
      </c>
      <c r="I3199">
        <f>-779.717452504099 -115.888951338712 -679.939422404186</f>
        <v>-1575.545826246997</v>
      </c>
      <c r="J3199">
        <f>-821.635171067278 -107.150984174267 -548.843176489723</f>
        <v>-1477.6293317312679</v>
      </c>
      <c r="K3199" t="s">
        <v>34314</v>
      </c>
      <c r="L3199" t="s">
        <v>34315</v>
      </c>
      <c r="M3199" t="s">
        <v>34316</v>
      </c>
      <c r="N3199">
        <f>-799.544507448435 -157.940257598805 -550.74343819299</f>
        <v>-1508.22820324023</v>
      </c>
      <c r="O3199">
        <f>-745.83060252533 -282.170891335094 -526.611546497394</f>
        <v>-1554.6130403578181</v>
      </c>
      <c r="P3199">
        <f>-714.418570373236 -309.64723670277 -235.321966345618</f>
        <v>-1259.3877734216239</v>
      </c>
      <c r="Q3199">
        <f>-590.060814323524 -133.424852915448 -342.707694163639</f>
        <v>-1066.1933614026111</v>
      </c>
      <c r="R3199">
        <f>-797.451838001267 -20.0467817971253 -98.4979498332203</f>
        <v>-915.9965696316126</v>
      </c>
      <c r="S3199" t="s">
        <v>34317</v>
      </c>
      <c r="T3199" t="s">
        <v>34318</v>
      </c>
      <c r="U3199" t="s">
        <v>34319</v>
      </c>
      <c r="V3199">
        <f>-708.130971103114 -192.309954283037 -92.8455478895322</f>
        <v>-993.28647327568319</v>
      </c>
      <c r="W3199" t="s">
        <v>34320</v>
      </c>
      <c r="X3199" t="s">
        <v>34321</v>
      </c>
      <c r="Y3199" t="s">
        <v>34322</v>
      </c>
    </row>
    <row r="3200" spans="1:25" x14ac:dyDescent="0.3">
      <c r="A3200">
        <v>159950</v>
      </c>
      <c r="B3200" t="s">
        <v>34323</v>
      </c>
      <c r="C3200">
        <f>-752.76258096372 -106.124051873495 -94.6429035703205</f>
        <v>-953.52953640753549</v>
      </c>
      <c r="D3200">
        <f>-782.058405201764 -124.827040907152 -205.133377447601</f>
        <v>-1112.018823556517</v>
      </c>
      <c r="E3200">
        <f>-796.350232267367 -131.940984533576 -302.456572309523</f>
        <v>-1230.7477891104659</v>
      </c>
      <c r="F3200">
        <f>-805.350742556248 -135.102555331174 -391.041243165084</f>
        <v>-1331.4945410525061</v>
      </c>
      <c r="G3200">
        <f>-810.053891177051 -134.884009837831 -480.013516300759</f>
        <v>-1424.951417315641</v>
      </c>
      <c r="H3200">
        <f>-812.072799004075 -131.076310672028 -604.521542780304</f>
        <v>-1547.670652456407</v>
      </c>
      <c r="I3200">
        <f>-780.541764448748 -116.152199364407 -679.940968964533</f>
        <v>-1576.6349327776879</v>
      </c>
      <c r="J3200">
        <f>-822.206351111573 -107.34731371104 -548.776150524465</f>
        <v>-1478.329815347078</v>
      </c>
      <c r="K3200" t="s">
        <v>34324</v>
      </c>
      <c r="L3200" t="s">
        <v>34325</v>
      </c>
      <c r="M3200" t="s">
        <v>34326</v>
      </c>
      <c r="N3200">
        <f>-800.162388137504 -158.156508816337 -550.687367443224</f>
        <v>-1509.006264397065</v>
      </c>
      <c r="O3200">
        <f>-746.557338753061 -282.439527058573 -526.609284562411</f>
        <v>-1555.606150374045</v>
      </c>
      <c r="P3200">
        <f>-714.480967895748 -310.821052434777 -235.479045211213</f>
        <v>-1260.7810655417379</v>
      </c>
      <c r="Q3200">
        <f>-591.499714990778 -132.899569107087 -341.641229023117</f>
        <v>-1066.040513120982</v>
      </c>
      <c r="R3200">
        <f>-797.512185037249 -20.094736582761 -98.4778094760645</f>
        <v>-916.08473109607451</v>
      </c>
      <c r="S3200" t="s">
        <v>34327</v>
      </c>
      <c r="T3200" t="s">
        <v>34328</v>
      </c>
      <c r="U3200" t="s">
        <v>34329</v>
      </c>
      <c r="V3200">
        <f>-708.310109385252 -192.465763549614 -92.8436708433609</f>
        <v>-993.61954377822678</v>
      </c>
      <c r="W3200" t="s">
        <v>34330</v>
      </c>
      <c r="X3200" t="s">
        <v>34331</v>
      </c>
      <c r="Y3200" t="s">
        <v>34332</v>
      </c>
    </row>
    <row r="3201" spans="1:25" x14ac:dyDescent="0.3">
      <c r="A3201">
        <v>160000</v>
      </c>
      <c r="B3201" t="s">
        <v>34333</v>
      </c>
      <c r="C3201">
        <f>-753.110802146014 -106.026207803301 -94.6234721369624</f>
        <v>-953.76048208627731</v>
      </c>
      <c r="D3201">
        <f>-782.502887320716 -124.703486306303 -205.0928828954</f>
        <v>-1112.299256522419</v>
      </c>
      <c r="E3201">
        <f>-796.933332236238 -131.777702307725 -302.398397473998</f>
        <v>-1231.1094320179609</v>
      </c>
      <c r="F3201">
        <f>-806.081744398811 -134.895263635921 -390.969566690419</f>
        <v>-1331.9465747251511</v>
      </c>
      <c r="G3201">
        <f>-810.954661486217 -134.625261219841 -479.932520987953</f>
        <v>-1425.5124436940109</v>
      </c>
      <c r="H3201">
        <f>-813.233218299167 -130.738171231626 -604.433657155659</f>
        <v>-1548.4050466864519</v>
      </c>
      <c r="I3201">
        <f>-781.878618672348 -115.86047195901 -679.9357105788</f>
        <v>-1577.674801210158</v>
      </c>
      <c r="J3201">
        <f>-823.190531196369 -107.01876394387 -548.652280892196</f>
        <v>-1478.8615760324351</v>
      </c>
      <c r="K3201" t="s">
        <v>34334</v>
      </c>
      <c r="L3201" t="s">
        <v>34335</v>
      </c>
      <c r="M3201" t="s">
        <v>34336</v>
      </c>
      <c r="N3201">
        <f>-801.270697939968 -157.878707845393 -550.641371252284</f>
        <v>-1509.7907770376451</v>
      </c>
      <c r="O3201">
        <f>-747.984217615391 -282.320146162577 -526.681589039381</f>
        <v>-1556.9859528173488</v>
      </c>
      <c r="P3201">
        <f>-715.482586972775 -312.640022172069 -235.794041872393</f>
        <v>-1263.9166510172372</v>
      </c>
      <c r="Q3201">
        <f>-594.775318069976 -131.396961320712 -338.903691653208</f>
        <v>-1065.0759710438961</v>
      </c>
      <c r="R3201">
        <f>-797.711729521009 -19.9903090190367 -98.4603128203454</f>
        <v>-916.16235136039109</v>
      </c>
      <c r="S3201" t="s">
        <v>34337</v>
      </c>
      <c r="T3201" t="s">
        <v>34338</v>
      </c>
      <c r="U3201" t="s">
        <v>34339</v>
      </c>
      <c r="V3201">
        <f>-708.841608924587 -192.288229196688 -92.8241180566059</f>
        <v>-993.95395617788097</v>
      </c>
      <c r="W3201" t="s">
        <v>34340</v>
      </c>
      <c r="X3201" t="s">
        <v>34341</v>
      </c>
      <c r="Y3201" t="s">
        <v>34342</v>
      </c>
    </row>
    <row r="3202" spans="1:25" x14ac:dyDescent="0.3">
      <c r="A3202">
        <v>160050</v>
      </c>
      <c r="B3202" t="s">
        <v>34343</v>
      </c>
      <c r="C3202">
        <f>-753.367387416037 -105.961114539769 -94.6170729309392</f>
        <v>-953.94557488674525</v>
      </c>
      <c r="D3202">
        <f>-782.788070996952 -124.61377478005 -205.083030847309</f>
        <v>-1112.484876624311</v>
      </c>
      <c r="E3202">
        <f>-797.243833003016 -131.650428655666 -302.387600309113</f>
        <v>-1231.2818619677951</v>
      </c>
      <c r="F3202">
        <f>-806.415406519093 -134.726738048895 -390.957623268445</f>
        <v>-1332.0997678364329</v>
      </c>
      <c r="G3202">
        <f>-811.311777094743 -134.408697815621 -479.919342397023</f>
        <v>-1425.6398173073869</v>
      </c>
      <c r="H3202">
        <f>-813.623038285209 -130.446970534094 -604.417370237823</f>
        <v>-1548.487379057126</v>
      </c>
      <c r="I3202">
        <f>-782.31695055706 -115.578136822368 -679.941337433028</f>
        <v>-1577.836424812456</v>
      </c>
      <c r="J3202">
        <f>-823.539531401836 -106.749769809471 -548.619406301757</f>
        <v>-1478.908707513064</v>
      </c>
      <c r="K3202" t="s">
        <v>34344</v>
      </c>
      <c r="L3202" t="s">
        <v>34345</v>
      </c>
      <c r="M3202" t="s">
        <v>34346</v>
      </c>
      <c r="N3202">
        <f>-801.672413259625 -157.630880840387 -550.644380631455</f>
        <v>-1509.947674731467</v>
      </c>
      <c r="O3202">
        <f>-748.589428289012 -282.160086011163 -526.717253341244</f>
        <v>-1557.466767641419</v>
      </c>
      <c r="P3202">
        <f>-716.449713458416 -312.922689354681 -235.836064189861</f>
        <v>-1265.2084670029578</v>
      </c>
      <c r="Q3202">
        <f>-596.588906143525 -130.404687202616 -337.676332219731</f>
        <v>-1064.6699255658721</v>
      </c>
      <c r="R3202">
        <f>-797.870767982509 -19.9064353402064 -98.4628511311573</f>
        <v>-916.24005445387274</v>
      </c>
      <c r="S3202" t="s">
        <v>34347</v>
      </c>
      <c r="T3202" t="s">
        <v>34348</v>
      </c>
      <c r="U3202" t="s">
        <v>34349</v>
      </c>
      <c r="V3202">
        <f>-709.175451816414 -192.230732943628 -92.8201486983426</f>
        <v>-994.2263334583846</v>
      </c>
      <c r="W3202" t="s">
        <v>34350</v>
      </c>
      <c r="X3202" t="s">
        <v>34351</v>
      </c>
      <c r="Y3202" t="s">
        <v>34352</v>
      </c>
    </row>
    <row r="3203" spans="1:25" x14ac:dyDescent="0.3">
      <c r="A3203">
        <v>160100</v>
      </c>
      <c r="B3203" t="s">
        <v>34353</v>
      </c>
      <c r="C3203">
        <f>-753.902215198283 -106.077533854391 -94.6092269595388</f>
        <v>-954.58897601221281</v>
      </c>
      <c r="D3203">
        <f>-783.40150619495 -124.644536665758 -205.068542348003</f>
        <v>-1113.1145852087111</v>
      </c>
      <c r="E3203">
        <f>-797.84614578324 -131.613166799434 -302.379559586058</f>
        <v>-1231.838872168732</v>
      </c>
      <c r="F3203">
        <f>-806.975973880585 -134.629778937651 -390.956041829187</f>
        <v>-1332.5617946474229</v>
      </c>
      <c r="G3203">
        <f>-811.79789073209 -134.255150882218 -479.921621807963</f>
        <v>-1425.9746634222711</v>
      </c>
      <c r="H3203">
        <f>-813.970985320863 -130.218326657045 -604.419713031958</f>
        <v>-1548.6090250098659</v>
      </c>
      <c r="I3203">
        <f>-782.692212680117 -115.409406739039 -679.966799004564</f>
        <v>-1578.06841842372</v>
      </c>
      <c r="J3203">
        <f>-823.890096578928 -106.529304218495 -548.61864779487</f>
        <v>-1479.0380485922929</v>
      </c>
      <c r="K3203" t="s">
        <v>34354</v>
      </c>
      <c r="L3203" t="s">
        <v>34355</v>
      </c>
      <c r="M3203" t="s">
        <v>34356</v>
      </c>
      <c r="N3203">
        <f>-802.139299303411 -157.46012100103 -550.649707005755</f>
        <v>-1510.2491273101959</v>
      </c>
      <c r="O3203">
        <f>-749.471069490636 -282.135590054603 -526.595530923994</f>
        <v>-1558.2021904692328</v>
      </c>
      <c r="P3203">
        <f>-718.558721924279 -313.192248117739 -235.612471181113</f>
        <v>-1267.3634412231311</v>
      </c>
      <c r="Q3203">
        <f>-598.325602433758 -130.295015705928 -336.327236762022</f>
        <v>-1064.9478549017081</v>
      </c>
      <c r="R3203">
        <f>-798.224774609501 -19.9245808644891 -98.4268849599547</f>
        <v>-916.5762404339448</v>
      </c>
      <c r="S3203" t="s">
        <v>34357</v>
      </c>
      <c r="T3203" t="s">
        <v>34358</v>
      </c>
      <c r="U3203" t="s">
        <v>34359</v>
      </c>
      <c r="V3203">
        <f>-709.87445805889 -192.53062559939 -92.8286002467652</f>
        <v>-995.23368390504515</v>
      </c>
      <c r="W3203" t="s">
        <v>34360</v>
      </c>
      <c r="X3203" t="s">
        <v>34361</v>
      </c>
      <c r="Y3203" t="s">
        <v>34362</v>
      </c>
    </row>
    <row r="3204" spans="1:25" x14ac:dyDescent="0.3">
      <c r="A3204">
        <v>160150</v>
      </c>
      <c r="B3204" t="s">
        <v>34363</v>
      </c>
      <c r="C3204">
        <f>-754.191546967345 -106.142834473042 -94.6036319158688</f>
        <v>-954.93801335625585</v>
      </c>
      <c r="D3204">
        <f>-783.727335055393 -124.660455691874 -205.061655707541</f>
        <v>-1113.4494464548079</v>
      </c>
      <c r="E3204">
        <f>-798.115588625823 -131.59035677929 -302.383774812012</f>
        <v>-1232.089720217125</v>
      </c>
      <c r="F3204">
        <f>-807.158385978218 -134.574159162137 -390.970330322806</f>
        <v>-1332.702875463161</v>
      </c>
      <c r="G3204">
        <f>-811.856554999465 -134.169997379496 -479.942177152651</f>
        <v>-1425.9687295316121</v>
      </c>
      <c r="H3204">
        <f>-813.818156919563 -130.096385712058 -604.442691821902</f>
        <v>-1548.357234453523</v>
      </c>
      <c r="I3204">
        <f>-782.508474974384 -115.334483055012 -679.986166793523</f>
        <v>-1577.8291248229189</v>
      </c>
      <c r="J3204">
        <f>-823.793197945045 -106.407304426229 -548.651647450234</f>
        <v>-1478.852149821508</v>
      </c>
      <c r="K3204" t="s">
        <v>34364</v>
      </c>
      <c r="L3204" t="s">
        <v>34365</v>
      </c>
      <c r="M3204" t="s">
        <v>34366</v>
      </c>
      <c r="N3204">
        <f>-802.116798977132 -157.370624188353 -550.660741994158</f>
        <v>-1510.148165159643</v>
      </c>
      <c r="O3204">
        <f>-749.693105036073 -282.138535332899 -526.537117550965</f>
        <v>-1558.3687579199368</v>
      </c>
      <c r="P3204">
        <f>-719.312284796186 -313.309126523046 -235.51034441423</f>
        <v>-1268.1317557334621</v>
      </c>
      <c r="Q3204">
        <f>-598.692489903087 -130.397167808028 -335.734861432199</f>
        <v>-1064.8245191433141</v>
      </c>
      <c r="R3204">
        <f>-798.433558696965 -19.9328630145264 -98.4009990762875</f>
        <v>-916.76742078777886</v>
      </c>
      <c r="S3204" t="s">
        <v>34367</v>
      </c>
      <c r="T3204" t="s">
        <v>34368</v>
      </c>
      <c r="U3204" t="s">
        <v>34369</v>
      </c>
      <c r="V3204">
        <f>-710.224066190413 -192.662683308687 -92.8415673711264</f>
        <v>-995.72831687022642</v>
      </c>
      <c r="W3204" t="s">
        <v>34370</v>
      </c>
      <c r="X3204" t="s">
        <v>34371</v>
      </c>
      <c r="Y3204" t="s">
        <v>34372</v>
      </c>
    </row>
    <row r="3205" spans="1:25" x14ac:dyDescent="0.3">
      <c r="A3205">
        <v>160200</v>
      </c>
      <c r="B3205" t="s">
        <v>34373</v>
      </c>
      <c r="C3205">
        <f>-754.750281598525 -106.51086303262 -94.6046917935644</f>
        <v>-955.86583642470941</v>
      </c>
      <c r="D3205">
        <f>-784.288673794411 -124.926921174253 -205.078788259925</f>
        <v>-1114.2943832285891</v>
      </c>
      <c r="E3205">
        <f>-798.487274718868 -131.758034274256 -302.435848336581</f>
        <v>-1232.681157329705</v>
      </c>
      <c r="F3205">
        <f>-807.280001963019 -134.648281958858 -391.050653337069</f>
        <v>-1332.978937258946</v>
      </c>
      <c r="G3205">
        <f>-811.648622953337 -134.149124527646 -480.038900249992</f>
        <v>-1425.8366477309751</v>
      </c>
      <c r="H3205">
        <f>-813.065811390954 -129.942906428864 -604.542370668711</f>
        <v>-1547.5510884885289</v>
      </c>
      <c r="I3205">
        <f>-781.669134664769 -115.295555127656 -680.072038168981</f>
        <v>-1577.0367279614061</v>
      </c>
      <c r="J3205">
        <f>-823.203612668371 -106.278861807567 -548.77007498763</f>
        <v>-1478.2525494635679</v>
      </c>
      <c r="K3205" t="s">
        <v>34374</v>
      </c>
      <c r="L3205" t="s">
        <v>34375</v>
      </c>
      <c r="M3205" t="s">
        <v>34376</v>
      </c>
      <c r="N3205">
        <f>-801.680754571291 -157.308782687707 -550.739067458473</f>
        <v>-1509.7286047174709</v>
      </c>
      <c r="O3205">
        <f>-749.721058992848 -282.250627291847 -526.515565909086</f>
        <v>-1558.4872521937812</v>
      </c>
      <c r="P3205">
        <f>-720.413186052374 -313.483014252123 -235.385403291497</f>
        <v>-1269.2816035959941</v>
      </c>
      <c r="Q3205">
        <f>-598.848048552387 -131.12543378097 -335.478036871653</f>
        <v>-1065.4515192050098</v>
      </c>
      <c r="R3205">
        <f>-798.82211438572 -20.0975337274126 -98.3895110595262</f>
        <v>-917.30915917265884</v>
      </c>
      <c r="S3205" t="s">
        <v>34377</v>
      </c>
      <c r="T3205" t="s">
        <v>34378</v>
      </c>
      <c r="U3205" t="s">
        <v>34379</v>
      </c>
      <c r="V3205">
        <f>-710.980293878525 -193.206238984137 -92.851723419825</f>
        <v>-997.03825628248705</v>
      </c>
      <c r="W3205" t="s">
        <v>34380</v>
      </c>
      <c r="X3205" t="s">
        <v>34381</v>
      </c>
      <c r="Y3205" t="s">
        <v>34382</v>
      </c>
    </row>
    <row r="3206" spans="1:25" x14ac:dyDescent="0.3">
      <c r="A3206">
        <v>160250</v>
      </c>
      <c r="B3206" t="s">
        <v>34383</v>
      </c>
      <c r="C3206">
        <f>-755.075016352356 -106.702808053818 -94.6082079399313</f>
        <v>-956.38603234610525</v>
      </c>
      <c r="D3206">
        <f>-784.586843095967 -125.052584807225 -205.100489932382</f>
        <v>-1114.739917835574</v>
      </c>
      <c r="E3206">
        <f>-798.677339849186 -131.838374197749 -302.476484721879</f>
        <v>-1232.992198768814</v>
      </c>
      <c r="F3206">
        <f>-807.337735187113 -134.692851324151 -391.105461827838</f>
        <v>-1333.136048339102</v>
      </c>
      <c r="G3206">
        <f>-811.538808058788 -134.16440436422 -480.101500121082</f>
        <v>-1425.8047125440901</v>
      </c>
      <c r="H3206">
        <f>-812.685300119508 -129.925049622949 -604.606685599838</f>
        <v>-1547.217035342295</v>
      </c>
      <c r="I3206">
        <f>-781.243699710292 -115.354895559606 -680.132617217572</f>
        <v>-1576.7312124874702</v>
      </c>
      <c r="J3206">
        <f>-822.901583937957 -106.257919086774 -548.850050052016</f>
        <v>-1478.0095530767469</v>
      </c>
      <c r="K3206" t="s">
        <v>34384</v>
      </c>
      <c r="L3206" t="s">
        <v>34385</v>
      </c>
      <c r="M3206" t="s">
        <v>34386</v>
      </c>
      <c r="N3206">
        <f>-801.46001671834 -157.323301802975 -550.78625720053</f>
        <v>-1509.569575721845</v>
      </c>
      <c r="O3206">
        <f>-749.725265765786 -282.34615366925 -526.507344389833</f>
        <v>-1558.5787638248689</v>
      </c>
      <c r="P3206">
        <f>-720.852337738671 -313.473552543095 -235.322394209619</f>
        <v>-1269.6482844913851</v>
      </c>
      <c r="Q3206">
        <f>-598.650327869442 -131.593988194571 -335.508939811277</f>
        <v>-1065.7532558752901</v>
      </c>
      <c r="R3206">
        <f>-799.030716057552 -20.2078719791427 -98.3909523380083</f>
        <v>-917.62954037470308</v>
      </c>
      <c r="S3206" t="s">
        <v>34387</v>
      </c>
      <c r="T3206" t="s">
        <v>34388</v>
      </c>
      <c r="U3206" t="s">
        <v>34389</v>
      </c>
      <c r="V3206">
        <f>-711.463390145669 -193.427285779194 -92.8574871742857</f>
        <v>-997.74816309914866</v>
      </c>
      <c r="W3206" t="s">
        <v>34390</v>
      </c>
      <c r="X3206" t="s">
        <v>34391</v>
      </c>
      <c r="Y3206" t="s">
        <v>34392</v>
      </c>
    </row>
    <row r="3207" spans="1:25" x14ac:dyDescent="0.3">
      <c r="A3207">
        <v>160300</v>
      </c>
      <c r="B3207" t="s">
        <v>34393</v>
      </c>
      <c r="C3207">
        <f>-756.007518790328 -106.475973532123 -94.5986334297064</f>
        <v>-957.08212575215748</v>
      </c>
      <c r="D3207">
        <f>-785.441316784035 -124.656654689033 -205.139800255541</f>
        <v>-1115.237771728609</v>
      </c>
      <c r="E3207">
        <f>-799.338466039105 -131.360660177496 -302.549106024517</f>
        <v>-1233.2482322411181</v>
      </c>
      <c r="F3207">
        <f>-807.773400907452 -134.167712104337 -391.20129204653</f>
        <v>-1333.1424050583189</v>
      </c>
      <c r="G3207">
        <f>-811.697843590428 -133.620742189119 -480.210014475014</f>
        <v>-1425.5286002545611</v>
      </c>
      <c r="H3207">
        <f>-812.404165981774 -129.387663689139 -604.718575784073</f>
        <v>-1546.5104054549861</v>
      </c>
      <c r="I3207">
        <f>-780.881603195395 -114.975444633363 -680.241159443878</f>
        <v>-1576.098207272636</v>
      </c>
      <c r="J3207">
        <f>-822.731651753577 -105.681771547953 -548.998954059585</f>
        <v>-1477.412377361115</v>
      </c>
      <c r="K3207" t="s">
        <v>34394</v>
      </c>
      <c r="L3207" t="s">
        <v>34395</v>
      </c>
      <c r="M3207" t="s">
        <v>34396</v>
      </c>
      <c r="N3207">
        <f>-801.455099266616 -156.819027431278 -550.858119522117</f>
        <v>-1509.132246220011</v>
      </c>
      <c r="O3207">
        <f>-750.109243232568 -281.977261064685 -526.427546972674</f>
        <v>-1558.514051269927</v>
      </c>
      <c r="P3207">
        <f>-722.078945722351 -312.789026823905 -235.126779001512</f>
        <v>-1269.9947515477679</v>
      </c>
      <c r="Q3207">
        <f>-599.316590438052 -131.232651700885 -335.214562931333</f>
        <v>-1065.7638050702699</v>
      </c>
      <c r="R3207">
        <f>-799.720462909138 -19.9857437178146 -98.4031853471517</f>
        <v>-918.10939197410426</v>
      </c>
      <c r="S3207" t="s">
        <v>34397</v>
      </c>
      <c r="T3207" t="s">
        <v>34398</v>
      </c>
      <c r="U3207" t="s">
        <v>34399</v>
      </c>
      <c r="V3207">
        <f>-712.684808221789 -193.095962076391 -92.85545741997</f>
        <v>-998.63622771814994</v>
      </c>
      <c r="W3207" t="s">
        <v>34400</v>
      </c>
      <c r="X3207" t="s">
        <v>34401</v>
      </c>
      <c r="Y3207" t="s">
        <v>34402</v>
      </c>
    </row>
    <row r="3208" spans="1:25" x14ac:dyDescent="0.3">
      <c r="A3208">
        <v>160350</v>
      </c>
      <c r="B3208" t="s">
        <v>34403</v>
      </c>
      <c r="C3208">
        <f>-756.443002853937 -106.343851335623 -94.5872528369807</f>
        <v>-957.37410702654063</v>
      </c>
      <c r="D3208">
        <f>-785.852667310988 -124.446626782399 -205.14753707405</f>
        <v>-1115.446831167437</v>
      </c>
      <c r="E3208">
        <f>-799.673012544356 -131.116372214518 -302.57025960344</f>
        <v>-1233.3596443623139</v>
      </c>
      <c r="F3208">
        <f>-808.016295039974 -133.905641003497 -391.231702645559</f>
        <v>-1333.15363868903</v>
      </c>
      <c r="G3208">
        <f>-811.826671025899 -133.355178118537 -480.245229205313</f>
        <v>-1425.4270783497491</v>
      </c>
      <c r="H3208">
        <f>-812.350301207071 -129.132803520121 -604.755025680952</f>
        <v>-1546.2381304081441</v>
      </c>
      <c r="I3208">
        <f>-780.791807674431 -114.789169336088 -680.275602186962</f>
        <v>-1575.8565791974811</v>
      </c>
      <c r="J3208">
        <f>-822.717579635131 -105.40479200184 -549.052269753252</f>
        <v>-1477.1746413902229</v>
      </c>
      <c r="K3208" t="s">
        <v>34404</v>
      </c>
      <c r="L3208" t="s">
        <v>34405</v>
      </c>
      <c r="M3208" t="s">
        <v>34406</v>
      </c>
      <c r="N3208">
        <f>-801.522179753818 -156.576975230967 -550.876712874558</f>
        <v>-1508.975867859343</v>
      </c>
      <c r="O3208">
        <f>-750.36089043541 -281.792270367334 -526.365233776173</f>
        <v>-1558.518394578917</v>
      </c>
      <c r="P3208">
        <f>-722.570214833217 -312.637859983967 -235.045126070212</f>
        <v>-1270.2532008873961</v>
      </c>
      <c r="Q3208">
        <f>-600.020979713508 -130.810482275318 -334.901767339689</f>
        <v>-1065.7332293285151</v>
      </c>
      <c r="R3208">
        <f>-800.020719962764 -19.8919571214174 -98.3881410141388</f>
        <v>-918.30081809832018</v>
      </c>
      <c r="S3208" t="s">
        <v>34407</v>
      </c>
      <c r="T3208" t="s">
        <v>34408</v>
      </c>
      <c r="U3208" t="s">
        <v>34409</v>
      </c>
      <c r="V3208">
        <f>-713.162980289818 -193.031234880367 -92.8676976156291</f>
        <v>-999.06191278581423</v>
      </c>
      <c r="W3208" t="s">
        <v>34410</v>
      </c>
      <c r="X3208" t="s">
        <v>34411</v>
      </c>
      <c r="Y3208" t="s">
        <v>34412</v>
      </c>
    </row>
    <row r="3209" spans="1:25" x14ac:dyDescent="0.3">
      <c r="A3209">
        <v>160400</v>
      </c>
      <c r="B3209" t="s">
        <v>34413</v>
      </c>
      <c r="C3209">
        <f>-757.135254675193 -106.467649327318 -94.5986509059655</f>
        <v>-958.20155490847651</v>
      </c>
      <c r="D3209">
        <f>-786.50366439511 -124.444422374921 -205.190576899785</f>
        <v>-1116.138663669816</v>
      </c>
      <c r="E3209">
        <f>-800.19711280388 -131.073266077264 -302.633882484067</f>
        <v>-1233.9042613652111</v>
      </c>
      <c r="F3209">
        <f>-808.388746094566 -133.85393532955 -391.309631502525</f>
        <v>-1333.5523129266412</v>
      </c>
      <c r="G3209">
        <f>-812.010233306837 -133.325639724911 -480.331294231835</f>
        <v>-1425.667167263583</v>
      </c>
      <c r="H3209">
        <f>-812.230488399883 -129.167806160912 -604.844251100528</f>
        <v>-1546.242545661323</v>
      </c>
      <c r="I3209">
        <f>-780.594457362788 -114.960097420505 -680.35810966117</f>
        <v>-1575.9126644444632</v>
      </c>
      <c r="J3209">
        <f>-822.661354746565 -105.381212351057 -549.178212992117</f>
        <v>-1477.220780089739</v>
      </c>
      <c r="K3209" t="s">
        <v>34414</v>
      </c>
      <c r="L3209" t="s">
        <v>34415</v>
      </c>
      <c r="M3209" t="s">
        <v>34416</v>
      </c>
      <c r="N3209">
        <f>-801.605723668307 -156.613726578892 -550.926289627987</f>
        <v>-1509.1457398751859</v>
      </c>
      <c r="O3209">
        <f>-750.755216408718 -281.925479540289 -526.243005141191</f>
        <v>-1558.9237010901979</v>
      </c>
      <c r="P3209">
        <f>-723.693781443896 -312.290886339678 -234.803940303765</f>
        <v>-1270.7886080873391</v>
      </c>
      <c r="Q3209">
        <f>-601.293023097474 -130.098197089957 -334.175709033008</f>
        <v>-1065.5669292204391</v>
      </c>
      <c r="R3209">
        <f>-800.5597549744 -19.9193072977384 -98.3454236959584</f>
        <v>-918.82448596809684</v>
      </c>
      <c r="S3209" t="s">
        <v>34417</v>
      </c>
      <c r="T3209" t="s">
        <v>34418</v>
      </c>
      <c r="U3209" t="s">
        <v>34419</v>
      </c>
      <c r="V3209">
        <f>-714.005075238651 -193.333408237143 -92.8811124679595</f>
        <v>-1000.2195959437535</v>
      </c>
      <c r="W3209" t="s">
        <v>34420</v>
      </c>
      <c r="X3209" t="s">
        <v>34421</v>
      </c>
      <c r="Y3209" t="s">
        <v>34422</v>
      </c>
    </row>
    <row r="3210" spans="1:25" x14ac:dyDescent="0.3">
      <c r="A3210">
        <v>160450</v>
      </c>
      <c r="B3210" t="s">
        <v>34423</v>
      </c>
      <c r="C3210">
        <f>-757.411963386928 -106.538555817611 -94.5710009394305</f>
        <v>-958.52152014396961</v>
      </c>
      <c r="D3210">
        <f>-786.768993380652 -124.458445070283 -205.17509862659</f>
        <v>-1116.402537077525</v>
      </c>
      <c r="E3210">
        <f>-800.420922888667 -131.073028349313 -302.625212540131</f>
        <v>-1234.1191637781108</v>
      </c>
      <c r="F3210">
        <f>-808.562294283694 -133.855361858116 -391.305609553486</f>
        <v>-1333.723265695296</v>
      </c>
      <c r="G3210">
        <f>-812.120613542025 -133.343882018377 -480.329924285905</f>
        <v>-1425.7944198463069</v>
      </c>
      <c r="H3210">
        <f>-812.239385089159 -129.226020881242 -604.844351795723</f>
        <v>-1546.309757766124</v>
      </c>
      <c r="I3210">
        <f>-780.578390071733 -115.094223488831 -680.361872380227</f>
        <v>-1576.034485940791</v>
      </c>
      <c r="J3210">
        <f>-822.69502588516 -105.413166903725 -549.194216988258</f>
        <v>-1477.3024097771431</v>
      </c>
      <c r="K3210" t="s">
        <v>34424</v>
      </c>
      <c r="L3210" t="s">
        <v>34425</v>
      </c>
      <c r="M3210" t="s">
        <v>34426</v>
      </c>
      <c r="N3210">
        <f>-801.679209905768 -156.663097449053 -550.909076657256</f>
        <v>-1509.2513840120769</v>
      </c>
      <c r="O3210">
        <f>-750.93223452757 -282.000235981077 -526.151056263304</f>
        <v>-1559.0835267719508</v>
      </c>
      <c r="P3210">
        <f>-724.148304335349 -312.287869811856 -234.678168744026</f>
        <v>-1271.114342891231</v>
      </c>
      <c r="Q3210">
        <f>-601.899331647489 -129.807915351478 -333.709050514139</f>
        <v>-1065.416297513106</v>
      </c>
      <c r="R3210">
        <f>-800.750923815824 -20.005634159626 -98.2870918934661</f>
        <v>-919.04364986891608</v>
      </c>
      <c r="S3210" t="s">
        <v>34427</v>
      </c>
      <c r="T3210" t="s">
        <v>34428</v>
      </c>
      <c r="U3210" t="s">
        <v>34429</v>
      </c>
      <c r="V3210">
        <f>-714.349653489377 -193.394609322619 -92.8821786444394</f>
        <v>-1000.6264414564354</v>
      </c>
      <c r="W3210" t="s">
        <v>34430</v>
      </c>
      <c r="X3210" t="s">
        <v>34431</v>
      </c>
      <c r="Y3210" t="s">
        <v>34432</v>
      </c>
    </row>
    <row r="3211" spans="1:25" x14ac:dyDescent="0.3">
      <c r="A3211">
        <v>160500</v>
      </c>
      <c r="B3211" t="s">
        <v>34433</v>
      </c>
      <c r="C3211">
        <f>-757.767602505852 -106.736317599463 -94.5055457580547</f>
        <v>-959.00946586336977</v>
      </c>
      <c r="D3211">
        <f>-787.103211526302 -124.595379962797 -205.125133521496</f>
        <v>-1116.8237250105949</v>
      </c>
      <c r="E3211">
        <f>-800.674289887665 -131.199314303935 -302.587251763247</f>
        <v>-1234.4608559548471</v>
      </c>
      <c r="F3211">
        <f>-808.71764495726 -133.989251186507 -391.276386247056</f>
        <v>-1333.983282390823</v>
      </c>
      <c r="G3211">
        <f>-812.152882100544 -133.503576654788 -480.305593620817</f>
        <v>-1425.9620523761491</v>
      </c>
      <c r="H3211">
        <f>-812.073800096351 -129.441360024634 -604.822032965448</f>
        <v>-1546.337193086433</v>
      </c>
      <c r="I3211">
        <f>-780.347188697639 -115.444761534377 -680.337079671503</f>
        <v>-1576.129029903519</v>
      </c>
      <c r="J3211">
        <f>-822.597956995127 -105.595479899736 -549.198900667811</f>
        <v>-1477.3923375626741</v>
      </c>
      <c r="K3211" t="s">
        <v>34434</v>
      </c>
      <c r="L3211" t="s">
        <v>34435</v>
      </c>
      <c r="M3211" t="s">
        <v>34436</v>
      </c>
      <c r="N3211">
        <f>-801.619219541413 -156.862497050379 -550.858043527187</f>
        <v>-1509.339760118979</v>
      </c>
      <c r="O3211">
        <f>-750.99836908112 -282.23430520817 -526.025126393202</f>
        <v>-1559.257800682492</v>
      </c>
      <c r="P3211">
        <f>-724.823967083469 -312.34446079207 -234.47845884432</f>
        <v>-1271.6468867198589</v>
      </c>
      <c r="Q3211">
        <f>-602.765328209929 -129.430326305047 -332.941603529051</f>
        <v>-1065.137258044027</v>
      </c>
      <c r="R3211">
        <f>-801.051976335162 -20.1788853076207 -98.1776525309147</f>
        <v>-919.40851417369731</v>
      </c>
      <c r="S3211" t="s">
        <v>34437</v>
      </c>
      <c r="T3211" t="s">
        <v>34438</v>
      </c>
      <c r="U3211" t="s">
        <v>34439</v>
      </c>
      <c r="V3211">
        <f>-714.758034560142 -193.592981319221 -92.8632493707491</f>
        <v>-1001.2142652501122</v>
      </c>
      <c r="W3211" t="s">
        <v>34440</v>
      </c>
      <c r="X3211" t="s">
        <v>34441</v>
      </c>
      <c r="Y3211" t="s">
        <v>34442</v>
      </c>
    </row>
    <row r="3212" spans="1:25" x14ac:dyDescent="0.3">
      <c r="A3212">
        <v>160550</v>
      </c>
      <c r="B3212" t="s">
        <v>34443</v>
      </c>
      <c r="C3212">
        <f>-757.931887377364 -106.731279035233 -94.4827617869506</f>
        <v>-959.1459281995476</v>
      </c>
      <c r="D3212">
        <f>-787.269526441383 -124.583904610426 -205.102863385898</f>
        <v>-1116.9562944377071</v>
      </c>
      <c r="E3212">
        <f>-800.806791404607 -131.183586148443 -302.569932406697</f>
        <v>-1234.560309959747</v>
      </c>
      <c r="F3212">
        <f>-808.80461358705 -133.970997002344 -391.263285392752</f>
        <v>-1334.038895982146</v>
      </c>
      <c r="G3212">
        <f>-812.179316872744 -133.484431512918 -480.29475190099</f>
        <v>-1425.958500286652</v>
      </c>
      <c r="H3212">
        <f>-811.999647214112 -129.423353044635 -604.811012807857</f>
        <v>-1546.2340130666039</v>
      </c>
      <c r="I3212">
        <f>-780.250211319149 -115.468356720819 -680.324375283794</f>
        <v>-1576.0429433237618</v>
      </c>
      <c r="J3212">
        <f>-822.563270751995 -105.574760011257 -549.196708712271</f>
        <v>-1477.3347394755228</v>
      </c>
      <c r="K3212" t="s">
        <v>34444</v>
      </c>
      <c r="L3212" t="s">
        <v>34445</v>
      </c>
      <c r="M3212" t="s">
        <v>34446</v>
      </c>
      <c r="N3212">
        <f>-801.594101382085 -156.84617242539 -550.838548941058</f>
        <v>-1509.278822748533</v>
      </c>
      <c r="O3212">
        <f>-751.043962014222 -282.248263808927 -525.982506176894</f>
        <v>-1559.2747320000431</v>
      </c>
      <c r="P3212">
        <f>-725.02429368405 -312.353157340338 -234.42139672141</f>
        <v>-1271.798847745798</v>
      </c>
      <c r="Q3212">
        <f>-602.898433331214 -129.446788726709 -332.815469093525</f>
        <v>-1065.160691151448</v>
      </c>
      <c r="R3212">
        <f>-801.21129477938 -20.2120052144892 -98.1362721173901</f>
        <v>-919.55957211125929</v>
      </c>
      <c r="S3212" t="s">
        <v>34447</v>
      </c>
      <c r="T3212" t="s">
        <v>34448</v>
      </c>
      <c r="U3212" t="s">
        <v>34449</v>
      </c>
      <c r="V3212">
        <f>-714.954028377683 -193.53157114311 -92.8442157289426</f>
        <v>-1001.3298152497356</v>
      </c>
      <c r="W3212" t="s">
        <v>34450</v>
      </c>
      <c r="X3212" t="s">
        <v>34451</v>
      </c>
      <c r="Y3212" t="s">
        <v>34452</v>
      </c>
    </row>
    <row r="3213" spans="1:25" x14ac:dyDescent="0.3">
      <c r="A3213">
        <v>160600</v>
      </c>
      <c r="B3213" t="s">
        <v>34453</v>
      </c>
      <c r="C3213">
        <f>-758.172153996128 -106.823902789723 -94.4027673175876</f>
        <v>-959.39882410343864</v>
      </c>
      <c r="D3213">
        <f>-787.460500158822 -124.670593249748 -205.036893247302</f>
        <v>-1117.167986655872</v>
      </c>
      <c r="E3213">
        <f>-800.896807395119 -131.249768704308 -302.519475609095</f>
        <v>-1234.666051708522</v>
      </c>
      <c r="F3213">
        <f>-808.77909259332 -134.013167699307 -391.223805346583</f>
        <v>-1334.01606563921</v>
      </c>
      <c r="G3213">
        <f>-812.013773714766 -133.497770316169 -480.260379701941</f>
        <v>-1425.7719237328761</v>
      </c>
      <c r="H3213">
        <f>-811.612773635254 -129.391976232603 -604.774591926203</f>
        <v>-1545.7793417940602</v>
      </c>
      <c r="I3213">
        <f>-779.851599539151 -115.492659040033 -680.293358733776</f>
        <v>-1575.6376173129602</v>
      </c>
      <c r="J3213">
        <f>-822.27561116185 -105.563470556236 -549.170625866734</f>
        <v>-1477.0097075848198</v>
      </c>
      <c r="K3213" t="s">
        <v>34454</v>
      </c>
      <c r="L3213" t="s">
        <v>34455</v>
      </c>
      <c r="M3213" t="s">
        <v>34456</v>
      </c>
      <c r="N3213">
        <f>-801.302786044191 -156.834113754703 -550.793674535028</f>
        <v>-1508.9305743339219</v>
      </c>
      <c r="O3213">
        <f>-750.843288662343 -282.269752923658 -525.925581583155</f>
        <v>-1559.0386231691559</v>
      </c>
      <c r="P3213">
        <f>-725.234868943646 -312.409512529215 -234.331656836809</f>
        <v>-1271.97603830967</v>
      </c>
      <c r="Q3213">
        <f>-602.508948559645 -129.883944245493 -332.686206712122</f>
        <v>-1065.0790995172599</v>
      </c>
      <c r="R3213">
        <f>-801.411323811638 -20.3140780660194 -98.0744361568462</f>
        <v>-919.79983803450364</v>
      </c>
      <c r="S3213" t="s">
        <v>34457</v>
      </c>
      <c r="T3213" t="s">
        <v>34458</v>
      </c>
      <c r="U3213" t="s">
        <v>34459</v>
      </c>
      <c r="V3213">
        <f>-715.196857587621 -193.626483141668 -92.796514952902</f>
        <v>-1001.6198556821911</v>
      </c>
      <c r="W3213" t="s">
        <v>34460</v>
      </c>
      <c r="X3213" t="s">
        <v>34461</v>
      </c>
      <c r="Y3213" t="s">
        <v>34462</v>
      </c>
    </row>
    <row r="3214" spans="1:25" x14ac:dyDescent="0.3">
      <c r="A3214">
        <v>160650</v>
      </c>
      <c r="B3214" t="s">
        <v>34463</v>
      </c>
      <c r="C3214">
        <f>-758.224117325399 -106.74411269999 -94.3765083118835</f>
        <v>-959.34473833727247</v>
      </c>
      <c r="D3214">
        <f>-787.481329536486 -124.602533219755 -205.016933934567</f>
        <v>-1117.100796690808</v>
      </c>
      <c r="E3214">
        <f>-800.87325039621 -131.188659340872 -302.505051744704</f>
        <v>-1234.5669614817862</v>
      </c>
      <c r="F3214">
        <f>-808.707961563729 -133.957630828733 -391.213595785429</f>
        <v>-1333.8791881778911</v>
      </c>
      <c r="G3214">
        <f>-811.887535004995 -133.447464506157 -480.252212400352</f>
        <v>-1425.587211911504</v>
      </c>
      <c r="H3214">
        <f>-811.40140207998 -129.348814350208 -604.766414811622</f>
        <v>-1545.51663124181</v>
      </c>
      <c r="I3214">
        <f>-779.654230790345 -115.475573506759 -680.295662955284</f>
        <v>-1575.425467252388</v>
      </c>
      <c r="J3214">
        <f>-822.100304473179 -105.516243191847 -549.17081793408</f>
        <v>-1476.7873655991061</v>
      </c>
      <c r="K3214" t="s">
        <v>34464</v>
      </c>
      <c r="L3214" t="s">
        <v>34465</v>
      </c>
      <c r="M3214" t="s">
        <v>34466</v>
      </c>
      <c r="N3214">
        <f>-801.130281111026 -156.788542297096 -550.776745096656</f>
        <v>-1508.6955685047778</v>
      </c>
      <c r="O3214">
        <f>-750.729923033127 -282.236912142437 -525.873408155207</f>
        <v>-1558.840243330771</v>
      </c>
      <c r="P3214">
        <f>-725.324388609549 -312.372557331948 -234.261376050119</f>
        <v>-1271.958321991616</v>
      </c>
      <c r="Q3214">
        <f>-601.926650136429 -130.461113162555 -332.912634144105</f>
        <v>-1065.300397443089</v>
      </c>
      <c r="R3214">
        <f>-801.471839477104 -20.2484286901556 -98.0632333841999</f>
        <v>-919.78350155145949</v>
      </c>
      <c r="S3214" t="s">
        <v>34467</v>
      </c>
      <c r="T3214" t="s">
        <v>34468</v>
      </c>
      <c r="U3214" t="s">
        <v>34469</v>
      </c>
      <c r="V3214">
        <f>-715.25084474585 -193.513742686723 -92.7678740011819</f>
        <v>-1001.532461433755</v>
      </c>
      <c r="W3214" t="s">
        <v>34470</v>
      </c>
      <c r="X3214" t="s">
        <v>34471</v>
      </c>
      <c r="Y3214" t="s">
        <v>34472</v>
      </c>
    </row>
    <row r="3215" spans="1:25" x14ac:dyDescent="0.3">
      <c r="A3215">
        <v>160700</v>
      </c>
      <c r="B3215" t="s">
        <v>34473</v>
      </c>
      <c r="C3215">
        <f>-758.186272027021 -106.653131389793 -94.3631907750939</f>
        <v>-959.20259419190791</v>
      </c>
      <c r="D3215">
        <f>-787.3902304265 -124.53430205108 -205.01408542375</f>
        <v>-1116.93861790133</v>
      </c>
      <c r="E3215">
        <f>-800.732617257045 -131.139016535881 -302.507756633263</f>
        <v>-1234.379390426189</v>
      </c>
      <c r="F3215">
        <f>-808.521098567804 -133.924384962797 -391.219715035196</f>
        <v>-1333.665198565797</v>
      </c>
      <c r="G3215">
        <f>-811.652796819346 -133.43060483098 -480.260093229507</f>
        <v>-1425.3434948798331</v>
      </c>
      <c r="H3215">
        <f>-811.098288062338 -129.354919708297 -604.774780241985</f>
        <v>-1545.22798801262</v>
      </c>
      <c r="I3215">
        <f>-779.389697510622 -115.53222504741 -680.329670182845</f>
        <v>-1575.251592740877</v>
      </c>
      <c r="J3215">
        <f>-821.818097427956 -105.508231628485 -549.189427209026</f>
        <v>-1476.515756265467</v>
      </c>
      <c r="K3215" t="s">
        <v>34474</v>
      </c>
      <c r="L3215" t="s">
        <v>34475</v>
      </c>
      <c r="M3215" t="s">
        <v>34476</v>
      </c>
      <c r="N3215">
        <f>-800.866394844546 -156.788587561086 -550.774724165481</f>
        <v>-1508.429706571113</v>
      </c>
      <c r="O3215">
        <f>-750.541876707512 -282.239972810758 -525.74843731538</f>
        <v>-1558.5302868336501</v>
      </c>
      <c r="P3215">
        <f>-725.688672056452 -311.73712029884 -234.023340439418</f>
        <v>-1271.4491327947101</v>
      </c>
      <c r="Q3215">
        <f>-599.901004272354 -132.249912496072 -334.086783413505</f>
        <v>-1066.2377001819309</v>
      </c>
      <c r="R3215">
        <f>-801.40570834245 -20.1800015398076 -98.0760116712208</f>
        <v>-919.6617215534784</v>
      </c>
      <c r="S3215" t="s">
        <v>34477</v>
      </c>
      <c r="T3215" t="s">
        <v>34478</v>
      </c>
      <c r="U3215" t="s">
        <v>34479</v>
      </c>
      <c r="V3215">
        <f>-715.258468468224 -193.425565601113 -92.7199713844224</f>
        <v>-1001.4040054537594</v>
      </c>
      <c r="W3215" t="s">
        <v>34480</v>
      </c>
      <c r="X3215" t="s">
        <v>34481</v>
      </c>
      <c r="Y3215" t="s">
        <v>34482</v>
      </c>
    </row>
    <row r="3216" spans="1:25" x14ac:dyDescent="0.3">
      <c r="A3216">
        <v>160750</v>
      </c>
      <c r="B3216" t="s">
        <v>34483</v>
      </c>
      <c r="C3216">
        <f>-758.134353135843 -106.670962470105 -94.3513740886907</f>
        <v>-959.15668969463866</v>
      </c>
      <c r="D3216">
        <f>-787.340246867818 -124.565100192041 -204.9996852966</f>
        <v>-1116.9050323564591</v>
      </c>
      <c r="E3216">
        <f>-800.677264588942 -131.190110369976 -302.492682109968</f>
        <v>-1234.3600570688859</v>
      </c>
      <c r="F3216">
        <f>-808.458232126585 -133.997418348504 -391.204611831205</f>
        <v>-1333.660262306294</v>
      </c>
      <c r="G3216">
        <f>-811.57981930255 -133.529122312271 -480.24557647666</f>
        <v>-1425.3545180914812</v>
      </c>
      <c r="H3216">
        <f>-811.008524989056 -129.492617980898 -604.761481883576</f>
        <v>-1545.26262485353</v>
      </c>
      <c r="I3216">
        <f>-779.303365319914 -115.713690224009 -680.32556889268</f>
        <v>-1575.342624436603</v>
      </c>
      <c r="J3216">
        <f>-821.733281315025 -105.627370122065 -549.184839576693</f>
        <v>-1476.545491013783</v>
      </c>
      <c r="K3216" t="s">
        <v>34484</v>
      </c>
      <c r="L3216" t="s">
        <v>34485</v>
      </c>
      <c r="M3216" t="s">
        <v>34486</v>
      </c>
      <c r="N3216">
        <f>-800.786597830482 -156.910394355028 -550.751202296969</f>
        <v>-1508.448194482479</v>
      </c>
      <c r="O3216">
        <f>-750.431562095219 -282.329454950977 -525.662381452793</f>
        <v>-1558.4233984989892</v>
      </c>
      <c r="P3216">
        <f>-725.647725399458 -311.427360622545 -233.891458258235</f>
        <v>-1270.9665442802379</v>
      </c>
      <c r="Q3216">
        <f>-599.367183213007 -132.919323929563 -335.079128565301</f>
        <v>-1067.365635707871</v>
      </c>
      <c r="R3216">
        <f>-801.3594882627 -20.1319303831388 -98.0825267637861</f>
        <v>-919.5739454096248</v>
      </c>
      <c r="S3216" t="s">
        <v>34487</v>
      </c>
      <c r="T3216" t="s">
        <v>34488</v>
      </c>
      <c r="U3216" t="s">
        <v>34489</v>
      </c>
      <c r="V3216">
        <f>-715.23523926854 -193.495660324795 -92.6975069287917</f>
        <v>-1001.4284065221267</v>
      </c>
      <c r="W3216" t="s">
        <v>34490</v>
      </c>
      <c r="X3216" t="s">
        <v>34491</v>
      </c>
      <c r="Y3216" t="s">
        <v>34492</v>
      </c>
    </row>
    <row r="3217" spans="1:25" x14ac:dyDescent="0.3">
      <c r="A3217">
        <v>160800</v>
      </c>
      <c r="B3217" t="s">
        <v>34493</v>
      </c>
      <c r="C3217">
        <f>-757.967480200679 -106.496324632813 -94.3493724031084</f>
        <v>-958.81317723660038</v>
      </c>
      <c r="D3217">
        <f>-787.212813590932 -124.428148423997 -204.981090295846</f>
        <v>-1116.622052310775</v>
      </c>
      <c r="E3217">
        <f>-800.568376130214 -131.117247713245 -302.467231666591</f>
        <v>-1234.1528555100499</v>
      </c>
      <c r="F3217">
        <f>-808.360086569919 -133.995357743617 -391.176080120571</f>
        <v>-1333.5315244341068</v>
      </c>
      <c r="G3217">
        <f>-811.486838871975 -133.610016611902 -480.217160613427</f>
        <v>-1425.3140160973039</v>
      </c>
      <c r="H3217">
        <f>-810.917033773943 -129.702248922005 -604.73707992629</f>
        <v>-1545.3563626222381</v>
      </c>
      <c r="I3217">
        <f>-779.21916544496 -116.057484636481 -680.328670945818</f>
        <v>-1575.6053210272589</v>
      </c>
      <c r="J3217">
        <f>-821.65594153546 -105.785640590897 -549.185388825117</f>
        <v>-1476.626970951474</v>
      </c>
      <c r="K3217" t="s">
        <v>34494</v>
      </c>
      <c r="L3217" t="s">
        <v>34495</v>
      </c>
      <c r="M3217" t="s">
        <v>34496</v>
      </c>
      <c r="N3217">
        <f>-800.679609123526 -157.058113857827 -550.698552327907</f>
        <v>-1508.4362753092601</v>
      </c>
      <c r="O3217">
        <f>-750.224620187021 -282.428884222376 -525.501751938991</f>
        <v>-1558.1552563483879</v>
      </c>
      <c r="P3217">
        <f>-725.91875385044 -310.532872197984 -233.593239782764</f>
        <v>-1270.044865831188</v>
      </c>
      <c r="Q3217">
        <f>-597.326908503869 -134.779531012929 -336.674548229677</f>
        <v>-1068.7809877464749</v>
      </c>
      <c r="R3217">
        <f>-801.194490070139 -20.0257974237741 -98.0766490445019</f>
        <v>-919.29693653841491</v>
      </c>
      <c r="S3217" t="s">
        <v>34497</v>
      </c>
      <c r="T3217" t="s">
        <v>34498</v>
      </c>
      <c r="U3217" t="s">
        <v>34499</v>
      </c>
      <c r="V3217">
        <f>-715.041333060567 -193.234478878819 -92.6796855842279</f>
        <v>-1000.9554975236139</v>
      </c>
      <c r="W3217" t="s">
        <v>34500</v>
      </c>
      <c r="X3217" t="s">
        <v>34501</v>
      </c>
      <c r="Y3217" t="s">
        <v>34502</v>
      </c>
    </row>
    <row r="3218" spans="1:25" x14ac:dyDescent="0.3">
      <c r="A3218">
        <v>160850</v>
      </c>
      <c r="B3218" t="s">
        <v>34503</v>
      </c>
      <c r="C3218">
        <f>-757.863027634208 -106.421398897707 -94.3545458844283</f>
        <v>-958.63897241634334</v>
      </c>
      <c r="D3218">
        <f>-787.11265419525 -124.379024982377 -204.981024259901</f>
        <v>-1116.472703437528</v>
      </c>
      <c r="E3218">
        <f>-800.475334329613 -131.100760112587 -302.463798769298</f>
        <v>-1234.0398932114981</v>
      </c>
      <c r="F3218">
        <f>-808.275092061191 -134.012626129294 -391.170808885865</f>
        <v>-1333.45852707635</v>
      </c>
      <c r="G3218">
        <f>-811.411375782199 -133.665268841089 -480.211728688288</f>
        <v>-1425.2883733115759</v>
      </c>
      <c r="H3218">
        <f>-810.856439668786 -129.81479700271 -604.733639520856</f>
        <v>-1545.4048761923518</v>
      </c>
      <c r="I3218">
        <f>-779.172657043651 -116.232605550706 -680.342271070793</f>
        <v>-1575.7475336651501</v>
      </c>
      <c r="J3218">
        <f>-821.598137904462 -105.876464044003 -549.191911390102</f>
        <v>-1476.6665133385668</v>
      </c>
      <c r="K3218" t="s">
        <v>34504</v>
      </c>
      <c r="L3218" t="s">
        <v>34505</v>
      </c>
      <c r="M3218" t="s">
        <v>34506</v>
      </c>
      <c r="N3218">
        <f>-800.603152054152 -157.141967087478 -550.683537696731</f>
        <v>-1508.4286568383611</v>
      </c>
      <c r="O3218">
        <f>-750.085090414683 -282.476524485954 -525.449505480416</f>
        <v>-1558.0111203810529</v>
      </c>
      <c r="P3218">
        <f>-725.661162861155 -310.402819721705 -233.533817359451</f>
        <v>-1269.597799942311</v>
      </c>
      <c r="Q3218">
        <f>-596.665465142407 -135.069204803635 -336.824988399015</f>
        <v>-1068.559658345057</v>
      </c>
      <c r="R3218">
        <f>-801.126712246759 -19.9411453812888 -98.0791901049288</f>
        <v>-919.1470477329766</v>
      </c>
      <c r="S3218" t="s">
        <v>34507</v>
      </c>
      <c r="T3218" t="s">
        <v>34508</v>
      </c>
      <c r="U3218" t="s">
        <v>34509</v>
      </c>
      <c r="V3218">
        <f>-714.89511077302 -193.156316687272 -92.6781503839837</f>
        <v>-1000.7295778442757</v>
      </c>
      <c r="W3218" t="s">
        <v>34510</v>
      </c>
      <c r="X3218" t="s">
        <v>34511</v>
      </c>
      <c r="Y3218" t="s">
        <v>34512</v>
      </c>
    </row>
    <row r="3219" spans="1:25" x14ac:dyDescent="0.3">
      <c r="A3219">
        <v>160900</v>
      </c>
      <c r="B3219" t="s">
        <v>34513</v>
      </c>
      <c r="C3219">
        <f>-757.634120216282 -106.303620683473 -94.3725062105468</f>
        <v>-958.31024711030182</v>
      </c>
      <c r="D3219">
        <f>-786.884250735285 -124.333178556867 -204.987069926565</f>
        <v>-1116.204499218717</v>
      </c>
      <c r="E3219">
        <f>-800.222009869574 -131.101307904723 -302.470193558041</f>
        <v>-1233.7935113323381</v>
      </c>
      <c r="F3219">
        <f>-807.987958756209 -134.049446227141 -391.178843545188</f>
        <v>-1333.216248528538</v>
      </c>
      <c r="G3219">
        <f>-811.079330808943 -133.732767980565 -480.221438997651</f>
        <v>-1425.033537787159</v>
      </c>
      <c r="H3219">
        <f>-810.449827458621 -129.91936645893 -604.744072976843</f>
        <v>-1545.113266894394</v>
      </c>
      <c r="I3219">
        <f>-778.730206190433 -116.414762802136 -680.351818366187</f>
        <v>-1575.4967873587561</v>
      </c>
      <c r="J3219">
        <f>-821.242646871701 -105.971758965107 -549.216301964456</f>
        <v>-1476.4307078012639</v>
      </c>
      <c r="K3219" t="s">
        <v>34514</v>
      </c>
      <c r="L3219" t="s">
        <v>34515</v>
      </c>
      <c r="M3219" t="s">
        <v>34516</v>
      </c>
      <c r="N3219">
        <f>-800.211099245607 -157.223125030282 -550.679494379924</f>
        <v>-1508.113718655813</v>
      </c>
      <c r="O3219">
        <f>-749.609828643781 -282.520979110503 -525.43216033782</f>
        <v>-1557.562968092104</v>
      </c>
      <c r="P3219">
        <f>-724.987548861423 -310.985790776406 -233.585153811361</f>
        <v>-1269.5584934491899</v>
      </c>
      <c r="Q3219">
        <f>-594.260256089727 -136.409957872581 -335.979125375204</f>
        <v>-1066.6493393375119</v>
      </c>
      <c r="R3219">
        <f>-800.987665412969 -19.8241619049143 -98.1128680671853</f>
        <v>-918.92469538506862</v>
      </c>
      <c r="S3219" t="s">
        <v>34517</v>
      </c>
      <c r="T3219" t="s">
        <v>34518</v>
      </c>
      <c r="U3219" t="s">
        <v>34519</v>
      </c>
      <c r="V3219">
        <f>-714.570824669448 -193.06200228251 -92.6696082869217</f>
        <v>-1000.3024352388798</v>
      </c>
      <c r="W3219" t="s">
        <v>34520</v>
      </c>
      <c r="X3219" t="s">
        <v>34521</v>
      </c>
      <c r="Y3219" t="s">
        <v>34522</v>
      </c>
    </row>
    <row r="3220" spans="1:25" x14ac:dyDescent="0.3">
      <c r="A3220">
        <v>160950</v>
      </c>
      <c r="B3220" t="s">
        <v>34523</v>
      </c>
      <c r="C3220">
        <f>-757.529621479423 -106.27722556682 -94.3843161598401</f>
        <v>-958.19116320608305</v>
      </c>
      <c r="D3220">
        <f>-786.768502185119 -124.320387840897 -204.999735036315</f>
        <v>-1116.0886250623309</v>
      </c>
      <c r="E3220">
        <f>-800.073345524979 -131.080277021146 -302.487753241549</f>
        <v>-1233.641375787674</v>
      </c>
      <c r="F3220">
        <f>-807.799925488397 -134.013133294558 -391.200595568209</f>
        <v>-1333.013654351164</v>
      </c>
      <c r="G3220">
        <f>-810.842090677757 -133.673348703352 -480.244619239242</f>
        <v>-1424.7600586203509</v>
      </c>
      <c r="H3220">
        <f>-810.133439458692 -129.819796784784 -604.76562303002</f>
        <v>-1544.718859273496</v>
      </c>
      <c r="I3220">
        <f>-778.36281602422 -116.322722541727 -680.353218505612</f>
        <v>-1575.0387570715588</v>
      </c>
      <c r="J3220">
        <f>-820.967614419334 -105.892586626591 -549.237008638712</f>
        <v>-1476.0972096846372</v>
      </c>
      <c r="K3220" t="s">
        <v>34524</v>
      </c>
      <c r="L3220" t="s">
        <v>34525</v>
      </c>
      <c r="M3220" t="s">
        <v>34526</v>
      </c>
      <c r="N3220">
        <f>-799.922992677828 -157.138471335001 -550.703235331385</f>
        <v>-1507.764699344214</v>
      </c>
      <c r="O3220">
        <f>-749.322897354315 -282.450524270809 -525.487280698065</f>
        <v>-1557.260702323189</v>
      </c>
      <c r="P3220">
        <f>-724.581136785677 -311.500049706458 -233.708004371147</f>
        <v>-1269.7891908632819</v>
      </c>
      <c r="Q3220">
        <f>-593.943853537608 -136.676984889798 -335.794526111991</f>
        <v>-1066.4153645393969</v>
      </c>
      <c r="R3220">
        <f>-800.919925622024 -19.8176136407963 -98.1325613738494</f>
        <v>-918.87010063666969</v>
      </c>
      <c r="S3220" t="s">
        <v>34527</v>
      </c>
      <c r="T3220" t="s">
        <v>34528</v>
      </c>
      <c r="U3220" t="s">
        <v>34529</v>
      </c>
      <c r="V3220">
        <f>-714.468114008597 -193.002869771562 -92.6703033760366</f>
        <v>-1000.1412871561956</v>
      </c>
      <c r="W3220" t="s">
        <v>34530</v>
      </c>
      <c r="X3220" t="s">
        <v>34531</v>
      </c>
      <c r="Y3220" t="s">
        <v>34532</v>
      </c>
    </row>
    <row r="3221" spans="1:25" x14ac:dyDescent="0.3">
      <c r="A3221">
        <v>161000</v>
      </c>
      <c r="B3221" t="s">
        <v>34533</v>
      </c>
      <c r="C3221">
        <f>-757.382693199995 -106.185132354068 -94.4038554221182</f>
        <v>-957.97168097618112</v>
      </c>
      <c r="D3221">
        <f>-786.555568429416 -124.230927514886 -205.036239248667</f>
        <v>-1115.822735192969</v>
      </c>
      <c r="E3221">
        <f>-799.78623065526 -131.000985219132 -302.533687797058</f>
        <v>-1233.32090367145</v>
      </c>
      <c r="F3221">
        <f>-807.438386652585 -133.947343546404 -391.252344320299</f>
        <v>-1332.638074519288</v>
      </c>
      <c r="G3221">
        <f>-810.398309074058 -133.625961270438 -480.299403422222</f>
        <v>-1424.323673766718</v>
      </c>
      <c r="H3221">
        <f>-809.566763529675 -129.803770265419 -604.82051478387</f>
        <v>-1544.191048578964</v>
      </c>
      <c r="I3221">
        <f>-777.581515436708 -116.312303880688 -680.318705399096</f>
        <v>-1574.2125247164918</v>
      </c>
      <c r="J3221">
        <f>-820.447417296587 -105.85919862183 -549.308660770372</f>
        <v>-1475.615276688789</v>
      </c>
      <c r="K3221" t="s">
        <v>34534</v>
      </c>
      <c r="L3221" t="s">
        <v>34535</v>
      </c>
      <c r="M3221" t="s">
        <v>34536</v>
      </c>
      <c r="N3221">
        <f>-799.417908802694 -157.112268049074 -550.741439423259</f>
        <v>-1507.2716162750271</v>
      </c>
      <c r="O3221">
        <f>-748.857951701761 -282.419126670057 -525.496718304848</f>
        <v>-1556.7737966766658</v>
      </c>
      <c r="P3221">
        <f>-724.622742338452 -311.468276342769 -233.674826039629</f>
        <v>-1269.7658447208501</v>
      </c>
      <c r="Q3221">
        <f>-593.6499244522 -136.905580920733 -335.776857037285</f>
        <v>-1066.3323624102181</v>
      </c>
      <c r="R3221">
        <f>-800.718274423677 -19.8620884994962 -98.1636300654053</f>
        <v>-918.7439929885785</v>
      </c>
      <c r="S3221" t="s">
        <v>34537</v>
      </c>
      <c r="T3221" t="s">
        <v>34538</v>
      </c>
      <c r="U3221" t="s">
        <v>34539</v>
      </c>
      <c r="V3221">
        <f>-714.347464596252 -192.786788337543 -92.6717913244482</f>
        <v>-999.80604425824333</v>
      </c>
      <c r="W3221" t="s">
        <v>34540</v>
      </c>
      <c r="X3221" t="s">
        <v>34541</v>
      </c>
      <c r="Y3221" t="s">
        <v>34542</v>
      </c>
    </row>
    <row r="3222" spans="1:25" x14ac:dyDescent="0.3">
      <c r="A3222">
        <v>161050</v>
      </c>
      <c r="B3222" t="s">
        <v>34543</v>
      </c>
      <c r="C3222">
        <f>-757.349122503039 -106.260018416499 -94.4064992227351</f>
        <v>-958.01564014227301</v>
      </c>
      <c r="D3222">
        <f>-786.519018709963 -124.304794619824 -205.039867286831</f>
        <v>-1115.863680616618</v>
      </c>
      <c r="E3222">
        <f>-799.751303213978 -131.095176346418 -302.535663364127</f>
        <v>-1233.3821429245229</v>
      </c>
      <c r="F3222">
        <f>-807.406223608306 -134.069181148732 -391.253304018691</f>
        <v>-1332.728708775729</v>
      </c>
      <c r="G3222">
        <f>-810.370291514292 -133.785091368259 -480.300285324256</f>
        <v>-1424.4556682068071</v>
      </c>
      <c r="H3222">
        <f>-809.545596056623 -130.025536935315 -604.823415845849</f>
        <v>-1544.3945488377872</v>
      </c>
      <c r="I3222">
        <f>-777.439003086879 -116.544919706338 -680.271944171323</f>
        <v>-1574.25586696454</v>
      </c>
      <c r="J3222">
        <f>-820.408004754772 -106.046835240836 -549.322562680558</f>
        <v>-1475.777402676166</v>
      </c>
      <c r="K3222" t="s">
        <v>34544</v>
      </c>
      <c r="L3222" t="s">
        <v>34545</v>
      </c>
      <c r="M3222" t="s">
        <v>34546</v>
      </c>
      <c r="N3222">
        <f>-799.408955598205 -157.313024728997 -550.731353204629</f>
        <v>-1507.453333531831</v>
      </c>
      <c r="O3222">
        <f>-748.909782543083 -282.64250980596 -525.433250598255</f>
        <v>-1556.985542947298</v>
      </c>
      <c r="P3222">
        <f>-724.816955673261 -311.330829157899 -233.563875713436</f>
        <v>-1269.7116605445958</v>
      </c>
      <c r="Q3222">
        <f>-593.529869334681 -137.061684078026 -335.763923491835</f>
        <v>-1066.355476904542</v>
      </c>
      <c r="R3222">
        <f>-800.683335062265 -19.9399651573826 -98.1798107921592</f>
        <v>-918.80311101180678</v>
      </c>
      <c r="S3222" t="s">
        <v>34547</v>
      </c>
      <c r="T3222" t="s">
        <v>34548</v>
      </c>
      <c r="U3222" t="s">
        <v>34549</v>
      </c>
      <c r="V3222">
        <f>-714.323658105359 -192.891834701007 -92.6765954606933</f>
        <v>-999.89208826705931</v>
      </c>
      <c r="W3222" t="s">
        <v>34550</v>
      </c>
      <c r="X3222" t="s">
        <v>34551</v>
      </c>
      <c r="Y3222" t="s">
        <v>34552</v>
      </c>
    </row>
    <row r="3223" spans="1:25" x14ac:dyDescent="0.3">
      <c r="A3223">
        <v>161100</v>
      </c>
      <c r="B3223" t="s">
        <v>34553</v>
      </c>
      <c r="C3223">
        <f>-757.241027223671 -106.514507308186 -94.390684867386</f>
        <v>-958.14621939924302</v>
      </c>
      <c r="D3223">
        <f>-786.450850657672 -124.539852562261 -205.016717616682</f>
        <v>-1116.007420836615</v>
      </c>
      <c r="E3223">
        <f>-799.690563220394 -131.359211599202 -302.509591840546</f>
        <v>-1233.5593666601421</v>
      </c>
      <c r="F3223">
        <f>-807.341791494764 -134.378012469597 -391.225901392569</f>
        <v>-1332.9457053569301</v>
      </c>
      <c r="G3223">
        <f>-810.291493767961 -134.157958587877 -480.273531947567</f>
        <v>-1424.7229843034052</v>
      </c>
      <c r="H3223">
        <f>-809.435396752661 -130.50861653914 -604.799712073937</f>
        <v>-1544.7437253657381</v>
      </c>
      <c r="I3223">
        <f>-777.059917732628 -117.075528454568 -680.141625363972</f>
        <v>-1574.2770715511681</v>
      </c>
      <c r="J3223">
        <f>-820.288742647226 -106.471381676243 -549.322474936753</f>
        <v>-1476.082599260222</v>
      </c>
      <c r="K3223" t="s">
        <v>34554</v>
      </c>
      <c r="L3223" t="s">
        <v>34555</v>
      </c>
      <c r="M3223" t="s">
        <v>34556</v>
      </c>
      <c r="N3223">
        <f>-799.335522330982 -157.757633499101 -550.681401488496</f>
        <v>-1507.7745573185789</v>
      </c>
      <c r="O3223">
        <f>-748.959518686469 -283.122477014497 -525.302012997981</f>
        <v>-1557.3840086989471</v>
      </c>
      <c r="P3223">
        <f>-724.981671940679 -311.644475652905 -233.406900453703</f>
        <v>-1270.0330480472869</v>
      </c>
      <c r="Q3223">
        <f>-592.733631250645 -137.996722088591 -335.425468445387</f>
        <v>-1066.155821784623</v>
      </c>
      <c r="R3223">
        <f>-800.502741808918 -20.145603684789 -98.1564204837814</f>
        <v>-918.80476597748839</v>
      </c>
      <c r="S3223" t="s">
        <v>34557</v>
      </c>
      <c r="T3223" t="s">
        <v>34558</v>
      </c>
      <c r="U3223" t="s">
        <v>34559</v>
      </c>
      <c r="V3223">
        <f>-714.293498044821 -193.129001383264 -92.6757082723373</f>
        <v>-1000.0982077004223</v>
      </c>
      <c r="W3223" t="s">
        <v>34560</v>
      </c>
      <c r="X3223" t="s">
        <v>34561</v>
      </c>
      <c r="Y3223" t="s">
        <v>34562</v>
      </c>
    </row>
    <row r="3224" spans="1:25" x14ac:dyDescent="0.3">
      <c r="A3224">
        <v>161150</v>
      </c>
      <c r="B3224" t="s">
        <v>34563</v>
      </c>
      <c r="C3224">
        <f>-757.214475661465 -106.503580369335 -94.4027535186426</f>
        <v>-958.12080954944258</v>
      </c>
      <c r="D3224">
        <f>-786.442218519722 -124.524944630515 -205.02459186888</f>
        <v>-1115.9917550191169</v>
      </c>
      <c r="E3224">
        <f>-799.661096610204 -131.327451730613 -302.521537841648</f>
        <v>-1233.5100861824651</v>
      </c>
      <c r="F3224">
        <f>-807.278092833265 -134.325975890961 -391.241493444208</f>
        <v>-1332.8455621684338</v>
      </c>
      <c r="G3224">
        <f>-810.177894345792 -134.081367599779 -480.290733995885</f>
        <v>-1424.549995941456</v>
      </c>
      <c r="H3224">
        <f>-809.235530730498 -130.393591565269 -604.8151242351</f>
        <v>-1544.4442465308671</v>
      </c>
      <c r="I3224">
        <f>-776.704772045404 -116.962154275726 -680.090336198311</f>
        <v>-1573.7572625194409</v>
      </c>
      <c r="J3224">
        <f>-820.114082025856 -106.368094985959 -549.337697250579</f>
        <v>-1475.819874262394</v>
      </c>
      <c r="K3224" t="s">
        <v>34564</v>
      </c>
      <c r="L3224" t="s">
        <v>34565</v>
      </c>
      <c r="M3224" t="s">
        <v>34566</v>
      </c>
      <c r="N3224">
        <f>-799.186415209022 -157.664784661635 -550.698408436484</f>
        <v>-1507.5496083071409</v>
      </c>
      <c r="O3224">
        <f>-748.877705285375 -283.066085339012 -525.315534174406</f>
        <v>-1557.2593247987929</v>
      </c>
      <c r="P3224">
        <f>-725.119962955875 -311.74690225346 -233.418017118366</f>
        <v>-1270.2848823277011</v>
      </c>
      <c r="Q3224">
        <f>-592.720005100082 -138.137577597676 -335.304845526954</f>
        <v>-1066.1624282247119</v>
      </c>
      <c r="R3224">
        <f>-800.477036445292 -20.1489192704539 -98.1672566071912</f>
        <v>-918.79321232293717</v>
      </c>
      <c r="S3224" t="s">
        <v>34567</v>
      </c>
      <c r="T3224" t="s">
        <v>34568</v>
      </c>
      <c r="U3224" t="s">
        <v>34569</v>
      </c>
      <c r="V3224">
        <f>-714.281445808017 -193.078243634726 -92.6808506790718</f>
        <v>-1000.0405401218148</v>
      </c>
      <c r="W3224" t="s">
        <v>34570</v>
      </c>
      <c r="X3224" t="s">
        <v>34571</v>
      </c>
      <c r="Y3224" t="s">
        <v>34572</v>
      </c>
    </row>
    <row r="3225" spans="1:25" x14ac:dyDescent="0.3">
      <c r="A3225">
        <v>161200</v>
      </c>
      <c r="B3225" t="s">
        <v>34573</v>
      </c>
      <c r="C3225">
        <f>-757.198915027307 -106.678314107962 -94.4141820732809</f>
        <v>-958.2914112085499</v>
      </c>
      <c r="D3225">
        <f>-786.410077587677 -124.69559595882 -205.041097962604</f>
        <v>-1116.1467715091012</v>
      </c>
      <c r="E3225">
        <f>-799.585550347132 -131.455895317951 -302.54670006732</f>
        <v>-1233.5881457324031</v>
      </c>
      <c r="F3225">
        <f>-807.150835784386 -134.400827126558 -391.27294759067</f>
        <v>-1332.8246105016142</v>
      </c>
      <c r="G3225">
        <f>-809.986027438942 -134.08779782666 -480.324161180271</f>
        <v>-1424.3979864458729</v>
      </c>
      <c r="H3225">
        <f>-808.939655996969 -130.289252750465 -604.844382247946</f>
        <v>-1544.0732909953799</v>
      </c>
      <c r="I3225">
        <f>-776.190495125466 -116.817197409538 -680.017643352501</f>
        <v>-1573.025335887505</v>
      </c>
      <c r="J3225">
        <f>-819.848476864153 -106.306537187336 -549.354345610838</f>
        <v>-1475.5093596623269</v>
      </c>
      <c r="K3225" t="s">
        <v>34574</v>
      </c>
      <c r="L3225" t="s">
        <v>34575</v>
      </c>
      <c r="M3225" t="s">
        <v>34576</v>
      </c>
      <c r="N3225">
        <f>-798.95172401367 -157.615039038503 -550.743989152254</f>
        <v>-1507.310752204427</v>
      </c>
      <c r="O3225">
        <f>-748.784383100737 -283.075265821058 -525.441851756471</f>
        <v>-1557.3015006782662</v>
      </c>
      <c r="P3225">
        <f>-725.243984504362 -312.284101948452 -233.578953759824</f>
        <v>-1271.1070402126379</v>
      </c>
      <c r="Q3225">
        <f>-594.076191066619 -137.539271458695 -335.117748196307</f>
        <v>-1066.7332107216209</v>
      </c>
      <c r="R3225">
        <f>-800.381029360329 -20.3382030869218 -98.1828514969951</f>
        <v>-918.90208394424587</v>
      </c>
      <c r="S3225" t="s">
        <v>34577</v>
      </c>
      <c r="T3225" t="s">
        <v>34578</v>
      </c>
      <c r="U3225" t="s">
        <v>34579</v>
      </c>
      <c r="V3225">
        <f>-714.304665772389 -193.291429248463 -92.6862589229579</f>
        <v>-1000.2823539438099</v>
      </c>
      <c r="W3225" t="s">
        <v>34580</v>
      </c>
      <c r="X3225" t="s">
        <v>34581</v>
      </c>
      <c r="Y3225" t="s">
        <v>34582</v>
      </c>
    </row>
    <row r="3226" spans="1:25" x14ac:dyDescent="0.3">
      <c r="A3226">
        <v>161250</v>
      </c>
      <c r="B3226" t="s">
        <v>34583</v>
      </c>
      <c r="C3226">
        <f>-757.21258287622 -106.692853233764 -94.4197029728667</f>
        <v>-958.3251390828508</v>
      </c>
      <c r="D3226">
        <f>-786.422577048753 -124.717764903445 -205.045618159728</f>
        <v>-1116.1859601119261</v>
      </c>
      <c r="E3226">
        <f>-799.604277051606 -131.472200064758 -302.550901464813</f>
        <v>-1233.627378581177</v>
      </c>
      <c r="F3226">
        <f>-807.178197233158 -134.406457496712 -391.276741310405</f>
        <v>-1332.8613960402749</v>
      </c>
      <c r="G3226">
        <f>-810.024848944977 -134.07744726977 -480.327455862254</f>
        <v>-1424.429752077001</v>
      </c>
      <c r="H3226">
        <f>-808.997454908104 -130.250990169606 -604.846962119497</f>
        <v>-1544.0954071972069</v>
      </c>
      <c r="I3226">
        <f>-776.185053200434 -116.746118566406 -679.986824147694</f>
        <v>-1572.917995914534</v>
      </c>
      <c r="J3226">
        <f>-819.89532030521 -106.279719923442 -549.349820199852</f>
        <v>-1475.5248604285041</v>
      </c>
      <c r="K3226" t="s">
        <v>34584</v>
      </c>
      <c r="L3226" t="s">
        <v>34585</v>
      </c>
      <c r="M3226" t="s">
        <v>34586</v>
      </c>
      <c r="N3226">
        <f>-799.003814951473 -157.589960500313 -550.754266217139</f>
        <v>-1507.3480416689251</v>
      </c>
      <c r="O3226">
        <f>-748.907191261949 -283.085357669244 -525.497305119577</f>
        <v>-1557.4898540507702</v>
      </c>
      <c r="P3226">
        <f>-725.300424580532 -312.49459618283 -233.660057771544</f>
        <v>-1271.4550785349059</v>
      </c>
      <c r="Q3226">
        <f>-595.119327977109 -136.828045360631 -334.877635288506</f>
        <v>-1066.825008626246</v>
      </c>
      <c r="R3226">
        <f>-800.397178650972 -20.3496477397211 -98.198318996224</f>
        <v>-918.94514538691715</v>
      </c>
      <c r="S3226" t="s">
        <v>34587</v>
      </c>
      <c r="T3226" t="s">
        <v>34588</v>
      </c>
      <c r="U3226" t="s">
        <v>34589</v>
      </c>
      <c r="V3226">
        <f>-714.306940521185 -193.270586887157 -92.6896205934496</f>
        <v>-1000.2671480017916</v>
      </c>
      <c r="W3226" t="s">
        <v>34590</v>
      </c>
      <c r="X3226" t="s">
        <v>34591</v>
      </c>
      <c r="Y3226" t="s">
        <v>34592</v>
      </c>
    </row>
    <row r="3227" spans="1:25" x14ac:dyDescent="0.3">
      <c r="A3227">
        <v>161300</v>
      </c>
      <c r="B3227" t="s">
        <v>34593</v>
      </c>
      <c r="C3227">
        <f>-757.264897591921 -106.796557889912 -94.4202916443857</f>
        <v>-958.48174712621869</v>
      </c>
      <c r="D3227">
        <f>-786.493882433726 -124.802505379003 -205.044356762034</f>
        <v>-1116.340744574763</v>
      </c>
      <c r="E3227">
        <f>-799.706214351589 -131.549315424972 -302.545945691298</f>
        <v>-1233.8014754678588</v>
      </c>
      <c r="F3227">
        <f>-807.313986814321 -134.47975719932 -391.268985266648</f>
        <v>-1333.062729280289</v>
      </c>
      <c r="G3227">
        <f>-810.200886762023 -134.149778710173 -480.318317082761</f>
        <v>-1424.668982554957</v>
      </c>
      <c r="H3227">
        <f>-809.23651731556 -130.324545626365 -604.838523571422</f>
        <v>-1544.399586513347</v>
      </c>
      <c r="I3227">
        <f>-776.415097796647 -116.749874337037 -679.961833132536</f>
        <v>-1573.1268052662199</v>
      </c>
      <c r="J3227">
        <f>-820.099743068146 -106.3500601379 -549.335950574263</f>
        <v>-1475.7857537803091</v>
      </c>
      <c r="K3227" t="s">
        <v>34594</v>
      </c>
      <c r="L3227" t="s">
        <v>34595</v>
      </c>
      <c r="M3227" t="s">
        <v>34596</v>
      </c>
      <c r="N3227">
        <f>-799.222011190942 -157.665613795218 -550.750659731255</f>
        <v>-1507.638284717415</v>
      </c>
      <c r="O3227">
        <f>-749.196891469188 -283.205888476246 -525.549118048422</f>
        <v>-1557.9518979938562</v>
      </c>
      <c r="P3227">
        <f>-725.378668512524 -312.78657992725 -233.746352339018</f>
        <v>-1271.9116007787918</v>
      </c>
      <c r="Q3227">
        <f>-596.945513907365 -135.422402105089 -334.233811811228</f>
        <v>-1066.601727823682</v>
      </c>
      <c r="R3227">
        <f>-800.381683510587 -20.4818526096192 -98.2038191598377</f>
        <v>-919.0673552800439</v>
      </c>
      <c r="S3227" t="s">
        <v>34597</v>
      </c>
      <c r="T3227" t="s">
        <v>34598</v>
      </c>
      <c r="U3227" t="s">
        <v>34599</v>
      </c>
      <c r="V3227">
        <f>-714.44680230701 -193.385145596645 -92.6791877688593</f>
        <v>-1000.5111356725142</v>
      </c>
      <c r="W3227" t="s">
        <v>34600</v>
      </c>
      <c r="X3227" t="s">
        <v>34601</v>
      </c>
      <c r="Y3227" t="s">
        <v>34602</v>
      </c>
    </row>
    <row r="3228" spans="1:25" x14ac:dyDescent="0.3">
      <c r="A3228">
        <v>161350</v>
      </c>
      <c r="B3228" t="s">
        <v>34603</v>
      </c>
      <c r="C3228">
        <f>-757.29344274689 -106.881803733971 -94.4098212065816</f>
        <v>-958.58506768744257</v>
      </c>
      <c r="D3228">
        <f>-786.529772067218 -124.87625222188 -205.0337271342</f>
        <v>-1116.439751423298</v>
      </c>
      <c r="E3228">
        <f>-799.748262823123 -131.609580137333 -302.535552168113</f>
        <v>-1233.893395128569</v>
      </c>
      <c r="F3228">
        <f>-807.361507066129 -134.526360920496 -391.258489678521</f>
        <v>-1333.1463576651461</v>
      </c>
      <c r="G3228">
        <f>-810.25360754666 -134.181262069661 -480.307764534205</f>
        <v>-1424.7426341505259</v>
      </c>
      <c r="H3228">
        <f>-809.296342757327 -130.333584711233 -604.827048871221</f>
        <v>-1544.456976339781</v>
      </c>
      <c r="I3228">
        <f>-776.504397109091 -116.714456899482 -679.955178889244</f>
        <v>-1573.1740328978171</v>
      </c>
      <c r="J3228">
        <f>-820.148721017344 -106.365956364035 -549.319555905719</f>
        <v>-1475.834233287098</v>
      </c>
      <c r="K3228" t="s">
        <v>34604</v>
      </c>
      <c r="L3228" t="s">
        <v>34605</v>
      </c>
      <c r="M3228" t="s">
        <v>34606</v>
      </c>
      <c r="N3228">
        <f>-799.286499820241 -157.687472756928 -550.744940365337</f>
        <v>-1507.718912942506</v>
      </c>
      <c r="O3228">
        <f>-749.294835715376 -283.231755721295 -525.521116649917</f>
        <v>-1558.047708086588</v>
      </c>
      <c r="P3228">
        <f>-725.228618318146 -312.885851186852 -233.745995324172</f>
        <v>-1271.8604648291698</v>
      </c>
      <c r="Q3228">
        <f>-597.452239903777 -134.844549132848 -333.872710143857</f>
        <v>-1066.169499180482</v>
      </c>
      <c r="R3228">
        <f>-800.363583416003 -20.5784759185162 -98.1910965294906</f>
        <v>-919.13315586400984</v>
      </c>
      <c r="S3228" t="s">
        <v>34607</v>
      </c>
      <c r="T3228" t="s">
        <v>34608</v>
      </c>
      <c r="U3228" t="s">
        <v>34609</v>
      </c>
      <c r="V3228">
        <f>-714.532514302755 -193.450024347587 -92.6782743804756</f>
        <v>-1000.6608130308176</v>
      </c>
      <c r="W3228" t="s">
        <v>34610</v>
      </c>
      <c r="X3228" t="s">
        <v>34611</v>
      </c>
      <c r="Y3228" t="s">
        <v>34612</v>
      </c>
    </row>
    <row r="3229" spans="1:25" x14ac:dyDescent="0.3">
      <c r="A3229">
        <v>161400</v>
      </c>
      <c r="B3229" t="s">
        <v>34613</v>
      </c>
      <c r="C3229">
        <f>-757.382416186652 -107.112236115558 -94.3921065757934</f>
        <v>-958.88675887800332</v>
      </c>
      <c r="D3229">
        <f>-786.678797440637 -125.093680478301 -205.002318936354</f>
        <v>-1116.7747968552919</v>
      </c>
      <c r="E3229">
        <f>-799.941792286238 -131.820052370361 -302.498482358347</f>
        <v>-1234.2603270149459</v>
      </c>
      <c r="F3229">
        <f>-807.592638466222 -134.731476623512 -391.218404011182</f>
        <v>-1333.5425191009158</v>
      </c>
      <c r="G3229">
        <f>-810.519857275898 -134.382088981477 -480.266434263071</f>
        <v>-1425.1683805204459</v>
      </c>
      <c r="H3229">
        <f>-809.608866186123 -130.529282871763 -604.786059603814</f>
        <v>-1544.9242086617</v>
      </c>
      <c r="I3229">
        <f>-776.746278100626 -116.770100187368 -679.857886882398</f>
        <v>-1573.3742651703919</v>
      </c>
      <c r="J3229">
        <f>-820.43486097185 -106.561650036969 -549.273379593925</f>
        <v>-1476.269890602744</v>
      </c>
      <c r="K3229" t="s">
        <v>34614</v>
      </c>
      <c r="L3229" t="s">
        <v>34615</v>
      </c>
      <c r="M3229" t="s">
        <v>34616</v>
      </c>
      <c r="N3229">
        <f>-799.584626707654 -157.887778971455 -550.708984540054</f>
        <v>-1508.1813902191629</v>
      </c>
      <c r="O3229">
        <f>-749.530474008469 -283.401106645605 -525.438861010956</f>
        <v>-1558.3704416650298</v>
      </c>
      <c r="P3229">
        <f>-725.661800939045 -312.659543810087 -233.60772675152</f>
        <v>-1271.9290715006518</v>
      </c>
      <c r="Q3229">
        <f>-598.213088768958 -133.962441439689 -332.980745360908</f>
        <v>-1065.156275569555</v>
      </c>
      <c r="R3229">
        <f>-800.437869988522 -20.795003920276 -98.168064382332</f>
        <v>-919.40093829113005</v>
      </c>
      <c r="S3229" t="s">
        <v>34617</v>
      </c>
      <c r="T3229" t="s">
        <v>34618</v>
      </c>
      <c r="U3229" t="s">
        <v>34619</v>
      </c>
      <c r="V3229">
        <f>-714.646049419113 -193.675510414476 -92.6812650476617</f>
        <v>-1001.0028248812506</v>
      </c>
      <c r="W3229" t="s">
        <v>34620</v>
      </c>
      <c r="X3229" t="s">
        <v>34621</v>
      </c>
      <c r="Y3229" t="s">
        <v>34622</v>
      </c>
    </row>
    <row r="3230" spans="1:25" x14ac:dyDescent="0.3">
      <c r="A3230">
        <v>161450</v>
      </c>
      <c r="B3230" t="s">
        <v>34623</v>
      </c>
      <c r="C3230">
        <f>-757.454372804487 -107.324317751129 -94.3872861095851</f>
        <v>-959.16597666520113</v>
      </c>
      <c r="D3230">
        <f>-786.763526342893 -125.301486475027 -204.994774020041</f>
        <v>-1117.0597868379609</v>
      </c>
      <c r="E3230">
        <f>-800.029657430669 -132.029862940636 -302.490412374416</f>
        <v>-1234.549932745721</v>
      </c>
      <c r="F3230">
        <f>-807.680454430796 -134.945193918839 -391.210240373935</f>
        <v>-1333.83588872357</v>
      </c>
      <c r="G3230">
        <f>-810.604790352419 -134.601297033158 -480.258359500759</f>
        <v>-1425.464446886336</v>
      </c>
      <c r="H3230">
        <f>-809.687147815961 -130.757780941723 -604.778234832009</f>
        <v>-1545.2231635896931</v>
      </c>
      <c r="I3230">
        <f>-776.804932646174 -116.938504240807 -679.830344529706</f>
        <v>-1573.5737814166871</v>
      </c>
      <c r="J3230">
        <f>-820.521249151012 -106.788043380218 -549.268010925708</f>
        <v>-1476.5773034569379</v>
      </c>
      <c r="K3230" t="s">
        <v>34624</v>
      </c>
      <c r="L3230" t="s">
        <v>34625</v>
      </c>
      <c r="M3230" t="s">
        <v>34626</v>
      </c>
      <c r="N3230">
        <f>-799.660679735485 -158.110144308592 -550.698455006857</f>
        <v>-1508.4692790509339</v>
      </c>
      <c r="O3230">
        <f>-749.592332240588 -283.618346237963 -525.405738189659</f>
        <v>-1558.6164166682101</v>
      </c>
      <c r="P3230">
        <f>-726.041238583257 -312.780268167493 -233.539105394238</f>
        <v>-1272.360612144988</v>
      </c>
      <c r="Q3230">
        <f>-598.570052555067 -134.035402097762 -332.797514487636</f>
        <v>-1065.4029691404651</v>
      </c>
      <c r="R3230">
        <f>-800.501312676277 -20.9445675781153 -98.150100423798</f>
        <v>-919.59598067819036</v>
      </c>
      <c r="S3230" t="s">
        <v>34627</v>
      </c>
      <c r="T3230" t="s">
        <v>34628</v>
      </c>
      <c r="U3230" t="s">
        <v>34629</v>
      </c>
      <c r="V3230">
        <f>-714.70406805021 -193.996121503037 -92.6838122961861</f>
        <v>-1001.3840018494332</v>
      </c>
      <c r="W3230" t="s">
        <v>34630</v>
      </c>
      <c r="X3230" t="s">
        <v>34631</v>
      </c>
      <c r="Y3230" t="s">
        <v>34632</v>
      </c>
    </row>
    <row r="3231" spans="1:25" x14ac:dyDescent="0.3">
      <c r="A3231">
        <v>161500</v>
      </c>
      <c r="B3231" t="s">
        <v>34633</v>
      </c>
      <c r="C3231">
        <f>-757.572246056202 -107.60881918199 -94.3799485434153</f>
        <v>-959.56101378160724</v>
      </c>
      <c r="D3231">
        <f>-786.884192164355 -125.573509813053 -204.988682032198</f>
        <v>-1117.4463840096059</v>
      </c>
      <c r="E3231">
        <f>-800.144761438257 -132.299999233085 -302.48529388404</f>
        <v>-1234.930054555382</v>
      </c>
      <c r="F3231">
        <f>-807.787016366706 -135.217886110845 -391.205724513051</f>
        <v>-1334.2106269906021</v>
      </c>
      <c r="G3231">
        <f>-810.699173308279 -134.881312138889 -480.254334797466</f>
        <v>-1425.8348202446341</v>
      </c>
      <c r="H3231">
        <f>-809.760399757063 -131.053218006339 -604.774449833552</f>
        <v>-1545.588067596954</v>
      </c>
      <c r="I3231">
        <f>-776.836086202902 -117.121318212291 -679.787161257708</f>
        <v>-1573.744565672901</v>
      </c>
      <c r="J3231">
        <f>-820.600306402148 -107.075186797559 -549.268990606759</f>
        <v>-1476.944483806466</v>
      </c>
      <c r="K3231" t="s">
        <v>34634</v>
      </c>
      <c r="L3231" t="s">
        <v>34635</v>
      </c>
      <c r="M3231" t="s">
        <v>34636</v>
      </c>
      <c r="N3231">
        <f>-799.746664786456 -158.400331406222 -550.689588180053</f>
        <v>-1508.8365843727311</v>
      </c>
      <c r="O3231">
        <f>-749.764905725454 -283.949814238239 -525.441832635078</f>
        <v>-1559.1565525987708</v>
      </c>
      <c r="P3231">
        <f>-726.751773467931 -312.864612023816 -233.507820002229</f>
        <v>-1273.124205493976</v>
      </c>
      <c r="Q3231">
        <f>-598.117526027208 -135.097571495041 -333.021496087798</f>
        <v>-1066.2365936100468</v>
      </c>
      <c r="R3231">
        <f>-800.598382484184 -21.275689910422 -98.106491492285</f>
        <v>-919.98056388689099</v>
      </c>
      <c r="S3231" t="s">
        <v>34637</v>
      </c>
      <c r="T3231" t="s">
        <v>34638</v>
      </c>
      <c r="U3231" t="s">
        <v>34639</v>
      </c>
      <c r="V3231">
        <f>-714.860389488224 -194.206691611297 -92.6765695383366</f>
        <v>-1001.7436506378575</v>
      </c>
      <c r="W3231" t="s">
        <v>34640</v>
      </c>
      <c r="X3231" t="s">
        <v>34641</v>
      </c>
      <c r="Y3231" t="s">
        <v>34642</v>
      </c>
    </row>
    <row r="3232" spans="1:25" x14ac:dyDescent="0.3">
      <c r="A3232">
        <v>161550</v>
      </c>
      <c r="B3232" t="s">
        <v>34643</v>
      </c>
      <c r="C3232">
        <f>-757.640743843161 -107.721917357733 -94.3556116428622</f>
        <v>-959.71827284375615</v>
      </c>
      <c r="D3232">
        <f>-786.945320531309 -125.687404876548 -204.966293719888</f>
        <v>-1117.5990191277451</v>
      </c>
      <c r="E3232">
        <f>-800.216831608342 -132.417732962432 -302.460963353786</f>
        <v>-1235.09552792456</v>
      </c>
      <c r="F3232">
        <f>-807.875684369376 -135.340645047393 -391.179836068862</f>
        <v>-1334.3961654856309</v>
      </c>
      <c r="G3232">
        <f>-810.811039541066 -135.010947946082 -480.227712232326</f>
        <v>-1426.0496997194739</v>
      </c>
      <c r="H3232">
        <f>-809.91154876967 -131.194534217302 -604.74849092827</f>
        <v>-1545.8545739152421</v>
      </c>
      <c r="I3232">
        <f>-776.983441665456 -117.226835724709 -679.752923065633</f>
        <v>-1573.963200455798</v>
      </c>
      <c r="J3232">
        <f>-820.729402210029 -107.209429717611 -549.241653527752</f>
        <v>-1477.180485455392</v>
      </c>
      <c r="K3232" t="s">
        <v>34644</v>
      </c>
      <c r="L3232" t="s">
        <v>34645</v>
      </c>
      <c r="M3232" t="s">
        <v>34646</v>
      </c>
      <c r="N3232">
        <f>-799.885378195552 -158.538478792099 -550.664385525923</f>
        <v>-1509.088242513574</v>
      </c>
      <c r="O3232">
        <f>-749.941669374036 -284.110845295755 -525.444309610771</f>
        <v>-1559.4968242805621</v>
      </c>
      <c r="P3232">
        <f>-726.868715767806 -312.977661288689 -233.510259734336</f>
        <v>-1273.3566367908309</v>
      </c>
      <c r="Q3232">
        <f>-597.789741930626 -135.683092240424 -333.290508901826</f>
        <v>-1066.7633430728761</v>
      </c>
      <c r="R3232">
        <f>-800.656235354743 -21.4222029541565 -98.089347143262</f>
        <v>-920.16778545216152</v>
      </c>
      <c r="S3232" t="s">
        <v>34647</v>
      </c>
      <c r="T3232" t="s">
        <v>34648</v>
      </c>
      <c r="U3232" t="s">
        <v>34649</v>
      </c>
      <c r="V3232">
        <f>-714.923796279874 -194.281552262058 -92.6626297602402</f>
        <v>-1001.8679783021721</v>
      </c>
      <c r="W3232" t="s">
        <v>34650</v>
      </c>
      <c r="X3232" t="s">
        <v>34651</v>
      </c>
      <c r="Y3232" t="s">
        <v>34652</v>
      </c>
    </row>
    <row r="3233" spans="1:25" x14ac:dyDescent="0.3">
      <c r="A3233">
        <v>161600</v>
      </c>
      <c r="B3233" t="s">
        <v>34653</v>
      </c>
      <c r="C3233">
        <f>-757.818012026069 -107.886645228511 -94.3475953429939</f>
        <v>-960.05225259757401</v>
      </c>
      <c r="D3233">
        <f>-787.152834173194 -125.868458865124 -204.947536244043</f>
        <v>-1117.968829282361</v>
      </c>
      <c r="E3233">
        <f>-800.491119378362 -132.61414122087 -302.432044742031</f>
        <v>-1235.5373053412629</v>
      </c>
      <c r="F3233">
        <f>-808.226670905103 -135.551567322935 -391.143851114626</f>
        <v>-1334.9220893426639</v>
      </c>
      <c r="G3233">
        <f>-811.254932429262 -135.236730538859 -480.188606851273</f>
        <v>-1426.680269819394</v>
      </c>
      <c r="H3233">
        <f>-810.501907238123 -131.441568999444 -604.711201914538</f>
        <v>-1546.6546781521051</v>
      </c>
      <c r="I3233">
        <f>-777.547874904282 -117.386945861636 -679.687872314088</f>
        <v>-1574.6226930800062</v>
      </c>
      <c r="J3233">
        <f>-821.251203790089 -107.445677963379 -549.195660537061</f>
        <v>-1477.892542290529</v>
      </c>
      <c r="K3233" t="s">
        <v>34654</v>
      </c>
      <c r="L3233" t="s">
        <v>34655</v>
      </c>
      <c r="M3233" t="s">
        <v>34656</v>
      </c>
      <c r="N3233">
        <f>-800.415353642697 -158.777595742833 -550.634164801611</f>
        <v>-1509.827114187141</v>
      </c>
      <c r="O3233">
        <f>-750.473221000253 -284.360511075604 -525.460938218006</f>
        <v>-1560.294670293863</v>
      </c>
      <c r="P3233">
        <f>-727.348071701142 -312.873167802766 -233.496060766106</f>
        <v>-1273.717300270014</v>
      </c>
      <c r="Q3233">
        <f>-597.33341686397 -136.541915606627 -333.767492929272</f>
        <v>-1067.642825399869</v>
      </c>
      <c r="R3233">
        <f>-800.927069224126 -21.5233097679877 -98.090366498721</f>
        <v>-920.54074549083464</v>
      </c>
      <c r="S3233" t="s">
        <v>34657</v>
      </c>
      <c r="T3233" t="s">
        <v>34658</v>
      </c>
      <c r="U3233" t="s">
        <v>34659</v>
      </c>
      <c r="V3233">
        <f>-715.044757609126 -194.490215728979 -92.6602123711967</f>
        <v>-1002.1951857093018</v>
      </c>
      <c r="W3233" t="s">
        <v>34660</v>
      </c>
      <c r="X3233" t="s">
        <v>34661</v>
      </c>
      <c r="Y3233" t="s">
        <v>34662</v>
      </c>
    </row>
    <row r="3234" spans="1:25" x14ac:dyDescent="0.3">
      <c r="A3234">
        <v>161650</v>
      </c>
      <c r="B3234" t="s">
        <v>34663</v>
      </c>
      <c r="C3234">
        <f>-757.900883398439 -107.869913590111 -94.3459022455229</f>
        <v>-960.11669923407283</v>
      </c>
      <c r="D3234">
        <f>-787.264856660721 -125.872094863147 -204.934736094395</f>
        <v>-1118.071687618263</v>
      </c>
      <c r="E3234">
        <f>-800.666868214734 -132.643318465273 -302.408819085698</f>
        <v>-1235.7190057657051</v>
      </c>
      <c r="F3234">
        <f>-808.475671114536 -135.606918018895 -391.113272762573</f>
        <v>-1335.1958618960039</v>
      </c>
      <c r="G3234">
        <f>-811.592724568256 -135.321189399664 -480.155070562611</f>
        <v>-1427.068984530531</v>
      </c>
      <c r="H3234">
        <f>-810.980009390939 -131.569626418752 -604.679640284396</f>
        <v>-1547.229276094087</v>
      </c>
      <c r="I3234">
        <f>-778.016774154166 -117.448139590323 -679.639815191453</f>
        <v>-1575.1047289359419</v>
      </c>
      <c r="J3234">
        <f>-821.667112623105 -107.554470406852 -549.16051115719</f>
        <v>-1478.382094187147</v>
      </c>
      <c r="K3234" t="s">
        <v>34664</v>
      </c>
      <c r="L3234" t="s">
        <v>34665</v>
      </c>
      <c r="M3234" t="s">
        <v>34666</v>
      </c>
      <c r="N3234">
        <f>-800.83212510715 -158.886509077471 -550.604480480191</f>
        <v>-1510.323114664812</v>
      </c>
      <c r="O3234">
        <f>-750.871387561601 -284.459882711787 -525.433847468174</f>
        <v>-1560.7651177415619</v>
      </c>
      <c r="P3234">
        <f>-727.707981651293 -312.748122576712 -233.450127264658</f>
        <v>-1273.906231492663</v>
      </c>
      <c r="Q3234">
        <f>-597.321417155582 -136.785396545409 -333.88586001691</f>
        <v>-1067.992673717901</v>
      </c>
      <c r="R3234">
        <f>-801.012388474928 -21.589802609715 -98.0877779846552</f>
        <v>-920.68996906929817</v>
      </c>
      <c r="S3234" t="s">
        <v>34667</v>
      </c>
      <c r="T3234" t="s">
        <v>34668</v>
      </c>
      <c r="U3234" t="s">
        <v>34669</v>
      </c>
      <c r="V3234">
        <f>-715.100760616059 -194.406290399372 -92.6595712028496</f>
        <v>-1002.1666222182806</v>
      </c>
      <c r="W3234" t="s">
        <v>34670</v>
      </c>
      <c r="X3234" t="s">
        <v>34671</v>
      </c>
      <c r="Y3234" t="s">
        <v>34672</v>
      </c>
    </row>
    <row r="3235" spans="1:25" x14ac:dyDescent="0.3">
      <c r="A3235">
        <v>161700</v>
      </c>
      <c r="B3235" t="s">
        <v>34673</v>
      </c>
      <c r="C3235">
        <f>-758.033541821083 -108.222895314795 -94.3335661270528</f>
        <v>-960.59000326293074</v>
      </c>
      <c r="D3235">
        <f>-787.533892633488 -126.304835254921 -204.873107387193</f>
        <v>-1118.711835275602</v>
      </c>
      <c r="E3235">
        <f>-801.117904584333 -133.161039353915 -302.316030576321</f>
        <v>-1236.594974514569</v>
      </c>
      <c r="F3235">
        <f>-809.117424774508 -136.207421044927 -391.000680738054</f>
        <v>-1336.325526557489</v>
      </c>
      <c r="G3235">
        <f>-812.45119440868 -136.010034486496 -480.034826392433</f>
        <v>-1428.4960552876089</v>
      </c>
      <c r="H3235">
        <f>-812.168259452229 -132.387035549422 -604.564405410159</f>
        <v>-1549.1197004118098</v>
      </c>
      <c r="I3235">
        <f>-779.158902727566 -118.111470962868 -679.475216135288</f>
        <v>-1576.7455898257219</v>
      </c>
      <c r="J3235">
        <f>-822.703770034842 -108.31270394025 -549.041999057894</f>
        <v>-1480.0584730329861</v>
      </c>
      <c r="K3235" t="s">
        <v>34674</v>
      </c>
      <c r="L3235" t="s">
        <v>34675</v>
      </c>
      <c r="M3235" t="s">
        <v>34676</v>
      </c>
      <c r="N3235">
        <f>-801.88172812055 -159.649991908069 -550.488198049201</f>
        <v>-1512.01991807782</v>
      </c>
      <c r="O3235">
        <f>-751.872444128281 -285.198432399579 -525.300198876856</f>
        <v>-1562.3710754047161</v>
      </c>
      <c r="P3235">
        <f>-728.393105094719 -313.314225689294 -233.325130178924</f>
        <v>-1275.032460962937</v>
      </c>
      <c r="Q3235">
        <f>-598.207032898602 -137.355868810486 -334.028291636614</f>
        <v>-1069.5911933457019</v>
      </c>
      <c r="R3235">
        <f>-801.156968197988 -21.889827717861 -98.0862147681537</f>
        <v>-921.13301068400267</v>
      </c>
      <c r="S3235" t="s">
        <v>34677</v>
      </c>
      <c r="T3235" t="s">
        <v>34678</v>
      </c>
      <c r="U3235" t="s">
        <v>34679</v>
      </c>
      <c r="V3235">
        <f>-715.201690230768 -194.86874136656 -92.6447550230902</f>
        <v>-1002.7151866204182</v>
      </c>
      <c r="W3235" t="s">
        <v>34680</v>
      </c>
      <c r="X3235" t="s">
        <v>34681</v>
      </c>
      <c r="Y3235" t="s">
        <v>34682</v>
      </c>
    </row>
    <row r="3236" spans="1:25" x14ac:dyDescent="0.3">
      <c r="A3236">
        <v>161750</v>
      </c>
      <c r="B3236" t="s">
        <v>34683</v>
      </c>
      <c r="C3236">
        <f>-758.149509335418 -108.448985802885 -94.3624816318222</f>
        <v>-960.96097677012517</v>
      </c>
      <c r="D3236">
        <f>-787.722495899393 -126.593009097613 -204.872433364779</f>
        <v>-1119.1879383617852</v>
      </c>
      <c r="E3236">
        <f>-801.357592744498 -133.479050301653 -302.30612316771</f>
        <v>-1237.142766213861</v>
      </c>
      <c r="F3236">
        <f>-809.397456663189 -136.54368843701 -390.986596497419</f>
        <v>-1336.927741597618</v>
      </c>
      <c r="G3236">
        <f>-812.765157596191 -136.356203826187 -480.019559142008</f>
        <v>-1429.1409205643859</v>
      </c>
      <c r="H3236">
        <f>-812.522276368722 -132.738505021105 -604.54919755028</f>
        <v>-1549.8099789401072</v>
      </c>
      <c r="I3236">
        <f>-779.382840802405 -118.359741520023 -679.382767866258</f>
        <v>-1577.1253501886858</v>
      </c>
      <c r="J3236">
        <f>-823.037419956532 -108.660768485526 -549.024409282948</f>
        <v>-1480.7225977250059</v>
      </c>
      <c r="K3236" t="s">
        <v>34684</v>
      </c>
      <c r="L3236" t="s">
        <v>34685</v>
      </c>
      <c r="M3236" t="s">
        <v>34686</v>
      </c>
      <c r="N3236">
        <f>-802.220893076354 -160.000146219287 -550.475251795848</f>
        <v>-1512.696291091489</v>
      </c>
      <c r="O3236">
        <f>-752.20304206941 -285.543264960787 -525.295134942595</f>
        <v>-1563.041441972792</v>
      </c>
      <c r="P3236">
        <f>-728.605763034786 -313.653297673317 -233.328970873169</f>
        <v>-1275.5880315812722</v>
      </c>
      <c r="Q3236">
        <f>-598.529842371952 -137.71491260904 -334.209234828134</f>
        <v>-1070.4539898091259</v>
      </c>
      <c r="R3236">
        <f>-801.335406574947 -22.0619361047877 -98.1079728786365</f>
        <v>-921.50531555837119</v>
      </c>
      <c r="S3236" t="s">
        <v>34687</v>
      </c>
      <c r="T3236" t="s">
        <v>34688</v>
      </c>
      <c r="U3236" t="s">
        <v>34689</v>
      </c>
      <c r="V3236">
        <f>-715.258889644238 -195.145981244532 -92.6533991116005</f>
        <v>-1003.0582700003705</v>
      </c>
      <c r="W3236" t="s">
        <v>34690</v>
      </c>
      <c r="X3236" t="s">
        <v>34691</v>
      </c>
      <c r="Y3236" t="s">
        <v>34692</v>
      </c>
    </row>
    <row r="3237" spans="1:25" x14ac:dyDescent="0.3">
      <c r="A3237">
        <v>161800</v>
      </c>
      <c r="B3237" t="s">
        <v>34693</v>
      </c>
      <c r="C3237">
        <f>-758.467429220118 -108.990490121893 -94.4081632112957</f>
        <v>-961.86608255330668</v>
      </c>
      <c r="D3237">
        <f>-788.113998719215 -127.212869417531 -204.885529264577</f>
        <v>-1120.212397401323</v>
      </c>
      <c r="E3237">
        <f>-801.79260918645 -134.126841915244 -302.311152033507</f>
        <v>-1238.2306031352009</v>
      </c>
      <c r="F3237">
        <f>-809.86177496765 -137.202335697553 -390.988503755803</f>
        <v>-1338.0526144210062</v>
      </c>
      <c r="G3237">
        <f>-813.247724620851 -137.012172974273 -480.020771942338</f>
        <v>-1430.280669537462</v>
      </c>
      <c r="H3237">
        <f>-813.017880583482 -133.377553181836 -604.550123515192</f>
        <v>-1550.94555728051</v>
      </c>
      <c r="I3237">
        <f>-779.508850767681 -118.754878626568 -679.171396025072</f>
        <v>-1577.4351254193211</v>
      </c>
      <c r="J3237">
        <f>-823.52623111332 -109.307037187225 -549.020875641927</f>
        <v>-1481.8541439424721</v>
      </c>
      <c r="K3237" t="s">
        <v>34694</v>
      </c>
      <c r="L3237" t="s">
        <v>34695</v>
      </c>
      <c r="M3237" t="s">
        <v>34696</v>
      </c>
      <c r="N3237">
        <f>-802.71186569474 -160.647032540744 -550.480913318617</f>
        <v>-1513.8398115541011</v>
      </c>
      <c r="O3237">
        <f>-752.702661133097 -286.212212893341 -525.395623611964</f>
        <v>-1564.310497638402</v>
      </c>
      <c r="P3237">
        <f>-728.885451664478 -314.416730385679 -233.456586121488</f>
        <v>-1276.758768171645</v>
      </c>
      <c r="Q3237">
        <f>-598.950240244776 -138.592463281197 -334.71633956805</f>
        <v>-1072.2590430940229</v>
      </c>
      <c r="R3237">
        <f>-801.715795178859 -22.5859008345894 -98.1435304168689</f>
        <v>-922.44522643031735</v>
      </c>
      <c r="S3237" t="s">
        <v>34697</v>
      </c>
      <c r="T3237" t="s">
        <v>34698</v>
      </c>
      <c r="U3237" t="s">
        <v>34699</v>
      </c>
      <c r="V3237">
        <f>-715.538134310282 -195.65883941669 -92.6724799330028</f>
        <v>-1003.8694536599747</v>
      </c>
      <c r="W3237" t="s">
        <v>34700</v>
      </c>
      <c r="X3237" t="s">
        <v>34701</v>
      </c>
      <c r="Y3237" t="s">
        <v>34702</v>
      </c>
    </row>
    <row r="3238" spans="1:25" x14ac:dyDescent="0.3">
      <c r="A3238">
        <v>161850</v>
      </c>
      <c r="B3238" t="s">
        <v>34703</v>
      </c>
      <c r="C3238">
        <f>-758.689500980245 -109.176742963096 -94.4030042282534</f>
        <v>-962.26924817159443</v>
      </c>
      <c r="D3238">
        <f>-788.362666199072 -127.414563028617 -204.870572427327</f>
        <v>-1120.6478016550159</v>
      </c>
      <c r="E3238">
        <f>-802.037909242179 -134.319773642267 -302.297382027446</f>
        <v>-1238.6550649118922</v>
      </c>
      <c r="F3238">
        <f>-810.09277037355 -137.378849410084 -390.976611838915</f>
        <v>-1338.448231622549</v>
      </c>
      <c r="G3238">
        <f>-813.452796104177 -137.163911697932 -480.009779777946</f>
        <v>-1430.626487580055</v>
      </c>
      <c r="H3238">
        <f>-813.174477102551 -133.486312651889 -604.537598064117</f>
        <v>-1551.198387818557</v>
      </c>
      <c r="I3238">
        <f>-779.444269370297 -118.722532220981 -679.031490350408</f>
        <v>-1577.198291941686</v>
      </c>
      <c r="J3238">
        <f>-823.707149614605 -109.436004224119 -549.004319023686</f>
        <v>-1482.1474728624098</v>
      </c>
      <c r="K3238" t="s">
        <v>34704</v>
      </c>
      <c r="L3238" t="s">
        <v>34705</v>
      </c>
      <c r="M3238" t="s">
        <v>34706</v>
      </c>
      <c r="N3238">
        <f>-802.886769507751 -160.773298128637 -550.47391858491</f>
        <v>-1514.1339862212981</v>
      </c>
      <c r="O3238">
        <f>-752.905956242961 -286.365973382152 -525.434738437882</f>
        <v>-1564.706668062995</v>
      </c>
      <c r="P3238">
        <f>-729.161910301713 -314.621858735408 -233.494578414995</f>
        <v>-1277.2783474521159</v>
      </c>
      <c r="Q3238">
        <f>-598.890196999172 -139.118087980703 -334.877881403031</f>
        <v>-1072.8861663829059</v>
      </c>
      <c r="R3238">
        <f>-801.924709323581 -22.8198568834143 -98.1460971529172</f>
        <v>-922.89066335991265</v>
      </c>
      <c r="S3238" t="s">
        <v>34707</v>
      </c>
      <c r="T3238" t="s">
        <v>34708</v>
      </c>
      <c r="U3238" t="s">
        <v>34709</v>
      </c>
      <c r="V3238">
        <f>-715.775484015654 -195.773236754981 -92.6745281288777</f>
        <v>-1004.2232488995127</v>
      </c>
      <c r="W3238" t="s">
        <v>34710</v>
      </c>
      <c r="X3238" t="s">
        <v>34711</v>
      </c>
      <c r="Y3238" t="s">
        <v>34712</v>
      </c>
    </row>
    <row r="3239" spans="1:25" x14ac:dyDescent="0.3">
      <c r="A3239">
        <v>161900</v>
      </c>
      <c r="B3239" t="s">
        <v>34713</v>
      </c>
      <c r="C3239">
        <f>-759.285768969681 -109.658967945573 -94.4200025206937</f>
        <v>-963.36473943594774</v>
      </c>
      <c r="D3239">
        <f>-788.972627402371 -127.893161119181 -204.884614981022</f>
        <v>-1121.750403502574</v>
      </c>
      <c r="E3239">
        <f>-802.590693210139 -134.771591985264 -302.321162755473</f>
        <v>-1239.6834479508759</v>
      </c>
      <c r="F3239">
        <f>-810.564942803462 -137.798001181811 -391.008771862254</f>
        <v>-1339.371715847527</v>
      </c>
      <c r="G3239">
        <f>-813.815225646648 -137.542588760838 -480.046029479893</f>
        <v>-1431.4038438873788</v>
      </c>
      <c r="H3239">
        <f>-813.352628188179 -133.800767018943 -604.571469331494</f>
        <v>-1551.724864538616</v>
      </c>
      <c r="I3239">
        <f>-779.274644509302 -118.780328622555 -678.855300591822</f>
        <v>-1576.910273723679</v>
      </c>
      <c r="J3239">
        <f>-823.973177659031 -109.781385372459 -549.041328987307</f>
        <v>-1482.7958920187971</v>
      </c>
      <c r="K3239" t="s">
        <v>34714</v>
      </c>
      <c r="L3239" t="s">
        <v>34715</v>
      </c>
      <c r="M3239" t="s">
        <v>34716</v>
      </c>
      <c r="N3239">
        <f>-803.139158832395 -161.113263297905 -550.506405726544</f>
        <v>-1514.7588278568439</v>
      </c>
      <c r="O3239">
        <f>-753.217816824652 -286.74409708046 -525.528238899714</f>
        <v>-1565.4901528048258</v>
      </c>
      <c r="P3239">
        <f>-729.936375649918 -315.158798734099 -233.566204545487</f>
        <v>-1278.6613789295038</v>
      </c>
      <c r="Q3239">
        <f>-599.022979966648 -140.343959761104 -335.31261323268</f>
        <v>-1074.6795529604319</v>
      </c>
      <c r="R3239">
        <f>-802.566259817184 -23.3049420382158 -98.1549677378433</f>
        <v>-924.02616959324314</v>
      </c>
      <c r="S3239" t="s">
        <v>34717</v>
      </c>
      <c r="T3239" t="s">
        <v>34718</v>
      </c>
      <c r="U3239" t="s">
        <v>34719</v>
      </c>
      <c r="V3239">
        <f>-716.336205320958 -196.264202563281 -92.7044067001654</f>
        <v>-1005.3048145844045</v>
      </c>
      <c r="W3239" t="s">
        <v>34720</v>
      </c>
      <c r="X3239" t="s">
        <v>34721</v>
      </c>
      <c r="Y3239" t="s">
        <v>34722</v>
      </c>
    </row>
    <row r="3240" spans="1:25" x14ac:dyDescent="0.3">
      <c r="A3240">
        <v>161950</v>
      </c>
      <c r="B3240" t="s">
        <v>34723</v>
      </c>
      <c r="C3240">
        <f>-759.653479977395 -109.885343923196 -94.4209931628166</f>
        <v>-963.95981706340763</v>
      </c>
      <c r="D3240">
        <f>-789.322912752341 -128.080385268068 -204.896639341201</f>
        <v>-1122.2999373616101</v>
      </c>
      <c r="E3240">
        <f>-802.886526547107 -134.927229190823 -302.343191780535</f>
        <v>-1240.1569475184651</v>
      </c>
      <c r="F3240">
        <f>-810.795539563904 -137.92607884673 -391.03754082019</f>
        <v>-1339.759159230824</v>
      </c>
      <c r="G3240">
        <f>-813.964709341173 -137.644157760321 -480.077546777544</f>
        <v>-1431.6864138790381</v>
      </c>
      <c r="H3240">
        <f>-813.37242176141 -133.86697657326 -604.60141719958</f>
        <v>-1551.8408155342499</v>
      </c>
      <c r="I3240">
        <f>-779.184938953655 -118.742245601707 -678.813791244661</f>
        <v>-1576.7409758000231</v>
      </c>
      <c r="J3240">
        <f>-824.051649297984 -109.863709319692 -549.075675255292</f>
        <v>-1482.991033872968</v>
      </c>
      <c r="K3240" t="s">
        <v>34724</v>
      </c>
      <c r="L3240" t="s">
        <v>34725</v>
      </c>
      <c r="M3240" t="s">
        <v>34726</v>
      </c>
      <c r="N3240">
        <f>-803.214429185869 -161.194489629428 -550.533559781066</f>
        <v>-1514.9424785963629</v>
      </c>
      <c r="O3240">
        <f>-753.33159496998 -286.83979056544 -525.569211228551</f>
        <v>-1565.7405967639711</v>
      </c>
      <c r="P3240">
        <f>-730.331376171985 -315.373310211728 -233.596526737468</f>
        <v>-1279.3012131211808</v>
      </c>
      <c r="Q3240">
        <f>-599.288784400571 -140.810779135436 -335.60935592642</f>
        <v>-1075.708919462427</v>
      </c>
      <c r="R3240">
        <f>-802.905448354577 -23.5521029251743 -98.1478338485827</f>
        <v>-924.60538512833386</v>
      </c>
      <c r="S3240" t="s">
        <v>34727</v>
      </c>
      <c r="T3240" t="s">
        <v>34728</v>
      </c>
      <c r="U3240" t="s">
        <v>34729</v>
      </c>
      <c r="V3240">
        <f>-716.749148116967 -196.459022941524 -92.7152780246896</f>
        <v>-1005.9234490831807</v>
      </c>
      <c r="W3240" t="s">
        <v>34730</v>
      </c>
      <c r="X3240" t="s">
        <v>34731</v>
      </c>
      <c r="Y3240" t="s">
        <v>34732</v>
      </c>
    </row>
    <row r="3241" spans="1:25" x14ac:dyDescent="0.3">
      <c r="A3241">
        <v>162000</v>
      </c>
      <c r="B3241" t="s">
        <v>34733</v>
      </c>
      <c r="C3241">
        <f>-760.303394254443 -110.38072104166 -94.3618762471257</f>
        <v>-965.04599154322864</v>
      </c>
      <c r="D3241">
        <f>-789.958876839786 -128.467562414405 -204.859100634849</f>
        <v>-1123.2855398890399</v>
      </c>
      <c r="E3241">
        <f>-803.4324133131 -135.21568879709 -302.324894801968</f>
        <v>-1240.9729969121581</v>
      </c>
      <c r="F3241">
        <f>-811.22909138309 -138.122491636175 -391.032258314047</f>
        <v>-1340.3838413333119</v>
      </c>
      <c r="G3241">
        <f>-814.255646316263 -137.745458186718 -480.076881504863</f>
        <v>-1432.0779860078439</v>
      </c>
      <c r="H3241">
        <f>-813.432977850346 -133.832046601204 -604.59526669104</f>
        <v>-1551.8602911425901</v>
      </c>
      <c r="I3241">
        <f>-779.122909763509 -118.585491047796 -678.72619465524</f>
        <v>-1576.434595466545</v>
      </c>
      <c r="J3241">
        <f>-824.228181722277 -109.894977544653 -549.063367477309</f>
        <v>-1483.186526744239</v>
      </c>
      <c r="K3241" t="s">
        <v>34734</v>
      </c>
      <c r="L3241" t="s">
        <v>34735</v>
      </c>
      <c r="M3241" t="s">
        <v>34736</v>
      </c>
      <c r="N3241">
        <f>-803.361684532594 -161.213419786294 -550.538337585741</f>
        <v>-1515.1134419046291</v>
      </c>
      <c r="O3241">
        <f>-753.517575306073 -286.870394732169 -525.588600991875</f>
        <v>-1565.9765710301169</v>
      </c>
      <c r="P3241">
        <f>-730.938284034842 -315.714771729523 -233.613779426542</f>
        <v>-1280.2668351909069</v>
      </c>
      <c r="Q3241">
        <f>-600.181059816426 -141.336319393385 -336.305399293174</f>
        <v>-1077.8227785029849</v>
      </c>
      <c r="R3241">
        <f>-803.424539018666 -24.1196590862914 -98.0571932788989</f>
        <v>-925.60139138385637</v>
      </c>
      <c r="S3241" t="s">
        <v>34737</v>
      </c>
      <c r="T3241" t="s">
        <v>34738</v>
      </c>
      <c r="U3241" t="s">
        <v>34739</v>
      </c>
      <c r="V3241">
        <f>-717.492130996203 -196.900043953209 -92.73237086496</f>
        <v>-1007.1245458143719</v>
      </c>
      <c r="W3241" t="s">
        <v>34740</v>
      </c>
      <c r="X3241" t="s">
        <v>34741</v>
      </c>
      <c r="Y3241" t="s">
        <v>34742</v>
      </c>
    </row>
    <row r="3242" spans="1:25" x14ac:dyDescent="0.3">
      <c r="A3242">
        <v>162050</v>
      </c>
      <c r="B3242" t="s">
        <v>34743</v>
      </c>
      <c r="C3242">
        <f>-760.591101373794 -110.645695555124 -94.3254999960018</f>
        <v>-965.56229692491979</v>
      </c>
      <c r="D3242">
        <f>-790.272339016028 -128.690595224988 -204.822787237135</f>
        <v>-1123.7857214781511</v>
      </c>
      <c r="E3242">
        <f>-803.704597169494 -135.392569666892 -302.297381680939</f>
        <v>-1241.3945485173249</v>
      </c>
      <c r="F3242">
        <f>-811.438552756337 -138.253086416996 -391.011732252452</f>
        <v>-1340.703371425785</v>
      </c>
      <c r="G3242">
        <f>-814.377164866106 -137.825123026441 -480.05908334077</f>
        <v>-1432.261371233317</v>
      </c>
      <c r="H3242">
        <f>-813.40549363282 -133.835504347503 -604.573905675599</f>
        <v>-1551.8149036559221</v>
      </c>
      <c r="I3242">
        <f>-779.063149652278 -118.575183666819 -678.687115034734</f>
        <v>-1576.325448353831</v>
      </c>
      <c r="J3242">
        <f>-824.278858850769 -109.937124787895 -549.040652256651</f>
        <v>-1483.256635895315</v>
      </c>
      <c r="K3242" t="s">
        <v>34744</v>
      </c>
      <c r="L3242" t="s">
        <v>34745</v>
      </c>
      <c r="M3242" t="s">
        <v>34746</v>
      </c>
      <c r="N3242">
        <f>-803.387260451912 -161.245133138562 -550.521641424233</f>
        <v>-1515.154035014707</v>
      </c>
      <c r="O3242">
        <f>-753.517787800641 -286.892273739004 -525.569976640419</f>
        <v>-1565.9800381800642</v>
      </c>
      <c r="P3242">
        <f>-731.036107360453 -315.873292275743 -233.601115429605</f>
        <v>-1280.510515065801</v>
      </c>
      <c r="Q3242">
        <f>-600.493195191556 -141.560671562479 -336.676452032652</f>
        <v>-1078.7303187866869</v>
      </c>
      <c r="R3242">
        <f>-803.691492787231 -24.3538364345018 -97.9996905136787</f>
        <v>-926.04501973541153</v>
      </c>
      <c r="S3242" t="s">
        <v>34747</v>
      </c>
      <c r="T3242" t="s">
        <v>34748</v>
      </c>
      <c r="U3242" t="s">
        <v>34749</v>
      </c>
      <c r="V3242">
        <f>-717.808215455836 -197.210380769974 -92.7386750400185</f>
        <v>-1007.7572712658285</v>
      </c>
      <c r="W3242" t="s">
        <v>34750</v>
      </c>
      <c r="X3242" t="s">
        <v>34751</v>
      </c>
      <c r="Y3242" t="s">
        <v>34752</v>
      </c>
    </row>
    <row r="3243" spans="1:25" x14ac:dyDescent="0.3">
      <c r="A3243">
        <v>162100</v>
      </c>
      <c r="B3243" t="s">
        <v>34753</v>
      </c>
      <c r="C3243">
        <f>-761.12769837006 -111.149116311643 -94.273995010614</f>
        <v>-966.55080969231699</v>
      </c>
      <c r="D3243">
        <f>-790.87419093869 -129.102841491728 -204.768478777272</f>
        <v>-1124.74551120769</v>
      </c>
      <c r="E3243">
        <f>-804.27162334458 -135.709145552822 -302.254445238363</f>
        <v>-1242.2352141357651</v>
      </c>
      <c r="F3243">
        <f>-811.938312841528 -138.474661144792 -390.977863963507</f>
        <v>-1341.3908379498271</v>
      </c>
      <c r="G3243">
        <f>-814.774496647079 -137.942117135218 -480.027926122016</f>
        <v>-1432.7445399043131</v>
      </c>
      <c r="H3243">
        <f>-813.624165733402 -133.795611236 -604.536082413587</f>
        <v>-1551.955859382989</v>
      </c>
      <c r="I3243">
        <f>-779.326353379519 -118.550254254342 -678.672784111415</f>
        <v>-1576.5493917452759</v>
      </c>
      <c r="J3243">
        <f>-824.612442581885 -109.981581415062 -548.98917930221</f>
        <v>-1483.583203299157</v>
      </c>
      <c r="K3243" t="s">
        <v>34754</v>
      </c>
      <c r="L3243" t="s">
        <v>34755</v>
      </c>
      <c r="M3243" t="s">
        <v>34756</v>
      </c>
      <c r="N3243">
        <f>-803.648267097534 -161.258977501772 -550.50314182766</f>
        <v>-1515.4103864269659</v>
      </c>
      <c r="O3243">
        <f>-753.620695876495 -286.854807163235 -525.581834976814</f>
        <v>-1566.057338016544</v>
      </c>
      <c r="P3243">
        <f>-731.125191392205 -316.237886466613 -233.654224621489</f>
        <v>-1281.0173024803071</v>
      </c>
      <c r="Q3243">
        <f>-601.474422362038 -141.626376598194 -337.347868246616</f>
        <v>-1080.4486672068481</v>
      </c>
      <c r="R3243">
        <f>-804.199092548442 -24.8040119925897 -97.8707142995993</f>
        <v>-926.87381884063097</v>
      </c>
      <c r="S3243" t="s">
        <v>34757</v>
      </c>
      <c r="T3243" t="s">
        <v>34758</v>
      </c>
      <c r="U3243" t="s">
        <v>34759</v>
      </c>
      <c r="V3243">
        <f>-718.384671327777 -197.762290340106 -92.7510601181947</f>
        <v>-1008.8980217860777</v>
      </c>
      <c r="W3243" t="s">
        <v>34760</v>
      </c>
      <c r="X3243" t="s">
        <v>34761</v>
      </c>
      <c r="Y3243" t="s">
        <v>34762</v>
      </c>
    </row>
    <row r="3244" spans="1:25" x14ac:dyDescent="0.3">
      <c r="A3244">
        <v>162150</v>
      </c>
      <c r="B3244" t="s">
        <v>34763</v>
      </c>
      <c r="C3244">
        <f>-761.379415382327 -111.340476272875 -94.2363970961966</f>
        <v>-966.95628875139857</v>
      </c>
      <c r="D3244">
        <f>-791.137693467948 -129.262278506341 -204.732897802898</f>
        <v>-1125.1328697771869</v>
      </c>
      <c r="E3244">
        <f>-804.522270598189 -135.827899325393 -302.223361155898</f>
        <v>-1242.5735310794801</v>
      </c>
      <c r="F3244">
        <f>-812.16820153054 -138.551070149362 -390.949760777592</f>
        <v>-1341.669032457494</v>
      </c>
      <c r="G3244">
        <f>-814.974996484922 -137.970054530968 -480.000444799315</f>
        <v>-1432.945495815205</v>
      </c>
      <c r="H3244">
        <f>-813.774613317622 -133.74911585287 -604.505691507716</f>
        <v>-1552.029420678208</v>
      </c>
      <c r="I3244">
        <f>-779.525294541728 -118.492796763114 -678.662592394078</f>
        <v>-1576.6806836989201</v>
      </c>
      <c r="J3244">
        <f>-824.810025688894 -109.978432373199 -548.949607583019</f>
        <v>-1483.7380656451119</v>
      </c>
      <c r="K3244" t="s">
        <v>34764</v>
      </c>
      <c r="L3244" t="s">
        <v>34765</v>
      </c>
      <c r="M3244" t="s">
        <v>34766</v>
      </c>
      <c r="N3244">
        <f>-803.795644844697 -161.234695926667 -550.484534017321</f>
        <v>-1515.5148747886851</v>
      </c>
      <c r="O3244">
        <f>-753.658928518109 -286.792116148561 -525.594125394288</f>
        <v>-1566.0451700609578</v>
      </c>
      <c r="P3244">
        <f>-731.135473118685 -316.436199830795 -233.694964201325</f>
        <v>-1281.2666371508051</v>
      </c>
      <c r="Q3244">
        <f>-602.034428630829 -141.462389052609 -337.463648282868</f>
        <v>-1080.9604659663059</v>
      </c>
      <c r="R3244">
        <f>-804.439671451391 -25.0116651279957 -97.7878397066066</f>
        <v>-927.23917628599327</v>
      </c>
      <c r="S3244" t="s">
        <v>34767</v>
      </c>
      <c r="T3244" t="s">
        <v>34768</v>
      </c>
      <c r="U3244" t="s">
        <v>34769</v>
      </c>
      <c r="V3244">
        <f>-718.629093468754 -197.927327901169 -92.7541907503671</f>
        <v>-1009.3106121202902</v>
      </c>
      <c r="W3244" t="s">
        <v>34770</v>
      </c>
      <c r="X3244" t="s">
        <v>34771</v>
      </c>
      <c r="Y3244" t="s">
        <v>34772</v>
      </c>
    </row>
    <row r="3245" spans="1:25" x14ac:dyDescent="0.3">
      <c r="A3245">
        <v>162200</v>
      </c>
      <c r="B3245" t="s">
        <v>34773</v>
      </c>
      <c r="C3245">
        <f>-761.731912457344 -111.46020491796 -94.1664810652948</f>
        <v>-967.35859844059883</v>
      </c>
      <c r="D3245">
        <f>-791.486045245117 -129.410393927725 -204.659562377884</f>
        <v>-1125.556001550726</v>
      </c>
      <c r="E3245">
        <f>-804.868764397847 -135.956363565579 -302.151547831202</f>
        <v>-1242.9766757946279</v>
      </c>
      <c r="F3245">
        <f>-812.513490714367 -138.643923899206 -390.879103238142</f>
        <v>-1342.036517851715</v>
      </c>
      <c r="G3245">
        <f>-815.319996302336 -138.008007278176 -479.929427089464</f>
        <v>-1433.257430669976</v>
      </c>
      <c r="H3245">
        <f>-814.120530311675 -133.689570924436 -604.431401549575</f>
        <v>-1552.241502785686</v>
      </c>
      <c r="I3245">
        <f>-779.983248613123 -118.368985829023 -678.626764964791</f>
        <v>-1576.978999406937</v>
      </c>
      <c r="J3245">
        <f>-825.226036832548 -109.991347192051 -548.858270437452</f>
        <v>-1484.0756544620508</v>
      </c>
      <c r="K3245" t="s">
        <v>34774</v>
      </c>
      <c r="L3245" t="s">
        <v>34775</v>
      </c>
      <c r="M3245" t="s">
        <v>34776</v>
      </c>
      <c r="N3245">
        <f>-804.070676744235 -161.188453864925 -550.430234657007</f>
        <v>-1515.689365266167</v>
      </c>
      <c r="O3245">
        <f>-753.706021149777 -286.658133163172 -525.558241065561</f>
        <v>-1565.9223953785099</v>
      </c>
      <c r="P3245">
        <f>-731.395876526625 -316.542030114594 -233.667153596812</f>
        <v>-1281.605060238031</v>
      </c>
      <c r="Q3245">
        <f>-602.955129531384 -141.085957703066 -337.440910592949</f>
        <v>-1081.481997827399</v>
      </c>
      <c r="R3245">
        <f>-804.919839091036 -25.211414656407 -97.6799252336635</f>
        <v>-927.81117898110654</v>
      </c>
      <c r="S3245" t="s">
        <v>34777</v>
      </c>
      <c r="T3245" t="s">
        <v>34778</v>
      </c>
      <c r="U3245" t="s">
        <v>34779</v>
      </c>
      <c r="V3245">
        <f>-718.811561642003 -197.949627281699 -92.7490421096841</f>
        <v>-1009.510231033386</v>
      </c>
      <c r="W3245" t="s">
        <v>34780</v>
      </c>
      <c r="X3245" t="s">
        <v>34781</v>
      </c>
      <c r="Y3245" t="s">
        <v>34782</v>
      </c>
    </row>
    <row r="3246" spans="1:25" x14ac:dyDescent="0.3">
      <c r="A3246">
        <v>162250</v>
      </c>
      <c r="B3246" t="s">
        <v>34783</v>
      </c>
      <c r="C3246">
        <f>-761.862530210331 -111.594952636923 -94.1457984462389</f>
        <v>-967.60328129349296</v>
      </c>
      <c r="D3246">
        <f>-791.618061135791 -129.589322284869 -204.631398937278</f>
        <v>-1125.838782357938</v>
      </c>
      <c r="E3246">
        <f>-805.014129083184 -136.155054497389 -302.120236241686</f>
        <v>-1243.2894198222589</v>
      </c>
      <c r="F3246">
        <f>-812.675559012282 -138.853313540297 -390.846091535768</f>
        <v>-1342.374964088347</v>
      </c>
      <c r="G3246">
        <f>-815.503828416597 -138.219779610669 -479.895596738629</f>
        <v>-1433.6192047658951</v>
      </c>
      <c r="H3246">
        <f>-814.340048082975 -133.895551373185 -604.397687457658</f>
        <v>-1552.633286913818</v>
      </c>
      <c r="I3246">
        <f>-780.266067018575 -118.535718946742 -678.614034076666</f>
        <v>-1577.4158200419829</v>
      </c>
      <c r="J3246">
        <f>-825.472223936187 -110.217510837623 -548.821299019174</f>
        <v>-1484.5110337929841</v>
      </c>
      <c r="K3246" t="s">
        <v>34784</v>
      </c>
      <c r="L3246" t="s">
        <v>34785</v>
      </c>
      <c r="M3246" t="s">
        <v>34786</v>
      </c>
      <c r="N3246">
        <f>-804.232040540385 -161.37935383001 -550.399653844015</f>
        <v>-1516.01104821441</v>
      </c>
      <c r="O3246">
        <f>-753.720040531986 -286.786831095607 -525.496939885988</f>
        <v>-1566.003811513581</v>
      </c>
      <c r="P3246">
        <f>-731.659590595701 -316.682544249229 -233.588164143916</f>
        <v>-1281.9302989888461</v>
      </c>
      <c r="Q3246">
        <f>-603.247307735311 -141.208536288996 -337.366740349929</f>
        <v>-1081.8225843742359</v>
      </c>
      <c r="R3246">
        <f>-805.14036585483 -25.3373516022655 -97.6499015504186</f>
        <v>-928.127619007514</v>
      </c>
      <c r="S3246" t="s">
        <v>34787</v>
      </c>
      <c r="T3246" t="s">
        <v>34788</v>
      </c>
      <c r="U3246" t="s">
        <v>34789</v>
      </c>
      <c r="V3246">
        <f>-718.857210636178 -198.126949983708 -92.729006258265</f>
        <v>-1009.713166878151</v>
      </c>
      <c r="W3246" t="s">
        <v>34790</v>
      </c>
      <c r="X3246" t="s">
        <v>34791</v>
      </c>
      <c r="Y3246" t="s">
        <v>34792</v>
      </c>
    </row>
    <row r="3247" spans="1:25" x14ac:dyDescent="0.3">
      <c r="A3247">
        <v>162300</v>
      </c>
      <c r="B3247" t="s">
        <v>34793</v>
      </c>
      <c r="C3247">
        <f>-762.055676817932 -111.652451860122 -94.1593939882223</f>
        <v>-967.86752266627627</v>
      </c>
      <c r="D3247">
        <f>-791.797704907129 -129.800900543176 -204.623255537529</f>
        <v>-1126.2218609878339</v>
      </c>
      <c r="E3247">
        <f>-805.222710979211 -136.469570464264 -302.101237865915</f>
        <v>-1243.7935193093899</v>
      </c>
      <c r="F3247">
        <f>-812.925422192977 -139.250137447322 -390.820953385581</f>
        <v>-1342.9965130258799</v>
      </c>
      <c r="G3247">
        <f>-815.810303431911 -138.68708465218 -479.869203453704</f>
        <v>-1434.3665915377951</v>
      </c>
      <c r="H3247">
        <f>-814.741173403257 -134.448692003357 -604.375055007153</f>
        <v>-1553.5649204137671</v>
      </c>
      <c r="I3247">
        <f>-780.814624680629 -119.05097052214 -678.651197857328</f>
        <v>-1578.5167930600969</v>
      </c>
      <c r="J3247">
        <f>-825.906286389026 -110.763684195085 -548.808315510924</f>
        <v>-1485.4782860950349</v>
      </c>
      <c r="K3247" t="s">
        <v>34794</v>
      </c>
      <c r="L3247" t="s">
        <v>34795</v>
      </c>
      <c r="M3247" t="s">
        <v>34796</v>
      </c>
      <c r="N3247">
        <f>-804.516912110296 -161.863929330993 -550.364063696606</f>
        <v>-1516.7449051378949</v>
      </c>
      <c r="O3247">
        <f>-753.742552271863 -287.135570464713 -525.323550475823</f>
        <v>-1566.2016732123989</v>
      </c>
      <c r="P3247">
        <f>-732.058734246893 -316.863986220332 -233.36928839429</f>
        <v>-1282.2920088615149</v>
      </c>
      <c r="Q3247">
        <f>-603.7141236026 -141.385630863341 -337.224535123511</f>
        <v>-1082.3242895894521</v>
      </c>
      <c r="R3247">
        <f>-805.635234505008 -25.4194824658489 -97.6646931604797</f>
        <v>-928.71941013133664</v>
      </c>
      <c r="S3247" t="s">
        <v>34797</v>
      </c>
      <c r="T3247" t="s">
        <v>34798</v>
      </c>
      <c r="U3247" t="s">
        <v>34799</v>
      </c>
      <c r="V3247">
        <f>-718.78193645162 -198.13783282024 -92.7222683545111</f>
        <v>-1009.6420376263711</v>
      </c>
      <c r="W3247" t="s">
        <v>34800</v>
      </c>
      <c r="X3247" t="s">
        <v>34801</v>
      </c>
      <c r="Y3247" t="s">
        <v>34802</v>
      </c>
    </row>
    <row r="3248" spans="1:25" x14ac:dyDescent="0.3">
      <c r="A3248">
        <v>162350</v>
      </c>
      <c r="B3248" t="s">
        <v>34803</v>
      </c>
      <c r="C3248">
        <f>-762.171832384507 -111.510511357451 -94.191178312789</f>
        <v>-967.87352205474701</v>
      </c>
      <c r="D3248">
        <f>-791.91263627913 -129.750698300065 -204.640258445729</f>
        <v>-1126.3035930249239</v>
      </c>
      <c r="E3248">
        <f>-805.33770770505 -136.494409275138 -302.11310768145</f>
        <v>-1243.9452246616379</v>
      </c>
      <c r="F3248">
        <f>-813.040372587592 -139.34233631696 -390.830569506546</f>
        <v>-1343.2132784110979</v>
      </c>
      <c r="G3248">
        <f>-815.924794864253 -138.845501468692 -479.879418346578</f>
        <v>-1434.649714679523</v>
      </c>
      <c r="H3248">
        <f>-814.85480324505 -134.698673493327 -604.388196319044</f>
        <v>-1553.941673057421</v>
      </c>
      <c r="I3248">
        <f>-781.002658741526 -119.319255099029 -678.701978808504</f>
        <v>-1579.023892649059</v>
      </c>
      <c r="J3248">
        <f>-826.055035707732 -110.98733511994 -548.839810528059</f>
        <v>-1485.8821813557311</v>
      </c>
      <c r="K3248" t="s">
        <v>34804</v>
      </c>
      <c r="L3248" t="s">
        <v>34805</v>
      </c>
      <c r="M3248" t="s">
        <v>34806</v>
      </c>
      <c r="N3248">
        <f>-804.596204034897 -162.059617514332 -550.356271497389</f>
        <v>-1517.012093046618</v>
      </c>
      <c r="O3248">
        <f>-753.676450398362 -287.249169797813 -525.209336369758</f>
        <v>-1566.134956565933</v>
      </c>
      <c r="P3248">
        <f>-732.074004415508 -316.830210756565 -233.234202626241</f>
        <v>-1282.1384177983141</v>
      </c>
      <c r="Q3248">
        <f>-603.848655518112 -141.28387788518 -337.121640984621</f>
        <v>-1082.2541743879131</v>
      </c>
      <c r="R3248">
        <f>-805.903410362651 -25.3694754552544 -97.7060265819578</f>
        <v>-928.97891239986313</v>
      </c>
      <c r="S3248" t="s">
        <v>34807</v>
      </c>
      <c r="T3248" t="s">
        <v>34808</v>
      </c>
      <c r="U3248" t="s">
        <v>34809</v>
      </c>
      <c r="V3248">
        <f>-718.782623757988 -197.866652234415 -92.7255655636465</f>
        <v>-1009.3748415560494</v>
      </c>
      <c r="W3248" t="s">
        <v>34810</v>
      </c>
      <c r="X3248" t="s">
        <v>34811</v>
      </c>
      <c r="Y3248" t="s">
        <v>34812</v>
      </c>
    </row>
    <row r="3249" spans="1:25" x14ac:dyDescent="0.3">
      <c r="A3249">
        <v>162400</v>
      </c>
      <c r="B3249" t="s">
        <v>34813</v>
      </c>
      <c r="C3249">
        <f>-762.389316084753 -111.457023760054 -94.2240437048094</f>
        <v>-968.07038354961639</v>
      </c>
      <c r="D3249">
        <f>-792.137299188923 -129.890652573083 -204.639010428962</f>
        <v>-1126.666962190968</v>
      </c>
      <c r="E3249">
        <f>-805.467646942147 -136.773545134399 -302.115070706256</f>
        <v>-1244.3562627828019</v>
      </c>
      <c r="F3249">
        <f>-813.041042049589 -139.738991786288 -390.839923139226</f>
        <v>-1343.6199569751029</v>
      </c>
      <c r="G3249">
        <f>-815.752252173151 -139.351846272653 -479.894590305785</f>
        <v>-1434.998688751589</v>
      </c>
      <c r="H3249">
        <f>-814.393513175883 -135.35114868893 -604.40549194047</f>
        <v>-1554.150153805283</v>
      </c>
      <c r="I3249">
        <f>-780.671874049531 -120.075128635587 -678.799916138883</f>
        <v>-1579.5469188240008</v>
      </c>
      <c r="J3249">
        <f>-825.772778898383 -111.595717420312 -548.912161999734</f>
        <v>-1486.280658318429</v>
      </c>
      <c r="K3249" t="s">
        <v>34814</v>
      </c>
      <c r="L3249" t="s">
        <v>34815</v>
      </c>
      <c r="M3249" t="s">
        <v>34816</v>
      </c>
      <c r="N3249">
        <f>-804.210101191042 -162.627560151135 -550.316678002796</f>
        <v>-1517.1543393449729</v>
      </c>
      <c r="O3249">
        <f>-753.034650281356 -287.655462834422 -524.908449274716</f>
        <v>-1565.598562390494</v>
      </c>
      <c r="P3249">
        <f>-731.650418618454 -316.732535390478 -232.86663976599</f>
        <v>-1281.2495937749218</v>
      </c>
      <c r="Q3249">
        <f>-603.590503968028 -141.232178653447 -337.035278235478</f>
        <v>-1081.857960856953</v>
      </c>
      <c r="R3249">
        <f>-806.290412281803 -25.4167885140948 -97.7814573638859</f>
        <v>-929.48865815978377</v>
      </c>
      <c r="S3249" t="s">
        <v>34817</v>
      </c>
      <c r="T3249" t="s">
        <v>34818</v>
      </c>
      <c r="U3249" t="s">
        <v>34819</v>
      </c>
      <c r="V3249">
        <f>-718.732721278023 -197.806676105667 -92.7099575312237</f>
        <v>-1009.2493549149136</v>
      </c>
      <c r="W3249" t="s">
        <v>34820</v>
      </c>
      <c r="X3249" t="s">
        <v>34821</v>
      </c>
      <c r="Y3249" t="s">
        <v>34822</v>
      </c>
    </row>
    <row r="3250" spans="1:25" x14ac:dyDescent="0.3">
      <c r="A3250">
        <v>162450</v>
      </c>
      <c r="B3250" t="s">
        <v>34823</v>
      </c>
      <c r="C3250">
        <f>-762.463936180244 -111.60153731189 -94.2443606198161</f>
        <v>-968.30983411195007</v>
      </c>
      <c r="D3250">
        <f>-792.236053137046 -130.140730735837 -204.635197275736</f>
        <v>-1127.011981148619</v>
      </c>
      <c r="E3250">
        <f>-805.517079722212 -137.09785836641 -302.112757070115</f>
        <v>-1244.7276951587369</v>
      </c>
      <c r="F3250">
        <f>-813.015842280118 -140.125196837229 -390.841883143645</f>
        <v>-1343.9829222609919</v>
      </c>
      <c r="G3250">
        <f>-815.622179415729 -139.795049602874 -479.899923009064</f>
        <v>-1435.3171520276669</v>
      </c>
      <c r="H3250">
        <f>-814.084911096303 -135.869685375662 -604.411191869175</f>
        <v>-1554.3657883411402</v>
      </c>
      <c r="I3250">
        <f>-780.4551583088 -120.678429897887 -678.864481149156</f>
        <v>-1579.998069355843</v>
      </c>
      <c r="J3250">
        <f>-825.564209601967 -112.089355728704 -548.949062902683</f>
        <v>-1486.6026282333542</v>
      </c>
      <c r="K3250" t="s">
        <v>34824</v>
      </c>
      <c r="L3250" t="s">
        <v>34825</v>
      </c>
      <c r="M3250" t="s">
        <v>34826</v>
      </c>
      <c r="N3250">
        <f>-803.958603061553 -163.104726750135 -550.290602860993</f>
        <v>-1517.3539326726809</v>
      </c>
      <c r="O3250">
        <f>-752.681315437254 -288.066339485771 -524.737023656327</f>
        <v>-1565.484678579352</v>
      </c>
      <c r="P3250">
        <f>-731.464633731874 -316.876919339929 -232.656400697338</f>
        <v>-1280.9979537691411</v>
      </c>
      <c r="Q3250">
        <f>-603.487541055825 -141.412240933128 -336.987196188751</f>
        <v>-1081.8869781777039</v>
      </c>
      <c r="R3250">
        <f>-806.492816572884 -25.5239037734295 -97.8299892584516</f>
        <v>-929.84670960476512</v>
      </c>
      <c r="S3250" t="s">
        <v>34827</v>
      </c>
      <c r="T3250" t="s">
        <v>34828</v>
      </c>
      <c r="U3250" t="s">
        <v>34829</v>
      </c>
      <c r="V3250">
        <f>-718.707249469766 -198.000224160602 -92.6996470427401</f>
        <v>-1009.4071206731081</v>
      </c>
      <c r="W3250" t="s">
        <v>34830</v>
      </c>
      <c r="X3250" t="s">
        <v>34831</v>
      </c>
      <c r="Y3250" t="s">
        <v>34832</v>
      </c>
    </row>
    <row r="3251" spans="1:25" x14ac:dyDescent="0.3">
      <c r="A3251">
        <v>162500</v>
      </c>
      <c r="B3251" t="s">
        <v>34833</v>
      </c>
      <c r="C3251">
        <f>-762.597429152488 -111.748704701713 -94.2876638126579</f>
        <v>-968.63379766685887</v>
      </c>
      <c r="D3251">
        <f>-792.41743120448 -130.440711343715 -204.639741280309</f>
        <v>-1127.497883828504</v>
      </c>
      <c r="E3251">
        <f>-805.625458885518 -137.531778444451 -302.117559528585</f>
        <v>-1245.2747968585541</v>
      </c>
      <c r="F3251">
        <f>-813.010218319196 -140.683381172058 -390.851911929734</f>
        <v>-1344.5455114209881</v>
      </c>
      <c r="G3251">
        <f>-815.454053513675 -140.481083637013 -479.914952545736</f>
        <v>-1435.850089696424</v>
      </c>
      <c r="H3251">
        <f>-813.638767659192 -136.738891791337 -604.428043313292</f>
        <v>-1554.805702763821</v>
      </c>
      <c r="I3251">
        <f>-780.241368284546 -121.782765003546 -679.0333955925</f>
        <v>-1581.0575288805921</v>
      </c>
      <c r="J3251">
        <f>-825.277168874577 -112.892052469772 -549.027834196256</f>
        <v>-1487.1970555406051</v>
      </c>
      <c r="K3251" t="s">
        <v>34834</v>
      </c>
      <c r="L3251" t="s">
        <v>34835</v>
      </c>
      <c r="M3251" t="s">
        <v>34836</v>
      </c>
      <c r="N3251">
        <f>-803.597977033886 -163.879275524566 -550.244097982188</f>
        <v>-1517.7213505406398</v>
      </c>
      <c r="O3251">
        <f>-752.149621397072 -288.708132055601 -524.385365068024</f>
        <v>-1565.243118520697</v>
      </c>
      <c r="P3251">
        <f>-731.324598158924 -316.90925028173 -232.217109192008</f>
        <v>-1280.450957632662</v>
      </c>
      <c r="Q3251">
        <f>-603.447748125513 -141.635661716907 -336.991074233294</f>
        <v>-1082.0744840757141</v>
      </c>
      <c r="R3251">
        <f>-806.86963459107 -25.665465681556 -97.9110503005594</f>
        <v>-930.44615057318549</v>
      </c>
      <c r="S3251" t="s">
        <v>34837</v>
      </c>
      <c r="T3251" t="s">
        <v>34838</v>
      </c>
      <c r="U3251" t="s">
        <v>34839</v>
      </c>
      <c r="V3251">
        <f>-718.643374620873 -198.071546137004 -92.7129668831669</f>
        <v>-1009.427887641044</v>
      </c>
      <c r="W3251" t="s">
        <v>34840</v>
      </c>
      <c r="X3251" t="s">
        <v>34841</v>
      </c>
      <c r="Y3251" t="s">
        <v>34842</v>
      </c>
    </row>
    <row r="3252" spans="1:25" x14ac:dyDescent="0.3">
      <c r="A3252">
        <v>162550</v>
      </c>
      <c r="B3252" t="s">
        <v>34843</v>
      </c>
      <c r="C3252">
        <f>-762.716409531174 -111.800125853628 -94.3008225755729</f>
        <v>-968.81735796037481</v>
      </c>
      <c r="D3252">
        <f>-792.572237942494 -130.559206417984 -204.631805766235</f>
        <v>-1127.763250126713</v>
      </c>
      <c r="E3252">
        <f>-805.747292902861 -137.710064738852 -302.109805252114</f>
        <v>-1245.5671628938269</v>
      </c>
      <c r="F3252">
        <f>-813.075741457698 -140.917007467794 -390.846729221961</f>
        <v>-1344.8394781474531</v>
      </c>
      <c r="G3252">
        <f>-815.436775972477 -140.771454578083 -479.912133105091</f>
        <v>-1436.1203636556511</v>
      </c>
      <c r="H3252">
        <f>-813.478191701736 -137.110408318361 -604.425439965108</f>
        <v>-1555.014039985205</v>
      </c>
      <c r="I3252">
        <f>-780.238702047868 -122.291798133805 -679.128703736268</f>
        <v>-1581.6592039179409</v>
      </c>
      <c r="J3252">
        <f>-825.194722344529 -113.233541166166 -549.054756596788</f>
        <v>-1487.4830201074831</v>
      </c>
      <c r="K3252" t="s">
        <v>34844</v>
      </c>
      <c r="L3252" t="s">
        <v>34845</v>
      </c>
      <c r="M3252" t="s">
        <v>34846</v>
      </c>
      <c r="N3252">
        <f>-803.485296310578 -164.209284412838 -550.211999595331</f>
        <v>-1517.9065803187468</v>
      </c>
      <c r="O3252">
        <f>-751.966094185955 -288.985030023018 -524.213475926147</f>
        <v>-1565.1646001351201</v>
      </c>
      <c r="P3252">
        <f>-731.281593081936 -316.908001783264 -232.008612962403</f>
        <v>-1280.198207827603</v>
      </c>
      <c r="Q3252">
        <f>-603.465138082874 -141.729679231242 -337.015295627324</f>
        <v>-1082.21011294144</v>
      </c>
      <c r="R3252">
        <f>-807.09628634105 -25.6985117814006 -97.9411774067573</f>
        <v>-930.73597552920796</v>
      </c>
      <c r="S3252" t="s">
        <v>34847</v>
      </c>
      <c r="T3252" t="s">
        <v>34848</v>
      </c>
      <c r="U3252" t="s">
        <v>34849</v>
      </c>
      <c r="V3252">
        <f>-718.672165734409 -198.152387800332 -92.7121254971304</f>
        <v>-1009.5366790318714</v>
      </c>
      <c r="W3252" t="s">
        <v>34850</v>
      </c>
      <c r="X3252" t="s">
        <v>34851</v>
      </c>
      <c r="Y3252" t="s">
        <v>34852</v>
      </c>
    </row>
    <row r="3253" spans="1:25" x14ac:dyDescent="0.3">
      <c r="A3253">
        <v>162600</v>
      </c>
      <c r="B3253" t="s">
        <v>34853</v>
      </c>
      <c r="C3253">
        <f>-762.854510376114 -112.185629942649 -94.3305101106295</f>
        <v>-969.37065042939253</v>
      </c>
      <c r="D3253">
        <f>-792.783394621485 -131.026163184081 -204.627811903284</f>
        <v>-1128.4373697088499</v>
      </c>
      <c r="E3253">
        <f>-805.883306340134 -138.234993218722 -302.111664746901</f>
        <v>-1246.229964305757</v>
      </c>
      <c r="F3253">
        <f>-813.087394399711 -141.489898148591 -390.857017107451</f>
        <v>-1345.4343096557529</v>
      </c>
      <c r="G3253">
        <f>-815.267646313621 -141.387402616371 -479.927075951973</f>
        <v>-1436.582124881965</v>
      </c>
      <c r="H3253">
        <f>-812.997822178243 -137.781594061167 -604.436836446274</f>
        <v>-1555.2162526856841</v>
      </c>
      <c r="I3253">
        <f>-780.078270308959 -123.185833576867 -679.325446000682</f>
        <v>-1582.5895498865079</v>
      </c>
      <c r="J3253">
        <f>-824.893379969278 -113.897533494684 -549.10723495998</f>
        <v>-1487.8981484239421</v>
      </c>
      <c r="K3253" t="s">
        <v>34854</v>
      </c>
      <c r="L3253" t="s">
        <v>34855</v>
      </c>
      <c r="M3253" t="s">
        <v>34856</v>
      </c>
      <c r="N3253">
        <f>-803.099929177809 -164.839150665097 -550.185286077801</f>
        <v>-1518.1243659207071</v>
      </c>
      <c r="O3253">
        <f>-751.440276780116 -289.499865116709 -523.946450501201</f>
        <v>-1564.8865923980261</v>
      </c>
      <c r="P3253">
        <f>-731.136861068756 -317.202944208231 -231.693808476504</f>
        <v>-1280.0336137534912</v>
      </c>
      <c r="Q3253">
        <f>-603.599464944888 -141.999503698295 -336.997417120363</f>
        <v>-1082.5963857635461</v>
      </c>
      <c r="R3253">
        <f>-807.401078420628 -25.9998771449757 -97.9758303016275</f>
        <v>-931.37678586723121</v>
      </c>
      <c r="S3253" t="s">
        <v>34857</v>
      </c>
      <c r="T3253" t="s">
        <v>34858</v>
      </c>
      <c r="U3253" t="s">
        <v>34859</v>
      </c>
      <c r="V3253">
        <f>-718.654678580017 -198.638133663207 -92.7273306339852</f>
        <v>-1010.0201428772092</v>
      </c>
      <c r="W3253" t="s">
        <v>34860</v>
      </c>
      <c r="X3253" t="s">
        <v>34861</v>
      </c>
      <c r="Y3253" t="s">
        <v>34862</v>
      </c>
    </row>
    <row r="3254" spans="1:25" x14ac:dyDescent="0.3">
      <c r="A3254">
        <v>162650</v>
      </c>
      <c r="B3254" t="s">
        <v>34863</v>
      </c>
      <c r="C3254">
        <f>-762.89742103667 -112.339654203737 -94.3363691190631</f>
        <v>-969.57344435947016</v>
      </c>
      <c r="D3254">
        <f>-792.878978830532 -131.235645480983 -204.609950079575</f>
        <v>-1128.7245743910898</v>
      </c>
      <c r="E3254">
        <f>-805.982939347499 -138.493392320601 -302.089657114312</f>
        <v>-1246.5659887824122</v>
      </c>
      <c r="F3254">
        <f>-813.173167734778 -141.793544963088 -390.834389169646</f>
        <v>-1345.801101867512</v>
      </c>
      <c r="G3254">
        <f>-815.322225187043 -141.737331104793 -479.905385637467</f>
        <v>-1436.9649419293032</v>
      </c>
      <c r="H3254">
        <f>-812.990183288861 -138.197608645764 -604.415706867202</f>
        <v>-1555.6034988018268</v>
      </c>
      <c r="I3254">
        <f>-780.280847954458 -123.729029993061 -679.421056731914</f>
        <v>-1583.430934679433</v>
      </c>
      <c r="J3254">
        <f>-824.933403305798 -114.292749203937 -549.105474125713</f>
        <v>-1488.3316266354482</v>
      </c>
      <c r="K3254" t="s">
        <v>34864</v>
      </c>
      <c r="L3254" t="s">
        <v>34865</v>
      </c>
      <c r="M3254" t="s">
        <v>34866</v>
      </c>
      <c r="N3254">
        <f>-803.099428984134 -165.217834250966 -550.144291952369</f>
        <v>-1518.461555187469</v>
      </c>
      <c r="O3254">
        <f>-751.329844122738 -289.8212081251 -523.848018564133</f>
        <v>-1564.9990708119708</v>
      </c>
      <c r="P3254">
        <f>-731.352882175993 -317.400838350356 -231.561447232545</f>
        <v>-1280.3151677588939</v>
      </c>
      <c r="Q3254">
        <f>-603.849141356903 -142.234766196484 -336.967921248096</f>
        <v>-1083.051828801483</v>
      </c>
      <c r="R3254">
        <f>-807.530266845984 -26.1687842835813 -97.979410857581</f>
        <v>-931.67846198714631</v>
      </c>
      <c r="S3254" t="s">
        <v>34867</v>
      </c>
      <c r="T3254" t="s">
        <v>34868</v>
      </c>
      <c r="U3254" t="s">
        <v>34869</v>
      </c>
      <c r="V3254">
        <f>-718.617488450214 -198.755288485836 -92.7374995328005</f>
        <v>-1010.1102764688504</v>
      </c>
      <c r="W3254" t="s">
        <v>34870</v>
      </c>
      <c r="X3254" t="s">
        <v>34871</v>
      </c>
      <c r="Y3254" t="s">
        <v>34872</v>
      </c>
    </row>
    <row r="3255" spans="1:25" x14ac:dyDescent="0.3">
      <c r="A3255">
        <v>162700</v>
      </c>
      <c r="B3255" t="s">
        <v>34873</v>
      </c>
      <c r="C3255">
        <f>-763.003507795042 -112.700146820833 -94.3286268294714</f>
        <v>-970.03228144534637</v>
      </c>
      <c r="D3255">
        <f>-793.010904137138 -131.703654289317 -204.576809792068</f>
        <v>-1129.2913682185231</v>
      </c>
      <c r="E3255">
        <f>-806.139562097812 -139.060079426424 -302.04554746884</f>
        <v>-1247.2451889930762</v>
      </c>
      <c r="F3255">
        <f>-813.352671649423 -142.452556627405 -390.785149073618</f>
        <v>-1346.590377350446</v>
      </c>
      <c r="G3255">
        <f>-815.525350103475 -142.49077698074 -479.855336259561</f>
        <v>-1437.871463343776</v>
      </c>
      <c r="H3255">
        <f>-813.227285018508 -139.084814765758 -604.370124097024</f>
        <v>-1556.6822238812902</v>
      </c>
      <c r="I3255">
        <f>-780.796589287336 -124.799855022412 -679.531453414702</f>
        <v>-1585.1278977244501</v>
      </c>
      <c r="J3255">
        <f>-825.2005987927 -115.139872963004 -549.08376581109</f>
        <v>-1489.4242375667941</v>
      </c>
      <c r="K3255" t="s">
        <v>34874</v>
      </c>
      <c r="L3255" t="s">
        <v>34875</v>
      </c>
      <c r="M3255" t="s">
        <v>34876</v>
      </c>
      <c r="N3255">
        <f>-803.276399016253 -166.02730547909 -550.071063092906</f>
        <v>-1519.3747675882491</v>
      </c>
      <c r="O3255">
        <f>-751.31011010059 -290.525832122302 -523.65287783849</f>
        <v>-1565.4888200613821</v>
      </c>
      <c r="P3255">
        <f>-731.2236178665 -317.887037655836 -231.353229024591</f>
        <v>-1280.4638845469269</v>
      </c>
      <c r="Q3255">
        <f>-604.167593279333 -142.506869564949 -336.94404204662</f>
        <v>-1083.6185048909019</v>
      </c>
      <c r="R3255">
        <f>-807.756193998066 -26.5314880053991 -98.0004159824646</f>
        <v>-932.28809798592965</v>
      </c>
      <c r="S3255" t="s">
        <v>34877</v>
      </c>
      <c r="T3255" t="s">
        <v>34878</v>
      </c>
      <c r="U3255" t="s">
        <v>34879</v>
      </c>
      <c r="V3255">
        <f>-718.583995833205 -199.099180196633 -92.7212943770445</f>
        <v>-1010.4044704068825</v>
      </c>
      <c r="W3255" t="s">
        <v>34880</v>
      </c>
      <c r="X3255" t="s">
        <v>34881</v>
      </c>
      <c r="Y3255" t="s">
        <v>34882</v>
      </c>
    </row>
    <row r="3256" spans="1:25" x14ac:dyDescent="0.3">
      <c r="A3256">
        <v>162750</v>
      </c>
      <c r="B3256" t="s">
        <v>34883</v>
      </c>
      <c r="C3256">
        <f>-763.053271856108 -112.765116864896 -94.3533424635993</f>
        <v>-970.17173118460335</v>
      </c>
      <c r="D3256">
        <f>-793.052421016815 -131.807868530501 -204.597006859188</f>
        <v>-1129.4572964065039</v>
      </c>
      <c r="E3256">
        <f>-806.208947980913 -139.201653878047 -302.059215794648</f>
        <v>-1247.4698176536081</v>
      </c>
      <c r="F3256">
        <f>-813.461255192831 -142.629677628307 -390.794136343086</f>
        <v>-1346.885069164224</v>
      </c>
      <c r="G3256">
        <f>-815.687203214443 -142.70467463926 -479.863152713944</f>
        <v>-1438.2550305676471</v>
      </c>
      <c r="H3256">
        <f>-813.47810450436 -139.351172933084 -604.381004219574</f>
        <v>-1557.2102816570182</v>
      </c>
      <c r="I3256">
        <f>-781.094698360216 -125.114801676113 -679.571872976759</f>
        <v>-1585.7813730130879</v>
      </c>
      <c r="J3256">
        <f>-825.433749233125 -115.392383941421 -549.09670100477</f>
        <v>-1489.9228341793159</v>
      </c>
      <c r="K3256" t="s">
        <v>34884</v>
      </c>
      <c r="L3256" t="s">
        <v>34885</v>
      </c>
      <c r="M3256" t="s">
        <v>34886</v>
      </c>
      <c r="N3256">
        <f>-803.46674123142 -166.261387558825 -550.077024777605</f>
        <v>-1519.8051535678499</v>
      </c>
      <c r="O3256">
        <f>-751.373790851568 -290.708809408226 -523.628225165399</f>
        <v>-1565.710825425193</v>
      </c>
      <c r="P3256">
        <f>-731.35852704905 -317.962179945416 -231.313569480046</f>
        <v>-1280.634276474512</v>
      </c>
      <c r="Q3256">
        <f>-604.632656870841 -142.409465726978 -337.014474413968</f>
        <v>-1084.0565970117868</v>
      </c>
      <c r="R3256">
        <f>-807.878550405983 -26.6654847376642 -98.024025585752</f>
        <v>-932.56806072939924</v>
      </c>
      <c r="S3256" t="s">
        <v>34887</v>
      </c>
      <c r="T3256" t="s">
        <v>34888</v>
      </c>
      <c r="U3256" t="s">
        <v>34889</v>
      </c>
      <c r="V3256">
        <f>-718.546796503556 -199.100854975379 -92.7238973215589</f>
        <v>-1010.3715488004939</v>
      </c>
      <c r="W3256" t="s">
        <v>34890</v>
      </c>
      <c r="X3256" t="s">
        <v>34891</v>
      </c>
      <c r="Y3256" t="s">
        <v>34892</v>
      </c>
    </row>
    <row r="3257" spans="1:25" x14ac:dyDescent="0.3">
      <c r="A3257">
        <v>162800</v>
      </c>
      <c r="B3257" t="s">
        <v>34893</v>
      </c>
      <c r="C3257">
        <f>-763.085343818752 -113.08899011798 -94.4058335423132</f>
        <v>-970.58016747904514</v>
      </c>
      <c r="D3257">
        <f>-793.134299264662 -132.258402486455 -204.613936954024</f>
        <v>-1130.0066387051411</v>
      </c>
      <c r="E3257">
        <f>-806.377454680201 -139.741949754369 -302.057609843688</f>
        <v>-1248.177014278258</v>
      </c>
      <c r="F3257">
        <f>-813.724426783988 -143.24439556266 -390.781907607243</f>
        <v>-1347.7507299538909</v>
      </c>
      <c r="G3257">
        <f>-816.061103593499 -143.386682006332 -479.84785577932</f>
        <v>-1439.295641379151</v>
      </c>
      <c r="H3257">
        <f>-814.022886561802 -140.119524645402 -604.370946145705</f>
        <v>-1558.5133573529092</v>
      </c>
      <c r="I3257">
        <f>-781.798080988416 -125.986629758213 -679.649414766595</f>
        <v>-1587.434125513224</v>
      </c>
      <c r="J3257">
        <f>-825.948601814672 -116.142281983484 -549.088261416976</f>
        <v>-1491.1791452151319</v>
      </c>
      <c r="K3257" t="s">
        <v>34894</v>
      </c>
      <c r="L3257" t="s">
        <v>34895</v>
      </c>
      <c r="M3257" t="s">
        <v>34896</v>
      </c>
      <c r="N3257">
        <f>-803.891017745557 -166.972233415785 -550.060851919796</f>
        <v>-1520.9241030811381</v>
      </c>
      <c r="O3257">
        <f>-751.601121997775 -291.31467272591 -523.577145161851</f>
        <v>-1566.4929398855361</v>
      </c>
      <c r="P3257">
        <f>-731.369425824786 -318.582378458133 -231.278743612166</f>
        <v>-1281.230547895085</v>
      </c>
      <c r="Q3257">
        <f>-605.684522933447 -142.302221515371 -337.011860412608</f>
        <v>-1084.998604861426</v>
      </c>
      <c r="R3257">
        <f>-808.130114552035 -26.9941616052758 -98.0903558616602</f>
        <v>-933.21463201897109</v>
      </c>
      <c r="S3257" t="s">
        <v>34897</v>
      </c>
      <c r="T3257" t="s">
        <v>34898</v>
      </c>
      <c r="U3257" t="s">
        <v>34899</v>
      </c>
      <c r="V3257">
        <f>-718.341433940194 -199.538449078026 -92.7685910280635</f>
        <v>-1010.6484740462835</v>
      </c>
      <c r="W3257" t="s">
        <v>34900</v>
      </c>
      <c r="X3257" t="s">
        <v>34901</v>
      </c>
      <c r="Y3257" t="s">
        <v>34902</v>
      </c>
    </row>
    <row r="3258" spans="1:25" x14ac:dyDescent="0.3">
      <c r="A3258">
        <v>162850</v>
      </c>
      <c r="B3258" t="s">
        <v>34903</v>
      </c>
      <c r="C3258">
        <f>-763.065979212722 -113.210560767497 -94.4202812005668</f>
        <v>-970.69682118078583</v>
      </c>
      <c r="D3258">
        <f>-793.122247856902 -132.438214781341 -204.616199684221</f>
        <v>-1130.1766623224639</v>
      </c>
      <c r="E3258">
        <f>-806.359099810458 -139.962916800825 -302.057499799092</f>
        <v>-1248.3795164103751</v>
      </c>
      <c r="F3258">
        <f>-813.694334124966 -143.500072182023 -390.781360372827</f>
        <v>-1347.9757666798159</v>
      </c>
      <c r="G3258">
        <f>-816.013446908395 -143.674087814915 -479.84788078294</f>
        <v>-1439.53541550625</v>
      </c>
      <c r="H3258">
        <f>-813.944294724832 -140.448614697896 -604.371401039316</f>
        <v>-1558.764310462044</v>
      </c>
      <c r="I3258">
        <f>-781.725876732356 -126.339109726658 -679.65713941931</f>
        <v>-1587.7221258783241</v>
      </c>
      <c r="J3258">
        <f>-825.912939301606 -116.465494652386 -549.10055529864</f>
        <v>-1491.4789892526319</v>
      </c>
      <c r="K3258" t="s">
        <v>34904</v>
      </c>
      <c r="L3258" t="s">
        <v>34905</v>
      </c>
      <c r="M3258" t="s">
        <v>34906</v>
      </c>
      <c r="N3258">
        <f>-803.79661840255 -167.270412179525 -550.049051671001</f>
        <v>-1521.116082253076</v>
      </c>
      <c r="O3258">
        <f>-751.394876493114 -291.562565531798 -523.537003048925</f>
        <v>-1566.4944450738369</v>
      </c>
      <c r="P3258">
        <f>-731.14922382987 -318.735931684364 -231.230884631298</f>
        <v>-1281.1160401455322</v>
      </c>
      <c r="Q3258">
        <f>-605.844373192563 -142.210994373567 -337.006669186707</f>
        <v>-1085.062036752837</v>
      </c>
      <c r="R3258">
        <f>-808.193592246485 -27.1620977697985 -98.103770358373</f>
        <v>-933.45946037465649</v>
      </c>
      <c r="S3258" t="s">
        <v>34907</v>
      </c>
      <c r="T3258" t="s">
        <v>34908</v>
      </c>
      <c r="U3258" t="s">
        <v>34909</v>
      </c>
      <c r="V3258">
        <f>-718.261680870397 -199.526098476538 -92.7744283795827</f>
        <v>-1010.5622077265176</v>
      </c>
      <c r="W3258" t="s">
        <v>34910</v>
      </c>
      <c r="X3258" t="s">
        <v>34911</v>
      </c>
      <c r="Y3258" t="s">
        <v>34912</v>
      </c>
    </row>
    <row r="3259" spans="1:25" x14ac:dyDescent="0.3">
      <c r="A3259">
        <v>162900</v>
      </c>
      <c r="B3259" t="s">
        <v>34913</v>
      </c>
      <c r="C3259">
        <f>-763.016568701426 -113.299523409843 -94.4197137707363</f>
        <v>-970.73580588200525</v>
      </c>
      <c r="D3259">
        <f>-793.072452972153 -132.602577570918 -204.602564334721</f>
        <v>-1130.2775948777919</v>
      </c>
      <c r="E3259">
        <f>-806.248597225852 -140.179690712629 -302.048127328428</f>
        <v>-1248.476415266909</v>
      </c>
      <c r="F3259">
        <f>-813.503601767227 -143.760169603383 -390.776788235849</f>
        <v>-1348.0405596064591</v>
      </c>
      <c r="G3259">
        <f>-815.717279308865 -143.973099713816 -479.845920645288</f>
        <v>-1439.5362996679692</v>
      </c>
      <c r="H3259">
        <f>-813.474586978948 -140.797291881836 -604.367816784014</f>
        <v>-1558.6396956447979</v>
      </c>
      <c r="I3259">
        <f>-781.080902429389 -126.667145691521 -679.574289955051</f>
        <v>-1587.3223380759609</v>
      </c>
      <c r="J3259">
        <f>-825.576728580195 -116.816775583488 -549.124742951369</f>
        <v>-1491.518247115052</v>
      </c>
      <c r="K3259" t="s">
        <v>34914</v>
      </c>
      <c r="L3259" t="s">
        <v>34915</v>
      </c>
      <c r="M3259" t="s">
        <v>34916</v>
      </c>
      <c r="N3259">
        <f>-803.346287493616 -167.5727525248 -550.018919489345</f>
        <v>-1520.937959507761</v>
      </c>
      <c r="O3259">
        <f>-750.749890321786 -291.762075434004 -523.386548713203</f>
        <v>-1565.898514468993</v>
      </c>
      <c r="P3259">
        <f>-730.649960771537 -318.640505582352 -231.042951712006</f>
        <v>-1280.3334180658951</v>
      </c>
      <c r="Q3259">
        <f>-605.728556673317 -141.976569173401 -337.040019903257</f>
        <v>-1084.7451457499751</v>
      </c>
      <c r="R3259">
        <f>-808.297582404088 -27.3726841689459 -98.1094131824013</f>
        <v>-933.77967975543515</v>
      </c>
      <c r="S3259" t="s">
        <v>34917</v>
      </c>
      <c r="T3259" t="s">
        <v>34918</v>
      </c>
      <c r="U3259" t="s">
        <v>34919</v>
      </c>
      <c r="V3259">
        <f>-718.055929917681 -199.512359263883 -92.7797539716616</f>
        <v>-1010.3480431532257</v>
      </c>
      <c r="W3259" t="s">
        <v>34920</v>
      </c>
      <c r="X3259" t="s">
        <v>34921</v>
      </c>
      <c r="Y3259" t="s">
        <v>34922</v>
      </c>
    </row>
    <row r="3260" spans="1:25" x14ac:dyDescent="0.3">
      <c r="A3260">
        <v>162950</v>
      </c>
      <c r="B3260" t="s">
        <v>34923</v>
      </c>
      <c r="C3260">
        <f>-763.010790461079 -113.470296008585 -94.4265597733046</f>
        <v>-970.90764624296855</v>
      </c>
      <c r="D3260">
        <f>-793.072440900188 -132.828956674117 -204.598137973432</f>
        <v>-1130.499535547737</v>
      </c>
      <c r="E3260">
        <f>-806.19992590169 -140.437612446282 -302.047807926965</f>
        <v>-1248.6853462749368</v>
      </c>
      <c r="F3260">
        <f>-813.38828176317 -144.040943648447 -390.78104999581</f>
        <v>-1348.2102754074269</v>
      </c>
      <c r="G3260">
        <f>-815.512509116987 -144.271040407726 -479.852155853858</f>
        <v>-1439.6357053785709</v>
      </c>
      <c r="H3260">
        <f>-813.12100290809 -141.114011509846 -604.371829157203</f>
        <v>-1558.606843575139</v>
      </c>
      <c r="I3260">
        <f>-780.540863902767 -126.944034860954 -679.490122011176</f>
        <v>-1586.9750207748971</v>
      </c>
      <c r="J3260">
        <f>-825.305678576138 -117.132423739567 -549.147401420595</f>
        <v>-1491.5855037362999</v>
      </c>
      <c r="K3260" t="s">
        <v>34924</v>
      </c>
      <c r="L3260" t="s">
        <v>34925</v>
      </c>
      <c r="M3260" t="s">
        <v>34926</v>
      </c>
      <c r="N3260">
        <f>-803.041125908073 -167.874108606622 -550.00634227404</f>
        <v>-1520.9215767887349</v>
      </c>
      <c r="O3260">
        <f>-750.41076421159 -292.030948902026 -523.319625760622</f>
        <v>-1565.7613388742379</v>
      </c>
      <c r="P3260">
        <f>-730.373032039642 -318.876159315461 -230.968679519072</f>
        <v>-1280.2178708741749</v>
      </c>
      <c r="Q3260">
        <f>-605.668024003193 -142.075683664474 -336.992797896323</f>
        <v>-1084.73650556399</v>
      </c>
      <c r="R3260">
        <f>-808.381211596605 -27.5208468127337 -98.1285320372989</f>
        <v>-934.03059044663758</v>
      </c>
      <c r="S3260" t="s">
        <v>34927</v>
      </c>
      <c r="T3260" t="s">
        <v>34928</v>
      </c>
      <c r="U3260" t="s">
        <v>34929</v>
      </c>
      <c r="V3260">
        <f>-717.962713499337 -199.771537590487 -92.781815678141</f>
        <v>-1010.5160667679651</v>
      </c>
      <c r="W3260" t="s">
        <v>34930</v>
      </c>
      <c r="X3260" t="s">
        <v>34931</v>
      </c>
      <c r="Y3260" t="s">
        <v>34932</v>
      </c>
    </row>
    <row r="3261" spans="1:25" x14ac:dyDescent="0.3">
      <c r="A3261">
        <v>163000</v>
      </c>
      <c r="B3261" t="s">
        <v>34933</v>
      </c>
      <c r="C3261">
        <f>-762.980113783122 -113.65190500574 -94.4598525637322</f>
        <v>-971.09187135259413</v>
      </c>
      <c r="D3261">
        <f>-793.098037440799 -133.105742927008 -204.599283646961</f>
        <v>-1130.8030640147681</v>
      </c>
      <c r="E3261">
        <f>-806.207771260708 -140.80175791415 -302.044508891731</f>
        <v>-1249.0540380665891</v>
      </c>
      <c r="F3261">
        <f>-813.351925526209 -144.487618574005 -390.777769472361</f>
        <v>-1348.6173135725749</v>
      </c>
      <c r="G3261">
        <f>-815.403676034219 -144.804168215921 -479.850396975861</f>
        <v>-1440.058241226001</v>
      </c>
      <c r="H3261">
        <f>-812.880804358248 -141.772648156817 -604.370619117306</f>
        <v>-1559.024071632371</v>
      </c>
      <c r="I3261">
        <f>-780.011365349852 -127.607368491438 -679.363651624002</f>
        <v>-1586.9823854652921</v>
      </c>
      <c r="J3261">
        <f>-825.140356553587 -117.742733375304 -549.183852749049</f>
        <v>-1492.06694267794</v>
      </c>
      <c r="K3261" t="s">
        <v>34934</v>
      </c>
      <c r="L3261" t="s">
        <v>34935</v>
      </c>
      <c r="M3261" t="s">
        <v>34936</v>
      </c>
      <c r="N3261">
        <f>-802.841651881568 -168.470639641176 -549.967104831802</f>
        <v>-1521.279396354546</v>
      </c>
      <c r="O3261">
        <f>-750.170241113069 -292.59615173849 -523.186430893109</f>
        <v>-1565.952823744668</v>
      </c>
      <c r="P3261">
        <f>-730.327706085867 -319.23938317019 -230.803782529285</f>
        <v>-1280.3708717853419</v>
      </c>
      <c r="Q3261">
        <f>-605.850606777083 -142.300951400192 -336.865457523685</f>
        <v>-1085.0170157009602</v>
      </c>
      <c r="R3261">
        <f>-808.46055539329 -27.7355981081389 -98.1699392940151</f>
        <v>-934.36609279544393</v>
      </c>
      <c r="S3261" t="s">
        <v>34937</v>
      </c>
      <c r="T3261" t="s">
        <v>34938</v>
      </c>
      <c r="U3261" t="s">
        <v>34939</v>
      </c>
      <c r="V3261">
        <f>-717.824762565008 -199.83314967282 -92.7887362831046</f>
        <v>-1010.4466485209326</v>
      </c>
      <c r="W3261" t="s">
        <v>34940</v>
      </c>
      <c r="X3261" t="s">
        <v>34941</v>
      </c>
      <c r="Y3261" t="s">
        <v>34942</v>
      </c>
    </row>
    <row r="3262" spans="1:25" x14ac:dyDescent="0.3">
      <c r="A3262">
        <v>163050</v>
      </c>
      <c r="B3262" t="s">
        <v>34943</v>
      </c>
      <c r="C3262">
        <f>-763.01354185242 -113.694182915701 -94.4806835554765</f>
        <v>-971.18840832359751</v>
      </c>
      <c r="D3262">
        <f>-793.133051737867 -133.167312503081 -204.616228277955</f>
        <v>-1130.9165925189031</v>
      </c>
      <c r="E3262">
        <f>-806.24692315087 -140.892973147352 -302.058385968183</f>
        <v>-1249.1982822664049</v>
      </c>
      <c r="F3262">
        <f>-813.396170866902 -144.611002733879 -390.790072350727</f>
        <v>-1348.7972459515081</v>
      </c>
      <c r="G3262">
        <f>-815.45426012903 -144.964680028891 -479.862549443758</f>
        <v>-1440.2814896016789</v>
      </c>
      <c r="H3262">
        <f>-812.941830830706 -141.990215616396 -604.38406837735</f>
        <v>-1559.3161148244519</v>
      </c>
      <c r="I3262">
        <f>-779.990847131298 -127.850968922409 -679.346448003691</f>
        <v>-1587.1882640573981</v>
      </c>
      <c r="J3262">
        <f>-825.20504664416 -117.938693470556 -549.207720331679</f>
        <v>-1492.3514604463949</v>
      </c>
      <c r="K3262" t="s">
        <v>34944</v>
      </c>
      <c r="L3262" t="s">
        <v>34945</v>
      </c>
      <c r="M3262" t="s">
        <v>34946</v>
      </c>
      <c r="N3262">
        <f>-802.88987243092 -168.659638754866 -549.968992138397</f>
        <v>-1521.518503324183</v>
      </c>
      <c r="O3262">
        <f>-750.216837234919 -292.783419386858 -523.15457304909</f>
        <v>-1566.154829670867</v>
      </c>
      <c r="P3262">
        <f>-730.528719310344 -319.439843998316 -230.762663640587</f>
        <v>-1280.7312269492468</v>
      </c>
      <c r="Q3262">
        <f>-606.213651604615 -142.370097441069 -336.795247040156</f>
        <v>-1085.3789960858401</v>
      </c>
      <c r="R3262">
        <f>-808.517310615017 -27.8069020390699 -98.1918734828981</f>
        <v>-934.516086136985</v>
      </c>
      <c r="S3262" t="s">
        <v>34947</v>
      </c>
      <c r="T3262" t="s">
        <v>34948</v>
      </c>
      <c r="U3262" t="s">
        <v>34949</v>
      </c>
      <c r="V3262">
        <f>-717.839614779618 -199.835614546895 -92.7982370824976</f>
        <v>-1010.4734664090107</v>
      </c>
      <c r="W3262" t="s">
        <v>34950</v>
      </c>
      <c r="X3262" t="s">
        <v>34951</v>
      </c>
      <c r="Y3262" t="s">
        <v>34952</v>
      </c>
    </row>
    <row r="3263" spans="1:25" x14ac:dyDescent="0.3">
      <c r="A3263">
        <v>163100</v>
      </c>
      <c r="B3263" t="s">
        <v>34953</v>
      </c>
      <c r="C3263">
        <f>-763.13003710349 -113.823653094665 -94.4874420124413</f>
        <v>-971.44113221059638</v>
      </c>
      <c r="D3263">
        <f>-793.182305179907 -133.241461143425 -204.651061992516</f>
        <v>-1131.074828315848</v>
      </c>
      <c r="E3263">
        <f>-806.348445941797 -140.987369756788 -302.084789906532</f>
        <v>-1249.4206056051171</v>
      </c>
      <c r="F3263">
        <f>-813.592762498428 -144.748454522051 -390.806971667454</f>
        <v>-1349.148188687933</v>
      </c>
      <c r="G3263">
        <f>-815.795241574792 -145.168099393793 -479.875480993723</f>
        <v>-1440.838821962308</v>
      </c>
      <c r="H3263">
        <f>-813.537205998148 -142.307430237257 -604.404759590845</f>
        <v>-1560.2493958262498</v>
      </c>
      <c r="I3263">
        <f>-780.596465253616 -128.23215558705 -679.383546778008</f>
        <v>-1588.2121676186739</v>
      </c>
      <c r="J3263">
        <f>-825.714127079244 -118.217093186742 -549.22602103431</f>
        <v>-1493.1572413002959</v>
      </c>
      <c r="K3263" t="s">
        <v>34954</v>
      </c>
      <c r="L3263" t="s">
        <v>34955</v>
      </c>
      <c r="M3263" t="s">
        <v>34956</v>
      </c>
      <c r="N3263">
        <f>-803.347615809908 -168.915431118245 -549.985117877553</f>
        <v>-1522.248164805706</v>
      </c>
      <c r="O3263">
        <f>-750.60976009546 -292.990491077803 -523.125280693445</f>
        <v>-1566.725531866708</v>
      </c>
      <c r="P3263">
        <f>-731.282865431835 -319.642312052643 -230.708765698767</f>
        <v>-1281.6339431832448</v>
      </c>
      <c r="Q3263">
        <f>-606.903287674165 -142.583254428673 -336.683717893482</f>
        <v>-1086.1702599963201</v>
      </c>
      <c r="R3263">
        <f>-808.570173838879 -27.9881036487343 -98.2052739461581</f>
        <v>-934.76355143377134</v>
      </c>
      <c r="S3263" t="s">
        <v>34957</v>
      </c>
      <c r="T3263" t="s">
        <v>34958</v>
      </c>
      <c r="U3263" t="s">
        <v>34959</v>
      </c>
      <c r="V3263">
        <f>-718.033493109841 -199.934163229758 -92.8080558722926</f>
        <v>-1010.7757122118916</v>
      </c>
      <c r="W3263" t="s">
        <v>34960</v>
      </c>
      <c r="X3263" t="s">
        <v>34961</v>
      </c>
      <c r="Y3263" t="s">
        <v>34962</v>
      </c>
    </row>
    <row r="3264" spans="1:25" x14ac:dyDescent="0.3">
      <c r="A3264">
        <v>163150</v>
      </c>
      <c r="B3264" t="s">
        <v>34963</v>
      </c>
      <c r="C3264">
        <f>-763.240051060784 -113.823379221061 -94.487697606684</f>
        <v>-971.55112788852909</v>
      </c>
      <c r="D3264">
        <f>-793.268242290859 -133.209760160113 -204.663494766826</f>
        <v>-1131.1414972177979</v>
      </c>
      <c r="E3264">
        <f>-806.490880022544 -140.974961519506 -302.087935413224</f>
        <v>-1249.5537769552741</v>
      </c>
      <c r="F3264">
        <f>-813.819447029604 -144.770597809866 -390.801686891489</f>
        <v>-1349.391731730959</v>
      </c>
      <c r="G3264">
        <f>-816.140145647769 -145.240902411936 -479.867027878882</f>
        <v>-1441.2480759385871</v>
      </c>
      <c r="H3264">
        <f>-814.083418574962 -142.466685929248 -604.401701315086</f>
        <v>-1560.9518058192962</v>
      </c>
      <c r="I3264">
        <f>-781.192752331792 -128.437040595428 -679.410980319086</f>
        <v>-1589.0407732463059</v>
      </c>
      <c r="J3264">
        <f>-826.178690632041 -118.341288081675 -549.220318269067</f>
        <v>-1493.7402969827831</v>
      </c>
      <c r="K3264" t="s">
        <v>34964</v>
      </c>
      <c r="L3264" t="s">
        <v>34965</v>
      </c>
      <c r="M3264" t="s">
        <v>34966</v>
      </c>
      <c r="N3264">
        <f>-803.798274806827 -169.033608367078 -549.979925694831</f>
        <v>-1522.8118088687361</v>
      </c>
      <c r="O3264">
        <f>-751.022206597386 -293.089491959394 -523.089147336896</f>
        <v>-1567.2008458936762</v>
      </c>
      <c r="P3264">
        <f>-731.729501272506 -319.738537351479 -230.670161447303</f>
        <v>-1282.1382000712879</v>
      </c>
      <c r="Q3264">
        <f>-607.413147173842 -142.600395266709 -336.587165569824</f>
        <v>-1086.600708010375</v>
      </c>
      <c r="R3264">
        <f>-808.641250525779 -27.9959319588229 -98.2196435158331</f>
        <v>-934.85682600043503</v>
      </c>
      <c r="S3264" t="s">
        <v>34967</v>
      </c>
      <c r="T3264" t="s">
        <v>34968</v>
      </c>
      <c r="U3264" t="s">
        <v>34969</v>
      </c>
      <c r="V3264">
        <f>-718.17475284131 -199.895328654262 -92.8133537128081</f>
        <v>-1010.8834352083801</v>
      </c>
      <c r="W3264" t="s">
        <v>34970</v>
      </c>
      <c r="X3264" t="s">
        <v>34971</v>
      </c>
      <c r="Y3264" t="s">
        <v>34972</v>
      </c>
    </row>
    <row r="3265" spans="1:25" x14ac:dyDescent="0.3">
      <c r="A3265">
        <v>163200</v>
      </c>
      <c r="B3265" t="s">
        <v>34973</v>
      </c>
      <c r="C3265">
        <f>-763.529091915048 -113.814871670557 -94.5118940340061</f>
        <v>-971.85585761961102</v>
      </c>
      <c r="D3265">
        <f>-793.57831079209 -133.194275535105 -204.683216964727</f>
        <v>-1131.4558032919219</v>
      </c>
      <c r="E3265">
        <f>-806.965279301234 -141.035995943588 -302.079032328103</f>
        <v>-1250.080307572925</v>
      </c>
      <c r="F3265">
        <f>-814.504079759048 -144.932436429524 -390.770758759545</f>
        <v>-1350.2072749481169</v>
      </c>
      <c r="G3265">
        <f>-817.097516793081 -145.53343895054 -479.82777748751</f>
        <v>-1442.458733231131</v>
      </c>
      <c r="H3265">
        <f>-815.48767956831 -142.971673748168 -604.373538362221</f>
        <v>-1562.8328916786991</v>
      </c>
      <c r="I3265">
        <f>-782.639428530184 -129.028763146265 -679.417704952623</f>
        <v>-1591.0858966290721</v>
      </c>
      <c r="J3265">
        <f>-827.395088510077 -118.756674631582 -549.190521685471</f>
        <v>-1495.34228482713</v>
      </c>
      <c r="K3265" t="s">
        <v>34974</v>
      </c>
      <c r="L3265" t="s">
        <v>34975</v>
      </c>
      <c r="M3265" t="s">
        <v>34976</v>
      </c>
      <c r="N3265">
        <f>-804.997132819465 -169.441280906857 -549.943599444097</f>
        <v>-1524.3820131704192</v>
      </c>
      <c r="O3265">
        <f>-752.07929941524 -293.42412428631 -523.012884583649</f>
        <v>-1568.5163082851991</v>
      </c>
      <c r="P3265">
        <f>-732.725717059928 -319.884492896492 -230.580838557362</f>
        <v>-1283.1910485137821</v>
      </c>
      <c r="Q3265">
        <f>-608.672563548303 -142.496191627933 -336.387599860182</f>
        <v>-1087.5563550364179</v>
      </c>
      <c r="R3265">
        <f>-808.929970774243 -28.0076885804096 -98.2407906484137</f>
        <v>-935.17845000306636</v>
      </c>
      <c r="S3265" t="s">
        <v>34977</v>
      </c>
      <c r="T3265" t="s">
        <v>34978</v>
      </c>
      <c r="U3265" t="s">
        <v>34979</v>
      </c>
      <c r="V3265">
        <f>-718.460359558139 -199.915436405389 -92.8315956037445</f>
        <v>-1011.2073915672725</v>
      </c>
      <c r="W3265" t="s">
        <v>34980</v>
      </c>
      <c r="X3265" t="s">
        <v>34981</v>
      </c>
      <c r="Y3265" t="s">
        <v>34982</v>
      </c>
    </row>
    <row r="3266" spans="1:25" x14ac:dyDescent="0.3">
      <c r="A3266">
        <v>163250</v>
      </c>
      <c r="B3266" t="s">
        <v>34983</v>
      </c>
      <c r="C3266">
        <f>-763.608970983958 -113.827332244756 -94.520283700106</f>
        <v>-971.95658692882</v>
      </c>
      <c r="D3266">
        <f>-793.67939267999 -133.226866806346 -204.682188179367</f>
        <v>-1131.5884476657029</v>
      </c>
      <c r="E3266">
        <f>-807.154305195751 -141.110770919205 -302.06253791599</f>
        <v>-1250.3276140309461</v>
      </c>
      <c r="F3266">
        <f>-814.801393014525 -145.054918281244 -390.742840286986</f>
        <v>-1350.599151582755</v>
      </c>
      <c r="G3266">
        <f>-817.532178887534 -145.712541977641 -479.795387994336</f>
        <v>-1443.0401088595108</v>
      </c>
      <c r="H3266">
        <f>-816.144537699828 -143.238649733572 -604.345656992491</f>
        <v>-1563.7288444258911</v>
      </c>
      <c r="I3266">
        <f>-783.316540353916 -129.325459246086 -679.404151704586</f>
        <v>-1592.046151304588</v>
      </c>
      <c r="J3266">
        <f>-827.961147990044 -118.98812131355 -549.158860800296</f>
        <v>-1496.1081301038898</v>
      </c>
      <c r="K3266" t="s">
        <v>34984</v>
      </c>
      <c r="L3266" t="s">
        <v>34985</v>
      </c>
      <c r="M3266" t="s">
        <v>34986</v>
      </c>
      <c r="N3266">
        <f>-805.549153169456 -169.666490061958 -549.915758102862</f>
        <v>-1525.131401334276</v>
      </c>
      <c r="O3266">
        <f>-752.576891279029 -293.631764746453 -523.003746274593</f>
        <v>-1569.2124023000752</v>
      </c>
      <c r="P3266">
        <f>-733.049258669903 -319.984226179632 -230.57357410317</f>
        <v>-1283.6070589527048</v>
      </c>
      <c r="Q3266">
        <f>-609.173880039602 -142.430771469088 -336.311444358095</f>
        <v>-1087.9160958667849</v>
      </c>
      <c r="R3266">
        <f>-808.971534987822 -28.1107041992634 -98.2400001632485</f>
        <v>-935.32223935033392</v>
      </c>
      <c r="S3266" t="s">
        <v>34987</v>
      </c>
      <c r="T3266" t="s">
        <v>34988</v>
      </c>
      <c r="U3266" t="s">
        <v>34989</v>
      </c>
      <c r="V3266">
        <f>-718.550058510063 -199.845830144922 -92.8328485279018</f>
        <v>-1011.2287371828867</v>
      </c>
      <c r="W3266" t="s">
        <v>34990</v>
      </c>
      <c r="X3266" t="s">
        <v>34991</v>
      </c>
      <c r="Y3266" t="s">
        <v>34992</v>
      </c>
    </row>
    <row r="3267" spans="1:25" x14ac:dyDescent="0.3">
      <c r="A3267">
        <v>163300</v>
      </c>
      <c r="B3267" t="s">
        <v>34993</v>
      </c>
      <c r="C3267">
        <f>-763.747931896355 -113.948640288539 -94.515337921432</f>
        <v>-972.21191010632594</v>
      </c>
      <c r="D3267">
        <f>-793.84976616945 -133.380270391421 -204.66308203789</f>
        <v>-1131.893118598761</v>
      </c>
      <c r="E3267">
        <f>-807.435021864883 -141.337850544094 -302.022016145982</f>
        <v>-1250.794888554959</v>
      </c>
      <c r="F3267">
        <f>-815.216451572364 -145.366673378296 -390.686882300848</f>
        <v>-1351.2700072515081</v>
      </c>
      <c r="G3267">
        <f>-818.116746315673 -146.126256874205 -479.733217145104</f>
        <v>-1443.9762203349819</v>
      </c>
      <c r="H3267">
        <f>-817.002645281763 -143.811856077512 -604.289216875773</f>
        <v>-1565.1037182350481</v>
      </c>
      <c r="I3267">
        <f>-784.168956286375 -129.936870444121 -679.352353774397</f>
        <v>-1593.4581805048929</v>
      </c>
      <c r="J3267">
        <f>-828.714368280744 -119.497839394538 -549.108002137694</f>
        <v>-1497.3202098129759</v>
      </c>
      <c r="K3267" t="s">
        <v>34994</v>
      </c>
      <c r="L3267" t="s">
        <v>34995</v>
      </c>
      <c r="M3267" t="s">
        <v>34996</v>
      </c>
      <c r="N3267">
        <f>-806.271438250793 -170.162700757093 -549.848716051391</f>
        <v>-1526.2828550592772</v>
      </c>
      <c r="O3267">
        <f>-753.098441018471 -294.043735055975 -522.959092653741</f>
        <v>-1570.1012687281871</v>
      </c>
      <c r="P3267">
        <f>-733.28770021571 -320.383970179133 -230.54680886878</f>
        <v>-1284.2184792636231</v>
      </c>
      <c r="Q3267">
        <f>-609.923457862631 -142.30285026416 -335.994773764421</f>
        <v>-1088.2210818912122</v>
      </c>
      <c r="R3267">
        <f>-809.123114484934 -28.2535747087557 -98.23982958703</f>
        <v>-935.61651878071973</v>
      </c>
      <c r="S3267" t="s">
        <v>34997</v>
      </c>
      <c r="T3267" t="s">
        <v>34998</v>
      </c>
      <c r="U3267" t="s">
        <v>34999</v>
      </c>
      <c r="V3267">
        <f>-718.646831943946 -199.936312546247 -92.8335504787457</f>
        <v>-1011.4166949689387</v>
      </c>
      <c r="W3267" t="s">
        <v>35000</v>
      </c>
      <c r="X3267" t="s">
        <v>35001</v>
      </c>
      <c r="Y3267" t="s">
        <v>35002</v>
      </c>
    </row>
    <row r="3268" spans="1:25" x14ac:dyDescent="0.3">
      <c r="A3268">
        <v>163350</v>
      </c>
      <c r="B3268" t="s">
        <v>35003</v>
      </c>
      <c r="C3268">
        <f>-763.864794591547 -113.963884319283 -94.5282931238222</f>
        <v>-972.35697203465224</v>
      </c>
      <c r="D3268">
        <f>-793.983897305995 -133.411003036754 -204.668519034853</f>
        <v>-1132.063419377602</v>
      </c>
      <c r="E3268">
        <f>-807.630398735393 -141.421528309095 -302.014612608681</f>
        <v>-1251.066539653169</v>
      </c>
      <c r="F3268">
        <f>-815.486592522665 -145.51387745181 -390.670061713993</f>
        <v>-1351.6705316884679</v>
      </c>
      <c r="G3268">
        <f>-818.481260551636 -146.352332010249 -479.712517497693</f>
        <v>-1444.546110059578</v>
      </c>
      <c r="H3268">
        <f>-817.51988257636 -144.163717884257 -604.272205910509</f>
        <v>-1565.9558063711261</v>
      </c>
      <c r="I3268">
        <f>-784.683744232698 -130.311384906018 -679.338296466576</f>
        <v>-1594.3334256052922</v>
      </c>
      <c r="J3268">
        <f>-829.167992493765 -119.795819521354 -549.101249305695</f>
        <v>-1498.065061320814</v>
      </c>
      <c r="K3268" t="s">
        <v>35004</v>
      </c>
      <c r="L3268" t="s">
        <v>35005</v>
      </c>
      <c r="M3268" t="s">
        <v>35006</v>
      </c>
      <c r="N3268">
        <f>-806.717893754486 -170.457895718891 -549.818089834424</f>
        <v>-1526.9938793078009</v>
      </c>
      <c r="O3268">
        <f>-753.468253360969 -294.30797886382 -522.918093653878</f>
        <v>-1570.6943258786671</v>
      </c>
      <c r="P3268">
        <f>-733.571620466489 -320.584846076491 -230.505959580397</f>
        <v>-1284.6624261233771</v>
      </c>
      <c r="Q3268">
        <f>-610.300077895841 -142.419247300565 -335.919514356009</f>
        <v>-1088.638839552415</v>
      </c>
      <c r="R3268">
        <f>-809.269635516184 -28.2607653499888 -98.2458970872667</f>
        <v>-935.77629795343955</v>
      </c>
      <c r="S3268" t="s">
        <v>35007</v>
      </c>
      <c r="T3268" t="s">
        <v>35008</v>
      </c>
      <c r="U3268" t="s">
        <v>35009</v>
      </c>
      <c r="V3268">
        <f>-718.780799809689 -199.920826009141 -92.8391440437763</f>
        <v>-1011.5407698626063</v>
      </c>
      <c r="W3268" t="s">
        <v>35010</v>
      </c>
      <c r="X3268" t="s">
        <v>35011</v>
      </c>
      <c r="Y3268" t="s">
        <v>35012</v>
      </c>
    </row>
    <row r="3269" spans="1:25" x14ac:dyDescent="0.3">
      <c r="A3269">
        <v>163400</v>
      </c>
      <c r="B3269" t="s">
        <v>35013</v>
      </c>
      <c r="C3269">
        <f>-764.322475097495 -113.887826799033 -94.5337063495168</f>
        <v>-972.74400824604481</v>
      </c>
      <c r="D3269">
        <f>-794.442535867507 -133.38440741488 -204.664871715433</f>
        <v>-1132.49181499782</v>
      </c>
      <c r="E3269">
        <f>-808.20015093365 -141.489733544393 -301.987540861726</f>
        <v>-1251.6774253397691</v>
      </c>
      <c r="F3269">
        <f>-816.202263777293 -145.688764530502 -390.624901455648</f>
        <v>-1352.515929763443</v>
      </c>
      <c r="G3269">
        <f>-819.388372016209 -146.654312420733 -479.659397932398</f>
        <v>-1445.7020823693399</v>
      </c>
      <c r="H3269">
        <f>-818.742146786306 -144.664338955799 -604.224362210434</f>
        <v>-1567.6308479525389</v>
      </c>
      <c r="I3269">
        <f>-785.906201665157 -130.842684326202 -679.29641705237</f>
        <v>-1596.0453030437288</v>
      </c>
      <c r="J3269">
        <f>-830.249654456651 -120.207950518037 -549.063044639117</f>
        <v>-1499.5206496138051</v>
      </c>
      <c r="K3269" t="s">
        <v>35014</v>
      </c>
      <c r="L3269" t="s">
        <v>35015</v>
      </c>
      <c r="M3269" t="s">
        <v>35016</v>
      </c>
      <c r="N3269">
        <f>-807.80353716969 -170.872101560089 -549.755992249661</f>
        <v>-1528.4316309794399</v>
      </c>
      <c r="O3269">
        <f>-754.484886898355 -294.680187861392 -522.800419181224</f>
        <v>-1571.9654939409709</v>
      </c>
      <c r="P3269">
        <f>-734.542384218581 -320.676464027633 -230.366436831083</f>
        <v>-1285.5852850772972</v>
      </c>
      <c r="Q3269">
        <f>-611.451637225358 -142.463515251916 -335.911062071171</f>
        <v>-1089.826214548445</v>
      </c>
      <c r="R3269">
        <f>-809.7020723416 -28.2608728114139 -98.2892477335693</f>
        <v>-936.2521928865832</v>
      </c>
      <c r="S3269" t="s">
        <v>35017</v>
      </c>
      <c r="T3269" t="s">
        <v>35018</v>
      </c>
      <c r="U3269" t="s">
        <v>35019</v>
      </c>
      <c r="V3269">
        <f>-719.255087507073 -199.794203582495 -92.8251125733447</f>
        <v>-1011.8744036629126</v>
      </c>
      <c r="W3269" t="s">
        <v>35020</v>
      </c>
      <c r="X3269" t="s">
        <v>35021</v>
      </c>
      <c r="Y3269" t="s">
        <v>35022</v>
      </c>
    </row>
    <row r="3270" spans="1:25" x14ac:dyDescent="0.3">
      <c r="A3270">
        <v>163450</v>
      </c>
      <c r="B3270" t="s">
        <v>35023</v>
      </c>
      <c r="C3270">
        <f>-764.575054351101 -113.907120765616 -94.5387658820086</f>
        <v>-973.02094099872568</v>
      </c>
      <c r="D3270">
        <f>-794.706926215957 -133.41805466661 -204.664219806679</f>
        <v>-1132.7892006892459</v>
      </c>
      <c r="E3270">
        <f>-808.511374027834 -141.565607003561 -301.976646433944</f>
        <v>-1252.0536274653391</v>
      </c>
      <c r="F3270">
        <f>-816.57112681849 -145.814544468363 -390.606376096188</f>
        <v>-1352.9920473830412</v>
      </c>
      <c r="G3270">
        <f>-819.830406047818 -146.841788857292 -479.63766491752</f>
        <v>-1446.30985982263</v>
      </c>
      <c r="H3270">
        <f>-819.302467813821 -144.949990357832 -604.204651968173</f>
        <v>-1568.457110139826</v>
      </c>
      <c r="I3270">
        <f>-786.464385600867 -131.169882843765 -679.283342460462</f>
        <v>-1596.9176109050941</v>
      </c>
      <c r="J3270">
        <f>-830.750773882147 -120.447158753916 -549.051546255323</f>
        <v>-1500.2494788913859</v>
      </c>
      <c r="K3270" t="s">
        <v>35024</v>
      </c>
      <c r="L3270" t="s">
        <v>35025</v>
      </c>
      <c r="M3270" t="s">
        <v>35026</v>
      </c>
      <c r="N3270">
        <f>-808.318809846023 -171.117791180194 -549.726124823249</f>
        <v>-1529.1627258494659</v>
      </c>
      <c r="O3270">
        <f>-754.983763944791 -294.904128724147 -522.716551891257</f>
        <v>-1572.6044445601951</v>
      </c>
      <c r="P3270">
        <f>-735.140304460927 -320.67096275254 -230.255508618271</f>
        <v>-1286.0667758317381</v>
      </c>
      <c r="Q3270">
        <f>-612.047907643915 -142.560332082562 -335.970824398734</f>
        <v>-1090.5790641252111</v>
      </c>
      <c r="R3270">
        <f>-809.912404279996 -28.2903686877173 -98.3068972886535</f>
        <v>-936.50967025636692</v>
      </c>
      <c r="S3270" t="s">
        <v>35027</v>
      </c>
      <c r="T3270" t="s">
        <v>35028</v>
      </c>
      <c r="U3270" t="s">
        <v>35029</v>
      </c>
      <c r="V3270">
        <f>-719.534365878221 -199.822299778124 -92.8235872290594</f>
        <v>-1012.1802528854045</v>
      </c>
      <c r="W3270" t="s">
        <v>35030</v>
      </c>
      <c r="X3270" t="s">
        <v>35031</v>
      </c>
      <c r="Y3270" t="s">
        <v>35032</v>
      </c>
    </row>
    <row r="3271" spans="1:25" x14ac:dyDescent="0.3">
      <c r="A3271">
        <v>163500</v>
      </c>
      <c r="B3271" t="s">
        <v>35033</v>
      </c>
      <c r="C3271">
        <f>-765.163647820749 -113.930427123746 -94.5396837063441</f>
        <v>-973.63375865083913</v>
      </c>
      <c r="D3271">
        <f>-795.347438161388 -133.463996720219 -204.646948423373</f>
        <v>-1133.4583833049801</v>
      </c>
      <c r="E3271">
        <f>-809.233618163728 -141.676220464651 -301.94235569409</f>
        <v>-1252.8521943224691</v>
      </c>
      <c r="F3271">
        <f>-817.38266218035 -146.002028169876 -390.560124401219</f>
        <v>-1353.9448147514449</v>
      </c>
      <c r="G3271">
        <f>-820.746489251943 -147.124654449171 -479.586286847377</f>
        <v>-1447.4574305484909</v>
      </c>
      <c r="H3271">
        <f>-820.380386829618 -145.385567214941 -604.156231231531</f>
        <v>-1569.9221852760902</v>
      </c>
      <c r="I3271">
        <f>-787.528026324076 -131.739976088459 -679.253151960196</f>
        <v>-1598.521154372731</v>
      </c>
      <c r="J3271">
        <f>-831.740096330791 -120.807582195626 -549.018319180499</f>
        <v>-1501.5659977069158</v>
      </c>
      <c r="K3271" t="s">
        <v>35034</v>
      </c>
      <c r="L3271" t="s">
        <v>35035</v>
      </c>
      <c r="M3271" t="s">
        <v>35036</v>
      </c>
      <c r="N3271">
        <f>-809.342858995091 -171.494085521568 -549.66001849103</f>
        <v>-1530.4969630076889</v>
      </c>
      <c r="O3271">
        <f>-755.972114436931 -295.25546519184 -522.592922192156</f>
        <v>-1573.8205018209269</v>
      </c>
      <c r="P3271">
        <f>-736.241089993939 -321.022452020289 -230.124158813952</f>
        <v>-1287.38770082818</v>
      </c>
      <c r="Q3271">
        <f>-613.662091042658 -142.694915881615 -336.070215209883</f>
        <v>-1092.427222134156</v>
      </c>
      <c r="R3271">
        <f>-810.404609153219 -28.3417703781179 -98.2972406447234</f>
        <v>-937.04362017606024</v>
      </c>
      <c r="S3271" t="s">
        <v>35037</v>
      </c>
      <c r="T3271" t="s">
        <v>35038</v>
      </c>
      <c r="U3271" t="s">
        <v>35039</v>
      </c>
      <c r="V3271">
        <f>-720.225495634447 -199.799691059904 -92.810863493617</f>
        <v>-1012.8360501879681</v>
      </c>
      <c r="W3271" t="s">
        <v>35040</v>
      </c>
      <c r="X3271" t="s">
        <v>35041</v>
      </c>
      <c r="Y3271" t="s">
        <v>35042</v>
      </c>
    </row>
    <row r="3272" spans="1:25" x14ac:dyDescent="0.3">
      <c r="A3272">
        <v>163550</v>
      </c>
      <c r="B3272" t="s">
        <v>35043</v>
      </c>
      <c r="C3272">
        <f>-765.5350188085 -113.871961935248 -94.5298448837524</f>
        <v>-973.93682562750041</v>
      </c>
      <c r="D3272">
        <f>-795.733507650557 -133.409897823708 -204.632213067311</f>
        <v>-1133.775618541576</v>
      </c>
      <c r="E3272">
        <f>-809.654796796523 -141.646448411639 -301.920545875722</f>
        <v>-1253.221791083884</v>
      </c>
      <c r="F3272">
        <f>-817.844928517694 -146.002319036845 -390.533090445379</f>
        <v>-1354.3803379999181</v>
      </c>
      <c r="G3272">
        <f>-821.259385108511 -147.163085479476 -479.556919228513</f>
        <v>-1447.9793898164999</v>
      </c>
      <c r="H3272">
        <f>-820.97404839859 -145.485476736394 -604.127916603759</f>
        <v>-1570.5874417387431</v>
      </c>
      <c r="I3272">
        <f>-788.103602337178 -131.91676450893 -679.230801191364</f>
        <v>-1599.2511680374719</v>
      </c>
      <c r="J3272">
        <f>-832.286622657256 -120.875328358763 -548.994636014394</f>
        <v>-1502.156587030413</v>
      </c>
      <c r="K3272" t="s">
        <v>35044</v>
      </c>
      <c r="L3272" t="s">
        <v>35045</v>
      </c>
      <c r="M3272" t="s">
        <v>35046</v>
      </c>
      <c r="N3272">
        <f>-809.912506618003 -171.572136057703 -549.626112270091</f>
        <v>-1531.110754945797</v>
      </c>
      <c r="O3272">
        <f>-756.55460845021 -295.340890684454 -522.560708489541</f>
        <v>-1574.456207624205</v>
      </c>
      <c r="P3272">
        <f>-736.806093126586 -320.964110086968 -230.08054895906</f>
        <v>-1287.850752172614</v>
      </c>
      <c r="Q3272">
        <f>-614.318966178418 -142.662743720764 -336.176704517777</f>
        <v>-1093.1584144169592</v>
      </c>
      <c r="R3272">
        <f>-810.743910761577 -28.2938344765373 -98.2938246053614</f>
        <v>-937.33156984347568</v>
      </c>
      <c r="S3272" t="s">
        <v>35047</v>
      </c>
      <c r="T3272" t="s">
        <v>35048</v>
      </c>
      <c r="U3272" t="s">
        <v>35049</v>
      </c>
      <c r="V3272">
        <f>-720.63302693074 -199.718796955347 -92.7906563679742</f>
        <v>-1013.1424802540612</v>
      </c>
      <c r="W3272" t="s">
        <v>35050</v>
      </c>
      <c r="X3272" t="s">
        <v>35051</v>
      </c>
      <c r="Y3272" t="s">
        <v>35052</v>
      </c>
    </row>
    <row r="3273" spans="1:25" x14ac:dyDescent="0.3">
      <c r="A3273">
        <v>163600</v>
      </c>
      <c r="B3273" t="s">
        <v>35053</v>
      </c>
      <c r="C3273">
        <f>-766.343520644942 -113.754679302908 -94.4865574130745</f>
        <v>-974.58475736092453</v>
      </c>
      <c r="D3273">
        <f>-796.598595134631 -133.31124183032 -204.570182451717</f>
        <v>-1134.480019416668</v>
      </c>
      <c r="E3273">
        <f>-810.603362754436 -141.600962692846 -301.841960014466</f>
        <v>-1254.0462854617481</v>
      </c>
      <c r="F3273">
        <f>-818.883804253184 -146.019165243086 -390.443107312973</f>
        <v>-1355.3460768092432</v>
      </c>
      <c r="G3273">
        <f>-822.403236425181 -147.256618547902 -479.461762436937</f>
        <v>-1449.12161741002</v>
      </c>
      <c r="H3273">
        <f>-822.280013442364 -145.701152887361 -604.034498772893</f>
        <v>-1572.015665102618</v>
      </c>
      <c r="I3273">
        <f>-789.352938095945 -132.272368049306 -679.137778909103</f>
        <v>-1600.763085054354</v>
      </c>
      <c r="J3273">
        <f>-833.497895703586 -121.026750104165 -548.910616251437</f>
        <v>-1503.4352620591881</v>
      </c>
      <c r="K3273" t="s">
        <v>35054</v>
      </c>
      <c r="L3273" t="s">
        <v>35055</v>
      </c>
      <c r="M3273" t="s">
        <v>35056</v>
      </c>
      <c r="N3273">
        <f>-811.170648615758 -171.74458764383 -549.521858593412</f>
        <v>-1532.437094853</v>
      </c>
      <c r="O3273">
        <f>-757.847267126066 -295.525065236956 -522.43578008911</f>
        <v>-1575.808112452132</v>
      </c>
      <c r="P3273">
        <f>-737.858717162239 -321.021113718562 -229.960881247858</f>
        <v>-1288.8407121286589</v>
      </c>
      <c r="Q3273">
        <f>-615.306281507579 -142.983964992422 -336.424665985639</f>
        <v>-1094.7149124856401</v>
      </c>
      <c r="R3273">
        <f>-811.398964008074 -28.2726283009415 -98.2614953458575</f>
        <v>-937.93308765487302</v>
      </c>
      <c r="S3273" t="s">
        <v>35057</v>
      </c>
      <c r="T3273" t="s">
        <v>35058</v>
      </c>
      <c r="U3273" t="s">
        <v>35059</v>
      </c>
      <c r="V3273">
        <f>-721.59860760988 -199.513283075051 -92.7256458281385</f>
        <v>-1013.8375365130695</v>
      </c>
      <c r="W3273" t="s">
        <v>35060</v>
      </c>
      <c r="X3273" t="s">
        <v>35061</v>
      </c>
      <c r="Y3273" t="s">
        <v>35062</v>
      </c>
    </row>
    <row r="3274" spans="1:25" x14ac:dyDescent="0.3">
      <c r="A3274">
        <v>163650</v>
      </c>
      <c r="B3274" t="s">
        <v>35063</v>
      </c>
      <c r="C3274">
        <f>-766.910031753567 -113.55076075807 -94.4539017628439</f>
        <v>-974.91469427448089</v>
      </c>
      <c r="D3274">
        <f>-797.119634883096 -133.068839652568 -204.556793972746</f>
        <v>-1134.7452685084099</v>
      </c>
      <c r="E3274">
        <f>-811.134753768703 -141.36344817039 -301.826624344241</f>
        <v>-1254.324826283334</v>
      </c>
      <c r="F3274">
        <f>-819.4452648316 -145.801636347815 -390.42403378349</f>
        <v>-1355.670934962905</v>
      </c>
      <c r="G3274">
        <f>-823.015336902516 -147.074965471842 -479.440165797059</f>
        <v>-1449.5304681714169</v>
      </c>
      <c r="H3274">
        <f>-822.984647917246 -145.586494496399 -604.013775792053</f>
        <v>-1572.5849182056982</v>
      </c>
      <c r="I3274">
        <f>-790.007917773234 -132.220474083282 -679.106506829882</f>
        <v>-1601.334898686398</v>
      </c>
      <c r="J3274">
        <f>-834.139377015667 -120.872719143672 -548.894649525076</f>
        <v>-1503.906745684415</v>
      </c>
      <c r="K3274" t="s">
        <v>35064</v>
      </c>
      <c r="L3274" t="s">
        <v>35065</v>
      </c>
      <c r="M3274" t="s">
        <v>35066</v>
      </c>
      <c r="N3274">
        <f>-811.856931725453 -171.61028496877 -549.495536451362</f>
        <v>-1532.9627531455849</v>
      </c>
      <c r="O3274">
        <f>-758.60661661994 -295.420326381647 -522.398363514171</f>
        <v>-1576.4253065157579</v>
      </c>
      <c r="P3274">
        <f>-738.523842431017 -320.883412001565 -229.926950891378</f>
        <v>-1289.3342053239601</v>
      </c>
      <c r="Q3274">
        <f>-615.704840063122 -143.208023965021 -336.687508064633</f>
        <v>-1095.6003720927761</v>
      </c>
      <c r="R3274">
        <f>-811.826684748769 -28.1183445721611 -98.2128676037868</f>
        <v>-938.15789692471685</v>
      </c>
      <c r="S3274" t="s">
        <v>35067</v>
      </c>
      <c r="T3274" t="s">
        <v>35068</v>
      </c>
      <c r="U3274" t="s">
        <v>35069</v>
      </c>
      <c r="V3274">
        <f>-722.278979560223 -199.251139751883 -92.6692956526347</f>
        <v>-1014.1994149647406</v>
      </c>
      <c r="W3274" t="s">
        <v>35070</v>
      </c>
      <c r="X3274" t="s">
        <v>35071</v>
      </c>
      <c r="Y3274" t="s">
        <v>35072</v>
      </c>
    </row>
    <row r="3275" spans="1:25" x14ac:dyDescent="0.3">
      <c r="A3275">
        <v>163700</v>
      </c>
      <c r="B3275" t="s">
        <v>35073</v>
      </c>
      <c r="C3275">
        <f>-768.157761056305 -113.365002428645 -94.3442170682659</f>
        <v>-975.86698055321597</v>
      </c>
      <c r="D3275">
        <f>-798.185816989923 -132.595988626737 -204.547332357693</f>
        <v>-1135.329137974353</v>
      </c>
      <c r="E3275">
        <f>-812.165702368227 -140.836357148528 -301.826926681685</f>
        <v>-1254.8289861984399</v>
      </c>
      <c r="F3275">
        <f>-820.499650882449 -145.298990233478 -390.420598962109</f>
        <v>-1356.2192400780359</v>
      </c>
      <c r="G3275">
        <f>-824.150814280254 -146.670102548895 -479.431999064774</f>
        <v>-1450.252915893923</v>
      </c>
      <c r="H3275">
        <f>-824.295304200079 -145.393068850823 -604.008010513682</f>
        <v>-1573.6963835645843</v>
      </c>
      <c r="I3275">
        <f>-791.225790425106 -132.206185764059 -679.091546547632</f>
        <v>-1602.5235227367971</v>
      </c>
      <c r="J3275">
        <f>-835.282503730412 -120.546410454628 -548.91508747582</f>
        <v>-1504.74400166086</v>
      </c>
      <c r="K3275" t="s">
        <v>35074</v>
      </c>
      <c r="L3275" t="s">
        <v>35075</v>
      </c>
      <c r="M3275" t="s">
        <v>35076</v>
      </c>
      <c r="N3275">
        <f>-813.181031059682 -171.363690098406 -549.46152030174</f>
        <v>-1534.0062414598281</v>
      </c>
      <c r="O3275">
        <f>-760.340036989054 -295.32046380529 -522.268999758785</f>
        <v>-1577.9295005531289</v>
      </c>
      <c r="P3275">
        <f>-740.206272796362 -320.616048781335 -229.786474732461</f>
        <v>-1290.6087963101581</v>
      </c>
      <c r="Q3275">
        <f>-616.879586911649 -143.594302444491 -337.046580831584</f>
        <v>-1097.520470187724</v>
      </c>
      <c r="R3275">
        <f>-812.487228725871 -27.9200340417892 -98.0962719242272</f>
        <v>-938.50353469188735</v>
      </c>
      <c r="S3275" t="s">
        <v>35077</v>
      </c>
      <c r="T3275" t="s">
        <v>35078</v>
      </c>
      <c r="U3275" t="s">
        <v>35079</v>
      </c>
      <c r="V3275">
        <f>-724.142739798705 -199.258128184469 -92.4950761425521</f>
        <v>-1015.895944125726</v>
      </c>
      <c r="W3275" t="s">
        <v>35080</v>
      </c>
      <c r="X3275" t="s">
        <v>35081</v>
      </c>
      <c r="Y3275" t="s">
        <v>35082</v>
      </c>
    </row>
    <row r="3276" spans="1:25" x14ac:dyDescent="0.3">
      <c r="A3276">
        <v>163750</v>
      </c>
      <c r="B3276" t="s">
        <v>35083</v>
      </c>
      <c r="C3276">
        <f>-768.91737427038 -112.91757922069 -94.2514394852768</f>
        <v>-976.08639297634681</v>
      </c>
      <c r="D3276">
        <f>-798.899719393837 -132.007205742506 -204.491431117342</f>
        <v>-1135.3983562536851</v>
      </c>
      <c r="E3276">
        <f>-812.8621409438 -140.228035445678 -301.775167185457</f>
        <v>-1254.865343574935</v>
      </c>
      <c r="F3276">
        <f>-821.191911517113 -144.712228686172 -390.368336941355</f>
        <v>-1356.2724771446401</v>
      </c>
      <c r="G3276">
        <f>-824.851018023865 -146.145022292891 -479.378564621437</f>
        <v>-1450.374604938193</v>
      </c>
      <c r="H3276">
        <f>-825.019904718281 -144.995796065026 -603.95561295164</f>
        <v>-1573.971313734947</v>
      </c>
      <c r="I3276">
        <f>-791.911319246349 -131.957393297282 -679.047885819568</f>
        <v>-1602.916598363199</v>
      </c>
      <c r="J3276">
        <f>-835.914480720772 -120.05715871476 -548.885765905657</f>
        <v>-1504.857405341189</v>
      </c>
      <c r="K3276" t="s">
        <v>35084</v>
      </c>
      <c r="L3276" t="s">
        <v>35085</v>
      </c>
      <c r="M3276" t="s">
        <v>35086</v>
      </c>
      <c r="N3276">
        <f>-813.9767180766 -170.945860113255 -549.384903676857</f>
        <v>-1534.3074818667119</v>
      </c>
      <c r="O3276">
        <f>-761.526352007749 -295.047612095603 -522.083802876407</f>
        <v>-1578.6577669797589</v>
      </c>
      <c r="P3276">
        <f>-741.567049801664 -320.122694866478 -229.570385914935</f>
        <v>-1291.2601305830769</v>
      </c>
      <c r="Q3276">
        <f>-617.530857555799 -143.826203586988 -337.206077224236</f>
        <v>-1098.5631383670229</v>
      </c>
      <c r="R3276">
        <f>-812.917276189388 -27.3719761864074 -98.0970068340271</f>
        <v>-938.38625920982247</v>
      </c>
      <c r="S3276" t="s">
        <v>35087</v>
      </c>
      <c r="T3276" t="s">
        <v>35088</v>
      </c>
      <c r="U3276" t="s">
        <v>35089</v>
      </c>
      <c r="V3276">
        <f>-725.305710150024 -198.719894510026 -92.4243264166064</f>
        <v>-1016.4499310766564</v>
      </c>
      <c r="W3276" t="s">
        <v>35090</v>
      </c>
      <c r="X3276" t="s">
        <v>35091</v>
      </c>
      <c r="Y3276" t="s">
        <v>35092</v>
      </c>
    </row>
    <row r="3277" spans="1:25" x14ac:dyDescent="0.3">
      <c r="A3277">
        <v>163800</v>
      </c>
      <c r="B3277" t="s">
        <v>35093</v>
      </c>
      <c r="C3277">
        <f>-770.647313495626 -111.134201789261 -94.1091083389501</f>
        <v>-975.8906236238372</v>
      </c>
      <c r="D3277">
        <f>-800.688827514579 -129.93917091303 -204.382022154425</f>
        <v>-1135.010020582034</v>
      </c>
      <c r="E3277">
        <f>-814.634797250152 -138.091385236573 -301.673872838212</f>
        <v>-1254.4000553249371</v>
      </c>
      <c r="F3277">
        <f>-822.925068599443 -142.583660294457 -390.270180398476</f>
        <v>-1355.7789092923758</v>
      </c>
      <c r="G3277">
        <f>-826.518885522634 -144.099223911151 -479.281646309139</f>
        <v>-1449.8997557429241</v>
      </c>
      <c r="H3277">
        <f>-826.569858561861 -143.145819715297 -603.860600191156</f>
        <v>-1573.5762784683138</v>
      </c>
      <c r="I3277">
        <f>-793.307578130733 -130.463673214313 -678.945881105513</f>
        <v>-1602.7171324505589</v>
      </c>
      <c r="J3277">
        <f>-837.301391078535 -118.029110987922 -548.83977319386</f>
        <v>-1504.1702752603169</v>
      </c>
      <c r="K3277" t="s">
        <v>35094</v>
      </c>
      <c r="L3277" t="s">
        <v>35095</v>
      </c>
      <c r="M3277" t="s">
        <v>35096</v>
      </c>
      <c r="N3277">
        <f>-815.79344250125 -169.101673618744 -549.239375078278</f>
        <v>-1534.1344911982719</v>
      </c>
      <c r="O3277">
        <f>-764.354523570767 -293.579586939246 -521.701557915488</f>
        <v>-1579.6356684255011</v>
      </c>
      <c r="P3277">
        <f>-744.823130977391 -318.528576236907 -229.148531828068</f>
        <v>-1292.5002390423658</v>
      </c>
      <c r="Q3277">
        <f>-619.380234208622 -143.515013932783 -337.246552809679</f>
        <v>-1100.141800951084</v>
      </c>
      <c r="R3277">
        <f>-814.061686797836 -25.4259873210565 -98.0577287891348</f>
        <v>-937.54540290802731</v>
      </c>
      <c r="S3277" t="s">
        <v>35097</v>
      </c>
      <c r="T3277" t="s">
        <v>35098</v>
      </c>
      <c r="U3277" t="s">
        <v>35099</v>
      </c>
      <c r="V3277">
        <f>-727.585688277476 -196.903274737098 -92.3199125804447</f>
        <v>-1016.8088755950187</v>
      </c>
      <c r="W3277" t="s">
        <v>35100</v>
      </c>
      <c r="X3277" t="s">
        <v>35101</v>
      </c>
      <c r="Y3277" t="s">
        <v>35102</v>
      </c>
    </row>
    <row r="3278" spans="1:25" x14ac:dyDescent="0.3">
      <c r="A3278">
        <v>163850</v>
      </c>
      <c r="B3278" t="s">
        <v>35103</v>
      </c>
      <c r="C3278">
        <f>-771.675649737357 -109.782848670468 -94.0925420339061</f>
        <v>-975.55104044173106</v>
      </c>
      <c r="D3278">
        <f>-801.75466501313 -128.430046474893 -204.381986751303</f>
        <v>-1134.5666982393259</v>
      </c>
      <c r="E3278">
        <f>-815.697428767747 -136.520664417515 -301.679485141864</f>
        <v>-1253.8975783271262</v>
      </c>
      <c r="F3278">
        <f>-823.971350716664 -140.986937354491 -390.2787092961</f>
        <v>-1355.2369973672551</v>
      </c>
      <c r="G3278">
        <f>-827.534607582955 -142.508900891306 -479.291331177066</f>
        <v>-1449.334839651327</v>
      </c>
      <c r="H3278">
        <f>-827.527929918783 -141.59956642881 -603.870490591191</f>
        <v>-1572.9979869387839</v>
      </c>
      <c r="I3278">
        <f>-794.152279883256 -129.096973250235 -678.935678461142</f>
        <v>-1602.1849315946329</v>
      </c>
      <c r="J3278">
        <f>-838.168007054007 -116.414372278368 -548.863206014296</f>
        <v>-1503.4455853466711</v>
      </c>
      <c r="K3278" t="s">
        <v>35104</v>
      </c>
      <c r="L3278" t="s">
        <v>35105</v>
      </c>
      <c r="M3278" t="s">
        <v>35106</v>
      </c>
      <c r="N3278">
        <f>-816.89381851719 -167.585030936392 -549.235506184001</f>
        <v>-1533.7143556375829</v>
      </c>
      <c r="O3278">
        <f>-766.026327735481 -292.287253616024 -521.636202576456</f>
        <v>-1579.9497839279611</v>
      </c>
      <c r="P3278">
        <f>-746.799536768962 -317.250115677485 -229.06413033168</f>
        <v>-1293.113782778127</v>
      </c>
      <c r="Q3278">
        <f>-620.451425296405 -142.937106919678 -337.239847360404</f>
        <v>-1100.6283795764869</v>
      </c>
      <c r="R3278">
        <f>-814.926803288569 -23.923189574635 -98.0487301671103</f>
        <v>-936.89872303031427</v>
      </c>
      <c r="S3278" t="s">
        <v>35107</v>
      </c>
      <c r="T3278" t="s">
        <v>35108</v>
      </c>
      <c r="U3278" t="s">
        <v>35109</v>
      </c>
      <c r="V3278">
        <f>-728.774131156856 -195.714109684998 -92.2933036592012</f>
        <v>-1016.7815445010552</v>
      </c>
      <c r="W3278" t="s">
        <v>35110</v>
      </c>
      <c r="X3278" t="s">
        <v>35111</v>
      </c>
      <c r="Y3278" t="s">
        <v>35112</v>
      </c>
    </row>
    <row r="3279" spans="1:25" x14ac:dyDescent="0.3">
      <c r="A3279">
        <v>163900</v>
      </c>
      <c r="B3279" t="s">
        <v>35113</v>
      </c>
      <c r="C3279">
        <f>-773.644685385672 -107.353202067653 -94.034729433863</f>
        <v>-975.03261688718806</v>
      </c>
      <c r="D3279">
        <f>-803.881502295649 -125.696844884258 -204.331874223172</f>
        <v>-1133.910221403079</v>
      </c>
      <c r="E3279">
        <f>-817.896102126765 -133.636629339211 -301.631522110713</f>
        <v>-1253.1642535766889</v>
      </c>
      <c r="F3279">
        <f>-826.21181968964 -138.008226479563 -390.231597067719</f>
        <v>-1354.4516432369219</v>
      </c>
      <c r="G3279">
        <f>-829.792557803955 -139.48070647437 -479.244205207214</f>
        <v>-1448.5174694855391</v>
      </c>
      <c r="H3279">
        <f>-829.78535212142 -138.55049863584 -603.823403912153</f>
        <v>-1572.159254669413</v>
      </c>
      <c r="I3279">
        <f>-796.177414178693 -126.350528324629 -678.834583646215</f>
        <v>-1601.362526149537</v>
      </c>
      <c r="J3279">
        <f>-840.21699704312 -113.288764379252 -548.811097972077</f>
        <v>-1502.3168593944492</v>
      </c>
      <c r="K3279" t="s">
        <v>35114</v>
      </c>
      <c r="L3279" t="s">
        <v>35115</v>
      </c>
      <c r="M3279" t="s">
        <v>35116</v>
      </c>
      <c r="N3279">
        <f>-819.360089068609 -164.630873616719 -549.193344409616</f>
        <v>-1533.184307094944</v>
      </c>
      <c r="O3279">
        <f>-769.581837880323 -289.771435671329 -521.615533404773</f>
        <v>-1580.9688069564249</v>
      </c>
      <c r="P3279">
        <f>-750.945239602778 -315.184713356654 -229.043976369418</f>
        <v>-1295.1739293288501</v>
      </c>
      <c r="Q3279">
        <f>-622.925041055009 -141.917767610242 -336.934179459337</f>
        <v>-1101.7769881245881</v>
      </c>
      <c r="R3279">
        <f>-816.501841787718 -21.1566939894317 -97.9384386150858</f>
        <v>-935.59697439223555</v>
      </c>
      <c r="S3279" t="s">
        <v>35117</v>
      </c>
      <c r="T3279" t="s">
        <v>35118</v>
      </c>
      <c r="U3279" t="s">
        <v>35119</v>
      </c>
      <c r="V3279">
        <f>-731.109147332528 -193.879763265343 -92.2486121643734</f>
        <v>-1017.2375227622443</v>
      </c>
      <c r="W3279" t="s">
        <v>35120</v>
      </c>
      <c r="X3279" t="s">
        <v>35121</v>
      </c>
      <c r="Y3279" t="s">
        <v>35122</v>
      </c>
    </row>
    <row r="3280" spans="1:25" x14ac:dyDescent="0.3">
      <c r="A3280">
        <v>163950</v>
      </c>
      <c r="B3280" t="s">
        <v>35123</v>
      </c>
      <c r="C3280">
        <f>-774.435026801669 -106.307114273721 -93.9849385144561</f>
        <v>-974.72707958984608</v>
      </c>
      <c r="D3280">
        <f>-804.782959672757 -124.528252976958 -204.271844373701</f>
        <v>-1133.5830570234159</v>
      </c>
      <c r="E3280">
        <f>-818.854912401844 -132.397047919036 -301.569021958611</f>
        <v>-1252.8209822794911</v>
      </c>
      <c r="F3280">
        <f>-827.208118905409 -136.716381941686 -390.168085367858</f>
        <v>-1354.0925862149529</v>
      </c>
      <c r="G3280">
        <f>-830.812153262806 -138.149767819131 -479.18046730907</f>
        <v>-1448.142388391007</v>
      </c>
      <c r="H3280">
        <f>-830.821976206807 -137.178748125573 -603.759334212079</f>
        <v>-1571.7600585444591</v>
      </c>
      <c r="I3280">
        <f>-797.101552186893 -125.076059685437 -678.735781819193</f>
        <v>-1600.913393691523</v>
      </c>
      <c r="J3280">
        <f>-841.15524318221 -111.898326078387 -548.737115580622</f>
        <v>-1501.790684841219</v>
      </c>
      <c r="K3280" t="s">
        <v>35124</v>
      </c>
      <c r="L3280" t="s">
        <v>35125</v>
      </c>
      <c r="M3280" t="s">
        <v>35126</v>
      </c>
      <c r="N3280">
        <f>-820.480101775743 -163.313697701046 -549.139445994792</f>
        <v>-1532.9332454715809</v>
      </c>
      <c r="O3280">
        <f>-771.203824226334 -288.660335876822 -521.607852005935</f>
        <v>-1581.4720121090909</v>
      </c>
      <c r="P3280">
        <f>-752.759843805696 -314.323686563521 -229.046063105587</f>
        <v>-1296.1295934748041</v>
      </c>
      <c r="Q3280">
        <f>-624.024939139274 -141.466282511396 -336.74243438208</f>
        <v>-1102.2336560327499</v>
      </c>
      <c r="R3280">
        <f>-817.029602917435 -19.9160751459601 -97.8574258959675</f>
        <v>-934.8031039593626</v>
      </c>
      <c r="S3280" t="s">
        <v>35127</v>
      </c>
      <c r="T3280" t="s">
        <v>35128</v>
      </c>
      <c r="U3280" t="s">
        <v>35129</v>
      </c>
      <c r="V3280">
        <f>-732.132052877489 -193.090971549752 -92.2292541978603</f>
        <v>-1017.4522786251013</v>
      </c>
      <c r="W3280" t="s">
        <v>35130</v>
      </c>
      <c r="X3280" t="s">
        <v>35131</v>
      </c>
      <c r="Y3280" t="s">
        <v>35132</v>
      </c>
    </row>
    <row r="3281" spans="1:25" x14ac:dyDescent="0.3">
      <c r="A3281">
        <v>164000</v>
      </c>
      <c r="B3281" t="s">
        <v>35133</v>
      </c>
      <c r="C3281">
        <f>-775.650560257289 -104.072567153506 -93.8562012030006</f>
        <v>-973.57932861379572</v>
      </c>
      <c r="D3281">
        <f>-806.172092489323 -122.139440728374 -204.120586040597</f>
        <v>-1132.4321192582938</v>
      </c>
      <c r="E3281">
        <f>-820.340615639614 -129.891149648425 -301.41309338436</f>
        <v>-1251.6448586723991</v>
      </c>
      <c r="F3281">
        <f>-828.761101250837 -134.107706585613 -390.010848736357</f>
        <v>-1352.8796565728069</v>
      </c>
      <c r="G3281">
        <f>-832.411166386751 -135.443496171638 -479.022782977323</f>
        <v>-1446.877445535712</v>
      </c>
      <c r="H3281">
        <f>-832.463417710873 -134.341891692528 -603.600422842542</f>
        <v>-1570.405732245943</v>
      </c>
      <c r="I3281">
        <f>-798.588468160468 -122.323059704552 -678.520964971665</f>
        <v>-1599.432492836685</v>
      </c>
      <c r="J3281">
        <f>-842.625155401527 -109.058289361643 -548.547865521969</f>
        <v>-1500.231310285139</v>
      </c>
      <c r="K3281" t="s">
        <v>35134</v>
      </c>
      <c r="L3281" t="s">
        <v>35135</v>
      </c>
      <c r="M3281" t="s">
        <v>35136</v>
      </c>
      <c r="N3281">
        <f>-822.25571364322 -160.595000311907 -549.012059827905</f>
        <v>-1531.862773783032</v>
      </c>
      <c r="O3281">
        <f>-773.750901379417 -286.26500050782 -521.594798143642</f>
        <v>-1581.6107000308789</v>
      </c>
      <c r="P3281">
        <f>-755.475742988764 -312.398809351393 -229.064131181138</f>
        <v>-1296.9386835212949</v>
      </c>
      <c r="Q3281">
        <f>-625.935588268069 -139.987607613111 -336.509926007409</f>
        <v>-1102.4331218885889</v>
      </c>
      <c r="R3281">
        <f>-817.74240992073 -17.6165202527454 -97.6871180404578</f>
        <v>-933.0460482139332</v>
      </c>
      <c r="S3281" t="s">
        <v>35137</v>
      </c>
      <c r="T3281" t="s">
        <v>35138</v>
      </c>
      <c r="U3281" t="s">
        <v>35139</v>
      </c>
      <c r="V3281">
        <f>-733.823581040011 -190.797571358439 -92.1189210032126</f>
        <v>-1016.7400734016626</v>
      </c>
      <c r="W3281" t="s">
        <v>35140</v>
      </c>
      <c r="X3281" t="s">
        <v>35141</v>
      </c>
      <c r="Y3281" t="s">
        <v>35142</v>
      </c>
    </row>
    <row r="3282" spans="1:25" x14ac:dyDescent="0.3">
      <c r="A3282">
        <v>164050</v>
      </c>
      <c r="B3282" t="s">
        <v>35143</v>
      </c>
      <c r="C3282">
        <f>-776.213593493797 -102.82983615579 -93.8073019171752</f>
        <v>-972.85073156676219</v>
      </c>
      <c r="D3282">
        <f>-806.831883500295 -120.836040773618 -204.054697488239</f>
        <v>-1131.7226217621521</v>
      </c>
      <c r="E3282">
        <f>-821.065463818136 -128.53809753333 -301.34174517036</f>
        <v>-1250.9453065218258</v>
      </c>
      <c r="F3282">
        <f>-829.538340795471 -132.708783060348 -389.936590399626</f>
        <v>-1352.183714255445</v>
      </c>
      <c r="G3282">
        <f>-833.234184891784 -133.998012572816 -478.947328557413</f>
        <v>-1446.1795260220131</v>
      </c>
      <c r="H3282">
        <f>-833.343702068313 -132.830229397833 -603.524338617471</f>
        <v>-1569.698270083617</v>
      </c>
      <c r="I3282">
        <f>-799.437778781477 -120.798870277451 -678.428796954964</f>
        <v>-1598.6654460138921</v>
      </c>
      <c r="J3282">
        <f>-843.430481904505 -107.556302167543 -548.453637884925</f>
        <v>-1499.4404219569728</v>
      </c>
      <c r="K3282" t="s">
        <v>35144</v>
      </c>
      <c r="L3282" t="s">
        <v>35145</v>
      </c>
      <c r="M3282" t="s">
        <v>35146</v>
      </c>
      <c r="N3282">
        <f>-823.160624344133 -159.131958891221 -548.954821132669</f>
        <v>-1531.2474043680231</v>
      </c>
      <c r="O3282">
        <f>-774.900402313147 -284.913094249607 -521.609749536184</f>
        <v>-1581.4232460989379</v>
      </c>
      <c r="P3282">
        <f>-756.629677777626 -311.222214393399 -229.094319074615</f>
        <v>-1296.9462112456399</v>
      </c>
      <c r="Q3282">
        <f>-626.871450686729 -138.946884483565 -336.494933589615</f>
        <v>-1102.3132687599091</v>
      </c>
      <c r="R3282">
        <f>-818.185138449489 -16.3146337101366 -97.6175976676479</f>
        <v>-932.11736982727359</v>
      </c>
      <c r="S3282" t="s">
        <v>35147</v>
      </c>
      <c r="T3282" t="s">
        <v>35148</v>
      </c>
      <c r="U3282" t="s">
        <v>35149</v>
      </c>
      <c r="V3282">
        <f>-734.538708157026 -189.546907967621 -92.0762025845197</f>
        <v>-1016.1618187091667</v>
      </c>
      <c r="W3282" t="s">
        <v>35150</v>
      </c>
      <c r="X3282" t="s">
        <v>35151</v>
      </c>
      <c r="Y3282" t="s">
        <v>35152</v>
      </c>
    </row>
    <row r="3283" spans="1:25" x14ac:dyDescent="0.3">
      <c r="A3283">
        <v>164100</v>
      </c>
      <c r="B3283" t="s">
        <v>35153</v>
      </c>
      <c r="C3283">
        <f>-777.542450141975 -100.515598732457 -93.7116773117717</f>
        <v>-971.76972618620368</v>
      </c>
      <c r="D3283">
        <f>-808.318890682607 -118.411161359268 -203.933277668362</f>
        <v>-1130.6633297102371</v>
      </c>
      <c r="E3283">
        <f>-822.671521316917 -126.018413812724 -301.210171500795</f>
        <v>-1249.9001066304361</v>
      </c>
      <c r="F3283">
        <f>-831.246738265578 -130.100275530878 -389.799332762368</f>
        <v>-1351.146346558824</v>
      </c>
      <c r="G3283">
        <f>-835.03958351912 -131.297554165765 -478.807215646851</f>
        <v>-1445.1443533317361</v>
      </c>
      <c r="H3283">
        <f>-835.27949620795 -129.996808164611 -603.382793099288</f>
        <v>-1568.6590974718492</v>
      </c>
      <c r="I3283">
        <f>-801.357037932217 -117.854775561182 -678.261818421924</f>
        <v>-1597.473631915323</v>
      </c>
      <c r="J3283">
        <f>-845.262910908258 -104.763799522441 -548.27438550538</f>
        <v>-1498.301095936079</v>
      </c>
      <c r="K3283" t="s">
        <v>35154</v>
      </c>
      <c r="L3283" t="s">
        <v>35155</v>
      </c>
      <c r="M3283" t="s">
        <v>35156</v>
      </c>
      <c r="N3283">
        <f>-825.084888388977 -156.374653387109 -548.852140134097</f>
        <v>-1530.3116819101829</v>
      </c>
      <c r="O3283">
        <f>-777.056809942439 -282.284110122003 -521.69045884337</f>
        <v>-1581.0313789078123</v>
      </c>
      <c r="P3283">
        <f>-758.386578444801 -309.147092246988 -229.250730746148</f>
        <v>-1296.784401437937</v>
      </c>
      <c r="Q3283">
        <f>-628.933372027719 -136.633353998389 -336.636610482382</f>
        <v>-1102.2033365084899</v>
      </c>
      <c r="R3283">
        <f>-819.435394697131 -13.8254053552575 -97.481401908572</f>
        <v>-930.74220196096053</v>
      </c>
      <c r="S3283" t="s">
        <v>35157</v>
      </c>
      <c r="T3283" t="s">
        <v>35158</v>
      </c>
      <c r="U3283" t="s">
        <v>35159</v>
      </c>
      <c r="V3283">
        <f>-736.006249492454 -187.409825769708 -92.015759002933</f>
        <v>-1015.4318342650949</v>
      </c>
      <c r="W3283" t="s">
        <v>35160</v>
      </c>
      <c r="X3283" t="s">
        <v>35161</v>
      </c>
      <c r="Y3283" t="s">
        <v>35162</v>
      </c>
    </row>
    <row r="3284" spans="1:25" x14ac:dyDescent="0.3">
      <c r="A3284">
        <v>164150</v>
      </c>
      <c r="B3284" t="s">
        <v>35163</v>
      </c>
      <c r="C3284">
        <f>-778.284682587021 -99.4850878949338 -93.6555508487737</f>
        <v>-971.42532133072859</v>
      </c>
      <c r="D3284">
        <f>-809.118177966879 -117.359000873364 -203.864689779211</f>
        <v>-1130.3418686194541</v>
      </c>
      <c r="E3284">
        <f>-823.518736130878 -124.925140579365 -301.137613666536</f>
        <v>-1249.5814903767791</v>
      </c>
      <c r="F3284">
        <f>-832.136650566829 -128.960358860383 -389.724833286218</f>
        <v>-1350.82184271343</v>
      </c>
      <c r="G3284">
        <f>-835.971662154673 -130.101011197857 -478.731647698058</f>
        <v>-1444.804321050588</v>
      </c>
      <c r="H3284">
        <f>-836.269532006175 -128.710797019936 -603.306162287597</f>
        <v>-1568.286491313708</v>
      </c>
      <c r="I3284">
        <f>-802.360467746176 -116.471114425881 -678.175374050648</f>
        <v>-1597.006956222705</v>
      </c>
      <c r="J3284">
        <f>-846.226790505005 -103.517156284565 -548.175104084324</f>
        <v>-1497.9190508738939</v>
      </c>
      <c r="K3284" t="s">
        <v>35164</v>
      </c>
      <c r="L3284" t="s">
        <v>35165</v>
      </c>
      <c r="M3284" t="s">
        <v>35166</v>
      </c>
      <c r="N3284">
        <f>-826.050060834497 -155.127988370325 -548.79924290977</f>
        <v>-1529.9772921145918</v>
      </c>
      <c r="O3284">
        <f>-778.032262531293 -281.060363258879 -521.738542009193</f>
        <v>-1580.8311677993649</v>
      </c>
      <c r="P3284">
        <f>-759.072620670646 -308.191126074318 -229.342220567782</f>
        <v>-1296.6059673127461</v>
      </c>
      <c r="Q3284">
        <f>-629.942251112992 -135.474988919825 -336.791648210611</f>
        <v>-1102.2088882434282</v>
      </c>
      <c r="R3284">
        <f>-820.209526994802 -12.6602779281707 -97.3991010448141</f>
        <v>-930.26890596778674</v>
      </c>
      <c r="S3284" t="s">
        <v>35167</v>
      </c>
      <c r="T3284" t="s">
        <v>35168</v>
      </c>
      <c r="U3284" t="s">
        <v>35169</v>
      </c>
      <c r="V3284">
        <f>-736.70351492956 -186.562874758281 -91.9919108719768</f>
        <v>-1015.2583005598177</v>
      </c>
      <c r="W3284" t="s">
        <v>35170</v>
      </c>
      <c r="X3284" t="s">
        <v>35171</v>
      </c>
      <c r="Y3284" t="s">
        <v>35172</v>
      </c>
    </row>
    <row r="3285" spans="1:25" x14ac:dyDescent="0.3">
      <c r="A3285">
        <v>164200</v>
      </c>
      <c r="B3285" t="s">
        <v>35173</v>
      </c>
      <c r="C3285">
        <f>-779.744451583168 -97.702686998223 -93.5534259328099</f>
        <v>-971.00056451420096</v>
      </c>
      <c r="D3285">
        <f>-810.697675763626 -115.607535527884 -203.723965127722</f>
        <v>-1130.029176419232</v>
      </c>
      <c r="E3285">
        <f>-825.181993972 -123.131033185635 -300.987794529552</f>
        <v>-1249.300821687187</v>
      </c>
      <c r="F3285">
        <f>-833.866475681209 -127.099766017966 -389.571501013541</f>
        <v>-1350.537742712716</v>
      </c>
      <c r="G3285">
        <f>-837.758059631108 -128.145844755678 -478.577181223177</f>
        <v>-1444.481085609963</v>
      </c>
      <c r="H3285">
        <f>-838.124652466706 -126.593875553832 -603.14945564247</f>
        <v>-1567.8679836630081</v>
      </c>
      <c r="I3285">
        <f>-804.2606207638 -114.108711000954 -677.998528199783</f>
        <v>-1596.367859964537</v>
      </c>
      <c r="J3285">
        <f>-848.080872908242 -101.483323140501 -547.980239719121</f>
        <v>-1497.5444357678639</v>
      </c>
      <c r="K3285" t="s">
        <v>35174</v>
      </c>
      <c r="L3285" t="s">
        <v>35175</v>
      </c>
      <c r="M3285" t="s">
        <v>35176</v>
      </c>
      <c r="N3285">
        <f>-827.845833702166 -153.070328905063 -548.682383452471</f>
        <v>-1529.5985460596999</v>
      </c>
      <c r="O3285">
        <f>-779.667493787099 -278.984642299314 -521.812226744813</f>
        <v>-1580.464362831226</v>
      </c>
      <c r="P3285">
        <f>-760.27843987405 -306.561959117591 -229.48574211994</f>
        <v>-1296.3261411115809</v>
      </c>
      <c r="Q3285">
        <f>-632.277749193723 -133.089196871571 -337.067748587028</f>
        <v>-1102.4346946523222</v>
      </c>
      <c r="R3285">
        <f>-821.864437081506 -10.6618131869959 -97.2344025217238</f>
        <v>-929.76065279022578</v>
      </c>
      <c r="S3285" t="s">
        <v>35177</v>
      </c>
      <c r="T3285" t="s">
        <v>35178</v>
      </c>
      <c r="U3285" t="s">
        <v>35179</v>
      </c>
      <c r="V3285">
        <f>-737.940602156483 -185.03306647967 -91.9177307056108</f>
        <v>-1014.8913993417638</v>
      </c>
      <c r="W3285" t="s">
        <v>35180</v>
      </c>
      <c r="X3285" t="s">
        <v>35181</v>
      </c>
      <c r="Y3285" t="s">
        <v>35182</v>
      </c>
    </row>
    <row r="3286" spans="1:25" x14ac:dyDescent="0.3">
      <c r="A3286">
        <v>164250</v>
      </c>
      <c r="B3286" t="s">
        <v>35183</v>
      </c>
      <c r="C3286">
        <f>-780.500505058044 -96.9159795365484 -93.5015556016724</f>
        <v>-970.91804019626488</v>
      </c>
      <c r="D3286">
        <f>-811.51472679672 -114.844320870517 -203.651001615035</f>
        <v>-1130.0100492822719</v>
      </c>
      <c r="E3286">
        <f>-826.032015759829 -122.355198430358 -300.910932492416</f>
        <v>-1249.2981466826031</v>
      </c>
      <c r="F3286">
        <f>-834.73778970242 -126.29932753698 -389.493640336112</f>
        <v>-1350.5307575755119</v>
      </c>
      <c r="G3286">
        <f>-838.642238223249 -127.306814679822 -478.499202225953</f>
        <v>-1444.4482551290239</v>
      </c>
      <c r="H3286">
        <f>-839.017726315073 -125.686265959181 -603.070640739491</f>
        <v>-1567.774633013745</v>
      </c>
      <c r="I3286">
        <f>-805.179657939938 -113.071703731131 -677.909746840703</f>
        <v>-1596.161108511772</v>
      </c>
      <c r="J3286">
        <f>-848.991674458781 -100.614589176911 -547.886905123469</f>
        <v>-1497.4931687591609</v>
      </c>
      <c r="K3286" t="s">
        <v>35184</v>
      </c>
      <c r="L3286" t="s">
        <v>35185</v>
      </c>
      <c r="M3286" t="s">
        <v>35186</v>
      </c>
      <c r="N3286">
        <f>-828.713342264307 -152.184157719384 -548.618844606493</f>
        <v>-1529.516344590184</v>
      </c>
      <c r="O3286">
        <f>-780.415146079463 -278.070774785967 -521.838468008031</f>
        <v>-1580.324388873461</v>
      </c>
      <c r="P3286">
        <f>-760.935206790669 -305.717148365277 -229.524469619887</f>
        <v>-1296.176824775833</v>
      </c>
      <c r="Q3286">
        <f>-633.462927836475 -131.922192699492 -337.213904523118</f>
        <v>-1102.5990250590851</v>
      </c>
      <c r="R3286">
        <f>-822.752234864358 -9.62276164478499 -97.1602025771873</f>
        <v>-929.53519908633029</v>
      </c>
      <c r="S3286" t="s">
        <v>35187</v>
      </c>
      <c r="T3286" t="s">
        <v>35188</v>
      </c>
      <c r="U3286" t="s">
        <v>35189</v>
      </c>
      <c r="V3286">
        <f>-738.615412986224 -184.430114887597 -91.8716663582869</f>
        <v>-1014.9171942321079</v>
      </c>
      <c r="W3286" t="s">
        <v>35190</v>
      </c>
      <c r="X3286" t="s">
        <v>35191</v>
      </c>
      <c r="Y3286" t="s">
        <v>35192</v>
      </c>
    </row>
    <row r="3287" spans="1:25" x14ac:dyDescent="0.3">
      <c r="A3287">
        <v>164300</v>
      </c>
      <c r="B3287" t="s">
        <v>35193</v>
      </c>
      <c r="C3287">
        <f>-782.050982888322 -95.5871714253859 -93.3500608099322</f>
        <v>-970.98821512364009</v>
      </c>
      <c r="D3287">
        <f>-813.115863547326 -113.538970976071 -203.481524819824</f>
        <v>-1130.1363593432209</v>
      </c>
      <c r="E3287">
        <f>-827.65858816341 -121.012101014376 -300.740510963464</f>
        <v>-1249.41120014125</v>
      </c>
      <c r="F3287">
        <f>-836.378803615012 -124.899198854067 -389.324350806444</f>
        <v>-1350.602353275523</v>
      </c>
      <c r="G3287">
        <f>-840.288856157751 -125.826660954276 -478.330448654187</f>
        <v>-1444.4459657662139</v>
      </c>
      <c r="H3287">
        <f>-840.662611440705 -124.070292143947 -602.900131775841</f>
        <v>-1567.6330353604931</v>
      </c>
      <c r="I3287">
        <f>-806.879785534502 -111.223017593244 -677.724539234628</f>
        <v>-1595.8273423623741</v>
      </c>
      <c r="J3287">
        <f>-850.659999008832 -99.0677216131101 -547.689209497987</f>
        <v>-1497.416930119929</v>
      </c>
      <c r="K3287" t="s">
        <v>35194</v>
      </c>
      <c r="L3287" t="s">
        <v>35195</v>
      </c>
      <c r="M3287" t="s">
        <v>35196</v>
      </c>
      <c r="N3287">
        <f>-830.336318887705 -150.618653040303 -548.477070414218</f>
        <v>-1529.4320423422259</v>
      </c>
      <c r="O3287">
        <f>-781.876677508055 -276.484426159284 -521.860824196438</f>
        <v>-1580.221927863777</v>
      </c>
      <c r="P3287">
        <f>-762.00337179241 -304.342836563562 -229.593637422449</f>
        <v>-1295.9398457784212</v>
      </c>
      <c r="Q3287">
        <f>-635.670538305271 -129.872170636707 -337.532705563771</f>
        <v>-1103.075414505749</v>
      </c>
      <c r="R3287">
        <f>-824.372878640152 -8.03490929773989 -96.9899763404608</f>
        <v>-929.39776427835261</v>
      </c>
      <c r="S3287" t="s">
        <v>35197</v>
      </c>
      <c r="T3287" t="s">
        <v>35198</v>
      </c>
      <c r="U3287" t="s">
        <v>35199</v>
      </c>
      <c r="V3287">
        <f>-740.073279698587 -183.38496508874 -91.7613844790848</f>
        <v>-1015.2196292664117</v>
      </c>
      <c r="W3287" t="s">
        <v>35200</v>
      </c>
      <c r="X3287" t="s">
        <v>35201</v>
      </c>
      <c r="Y3287" t="s">
        <v>35202</v>
      </c>
    </row>
    <row r="3288" spans="1:25" x14ac:dyDescent="0.3">
      <c r="A3288">
        <v>164350</v>
      </c>
      <c r="B3288" t="s">
        <v>35203</v>
      </c>
      <c r="C3288">
        <f>-782.869252077737 -95.0253591385782 -93.2516116207656</f>
        <v>-971.14622283708081</v>
      </c>
      <c r="D3288">
        <f>-813.949060335493 -112.993924233286 -203.376035681465</f>
        <v>-1130.319020250244</v>
      </c>
      <c r="E3288">
        <f>-828.500789576132 -120.44936368786 -300.63513904739</f>
        <v>-1249.5852923113821</v>
      </c>
      <c r="F3288">
        <f>-837.226461698892 -124.308224418913 -389.219599732053</f>
        <v>-1350.754285849858</v>
      </c>
      <c r="G3288">
        <f>-841.139106489737 -125.195650636592 -478.226095639838</f>
        <v>-1444.5608527661668</v>
      </c>
      <c r="H3288">
        <f>-841.512661967488 -123.371355716684 -602.794755983938</f>
        <v>-1567.6787736681099</v>
      </c>
      <c r="I3288">
        <f>-807.764202350188 -110.432629045902 -677.618851154725</f>
        <v>-1595.8156825508149</v>
      </c>
      <c r="J3288">
        <f>-851.510907178267 -98.3992050128658 -547.570232101117</f>
        <v>-1497.4803442922498</v>
      </c>
      <c r="K3288" t="s">
        <v>35204</v>
      </c>
      <c r="L3288" t="s">
        <v>35205</v>
      </c>
      <c r="M3288" t="s">
        <v>35206</v>
      </c>
      <c r="N3288">
        <f>-831.185668352839 -149.949036860734 -548.386153810898</f>
        <v>-1529.5208590244711</v>
      </c>
      <c r="O3288">
        <f>-782.733277970761 -275.829153162698 -521.848110924051</f>
        <v>-1580.4105420575102</v>
      </c>
      <c r="P3288">
        <f>-762.723223168812 -303.792206632763 -229.600131115102</f>
        <v>-1296.1155609166769</v>
      </c>
      <c r="Q3288">
        <f>-636.510041213584 -129.282397535108 -337.61600256553</f>
        <v>-1103.408441314222</v>
      </c>
      <c r="R3288">
        <f>-825.240909387482 -7.53813630635227 -96.8824580918617</f>
        <v>-929.66150378569603</v>
      </c>
      <c r="S3288" t="s">
        <v>35207</v>
      </c>
      <c r="T3288" t="s">
        <v>35208</v>
      </c>
      <c r="U3288" t="s">
        <v>35209</v>
      </c>
      <c r="V3288">
        <f>-740.86046255789 -182.848622421711 -91.6911959673972</f>
        <v>-1015.4002809469981</v>
      </c>
      <c r="W3288" t="s">
        <v>35210</v>
      </c>
      <c r="X3288" t="s">
        <v>35211</v>
      </c>
      <c r="Y3288" t="s">
        <v>35212</v>
      </c>
    </row>
    <row r="3289" spans="1:25" x14ac:dyDescent="0.3">
      <c r="A3289">
        <v>164400</v>
      </c>
      <c r="B3289" t="s">
        <v>35213</v>
      </c>
      <c r="C3289">
        <f>-784.491762454463 -94.1337651146164 -93.1118514288445</f>
        <v>-971.73737899792388</v>
      </c>
      <c r="D3289">
        <f>-815.589622009245 -112.112755094251 -203.22952554239</f>
        <v>-1130.9319026458861</v>
      </c>
      <c r="E3289">
        <f>-830.127759817218 -119.518945261649 -300.494338088713</f>
        <v>-1250.1410431675799</v>
      </c>
      <c r="F3289">
        <f>-838.827405906506 -123.311561961175 -389.084257698345</f>
        <v>-1351.223225566026</v>
      </c>
      <c r="G3289">
        <f>-842.699167270025 -124.112064622466 -478.093326721036</f>
        <v>-1444.9045586135269</v>
      </c>
      <c r="H3289">
        <f>-842.999515676339 -122.145825146457 -602.659946325131</f>
        <v>-1567.8052871479272</v>
      </c>
      <c r="I3289">
        <f>-809.292288650836 -109.076466627974 -677.480047224172</f>
        <v>-1595.8488025029819</v>
      </c>
      <c r="J3289">
        <f>-853.012618869035 -97.2296871175986 -547.41300943986</f>
        <v>-1497.6553154264936</v>
      </c>
      <c r="K3289" t="s">
        <v>35214</v>
      </c>
      <c r="L3289" t="s">
        <v>35215</v>
      </c>
      <c r="M3289" t="s">
        <v>35216</v>
      </c>
      <c r="N3289">
        <f>-832.722166439048 -148.792437811531 -548.275661806971</f>
        <v>-1529.7902660575501</v>
      </c>
      <c r="O3289">
        <f>-784.342813231635 -274.729526976029 -521.862577109519</f>
        <v>-1580.9349173171829</v>
      </c>
      <c r="P3289">
        <f>-764.287189442161 -303.073030980988 -229.654430427571</f>
        <v>-1297.01465085072</v>
      </c>
      <c r="Q3289">
        <f>-638.027250421037 -128.520566222492 -337.54651950513</f>
        <v>-1104.0943361486591</v>
      </c>
      <c r="R3289">
        <f>-826.901846875687 -6.45479625347662 -96.7273423878323</f>
        <v>-930.08398551699599</v>
      </c>
      <c r="S3289" t="s">
        <v>35217</v>
      </c>
      <c r="T3289" t="s">
        <v>35218</v>
      </c>
      <c r="U3289" t="s">
        <v>35219</v>
      </c>
      <c r="V3289">
        <f>-742.437460965763 -182.019714438796 -91.5530230363842</f>
        <v>-1016.0101984409431</v>
      </c>
      <c r="W3289" t="s">
        <v>35220</v>
      </c>
      <c r="X3289" t="s">
        <v>35221</v>
      </c>
      <c r="Y3289" t="s">
        <v>35222</v>
      </c>
    </row>
    <row r="3290" spans="1:25" x14ac:dyDescent="0.3">
      <c r="A3290">
        <v>164450</v>
      </c>
      <c r="B3290" t="s">
        <v>35223</v>
      </c>
      <c r="C3290">
        <f>-785.318013396083 -93.9180648914473 -93.0703463510306</f>
        <v>-972.30642463856088</v>
      </c>
      <c r="D3290">
        <f>-816.414015231555 -111.907317733297 -203.186796298926</f>
        <v>-1131.5081292637781</v>
      </c>
      <c r="E3290">
        <f>-830.937097977414 -119.285503344156 -300.455995269614</f>
        <v>-1250.678596591184</v>
      </c>
      <c r="F3290">
        <f>-839.616970241059 -123.038154503542 -389.049536371327</f>
        <v>-1351.704661115928</v>
      </c>
      <c r="G3290">
        <f>-843.462079896132 -123.784664159281 -478.06024385343</f>
        <v>-1445.306987908843</v>
      </c>
      <c r="H3290">
        <f>-843.71805746795 -121.728599869574 -602.625597278932</f>
        <v>-1568.0722546164559</v>
      </c>
      <c r="I3290">
        <f>-810.015981205973 -108.606580268854 -677.438861995438</f>
        <v>-1596.061423470265</v>
      </c>
      <c r="J3290">
        <f>-853.742241173165 -96.8488948079244 -547.364066057615</f>
        <v>-1497.9552020387043</v>
      </c>
      <c r="K3290" t="s">
        <v>35224</v>
      </c>
      <c r="L3290" t="s">
        <v>35225</v>
      </c>
      <c r="M3290" t="s">
        <v>35226</v>
      </c>
      <c r="N3290">
        <f>-833.468651847119 -148.417830474056 -548.257012211613</f>
        <v>-1530.1434945327878</v>
      </c>
      <c r="O3290">
        <f>-785.138540502837 -274.387733760078 -521.910682533364</f>
        <v>-1581.436956796279</v>
      </c>
      <c r="P3290">
        <f>-765.328981155263 -302.8244632265 -229.694716439417</f>
        <v>-1297.84816082118</v>
      </c>
      <c r="Q3290">
        <f>-638.747993992417 -128.416825846903 -337.444694078237</f>
        <v>-1104.609513917557</v>
      </c>
      <c r="R3290">
        <f>-827.69768985934 -6.31469142234687 -96.6752798963848</f>
        <v>-930.68766117807172</v>
      </c>
      <c r="S3290" t="s">
        <v>35227</v>
      </c>
      <c r="T3290" t="s">
        <v>35228</v>
      </c>
      <c r="U3290" t="s">
        <v>35229</v>
      </c>
      <c r="V3290">
        <f>-743.280781354203 -181.872245441005 -91.5055904002046</f>
        <v>-1016.6586171954126</v>
      </c>
      <c r="W3290" t="s">
        <v>35230</v>
      </c>
      <c r="X3290" t="s">
        <v>35231</v>
      </c>
      <c r="Y3290" t="s">
        <v>35232</v>
      </c>
    </row>
    <row r="3291" spans="1:25" x14ac:dyDescent="0.3">
      <c r="A3291">
        <v>164500</v>
      </c>
      <c r="B3291" t="s">
        <v>35233</v>
      </c>
      <c r="C3291">
        <f>-786.912569799483 -93.6806337329289 -92.9136384823736</f>
        <v>-973.50684201478543</v>
      </c>
      <c r="D3291">
        <f>-818.00625570812 -111.628836248199 -203.037524903833</f>
        <v>-1132.6726168601519</v>
      </c>
      <c r="E3291">
        <f>-832.486002248461 -118.941555318857 -300.318144650535</f>
        <v>-1251.745702217853</v>
      </c>
      <c r="F3291">
        <f>-841.109200923325 -122.623238871337 -388.920285790232</f>
        <v>-1352.6527255848941</v>
      </c>
      <c r="G3291">
        <f>-844.880084279467 -123.287445291048 -477.934740858788</f>
        <v>-1446.1022704293032</v>
      </c>
      <c r="H3291">
        <f>-845.01331975882 -121.105259861811 -602.498054143468</f>
        <v>-1568.6166337640989</v>
      </c>
      <c r="I3291">
        <f>-811.300878605501 -107.904376623013 -677.292713292261</f>
        <v>-1596.497968520775</v>
      </c>
      <c r="J3291">
        <f>-855.070278141765 -96.2730469163638 -547.221267103425</f>
        <v>-1498.5645921615537</v>
      </c>
      <c r="K3291" t="s">
        <v>35234</v>
      </c>
      <c r="L3291" t="s">
        <v>35235</v>
      </c>
      <c r="M3291" t="s">
        <v>35236</v>
      </c>
      <c r="N3291">
        <f>-834.83916895435 -147.858064101064 -548.146669216355</f>
        <v>-1530.8439022717689</v>
      </c>
      <c r="O3291">
        <f>-786.641675747202 -273.890206675785 -521.875192241553</f>
        <v>-1582.4070746645402</v>
      </c>
      <c r="P3291">
        <f>-767.175594987319 -302.59173042495 -229.66201946291</f>
        <v>-1299.4293448751789</v>
      </c>
      <c r="Q3291">
        <f>-640.096332930102 -128.418333092253 -337.204374565147</f>
        <v>-1105.7190405875019</v>
      </c>
      <c r="R3291">
        <f>-829.156486916451 -6.06267084669935 -96.5152414557995</f>
        <v>-931.73439921894976</v>
      </c>
      <c r="S3291" t="s">
        <v>35237</v>
      </c>
      <c r="T3291" t="s">
        <v>35238</v>
      </c>
      <c r="U3291" t="s">
        <v>35239</v>
      </c>
      <c r="V3291">
        <f>-744.980852464463 -181.61406252901 -91.3790576385674</f>
        <v>-1017.9739726320404</v>
      </c>
      <c r="W3291" t="s">
        <v>35240</v>
      </c>
      <c r="X3291" t="s">
        <v>35241</v>
      </c>
      <c r="Y3291" t="s">
        <v>35242</v>
      </c>
    </row>
    <row r="3292" spans="1:25" x14ac:dyDescent="0.3">
      <c r="A3292">
        <v>164550</v>
      </c>
      <c r="B3292" t="s">
        <v>35243</v>
      </c>
      <c r="C3292">
        <f>-787.551506320005 -93.8329459759182 -92.8170345588335</f>
        <v>-974.20148685475669</v>
      </c>
      <c r="D3292">
        <f>-818.669003856618 -111.774884450531 -202.935293525092</f>
        <v>-1133.3791818322411</v>
      </c>
      <c r="E3292">
        <f>-833.127399031535 -119.075524880414 -300.220008736695</f>
        <v>-1252.4229326486441</v>
      </c>
      <c r="F3292">
        <f>-841.714664836194 -122.743198898422 -388.826068905647</f>
        <v>-1353.2839326402629</v>
      </c>
      <c r="G3292">
        <f>-845.432466273472 -123.39062386719 -477.842910641475</f>
        <v>-1446.666000782137</v>
      </c>
      <c r="H3292">
        <f>-845.473858702231 -121.182114432858 -602.405921617723</f>
        <v>-1569.0618947528121</v>
      </c>
      <c r="I3292">
        <f>-811.731544015204 -107.961026605996 -677.18354632428</f>
        <v>-1596.8761169454801</v>
      </c>
      <c r="J3292">
        <f>-855.558688231631 -96.356577564611 -547.131174423071</f>
        <v>-1499.0464402193129</v>
      </c>
      <c r="K3292" t="s">
        <v>35244</v>
      </c>
      <c r="L3292" t="s">
        <v>35245</v>
      </c>
      <c r="M3292" t="s">
        <v>35246</v>
      </c>
      <c r="N3292">
        <f>-835.352434114315 -147.95135313847 -548.052659647753</f>
        <v>-1531.356446900538</v>
      </c>
      <c r="O3292">
        <f>-787.232541351706 -274.01151380766 -521.787317267886</f>
        <v>-1583.0313724272519</v>
      </c>
      <c r="P3292">
        <f>-767.933903036034 -302.788905800826 -229.5705956832</f>
        <v>-1300.2934045200602</v>
      </c>
      <c r="Q3292">
        <f>-640.587477057607 -128.795177750906 -337.087843466425</f>
        <v>-1106.4704982749379</v>
      </c>
      <c r="R3292">
        <f>-829.665394963454 -6.36930884119784 -96.3955882913252</f>
        <v>-932.43029209597705</v>
      </c>
      <c r="S3292" t="s">
        <v>35247</v>
      </c>
      <c r="T3292" t="s">
        <v>35248</v>
      </c>
      <c r="U3292" t="s">
        <v>35249</v>
      </c>
      <c r="V3292">
        <f>-745.765278081169 -181.660217346923 -91.2872923718546</f>
        <v>-1018.7127877999466</v>
      </c>
      <c r="W3292" t="s">
        <v>35250</v>
      </c>
      <c r="X3292" t="s">
        <v>35251</v>
      </c>
      <c r="Y3292" t="s">
        <v>35252</v>
      </c>
    </row>
    <row r="3293" spans="1:25" x14ac:dyDescent="0.3">
      <c r="A3293">
        <v>164600</v>
      </c>
      <c r="B3293" t="s">
        <v>35253</v>
      </c>
      <c r="C3293">
        <f>-788.694710067768 -94.0651953458371 -92.5767227888878</f>
        <v>-975.33662820249288</v>
      </c>
      <c r="D3293">
        <f>-819.926358002997 -111.972336275693 -202.668200487802</f>
        <v>-1134.5668947664919</v>
      </c>
      <c r="E3293">
        <f>-834.417424377631 -119.253655537714 -299.949435592375</f>
        <v>-1253.62051550772</v>
      </c>
      <c r="F3293">
        <f>-843.007669428316 -122.907241210989 -388.555979948991</f>
        <v>-1354.470890588296</v>
      </c>
      <c r="G3293">
        <f>-846.701910539678 -123.544503943718 -477.573770842475</f>
        <v>-1447.8201853258711</v>
      </c>
      <c r="H3293">
        <f>-846.682444893496 -121.325949436389 -602.136587768819</f>
        <v>-1570.1449820987041</v>
      </c>
      <c r="I3293">
        <f>-812.902501720326 -108.125257719756 -676.900856379476</f>
        <v>-1597.9286158195578</v>
      </c>
      <c r="J3293">
        <f>-856.763184638237 -96.4927389704492 -546.86449225286</f>
        <v>-1500.1204158615462</v>
      </c>
      <c r="K3293" t="s">
        <v>35254</v>
      </c>
      <c r="L3293" t="s">
        <v>35255</v>
      </c>
      <c r="M3293" t="s">
        <v>35256</v>
      </c>
      <c r="N3293">
        <f>-836.618795975223 -148.111755970112 -547.78078033529</f>
        <v>-1532.5113322806251</v>
      </c>
      <c r="O3293">
        <f>-788.653241391295 -274.228362623369 -521.477633011364</f>
        <v>-1584.359237026028</v>
      </c>
      <c r="P3293">
        <f>-769.591862036187 -302.834973317077 -229.228566311056</f>
        <v>-1301.6554016643199</v>
      </c>
      <c r="Q3293">
        <f>-641.951200034071 -129.174137592692 -336.934905967293</f>
        <v>-1108.0602435940559</v>
      </c>
      <c r="R3293">
        <f>-830.661957449464 -6.52224394418067 -96.1440095931202</f>
        <v>-933.32821098676493</v>
      </c>
      <c r="S3293" t="s">
        <v>35257</v>
      </c>
      <c r="T3293" t="s">
        <v>35258</v>
      </c>
      <c r="U3293" t="s">
        <v>35259</v>
      </c>
      <c r="V3293">
        <f>-747.080818872102 -181.910667445202 -91.1046595068174</f>
        <v>-1020.0961458241213</v>
      </c>
      <c r="W3293" t="s">
        <v>35260</v>
      </c>
      <c r="X3293" t="s">
        <v>35261</v>
      </c>
      <c r="Y3293" t="s">
        <v>35262</v>
      </c>
    </row>
    <row r="3294" spans="1:25" x14ac:dyDescent="0.3">
      <c r="A3294">
        <v>164650</v>
      </c>
      <c r="B3294" t="s">
        <v>35263</v>
      </c>
      <c r="C3294">
        <f>-789.176126793901 -94.1694635533689 -92.4828860613808</f>
        <v>-975.82847640865066</v>
      </c>
      <c r="D3294">
        <f>-820.476192924527 -112.081174388176 -202.554206319975</f>
        <v>-1135.1115736326781</v>
      </c>
      <c r="E3294">
        <f>-835.005175940769 -119.369388163474 -299.829305328753</f>
        <v>-1254.203869432996</v>
      </c>
      <c r="F3294">
        <f>-843.621414317552 -123.029805179621 -388.432941928564</f>
        <v>-1355.084161425737</v>
      </c>
      <c r="G3294">
        <f>-847.332943861704 -123.674606261648 -477.450066874756</f>
        <v>-1448.4576169981081</v>
      </c>
      <c r="H3294">
        <f>-847.329037090817 -121.467187928161 -602.013167907269</f>
        <v>-1570.809392926247</v>
      </c>
      <c r="I3294">
        <f>-813.536030014774 -108.305906476764 -676.778397085435</f>
        <v>-1598.6203335769731</v>
      </c>
      <c r="J3294">
        <f>-857.386616411108 -96.6225838125392 -546.741915455783</f>
        <v>-1500.7511156794303</v>
      </c>
      <c r="K3294" t="s">
        <v>35264</v>
      </c>
      <c r="L3294" t="s">
        <v>35265</v>
      </c>
      <c r="M3294" t="s">
        <v>35266</v>
      </c>
      <c r="N3294">
        <f>-837.274843227875 -148.254497358098 -547.656138133538</f>
        <v>-1533.1854787195109</v>
      </c>
      <c r="O3294">
        <f>-789.403053884468 -274.405848144039 -521.342268456077</f>
        <v>-1585.1511704845839</v>
      </c>
      <c r="P3294">
        <f>-770.367026356434 -302.916384973698 -229.082076615765</f>
        <v>-1302.3654879458968</v>
      </c>
      <c r="Q3294">
        <f>-642.585181618392 -129.427449524042 -336.897894313208</f>
        <v>-1108.9105254556421</v>
      </c>
      <c r="R3294">
        <f>-831.057648026149 -6.50444496801083 -96.0351942104343</f>
        <v>-933.59728720459407</v>
      </c>
      <c r="S3294" t="s">
        <v>35267</v>
      </c>
      <c r="T3294" t="s">
        <v>35268</v>
      </c>
      <c r="U3294" t="s">
        <v>35269</v>
      </c>
      <c r="V3294">
        <f>-747.648898199005 -182.071233372008 -91.0263968410715</f>
        <v>-1020.7465284120844</v>
      </c>
      <c r="W3294" t="s">
        <v>35270</v>
      </c>
      <c r="X3294" t="s">
        <v>35271</v>
      </c>
      <c r="Y3294" t="s">
        <v>35272</v>
      </c>
    </row>
    <row r="3295" spans="1:25" x14ac:dyDescent="0.3">
      <c r="A3295">
        <v>164700</v>
      </c>
      <c r="B3295" t="s">
        <v>35273</v>
      </c>
      <c r="C3295">
        <f>-789.954045303077 -94.4457585358857 -92.3272662552296</f>
        <v>-976.7270700941923</v>
      </c>
      <c r="D3295">
        <f>-821.399857816437 -112.381640049086 -202.353072656419</f>
        <v>-1136.1345705219421</v>
      </c>
      <c r="E3295">
        <f>-836.004491104291 -119.669201245492 -299.616991506901</f>
        <v>-1255.2906838566839</v>
      </c>
      <c r="F3295">
        <f>-844.668272944354 -123.319585230301 -388.216279400848</f>
        <v>-1356.204137575503</v>
      </c>
      <c r="G3295">
        <f>-848.406034699157 -123.945554045235 -477.232458741127</f>
        <v>-1449.584047485519</v>
      </c>
      <c r="H3295">
        <f>-848.415585759672 -121.702815791299 -601.794852130424</f>
        <v>-1571.913253681395</v>
      </c>
      <c r="I3295">
        <f>-814.616496834228 -108.617941438484 -676.570768854629</f>
        <v>-1599.805207127341</v>
      </c>
      <c r="J3295">
        <f>-858.432855977198 -96.8606481231059 -546.515296388316</f>
        <v>-1501.8088004886199</v>
      </c>
      <c r="K3295" t="s">
        <v>35274</v>
      </c>
      <c r="L3295" t="s">
        <v>35275</v>
      </c>
      <c r="M3295" t="s">
        <v>35276</v>
      </c>
      <c r="N3295">
        <f>-838.389694768791 -148.518833560279 -547.447006673396</f>
        <v>-1534.3555350024658</v>
      </c>
      <c r="O3295">
        <f>-790.704200237403 -274.739198248121 -521.138138176798</f>
        <v>-1586.5815366623219</v>
      </c>
      <c r="P3295">
        <f>-771.474894725348 -303.219507319447 -228.887637135627</f>
        <v>-1303.582039180422</v>
      </c>
      <c r="Q3295">
        <f>-643.547264274886 -129.952286679627 -336.886896862534</f>
        <v>-1110.3864478170469</v>
      </c>
      <c r="R3295">
        <f>-831.701608121366 -6.82933259200627 -95.8572887652456</f>
        <v>-934.38822947861786</v>
      </c>
      <c r="S3295" t="s">
        <v>35277</v>
      </c>
      <c r="T3295" t="s">
        <v>35278</v>
      </c>
      <c r="U3295" t="s">
        <v>35279</v>
      </c>
      <c r="V3295">
        <f>-748.523387340993 -182.380876782177 -90.8819833348741</f>
        <v>-1021.7862474580442</v>
      </c>
      <c r="W3295" t="s">
        <v>35280</v>
      </c>
      <c r="X3295" t="s">
        <v>35281</v>
      </c>
      <c r="Y3295" t="s">
        <v>35282</v>
      </c>
    </row>
    <row r="3296" spans="1:25" x14ac:dyDescent="0.3">
      <c r="A3296">
        <v>164750</v>
      </c>
      <c r="B3296" t="s">
        <v>35283</v>
      </c>
      <c r="C3296">
        <f>-790.308027760363 -94.691539045727 -92.2663170518995</f>
        <v>-977.26588385798948</v>
      </c>
      <c r="D3296">
        <f>-821.830110163104 -112.640359547802 -202.268188456012</f>
        <v>-1136.738658166918</v>
      </c>
      <c r="E3296">
        <f>-836.474012915268 -119.936061264085 -299.525526978471</f>
        <v>-1255.9356011578238</v>
      </c>
      <c r="F3296">
        <f>-845.162491984504 -123.592026418098 -388.122227286271</f>
        <v>-1356.8767456888731</v>
      </c>
      <c r="G3296">
        <f>-848.913988836989 -124.221694076211 -477.137836391256</f>
        <v>-1450.2735193044559</v>
      </c>
      <c r="H3296">
        <f>-848.931609981546 -121.982228174377 -601.700356631106</f>
        <v>-1572.6141947870292</v>
      </c>
      <c r="I3296">
        <f>-815.148465282787 -108.938081945082 -676.490483330616</f>
        <v>-1600.5770305584851</v>
      </c>
      <c r="J3296">
        <f>-858.933608352172 -97.1340511711378 -546.420625958213</f>
        <v>-1502.4882854815228</v>
      </c>
      <c r="K3296" t="s">
        <v>35284</v>
      </c>
      <c r="L3296" t="s">
        <v>35285</v>
      </c>
      <c r="M3296" t="s">
        <v>35286</v>
      </c>
      <c r="N3296">
        <f>-838.914017964541 -148.801382593687 -547.352266795955</f>
        <v>-1535.067667354183</v>
      </c>
      <c r="O3296">
        <f>-791.291900034582 -275.046365540844 -521.044614755966</f>
        <v>-1587.382880331392</v>
      </c>
      <c r="P3296">
        <f>-772.014533943067 -303.482112799039 -228.793093306886</f>
        <v>-1304.2897400489919</v>
      </c>
      <c r="Q3296">
        <f>-644.016238717954 -130.305824141485 -336.854548233434</f>
        <v>-1111.1766110928729</v>
      </c>
      <c r="R3296">
        <f>-832.032537814497 -6.97685006714937 -95.7909912190776</f>
        <v>-934.80037910072394</v>
      </c>
      <c r="S3296" t="s">
        <v>35287</v>
      </c>
      <c r="T3296" t="s">
        <v>35288</v>
      </c>
      <c r="U3296" t="s">
        <v>35289</v>
      </c>
      <c r="V3296">
        <f>-748.950405151474 -182.683896469834 -90.8128695105713</f>
        <v>-1022.4471711318793</v>
      </c>
      <c r="W3296" t="s">
        <v>35290</v>
      </c>
      <c r="X3296" t="s">
        <v>35291</v>
      </c>
      <c r="Y3296" t="s">
        <v>35292</v>
      </c>
    </row>
    <row r="3297" spans="1:25" x14ac:dyDescent="0.3">
      <c r="A3297">
        <v>164800</v>
      </c>
      <c r="B3297" t="s">
        <v>35293</v>
      </c>
      <c r="C3297">
        <f>-790.841863756566 -94.9913189395903 -92.1595834636678</f>
        <v>-977.9927661598241</v>
      </c>
      <c r="D3297">
        <f>-822.513073784854 -112.995474617829 -202.109563915043</f>
        <v>-1137.6181123177259</v>
      </c>
      <c r="E3297">
        <f>-837.244235935913 -120.338163969165 -299.350121646502</f>
        <v>-1256.9325215515801</v>
      </c>
      <c r="F3297">
        <f>-845.994706790312 -124.035525836812 -387.939124519597</f>
        <v>-1357.969357146721</v>
      </c>
      <c r="G3297">
        <f>-849.790960611424 -124.70576727078 -476.952545753184</f>
        <v>-1451.449273635388</v>
      </c>
      <c r="H3297">
        <f>-849.852518106787 -122.521989632677 -601.5159588905</f>
        <v>-1573.8904666299641</v>
      </c>
      <c r="I3297">
        <f>-816.134106160757 -109.562251624749 -676.350024633934</f>
        <v>-1602.0463824194401</v>
      </c>
      <c r="J3297">
        <f>-859.820221186755 -97.6433763314734 -546.243789930617</f>
        <v>-1503.7073874488456</v>
      </c>
      <c r="K3297" t="s">
        <v>35294</v>
      </c>
      <c r="L3297" t="s">
        <v>35295</v>
      </c>
      <c r="M3297" t="s">
        <v>35296</v>
      </c>
      <c r="N3297">
        <f>-839.830494540715 -149.322579821353 -547.159680055061</f>
        <v>-1536.3127544171289</v>
      </c>
      <c r="O3297">
        <f>-792.268460367545 -275.586158695624 -520.824916159063</f>
        <v>-1588.6795352222321</v>
      </c>
      <c r="P3297">
        <f>-772.898964208047 -303.905147179504 -228.568101454585</f>
        <v>-1305.3722128421362</v>
      </c>
      <c r="Q3297">
        <f>-644.758318315826 -130.866739140827 -336.681869677134</f>
        <v>-1112.306927133787</v>
      </c>
      <c r="R3297">
        <f>-832.456890580551 -7.25819860264505 -95.6763150806074</f>
        <v>-935.39140426380345</v>
      </c>
      <c r="S3297" t="s">
        <v>35297</v>
      </c>
      <c r="T3297" t="s">
        <v>35298</v>
      </c>
      <c r="U3297" t="s">
        <v>35299</v>
      </c>
      <c r="V3297">
        <f>-749.566563044598 -182.977196381274 -90.7110539042558</f>
        <v>-1023.2548133301277</v>
      </c>
      <c r="W3297" t="s">
        <v>35300</v>
      </c>
      <c r="X3297" t="s">
        <v>35301</v>
      </c>
      <c r="Y3297" t="s">
        <v>35302</v>
      </c>
    </row>
    <row r="3298" spans="1:25" x14ac:dyDescent="0.3">
      <c r="A3298">
        <v>164850</v>
      </c>
      <c r="B3298" t="s">
        <v>35303</v>
      </c>
      <c r="C3298">
        <f>-791.069932024461 -95.0856252724096 -92.1181557716492</f>
        <v>-978.27371306851978</v>
      </c>
      <c r="D3298">
        <f>-822.809902922789 -113.128636721963 -202.042059297037</f>
        <v>-1137.9805989417889</v>
      </c>
      <c r="E3298">
        <f>-837.58983802317 -120.506133152727 -299.272610012391</f>
        <v>-1257.3685811882881</v>
      </c>
      <c r="F3298">
        <f>-846.379899484647 -124.235292858385 -387.856276525973</f>
        <v>-1358.4714688690051</v>
      </c>
      <c r="G3298">
        <f>-850.210920137637 -124.937569894022 -476.86782304167</f>
        <v>-1452.016313073329</v>
      </c>
      <c r="H3298">
        <f>-850.316443825269 -122.798668873105 -601.432025426395</f>
        <v>-1574.5471381247689</v>
      </c>
      <c r="I3298">
        <f>-816.645679872175 -109.879548168798 -676.29459086832</f>
        <v>-1602.8198189092932</v>
      </c>
      <c r="J3298">
        <f>-860.262800891501 -97.8994635687968 -546.165381385965</f>
        <v>-1504.3276458462628</v>
      </c>
      <c r="K3298" t="s">
        <v>35304</v>
      </c>
      <c r="L3298" t="s">
        <v>35305</v>
      </c>
      <c r="M3298" t="s">
        <v>35306</v>
      </c>
      <c r="N3298">
        <f>-840.277290642664 -149.580375120627 -547.069719633692</f>
        <v>-1536.927385396983</v>
      </c>
      <c r="O3298">
        <f>-792.711011926185 -275.834956997772 -520.709054739946</f>
        <v>-1589.2550236639031</v>
      </c>
      <c r="P3298">
        <f>-773.300455362896 -304.005050684515 -228.440448638468</f>
        <v>-1305.745954685879</v>
      </c>
      <c r="Q3298">
        <f>-645.094333352353 -131.063153118857 -336.630878493101</f>
        <v>-1112.7883649643111</v>
      </c>
      <c r="R3298">
        <f>-832.677449386202 -7.42613036050784 -95.6358571424553</f>
        <v>-935.73943688916518</v>
      </c>
      <c r="S3298" t="s">
        <v>35307</v>
      </c>
      <c r="T3298" t="s">
        <v>35308</v>
      </c>
      <c r="U3298" t="s">
        <v>35309</v>
      </c>
      <c r="V3298">
        <f>-749.80502755791 -183.010310204936 -90.6673968039792</f>
        <v>-1023.4827345668251</v>
      </c>
      <c r="W3298" t="s">
        <v>35310</v>
      </c>
      <c r="X3298" t="s">
        <v>35311</v>
      </c>
      <c r="Y3298" t="s">
        <v>35312</v>
      </c>
    </row>
    <row r="3299" spans="1:25" x14ac:dyDescent="0.3">
      <c r="A3299">
        <v>164900</v>
      </c>
      <c r="B3299" t="s">
        <v>35313</v>
      </c>
      <c r="C3299">
        <f>-791.515683216848 -95.4108441448391 -92.0642787913168</f>
        <v>-978.99080615300386</v>
      </c>
      <c r="D3299">
        <f>-823.377506472545 -113.541022550623 -201.93860551574</f>
        <v>-1138.857134538908</v>
      </c>
      <c r="E3299">
        <f>-838.247062708639 -121.005067266089 -299.148883529203</f>
        <v>-1258.4010135039309</v>
      </c>
      <c r="F3299">
        <f>-847.111474347972 -124.817076495828 -387.721453922062</f>
        <v>-1359.6500047658619</v>
      </c>
      <c r="G3299">
        <f>-851.010049234475 -125.606794251591 -476.729482753648</f>
        <v>-1453.346326239714</v>
      </c>
      <c r="H3299">
        <f>-851.202232289842 -123.594870765486 -601.295743380974</f>
        <v>-1576.0928464363019</v>
      </c>
      <c r="I3299">
        <f>-817.629604787085 -110.768854299797 -676.21834027556</f>
        <v>-1604.616799362442</v>
      </c>
      <c r="J3299">
        <f>-861.107916653289 -98.6384472557691 -546.047556556648</f>
        <v>-1505.7939204657059</v>
      </c>
      <c r="K3299" t="s">
        <v>35314</v>
      </c>
      <c r="L3299" t="s">
        <v>35315</v>
      </c>
      <c r="M3299" t="s">
        <v>35316</v>
      </c>
      <c r="N3299">
        <f>-841.127411965042 -150.322077768858 -546.913044275605</f>
        <v>-1538.362534009505</v>
      </c>
      <c r="O3299">
        <f>-793.550001345936 -276.55851089122 -520.475382011049</f>
        <v>-1590.5838942482051</v>
      </c>
      <c r="P3299">
        <f>-774.018962788582 -304.388337273687 -228.182393815063</f>
        <v>-1306.5896938773321</v>
      </c>
      <c r="Q3299">
        <f>-645.743149148892 -131.583861344547 -336.5096022687</f>
        <v>-1113.8366127621391</v>
      </c>
      <c r="R3299">
        <f>-833.133643250051 -7.72311909141899 -95.5890243930924</f>
        <v>-936.44578673456238</v>
      </c>
      <c r="S3299" t="s">
        <v>35317</v>
      </c>
      <c r="T3299" t="s">
        <v>35318</v>
      </c>
      <c r="U3299" t="s">
        <v>35319</v>
      </c>
      <c r="V3299">
        <f>-750.257477953438 -183.376406127096 -90.5951213850443</f>
        <v>-1024.2290054655782</v>
      </c>
      <c r="W3299" t="s">
        <v>35320</v>
      </c>
      <c r="X3299" t="s">
        <v>35321</v>
      </c>
      <c r="Y3299" t="s">
        <v>35322</v>
      </c>
    </row>
    <row r="3300" spans="1:25" x14ac:dyDescent="0.3">
      <c r="A3300">
        <v>164950</v>
      </c>
      <c r="B3300" t="s">
        <v>35323</v>
      </c>
      <c r="C3300">
        <f>-791.695719608366 -95.6503552917879 -92.0428551096117</f>
        <v>-979.38893000976555</v>
      </c>
      <c r="D3300">
        <f>-823.615384728926 -113.831216085757 -201.891930818295</f>
        <v>-1139.3385316329779</v>
      </c>
      <c r="E3300">
        <f>-838.527393547751 -121.333984072779 -299.092693605516</f>
        <v>-1258.9540712260459</v>
      </c>
      <c r="F3300">
        <f>-847.426678575864 -125.179115959513 -387.660548853046</f>
        <v>-1360.2663433884229</v>
      </c>
      <c r="G3300">
        <f>-851.356646654105 -125.999897662334 -476.666844570326</f>
        <v>-1454.0233888867651</v>
      </c>
      <c r="H3300">
        <f>-851.588566883057 -124.029442480615 -601.233636697262</f>
        <v>-1576.8516460609339</v>
      </c>
      <c r="I3300">
        <f>-818.05907025105 -111.244927678354 -676.182548098593</f>
        <v>-1605.4865460279971</v>
      </c>
      <c r="J3300">
        <f>-861.480965383155 -99.0562944873702 -545.990476554903</f>
        <v>-1506.5277364254282</v>
      </c>
      <c r="K3300" t="s">
        <v>35324</v>
      </c>
      <c r="L3300" t="s">
        <v>35325</v>
      </c>
      <c r="M3300" t="s">
        <v>35326</v>
      </c>
      <c r="N3300">
        <f>-841.492032077813 -150.73682363816 -546.845338197433</f>
        <v>-1539.0741939134059</v>
      </c>
      <c r="O3300">
        <f>-793.885121015057 -276.950931600136 -520.367221439284</f>
        <v>-1591.2032740544769</v>
      </c>
      <c r="P3300">
        <f>-774.310181485243 -304.653842987926 -228.065059056295</f>
        <v>-1307.0290835294641</v>
      </c>
      <c r="Q3300">
        <f>-646.047827127786 -131.914403886555 -336.512024132201</f>
        <v>-1114.474255146542</v>
      </c>
      <c r="R3300">
        <f>-833.27411162064 -7.98518575516823 -95.5658668818605</f>
        <v>-936.8251642576688</v>
      </c>
      <c r="S3300" t="s">
        <v>35327</v>
      </c>
      <c r="T3300" t="s">
        <v>35328</v>
      </c>
      <c r="U3300" t="s">
        <v>35329</v>
      </c>
      <c r="V3300">
        <f>-750.439016187996 -183.634859904221 -90.572877340912</f>
        <v>-1024.6467534331291</v>
      </c>
      <c r="W3300" t="s">
        <v>35330</v>
      </c>
      <c r="X3300" t="s">
        <v>35331</v>
      </c>
      <c r="Y3300" t="s">
        <v>35332</v>
      </c>
    </row>
    <row r="3301" spans="1:25" x14ac:dyDescent="0.3">
      <c r="A3301">
        <v>165000</v>
      </c>
      <c r="B3301" t="s">
        <v>35333</v>
      </c>
      <c r="C3301">
        <f>-792.01357723251 -96.0537246495738 -91.9859188885156</f>
        <v>-980.05322077059941</v>
      </c>
      <c r="D3301">
        <f>-824.061292859262 -114.320307058202 -201.783525965299</f>
        <v>-1140.165125882763</v>
      </c>
      <c r="E3301">
        <f>-839.048324684312 -121.887395238455 -298.967756767737</f>
        <v>-1259.903476690504</v>
      </c>
      <c r="F3301">
        <f>-848.000565729417 -125.786671795493 -387.527919106948</f>
        <v>-1361.3151566318579</v>
      </c>
      <c r="G3301">
        <f>-851.968203895043 -126.65731966621 -476.532047738234</f>
        <v>-1455.157571299487</v>
      </c>
      <c r="H3301">
        <f>-852.236790631522 -124.751848709562 -601.099759854053</f>
        <v>-1578.0883991951368</v>
      </c>
      <c r="I3301">
        <f>-818.773120471794 -112.02994888285 -676.088827762701</f>
        <v>-1606.891897117345</v>
      </c>
      <c r="J3301">
        <f>-862.125593699895 -99.7547816193024 -545.866839393339</f>
        <v>-1507.7472147125363</v>
      </c>
      <c r="K3301" t="s">
        <v>35334</v>
      </c>
      <c r="L3301" t="s">
        <v>35335</v>
      </c>
      <c r="M3301" t="s">
        <v>35336</v>
      </c>
      <c r="N3301">
        <f>-842.111556650692 -151.425964250792 -546.700447240001</f>
        <v>-1540.237968141485</v>
      </c>
      <c r="O3301">
        <f>-794.471409709702 -277.614278331659 -520.155211337766</f>
        <v>-1592.2408993791269</v>
      </c>
      <c r="P3301">
        <f>-774.823405410528 -305.081426414072 -227.835577297072</f>
        <v>-1307.740409121672</v>
      </c>
      <c r="Q3301">
        <f>-646.654498129506 -132.368688029214 -336.435505885096</f>
        <v>-1115.458692043816</v>
      </c>
      <c r="R3301">
        <f>-833.608167093399 -8.41568848589054 -95.5169269597536</f>
        <v>-937.54078253904311</v>
      </c>
      <c r="S3301" t="s">
        <v>35337</v>
      </c>
      <c r="T3301" t="s">
        <v>35338</v>
      </c>
      <c r="U3301" t="s">
        <v>35339</v>
      </c>
      <c r="V3301">
        <f>-750.768997093849 -183.998462986622 -90.5073857885017</f>
        <v>-1025.2748458689728</v>
      </c>
      <c r="W3301" t="s">
        <v>35340</v>
      </c>
      <c r="X3301" t="s">
        <v>35341</v>
      </c>
      <c r="Y3301" t="s">
        <v>35342</v>
      </c>
    </row>
    <row r="3302" spans="1:25" x14ac:dyDescent="0.3">
      <c r="A3302">
        <v>165050</v>
      </c>
      <c r="B3302" t="s">
        <v>35343</v>
      </c>
      <c r="C3302">
        <f>-792.168103235735 -96.112239571777 -91.9577091856113</f>
        <v>-980.23805199312324</v>
      </c>
      <c r="D3302">
        <f>-824.278813603736 -114.413069873617 -201.731141662785</f>
        <v>-1140.423025140138</v>
      </c>
      <c r="E3302">
        <f>-839.300036638076 -122.004560771966 -298.908206044395</f>
        <v>-1260.2128034544371</v>
      </c>
      <c r="F3302">
        <f>-848.275205464576 -125.923175043311 -387.465140255246</f>
        <v>-1361.663520763133</v>
      </c>
      <c r="G3302">
        <f>-852.257913932629 -126.810009425445 -476.46846932549</f>
        <v>-1455.5363926835639</v>
      </c>
      <c r="H3302">
        <f>-852.539094779441 -124.923544011775 -601.036377035047</f>
        <v>-1578.4990158262631</v>
      </c>
      <c r="I3302">
        <f>-819.10384882756 -112.226145917901 -676.042302945022</f>
        <v>-1607.372297690483</v>
      </c>
      <c r="J3302">
        <f>-862.431936571597 -99.9217114310673 -545.806364135265</f>
        <v>-1508.1600121379292</v>
      </c>
      <c r="K3302" t="s">
        <v>35344</v>
      </c>
      <c r="L3302" t="s">
        <v>35345</v>
      </c>
      <c r="M3302" t="s">
        <v>35346</v>
      </c>
      <c r="N3302">
        <f>-842.398858844146 -151.585587738196 -546.633973529038</f>
        <v>-1540.6184201113801</v>
      </c>
      <c r="O3302">
        <f>-794.731973108519 -277.762044736653 -520.058683027445</f>
        <v>-1592.5527008726172</v>
      </c>
      <c r="P3302">
        <f>-775.104124593227 -305.144870651211 -227.7300177854</f>
        <v>-1307.9790130298379</v>
      </c>
      <c r="Q3302">
        <f>-646.921930901118 -132.480183654677 -336.39045035376</f>
        <v>-1115.792564909555</v>
      </c>
      <c r="R3302">
        <f>-833.760296247115 -8.51039092185056 -95.4908499394496</f>
        <v>-937.76153710841515</v>
      </c>
      <c r="S3302" t="s">
        <v>35347</v>
      </c>
      <c r="T3302" t="s">
        <v>35348</v>
      </c>
      <c r="U3302" t="s">
        <v>35349</v>
      </c>
      <c r="V3302">
        <f>-750.937239132526 -183.947264368601 -90.4731279347445</f>
        <v>-1025.3576314358716</v>
      </c>
      <c r="W3302" t="s">
        <v>35350</v>
      </c>
      <c r="X3302" t="s">
        <v>35351</v>
      </c>
      <c r="Y3302" t="s">
        <v>35352</v>
      </c>
    </row>
    <row r="3303" spans="1:25" x14ac:dyDescent="0.3">
      <c r="A3303">
        <v>165100</v>
      </c>
      <c r="B3303" t="s">
        <v>35353</v>
      </c>
      <c r="C3303">
        <f>-792.386704508628 -96.5081582705761 -91.9121816181514</f>
        <v>-980.80704439735553</v>
      </c>
      <c r="D3303">
        <f>-824.598150264246 -114.870474236975 -201.645771520039</f>
        <v>-1141.1143960212601</v>
      </c>
      <c r="E3303">
        <f>-839.690435891037 -122.507721812874 -298.808239472681</f>
        <v>-1261.0063971765921</v>
      </c>
      <c r="F3303">
        <f>-848.723667856056 -126.463171342854 -387.357724880666</f>
        <v>-1362.544564079576</v>
      </c>
      <c r="G3303">
        <f>-852.758325102392 -127.381272820058 -476.358353251834</f>
        <v>-1456.497951174284</v>
      </c>
      <c r="H3303">
        <f>-853.10645382863 -125.531674387167 -600.92668706689</f>
        <v>-1579.5648152826871</v>
      </c>
      <c r="I3303">
        <f>-819.737059581152 -112.876464534897 -675.969113104764</f>
        <v>-1608.582637220813</v>
      </c>
      <c r="J3303">
        <f>-862.981549809332 -100.51819616874 -545.698800357069</f>
        <v>-1509.1985463351411</v>
      </c>
      <c r="K3303" t="s">
        <v>35354</v>
      </c>
      <c r="L3303" t="s">
        <v>35355</v>
      </c>
      <c r="M3303" t="s">
        <v>35356</v>
      </c>
      <c r="N3303">
        <f>-842.924924558334 -152.172931794506 -546.521835370594</f>
        <v>-1541.619691723434</v>
      </c>
      <c r="O3303">
        <f>-795.227686490855 -278.323676921721 -519.892151986302</f>
        <v>-1593.4435153988779</v>
      </c>
      <c r="P3303">
        <f>-775.584970871627 -305.550905718948 -227.549844076414</f>
        <v>-1308.685720666989</v>
      </c>
      <c r="Q3303">
        <f>-647.39110258634 -132.888316182681 -336.200003619543</f>
        <v>-1116.479422388564</v>
      </c>
      <c r="R3303">
        <f>-833.880748702075 -8.89349104883695 -95.4529135711788</f>
        <v>-938.22715332209077</v>
      </c>
      <c r="S3303" t="s">
        <v>35357</v>
      </c>
      <c r="T3303" t="s">
        <v>35358</v>
      </c>
      <c r="U3303" t="s">
        <v>35359</v>
      </c>
      <c r="V3303">
        <f>-751.230055123536 -184.432303880862 -90.4107966411135</f>
        <v>-1026.0731556455116</v>
      </c>
      <c r="W3303" t="s">
        <v>35360</v>
      </c>
      <c r="X3303" t="s">
        <v>35361</v>
      </c>
      <c r="Y3303" t="s">
        <v>35362</v>
      </c>
    </row>
    <row r="3304" spans="1:25" x14ac:dyDescent="0.3">
      <c r="A3304">
        <v>165150</v>
      </c>
      <c r="B3304" t="s">
        <v>35363</v>
      </c>
      <c r="C3304">
        <f>-792.50965736365 -96.5457139999007 -91.9013481889897</f>
        <v>-980.95671955254045</v>
      </c>
      <c r="D3304">
        <f>-824.772128682805 -114.929149740289 -201.616511637896</f>
        <v>-1141.3177900609899</v>
      </c>
      <c r="E3304">
        <f>-839.902389440184 -122.588275931129 -298.771376025569</f>
        <v>-1261.2620413968821</v>
      </c>
      <c r="F3304">
        <f>-848.967580454659 -126.564516371899 -387.316549167609</f>
        <v>-1362.8486459941671</v>
      </c>
      <c r="G3304">
        <f>-853.032047622226 -127.504250346694 -476.315607809207</f>
        <v>-1456.8519057781268</v>
      </c>
      <c r="H3304">
        <f>-853.41963757747 -125.685494559371 -600.884253437208</f>
        <v>-1579.989385574049</v>
      </c>
      <c r="I3304">
        <f>-820.079391554229 -113.05649639018 -675.944081339616</f>
        <v>-1609.0799692840251</v>
      </c>
      <c r="J3304">
        <f>-863.278210875867 -100.658723580542 -545.659467837354</f>
        <v>-1509.5964022937628</v>
      </c>
      <c r="K3304" t="s">
        <v>35364</v>
      </c>
      <c r="L3304" t="s">
        <v>35365</v>
      </c>
      <c r="M3304" t="s">
        <v>35366</v>
      </c>
      <c r="N3304">
        <f>-843.220073340323 -152.313021367399 -546.476090781041</f>
        <v>-1542.0091854887628</v>
      </c>
      <c r="O3304">
        <f>-795.518639648274 -278.458076999408 -519.830687163587</f>
        <v>-1593.8074038112691</v>
      </c>
      <c r="P3304">
        <f>-775.881106229366 -305.575088602421 -227.477815435732</f>
        <v>-1308.9340102675189</v>
      </c>
      <c r="Q3304">
        <f>-647.581197995466 -132.965665990731 -336.087252406506</f>
        <v>-1116.6341163927029</v>
      </c>
      <c r="R3304">
        <f>-834.031921081958 -8.92188444359613 -95.4507867944768</f>
        <v>-938.40459232003093</v>
      </c>
      <c r="S3304" t="s">
        <v>35367</v>
      </c>
      <c r="T3304" t="s">
        <v>35368</v>
      </c>
      <c r="U3304" t="s">
        <v>35369</v>
      </c>
      <c r="V3304">
        <f>-751.36562204453 -184.412750576363 -90.3941966390285</f>
        <v>-1026.1725692599216</v>
      </c>
      <c r="W3304" t="s">
        <v>35370</v>
      </c>
      <c r="X3304" t="s">
        <v>35371</v>
      </c>
      <c r="Y3304" t="s">
        <v>35372</v>
      </c>
    </row>
    <row r="3305" spans="1:25" x14ac:dyDescent="0.3">
      <c r="A3305">
        <v>165200</v>
      </c>
      <c r="B3305" t="s">
        <v>35373</v>
      </c>
      <c r="C3305">
        <f>-792.643075909463 -96.5812090811502 -91.8940480741171</f>
        <v>-981.11833306473034</v>
      </c>
      <c r="D3305">
        <f>-824.951095116152 -114.983651691054 -201.592555318771</f>
        <v>-1141.527302125977</v>
      </c>
      <c r="E3305">
        <f>-840.118904508715 -122.661189305011 -298.740037867246</f>
        <v>-1261.5201316809721</v>
      </c>
      <c r="F3305">
        <f>-849.217580809724 -126.654776397612 -387.281051675955</f>
        <v>-1363.1534088832909</v>
      </c>
      <c r="G3305">
        <f>-853.314477646251 -127.612674217935 -476.278533724953</f>
        <v>-1457.205685589139</v>
      </c>
      <c r="H3305">
        <f>-853.746321374289 -125.820029484545 -600.847439211132</f>
        <v>-1580.4137900699661</v>
      </c>
      <c r="I3305">
        <f>-820.439941008907 -113.217511194599 -675.926696852847</f>
        <v>-1609.584149056353</v>
      </c>
      <c r="J3305">
        <f>-863.582967614159 -100.780766781941 -545.624457834571</f>
        <v>-1509.9881922306708</v>
      </c>
      <c r="K3305" t="s">
        <v>35374</v>
      </c>
      <c r="L3305" t="s">
        <v>35375</v>
      </c>
      <c r="M3305" t="s">
        <v>35376</v>
      </c>
      <c r="N3305">
        <f>-843.529619891434 -152.436954251954 -546.437201844217</f>
        <v>-1542.4037759876051</v>
      </c>
      <c r="O3305">
        <f>-795.849275389347 -278.591420304879 -519.783378538337</f>
        <v>-1594.224074232563</v>
      </c>
      <c r="P3305">
        <f>-776.156730277778 -305.636774972818 -227.427458395617</f>
        <v>-1309.220963646213</v>
      </c>
      <c r="Q3305">
        <f>-647.773174669116 -133.056476101282 -335.984247897922</f>
        <v>-1116.81389866832</v>
      </c>
      <c r="R3305">
        <f>-834.168070594597 -8.9563805921664 -95.4470810737719</f>
        <v>-938.57153226053526</v>
      </c>
      <c r="S3305" t="s">
        <v>35377</v>
      </c>
      <c r="T3305" t="s">
        <v>35378</v>
      </c>
      <c r="U3305" t="s">
        <v>35379</v>
      </c>
      <c r="V3305">
        <f>-751.482599648195 -184.475778215379 -90.3816672722618</f>
        <v>-1026.3400451358359</v>
      </c>
      <c r="W3305" t="s">
        <v>35380</v>
      </c>
      <c r="X3305" t="s">
        <v>35381</v>
      </c>
      <c r="Y3305" t="s">
        <v>35382</v>
      </c>
    </row>
    <row r="3306" spans="1:25" x14ac:dyDescent="0.3">
      <c r="A3306">
        <v>165250</v>
      </c>
      <c r="B3306" t="s">
        <v>35383</v>
      </c>
      <c r="C3306">
        <f>-792.755177216251 -96.5093026427319 -91.8908478315227</f>
        <v>-981.1553276905056</v>
      </c>
      <c r="D3306">
        <f>-825.132191981675 -114.94321669806 -201.563633489016</f>
        <v>-1141.6390421687511</v>
      </c>
      <c r="E3306">
        <f>-840.358633201981 -122.635281802561 -298.700893053775</f>
        <v>-1261.694808058317</v>
      </c>
      <c r="F3306">
        <f>-849.509730161951 -126.636359327737 -387.236226861927</f>
        <v>-1363.3823163516149</v>
      </c>
      <c r="G3306">
        <f>-853.65849043122 -127.59567117582 -476.23125124866</f>
        <v>-1457.4854128556999</v>
      </c>
      <c r="H3306">
        <f>-854.161944617225 -125.798627023246 -600.799716785958</f>
        <v>-1580.760288426429</v>
      </c>
      <c r="I3306">
        <f>-820.920704216597 -113.223026237696 -675.91232896431</f>
        <v>-1610.0560594186029</v>
      </c>
      <c r="J3306">
        <f>-863.966516268561 -100.761142904885 -545.570237524027</f>
        <v>-1510.2978966974729</v>
      </c>
      <c r="K3306" t="s">
        <v>35384</v>
      </c>
      <c r="L3306" t="s">
        <v>35385</v>
      </c>
      <c r="M3306" t="s">
        <v>35386</v>
      </c>
      <c r="N3306">
        <f>-843.914247191954 -152.417645980473 -546.396376065958</f>
        <v>-1542.7282692383851</v>
      </c>
      <c r="O3306">
        <f>-796.253929008855 -278.579143502101 -519.757809250149</f>
        <v>-1594.590881761105</v>
      </c>
      <c r="P3306">
        <f>-776.523415462287 -305.635247579782 -227.405397025051</f>
        <v>-1309.56406006712</v>
      </c>
      <c r="Q3306">
        <f>-647.995216758758 -133.128591784719 -335.908139962147</f>
        <v>-1117.0319485056241</v>
      </c>
      <c r="R3306">
        <f>-834.248883859654 -8.94706786500842 -95.4523652868946</f>
        <v>-938.64831701155708</v>
      </c>
      <c r="S3306" t="s">
        <v>35387</v>
      </c>
      <c r="T3306" t="s">
        <v>35388</v>
      </c>
      <c r="U3306" t="s">
        <v>35389</v>
      </c>
      <c r="V3306">
        <f>-751.600953158693 -184.312459823489 -90.3758983362444</f>
        <v>-1026.2893113184264</v>
      </c>
      <c r="W3306" t="s">
        <v>35390</v>
      </c>
      <c r="X3306" t="s">
        <v>35391</v>
      </c>
      <c r="Y3306" t="s">
        <v>35392</v>
      </c>
    </row>
    <row r="3307" spans="1:25" x14ac:dyDescent="0.3">
      <c r="A3307">
        <v>165300</v>
      </c>
      <c r="B3307" t="s">
        <v>35393</v>
      </c>
      <c r="C3307">
        <f>-792.830348412324 -96.5154586803619 -91.8902701419449</f>
        <v>-981.2360772346309</v>
      </c>
      <c r="D3307">
        <f>-825.266919965417 -114.953363469972 -201.544871583156</f>
        <v>-1141.7651550185451</v>
      </c>
      <c r="E3307">
        <f>-840.54361749936 -122.649781493366 -298.673915383086</f>
        <v>-1261.8673143758122</v>
      </c>
      <c r="F3307">
        <f>-849.740000576067 -126.65459205044 -387.204276759196</f>
        <v>-1363.598869385703</v>
      </c>
      <c r="G3307">
        <f>-853.933713517077 -127.617469715143 -476.197154614031</f>
        <v>-1457.7483378462509</v>
      </c>
      <c r="H3307">
        <f>-854.499855396126 -125.82456711285 -600.765527844382</f>
        <v>-1581.0899503533578</v>
      </c>
      <c r="I3307">
        <f>-821.31239785099 -113.263642977682 -675.904370637017</f>
        <v>-1610.480411465689</v>
      </c>
      <c r="J3307">
        <f>-864.278914427278 -100.786170587596 -545.531830721847</f>
        <v>-1510.5969157367208</v>
      </c>
      <c r="K3307" t="s">
        <v>35394</v>
      </c>
      <c r="L3307" t="s">
        <v>35395</v>
      </c>
      <c r="M3307" t="s">
        <v>35396</v>
      </c>
      <c r="N3307">
        <f>-844.222443251499 -152.440827783746 -546.366469476341</f>
        <v>-1543.0297405115862</v>
      </c>
      <c r="O3307">
        <f>-796.551355584227 -278.602093811601 -519.739891834386</f>
        <v>-1594.893341230214</v>
      </c>
      <c r="P3307">
        <f>-776.670104228766 -305.637771281458 -227.395933406152</f>
        <v>-1309.7038089163759</v>
      </c>
      <c r="Q3307">
        <f>-648.191499943207 -133.128443372527 -335.953211956631</f>
        <v>-1117.2731552723649</v>
      </c>
      <c r="R3307">
        <f>-834.320028621952 -8.88519755642142 -95.4585373010839</f>
        <v>-938.66376347945732</v>
      </c>
      <c r="S3307" t="s">
        <v>35397</v>
      </c>
      <c r="T3307" t="s">
        <v>35398</v>
      </c>
      <c r="U3307" t="s">
        <v>35399</v>
      </c>
      <c r="V3307">
        <f>-751.716931914077 -184.381834468309 -90.3697856192969</f>
        <v>-1026.4685520016828</v>
      </c>
      <c r="W3307" t="s">
        <v>35400</v>
      </c>
      <c r="X3307" t="s">
        <v>35401</v>
      </c>
      <c r="Y3307" t="s">
        <v>35402</v>
      </c>
    </row>
    <row r="3308" spans="1:25" x14ac:dyDescent="0.3">
      <c r="A3308">
        <v>165350</v>
      </c>
      <c r="B3308" t="s">
        <v>35403</v>
      </c>
      <c r="C3308">
        <f>-792.914516457232 -96.4230499465934 -91.8839646695986</f>
        <v>-981.2215310734241</v>
      </c>
      <c r="D3308">
        <f>-825.365159000782 -114.86393575629 -201.53396968399</f>
        <v>-1141.7630644410619</v>
      </c>
      <c r="E3308">
        <f>-840.662294465922 -122.558307141903 -298.659905671696</f>
        <v>-1261.880507279521</v>
      </c>
      <c r="F3308">
        <f>-849.880398164794 -126.559120699056 -387.188261658254</f>
        <v>-1363.6277805221041</v>
      </c>
      <c r="G3308">
        <f>-854.099471041357 -127.515507625703 -476.179800921508</f>
        <v>-1457.794779588568</v>
      </c>
      <c r="H3308">
        <f>-854.704532041917 -125.710943257715 -600.747954178808</f>
        <v>-1581.1634294784399</v>
      </c>
      <c r="I3308">
        <f>-821.544590942868 -113.154039053333 -675.899543814169</f>
        <v>-1610.5981738103701</v>
      </c>
      <c r="J3308">
        <f>-864.471513611824 -100.679781792245 -545.508882115625</f>
        <v>-1510.6601775196941</v>
      </c>
      <c r="K3308" t="s">
        <v>35404</v>
      </c>
      <c r="L3308" t="s">
        <v>35405</v>
      </c>
      <c r="M3308" t="s">
        <v>35406</v>
      </c>
      <c r="N3308">
        <f>-844.40502102474 -152.330323679351 -546.354601267682</f>
        <v>-1543.089945971773</v>
      </c>
      <c r="O3308">
        <f>-796.717966282604 -278.483956277328 -519.740497295042</f>
        <v>-1594.9424198549741</v>
      </c>
      <c r="P3308">
        <f>-776.782949947187 -305.486638222978 -227.397145962383</f>
        <v>-1309.6667341325481</v>
      </c>
      <c r="Q3308">
        <f>-648.310405490575 -132.978269894621 -335.963108566536</f>
        <v>-1117.251783951732</v>
      </c>
      <c r="R3308">
        <f>-834.407517845062 -8.7996354513507 -95.4525595430138</f>
        <v>-938.65971283942645</v>
      </c>
      <c r="S3308" t="s">
        <v>35407</v>
      </c>
      <c r="T3308" t="s">
        <v>35408</v>
      </c>
      <c r="U3308" t="s">
        <v>35409</v>
      </c>
      <c r="V3308">
        <f>-751.775192498003 -184.318118605051 -90.3682667550373</f>
        <v>-1026.4615778580912</v>
      </c>
      <c r="W3308" t="s">
        <v>35410</v>
      </c>
      <c r="X3308" t="s">
        <v>35411</v>
      </c>
      <c r="Y3308" t="s">
        <v>35412</v>
      </c>
    </row>
    <row r="3309" spans="1:25" x14ac:dyDescent="0.3">
      <c r="A3309">
        <v>165400</v>
      </c>
      <c r="B3309" t="s">
        <v>35413</v>
      </c>
      <c r="C3309">
        <f>-793.074905172214 -96.2479802873604 -91.8815955871449</f>
        <v>-981.20448104671937</v>
      </c>
      <c r="D3309">
        <f>-825.518803118021 -114.668790253155 -201.536908163623</f>
        <v>-1141.7245015347989</v>
      </c>
      <c r="E3309">
        <f>-840.818808333817 -122.342072559693 -298.664113974204</f>
        <v>-1261.8249948677139</v>
      </c>
      <c r="F3309">
        <f>-850.043294056192 -126.322192256078 -387.192629958692</f>
        <v>-1363.558116270962</v>
      </c>
      <c r="G3309">
        <f>-854.272670199901 -127.255730826264 -476.184122616738</f>
        <v>-1457.7125236429029</v>
      </c>
      <c r="H3309">
        <f>-854.896342103005 -125.416911654607 -600.751606530205</f>
        <v>-1581.0648602878171</v>
      </c>
      <c r="I3309">
        <f>-821.773433750425 -112.869722166925 -675.92121397734</f>
        <v>-1610.5643698946901</v>
      </c>
      <c r="J3309">
        <f>-864.669551737232 -100.406554487686 -545.504233732314</f>
        <v>-1510.5803399572319</v>
      </c>
      <c r="K3309" t="s">
        <v>35414</v>
      </c>
      <c r="L3309" t="s">
        <v>35415</v>
      </c>
      <c r="M3309" t="s">
        <v>35416</v>
      </c>
      <c r="N3309">
        <f>-844.574226045289 -152.04566505931 -546.36700081769</f>
        <v>-1542.986891922289</v>
      </c>
      <c r="O3309">
        <f>-796.806660881254 -278.182685147257 -519.797657220888</f>
        <v>-1594.7870032493988</v>
      </c>
      <c r="P3309">
        <f>-776.845745889031 -305.233941194549 -227.460500651908</f>
        <v>-1309.540187735488</v>
      </c>
      <c r="Q3309">
        <f>-648.443558629074 -132.612027414878 -335.929153950236</f>
        <v>-1116.984739994188</v>
      </c>
      <c r="R3309">
        <f>-834.5928276841 -8.61991965716766 -95.4368484177322</f>
        <v>-938.64959575899991</v>
      </c>
      <c r="S3309" t="s">
        <v>35417</v>
      </c>
      <c r="T3309" t="s">
        <v>35418</v>
      </c>
      <c r="U3309" t="s">
        <v>35419</v>
      </c>
      <c r="V3309">
        <f>-751.906503252154 -184.159778534872 -90.3758521810993</f>
        <v>-1026.4421339681253</v>
      </c>
      <c r="W3309" t="s">
        <v>35420</v>
      </c>
      <c r="X3309" t="s">
        <v>35421</v>
      </c>
      <c r="Y3309" t="s">
        <v>35422</v>
      </c>
    </row>
    <row r="3310" spans="1:25" x14ac:dyDescent="0.3">
      <c r="A3310">
        <v>165450</v>
      </c>
      <c r="B3310" t="s">
        <v>35413</v>
      </c>
      <c r="C3310">
        <f>-793.074905172214 -96.2479802873604 -91.8815955871449</f>
        <v>-981.20448104671937</v>
      </c>
      <c r="D3310">
        <f>-825.518803118021 -114.668790253155 -201.536908163623</f>
        <v>-1141.7245015347989</v>
      </c>
      <c r="E3310">
        <f>-840.818808333817 -122.342072559693 -298.664113974204</f>
        <v>-1261.8249948677139</v>
      </c>
      <c r="F3310">
        <f>-850.043294056192 -126.322192256078 -387.192629958692</f>
        <v>-1363.558116270962</v>
      </c>
      <c r="G3310">
        <f>-854.272670199901 -127.255730826264 -476.184122616738</f>
        <v>-1457.7125236429029</v>
      </c>
      <c r="H3310">
        <f>-854.896342103005 -125.416911654607 -600.751606530205</f>
        <v>-1581.0648602878171</v>
      </c>
      <c r="I3310">
        <f>-821.773433750425 -112.869722166925 -675.92121397734</f>
        <v>-1610.5643698946901</v>
      </c>
      <c r="J3310">
        <f>-864.669551737232 -100.406554487686 -545.504233732314</f>
        <v>-1510.5803399572319</v>
      </c>
      <c r="K3310" t="s">
        <v>35414</v>
      </c>
      <c r="L3310" t="s">
        <v>35415</v>
      </c>
      <c r="M3310" t="s">
        <v>35416</v>
      </c>
      <c r="N3310">
        <f>-844.574226045289 -152.04566505931 -546.36700081769</f>
        <v>-1542.986891922289</v>
      </c>
      <c r="O3310">
        <f>-796.806660881254 -278.182685147257 -519.797657220888</f>
        <v>-1594.7870032493988</v>
      </c>
      <c r="P3310">
        <f>-776.845745889031 -305.233941194549 -227.460500651908</f>
        <v>-1309.540187735488</v>
      </c>
      <c r="Q3310">
        <f>-648.443558629074 -132.612027414878 -335.929153950236</f>
        <v>-1116.984739994188</v>
      </c>
      <c r="R3310">
        <f>-834.5928276841 -8.61991965716766 -95.4368484177322</f>
        <v>-938.64959575899991</v>
      </c>
      <c r="S3310" t="s">
        <v>35417</v>
      </c>
      <c r="T3310" t="s">
        <v>35418</v>
      </c>
      <c r="U3310" t="s">
        <v>35419</v>
      </c>
      <c r="V3310">
        <f>-751.906503252154 -184.159778534872 -90.3758521810993</f>
        <v>-1026.4421339681253</v>
      </c>
      <c r="W3310" t="s">
        <v>35420</v>
      </c>
      <c r="X3310" t="s">
        <v>35421</v>
      </c>
      <c r="Y3310" t="s">
        <v>35422</v>
      </c>
    </row>
    <row r="3311" spans="1:25" x14ac:dyDescent="0.3">
      <c r="A3311">
        <v>165500</v>
      </c>
      <c r="B3311" t="s">
        <v>35423</v>
      </c>
      <c r="C3311">
        <f>-793.119089351417 -96.217553970925 -91.8870256950149</f>
        <v>-981.22366901735688</v>
      </c>
      <c r="D3311">
        <f>-825.560397235293 -114.638798992892 -201.543151240951</f>
        <v>-1141.7423474691359</v>
      </c>
      <c r="E3311">
        <f>-840.860195553679 -122.29635858061 -298.671481194262</f>
        <v>-1261.8280353285509</v>
      </c>
      <c r="F3311">
        <f>-850.084924885492 -126.255919469172 -387.200979276941</f>
        <v>-1363.541823631605</v>
      </c>
      <c r="G3311">
        <f>-854.315246926629 -127.162334156024 -476.192734493365</f>
        <v>-1457.6703155760181</v>
      </c>
      <c r="H3311">
        <f>-854.940949707869 -125.278757264179 -600.759407360265</f>
        <v>-1580.979114332313</v>
      </c>
      <c r="I3311">
        <f>-821.835572244706 -112.72334151952 -675.935445200646</f>
        <v>-1610.4943589648719</v>
      </c>
      <c r="J3311">
        <f>-864.719654162761 -100.290722966859 -545.502867109233</f>
        <v>-1510.5132442388531</v>
      </c>
      <c r="K3311" t="s">
        <v>35424</v>
      </c>
      <c r="L3311" t="s">
        <v>35425</v>
      </c>
      <c r="M3311" t="s">
        <v>35426</v>
      </c>
      <c r="N3311">
        <f>-844.611626246735 -151.924562761411 -546.384656068115</f>
        <v>-1542.920845076261</v>
      </c>
      <c r="O3311">
        <f>-796.814814451686 -278.057996703 -519.847822524712</f>
        <v>-1594.7206336793979</v>
      </c>
      <c r="P3311">
        <f>-776.906795973048 -305.138658468338 -227.5099324793</f>
        <v>-1309.555386920686</v>
      </c>
      <c r="Q3311">
        <f>-648.492152641093 -132.489307236747 -335.919822064542</f>
        <v>-1116.901281942382</v>
      </c>
      <c r="R3311">
        <f>-834.622016622582 -8.63678313732316 -95.4199608924731</f>
        <v>-938.67876065237829</v>
      </c>
      <c r="S3311" t="s">
        <v>35427</v>
      </c>
      <c r="T3311" t="s">
        <v>35428</v>
      </c>
      <c r="U3311" t="s">
        <v>35429</v>
      </c>
      <c r="V3311">
        <f>-751.949283831465 -184.135651851222 -90.3830713542533</f>
        <v>-1026.4680070369404</v>
      </c>
      <c r="W3311" t="s">
        <v>35430</v>
      </c>
      <c r="X3311" t="s">
        <v>35431</v>
      </c>
      <c r="Y3311" t="s">
        <v>35432</v>
      </c>
    </row>
    <row r="3312" spans="1:25" x14ac:dyDescent="0.3">
      <c r="A3312">
        <v>165550</v>
      </c>
      <c r="B3312" t="s">
        <v>35433</v>
      </c>
      <c r="C3312">
        <f>-793.218538105398 -95.879670783237 -91.8923489985332</f>
        <v>-980.99055788716817</v>
      </c>
      <c r="D3312">
        <f>-825.614381852481 -114.284031025667 -201.564587292727</f>
        <v>-1141.4630001708749</v>
      </c>
      <c r="E3312">
        <f>-840.932600954969 -121.938436044538 -298.690395689613</f>
        <v>-1261.56143268912</v>
      </c>
      <c r="F3312">
        <f>-850.197599790401 -125.900311322805 -387.215497808815</f>
        <v>-1363.3134089220209</v>
      </c>
      <c r="G3312">
        <f>-854.491368327559 -126.814440961641 -476.204114621397</f>
        <v>-1457.5099239105971</v>
      </c>
      <c r="H3312">
        <f>-855.230386092279 -124.947187860122 -600.77058364147</f>
        <v>-1580.948157593871</v>
      </c>
      <c r="I3312">
        <f>-822.161985109562 -112.486717194556 -675.978566330265</f>
        <v>-1610.6272686343832</v>
      </c>
      <c r="J3312">
        <f>-864.965562255769 -99.9545737924934 -545.508467490789</f>
        <v>-1510.4286035390514</v>
      </c>
      <c r="K3312" t="s">
        <v>35434</v>
      </c>
      <c r="L3312" t="s">
        <v>35435</v>
      </c>
      <c r="M3312" t="s">
        <v>35436</v>
      </c>
      <c r="N3312">
        <f>-844.844755410057 -151.583198669531 -546.401704407951</f>
        <v>-1542.8296584875391</v>
      </c>
      <c r="O3312">
        <f>-796.989256542253 -277.712165883708 -519.947547962801</f>
        <v>-1594.6489703887619</v>
      </c>
      <c r="P3312">
        <f>-777.248019989357 -304.921510246429 -227.610218847561</f>
        <v>-1309.7797490833468</v>
      </c>
      <c r="Q3312">
        <f>-648.849165711526 -132.135845249088 -335.821652075197</f>
        <v>-1116.806663035811</v>
      </c>
      <c r="R3312">
        <f>-834.736188595295 -8.35186270636518 -95.4077765135144</f>
        <v>-938.49582781517449</v>
      </c>
      <c r="S3312" t="s">
        <v>35437</v>
      </c>
      <c r="T3312" t="s">
        <v>35438</v>
      </c>
      <c r="U3312" t="s">
        <v>35439</v>
      </c>
      <c r="V3312">
        <f>-752.058781550543 -183.684448274816 -90.4038222162378</f>
        <v>-1026.1470520415967</v>
      </c>
      <c r="W3312" t="s">
        <v>35440</v>
      </c>
      <c r="X3312" t="s">
        <v>35441</v>
      </c>
      <c r="Y3312" t="s">
        <v>35442</v>
      </c>
    </row>
    <row r="3313" spans="1:25" x14ac:dyDescent="0.3">
      <c r="A3313">
        <v>165600</v>
      </c>
      <c r="B3313" t="s">
        <v>35443</v>
      </c>
      <c r="C3313">
        <f>-793.211203628291 -95.8315569716958 -91.8822337281588</f>
        <v>-980.92499432814554</v>
      </c>
      <c r="D3313">
        <f>-825.61427590171 -114.233544008796 -201.552872291572</f>
        <v>-1141.4006922020781</v>
      </c>
      <c r="E3313">
        <f>-840.970333018689 -121.887579731429 -298.672602484552</f>
        <v>-1261.53051523467</v>
      </c>
      <c r="F3313">
        <f>-850.282204345968 -125.849922631762 -387.192756455692</f>
        <v>-1363.324883433422</v>
      </c>
      <c r="G3313">
        <f>-854.635883521347 -126.765367277253 -476.178514652862</f>
        <v>-1457.579765451462</v>
      </c>
      <c r="H3313">
        <f>-855.471191854144 -124.900635987403 -600.744245464247</f>
        <v>-1581.1160733057941</v>
      </c>
      <c r="I3313">
        <f>-822.42118473498 -112.504411849456 -675.971032185646</f>
        <v>-1610.8966287700819</v>
      </c>
      <c r="J3313">
        <f>-865.158541372273 -99.9048898523748 -545.475079912372</f>
        <v>-1510.5385111370199</v>
      </c>
      <c r="K3313" t="s">
        <v>35444</v>
      </c>
      <c r="L3313" t="s">
        <v>35445</v>
      </c>
      <c r="M3313" t="s">
        <v>35446</v>
      </c>
      <c r="N3313">
        <f>-845.04863835588 -151.537584212531 -546.382864760188</f>
        <v>-1542.969087328599</v>
      </c>
      <c r="O3313">
        <f>-797.194189692651 -277.676639752754 -519.964102238394</f>
        <v>-1594.8349316837989</v>
      </c>
      <c r="P3313">
        <f>-777.428918202681 -304.952149831682 -227.63455039341</f>
        <v>-1310.015618427773</v>
      </c>
      <c r="Q3313">
        <f>-649.018619244663 -132.12659493697 -335.768672660622</f>
        <v>-1116.9138868422551</v>
      </c>
      <c r="R3313">
        <f>-834.719753965426 -8.31721819683571 -95.3971616850154</f>
        <v>-938.43413384727705</v>
      </c>
      <c r="S3313" t="s">
        <v>35447</v>
      </c>
      <c r="T3313" t="s">
        <v>35448</v>
      </c>
      <c r="U3313" t="s">
        <v>35449</v>
      </c>
      <c r="V3313">
        <f>-752.050005126596 -183.674661461782 -90.4063837930801</f>
        <v>-1026.1310503814582</v>
      </c>
      <c r="W3313" t="s">
        <v>35450</v>
      </c>
      <c r="X3313" t="s">
        <v>35451</v>
      </c>
      <c r="Y3313" t="s">
        <v>35452</v>
      </c>
    </row>
    <row r="3314" spans="1:25" x14ac:dyDescent="0.3">
      <c r="A3314">
        <v>165650</v>
      </c>
      <c r="B3314" t="s">
        <v>35453</v>
      </c>
      <c r="C3314">
        <f>-793.077500966165 -95.5145252032172 -91.8882305650179</f>
        <v>-980.48025673440009</v>
      </c>
      <c r="D3314">
        <f>-825.502442102043 -113.888758844772 -201.55688868983</f>
        <v>-1140.9480896366451</v>
      </c>
      <c r="E3314">
        <f>-840.951790542079 -121.541059206376 -298.662160750041</f>
        <v>-1261.155010498496</v>
      </c>
      <c r="F3314">
        <f>-850.378878865531 -125.510588654364 -387.169804995364</f>
        <v>-1363.059272515259</v>
      </c>
      <c r="G3314">
        <f>-854.878601074504 -126.441992788856 -476.14811558194</f>
        <v>-1457.4687094453</v>
      </c>
      <c r="H3314">
        <f>-855.950131318642 -124.608486102041 -600.712527365583</f>
        <v>-1581.2711447862659</v>
      </c>
      <c r="I3314">
        <f>-822.963595510885 -112.427054413178 -676.002229031796</f>
        <v>-1611.392878955859</v>
      </c>
      <c r="J3314">
        <f>-865.518185441113 -99.5931693009271 -545.431391416155</f>
        <v>-1510.5427461581951</v>
      </c>
      <c r="K3314" t="s">
        <v>35454</v>
      </c>
      <c r="L3314" t="s">
        <v>35455</v>
      </c>
      <c r="M3314" t="s">
        <v>35456</v>
      </c>
      <c r="N3314">
        <f>-845.439183982264 -151.237459149876 -546.36432672695</f>
        <v>-1543.0409698590902</v>
      </c>
      <c r="O3314">
        <f>-797.587994993708 -277.387341955411 -520.034011689151</f>
        <v>-1595.0093486382702</v>
      </c>
      <c r="P3314">
        <f>-777.883921179978 -304.776308485077 -227.710914571036</f>
        <v>-1310.3711442360909</v>
      </c>
      <c r="Q3314">
        <f>-649.423088065725 -131.893931830915 -335.694119330091</f>
        <v>-1117.0111392267308</v>
      </c>
      <c r="R3314">
        <f>-834.562599196693 -8.02854164377413 -95.3889905876404</f>
        <v>-937.98013142810748</v>
      </c>
      <c r="S3314" t="s">
        <v>35457</v>
      </c>
      <c r="T3314" t="s">
        <v>35458</v>
      </c>
      <c r="U3314" t="s">
        <v>35459</v>
      </c>
      <c r="V3314">
        <f>-751.954446130198 -183.231720786311 -90.4312879628254</f>
        <v>-1025.6174548793344</v>
      </c>
      <c r="W3314" t="s">
        <v>35460</v>
      </c>
      <c r="X3314" t="s">
        <v>35461</v>
      </c>
      <c r="Y3314" t="s">
        <v>35462</v>
      </c>
    </row>
    <row r="3315" spans="1:25" x14ac:dyDescent="0.3">
      <c r="A3315">
        <v>165700</v>
      </c>
      <c r="B3315" t="s">
        <v>35463</v>
      </c>
      <c r="C3315">
        <f>-792.938784469498 -95.3926652974882 -91.8810853406328</f>
        <v>-980.21253510761903</v>
      </c>
      <c r="D3315">
        <f>-825.403166677343 -113.749826945455 -201.541145739207</f>
        <v>-1140.694139362005</v>
      </c>
      <c r="E3315">
        <f>-840.977908039687 -121.388319689627 -298.627345051674</f>
        <v>-1260.993572780988</v>
      </c>
      <c r="F3315">
        <f>-850.555460798986 -125.345554445619 -387.119402076278</f>
        <v>-1363.0204173208831</v>
      </c>
      <c r="G3315">
        <f>-855.242392906824 -126.265168137548 -476.088160024246</f>
        <v>-1457.5957210686179</v>
      </c>
      <c r="H3315">
        <f>-856.613908465159 -124.415608966647 -600.64944577984</f>
        <v>-1581.6789632116461</v>
      </c>
      <c r="I3315">
        <f>-823.758209326275 -112.482636242267 -676.035907495463</f>
        <v>-1612.2767530640049</v>
      </c>
      <c r="J3315">
        <f>-866.026494598121 -99.3987517965464 -545.342257132239</f>
        <v>-1510.7675035269062</v>
      </c>
      <c r="K3315" t="s">
        <v>35464</v>
      </c>
      <c r="L3315" t="s">
        <v>35465</v>
      </c>
      <c r="M3315" t="s">
        <v>35466</v>
      </c>
      <c r="N3315">
        <f>-845.994182934851 -151.060153409322 -546.329957488799</f>
        <v>-1543.3842938329719</v>
      </c>
      <c r="O3315">
        <f>-798.146309279315 -277.248484696216 -520.144961021172</f>
        <v>-1595.5397549967029</v>
      </c>
      <c r="P3315">
        <f>-778.282677626774 -304.773712472429 -227.845494514608</f>
        <v>-1310.9018846138108</v>
      </c>
      <c r="Q3315">
        <f>-649.998163822875 -131.655380737137 -335.660177149377</f>
        <v>-1117.313721709389</v>
      </c>
      <c r="R3315">
        <f>-834.376597002935 -7.9072773645787 -95.3582526928734</f>
        <v>-937.64212706038711</v>
      </c>
      <c r="S3315" t="s">
        <v>35467</v>
      </c>
      <c r="T3315" t="s">
        <v>35468</v>
      </c>
      <c r="U3315" t="s">
        <v>35469</v>
      </c>
      <c r="V3315">
        <f>-751.857986697572 -183.165416197748 -90.4331004257803</f>
        <v>-1025.4565033211002</v>
      </c>
      <c r="W3315" t="s">
        <v>35470</v>
      </c>
      <c r="X3315" t="s">
        <v>35471</v>
      </c>
      <c r="Y3315" t="s">
        <v>35472</v>
      </c>
    </row>
    <row r="3316" spans="1:25" x14ac:dyDescent="0.3">
      <c r="A3316">
        <v>165750</v>
      </c>
      <c r="B3316" t="s">
        <v>35473</v>
      </c>
      <c r="C3316">
        <f>-792.85554688019 -95.3142596344237 -91.8728345396614</f>
        <v>-980.04264105427512</v>
      </c>
      <c r="D3316">
        <f>-825.346234853148 -113.645135912571 -201.529440723337</f>
        <v>-1140.5208114890561</v>
      </c>
      <c r="E3316">
        <f>-840.976550582591 -121.261224075077 -298.608502560441</f>
        <v>-1260.8462772181092</v>
      </c>
      <c r="F3316">
        <f>-850.618057249414 -125.19775833072 -387.094553881284</f>
        <v>-1362.9103694614182</v>
      </c>
      <c r="G3316">
        <f>-855.382625261995 -126.09628273418 -476.05928115694</f>
        <v>-1457.5381891531151</v>
      </c>
      <c r="H3316">
        <f>-856.876882793777 -124.216668443105 -600.618844432851</f>
        <v>-1581.7123956697328</v>
      </c>
      <c r="I3316">
        <f>-824.079483428697 -112.376922536405 -676.045467079305</f>
        <v>-1612.5018730444071</v>
      </c>
      <c r="J3316">
        <f>-866.22314645245 -99.2086651513373 -545.296407389662</f>
        <v>-1510.7282189934494</v>
      </c>
      <c r="K3316" t="s">
        <v>35474</v>
      </c>
      <c r="L3316" t="s">
        <v>35475</v>
      </c>
      <c r="M3316" t="s">
        <v>35476</v>
      </c>
      <c r="N3316">
        <f>-846.215388216104 -150.878903039625 -546.316267350853</f>
        <v>-1543.4105586065821</v>
      </c>
      <c r="O3316">
        <f>-798.371672768232 -277.084387328026 -520.212079494373</f>
        <v>-1595.668139590631</v>
      </c>
      <c r="P3316">
        <f>-778.404149851879 -304.744555273707 -227.932253641913</f>
        <v>-1311.0809587674989</v>
      </c>
      <c r="Q3316">
        <f>-650.182460703515 -131.562882092894 -335.7198962016</f>
        <v>-1117.465238998009</v>
      </c>
      <c r="R3316">
        <f>-834.253021519291 -7.80539187858903 -95.3431264582213</f>
        <v>-937.40153985610129</v>
      </c>
      <c r="S3316" t="s">
        <v>35477</v>
      </c>
      <c r="T3316" t="s">
        <v>35478</v>
      </c>
      <c r="U3316" t="s">
        <v>35479</v>
      </c>
      <c r="V3316">
        <f>-751.80907694057 -183.109724325203 -90.4332366676691</f>
        <v>-1025.352037933442</v>
      </c>
      <c r="W3316" t="s">
        <v>35480</v>
      </c>
      <c r="X3316" t="s">
        <v>35481</v>
      </c>
      <c r="Y3316" t="s">
        <v>35482</v>
      </c>
    </row>
    <row r="3317" spans="1:25" x14ac:dyDescent="0.3">
      <c r="A3317">
        <v>165800</v>
      </c>
      <c r="B3317" t="s">
        <v>35483</v>
      </c>
      <c r="C3317">
        <f>-792.777862816124 -95.2173071853795 -91.8377182354423</f>
        <v>-979.83288823694568</v>
      </c>
      <c r="D3317">
        <f>-825.326025472137 -113.52862792541 -201.480453207979</f>
        <v>-1140.3351066055259</v>
      </c>
      <c r="E3317">
        <f>-841.08478914371 -121.117612006168 -298.540904505729</f>
        <v>-1260.7433056556069</v>
      </c>
      <c r="F3317">
        <f>-850.874138460082 -125.025126250907 -387.012112881836</f>
        <v>-1362.9113775928249</v>
      </c>
      <c r="G3317">
        <f>-855.818528773763 -125.890016037858 -475.967345837409</f>
        <v>-1457.67589064903</v>
      </c>
      <c r="H3317">
        <f>-857.596868853294 -123.958335662747 -600.522285591006</f>
        <v>-1582.0774901070472</v>
      </c>
      <c r="I3317">
        <f>-824.884631163486 -112.183095277987 -675.996040385447</f>
        <v>-1613.0637668269201</v>
      </c>
      <c r="J3317">
        <f>-866.799682739374 -98.9666946185926 -545.168540339241</f>
        <v>-1510.9349176972075</v>
      </c>
      <c r="K3317" t="s">
        <v>35484</v>
      </c>
      <c r="L3317" t="s">
        <v>35485</v>
      </c>
      <c r="M3317" t="s">
        <v>35486</v>
      </c>
      <c r="N3317">
        <f>-846.829116016044 -150.650004267347 -546.255203075238</f>
        <v>-1543.7343233586289</v>
      </c>
      <c r="O3317">
        <f>-798.98277471932 -276.886721897785 -520.315899967986</f>
        <v>-1596.185396585091</v>
      </c>
      <c r="P3317">
        <f>-778.748521127453 -304.846884331885 -228.083033485591</f>
        <v>-1311.678438944929</v>
      </c>
      <c r="Q3317">
        <f>-650.724731332524 -131.446076206076 -335.753404961322</f>
        <v>-1117.9242124999221</v>
      </c>
      <c r="R3317">
        <f>-834.123598806989 -7.68775192116391 -95.2895522613724</f>
        <v>-937.10090298952525</v>
      </c>
      <c r="S3317" t="s">
        <v>35487</v>
      </c>
      <c r="T3317" t="s">
        <v>35488</v>
      </c>
      <c r="U3317" t="s">
        <v>35489</v>
      </c>
      <c r="V3317">
        <f>-751.819353527392 -183.028113304824 -90.4178256117015</f>
        <v>-1025.2652924439176</v>
      </c>
      <c r="W3317" t="s">
        <v>35490</v>
      </c>
      <c r="X3317" t="s">
        <v>35491</v>
      </c>
      <c r="Y3317" t="s">
        <v>35492</v>
      </c>
    </row>
    <row r="3318" spans="1:25" x14ac:dyDescent="0.3">
      <c r="A3318">
        <v>165850</v>
      </c>
      <c r="B3318" t="s">
        <v>35493</v>
      </c>
      <c r="C3318">
        <f>-792.739160496846 -95.104609565 -91.8100546867577</f>
        <v>-979.65382474860371</v>
      </c>
      <c r="D3318">
        <f>-825.313049977346 -113.404742104222 -201.447032220258</f>
        <v>-1140.164824301826</v>
      </c>
      <c r="E3318">
        <f>-841.132249861774 -120.982605250514 -298.498556706219</f>
        <v>-1260.6134118185068</v>
      </c>
      <c r="F3318">
        <f>-850.992104651493 -124.879031114779 -386.962318348278</f>
        <v>-1362.83345411455</v>
      </c>
      <c r="G3318">
        <f>-856.022706650427 -125.73144922557 -475.91288841641</f>
        <v>-1457.6670442924071</v>
      </c>
      <c r="H3318">
        <f>-857.938520650647 -123.780841552677 -600.465441446015</f>
        <v>-1582.1848036493388</v>
      </c>
      <c r="I3318">
        <f>-825.241421331965 -111.986173965186 -675.942806963898</f>
        <v>-1613.1704022610488</v>
      </c>
      <c r="J3318">
        <f>-867.078950467527 -98.7971598938324 -545.09779819148</f>
        <v>-1510.9739085528395</v>
      </c>
      <c r="K3318" t="s">
        <v>35494</v>
      </c>
      <c r="L3318" t="s">
        <v>35495</v>
      </c>
      <c r="M3318" t="s">
        <v>35496</v>
      </c>
      <c r="N3318">
        <f>-847.112052559464 -150.481269832454 -546.214247577074</f>
        <v>-1543.8075699689921</v>
      </c>
      <c r="O3318">
        <f>-799.243714162276 -276.725595919727 -520.350180051945</f>
        <v>-1596.319490133948</v>
      </c>
      <c r="P3318">
        <f>-778.925583867942 -304.780822859069 -228.13234107187</f>
        <v>-1311.8387477988811</v>
      </c>
      <c r="Q3318">
        <f>-650.938410158883 -131.298481120425 -335.714964347137</f>
        <v>-1117.951855626445</v>
      </c>
      <c r="R3318">
        <f>-834.084756184631 -7.59765029265236 -95.2521173196923</f>
        <v>-936.93452379697567</v>
      </c>
      <c r="S3318" t="s">
        <v>35497</v>
      </c>
      <c r="T3318" t="s">
        <v>35498</v>
      </c>
      <c r="U3318" t="s">
        <v>35499</v>
      </c>
      <c r="V3318">
        <f>-751.761040763666 -182.868432126457 -90.4184464938271</f>
        <v>-1025.0479193839501</v>
      </c>
      <c r="W3318" t="s">
        <v>35500</v>
      </c>
      <c r="X3318" t="s">
        <v>35501</v>
      </c>
      <c r="Y3318" t="s">
        <v>35502</v>
      </c>
    </row>
    <row r="3319" spans="1:25" x14ac:dyDescent="0.3">
      <c r="A3319">
        <v>165900</v>
      </c>
      <c r="B3319" t="s">
        <v>35503</v>
      </c>
      <c r="C3319">
        <f>-792.580662922866 -95.0595004993784 -91.7757024180029</f>
        <v>-979.41586584024731</v>
      </c>
      <c r="D3319">
        <f>-825.218764170535 -113.363924959664 -201.392920642734</f>
        <v>-1139.975609772933</v>
      </c>
      <c r="E3319">
        <f>-841.155938533072 -120.924906050672 -298.426317559392</f>
        <v>-1260.5071621431359</v>
      </c>
      <c r="F3319">
        <f>-851.148074237786 -124.797271948185 -386.876392023632</f>
        <v>-1362.8217382096029</v>
      </c>
      <c r="G3319">
        <f>-856.336169495477 -125.616304903574 -475.81811973273</f>
        <v>-1457.7705941317809</v>
      </c>
      <c r="H3319">
        <f>-858.498455508656 -123.608707484475 -600.365773106595</f>
        <v>-1582.472936099726</v>
      </c>
      <c r="I3319">
        <f>-825.816516365468 -111.727169757382 -675.83593253875</f>
        <v>-1613.3796186616</v>
      </c>
      <c r="J3319">
        <f>-867.538380524713 -98.6539461120843 -544.968679905013</f>
        <v>-1511.1610065418104</v>
      </c>
      <c r="K3319" t="s">
        <v>35504</v>
      </c>
      <c r="L3319" t="s">
        <v>35505</v>
      </c>
      <c r="M3319" t="s">
        <v>35506</v>
      </c>
      <c r="N3319">
        <f>-847.5555000975 -150.330417545704 -546.148553166759</f>
        <v>-1544.0344708099631</v>
      </c>
      <c r="O3319">
        <f>-799.599525602676 -276.56437526754 -520.402529087104</f>
        <v>-1596.56642995732</v>
      </c>
      <c r="P3319">
        <f>-779.170413462008 -304.843644529384 -228.214010553556</f>
        <v>-1312.228068544948</v>
      </c>
      <c r="Q3319">
        <f>-651.24719650882 -131.20772349271 -335.624895347436</f>
        <v>-1118.0798153489659</v>
      </c>
      <c r="R3319">
        <f>-833.939672250592 -7.53615672817455 -95.1855626820759</f>
        <v>-936.66139166084247</v>
      </c>
      <c r="S3319" t="s">
        <v>35507</v>
      </c>
      <c r="T3319" t="s">
        <v>35508</v>
      </c>
      <c r="U3319" t="s">
        <v>35509</v>
      </c>
      <c r="V3319">
        <f>-751.583171960738 -182.879434372149 -90.4035001035371</f>
        <v>-1024.8661064364242</v>
      </c>
      <c r="W3319" t="s">
        <v>35510</v>
      </c>
      <c r="X3319" t="s">
        <v>35511</v>
      </c>
      <c r="Y3319" t="s">
        <v>35512</v>
      </c>
    </row>
    <row r="3320" spans="1:25" x14ac:dyDescent="0.3">
      <c r="A3320">
        <v>165950</v>
      </c>
      <c r="B3320" t="s">
        <v>35513</v>
      </c>
      <c r="C3320">
        <f>-792.491728425628 -94.9790751426159 -91.7752141275756</f>
        <v>-979.24601769581955</v>
      </c>
      <c r="D3320">
        <f>-825.136520414618 -113.282409286938 -201.39045355143</f>
        <v>-1139.809383252986</v>
      </c>
      <c r="E3320">
        <f>-841.117292592546 -120.831493497713 -298.417730235066</f>
        <v>-1260.3665163253252</v>
      </c>
      <c r="F3320">
        <f>-851.164159756933 -124.688715358871 -386.862229967508</f>
        <v>-1362.715105083312</v>
      </c>
      <c r="G3320">
        <f>-856.422229262198 -125.488029044365 -475.800161276414</f>
        <v>-1457.710419582977</v>
      </c>
      <c r="H3320">
        <f>-858.698257021952 -123.447653184266 -600.345251331521</f>
        <v>-1582.4911615377391</v>
      </c>
      <c r="I3320">
        <f>-826.027035607161 -111.511896593523 -675.811472615441</f>
        <v>-1613.3504048161249</v>
      </c>
      <c r="J3320">
        <f>-867.695616182577 -98.5105890338967 -544.933085545239</f>
        <v>-1511.1392907617128</v>
      </c>
      <c r="K3320" t="s">
        <v>35514</v>
      </c>
      <c r="L3320" t="s">
        <v>35515</v>
      </c>
      <c r="M3320" t="s">
        <v>35516</v>
      </c>
      <c r="N3320">
        <f>-847.697529141482 -150.180396214017 -546.145175591922</f>
        <v>-1544.023100947421</v>
      </c>
      <c r="O3320">
        <f>-799.664044220698 -276.401829554721 -520.482560869104</f>
        <v>-1596.548434644523</v>
      </c>
      <c r="P3320">
        <f>-779.223464291121 -304.819554350461 -228.308290586782</f>
        <v>-1312.351309228364</v>
      </c>
      <c r="Q3320">
        <f>-651.353526605098 -131.072811894073 -335.603336059618</f>
        <v>-1118.0296745587889</v>
      </c>
      <c r="R3320">
        <f>-833.882179660242 -7.49188152409215 -95.169470029228</f>
        <v>-936.54353121356212</v>
      </c>
      <c r="S3320" t="s">
        <v>35517</v>
      </c>
      <c r="T3320" t="s">
        <v>35518</v>
      </c>
      <c r="U3320" t="s">
        <v>35519</v>
      </c>
      <c r="V3320">
        <f>-751.448161252482 -182.714879002674 -90.4181606583985</f>
        <v>-1024.5812009135545</v>
      </c>
      <c r="W3320" t="s">
        <v>35520</v>
      </c>
      <c r="X3320" t="s">
        <v>35521</v>
      </c>
      <c r="Y3320" t="s">
        <v>35522</v>
      </c>
    </row>
    <row r="3321" spans="1:25" x14ac:dyDescent="0.3">
      <c r="A3321">
        <v>166000</v>
      </c>
      <c r="B3321" t="s">
        <v>35523</v>
      </c>
      <c r="C3321">
        <f>-792.394542949997 -94.9774060880346 -91.7654552091999</f>
        <v>-979.13740424723153</v>
      </c>
      <c r="D3321">
        <f>-825.016687147017 -113.304741945544 -201.383465872605</f>
        <v>-1139.704894965166</v>
      </c>
      <c r="E3321">
        <f>-841.075676186431 -120.842114057975 -298.398765252939</f>
        <v>-1260.316555497345</v>
      </c>
      <c r="F3321">
        <f>-851.231538012911 -124.677106502114 -386.831690791964</f>
        <v>-1362.740335306989</v>
      </c>
      <c r="G3321">
        <f>-856.637329152595 -125.44249333009 -475.761134410764</f>
        <v>-1457.8409568934489</v>
      </c>
      <c r="H3321">
        <f>-859.158659237585 -123.342871098718 -600.300565503005</f>
        <v>-1582.8020958393081</v>
      </c>
      <c r="I3321">
        <f>-826.533105578877 -111.296029201479 -675.768758147914</f>
        <v>-1613.5978929282701</v>
      </c>
      <c r="J3321">
        <f>-868.059091810529 -98.436854422689 -544.858772808686</f>
        <v>-1511.354719041904</v>
      </c>
      <c r="K3321" t="s">
        <v>35524</v>
      </c>
      <c r="L3321" t="s">
        <v>35525</v>
      </c>
      <c r="M3321" t="s">
        <v>35526</v>
      </c>
      <c r="N3321">
        <f>-848.039262126718 -150.096767634534 -546.135031789992</f>
        <v>-1544.271061551244</v>
      </c>
      <c r="O3321">
        <f>-799.803340423982 -276.290422251667 -520.689953900127</f>
        <v>-1596.783716575776</v>
      </c>
      <c r="P3321">
        <f>-779.202040144645 -304.984270928531 -228.554023306298</f>
        <v>-1312.740334379474</v>
      </c>
      <c r="Q3321">
        <f>-651.647615477953 -130.799004572976 -335.512995483393</f>
        <v>-1117.959615534322</v>
      </c>
      <c r="R3321">
        <f>-833.892962021304 -7.57212587416598 -95.1533278541469</f>
        <v>-936.61841574961693</v>
      </c>
      <c r="S3321" t="s">
        <v>35527</v>
      </c>
      <c r="T3321" t="s">
        <v>35528</v>
      </c>
      <c r="U3321" t="s">
        <v>35529</v>
      </c>
      <c r="V3321">
        <f>-751.265851771394 -182.608006604929 -90.4332490527451</f>
        <v>-1024.3071074290681</v>
      </c>
      <c r="W3321" t="s">
        <v>35530</v>
      </c>
      <c r="X3321" t="s">
        <v>35531</v>
      </c>
      <c r="Y3321" t="s">
        <v>35532</v>
      </c>
    </row>
    <row r="3322" spans="1:25" x14ac:dyDescent="0.3">
      <c r="A3322">
        <v>166050</v>
      </c>
      <c r="B3322" t="s">
        <v>35533</v>
      </c>
      <c r="C3322">
        <f>-792.382987899608 -95.02146101515 -91.7579413484062</f>
        <v>-979.16239026316418</v>
      </c>
      <c r="D3322">
        <f>-825.000448183886 -113.359806065758 -201.375602558316</f>
        <v>-1139.7358568079599</v>
      </c>
      <c r="E3322">
        <f>-841.098571267867 -120.876842879384 -298.385876768224</f>
        <v>-1260.3612909154749</v>
      </c>
      <c r="F3322">
        <f>-851.3071311754 -124.681849405024 -386.814027493319</f>
        <v>-1362.8030080737428</v>
      </c>
      <c r="G3322">
        <f>-856.781982434783 -125.405793672788 -475.739626061488</f>
        <v>-1457.927402169059</v>
      </c>
      <c r="H3322">
        <f>-859.417262654015 -123.236049051401 -600.275321121904</f>
        <v>-1582.9286328273199</v>
      </c>
      <c r="I3322">
        <f>-826.811438849146 -111.118490749447 -675.741007446707</f>
        <v>-1613.6709370453</v>
      </c>
      <c r="J3322">
        <f>-868.276444295592 -98.364992571771 -544.811390686288</f>
        <v>-1511.4528275536509</v>
      </c>
      <c r="K3322" t="s">
        <v>35534</v>
      </c>
      <c r="L3322" t="s">
        <v>35535</v>
      </c>
      <c r="M3322" t="s">
        <v>35536</v>
      </c>
      <c r="N3322">
        <f>-848.238737216284 -150.016726365302 -546.135391590808</f>
        <v>-1544.3908551723939</v>
      </c>
      <c r="O3322">
        <f>-799.893672893976 -276.197459481031 -520.841548972422</f>
        <v>-1596.932681347429</v>
      </c>
      <c r="P3322">
        <f>-779.125096570846 -305.085602215308 -228.736532474334</f>
        <v>-1312.947231260488</v>
      </c>
      <c r="Q3322">
        <f>-651.797853913042 -130.629609667272 -335.524832286327</f>
        <v>-1117.952295866641</v>
      </c>
      <c r="R3322">
        <f>-833.946392654478 -7.60760826661408 -95.1469292170655</f>
        <v>-936.70093013815756</v>
      </c>
      <c r="S3322" t="s">
        <v>35537</v>
      </c>
      <c r="T3322" t="s">
        <v>35538</v>
      </c>
      <c r="U3322" t="s">
        <v>35539</v>
      </c>
      <c r="V3322">
        <f>-751.198815071291 -182.706294873314 -90.433497500597</f>
        <v>-1024.3386074452021</v>
      </c>
      <c r="W3322" t="s">
        <v>35540</v>
      </c>
      <c r="X3322" t="s">
        <v>35541</v>
      </c>
      <c r="Y3322" t="s">
        <v>35542</v>
      </c>
    </row>
    <row r="3323" spans="1:25" x14ac:dyDescent="0.3">
      <c r="A3323">
        <v>166100</v>
      </c>
      <c r="B3323" t="s">
        <v>35543</v>
      </c>
      <c r="C3323">
        <f>-792.285100236819 -94.9037185019689 -91.7651524993562</f>
        <v>-978.95397123814405</v>
      </c>
      <c r="D3323">
        <f>-824.909978159882 -113.245093629781 -201.380098015104</f>
        <v>-1139.5351698047671</v>
      </c>
      <c r="E3323">
        <f>-841.111834047239 -120.700164722563 -298.377997046319</f>
        <v>-1260.1899958161212</v>
      </c>
      <c r="F3323">
        <f>-851.452048804032 -124.4239498264 -386.794244450638</f>
        <v>-1362.6702430810699</v>
      </c>
      <c r="G3323">
        <f>-857.096606339805 -125.040857373036 -475.71005046191</f>
        <v>-1457.847514174751</v>
      </c>
      <c r="H3323">
        <f>-860.008373081924 -122.69462170127 -600.236483136666</f>
        <v>-1582.9394779198601</v>
      </c>
      <c r="I3323">
        <f>-827.468660421736 -110.438953246021 -675.708240375333</f>
        <v>-1613.6158540430902</v>
      </c>
      <c r="J3323">
        <f>-868.762139296157 -97.9090910412477 -544.717456245684</f>
        <v>-1511.3886865830887</v>
      </c>
      <c r="K3323" t="s">
        <v>35544</v>
      </c>
      <c r="L3323" t="s">
        <v>35545</v>
      </c>
      <c r="M3323" t="s">
        <v>35546</v>
      </c>
      <c r="N3323">
        <f>-848.6919716964 -149.545032001323 -546.159537764827</f>
        <v>-1544.39654146255</v>
      </c>
      <c r="O3323">
        <f>-800.181807353355 -275.721346311097 -521.173237304764</f>
        <v>-1597.0763909692159</v>
      </c>
      <c r="P3323">
        <f>-778.848945812561 -305.165959461455 -229.164401174409</f>
        <v>-1313.179306448425</v>
      </c>
      <c r="Q3323">
        <f>-651.983704379662 -130.171933407412 -335.621880054009</f>
        <v>-1117.777517841083</v>
      </c>
      <c r="R3323">
        <f>-833.953715196853 -7.5721189052324 -95.1154060781154</f>
        <v>-936.64124018020073</v>
      </c>
      <c r="S3323" t="s">
        <v>35547</v>
      </c>
      <c r="T3323" t="s">
        <v>35548</v>
      </c>
      <c r="U3323" t="s">
        <v>35549</v>
      </c>
      <c r="V3323">
        <f>-751.001468657947 -182.508072278075 -90.4521355601104</f>
        <v>-1023.9616764961324</v>
      </c>
      <c r="W3323" t="s">
        <v>35550</v>
      </c>
      <c r="X3323" t="s">
        <v>35551</v>
      </c>
      <c r="Y3323" t="s">
        <v>35552</v>
      </c>
    </row>
    <row r="3324" spans="1:25" x14ac:dyDescent="0.3">
      <c r="A3324">
        <v>166150</v>
      </c>
      <c r="B3324" t="s">
        <v>35553</v>
      </c>
      <c r="C3324">
        <f>-792.278996088367 -94.9343496668284 -91.7621133053402</f>
        <v>-978.97545906053563</v>
      </c>
      <c r="D3324">
        <f>-824.923951954778 -113.280433047002 -201.370316522925</f>
        <v>-1139.574701524705</v>
      </c>
      <c r="E3324">
        <f>-841.182484528864 -120.707454334196 -298.360810829894</f>
        <v>-1260.2507496929541</v>
      </c>
      <c r="F3324">
        <f>-851.589668561258 -124.393197063474 -386.770881794803</f>
        <v>-1362.7537474195351</v>
      </c>
      <c r="G3324">
        <f>-857.316502988898 -124.959228650307 -475.681755950647</f>
        <v>-1457.957487589852</v>
      </c>
      <c r="H3324">
        <f>-860.358758660404 -122.528368119306 -600.203373456238</f>
        <v>-1583.090500235948</v>
      </c>
      <c r="I3324">
        <f>-827.853617344606 -110.205902112017 -675.679218796855</f>
        <v>-1613.738738253478</v>
      </c>
      <c r="J3324">
        <f>-869.068483720012 -97.7861118736012 -544.658071374624</f>
        <v>-1511.5126669682372</v>
      </c>
      <c r="K3324" t="s">
        <v>35554</v>
      </c>
      <c r="L3324" t="s">
        <v>35555</v>
      </c>
      <c r="M3324" t="s">
        <v>35556</v>
      </c>
      <c r="N3324">
        <f>-848.971390462893 -149.409934265045 -546.156982011323</f>
        <v>-1544.5383067392609</v>
      </c>
      <c r="O3324">
        <f>-800.363574064638 -275.575222668131 -521.308640016589</f>
        <v>-1597.2474367493578</v>
      </c>
      <c r="P3324">
        <f>-778.82339742424 -305.220000929066 -229.335394792946</f>
        <v>-1313.3787931462521</v>
      </c>
      <c r="Q3324">
        <f>-652.072407774856 -130.064640539171 -335.66343011184</f>
        <v>-1117.8004784258669</v>
      </c>
      <c r="R3324">
        <f>-833.974736477942 -7.60664997677941 -95.0907974143028</f>
        <v>-936.67218386902414</v>
      </c>
      <c r="S3324" t="s">
        <v>35557</v>
      </c>
      <c r="T3324" t="s">
        <v>35558</v>
      </c>
      <c r="U3324" t="s">
        <v>35559</v>
      </c>
      <c r="V3324">
        <f>-750.971820871988 -182.54422416596 -90.4593754871074</f>
        <v>-1023.9754205250555</v>
      </c>
      <c r="W3324" t="s">
        <v>35560</v>
      </c>
      <c r="X3324" t="s">
        <v>35561</v>
      </c>
      <c r="Y3324" t="s">
        <v>35562</v>
      </c>
    </row>
    <row r="3325" spans="1:25" x14ac:dyDescent="0.3">
      <c r="A3325">
        <v>166200</v>
      </c>
      <c r="B3325" t="s">
        <v>35563</v>
      </c>
      <c r="C3325">
        <f>-792.288822031943 -94.975007643382 -91.7104998646599</f>
        <v>-978.97432953998498</v>
      </c>
      <c r="D3325">
        <f>-824.968265458168 -113.327309027835 -201.307388441733</f>
        <v>-1139.6029629277359</v>
      </c>
      <c r="E3325">
        <f>-841.300875069589 -120.681146806551 -298.290971826364</f>
        <v>-1260.272993702504</v>
      </c>
      <c r="F3325">
        <f>-851.791716627649 -124.269553647736 -386.695119802765</f>
        <v>-1362.7563900781499</v>
      </c>
      <c r="G3325">
        <f>-857.618451905173 -124.706320174341 -475.600282849639</f>
        <v>-1457.925054929153</v>
      </c>
      <c r="H3325">
        <f>-860.8172614475 -122.061475274687 -600.113589849044</f>
        <v>-1582.9923265712309</v>
      </c>
      <c r="I3325">
        <f>-828.361551057415 -109.567298213658 -675.582491847118</f>
        <v>-1613.511341118191</v>
      </c>
      <c r="J3325">
        <f>-869.491829575683 -97.4282585324939 -544.514438625657</f>
        <v>-1511.434526733834</v>
      </c>
      <c r="K3325" t="s">
        <v>35564</v>
      </c>
      <c r="L3325" t="s">
        <v>35565</v>
      </c>
      <c r="M3325" t="s">
        <v>35566</v>
      </c>
      <c r="N3325">
        <f>-849.32732545245 -149.022390081445 -546.128347525749</f>
        <v>-1544.478063059644</v>
      </c>
      <c r="O3325">
        <f>-800.534531961502 -275.164229844144 -521.524928238806</f>
        <v>-1597.2236900444518</v>
      </c>
      <c r="P3325">
        <f>-778.796992725966 -305.18755659239 -229.604930576846</f>
        <v>-1313.5894798952022</v>
      </c>
      <c r="Q3325">
        <f>-652.24406636866 -129.76131184024 -335.72213982151</f>
        <v>-1117.72751803041</v>
      </c>
      <c r="R3325">
        <f>-834.02390895911 -7.73166348092332 -94.9987900028533</f>
        <v>-936.75436244288665</v>
      </c>
      <c r="S3325" t="s">
        <v>35567</v>
      </c>
      <c r="T3325" t="s">
        <v>35568</v>
      </c>
      <c r="U3325" t="s">
        <v>35569</v>
      </c>
      <c r="V3325">
        <f>-750.872434773196 -182.539178886177 -90.4692026893424</f>
        <v>-1023.8808163487154</v>
      </c>
      <c r="W3325" t="s">
        <v>35570</v>
      </c>
      <c r="X3325" t="s">
        <v>35571</v>
      </c>
      <c r="Y3325" t="s">
        <v>35572</v>
      </c>
    </row>
    <row r="3326" spans="1:25" x14ac:dyDescent="0.3">
      <c r="A3326">
        <v>166250</v>
      </c>
      <c r="B3326" t="s">
        <v>35573</v>
      </c>
      <c r="C3326">
        <f>-792.282206298223 -95.0133934331745 -91.6900006052011</f>
        <v>-978.98560033659862</v>
      </c>
      <c r="D3326">
        <f>-824.977573802796 -113.367528948562 -201.281767277428</f>
        <v>-1139.626870028786</v>
      </c>
      <c r="E3326">
        <f>-841.334349611507 -120.695644982573 -298.263301442382</f>
        <v>-1260.2932960364619</v>
      </c>
      <c r="F3326">
        <f>-851.850906335041 -124.24933492658 -386.665810028158</f>
        <v>-1362.7660512897789</v>
      </c>
      <c r="G3326">
        <f>-857.707939059458 -124.639324574386 -475.569101435425</f>
        <v>-1457.916365069269</v>
      </c>
      <c r="H3326">
        <f>-860.953497242992 -121.915864079809 -600.079639572605</f>
        <v>-1582.9490008954058</v>
      </c>
      <c r="I3326">
        <f>-828.505517199916 -109.336206496282 -675.537651380873</f>
        <v>-1613.379375077071</v>
      </c>
      <c r="J3326">
        <f>-869.625169549682 -97.3247809935211 -544.461233787027</f>
        <v>-1511.4111843302303</v>
      </c>
      <c r="K3326" t="s">
        <v>35574</v>
      </c>
      <c r="L3326" t="s">
        <v>35575</v>
      </c>
      <c r="M3326" t="s">
        <v>35576</v>
      </c>
      <c r="N3326">
        <f>-849.425250167294 -148.903803252306 -546.115969187225</f>
        <v>-1544.4450226068252</v>
      </c>
      <c r="O3326">
        <f>-800.519195958367 -275.018984931899 -521.619423923274</f>
        <v>-1597.1576048135403</v>
      </c>
      <c r="P3326">
        <f>-778.708416567723 -305.219407233717 -229.723198022822</f>
        <v>-1313.651021824262</v>
      </c>
      <c r="Q3326">
        <f>-652.270203246666 -129.623835688021 -335.696969688562</f>
        <v>-1117.5910086232491</v>
      </c>
      <c r="R3326">
        <f>-834.053273265781 -7.73862148684293 -94.9571521172787</f>
        <v>-936.7490468699026</v>
      </c>
      <c r="S3326" t="s">
        <v>35577</v>
      </c>
      <c r="T3326" t="s">
        <v>35578</v>
      </c>
      <c r="U3326" t="s">
        <v>35579</v>
      </c>
      <c r="V3326">
        <f>-750.857906480758 -182.565261315333 -90.4635754620882</f>
        <v>-1023.8867432581792</v>
      </c>
      <c r="W3326" t="s">
        <v>35580</v>
      </c>
      <c r="X3326" t="s">
        <v>35581</v>
      </c>
      <c r="Y3326" t="s">
        <v>35582</v>
      </c>
    </row>
    <row r="3327" spans="1:25" x14ac:dyDescent="0.3">
      <c r="A3327">
        <v>166300</v>
      </c>
      <c r="B3327" t="s">
        <v>35583</v>
      </c>
      <c r="C3327">
        <f>-792.342818556506 -95.0333656709855 -91.6597210637059</f>
        <v>-979.03590529119742</v>
      </c>
      <c r="D3327">
        <f>-825.062935966761 -113.380108103063 -201.24536633277</f>
        <v>-1139.6884104025939</v>
      </c>
      <c r="E3327">
        <f>-841.474122493381 -120.665044090623 -298.220799582732</f>
        <v>-1260.3599661667361</v>
      </c>
      <c r="F3327">
        <f>-852.054166908175 -124.163436926612 -386.618041153891</f>
        <v>-1362.835644988678</v>
      </c>
      <c r="G3327">
        <f>-857.989140280709 -124.480527918839 -475.516478941653</f>
        <v>-1457.9861471412009</v>
      </c>
      <c r="H3327">
        <f>-861.359177923093 -121.635824071596 -600.020984391693</f>
        <v>-1583.0159863863819</v>
      </c>
      <c r="I3327">
        <f>-828.911403928055 -108.899975394386 -675.452867585511</f>
        <v>-1613.2642469079519</v>
      </c>
      <c r="J3327">
        <f>-870.01063812278 -97.1129254050506 -544.369486690271</f>
        <v>-1511.4930502181016</v>
      </c>
      <c r="K3327" t="s">
        <v>35584</v>
      </c>
      <c r="L3327" t="s">
        <v>35585</v>
      </c>
      <c r="M3327" t="s">
        <v>35586</v>
      </c>
      <c r="N3327">
        <f>-849.741633665983 -148.66236255094 -546.095901962332</f>
        <v>-1544.4998981792551</v>
      </c>
      <c r="O3327">
        <f>-800.622430854463 -274.725265110706 -521.745045966922</f>
        <v>-1597.092741932091</v>
      </c>
      <c r="P3327">
        <f>-778.587750836566 -305.269540515441 -229.901398300526</f>
        <v>-1313.7586896525331</v>
      </c>
      <c r="Q3327">
        <f>-652.563340778919 -129.161620333038 -335.517304499245</f>
        <v>-1117.2422656112021</v>
      </c>
      <c r="R3327">
        <f>-834.144380610456 -7.73153974050274 -94.8983046921804</f>
        <v>-936.77422504313915</v>
      </c>
      <c r="S3327" t="s">
        <v>35587</v>
      </c>
      <c r="T3327" t="s">
        <v>35588</v>
      </c>
      <c r="U3327" t="s">
        <v>35589</v>
      </c>
      <c r="V3327">
        <f>-750.926616886702 -182.576253490491 -90.4464888301293</f>
        <v>-1023.9493592073223</v>
      </c>
      <c r="W3327" t="s">
        <v>35590</v>
      </c>
      <c r="X3327" t="s">
        <v>35591</v>
      </c>
      <c r="Y3327" t="s">
        <v>35592</v>
      </c>
    </row>
    <row r="3328" spans="1:25" x14ac:dyDescent="0.3">
      <c r="A3328">
        <v>166350</v>
      </c>
      <c r="B3328" t="s">
        <v>35593</v>
      </c>
      <c r="C3328">
        <f>-792.424026181892 -94.9938451317485 -91.6368330921741</f>
        <v>-979.05470440581462</v>
      </c>
      <c r="D3328">
        <f>-825.144686678262 -113.344891565188 -201.221621227337</f>
        <v>-1139.7111994707871</v>
      </c>
      <c r="E3328">
        <f>-841.573457881989 -120.609925070968 -298.195704076997</f>
        <v>-1260.379087029954</v>
      </c>
      <c r="F3328">
        <f>-852.17635533586 -124.080430907604 -386.591239534445</f>
        <v>-1362.8480257779088</v>
      </c>
      <c r="G3328">
        <f>-858.141060082247 -124.359425042151 -475.487735745281</f>
        <v>-1457.988220869679</v>
      </c>
      <c r="H3328">
        <f>-861.560195464152 -121.450166326926 -599.989413539876</f>
        <v>-1582.999775330954</v>
      </c>
      <c r="I3328">
        <f>-829.115237995831 -108.652904769581 -675.411945599227</f>
        <v>-1613.180088364639</v>
      </c>
      <c r="J3328">
        <f>-870.20566149098 -96.9623217136157 -544.321385992246</f>
        <v>-1511.4893691968416</v>
      </c>
      <c r="K3328" t="s">
        <v>35594</v>
      </c>
      <c r="L3328" t="s">
        <v>35595</v>
      </c>
      <c r="M3328" t="s">
        <v>35596</v>
      </c>
      <c r="N3328">
        <f>-849.90561338752 -148.49844965807 -546.08329945662</f>
        <v>-1544.4873625022101</v>
      </c>
      <c r="O3328">
        <f>-800.687796063761 -274.53759515414 -521.812465939999</f>
        <v>-1597.0378571578999</v>
      </c>
      <c r="P3328">
        <f>-778.620149024224 -305.268924363213 -229.991061870251</f>
        <v>-1313.8801352576882</v>
      </c>
      <c r="Q3328">
        <f>-652.70405800383 -128.975031940608 -335.425673199248</f>
        <v>-1117.1047631436861</v>
      </c>
      <c r="R3328">
        <f>-834.22305479915 -7.69786354739858 -94.8801276370191</f>
        <v>-936.80104598356763</v>
      </c>
      <c r="S3328" t="s">
        <v>35597</v>
      </c>
      <c r="T3328" t="s">
        <v>35598</v>
      </c>
      <c r="U3328" t="s">
        <v>35599</v>
      </c>
      <c r="V3328">
        <f>-750.995750868518 -182.54023770305 -90.4399429147351</f>
        <v>-1023.9759314863031</v>
      </c>
      <c r="W3328" t="s">
        <v>35600</v>
      </c>
      <c r="X3328" t="s">
        <v>35601</v>
      </c>
      <c r="Y3328" t="s">
        <v>35602</v>
      </c>
    </row>
    <row r="3329" spans="1:25" x14ac:dyDescent="0.3">
      <c r="A3329">
        <v>166400</v>
      </c>
      <c r="B3329" t="s">
        <v>35603</v>
      </c>
      <c r="C3329">
        <f>-792.644735551742 -94.7947981527889 -91.6241445523278</f>
        <v>-979.06367825685868</v>
      </c>
      <c r="D3329">
        <f>-825.348178094938 -113.18259405843 -201.207843012207</f>
        <v>-1139.7386151655751</v>
      </c>
      <c r="E3329">
        <f>-841.776555401177 -120.416798135161 -298.184402776254</f>
        <v>-1260.3777563125921</v>
      </c>
      <c r="F3329">
        <f>-852.383085107799 -123.835799097393 -386.581557386079</f>
        <v>-1362.800441591271</v>
      </c>
      <c r="G3329">
        <f>-858.355104821135 -124.039537628292 -475.47768025067</f>
        <v>-1457.8723227000969</v>
      </c>
      <c r="H3329">
        <f>-861.787604717027 -121.001035932412 -599.975937104468</f>
        <v>-1582.7645777539069</v>
      </c>
      <c r="I3329">
        <f>-829.345641049874 -108.096122883681 -675.381443578052</f>
        <v>-1612.8232075116071</v>
      </c>
      <c r="J3329">
        <f>-870.449210013411 -96.5796998644331 -544.281285758574</f>
        <v>-1511.310195636418</v>
      </c>
      <c r="K3329" t="s">
        <v>35604</v>
      </c>
      <c r="L3329" t="s">
        <v>35605</v>
      </c>
      <c r="M3329" t="s">
        <v>35606</v>
      </c>
      <c r="N3329">
        <f>-850.105094990653 -148.096503581027 -546.099459211993</f>
        <v>-1544.3010577836731</v>
      </c>
      <c r="O3329">
        <f>-800.76264338257 -274.115645093063 -521.975687936703</f>
        <v>-1596.8539764123359</v>
      </c>
      <c r="P3329">
        <f>-778.675786155638 -305.149707115753 -230.187640162534</f>
        <v>-1314.0131334339251</v>
      </c>
      <c r="Q3329">
        <f>-652.878287725997 -128.601551936525 -335.338166413182</f>
        <v>-1116.818006075704</v>
      </c>
      <c r="R3329">
        <f>-834.555374004149 -7.52873380861024 -94.8650080878016</f>
        <v>-936.94911590056086</v>
      </c>
      <c r="S3329" t="s">
        <v>35607</v>
      </c>
      <c r="T3329" t="s">
        <v>35608</v>
      </c>
      <c r="U3329" t="s">
        <v>35609</v>
      </c>
      <c r="V3329">
        <f>-751.084230973092 -182.341727866959 -90.4380318289562</f>
        <v>-1023.8639906690072</v>
      </c>
      <c r="W3329" t="s">
        <v>35610</v>
      </c>
      <c r="X3329" t="s">
        <v>35611</v>
      </c>
      <c r="Y3329" t="s">
        <v>35612</v>
      </c>
    </row>
    <row r="3330" spans="1:25" x14ac:dyDescent="0.3">
      <c r="A3330">
        <v>166450</v>
      </c>
      <c r="B3330" t="s">
        <v>35613</v>
      </c>
      <c r="C3330">
        <f>-792.774277034432 -94.7379966788185 -91.6079924076489</f>
        <v>-979.12026612089937</v>
      </c>
      <c r="D3330">
        <f>-825.461884837077 -113.157519991474 -201.191042002538</f>
        <v>-1139.8104468310892</v>
      </c>
      <c r="E3330">
        <f>-841.868612473192 -120.36838562662 -298.172959980852</f>
        <v>-1260.409958080664</v>
      </c>
      <c r="F3330">
        <f>-852.450984924099 -123.74678953364 -386.574515573145</f>
        <v>-1362.7722900308841</v>
      </c>
      <c r="G3330">
        <f>-858.393685104264 -123.890429438521 -475.472763531547</f>
        <v>-1457.756878074332</v>
      </c>
      <c r="H3330">
        <f>-861.779641492972 -120.747913644604 -599.969687792435</f>
        <v>-1582.497242930011</v>
      </c>
      <c r="I3330">
        <f>-829.345384419469 -107.764258054949 -675.365117866485</f>
        <v>-1612.474760340903</v>
      </c>
      <c r="J3330">
        <f>-870.483131247099 -96.381538605364 -544.25756944065</f>
        <v>-1511.1222392931129</v>
      </c>
      <c r="K3330" t="s">
        <v>35614</v>
      </c>
      <c r="L3330" t="s">
        <v>35615</v>
      </c>
      <c r="M3330" t="s">
        <v>35616</v>
      </c>
      <c r="N3330">
        <f>-850.09617371239 -147.880021046041 -546.112020086107</f>
        <v>-1544.088214844538</v>
      </c>
      <c r="O3330">
        <f>-800.679228446591 -273.890797959966 -522.052268762853</f>
        <v>-1596.6222951694099</v>
      </c>
      <c r="P3330">
        <f>-778.658071913412 -305.089373309349 -230.276725008624</f>
        <v>-1314.0241702313849</v>
      </c>
      <c r="Q3330">
        <f>-652.894865462003 -128.456320406228 -335.325371198669</f>
        <v>-1116.6765570668999</v>
      </c>
      <c r="R3330">
        <f>-834.769415448895 -7.42486440872813 -94.8513286774524</f>
        <v>-937.04560853507553</v>
      </c>
      <c r="S3330" t="s">
        <v>35617</v>
      </c>
      <c r="T3330" t="s">
        <v>35618</v>
      </c>
      <c r="U3330" t="s">
        <v>35619</v>
      </c>
      <c r="V3330">
        <f>-751.125415525063 -182.315369607416 -90.4232464591865</f>
        <v>-1023.8640315916655</v>
      </c>
      <c r="W3330" t="s">
        <v>35620</v>
      </c>
      <c r="X3330" t="s">
        <v>35621</v>
      </c>
      <c r="Y3330" t="s">
        <v>35622</v>
      </c>
    </row>
    <row r="3331" spans="1:25" x14ac:dyDescent="0.3">
      <c r="A3331">
        <v>166500</v>
      </c>
      <c r="B3331" t="s">
        <v>35623</v>
      </c>
      <c r="C3331">
        <f>-793.009091796316 -94.6207270140465 -91.584323035157</f>
        <v>-979.21414184551952</v>
      </c>
      <c r="D3331">
        <f>-825.666967903691 -113.098977394636 -201.166489147218</f>
        <v>-1139.9324344455449</v>
      </c>
      <c r="E3331">
        <f>-841.98749250499 -120.261403789452 -298.166530434189</f>
        <v>-1260.4154267286308</v>
      </c>
      <c r="F3331">
        <f>-852.46543740395 -123.557203433567 -386.583648210315</f>
        <v>-1362.606289047832</v>
      </c>
      <c r="G3331">
        <f>-858.276928066059 -123.578693243271 -475.490684719611</f>
        <v>-1457.3463060289409</v>
      </c>
      <c r="H3331">
        <f>-861.451312847467 -120.224318155834 -599.987589110611</f>
        <v>-1581.6632201139118</v>
      </c>
      <c r="I3331">
        <f>-828.980473758575 -107.027393849418 -675.330245948968</f>
        <v>-1611.3381135569612</v>
      </c>
      <c r="J3331">
        <f>-870.316384574897 -95.9793041003782 -544.2480460961</f>
        <v>-1510.5437347713751</v>
      </c>
      <c r="K3331" t="s">
        <v>35624</v>
      </c>
      <c r="L3331" t="s">
        <v>35625</v>
      </c>
      <c r="M3331" t="s">
        <v>35626</v>
      </c>
      <c r="N3331">
        <f>-849.79253617236 -147.421501918298 -546.157282181019</f>
        <v>-1543.371320271677</v>
      </c>
      <c r="O3331">
        <f>-800.10324342195 -273.331406997829 -522.19247086518</f>
        <v>-1595.627121284959</v>
      </c>
      <c r="P3331">
        <f>-778.234919343058 -304.828760303244 -230.43752621196</f>
        <v>-1313.501205858262</v>
      </c>
      <c r="Q3331">
        <f>-652.657280622453 -127.903165614546 -335.215709804334</f>
        <v>-1115.7761560413328</v>
      </c>
      <c r="R3331">
        <f>-835.132847207526 -7.41875445546816 -94.8048122659551</f>
        <v>-937.35641392894922</v>
      </c>
      <c r="S3331" t="s">
        <v>35627</v>
      </c>
      <c r="T3331" t="s">
        <v>35628</v>
      </c>
      <c r="U3331" t="s">
        <v>35629</v>
      </c>
      <c r="V3331">
        <f>-751.209609750207 -182.116597371299 -90.4052414442856</f>
        <v>-1023.7314485657917</v>
      </c>
      <c r="W3331" t="s">
        <v>35630</v>
      </c>
      <c r="X3331" t="s">
        <v>35631</v>
      </c>
      <c r="Y3331" t="s">
        <v>35632</v>
      </c>
    </row>
    <row r="3332" spans="1:25" x14ac:dyDescent="0.3">
      <c r="A3332">
        <v>166550</v>
      </c>
      <c r="B3332" t="s">
        <v>35633</v>
      </c>
      <c r="C3332">
        <f>-793.175005267263 -94.485840025369 -91.581268680993</f>
        <v>-979.24211397362512</v>
      </c>
      <c r="D3332">
        <f>-825.811012909898 -113.010142707631 -201.162158334417</f>
        <v>-1139.983313951946</v>
      </c>
      <c r="E3332">
        <f>-842.081723296436 -120.164622233408 -298.171098580235</f>
        <v>-1260.417444110079</v>
      </c>
      <c r="F3332">
        <f>-852.50134518816 -123.434472961807 -386.596141566981</f>
        <v>-1362.531959716948</v>
      </c>
      <c r="G3332">
        <f>-858.241375045266 -123.410393160039 -475.507887179209</f>
        <v>-1457.1596553845138</v>
      </c>
      <c r="H3332">
        <f>-861.301980442121 -119.971681883754 -600.005205803209</f>
        <v>-1581.278868129084</v>
      </c>
      <c r="I3332">
        <f>-828.798443135035 -106.654490796274 -675.312598842767</f>
        <v>-1610.7655327740758</v>
      </c>
      <c r="J3332">
        <f>-870.261892701067 -95.7820764568205 -544.2567198379</f>
        <v>-1510.3006889957876</v>
      </c>
      <c r="K3332" t="s">
        <v>35634</v>
      </c>
      <c r="L3332" t="s">
        <v>35635</v>
      </c>
      <c r="M3332" t="s">
        <v>35636</v>
      </c>
      <c r="N3332">
        <f>-849.648569735492 -147.18778699465 -546.183413048419</f>
        <v>-1543.0197697785609</v>
      </c>
      <c r="O3332">
        <f>-799.776224212005 -273.037615336462 -522.238804953156</f>
        <v>-1595.052644501623</v>
      </c>
      <c r="P3332">
        <f>-778.004113140824 -304.606224514049 -230.484501380255</f>
        <v>-1313.0948390351282</v>
      </c>
      <c r="Q3332">
        <f>-652.589629696309 -127.511488026919 -335.172409525962</f>
        <v>-1115.27352724919</v>
      </c>
      <c r="R3332">
        <f>-835.400742295692 -7.32352425185491 -94.7909339818933</f>
        <v>-937.51520052944022</v>
      </c>
      <c r="S3332" t="s">
        <v>35637</v>
      </c>
      <c r="T3332" t="s">
        <v>35638</v>
      </c>
      <c r="U3332" t="s">
        <v>35639</v>
      </c>
      <c r="V3332">
        <f>-751.2864131949 -181.909810889396 -90.4006415298546</f>
        <v>-1023.5968656141506</v>
      </c>
      <c r="W3332" t="s">
        <v>35640</v>
      </c>
      <c r="X3332" t="s">
        <v>35641</v>
      </c>
      <c r="Y3332" t="s">
        <v>35642</v>
      </c>
    </row>
    <row r="3333" spans="1:25" x14ac:dyDescent="0.3">
      <c r="A3333">
        <v>166600</v>
      </c>
      <c r="B3333" t="s">
        <v>35643</v>
      </c>
      <c r="C3333">
        <f>-793.524799855723 -94.235984056303 -91.5499762076892</f>
        <v>-979.31076011971516</v>
      </c>
      <c r="D3333">
        <f>-826.0778490876 -112.813883355407 -201.146384874086</f>
        <v>-1140.0381173170931</v>
      </c>
      <c r="E3333">
        <f>-842.228998201384 -119.951704779253 -298.176526185871</f>
        <v>-1260.357229166508</v>
      </c>
      <c r="F3333">
        <f>-852.520491977113 -123.181184019389 -386.618028148112</f>
        <v>-1362.319704144614</v>
      </c>
      <c r="G3333">
        <f>-858.113179889624 -123.089983224214 -475.539126629138</f>
        <v>-1456.742289742976</v>
      </c>
      <c r="H3333">
        <f>-860.948265148394 -119.528754804597 -600.038397175197</f>
        <v>-1580.5154171281879</v>
      </c>
      <c r="I3333">
        <f>-828.386612134078 -106.013101753642 -675.285466178788</f>
        <v>-1609.6851800665081</v>
      </c>
      <c r="J3333">
        <f>-870.094838388521 -95.4285841700283 -544.281572055196</f>
        <v>-1509.8049946137453</v>
      </c>
      <c r="K3333" t="s">
        <v>35644</v>
      </c>
      <c r="L3333" t="s">
        <v>35645</v>
      </c>
      <c r="M3333" t="s">
        <v>35646</v>
      </c>
      <c r="N3333">
        <f>-849.306438744507 -146.763192975238 -546.223327317551</f>
        <v>-1542.292959037296</v>
      </c>
      <c r="O3333">
        <f>-799.093594873552 -272.474447215777 -522.273229181429</f>
        <v>-1593.8412712707582</v>
      </c>
      <c r="P3333">
        <f>-777.448971844061 -304.112746939554 -230.516923719611</f>
        <v>-1312.0786425032261</v>
      </c>
      <c r="Q3333">
        <f>-652.579562454822 -126.561525329631 -335.083056595553</f>
        <v>-1114.224144380006</v>
      </c>
      <c r="R3333">
        <f>-835.931485058751 -7.18753771136744 -94.7595803324105</f>
        <v>-937.87860310252893</v>
      </c>
      <c r="S3333" t="s">
        <v>35647</v>
      </c>
      <c r="T3333" t="s">
        <v>35648</v>
      </c>
      <c r="U3333" t="s">
        <v>35649</v>
      </c>
      <c r="V3333">
        <f>-751.504722342045 -181.519964863308 -90.3873187145952</f>
        <v>-1023.4120059199482</v>
      </c>
      <c r="W3333" t="s">
        <v>35650</v>
      </c>
      <c r="X3333" t="s">
        <v>35651</v>
      </c>
      <c r="Y3333" t="s">
        <v>35652</v>
      </c>
    </row>
    <row r="3334" spans="1:25" x14ac:dyDescent="0.3">
      <c r="A3334">
        <v>166650</v>
      </c>
      <c r="B3334" t="s">
        <v>35653</v>
      </c>
      <c r="C3334">
        <f>-793.71506133331 -94.0914362468209 -91.5304233650987</f>
        <v>-979.33692094522962</v>
      </c>
      <c r="D3334">
        <f>-826.224028820709 -112.677960511445 -201.138486110433</f>
        <v>-1140.040475442587</v>
      </c>
      <c r="E3334">
        <f>-842.309000165497 -119.813570627641 -298.179790863894</f>
        <v>-1260.302361657032</v>
      </c>
      <c r="F3334">
        <f>-852.529686748653 -123.036827601528 -386.629783599888</f>
        <v>-1362.196297950069</v>
      </c>
      <c r="G3334">
        <f>-858.040842607536 -122.934447480909 -475.555836642414</f>
        <v>-1456.5311267308591</v>
      </c>
      <c r="H3334">
        <f>-860.75134993099 -119.351967434071 -600.057413245203</f>
        <v>-1580.160730610264</v>
      </c>
      <c r="I3334">
        <f>-828.16710534052 -105.783427608251 -675.285058853405</f>
        <v>-1609.235591802176</v>
      </c>
      <c r="J3334">
        <f>-869.990057391591 -95.2760252465217 -544.305207757199</f>
        <v>-1509.5712903953117</v>
      </c>
      <c r="K3334" t="s">
        <v>35654</v>
      </c>
      <c r="L3334" t="s">
        <v>35655</v>
      </c>
      <c r="M3334" t="s">
        <v>35656</v>
      </c>
      <c r="N3334">
        <f>-849.127079936112 -146.580780707172 -546.235636000153</f>
        <v>-1541.9434966434369</v>
      </c>
      <c r="O3334">
        <f>-798.766941510476 -272.221104272564 -522.245254347956</f>
        <v>-1593.233300130996</v>
      </c>
      <c r="P3334">
        <f>-777.213652507893 -303.827953081273 -230.478827822019</f>
        <v>-1311.520433411185</v>
      </c>
      <c r="Q3334">
        <f>-652.527010784397 -126.173514415015 -335.087645120269</f>
        <v>-1113.7881703196811</v>
      </c>
      <c r="R3334">
        <f>-836.159992145774 -7.10590241038244 -94.7471741152473</f>
        <v>-938.01306867140374</v>
      </c>
      <c r="S3334" t="s">
        <v>35657</v>
      </c>
      <c r="T3334" t="s">
        <v>35658</v>
      </c>
      <c r="U3334" t="s">
        <v>35659</v>
      </c>
      <c r="V3334">
        <f>-751.656026368983 -181.351401743967 -90.3746617455778</f>
        <v>-1023.3820898585278</v>
      </c>
      <c r="W3334" t="s">
        <v>35660</v>
      </c>
      <c r="X3334" t="s">
        <v>35661</v>
      </c>
      <c r="Y3334" t="s">
        <v>35662</v>
      </c>
    </row>
    <row r="3335" spans="1:25" x14ac:dyDescent="0.3">
      <c r="A3335">
        <v>166700</v>
      </c>
      <c r="B3335" t="s">
        <v>35663</v>
      </c>
      <c r="C3335">
        <f>-794.028300937661 -93.9350287033734 -91.5092454167229</f>
        <v>-979.47257505775735</v>
      </c>
      <c r="D3335">
        <f>-826.487619275345 -112.548074465868 -201.127436983914</f>
        <v>-1140.1631307251271</v>
      </c>
      <c r="E3335">
        <f>-842.463249254545 -119.711468514718 -298.184835331526</f>
        <v>-1260.3595531007891</v>
      </c>
      <c r="F3335">
        <f>-852.557817352752 -122.962082781018 -386.648219419757</f>
        <v>-1362.168119553527</v>
      </c>
      <c r="G3335">
        <f>-857.916546565144 -122.888613350505 -475.583780099848</f>
        <v>-1456.3889400154972</v>
      </c>
      <c r="H3335">
        <f>-860.386686520832 -119.348201797973 -600.091506938061</f>
        <v>-1579.8263952568659</v>
      </c>
      <c r="I3335">
        <f>-827.77881555655 -105.772606404784 -675.307565692944</f>
        <v>-1608.8589876542778</v>
      </c>
      <c r="J3335">
        <f>-869.775046431961 -95.2706026394363 -544.365024505912</f>
        <v>-1509.4106735773094</v>
      </c>
      <c r="K3335" t="s">
        <v>35664</v>
      </c>
      <c r="L3335" t="s">
        <v>35665</v>
      </c>
      <c r="M3335" t="s">
        <v>35666</v>
      </c>
      <c r="N3335">
        <f>-848.824362349417 -146.541796763093 -546.238490525033</f>
        <v>-1541.6046496375429</v>
      </c>
      <c r="O3335">
        <f>-798.307931778732 -272.095111810964 -522.102967729167</f>
        <v>-1592.5060113188631</v>
      </c>
      <c r="P3335">
        <f>-776.816928086244 -303.442348946112 -230.303925965154</f>
        <v>-1310.56320299751</v>
      </c>
      <c r="Q3335">
        <f>-652.358434464205 -125.747078127177 -335.114942150139</f>
        <v>-1113.2204547415208</v>
      </c>
      <c r="R3335">
        <f>-836.540849361405 -6.93234971612401 -94.7232578133179</f>
        <v>-938.19645689084689</v>
      </c>
      <c r="S3335" t="s">
        <v>35667</v>
      </c>
      <c r="T3335" t="s">
        <v>35668</v>
      </c>
      <c r="U3335" t="s">
        <v>35669</v>
      </c>
      <c r="V3335">
        <f>-751.891054521541 -181.258896479233 -90.3573446890847</f>
        <v>-1023.5072956898588</v>
      </c>
      <c r="W3335" t="s">
        <v>35670</v>
      </c>
      <c r="X3335" t="s">
        <v>35671</v>
      </c>
      <c r="Y3335" t="s">
        <v>35672</v>
      </c>
    </row>
    <row r="3336" spans="1:25" x14ac:dyDescent="0.3">
      <c r="A3336">
        <v>166750</v>
      </c>
      <c r="B3336" t="s">
        <v>35673</v>
      </c>
      <c r="C3336">
        <f>-794.136818136674 -93.9483515029783 -91.5026846946055</f>
        <v>-979.58785433425783</v>
      </c>
      <c r="D3336">
        <f>-826.576760017104 -112.59036066419 -201.121823712041</f>
        <v>-1140.288944393335</v>
      </c>
      <c r="E3336">
        <f>-842.505825990425 -119.773218912717 -298.185383384914</f>
        <v>-1260.4644282880561</v>
      </c>
      <c r="F3336">
        <f>-852.545625527418 -123.040259518512 -386.654312197513</f>
        <v>-1362.2401972434429</v>
      </c>
      <c r="G3336">
        <f>-857.836382965779 -122.982204482521 -475.593948760233</f>
        <v>-1456.4125362085329</v>
      </c>
      <c r="H3336">
        <f>-860.197688002264 -119.462880404832 -600.104352862775</f>
        <v>-1579.7649212698711</v>
      </c>
      <c r="I3336">
        <f>-827.569365988299 -105.909159206999 -675.315460621979</f>
        <v>-1608.793985817277</v>
      </c>
      <c r="J3336">
        <f>-869.640941540015 -95.378395462065 -544.390049060517</f>
        <v>-1509.4093860625969</v>
      </c>
      <c r="K3336" t="s">
        <v>35674</v>
      </c>
      <c r="L3336" t="s">
        <v>35675</v>
      </c>
      <c r="M3336" t="s">
        <v>35676</v>
      </c>
      <c r="N3336">
        <f>-848.676110679093 -146.644667047663 -546.236883174724</f>
        <v>-1541.5576609014799</v>
      </c>
      <c r="O3336">
        <f>-798.125020483823 -272.171429114071 -522.03944112399</f>
        <v>-1592.335890721884</v>
      </c>
      <c r="P3336">
        <f>-776.748971993168 -303.391519974846 -230.21834912088</f>
        <v>-1310.358841088894</v>
      </c>
      <c r="Q3336">
        <f>-652.272561431573 -125.771292185149 -335.135190097426</f>
        <v>-1113.1790437141481</v>
      </c>
      <c r="R3336">
        <f>-836.676431117275 -6.94530979270849 -94.7223580259315</f>
        <v>-938.34409893591499</v>
      </c>
      <c r="S3336" t="s">
        <v>35677</v>
      </c>
      <c r="T3336" t="s">
        <v>35678</v>
      </c>
      <c r="U3336" t="s">
        <v>35679</v>
      </c>
      <c r="V3336">
        <f>-751.952596488215 -181.292299340625 -90.344665420474</f>
        <v>-1023.5895612493141</v>
      </c>
      <c r="W3336" t="s">
        <v>35680</v>
      </c>
      <c r="X3336" t="s">
        <v>35681</v>
      </c>
      <c r="Y3336" t="s">
        <v>35682</v>
      </c>
    </row>
    <row r="3337" spans="1:25" x14ac:dyDescent="0.3">
      <c r="A3337">
        <v>166800</v>
      </c>
      <c r="B3337" t="s">
        <v>35683</v>
      </c>
      <c r="C3337">
        <f>-794.213448527455 -93.8713081965099 -91.5117845097767</f>
        <v>-979.5965412337415</v>
      </c>
      <c r="D3337">
        <f>-826.645289121435 -112.535902948993 -201.129433430527</f>
        <v>-1140.310625500955</v>
      </c>
      <c r="E3337">
        <f>-842.539679820761 -119.737224410517 -298.19729726928</f>
        <v>-1260.4742015005579</v>
      </c>
      <c r="F3337">
        <f>-852.536410721361 -123.021299132372 -386.670614057743</f>
        <v>-1362.2283239114759</v>
      </c>
      <c r="G3337">
        <f>-857.772156428303 -122.980956577904 -475.613328821057</f>
        <v>-1456.366441827264</v>
      </c>
      <c r="H3337">
        <f>-860.043892285774 -119.487424722926 -600.126233047713</f>
        <v>-1579.6575500564129</v>
      </c>
      <c r="I3337">
        <f>-827.399060162409 -105.959107768687 -675.334853914241</f>
        <v>-1608.6930218453369</v>
      </c>
      <c r="J3337">
        <f>-869.528879845256 -95.3920783923709 -544.423809489714</f>
        <v>-1509.3447677273409</v>
      </c>
      <c r="K3337" t="s">
        <v>35684</v>
      </c>
      <c r="L3337" t="s">
        <v>35685</v>
      </c>
      <c r="M3337" t="s">
        <v>35686</v>
      </c>
      <c r="N3337">
        <f>-848.559598316854 -146.657479792076 -546.244795777581</f>
        <v>-1541.4618738865111</v>
      </c>
      <c r="O3337">
        <f>-798.006964469274 -272.176337641804 -521.996406719662</f>
        <v>-1592.1797088307399</v>
      </c>
      <c r="P3337">
        <f>-776.728653374617 -303.283474624464 -230.156085446905</f>
        <v>-1310.1682134459861</v>
      </c>
      <c r="Q3337">
        <f>-652.158079855243 -125.779748742701 -335.158410728591</f>
        <v>-1113.0962393265349</v>
      </c>
      <c r="R3337">
        <f>-836.780001280539 -6.87823848448261 -94.7205596580343</f>
        <v>-938.37879942305585</v>
      </c>
      <c r="S3337" t="s">
        <v>35687</v>
      </c>
      <c r="T3337" t="s">
        <v>35688</v>
      </c>
      <c r="U3337" t="s">
        <v>35689</v>
      </c>
      <c r="V3337">
        <f>-752.014273165289 -181.136591730167 -90.3348264219418</f>
        <v>-1023.4856913173977</v>
      </c>
      <c r="W3337" t="s">
        <v>35690</v>
      </c>
      <c r="X3337" t="s">
        <v>35691</v>
      </c>
      <c r="Y3337" t="s">
        <v>35692</v>
      </c>
    </row>
    <row r="3338" spans="1:25" x14ac:dyDescent="0.3">
      <c r="A3338">
        <v>166850</v>
      </c>
      <c r="B3338" t="s">
        <v>35693</v>
      </c>
      <c r="C3338">
        <f>-794.39868916945 -93.7506164299398 -91.4925578159249</f>
        <v>-979.64186341531467</v>
      </c>
      <c r="D3338">
        <f>-826.790578255098 -112.420929941888 -201.12105435487</f>
        <v>-1140.332562551856</v>
      </c>
      <c r="E3338">
        <f>-842.625748354822 -119.629629000759 -298.198016093151</f>
        <v>-1260.453393448732</v>
      </c>
      <c r="F3338">
        <f>-852.558435459486 -122.921910623205 -386.678257628439</f>
        <v>-1362.1586037111299</v>
      </c>
      <c r="G3338">
        <f>-857.719645778276 -122.891801108839 -475.625404111629</f>
        <v>-1456.2368509987441</v>
      </c>
      <c r="H3338">
        <f>-859.87597658103 -119.414953557958 -600.140711764761</f>
        <v>-1579.4316419037491</v>
      </c>
      <c r="I3338">
        <f>-827.216313165661 -105.898160773465 -675.344926658948</f>
        <v>-1608.4594005980739</v>
      </c>
      <c r="J3338">
        <f>-869.410202298883 -95.3111138186354 -544.450337154922</f>
        <v>-1509.1716532724404</v>
      </c>
      <c r="K3338" t="s">
        <v>35694</v>
      </c>
      <c r="L3338" t="s">
        <v>35695</v>
      </c>
      <c r="M3338" t="s">
        <v>35696</v>
      </c>
      <c r="N3338">
        <f>-848.44402756817 -146.578728999974 -546.245014072265</f>
        <v>-1541.267770640409</v>
      </c>
      <c r="O3338">
        <f>-797.937114584927 -272.099203845226 -521.922167968822</f>
        <v>-1591.9584863989749</v>
      </c>
      <c r="P3338">
        <f>-776.683688483353 -303.112759839504 -230.069943924847</f>
        <v>-1309.866392247704</v>
      </c>
      <c r="Q3338">
        <f>-651.965083889636 -125.784071151033 -335.192173183911</f>
        <v>-1112.94132822458</v>
      </c>
      <c r="R3338">
        <f>-836.970832020117 -6.82346870864421 -94.7092417331604</f>
        <v>-938.5035424619216</v>
      </c>
      <c r="S3338" t="s">
        <v>35697</v>
      </c>
      <c r="T3338" t="s">
        <v>35698</v>
      </c>
      <c r="U3338" t="s">
        <v>35699</v>
      </c>
      <c r="V3338">
        <f>-752.18621964521 -180.983815757456 -90.2900898315501</f>
        <v>-1023.4601252342161</v>
      </c>
      <c r="W3338" t="s">
        <v>35700</v>
      </c>
      <c r="X3338" t="s">
        <v>35701</v>
      </c>
      <c r="Y3338" t="s">
        <v>35702</v>
      </c>
    </row>
    <row r="3339" spans="1:25" x14ac:dyDescent="0.3">
      <c r="A3339">
        <v>166900</v>
      </c>
      <c r="B3339" t="s">
        <v>35703</v>
      </c>
      <c r="C3339">
        <f>-794.632098312331 -93.8922623762987 -91.4215639883269</f>
        <v>-979.94592467695657</v>
      </c>
      <c r="D3339">
        <f>-827.013900254258 -112.563505184712 -201.052833934086</f>
        <v>-1140.6302393730559</v>
      </c>
      <c r="E3339">
        <f>-842.820765408899 -119.761448324272 -298.135201452462</f>
        <v>-1260.7174151856329</v>
      </c>
      <c r="F3339">
        <f>-852.719845109419 -123.039199067132 -386.619782211275</f>
        <v>-1362.3788263878259</v>
      </c>
      <c r="G3339">
        <f>-857.839704818589 -122.989522204712 -475.569217812921</f>
        <v>-1456.3984448362221</v>
      </c>
      <c r="H3339">
        <f>-859.930175264623 -119.480201866607 -600.084809355965</f>
        <v>-1579.495186487195</v>
      </c>
      <c r="I3339">
        <f>-827.293384740248 -105.939186954754 -675.294681025846</f>
        <v>-1608.5272527208481</v>
      </c>
      <c r="J3339">
        <f>-869.502709019308 -95.3945486525207 -544.39326310091</f>
        <v>-1509.2905207727385</v>
      </c>
      <c r="K3339" t="s">
        <v>35704</v>
      </c>
      <c r="L3339" t="s">
        <v>35705</v>
      </c>
      <c r="M3339" t="s">
        <v>35706</v>
      </c>
      <c r="N3339">
        <f>-848.517831872818 -146.654387716896 -546.190249533117</f>
        <v>-1541.362469122831</v>
      </c>
      <c r="O3339">
        <f>-798.03402000185 -272.178305037762 -521.81971679723</f>
        <v>-1592.0320418368419</v>
      </c>
      <c r="P3339">
        <f>-776.856967555734 -303.039982193186 -229.945928251629</f>
        <v>-1309.842878000549</v>
      </c>
      <c r="Q3339">
        <f>-651.970956542231 -125.914014126358 -335.211032754975</f>
        <v>-1113.0960034235641</v>
      </c>
      <c r="R3339">
        <f>-837.225740343006 -6.89644984588062 -94.6628760752812</f>
        <v>-938.78506626416788</v>
      </c>
      <c r="S3339" t="s">
        <v>35707</v>
      </c>
      <c r="T3339" t="s">
        <v>35708</v>
      </c>
      <c r="U3339" t="s">
        <v>35709</v>
      </c>
      <c r="V3339">
        <f>-752.411997933566 -181.159974779514 -90.2333651153906</f>
        <v>-1023.8053378284706</v>
      </c>
      <c r="W3339" t="s">
        <v>35710</v>
      </c>
      <c r="X3339" t="s">
        <v>35711</v>
      </c>
      <c r="Y3339" t="s">
        <v>35712</v>
      </c>
    </row>
    <row r="3340" spans="1:25" x14ac:dyDescent="0.3">
      <c r="A3340">
        <v>166950</v>
      </c>
      <c r="B3340" t="s">
        <v>35713</v>
      </c>
      <c r="C3340">
        <f>-794.69752416979 -94.0441582402474 -91.403107255151</f>
        <v>-980.14478966518834</v>
      </c>
      <c r="D3340">
        <f>-827.100206998287 -112.721425532269 -201.027147079753</f>
        <v>-1140.8487796103091</v>
      </c>
      <c r="E3340">
        <f>-842.902693350875 -119.900819439121 -298.111708787107</f>
        <v>-1260.9152215771028</v>
      </c>
      <c r="F3340">
        <f>-852.788866959576 -123.15163425958 -386.598619893673</f>
        <v>-1362.539121112829</v>
      </c>
      <c r="G3340">
        <f>-857.886901375386 -123.064231750333 -475.549372548008</f>
        <v>-1456.5005056737268</v>
      </c>
      <c r="H3340">
        <f>-859.937714386021 -119.490525602404 -600.063767460491</f>
        <v>-1579.492007448916</v>
      </c>
      <c r="I3340">
        <f>-827.317497245973 -105.919262610043 -675.275386792702</f>
        <v>-1608.512146648718</v>
      </c>
      <c r="J3340">
        <f>-869.541126213318 -95.4391070337986 -544.362609092752</f>
        <v>-1509.3428423398686</v>
      </c>
      <c r="K3340" t="s">
        <v>35714</v>
      </c>
      <c r="L3340" t="s">
        <v>35715</v>
      </c>
      <c r="M3340" t="s">
        <v>35716</v>
      </c>
      <c r="N3340">
        <f>-848.52940742183 -146.687247305487 -546.179634930414</f>
        <v>-1541.3962896577309</v>
      </c>
      <c r="O3340">
        <f>-798.054190765386 -272.215296422413 -521.80980062059</f>
        <v>-1592.0792878083889</v>
      </c>
      <c r="P3340">
        <f>-776.912179185069 -303.095724302872 -229.935429544103</f>
        <v>-1309.9433330320439</v>
      </c>
      <c r="Q3340">
        <f>-652.002620750806 -126.001488029391 -335.225995890666</f>
        <v>-1113.2301046708631</v>
      </c>
      <c r="R3340">
        <f>-837.267357653885 -7.03750098577893 -94.6350084357346</f>
        <v>-938.93986707539852</v>
      </c>
      <c r="S3340" t="s">
        <v>35717</v>
      </c>
      <c r="T3340" t="s">
        <v>35718</v>
      </c>
      <c r="U3340" t="s">
        <v>35719</v>
      </c>
      <c r="V3340">
        <f>-752.495417769649 -181.355218241625 -90.210899975424</f>
        <v>-1024.0615359866979</v>
      </c>
      <c r="W3340" t="s">
        <v>35720</v>
      </c>
      <c r="X3340" t="s">
        <v>35721</v>
      </c>
      <c r="Y3340" t="s">
        <v>35722</v>
      </c>
    </row>
    <row r="3341" spans="1:25" x14ac:dyDescent="0.3">
      <c r="A3341">
        <v>167000</v>
      </c>
      <c r="B3341" t="s">
        <v>35723</v>
      </c>
      <c r="C3341">
        <f>-794.793105635208 -94.0446246054524 -91.3758696001827</f>
        <v>-980.21359984084313</v>
      </c>
      <c r="D3341">
        <f>-827.216431235331 -112.705669091199 -200.996590711274</f>
        <v>-1140.9186910378039</v>
      </c>
      <c r="E3341">
        <f>-842.993133879877 -119.829448522821 -298.089397914189</f>
        <v>-1260.9119803168869</v>
      </c>
      <c r="F3341">
        <f>-852.838751650365 -123.011703062495 -386.583309647156</f>
        <v>-1362.4337643600161</v>
      </c>
      <c r="G3341">
        <f>-857.879354594625 -122.836601326454 -475.537232581919</f>
        <v>-1456.253188502998</v>
      </c>
      <c r="H3341">
        <f>-859.833093331748 -119.119490713745 -600.049112380459</f>
        <v>-1579.0016964259521</v>
      </c>
      <c r="I3341">
        <f>-827.228120278135 -105.467437280539 -675.252519007908</f>
        <v>-1607.9480765665819</v>
      </c>
      <c r="J3341">
        <f>-869.503336790095 -95.1417944865067 -544.327691111781</f>
        <v>-1508.9728223883826</v>
      </c>
      <c r="K3341" t="s">
        <v>35724</v>
      </c>
      <c r="L3341" t="s">
        <v>35725</v>
      </c>
      <c r="M3341" t="s">
        <v>35726</v>
      </c>
      <c r="N3341">
        <f>-848.443438283387 -146.368575134858 -546.187363867311</f>
        <v>-1540.999377285556</v>
      </c>
      <c r="O3341">
        <f>-797.919792650765 -271.880514984447 -521.862378454392</f>
        <v>-1591.662686089604</v>
      </c>
      <c r="P3341">
        <f>-776.857550852204 -302.887826358859 -229.99580680762</f>
        <v>-1309.741184018683</v>
      </c>
      <c r="Q3341">
        <f>-651.852863115882 -125.786810173014 -335.161939047073</f>
        <v>-1112.8016123359689</v>
      </c>
      <c r="R3341">
        <f>-837.333589988444 -7.15487890546365 -94.5726478772781</f>
        <v>-939.06111677118577</v>
      </c>
      <c r="S3341" t="s">
        <v>35727</v>
      </c>
      <c r="T3341" t="s">
        <v>35728</v>
      </c>
      <c r="U3341" t="s">
        <v>35729</v>
      </c>
      <c r="V3341">
        <f>-752.599281745375 -181.182260490982 -90.1995803280138</f>
        <v>-1023.9811225643708</v>
      </c>
      <c r="W3341" t="s">
        <v>35730</v>
      </c>
      <c r="X3341" t="s">
        <v>35731</v>
      </c>
      <c r="Y3341" t="s">
        <v>35732</v>
      </c>
    </row>
    <row r="3342" spans="1:25" x14ac:dyDescent="0.3">
      <c r="A3342">
        <v>167050</v>
      </c>
      <c r="B3342" t="s">
        <v>35733</v>
      </c>
      <c r="C3342">
        <f>-794.840833092949 -94.1600025571846 -91.3661314641876</f>
        <v>-980.36696711432114</v>
      </c>
      <c r="D3342">
        <f>-827.274213347241 -112.831124588004 -200.98222324737</f>
        <v>-1141.087561182615</v>
      </c>
      <c r="E3342">
        <f>-843.055534815813 -119.947850647767 -298.074796883178</f>
        <v>-1261.078182346758</v>
      </c>
      <c r="F3342">
        <f>-852.9034709352 -123.11724110621 -386.568819466742</f>
        <v>-1362.589531508152</v>
      </c>
      <c r="G3342">
        <f>-857.944666381705 -122.922464686309 -475.522713275829</f>
        <v>-1456.3898443438429</v>
      </c>
      <c r="H3342">
        <f>-859.89744380603 -119.170718157462 -600.033395124476</f>
        <v>-1579.1015570879681</v>
      </c>
      <c r="I3342">
        <f>-827.305133473487 -105.483238259976 -675.236124492806</f>
        <v>-1608.0244962262691</v>
      </c>
      <c r="J3342">
        <f>-869.576997909204 -95.2121642542063 -544.305438697935</f>
        <v>-1509.0946008613453</v>
      </c>
      <c r="K3342" t="s">
        <v>35734</v>
      </c>
      <c r="L3342" t="s">
        <v>35735</v>
      </c>
      <c r="M3342" t="s">
        <v>35736</v>
      </c>
      <c r="N3342">
        <f>-848.499235844867 -146.431147205849 -546.179365936931</f>
        <v>-1541.109748987647</v>
      </c>
      <c r="O3342">
        <f>-797.932883289202 -271.928982132167 -521.876254852167</f>
        <v>-1591.738120273536</v>
      </c>
      <c r="P3342">
        <f>-776.844712675599 -303.079733518127 -230.026880882967</f>
        <v>-1309.9513270766929</v>
      </c>
      <c r="Q3342">
        <f>-651.843697187397 -125.922527091376 -335.102742844712</f>
        <v>-1112.8689671234849</v>
      </c>
      <c r="R3342">
        <f>-837.394676846719 -7.27275723650996 -94.555661927185</f>
        <v>-939.223096010414</v>
      </c>
      <c r="S3342" t="s">
        <v>35737</v>
      </c>
      <c r="T3342" t="s">
        <v>35738</v>
      </c>
      <c r="U3342" t="s">
        <v>35739</v>
      </c>
      <c r="V3342">
        <f>-752.642576319825 -181.338813501553 -90.1921075334425</f>
        <v>-1024.1734973548205</v>
      </c>
      <c r="W3342" t="s">
        <v>35740</v>
      </c>
      <c r="X3342" t="s">
        <v>35741</v>
      </c>
      <c r="Y3342" t="s">
        <v>35742</v>
      </c>
    </row>
    <row r="3343" spans="1:25" x14ac:dyDescent="0.3">
      <c r="A3343">
        <v>167100</v>
      </c>
      <c r="B3343" t="s">
        <v>35743</v>
      </c>
      <c r="C3343">
        <f>-794.828474805715 -94.4511821332203 -91.3407612399609</f>
        <v>-980.62041817889622</v>
      </c>
      <c r="D3343">
        <f>-827.300703727094 -113.173650338037 -200.936647994072</f>
        <v>-1141.4110020592029</v>
      </c>
      <c r="E3343">
        <f>-843.117464791332 -120.2885343221 -298.023507548789</f>
        <v>-1261.429506662221</v>
      </c>
      <c r="F3343">
        <f>-852.997885433024 -123.437279949719 -386.514699767625</f>
        <v>-1362.9498651503679</v>
      </c>
      <c r="G3343">
        <f>-858.07182607256 -123.202214972151 -475.466722374864</f>
        <v>-1456.7407634195749</v>
      </c>
      <c r="H3343">
        <f>-860.070755352463 -119.373017894019 -599.974383410802</f>
        <v>-1579.418156657284</v>
      </c>
      <c r="I3343">
        <f>-827.538814648422 -105.599544899771 -675.187365813266</f>
        <v>-1608.3257253614588</v>
      </c>
      <c r="J3343">
        <f>-869.762332341677 -95.4626230522206 -544.22772584358</f>
        <v>-1509.4526812374775</v>
      </c>
      <c r="K3343" t="s">
        <v>35744</v>
      </c>
      <c r="L3343" t="s">
        <v>35745</v>
      </c>
      <c r="M3343" t="s">
        <v>35746</v>
      </c>
      <c r="N3343">
        <f>-848.619916663585 -146.653402867752 -546.141621632104</f>
        <v>-1541.414941163441</v>
      </c>
      <c r="O3343">
        <f>-797.944098366426 -272.120015891396 -521.887938232649</f>
        <v>-1591.952052490471</v>
      </c>
      <c r="P3343">
        <f>-776.853382161743 -303.303265614346 -230.042014015984</f>
        <v>-1310.1986617920729</v>
      </c>
      <c r="Q3343">
        <f>-651.592767715662 -126.236940685524 -334.961983087317</f>
        <v>-1112.7916914885031</v>
      </c>
      <c r="R3343">
        <f>-837.419880926834 -7.55962555027668 -94.5397141889648</f>
        <v>-939.51922066607551</v>
      </c>
      <c r="S3343" t="s">
        <v>35747</v>
      </c>
      <c r="T3343" t="s">
        <v>35748</v>
      </c>
      <c r="U3343" t="s">
        <v>35749</v>
      </c>
      <c r="V3343">
        <f>-752.57705708219 -181.621733815531 -90.1850466055877</f>
        <v>-1024.3838375033088</v>
      </c>
      <c r="W3343" t="s">
        <v>35750</v>
      </c>
      <c r="X3343" t="s">
        <v>35751</v>
      </c>
      <c r="Y3343" t="s">
        <v>35752</v>
      </c>
    </row>
    <row r="3344" spans="1:25" x14ac:dyDescent="0.3">
      <c r="A3344">
        <v>167150</v>
      </c>
      <c r="B3344" t="s">
        <v>35753</v>
      </c>
      <c r="C3344">
        <f>-794.808881558758 -94.4961634727173 -91.3423026813588</f>
        <v>-980.64734771283406</v>
      </c>
      <c r="D3344">
        <f>-827.310989148448 -113.228373971338 -200.927621801743</f>
        <v>-1141.466984921529</v>
      </c>
      <c r="E3344">
        <f>-843.146577417382 -120.332225959521 -298.012260085231</f>
        <v>-1261.491063462134</v>
      </c>
      <c r="F3344">
        <f>-853.041085552903 -123.462611173304 -386.502553002215</f>
        <v>-1363.0062497284221</v>
      </c>
      <c r="G3344">
        <f>-858.126679155867 -123.200134044255 -475.453737986707</f>
        <v>-1456.7805511868291</v>
      </c>
      <c r="H3344">
        <f>-860.138907056227 -119.323014803683 -599.959660598447</f>
        <v>-1579.4215824583571</v>
      </c>
      <c r="I3344">
        <f>-827.637915984734 -105.507396968645 -675.178210725903</f>
        <v>-1608.3235236792821</v>
      </c>
      <c r="J3344">
        <f>-869.84414977719 -95.4421555263198 -544.202885263756</f>
        <v>-1509.4891905672657</v>
      </c>
      <c r="K3344" t="s">
        <v>35754</v>
      </c>
      <c r="L3344" t="s">
        <v>35755</v>
      </c>
      <c r="M3344" t="s">
        <v>35756</v>
      </c>
      <c r="N3344">
        <f>-848.662885718717 -146.616134018671 -546.13870855962</f>
        <v>-1541.4177282970081</v>
      </c>
      <c r="O3344">
        <f>-797.935593399708 -272.0703129277 -521.928058022543</f>
        <v>-1591.9339643499511</v>
      </c>
      <c r="P3344">
        <f>-776.785854267839 -303.285759317829 -230.090008004174</f>
        <v>-1310.1616215898421</v>
      </c>
      <c r="Q3344">
        <f>-651.35992281226 -126.342197748638 -335.019476700898</f>
        <v>-1112.721597261796</v>
      </c>
      <c r="R3344">
        <f>-837.421875812421 -7.64325608059812 -94.5254458515773</f>
        <v>-939.59057774459643</v>
      </c>
      <c r="S3344" t="s">
        <v>35757</v>
      </c>
      <c r="T3344" t="s">
        <v>35758</v>
      </c>
      <c r="U3344" t="s">
        <v>35759</v>
      </c>
      <c r="V3344">
        <f>-752.540493451119 -181.584502088792 -90.1926701997107</f>
        <v>-1024.3176657396216</v>
      </c>
      <c r="W3344" t="s">
        <v>35760</v>
      </c>
      <c r="X3344" t="s">
        <v>35761</v>
      </c>
      <c r="Y3344" t="s">
        <v>35762</v>
      </c>
    </row>
    <row r="3345" spans="1:25" x14ac:dyDescent="0.3">
      <c r="A3345">
        <v>167200</v>
      </c>
      <c r="B3345" t="s">
        <v>35763</v>
      </c>
      <c r="C3345">
        <f>-794.852944328717 -94.5942791891421 -91.3281656709668</f>
        <v>-980.77538918882578</v>
      </c>
      <c r="D3345">
        <f>-827.369936264071 -113.336196768233 -200.907412843736</f>
        <v>-1141.61354587604</v>
      </c>
      <c r="E3345">
        <f>-843.196364401157 -120.422883560555 -297.994745143802</f>
        <v>-1261.6139931055141</v>
      </c>
      <c r="F3345">
        <f>-853.07408940037 -123.526908949404 -386.487978542911</f>
        <v>-1363.088976892685</v>
      </c>
      <c r="G3345">
        <f>-858.134545633395 -123.226215417734 -475.440363930375</f>
        <v>-1456.801124981504</v>
      </c>
      <c r="H3345">
        <f>-860.103407387381 -119.282579604382 -599.94502715742</f>
        <v>-1579.3310141491829</v>
      </c>
      <c r="I3345">
        <f>-827.656752557495 -105.415738164998 -675.17759086218</f>
        <v>-1608.2500815846729</v>
      </c>
      <c r="J3345">
        <f>-869.867614197231 -95.4479483186508 -544.178587342537</f>
        <v>-1509.4941498584187</v>
      </c>
      <c r="K3345" t="s">
        <v>35764</v>
      </c>
      <c r="L3345" t="s">
        <v>35765</v>
      </c>
      <c r="M3345" t="s">
        <v>35766</v>
      </c>
      <c r="N3345">
        <f>-848.606247498907 -146.587902490048 -546.134779050791</f>
        <v>-1541.3289290397461</v>
      </c>
      <c r="O3345">
        <f>-797.792966725651 -272.015993519559 -521.957093504372</f>
        <v>-1591.7660537495822</v>
      </c>
      <c r="P3345">
        <f>-776.504447343168 -303.271820402081 -230.133414614785</f>
        <v>-1309.9096823600339</v>
      </c>
      <c r="Q3345">
        <f>-650.748045343538 -126.52269268877 -334.995031524034</f>
        <v>-1112.2657695563421</v>
      </c>
      <c r="R3345">
        <f>-837.50984801886 -7.76423718672345 -94.4963262297068</f>
        <v>-939.77041143529027</v>
      </c>
      <c r="S3345" t="s">
        <v>35767</v>
      </c>
      <c r="T3345" t="s">
        <v>35768</v>
      </c>
      <c r="U3345" t="s">
        <v>35769</v>
      </c>
      <c r="V3345">
        <f>-752.540126612098 -181.698082754284 -90.1850841074717</f>
        <v>-1024.4232934738536</v>
      </c>
      <c r="W3345" t="s">
        <v>35770</v>
      </c>
      <c r="X3345" t="s">
        <v>35771</v>
      </c>
      <c r="Y3345" t="s">
        <v>35772</v>
      </c>
    </row>
    <row r="3346" spans="1:25" x14ac:dyDescent="0.3">
      <c r="A3346">
        <v>167250</v>
      </c>
      <c r="B3346" t="s">
        <v>35773</v>
      </c>
      <c r="C3346">
        <f>-794.849066626048 -94.5205654563399 -91.3176382042094</f>
        <v>-980.68727028659737</v>
      </c>
      <c r="D3346">
        <f>-827.357222243631 -113.252982817105 -200.901091495896</f>
        <v>-1141.511296556632</v>
      </c>
      <c r="E3346">
        <f>-843.155002931781 -120.319232287532 -297.99468879419</f>
        <v>-1261.4689240135031</v>
      </c>
      <c r="F3346">
        <f>-852.998450929106 -123.399216495427 -386.492394800518</f>
        <v>-1362.890062225051</v>
      </c>
      <c r="G3346">
        <f>-858.016624806677 -123.068473987024 -475.447235562478</f>
        <v>-1456.532334356179</v>
      </c>
      <c r="H3346">
        <f>-859.918428637407 -119.076426883795 -599.951269626658</f>
        <v>-1578.9461251478601</v>
      </c>
      <c r="I3346">
        <f>-827.503491969691 -105.203813898997 -675.196428024993</f>
        <v>-1607.903733893681</v>
      </c>
      <c r="J3346">
        <f>-869.728741418516 -95.2702075671355 -544.180814619723</f>
        <v>-1509.1797636053745</v>
      </c>
      <c r="K3346" t="s">
        <v>35774</v>
      </c>
      <c r="L3346" t="s">
        <v>35775</v>
      </c>
      <c r="M3346" t="s">
        <v>35776</v>
      </c>
      <c r="N3346">
        <f>-848.434284958005 -146.396090981013 -546.145470390619</f>
        <v>-1540.9758463296371</v>
      </c>
      <c r="O3346">
        <f>-797.568998940663 -271.802979991705 -521.977328312824</f>
        <v>-1591.3493072451922</v>
      </c>
      <c r="P3346">
        <f>-776.260868362927 -303.043471702706 -230.153365059659</f>
        <v>-1309.4577051252918</v>
      </c>
      <c r="Q3346">
        <f>-650.426135567245 -126.357040829878 -335.026696052554</f>
        <v>-1111.809872449677</v>
      </c>
      <c r="R3346">
        <f>-837.531873445203 -7.70052674934527 -94.4802509191552</f>
        <v>-939.71265111370349</v>
      </c>
      <c r="S3346" t="s">
        <v>35777</v>
      </c>
      <c r="T3346" t="s">
        <v>35778</v>
      </c>
      <c r="U3346" t="s">
        <v>35779</v>
      </c>
      <c r="V3346">
        <f>-752.498080638063 -181.582661114253 -90.1948691471848</f>
        <v>-1024.2756108995009</v>
      </c>
      <c r="W3346" t="s">
        <v>35780</v>
      </c>
      <c r="X3346" t="s">
        <v>35781</v>
      </c>
      <c r="Y3346" t="s">
        <v>35782</v>
      </c>
    </row>
    <row r="3347" spans="1:25" x14ac:dyDescent="0.3">
      <c r="A3347">
        <v>167300</v>
      </c>
      <c r="B3347" t="s">
        <v>35783</v>
      </c>
      <c r="C3347">
        <f>-794.793212800841 -94.4884644244241 -91.2890340651176</f>
        <v>-980.57071129038275</v>
      </c>
      <c r="D3347">
        <f>-827.314337037529 -113.240674367398 -200.865380871955</f>
        <v>-1141.420392276882</v>
      </c>
      <c r="E3347">
        <f>-843.090075348571 -120.307543234576 -297.962421250214</f>
        <v>-1261.360039833361</v>
      </c>
      <c r="F3347">
        <f>-852.900000832181 -123.381047487979 -386.464144791776</f>
        <v>-1362.745193111936</v>
      </c>
      <c r="G3347">
        <f>-857.87168354287 -123.036211403846 -475.421442850304</f>
        <v>-1456.3293377970199</v>
      </c>
      <c r="H3347">
        <f>-859.694883096672 -119.016019794202 -599.9257339022</f>
        <v>-1578.6366367930741</v>
      </c>
      <c r="I3347">
        <f>-827.331338401071 -105.171345725966 -675.198226689772</f>
        <v>-1607.700910816809</v>
      </c>
      <c r="J3347">
        <f>-869.564188645864 -95.2322980840306 -544.15633376022</f>
        <v>-1508.9528204901146</v>
      </c>
      <c r="K3347" t="s">
        <v>35784</v>
      </c>
      <c r="L3347" t="s">
        <v>35785</v>
      </c>
      <c r="M3347" t="s">
        <v>35786</v>
      </c>
      <c r="N3347">
        <f>-848.22094849292 -146.337910529822 -546.118912672792</f>
        <v>-1540.6777716955339</v>
      </c>
      <c r="O3347">
        <f>-797.221726035411 -271.684661108716 -521.919775705836</f>
        <v>-1590.8261628499631</v>
      </c>
      <c r="P3347">
        <f>-776.054193191168 -302.923920005387 -230.085431562824</f>
        <v>-1309.0635447593791</v>
      </c>
      <c r="Q3347">
        <f>-649.958715338804 -126.460445633355 -335.020955549371</f>
        <v>-1111.4401165215299</v>
      </c>
      <c r="R3347">
        <f>-837.487049029629 -7.70427020447551 -94.4500808892062</f>
        <v>-939.64140012331075</v>
      </c>
      <c r="S3347" t="s">
        <v>35787</v>
      </c>
      <c r="T3347" t="s">
        <v>35788</v>
      </c>
      <c r="U3347" t="s">
        <v>35789</v>
      </c>
      <c r="V3347">
        <f>-752.452960892471 -181.543267973669 -90.1805464165384</f>
        <v>-1024.1767752826784</v>
      </c>
      <c r="W3347" t="s">
        <v>35790</v>
      </c>
      <c r="X3347" t="s">
        <v>35791</v>
      </c>
      <c r="Y3347" t="s">
        <v>35792</v>
      </c>
    </row>
    <row r="3348" spans="1:25" x14ac:dyDescent="0.3">
      <c r="A3348">
        <v>167350</v>
      </c>
      <c r="B3348" t="s">
        <v>35793</v>
      </c>
      <c r="C3348">
        <f>-794.798266244221 -94.3490042990046 -91.2859696850505</f>
        <v>-980.43324022827619</v>
      </c>
      <c r="D3348">
        <f>-827.338847111008 -113.118521419307 -200.853455619002</f>
        <v>-1141.3108241493171</v>
      </c>
      <c r="E3348">
        <f>-843.128718799895 -120.198601482384 -297.947236004366</f>
        <v>-1261.2745562866448</v>
      </c>
      <c r="F3348">
        <f>-852.950647608897 -123.2828930798 -386.44729932783</f>
        <v>-1362.6808400165271</v>
      </c>
      <c r="G3348">
        <f>-857.933482066957 -122.947176663667 -475.403985085431</f>
        <v>-1456.284643816055</v>
      </c>
      <c r="H3348">
        <f>-859.771927597391 -118.937700138907 -599.908581456661</f>
        <v>-1578.6182091929591</v>
      </c>
      <c r="I3348">
        <f>-827.442891638122 -105.134591883394 -675.203534304304</f>
        <v>-1607.7810178258201</v>
      </c>
      <c r="J3348">
        <f>-869.64392737276 -95.1531508726322 -544.139840461163</f>
        <v>-1508.9369187065552</v>
      </c>
      <c r="K3348" t="s">
        <v>35794</v>
      </c>
      <c r="L3348" t="s">
        <v>35795</v>
      </c>
      <c r="M3348" t="s">
        <v>35796</v>
      </c>
      <c r="N3348">
        <f>-848.28196842177 -146.251008581752 -546.100696960852</f>
        <v>-1540.6336739643739</v>
      </c>
      <c r="O3348">
        <f>-797.248687148211 -271.572977949649 -521.859614202526</f>
        <v>-1590.681279300386</v>
      </c>
      <c r="P3348">
        <f>-776.158271427067 -302.784758600668 -230.016892780384</f>
        <v>-1308.959922808119</v>
      </c>
      <c r="Q3348">
        <f>-650.037243944929 -126.338699363948 -334.950929493912</f>
        <v>-1111.3268728027888</v>
      </c>
      <c r="R3348">
        <f>-837.518345397359 -7.58683566368723 -94.4462949101154</f>
        <v>-939.55147597116161</v>
      </c>
      <c r="S3348" t="s">
        <v>35797</v>
      </c>
      <c r="T3348" t="s">
        <v>35798</v>
      </c>
      <c r="U3348" t="s">
        <v>35799</v>
      </c>
      <c r="V3348">
        <f>-752.434661328165 -181.38039074889 -90.1759984543058</f>
        <v>-1023.9910505313609</v>
      </c>
      <c r="W3348" t="s">
        <v>35800</v>
      </c>
      <c r="X3348" t="s">
        <v>35801</v>
      </c>
      <c r="Y3348" t="s">
        <v>35802</v>
      </c>
    </row>
    <row r="3349" spans="1:25" x14ac:dyDescent="0.3">
      <c r="A3349">
        <v>167400</v>
      </c>
      <c r="B3349" t="s">
        <v>35803</v>
      </c>
      <c r="C3349">
        <f>-794.835457908169 -94.1987674600091 -91.291025714418</f>
        <v>-980.32525108259608</v>
      </c>
      <c r="D3349">
        <f>-827.402772115729 -113.004982856954 -200.844219155018</f>
        <v>-1141.251974127701</v>
      </c>
      <c r="E3349">
        <f>-843.208092426544 -120.12921068658 -297.932350004564</f>
        <v>-1261.269653117688</v>
      </c>
      <c r="F3349">
        <f>-853.041655872206 -123.257547674666 -386.429587547029</f>
        <v>-1362.7287910939008</v>
      </c>
      <c r="G3349">
        <f>-858.034198049206 -122.969270938843 -475.385875615992</f>
        <v>-1456.3893446040411</v>
      </c>
      <c r="H3349">
        <f>-859.884565005774 -119.028929152722 -599.892399669725</f>
        <v>-1578.8058938282211</v>
      </c>
      <c r="I3349">
        <f>-827.623684211908 -105.339999265908 -675.237531725923</f>
        <v>-1608.2012152037389</v>
      </c>
      <c r="J3349">
        <f>-869.768989051214 -95.2208838430596 -544.135894064437</f>
        <v>-1509.1257669587108</v>
      </c>
      <c r="K3349" t="s">
        <v>35804</v>
      </c>
      <c r="L3349" t="s">
        <v>35805</v>
      </c>
      <c r="M3349" t="s">
        <v>35806</v>
      </c>
      <c r="N3349">
        <f>-848.371712603508 -146.304882558648 -546.070587850568</f>
        <v>-1540.747183012724</v>
      </c>
      <c r="O3349">
        <f>-797.230028125556 -271.565308223542 -521.744381328986</f>
        <v>-1590.5397176780841</v>
      </c>
      <c r="P3349">
        <f>-776.373399873909 -302.78729618343 -229.885910740522</f>
        <v>-1309.0466067978609</v>
      </c>
      <c r="Q3349">
        <f>-650.552230272367 -126.039432306557 -334.671808357924</f>
        <v>-1111.2634709368481</v>
      </c>
      <c r="R3349">
        <f>-837.587353963518 -7.40306239115193 -94.4648032567729</f>
        <v>-939.45521961144289</v>
      </c>
      <c r="S3349" t="s">
        <v>35807</v>
      </c>
      <c r="T3349" t="s">
        <v>35808</v>
      </c>
      <c r="U3349" t="s">
        <v>35809</v>
      </c>
      <c r="V3349">
        <f>-752.447703144928 -181.259450392701 -90.1673766764466</f>
        <v>-1023.8745302140755</v>
      </c>
      <c r="W3349" t="s">
        <v>35810</v>
      </c>
      <c r="X3349" t="s">
        <v>35811</v>
      </c>
      <c r="Y3349" t="s">
        <v>35812</v>
      </c>
    </row>
    <row r="3350" spans="1:25" x14ac:dyDescent="0.3">
      <c r="A3350">
        <v>167450</v>
      </c>
      <c r="B3350" t="s">
        <v>35813</v>
      </c>
      <c r="C3350">
        <f>-794.8502509211 -94.1917323534024 -91.2917801827776</f>
        <v>-980.33376345728004</v>
      </c>
      <c r="D3350">
        <f>-827.422980711053 -113.004741097591 -200.842297106881</f>
        <v>-1141.270018915525</v>
      </c>
      <c r="E3350">
        <f>-843.230272145545 -120.141599728497 -297.929073285471</f>
        <v>-1261.300945159513</v>
      </c>
      <c r="F3350">
        <f>-853.064873836168 -123.283760543216 -386.425570535488</f>
        <v>-1362.7742049148719</v>
      </c>
      <c r="G3350">
        <f>-858.058338373808 -123.011104178307 -475.382055952949</f>
        <v>-1456.4514985050641</v>
      </c>
      <c r="H3350">
        <f>-859.90942638962 -119.094091468447 -599.889207108432</f>
        <v>-1578.8927249664989</v>
      </c>
      <c r="I3350">
        <f>-827.692961814637 -105.467989006794 -675.264608852095</f>
        <v>-1608.4255596735261</v>
      </c>
      <c r="J3350">
        <f>-869.805132815994 -95.2805108987146 -544.137085280736</f>
        <v>-1509.2227289954446</v>
      </c>
      <c r="K3350" t="s">
        <v>35814</v>
      </c>
      <c r="L3350" t="s">
        <v>35815</v>
      </c>
      <c r="M3350" t="s">
        <v>35816</v>
      </c>
      <c r="N3350">
        <f>-848.384439906426 -146.355060875823 -546.062320380995</f>
        <v>-1540.8018211632439</v>
      </c>
      <c r="O3350">
        <f>-797.164956578385 -271.575101334644 -521.679827287104</f>
        <v>-1590.419885200133</v>
      </c>
      <c r="P3350">
        <f>-776.335224171268 -302.816560406099 -229.821529913404</f>
        <v>-1308.9733144907709</v>
      </c>
      <c r="Q3350">
        <f>-650.854965699001 -125.8221707462 -334.600067315237</f>
        <v>-1111.2772037604379</v>
      </c>
      <c r="R3350">
        <f>-837.574245995603 -7.38052862165591 -94.4623292176896</f>
        <v>-939.41710383494842</v>
      </c>
      <c r="S3350" t="s">
        <v>35817</v>
      </c>
      <c r="T3350" t="s">
        <v>35818</v>
      </c>
      <c r="U3350" t="s">
        <v>35819</v>
      </c>
      <c r="V3350">
        <f>-752.473240063006 -181.303633039955 -90.1584414312179</f>
        <v>-1023.9353145341788</v>
      </c>
      <c r="W3350" t="s">
        <v>35820</v>
      </c>
      <c r="X3350" t="s">
        <v>35821</v>
      </c>
      <c r="Y3350" t="s">
        <v>35822</v>
      </c>
    </row>
    <row r="3351" spans="1:25" x14ac:dyDescent="0.3">
      <c r="A3351">
        <v>167500</v>
      </c>
      <c r="B3351" t="s">
        <v>35823</v>
      </c>
      <c r="C3351">
        <f>-794.944011690471 -94.0391572545036 -91.2894795678536</f>
        <v>-980.27264851282825</v>
      </c>
      <c r="D3351">
        <f>-827.475600023877 -112.850255221346 -200.852538117634</f>
        <v>-1141.1783933628569</v>
      </c>
      <c r="E3351">
        <f>-843.236015868723 -120.016946578634 -297.944744665738</f>
        <v>-1261.197707113095</v>
      </c>
      <c r="F3351">
        <f>-853.025367928688 -123.197049371369 -386.444951331594</f>
        <v>-1362.6673686316508</v>
      </c>
      <c r="G3351">
        <f>-857.971480734818 -122.972241039318 -475.404122520734</f>
        <v>-1456.3478442948699</v>
      </c>
      <c r="H3351">
        <f>-859.755396027952 -119.131554091607 -599.914689925203</f>
        <v>-1578.8016400447618</v>
      </c>
      <c r="I3351">
        <f>-827.640394751811 -105.644866537733 -675.358406457944</f>
        <v>-1608.6436677474881</v>
      </c>
      <c r="J3351">
        <f>-869.71357107136 -95.2974015619037 -544.18251356122</f>
        <v>-1509.1934861944837</v>
      </c>
      <c r="K3351" t="s">
        <v>35824</v>
      </c>
      <c r="L3351" t="s">
        <v>35825</v>
      </c>
      <c r="M3351" t="s">
        <v>35826</v>
      </c>
      <c r="N3351">
        <f>-848.227247567685 -146.345906448826 -546.064982021853</f>
        <v>-1540.6381360383639</v>
      </c>
      <c r="O3351">
        <f>-796.873629399493 -271.475782747523 -521.515635429984</f>
        <v>-1589.865047577</v>
      </c>
      <c r="P3351">
        <f>-776.360859348835 -302.426711926377 -229.603871712186</f>
        <v>-1308.391442987398</v>
      </c>
      <c r="Q3351">
        <f>-650.995228364514 -125.336568746942 -334.357893423402</f>
        <v>-1110.6896905348581</v>
      </c>
      <c r="R3351">
        <f>-837.673097355748 -7.2504977034755 -94.4691359549892</f>
        <v>-939.3927310142127</v>
      </c>
      <c r="S3351" t="s">
        <v>35827</v>
      </c>
      <c r="T3351" t="s">
        <v>35828</v>
      </c>
      <c r="U3351" t="s">
        <v>35829</v>
      </c>
      <c r="V3351">
        <f>-752.569071909099 -181.066025275705 -90.1491639675902</f>
        <v>-1023.7842611523942</v>
      </c>
      <c r="W3351" t="s">
        <v>35830</v>
      </c>
      <c r="X3351" t="s">
        <v>35831</v>
      </c>
      <c r="Y3351" t="s">
        <v>35832</v>
      </c>
    </row>
    <row r="3352" spans="1:25" x14ac:dyDescent="0.3">
      <c r="A3352">
        <v>167550</v>
      </c>
      <c r="B3352" t="s">
        <v>35833</v>
      </c>
      <c r="C3352">
        <f>-795.001707543509 -93.9651285779087 -91.2951354307066</f>
        <v>-980.26197155212435</v>
      </c>
      <c r="D3352">
        <f>-827.498444921529 -112.788316073851 -200.866325315569</f>
        <v>-1141.153086310949</v>
      </c>
      <c r="E3352">
        <f>-843.214090449033 -119.983453419613 -297.963800341928</f>
        <v>-1261.161344210574</v>
      </c>
      <c r="F3352">
        <f>-852.957012923824 -123.196886173164 -386.467992424836</f>
        <v>-1362.621891521824</v>
      </c>
      <c r="G3352">
        <f>-857.851366119094 -123.012566498996 -475.430183066475</f>
        <v>-1456.294115684565</v>
      </c>
      <c r="H3352">
        <f>-859.557591290398 -119.235872291781 -599.943735669781</f>
        <v>-1578.73719925196</v>
      </c>
      <c r="I3352">
        <f>-827.480118882267 -105.809549519687 -675.414235053735</f>
        <v>-1608.703903455689</v>
      </c>
      <c r="J3352">
        <f>-869.564454704537 -95.3788624743588 -544.229964995677</f>
        <v>-1509.1732821745727</v>
      </c>
      <c r="K3352" t="s">
        <v>35834</v>
      </c>
      <c r="L3352" t="s">
        <v>35835</v>
      </c>
      <c r="M3352" t="s">
        <v>35836</v>
      </c>
      <c r="N3352">
        <f>-848.049007195693 -146.416657642835 -546.07278188088</f>
        <v>-1540.5384467194081</v>
      </c>
      <c r="O3352">
        <f>-796.626081841256 -271.49565876364 -521.405773138486</f>
        <v>-1589.5275137433819</v>
      </c>
      <c r="P3352">
        <f>-776.172223873341 -302.377300543619 -229.482646040472</f>
        <v>-1308.0321704574319</v>
      </c>
      <c r="Q3352">
        <f>-651.26303855445 -125.125521795863 -334.508124578125</f>
        <v>-1110.8966849284379</v>
      </c>
      <c r="R3352">
        <f>-837.756263515744 -7.22149197691601 -94.4847153755828</f>
        <v>-939.4624708682428</v>
      </c>
      <c r="S3352" t="s">
        <v>35837</v>
      </c>
      <c r="T3352" t="s">
        <v>35838</v>
      </c>
      <c r="U3352" t="s">
        <v>35839</v>
      </c>
      <c r="V3352">
        <f>-752.592800334193 -180.984773362203 -90.1410326080418</f>
        <v>-1023.7186063044378</v>
      </c>
      <c r="W3352" t="s">
        <v>35840</v>
      </c>
      <c r="X3352" t="s">
        <v>35841</v>
      </c>
      <c r="Y3352" t="s">
        <v>35842</v>
      </c>
    </row>
    <row r="3353" spans="1:25" x14ac:dyDescent="0.3">
      <c r="A3353">
        <v>167600</v>
      </c>
      <c r="B3353" t="s">
        <v>35843</v>
      </c>
      <c r="C3353">
        <f>-795.06259401374 -93.8482908018968 -91.3006252396532</f>
        <v>-980.21151005528998</v>
      </c>
      <c r="D3353">
        <f>-827.488133553224 -112.705127452725 -200.88716579319</f>
        <v>-1141.0804267991391</v>
      </c>
      <c r="E3353">
        <f>-843.112766482428 -119.949746246265 -297.995654479806</f>
        <v>-1261.0581672084991</v>
      </c>
      <c r="F3353">
        <f>-852.762197994793 -123.215811841042 -386.508059724034</f>
        <v>-1362.4860695598691</v>
      </c>
      <c r="G3353">
        <f>-857.552482065916 -123.091099131512 -475.475974914951</f>
        <v>-1456.1195561123791</v>
      </c>
      <c r="H3353">
        <f>-859.103151546552 -119.404318552785 -599.99423420357</f>
        <v>-1578.501704302907</v>
      </c>
      <c r="I3353">
        <f>-827.038404936966 -106.040521874471 -675.481334052781</f>
        <v>-1608.560260864218</v>
      </c>
      <c r="J3353">
        <f>-869.219808024022 -95.5241483486972 -544.310303577837</f>
        <v>-1509.0542599505561</v>
      </c>
      <c r="K3353" t="s">
        <v>35844</v>
      </c>
      <c r="L3353" t="s">
        <v>35845</v>
      </c>
      <c r="M3353" t="s">
        <v>35846</v>
      </c>
      <c r="N3353">
        <f>-847.621694547616 -146.529281165804 -546.089484558418</f>
        <v>-1540.2404602718379</v>
      </c>
      <c r="O3353">
        <f>-796.029835746825 -271.499804607384 -521.208046333994</f>
        <v>-1588.7376866882032</v>
      </c>
      <c r="P3353">
        <f>-775.78887446644 -301.958425639426 -229.225494576884</f>
        <v>-1306.9727946827502</v>
      </c>
      <c r="Q3353">
        <f>-651.403278581792 -124.597796641083 -334.687893889086</f>
        <v>-1110.6889691119609</v>
      </c>
      <c r="R3353">
        <f>-837.916511193473 -7.13107359493961 -94.5242699140314</f>
        <v>-939.57185470244394</v>
      </c>
      <c r="S3353" t="s">
        <v>35847</v>
      </c>
      <c r="T3353" t="s">
        <v>35848</v>
      </c>
      <c r="U3353" t="s">
        <v>35849</v>
      </c>
      <c r="V3353">
        <f>-752.553152868558 -180.830313517309 -90.1397130930886</f>
        <v>-1023.5231794789556</v>
      </c>
      <c r="W3353" t="s">
        <v>35850</v>
      </c>
      <c r="X3353" t="s">
        <v>35851</v>
      </c>
      <c r="Y3353" t="s">
        <v>35852</v>
      </c>
    </row>
    <row r="3354" spans="1:25" x14ac:dyDescent="0.3">
      <c r="A3354">
        <v>167650</v>
      </c>
      <c r="B3354" t="s">
        <v>35853</v>
      </c>
      <c r="C3354">
        <f>-795.064796309304 -93.7927656669345 -91.3161989726748</f>
        <v>-980.17376094891335</v>
      </c>
      <c r="D3354">
        <f>-827.494916765973 -112.67526623106 -200.897065698483</f>
        <v>-1141.0672486955159</v>
      </c>
      <c r="E3354">
        <f>-843.104161892422 -119.951437462213 -298.005566170758</f>
        <v>-1261.0611655253929</v>
      </c>
      <c r="F3354">
        <f>-852.732566734021 -123.249128955924 -386.519155892593</f>
        <v>-1362.500851582538</v>
      </c>
      <c r="G3354">
        <f>-857.494976635564 -123.158314755219 -475.488561531439</f>
        <v>-1456.1418529222219</v>
      </c>
      <c r="H3354">
        <f>-859.000379343644 -119.520854983042 -600.00890905981</f>
        <v>-1578.5301433864961</v>
      </c>
      <c r="I3354">
        <f>-826.941888118513 -106.180804723395 -675.502785859743</f>
        <v>-1608.625478701651</v>
      </c>
      <c r="J3354">
        <f>-869.168874651443 -95.6319881568123 -544.338163280787</f>
        <v>-1509.1390260890423</v>
      </c>
      <c r="K3354" t="s">
        <v>35854</v>
      </c>
      <c r="L3354" t="s">
        <v>35855</v>
      </c>
      <c r="M3354" t="s">
        <v>35856</v>
      </c>
      <c r="N3354">
        <f>-847.507038991141 -146.611100768368 -546.089172068743</f>
        <v>-1540.2073118282519</v>
      </c>
      <c r="O3354">
        <f>-795.79490494249 -271.516555401679 -521.11687973619</f>
        <v>-1588.428340080359</v>
      </c>
      <c r="P3354">
        <f>-775.606009845901 -301.873152838737 -229.120093177259</f>
        <v>-1306.5992558618968</v>
      </c>
      <c r="Q3354">
        <f>-651.443237428874 -124.385384204666 -334.631203410598</f>
        <v>-1110.4598250441381</v>
      </c>
      <c r="R3354">
        <f>-837.9717202296 -7.14189667167489 -94.5391208299039</f>
        <v>-939.65273773117883</v>
      </c>
      <c r="S3354" t="s">
        <v>35857</v>
      </c>
      <c r="T3354" t="s">
        <v>35858</v>
      </c>
      <c r="U3354" t="s">
        <v>35859</v>
      </c>
      <c r="V3354">
        <f>-752.522895481789 -180.719688753713 -90.1449982203271</f>
        <v>-1023.387582455829</v>
      </c>
      <c r="W3354" t="s">
        <v>35860</v>
      </c>
      <c r="X3354" t="s">
        <v>35861</v>
      </c>
      <c r="Y3354" t="s">
        <v>35862</v>
      </c>
    </row>
    <row r="3355" spans="1:25" x14ac:dyDescent="0.3">
      <c r="A3355">
        <v>167700</v>
      </c>
      <c r="B3355" t="s">
        <v>35863</v>
      </c>
      <c r="C3355">
        <f>-795.135360985722 -93.7770825116302 -91.3325654833553</f>
        <v>-980.24500898070744</v>
      </c>
      <c r="D3355">
        <f>-827.550966056633 -112.704526019426 -200.90990990847</f>
        <v>-1141.1654019845291</v>
      </c>
      <c r="E3355">
        <f>-843.125711840358 -120.020669165599 -298.020961512673</f>
        <v>-1261.16734251863</v>
      </c>
      <c r="F3355">
        <f>-852.715201643139 -123.353600598567 -386.537494360936</f>
        <v>-1362.606296602642</v>
      </c>
      <c r="G3355">
        <f>-857.432391081383 -123.294957548774 -475.509405282318</f>
        <v>-1456.236753912475</v>
      </c>
      <c r="H3355">
        <f>-858.868766985795 -119.697792223264 -600.031669826617</f>
        <v>-1578.598229035676</v>
      </c>
      <c r="I3355">
        <f>-826.831804303884 -106.403936260713 -675.54272692192</f>
        <v>-1608.778467486517</v>
      </c>
      <c r="J3355">
        <f>-869.136529072466 -95.8201110588521 -544.374287715774</f>
        <v>-1509.3309278470922</v>
      </c>
      <c r="K3355" t="s">
        <v>35864</v>
      </c>
      <c r="L3355" t="s">
        <v>35865</v>
      </c>
      <c r="M3355" t="s">
        <v>35866</v>
      </c>
      <c r="N3355">
        <f>-847.3368537241 -146.741416526307 -546.096702533869</f>
        <v>-1540.1749727842762</v>
      </c>
      <c r="O3355">
        <f>-795.376721381476 -271.51437781357 -520.999100890109</f>
        <v>-1587.8902000851551</v>
      </c>
      <c r="P3355">
        <f>-775.422337193251 -301.675903312233 -228.966015343382</f>
        <v>-1306.064255848866</v>
      </c>
      <c r="Q3355">
        <f>-651.29668048609 -124.13455421521 -334.43058565759</f>
        <v>-1109.8618203588899</v>
      </c>
      <c r="R3355">
        <f>-838.124632719869 -7.14639217822901 -94.5496125843616</f>
        <v>-939.82063748245969</v>
      </c>
      <c r="S3355" t="s">
        <v>35867</v>
      </c>
      <c r="T3355" t="s">
        <v>35868</v>
      </c>
      <c r="U3355" t="s">
        <v>35869</v>
      </c>
      <c r="V3355">
        <f>-752.519256618746 -180.669290289305 -90.1512429553313</f>
        <v>-1023.3397898633823</v>
      </c>
      <c r="W3355" t="s">
        <v>35870</v>
      </c>
      <c r="X3355" t="s">
        <v>35871</v>
      </c>
      <c r="Y3355" t="s">
        <v>35872</v>
      </c>
    </row>
    <row r="3356" spans="1:25" x14ac:dyDescent="0.3">
      <c r="A3356">
        <v>167750</v>
      </c>
      <c r="B3356" t="s">
        <v>35873</v>
      </c>
      <c r="C3356">
        <f>-795.203009710367 -93.7001149590088 -91.3380064032265</f>
        <v>-980.24113107260234</v>
      </c>
      <c r="D3356">
        <f>-827.608168951861 -112.65099692702 -200.914471650602</f>
        <v>-1141.1736375294831</v>
      </c>
      <c r="E3356">
        <f>-843.160657310163 -119.980259018534 -298.028057801727</f>
        <v>-1261.168974130424</v>
      </c>
      <c r="F3356">
        <f>-852.725045740284 -123.321476549843 -386.547098189624</f>
        <v>-1362.5936204797511</v>
      </c>
      <c r="G3356">
        <f>-857.412673795452 -123.266717927396 -475.520435956218</f>
        <v>-1456.1998276790659</v>
      </c>
      <c r="H3356">
        <f>-858.803381436983 -119.669805697656 -600.043190453797</f>
        <v>-1578.5163775884362</v>
      </c>
      <c r="I3356">
        <f>-826.782206075671 -106.406003970973 -675.566402138229</f>
        <v>-1608.7546121848729</v>
      </c>
      <c r="J3356">
        <f>-869.119646952165 -95.8040220078387 -544.389809946075</f>
        <v>-1509.3134789060787</v>
      </c>
      <c r="K3356" t="s">
        <v>35874</v>
      </c>
      <c r="L3356" t="s">
        <v>35875</v>
      </c>
      <c r="M3356" t="s">
        <v>35876</v>
      </c>
      <c r="N3356">
        <f>-847.263327959897 -146.70120290114 -546.104041025645</f>
        <v>-1540.0685718866821</v>
      </c>
      <c r="O3356">
        <f>-795.198951819653 -271.421683956176 -520.957114642365</f>
        <v>-1587.577750418194</v>
      </c>
      <c r="P3356">
        <f>-775.347258211311 -301.570397757683 -228.91562198529</f>
        <v>-1305.8332779542841</v>
      </c>
      <c r="Q3356">
        <f>-651.303735758464 -123.930648463089 -334.311180860835</f>
        <v>-1109.5455650823881</v>
      </c>
      <c r="R3356">
        <f>-838.234425686571 -7.14295890610106 -94.557650441468</f>
        <v>-939.93503503414001</v>
      </c>
      <c r="S3356" t="s">
        <v>35877</v>
      </c>
      <c r="T3356" t="s">
        <v>35878</v>
      </c>
      <c r="U3356" t="s">
        <v>35879</v>
      </c>
      <c r="V3356">
        <f>-752.546219801163 -180.511492763267 -90.1491435532485</f>
        <v>-1023.2068561176786</v>
      </c>
      <c r="W3356" t="s">
        <v>35880</v>
      </c>
      <c r="X3356" t="s">
        <v>35881</v>
      </c>
      <c r="Y3356" t="s">
        <v>35882</v>
      </c>
    </row>
    <row r="3357" spans="1:25" x14ac:dyDescent="0.3">
      <c r="A3357">
        <v>167800</v>
      </c>
      <c r="B3357" t="s">
        <v>35883</v>
      </c>
      <c r="C3357">
        <f>-795.336832733816 -93.7163569555267 -91.3497947919328</f>
        <v>-980.40298448127555</v>
      </c>
      <c r="D3357">
        <f>-827.73111061458 -112.6991365804 -200.923906670285</f>
        <v>-1141.3541538652651</v>
      </c>
      <c r="E3357">
        <f>-843.233448439238 -120.029719255102 -298.045566387315</f>
        <v>-1261.3087340816551</v>
      </c>
      <c r="F3357">
        <f>-852.736542593043 -123.36040642499 -386.571526321447</f>
        <v>-1362.66847533948</v>
      </c>
      <c r="G3357">
        <f>-857.347609994501 -123.281952288202 -475.548728672706</f>
        <v>-1456.178290955409</v>
      </c>
      <c r="H3357">
        <f>-858.616199686769 -119.637306132716 -600.071539593703</f>
        <v>-1578.325045413188</v>
      </c>
      <c r="I3357">
        <f>-826.630207648929 -106.451481890881 -675.623263203238</f>
        <v>-1608.7049527430481</v>
      </c>
      <c r="J3357">
        <f>-869.036688675511 -95.814305242735 -544.419215351301</f>
        <v>-1509.270209269547</v>
      </c>
      <c r="K3357" t="s">
        <v>35884</v>
      </c>
      <c r="L3357" t="s">
        <v>35885</v>
      </c>
      <c r="M3357" t="s">
        <v>35886</v>
      </c>
      <c r="N3357">
        <f>-847.079150110217 -146.668009975462 -546.131324679014</f>
        <v>-1539.878484764693</v>
      </c>
      <c r="O3357">
        <f>-794.836338060828 -271.293426654027 -520.89606436102</f>
        <v>-1587.0258290758748</v>
      </c>
      <c r="P3357">
        <f>-775.168395914027 -301.352380472133 -228.833114668168</f>
        <v>-1305.353891054328</v>
      </c>
      <c r="Q3357">
        <f>-651.278977178152 -123.610181218447 -334.236786111673</f>
        <v>-1109.1259445082719</v>
      </c>
      <c r="R3357">
        <f>-838.412261026995 -7.1958334861381 -94.5726880723697</f>
        <v>-940.18078258550281</v>
      </c>
      <c r="S3357" t="s">
        <v>35887</v>
      </c>
      <c r="T3357" t="s">
        <v>35888</v>
      </c>
      <c r="U3357" t="s">
        <v>35889</v>
      </c>
      <c r="V3357">
        <f>-752.621772829035 -180.514658651249 -90.1489309705706</f>
        <v>-1023.2853624508546</v>
      </c>
      <c r="W3357" t="s">
        <v>35890</v>
      </c>
      <c r="X3357" t="s">
        <v>35891</v>
      </c>
      <c r="Y3357" t="s">
        <v>35892</v>
      </c>
    </row>
    <row r="3358" spans="1:25" x14ac:dyDescent="0.3">
      <c r="A3358">
        <v>167850</v>
      </c>
      <c r="B3358" t="s">
        <v>35893</v>
      </c>
      <c r="C3358">
        <f>-795.40433883551 -93.6591538686606 -91.3469996975798</f>
        <v>-980.41049240175039</v>
      </c>
      <c r="D3358">
        <f>-827.77293968015 -112.657371231136 -200.925908266555</f>
        <v>-1141.356219177841</v>
      </c>
      <c r="E3358">
        <f>-843.244236157953 -119.998894740053 -298.05168444659</f>
        <v>-1261.2948153445959</v>
      </c>
      <c r="F3358">
        <f>-852.71566191499 -123.338371467382 -386.58073564139</f>
        <v>-1362.6347690237621</v>
      </c>
      <c r="G3358">
        <f>-857.292235489281 -123.266897515252 -475.559828158896</f>
        <v>-1456.118961163429</v>
      </c>
      <c r="H3358">
        <f>-858.509325172245 -119.629947655119 -600.08339546624</f>
        <v>-1578.2226682936039</v>
      </c>
      <c r="I3358">
        <f>-826.536805162007 -106.500071332577 -675.650510060948</f>
        <v>-1608.6873865555322</v>
      </c>
      <c r="J3358">
        <f>-868.974104434642 -95.8126773154268 -544.436836767176</f>
        <v>-1509.2236185172446</v>
      </c>
      <c r="K3358" t="s">
        <v>35894</v>
      </c>
      <c r="L3358" t="s">
        <v>35895</v>
      </c>
      <c r="M3358" t="s">
        <v>35896</v>
      </c>
      <c r="N3358">
        <f>-846.973514834777 -146.648128364935 -546.136600821878</f>
        <v>-1539.7582440215901</v>
      </c>
      <c r="O3358">
        <f>-794.643134924114 -271.224639316061 -520.853545065112</f>
        <v>-1586.7213193052869</v>
      </c>
      <c r="P3358">
        <f>-775.007877630597 -301.276739690519 -228.787543510429</f>
        <v>-1305.072160831545</v>
      </c>
      <c r="Q3358">
        <f>-651.298642594968 -123.422254745977 -334.213684617083</f>
        <v>-1108.934581958028</v>
      </c>
      <c r="R3358">
        <f>-838.516486673988 -7.2039801175606 -94.5756894374899</f>
        <v>-940.2961562290385</v>
      </c>
      <c r="S3358" t="s">
        <v>35897</v>
      </c>
      <c r="T3358" t="s">
        <v>35898</v>
      </c>
      <c r="U3358" t="s">
        <v>35899</v>
      </c>
      <c r="V3358">
        <f>-752.643116418509 -180.382904419028 -90.1462699755582</f>
        <v>-1023.1722908130952</v>
      </c>
      <c r="W3358" t="s">
        <v>35900</v>
      </c>
      <c r="X3358" t="s">
        <v>35901</v>
      </c>
      <c r="Y3358" t="s">
        <v>35902</v>
      </c>
    </row>
    <row r="3359" spans="1:25" x14ac:dyDescent="0.3">
      <c r="A3359">
        <v>167900</v>
      </c>
      <c r="B3359" t="s">
        <v>35903</v>
      </c>
      <c r="C3359">
        <f>-795.507406862967 -93.7676899687574 -91.3393435560707</f>
        <v>-980.61444038779507</v>
      </c>
      <c r="D3359">
        <f>-827.851918018374 -112.822472166664 -200.915697016918</f>
        <v>-1141.5900872019561</v>
      </c>
      <c r="E3359">
        <f>-843.302167177905 -120.224075954313 -298.04013104444</f>
        <v>-1261.566374176658</v>
      </c>
      <c r="F3359">
        <f>-852.754403066286 -123.622833970211 -386.569016499533</f>
        <v>-1362.9462535360301</v>
      </c>
      <c r="G3359">
        <f>-857.311972269151 -123.615062278612 -475.549050681505</f>
        <v>-1456.4760852292679</v>
      </c>
      <c r="H3359">
        <f>-858.502640718547 -120.071435876433 -600.075539321244</f>
        <v>-1578.6496159162241</v>
      </c>
      <c r="I3359">
        <f>-826.57594758404 -107.095743510353 -675.688726908532</f>
        <v>-1609.3604180029251</v>
      </c>
      <c r="J3359">
        <f>-869.019814166562 -96.2301253972819 -544.449240596263</f>
        <v>-1509.6991801601071</v>
      </c>
      <c r="K3359" t="s">
        <v>35904</v>
      </c>
      <c r="L3359" t="s">
        <v>35905</v>
      </c>
      <c r="M3359" t="s">
        <v>35906</v>
      </c>
      <c r="N3359">
        <f>-846.937426506445 -147.031522522832 -546.10602100673</f>
        <v>-1540.074970036007</v>
      </c>
      <c r="O3359">
        <f>-794.423204579119 -271.512214417359 -520.739481525498</f>
        <v>-1586.6749005219758</v>
      </c>
      <c r="P3359">
        <f>-774.852947055101 -301.359239975026 -228.647991198883</f>
        <v>-1304.8601782290102</v>
      </c>
      <c r="Q3359">
        <f>-651.413890841392 -123.336836404181 -334.10740009811</f>
        <v>-1108.858127343683</v>
      </c>
      <c r="R3359">
        <f>-838.69033560481 -7.38425707533065 -94.5837242119551</f>
        <v>-940.65831689209574</v>
      </c>
      <c r="S3359" t="s">
        <v>35907</v>
      </c>
      <c r="T3359" t="s">
        <v>35908</v>
      </c>
      <c r="U3359" t="s">
        <v>35909</v>
      </c>
      <c r="V3359">
        <f>-752.664559781429 -180.420450829955 -90.137517593313</f>
        <v>-1023.222528204697</v>
      </c>
      <c r="W3359" t="s">
        <v>35910</v>
      </c>
      <c r="X3359" t="s">
        <v>35911</v>
      </c>
      <c r="Y3359" t="s">
        <v>35912</v>
      </c>
    </row>
    <row r="3360" spans="1:25" x14ac:dyDescent="0.3">
      <c r="A3360">
        <v>167950</v>
      </c>
      <c r="B3360" t="s">
        <v>35913</v>
      </c>
      <c r="C3360">
        <f>-795.558927570664 -93.9322825262624 -91.3444604409301</f>
        <v>-980.83567053785646</v>
      </c>
      <c r="D3360">
        <f>-827.899359490874 -113.03027667394 -200.914464479731</f>
        <v>-1141.8441006445451</v>
      </c>
      <c r="E3360">
        <f>-843.337249101841 -120.480858136109 -298.03715727812</f>
        <v>-1261.8552645160701</v>
      </c>
      <c r="F3360">
        <f>-852.774088124939 -123.930090379122 -386.565715094055</f>
        <v>-1363.2698935981161</v>
      </c>
      <c r="G3360">
        <f>-857.311545218211 -123.978963358072 -475.54690193896</f>
        <v>-1456.8374105152429</v>
      </c>
      <c r="H3360">
        <f>-858.469410802467 -120.52150426379 -600.075976511586</f>
        <v>-1579.0668915778429</v>
      </c>
      <c r="I3360">
        <f>-826.549539077242 -107.632534771709 -675.706846355229</f>
        <v>-1609.8889202041801</v>
      </c>
      <c r="J3360">
        <f>-869.017668438707 -96.6487729592811 -544.469029846282</f>
        <v>-1510.1354712442701</v>
      </c>
      <c r="K3360" t="s">
        <v>35914</v>
      </c>
      <c r="L3360" t="s">
        <v>35915</v>
      </c>
      <c r="M3360" t="s">
        <v>35916</v>
      </c>
      <c r="N3360">
        <f>-846.902031848849 -147.437120975508 -546.084771571038</f>
        <v>-1540.423924395395</v>
      </c>
      <c r="O3360">
        <f>-794.295281984574 -271.873346589447 -520.678199004694</f>
        <v>-1586.846827578715</v>
      </c>
      <c r="P3360">
        <f>-774.611058025338 -301.635029501095 -228.585810024185</f>
        <v>-1304.8318975506181</v>
      </c>
      <c r="Q3360">
        <f>-651.292351785499 -123.516660323143 -334.023807343766</f>
        <v>-1108.8328194524081</v>
      </c>
      <c r="R3360">
        <f>-838.823900446903 -7.51336193777252 -94.5861686079213</f>
        <v>-940.92343099259688</v>
      </c>
      <c r="S3360" t="s">
        <v>35917</v>
      </c>
      <c r="T3360" t="s">
        <v>35918</v>
      </c>
      <c r="U3360" t="s">
        <v>35919</v>
      </c>
      <c r="V3360">
        <f>-752.63259533011 -180.668596362934 -90.1347759912217</f>
        <v>-1023.4359676842657</v>
      </c>
      <c r="W3360" t="s">
        <v>35920</v>
      </c>
      <c r="X3360" t="s">
        <v>35921</v>
      </c>
      <c r="Y3360" t="s">
        <v>35922</v>
      </c>
    </row>
    <row r="3361" spans="1:25" x14ac:dyDescent="0.3">
      <c r="A3361">
        <v>168000</v>
      </c>
      <c r="B3361" t="s">
        <v>35923</v>
      </c>
      <c r="C3361">
        <f>-795.59154957623 -94.0248536119641 -91.3417937696119</f>
        <v>-980.95819695780597</v>
      </c>
      <c r="D3361">
        <f>-827.935690203717 -113.233401855107 -200.891253079466</f>
        <v>-1142.0603451382899</v>
      </c>
      <c r="E3361">
        <f>-843.380546892479 -120.765865056013 -298.006694089405</f>
        <v>-1262.153106037897</v>
      </c>
      <c r="F3361">
        <f>-852.821561823552 -124.288209153514 -386.531732811963</f>
        <v>-1363.641503789029</v>
      </c>
      <c r="G3361">
        <f>-857.360086657214 -124.410825474935 -475.51279264585</f>
        <v>-1457.283704777999</v>
      </c>
      <c r="H3361">
        <f>-858.514613786993 -121.05865873483 -600.044911605752</f>
        <v>-1579.618184127575</v>
      </c>
      <c r="I3361">
        <f>-826.663747917652 -108.300609300187 -675.726988405052</f>
        <v>-1610.691345622891</v>
      </c>
      <c r="J3361">
        <f>-869.090491669156 -97.1503847005015 -544.458393931756</f>
        <v>-1510.6992703014134</v>
      </c>
      <c r="K3361" t="s">
        <v>35924</v>
      </c>
      <c r="L3361" t="s">
        <v>35925</v>
      </c>
      <c r="M3361" t="s">
        <v>35926</v>
      </c>
      <c r="N3361">
        <f>-846.922663184295 -147.917301544931 -546.030542437171</f>
        <v>-1540.8705071663969</v>
      </c>
      <c r="O3361">
        <f>-794.208842735847 -272.308990839746 -520.587378999476</f>
        <v>-1587.1052125750691</v>
      </c>
      <c r="P3361">
        <f>-774.297068260684 -301.948708921737 -228.497976853537</f>
        <v>-1304.7437540359581</v>
      </c>
      <c r="Q3361">
        <f>-650.933908963655 -123.836165288555 -333.894133128483</f>
        <v>-1108.6642073806929</v>
      </c>
      <c r="R3361">
        <f>-839.094693373817 -7.7354749150461 -94.5618151238261</f>
        <v>-941.39198341268923</v>
      </c>
      <c r="S3361" t="s">
        <v>35927</v>
      </c>
      <c r="T3361" t="s">
        <v>35928</v>
      </c>
      <c r="U3361" t="s">
        <v>35929</v>
      </c>
      <c r="V3361">
        <f>-752.402469559987 -180.640841763316 -90.142639439134</f>
        <v>-1023.185950762437</v>
      </c>
      <c r="W3361" t="s">
        <v>35930</v>
      </c>
      <c r="X3361" t="s">
        <v>35931</v>
      </c>
      <c r="Y3361" t="s">
        <v>35932</v>
      </c>
    </row>
    <row r="3362" spans="1:25" x14ac:dyDescent="0.3">
      <c r="A3362">
        <v>168050</v>
      </c>
      <c r="B3362" t="s">
        <v>35933</v>
      </c>
      <c r="C3362">
        <f>-795.523336701909 -94.2296434699226 -91.3291590691181</f>
        <v>-981.08213924094969</v>
      </c>
      <c r="D3362">
        <f>-827.911380044281 -113.492624785725 -200.856206492388</f>
        <v>-1142.2602113223941</v>
      </c>
      <c r="E3362">
        <f>-843.387435734121 -121.052841507289 -297.964381655026</f>
        <v>-1262.4046588964361</v>
      </c>
      <c r="F3362">
        <f>-852.852471381026 -124.59401683741 -386.486288604881</f>
        <v>-1363.932776823317</v>
      </c>
      <c r="G3362">
        <f>-857.410513049172 -124.729614397575 -475.466227390333</f>
        <v>-1457.6063548370801</v>
      </c>
      <c r="H3362">
        <f>-858.586426686555 -121.390059921145 -599.99851297103</f>
        <v>-1579.9749995787301</v>
      </c>
      <c r="I3362">
        <f>-826.804151606908 -108.706020418801 -675.721837683405</f>
        <v>-1611.2320097091142</v>
      </c>
      <c r="J3362">
        <f>-869.16513100636 -97.4815049997682 -544.412636478321</f>
        <v>-1511.0592724844491</v>
      </c>
      <c r="K3362" t="s">
        <v>35934</v>
      </c>
      <c r="L3362" t="s">
        <v>35935</v>
      </c>
      <c r="M3362" t="s">
        <v>35936</v>
      </c>
      <c r="N3362">
        <f>-846.972737316221 -148.237732842728 -545.983460671854</f>
        <v>-1541.1939308308029</v>
      </c>
      <c r="O3362">
        <f>-794.229799553788 -272.611305822323 -520.531615888351</f>
        <v>-1587.3727212644621</v>
      </c>
      <c r="P3362">
        <f>-774.275155681358 -302.210022474704 -228.440925024908</f>
        <v>-1304.9261031809699</v>
      </c>
      <c r="Q3362">
        <f>-650.838350550023 -124.132045240457 -333.809242985352</f>
        <v>-1108.7796387758322</v>
      </c>
      <c r="R3362">
        <f>-839.119928275911 -7.96474832978879 -94.5332825845118</f>
        <v>-941.61795919021154</v>
      </c>
      <c r="S3362" t="s">
        <v>35937</v>
      </c>
      <c r="T3362" t="s">
        <v>35938</v>
      </c>
      <c r="U3362" t="s">
        <v>35939</v>
      </c>
      <c r="V3362">
        <f>-752.265479951285 -180.843591802207 -90.1241494459445</f>
        <v>-1023.2332211994365</v>
      </c>
      <c r="W3362" t="s">
        <v>35940</v>
      </c>
      <c r="X3362" t="s">
        <v>35941</v>
      </c>
      <c r="Y3362" t="s">
        <v>35942</v>
      </c>
    </row>
    <row r="3363" spans="1:25" x14ac:dyDescent="0.3">
      <c r="A3363">
        <v>168100</v>
      </c>
      <c r="B3363" t="s">
        <v>35943</v>
      </c>
      <c r="C3363">
        <f>-795.553219440273 -94.6912548053813 -91.2596651582519</f>
        <v>-981.50413940390615</v>
      </c>
      <c r="D3363">
        <f>-828.03631608032 -114.013477041911 -200.748100800969</f>
        <v>-1142.7978939232</v>
      </c>
      <c r="E3363">
        <f>-843.489244853845 -121.578542161002 -297.85953151966</f>
        <v>-1262.9273185345069</v>
      </c>
      <c r="F3363">
        <f>-852.88762416079 -125.108873723284 -386.388919573967</f>
        <v>-1364.385417458041</v>
      </c>
      <c r="G3363">
        <f>-857.331282192912 -125.219579115505 -475.374806872777</f>
        <v>-1457.9256681811939</v>
      </c>
      <c r="H3363">
        <f>-858.296530864311 -121.832791271791 -599.907542723968</f>
        <v>-1580.0368648600702</v>
      </c>
      <c r="I3363">
        <f>-826.579274763455 -109.42489644365 -675.703959949857</f>
        <v>-1611.7081311569621</v>
      </c>
      <c r="J3363">
        <f>-868.978778888376 -97.949521097725 -544.330626466181</f>
        <v>-1511.2589264522821</v>
      </c>
      <c r="K3363" t="s">
        <v>35944</v>
      </c>
      <c r="L3363" t="s">
        <v>35945</v>
      </c>
      <c r="M3363" t="s">
        <v>35946</v>
      </c>
      <c r="N3363">
        <f>-846.764689272218 -148.696839644329 -545.883121641638</f>
        <v>-1541.3446505581851</v>
      </c>
      <c r="O3363">
        <f>-793.923289692918 -273.025348698801 -520.440949076693</f>
        <v>-1587.3895874684119</v>
      </c>
      <c r="P3363">
        <f>-774.193580886258 -302.608334548934 -228.333374498702</f>
        <v>-1305.135289933894</v>
      </c>
      <c r="Q3363">
        <f>-650.658141025083 -124.548059721831 -333.615881143783</f>
        <v>-1108.8220818906971</v>
      </c>
      <c r="R3363">
        <f>-839.306176855409 -8.3151059327306 -94.4220039323291</f>
        <v>-942.0432867204687</v>
      </c>
      <c r="S3363" t="s">
        <v>35947</v>
      </c>
      <c r="T3363" t="s">
        <v>35948</v>
      </c>
      <c r="U3363" t="s">
        <v>35949</v>
      </c>
      <c r="V3363">
        <f>-752.198612125829 -181.332657301339 -90.108376656797</f>
        <v>-1023.6396460839649</v>
      </c>
      <c r="W3363" t="s">
        <v>35950</v>
      </c>
      <c r="X3363" t="s">
        <v>35951</v>
      </c>
      <c r="Y3363" t="s">
        <v>35952</v>
      </c>
    </row>
    <row r="3364" spans="1:25" x14ac:dyDescent="0.3">
      <c r="A3364">
        <v>168150</v>
      </c>
      <c r="B3364" t="s">
        <v>35953</v>
      </c>
      <c r="C3364">
        <f>-795.675446948075 -94.8352108721888 -91.2030074771826</f>
        <v>-981.71366529744637</v>
      </c>
      <c r="D3364">
        <f>-828.186317939764 -114.209117561461 -200.674060419917</f>
        <v>-1143.0694959211419</v>
      </c>
      <c r="E3364">
        <f>-843.624513410654 -121.761291386614 -297.788886466006</f>
        <v>-1263.1746912632741</v>
      </c>
      <c r="F3364">
        <f>-852.991369083153 -125.25819083314 -386.322880171492</f>
        <v>-1364.572440087785</v>
      </c>
      <c r="G3364">
        <f>-857.384821491681 -125.314450366068 -475.311362198227</f>
        <v>-1458.010634055976</v>
      </c>
      <c r="H3364">
        <f>-858.260018436656 -121.830303821863 -599.842046188921</f>
        <v>-1579.93236844744</v>
      </c>
      <c r="I3364">
        <f>-826.566463796241 -109.61811414901 -675.680141740751</f>
        <v>-1611.864719686002</v>
      </c>
      <c r="J3364">
        <f>-868.990209650487 -97.9938671075962 -544.25436959376</f>
        <v>-1511.2384463518433</v>
      </c>
      <c r="K3364" t="s">
        <v>35954</v>
      </c>
      <c r="L3364" t="s">
        <v>35955</v>
      </c>
      <c r="M3364" t="s">
        <v>35956</v>
      </c>
      <c r="N3364">
        <f>-846.759542792601 -148.7331041757 -545.830244820277</f>
        <v>-1541.3228917885781</v>
      </c>
      <c r="O3364">
        <f>-793.852458051553 -273.058328587608 -520.456669831269</f>
        <v>-1587.3674564704299</v>
      </c>
      <c r="P3364">
        <f>-774.345914987613 -302.709989607877 -228.341209131493</f>
        <v>-1305.3971137269832</v>
      </c>
      <c r="Q3364">
        <f>-650.79343211235 -124.609921131548 -333.536334868836</f>
        <v>-1108.9396881127341</v>
      </c>
      <c r="R3364">
        <f>-839.39894539665 -8.57438620064954 -94.3545188965533</f>
        <v>-942.32785049385279</v>
      </c>
      <c r="S3364" t="s">
        <v>35957</v>
      </c>
      <c r="T3364" t="s">
        <v>35958</v>
      </c>
      <c r="U3364" t="s">
        <v>35959</v>
      </c>
      <c r="V3364">
        <f>-752.313098522903 -181.360664442504 -90.0611123681986</f>
        <v>-1023.7348753336056</v>
      </c>
      <c r="W3364" t="s">
        <v>35960</v>
      </c>
      <c r="X3364" t="s">
        <v>35961</v>
      </c>
      <c r="Y3364" t="s">
        <v>35962</v>
      </c>
    </row>
    <row r="3365" spans="1:25" x14ac:dyDescent="0.3">
      <c r="A3365">
        <v>168200</v>
      </c>
      <c r="B3365" t="s">
        <v>35963</v>
      </c>
      <c r="C3365">
        <f>-795.961096029135 -95.0821510608247 -91.0692762883762</f>
        <v>-982.11252337833582</v>
      </c>
      <c r="D3365">
        <f>-828.425681285064 -114.503648708994 -200.545733106075</f>
        <v>-1143.475063100133</v>
      </c>
      <c r="E3365">
        <f>-843.826565274409 -122.004433405593 -297.670448299425</f>
        <v>-1263.5014469794269</v>
      </c>
      <c r="F3365">
        <f>-853.157937275612 -125.420584038084 -386.211318583903</f>
        <v>-1364.789839897599</v>
      </c>
      <c r="G3365">
        <f>-857.512937907541 -125.36225750282 -475.201742249015</f>
        <v>-1458.076937659376</v>
      </c>
      <c r="H3365">
        <f>-858.330539686854 -121.684134565466 -599.727200395901</f>
        <v>-1579.741874648221</v>
      </c>
      <c r="I3365">
        <f>-826.662246184394 -109.911559332792 -675.645317171401</f>
        <v>-1612.219122688587</v>
      </c>
      <c r="J3365">
        <f>-869.106321673202 -97.9430163561008 -544.107502144472</f>
        <v>-1511.156840173775</v>
      </c>
      <c r="K3365" t="s">
        <v>35964</v>
      </c>
      <c r="L3365" t="s">
        <v>35965</v>
      </c>
      <c r="M3365" t="s">
        <v>35966</v>
      </c>
      <c r="N3365">
        <f>-846.834991908041 -148.662378535116 -545.751872155324</f>
        <v>-1541.249242598481</v>
      </c>
      <c r="O3365">
        <f>-793.83699178645 -272.978753874538 -520.535027354998</f>
        <v>-1587.3507730159859</v>
      </c>
      <c r="P3365">
        <f>-774.526121348444 -302.932290235222 -228.437249207676</f>
        <v>-1305.8956607913419</v>
      </c>
      <c r="Q3365">
        <f>-651.010472170648 -124.598570979427 -333.279045382123</f>
        <v>-1108.888088532198</v>
      </c>
      <c r="R3365">
        <f>-839.654214372283 -9.01203708793423 -94.2008213195909</f>
        <v>-942.86707277980815</v>
      </c>
      <c r="S3365" t="s">
        <v>35967</v>
      </c>
      <c r="T3365" t="s">
        <v>35968</v>
      </c>
      <c r="U3365" t="s">
        <v>35969</v>
      </c>
      <c r="V3365">
        <f>-752.542791477541 -181.437012956895 -89.9476128683242</f>
        <v>-1023.9274173027601</v>
      </c>
      <c r="W3365" t="s">
        <v>35970</v>
      </c>
      <c r="X3365" t="s">
        <v>35971</v>
      </c>
      <c r="Y3365" t="s">
        <v>35972</v>
      </c>
    </row>
    <row r="3366" spans="1:25" x14ac:dyDescent="0.3">
      <c r="A3366">
        <v>168250</v>
      </c>
      <c r="B3366" t="s">
        <v>35973</v>
      </c>
      <c r="C3366">
        <f>-796.174438849129 -95.1226552950091 -90.9801931986181</f>
        <v>-982.27728734275615</v>
      </c>
      <c r="D3366">
        <f>-828.605543901272 -114.536449094645 -200.467904639469</f>
        <v>-1143.609897635386</v>
      </c>
      <c r="E3366">
        <f>-843.984165350795 -122.01024871094 -297.598210665932</f>
        <v>-1263.592624727667</v>
      </c>
      <c r="F3366">
        <f>-853.297973025217 -125.394135082255 -386.142192869588</f>
        <v>-1364.8343009770599</v>
      </c>
      <c r="G3366">
        <f>-857.637672742176 -125.295743324497 -475.133151817843</f>
        <v>-1458.0665678845162</v>
      </c>
      <c r="H3366">
        <f>-858.436253830408 -121.553390416677 -599.657054974248</f>
        <v>-1579.6466992213329</v>
      </c>
      <c r="I3366">
        <f>-826.779518922568 -109.991531662194 -675.612265033965</f>
        <v>-1612.383315618727</v>
      </c>
      <c r="J3366">
        <f>-869.2315051671 -97.8457193126914 -544.026818492021</f>
        <v>-1511.1040429718123</v>
      </c>
      <c r="K3366" t="s">
        <v>35974</v>
      </c>
      <c r="L3366" t="s">
        <v>35975</v>
      </c>
      <c r="M3366" t="s">
        <v>35976</v>
      </c>
      <c r="N3366">
        <f>-846.938270535005 -148.554696326871 -545.693711322003</f>
        <v>-1541.1866781838789</v>
      </c>
      <c r="O3366">
        <f>-793.894441890458 -272.864573476868 -520.536784750703</f>
        <v>-1587.2958001180289</v>
      </c>
      <c r="P3366">
        <f>-774.676089700425 -302.969345049099 -228.448454076401</f>
        <v>-1306.093888825925</v>
      </c>
      <c r="Q3366">
        <f>-651.150846877403 -124.549855966605 -333.133110713786</f>
        <v>-1108.833813557794</v>
      </c>
      <c r="R3366">
        <f>-839.837827018678 -9.0459133102479 -94.1248515432081</f>
        <v>-943.00859187213405</v>
      </c>
      <c r="S3366" t="s">
        <v>35977</v>
      </c>
      <c r="T3366" t="s">
        <v>35978</v>
      </c>
      <c r="U3366" t="s">
        <v>35979</v>
      </c>
      <c r="V3366">
        <f>-752.858847378821 -181.454080415412 -89.8745120424715</f>
        <v>-1024.1874398367045</v>
      </c>
      <c r="W3366" t="s">
        <v>35980</v>
      </c>
      <c r="X3366" t="s">
        <v>35981</v>
      </c>
      <c r="Y3366" t="s">
        <v>35982</v>
      </c>
    </row>
    <row r="3367" spans="1:25" x14ac:dyDescent="0.3">
      <c r="A3367">
        <v>168300</v>
      </c>
      <c r="B3367" t="s">
        <v>35983</v>
      </c>
      <c r="C3367">
        <f>-796.930831901778 -94.63215973845 -90.8768502358878</f>
        <v>-982.43984187611579</v>
      </c>
      <c r="D3367">
        <f>-829.313647617062 -114.029755572686 -200.381611645956</f>
        <v>-1143.7250148357039</v>
      </c>
      <c r="E3367">
        <f>-844.608481879579 -121.473996371677 -297.527418572865</f>
        <v>-1263.6098968241211</v>
      </c>
      <c r="F3367">
        <f>-853.829419068404 -124.824414976157 -386.082549430827</f>
        <v>-1364.736383475388</v>
      </c>
      <c r="G3367">
        <f>-858.059185089117 -124.686373134546 -475.078684224538</f>
        <v>-1457.8242424482009</v>
      </c>
      <c r="H3367">
        <f>-858.686351169894 -120.882219738618 -599.601655232663</f>
        <v>-1579.1702261411751</v>
      </c>
      <c r="I3367">
        <f>-826.970006506735 -109.687029999601 -675.587017896257</f>
        <v>-1612.2440544025931</v>
      </c>
      <c r="J3367">
        <f>-869.537407387577 -97.1930624295055 -543.974392797928</f>
        <v>-1510.7048626150104</v>
      </c>
      <c r="K3367" t="s">
        <v>35984</v>
      </c>
      <c r="L3367" t="s">
        <v>35985</v>
      </c>
      <c r="M3367" t="s">
        <v>35986</v>
      </c>
      <c r="N3367">
        <f>-847.283241321669 -147.919377806664 -545.636076135182</f>
        <v>-1540.8386952635151</v>
      </c>
      <c r="O3367">
        <f>-794.359883545355 -272.274163328804 -520.457715787584</f>
        <v>-1587.0917626617431</v>
      </c>
      <c r="P3367">
        <f>-775.422009449727 -302.559168193749 -228.369724178686</f>
        <v>-1306.3509018221621</v>
      </c>
      <c r="Q3367">
        <f>-651.642564764737 -124.312063499428 -333.047936490562</f>
        <v>-1109.002564754727</v>
      </c>
      <c r="R3367">
        <f>-840.368030459674 -8.6089332810584 -94.0709913609873</f>
        <v>-943.04795510171971</v>
      </c>
      <c r="S3367" t="s">
        <v>35987</v>
      </c>
      <c r="T3367" t="s">
        <v>35988</v>
      </c>
      <c r="U3367" t="s">
        <v>35989</v>
      </c>
      <c r="V3367">
        <f>-753.870745864852 -180.90316702705 -89.7166151822352</f>
        <v>-1024.4905280741373</v>
      </c>
      <c r="W3367" t="s">
        <v>35990</v>
      </c>
      <c r="X3367" t="s">
        <v>35991</v>
      </c>
      <c r="Y3367" t="s">
        <v>35992</v>
      </c>
    </row>
    <row r="3368" spans="1:25" x14ac:dyDescent="0.3">
      <c r="A3368">
        <v>168350</v>
      </c>
      <c r="B3368" t="s">
        <v>35993</v>
      </c>
      <c r="C3368">
        <f>-797.382381547206 -94.0733344382994 -90.8464902829138</f>
        <v>-982.30220626841924</v>
      </c>
      <c r="D3368">
        <f>-829.710566444814 -113.473199309646 -200.367033889121</f>
        <v>-1143.5507996435811</v>
      </c>
      <c r="E3368">
        <f>-844.937860647564 -120.925547616422 -297.522944686353</f>
        <v>-1263.386352950339</v>
      </c>
      <c r="F3368">
        <f>-854.089457255744 -124.285667846154 -386.084660159767</f>
        <v>-1364.459785261665</v>
      </c>
      <c r="G3368">
        <f>-858.241898985501 -124.160153109852 -475.084535034384</f>
        <v>-1457.486587129737</v>
      </c>
      <c r="H3368">
        <f>-858.752235593755 -120.377075188106 -599.608630231932</f>
        <v>-1578.737941013793</v>
      </c>
      <c r="I3368">
        <f>-827.024048144231 -109.355860777466 -675.614473640734</f>
        <v>-1611.9943825624309</v>
      </c>
      <c r="J3368">
        <f>-869.630865908686 -96.66772403487 -543.995314642931</f>
        <v>-1510.2939045864871</v>
      </c>
      <c r="K3368" t="s">
        <v>35994</v>
      </c>
      <c r="L3368" t="s">
        <v>35995</v>
      </c>
      <c r="M3368" t="s">
        <v>35996</v>
      </c>
      <c r="N3368">
        <f>-847.424632679478 -147.415932763909 -545.628153130334</f>
        <v>-1540.4687185737212</v>
      </c>
      <c r="O3368">
        <f>-794.670188317522 -271.821728384959 -520.359439890888</f>
        <v>-1586.851356593369</v>
      </c>
      <c r="P3368">
        <f>-775.949072065484 -302.028495277253 -228.249411911787</f>
        <v>-1306.2269792545242</v>
      </c>
      <c r="Q3368">
        <f>-651.875240024317 -124.050484629109 -333.036784008397</f>
        <v>-1108.962508661823</v>
      </c>
      <c r="R3368">
        <f>-840.657375469652 -8.11482911879693 -94.0829008665032</f>
        <v>-942.8551054549522</v>
      </c>
      <c r="S3368" t="s">
        <v>35997</v>
      </c>
      <c r="T3368" t="s">
        <v>35998</v>
      </c>
      <c r="U3368" t="s">
        <v>35999</v>
      </c>
      <c r="V3368">
        <f>-754.416988454446 -180.336754119573 -89.6537470845211</f>
        <v>-1024.40748965854</v>
      </c>
      <c r="W3368" t="s">
        <v>36000</v>
      </c>
      <c r="X3368" t="s">
        <v>36001</v>
      </c>
      <c r="Y3368" t="s">
        <v>36002</v>
      </c>
    </row>
    <row r="3369" spans="1:25" x14ac:dyDescent="0.3">
      <c r="A3369">
        <v>168400</v>
      </c>
      <c r="B3369" t="s">
        <v>36003</v>
      </c>
      <c r="C3369">
        <f>-798.558233796555 -92.7286733907672 -90.7729844949223</f>
        <v>-982.05989168224448</v>
      </c>
      <c r="D3369">
        <f>-830.673668879968 -112.081463695165 -200.364545873436</f>
        <v>-1143.1196784485689</v>
      </c>
      <c r="E3369">
        <f>-845.690166770823 -119.561586458023 -297.550847525525</f>
        <v>-1262.802600754371</v>
      </c>
      <c r="F3369">
        <f>-854.641383451009 -122.975006370527 -386.131214810409</f>
        <v>-1363.747604631945</v>
      </c>
      <c r="G3369">
        <f>-858.583100442132 -122.933109608402 -475.140810152296</f>
        <v>-1456.6570202028302</v>
      </c>
      <c r="H3369">
        <f>-858.788913501245 -119.299100334795 -599.670196526767</f>
        <v>-1577.7582103628069</v>
      </c>
      <c r="I3369">
        <f>-827.009236827895 -108.646132837304 -675.706969898407</f>
        <v>-1611.3623395636059</v>
      </c>
      <c r="J3369">
        <f>-869.730167776052 -95.4913237069037 -544.111221737817</f>
        <v>-1509.3327132207728</v>
      </c>
      <c r="K3369" t="s">
        <v>36004</v>
      </c>
      <c r="L3369" t="s">
        <v>36005</v>
      </c>
      <c r="M3369" t="s">
        <v>36006</v>
      </c>
      <c r="N3369">
        <f>-847.666493425949 -146.305167533318 -545.630445871693</f>
        <v>-1539.6021068309601</v>
      </c>
      <c r="O3369">
        <f>-795.32344370664 -270.817673894131 -520.035511925437</f>
        <v>-1586.176629526208</v>
      </c>
      <c r="P3369">
        <f>-777.216879387 -300.907228751592 -227.874737737734</f>
        <v>-1305.998845876326</v>
      </c>
      <c r="Q3369">
        <f>-652.368587342613 -123.670380784168 -332.997912570428</f>
        <v>-1109.036880697209</v>
      </c>
      <c r="R3369">
        <f>-841.374033250315 -6.8198197904826 -94.1114657112299</f>
        <v>-942.30531875202757</v>
      </c>
      <c r="S3369" t="s">
        <v>36007</v>
      </c>
      <c r="T3369" t="s">
        <v>36008</v>
      </c>
      <c r="U3369" t="s">
        <v>36009</v>
      </c>
      <c r="V3369">
        <f>-756.064765186354 -178.887011447022 -89.4322836280257</f>
        <v>-1024.3840602614016</v>
      </c>
      <c r="W3369" t="s">
        <v>36010</v>
      </c>
      <c r="X3369" t="s">
        <v>36011</v>
      </c>
      <c r="Y3369" t="s">
        <v>36012</v>
      </c>
    </row>
    <row r="3370" spans="1:25" x14ac:dyDescent="0.3">
      <c r="A3370">
        <v>168450</v>
      </c>
      <c r="B3370" t="s">
        <v>36013</v>
      </c>
      <c r="C3370">
        <f>-799.3273396458 -91.6831169515933 -90.6774326963489</f>
        <v>-981.68788929374216</v>
      </c>
      <c r="D3370">
        <f>-831.294012005487 -110.981752029288 -200.321943102286</f>
        <v>-1142.5977071370612</v>
      </c>
      <c r="E3370">
        <f>-846.172439954064 -118.471075055104 -297.528972574751</f>
        <v>-1262.1724875839188</v>
      </c>
      <c r="F3370">
        <f>-854.996010113445 -121.915311675078 -386.120745254733</f>
        <v>-1363.0320670432559</v>
      </c>
      <c r="G3370">
        <f>-858.807529536681 -121.927404359907 -475.136137825239</f>
        <v>-1455.8710717218271</v>
      </c>
      <c r="H3370">
        <f>-858.829344995302 -118.393749859541 -599.668526201306</f>
        <v>-1576.891621056149</v>
      </c>
      <c r="I3370">
        <f>-827.012193683785 -107.925048779419 -675.715306244948</f>
        <v>-1610.6525487081522</v>
      </c>
      <c r="J3370">
        <f>-869.812377517372 -94.5237884102875 -544.144675638163</f>
        <v>-1508.4808415658226</v>
      </c>
      <c r="K3370" t="s">
        <v>36014</v>
      </c>
      <c r="L3370" t="s">
        <v>36015</v>
      </c>
      <c r="M3370" t="s">
        <v>36016</v>
      </c>
      <c r="N3370">
        <f>-847.827105400717 -145.373736379479 -545.591246466995</f>
        <v>-1538.792088247191</v>
      </c>
      <c r="O3370">
        <f>-795.721703680047 -269.949383691457 -519.819811999655</f>
        <v>-1585.490899371159</v>
      </c>
      <c r="P3370">
        <f>-778.036572019053 -299.954064782976 -227.624391257281</f>
        <v>-1305.6150280593101</v>
      </c>
      <c r="Q3370">
        <f>-652.477084189399 -123.17711705704 -332.674929955937</f>
        <v>-1108.3291312023759</v>
      </c>
      <c r="R3370">
        <f>-841.885003851956 -5.85669333743044 -94.0915873116764</f>
        <v>-941.83328450106285</v>
      </c>
      <c r="S3370" t="s">
        <v>36017</v>
      </c>
      <c r="T3370" t="s">
        <v>36018</v>
      </c>
      <c r="U3370" t="s">
        <v>36019</v>
      </c>
      <c r="V3370">
        <f>-757.046858861608 -177.775466361978 -89.2426856384493</f>
        <v>-1024.0650108620353</v>
      </c>
      <c r="W3370" t="s">
        <v>36020</v>
      </c>
      <c r="X3370" t="s">
        <v>36021</v>
      </c>
      <c r="Y3370" t="s">
        <v>36022</v>
      </c>
    </row>
    <row r="3371" spans="1:25" x14ac:dyDescent="0.3">
      <c r="A3371">
        <v>168500</v>
      </c>
      <c r="B3371" t="s">
        <v>36023</v>
      </c>
      <c r="C3371">
        <f>-801.139208288457 -89.1899617560408 -90.3223701097336</f>
        <v>-980.65154015423138</v>
      </c>
      <c r="D3371">
        <f>-832.895475862111 -108.284094121193 -200.063896486296</f>
        <v>-1141.2434664696</v>
      </c>
      <c r="E3371">
        <f>-847.493027462789 -115.768979002954 -297.313715551422</f>
        <v>-1260.5757220171649</v>
      </c>
      <c r="F3371">
        <f>-856.02686387669 -119.27587808694 -385.931554423531</f>
        <v>-1361.2342963871611</v>
      </c>
      <c r="G3371">
        <f>-859.514221324955 -119.418669245964 -474.959970625324</f>
        <v>-1453.8928611962428</v>
      </c>
      <c r="H3371">
        <f>-859.048868789781 -116.138634733186 -599.498547551306</f>
        <v>-1574.6860510742731</v>
      </c>
      <c r="I3371">
        <f>-827.207450671874 -106.106322288026 -675.593802740427</f>
        <v>-1608.907575700327</v>
      </c>
      <c r="J3371">
        <f>-870.14740546299 -92.1120299473487 -544.065021235084</f>
        <v>-1506.3244566454227</v>
      </c>
      <c r="K3371" t="s">
        <v>36024</v>
      </c>
      <c r="L3371" t="s">
        <v>36025</v>
      </c>
      <c r="M3371" t="s">
        <v>36026</v>
      </c>
      <c r="N3371">
        <f>-848.359837529006 -143.051998828667 -545.325323499958</f>
        <v>-1536.737159857631</v>
      </c>
      <c r="O3371">
        <f>-796.886682066525 -267.801289355763 -519.141220942029</f>
        <v>-1583.8291923643169</v>
      </c>
      <c r="P3371">
        <f>-780.681279799762 -297.499126349163 -226.828643375488</f>
        <v>-1305.0090495244131</v>
      </c>
      <c r="Q3371">
        <f>-653.118020335514 -122.256945466057 -332.036478740601</f>
        <v>-1107.4114445421719</v>
      </c>
      <c r="R3371">
        <f>-843.062790880622 -3.32745258822752 -93.8887075218364</f>
        <v>-940.27895099068587</v>
      </c>
      <c r="S3371" t="s">
        <v>36027</v>
      </c>
      <c r="T3371" t="s">
        <v>36028</v>
      </c>
      <c r="U3371" t="s">
        <v>36029</v>
      </c>
      <c r="V3371">
        <f>-759.513547830055 -175.337114030855 -88.7399400860724</f>
        <v>-1023.5906019469824</v>
      </c>
      <c r="W3371" t="s">
        <v>36030</v>
      </c>
      <c r="X3371" t="s">
        <v>36031</v>
      </c>
      <c r="Y3371" t="s">
        <v>36032</v>
      </c>
    </row>
    <row r="3372" spans="1:25" x14ac:dyDescent="0.3">
      <c r="A3372">
        <v>168550</v>
      </c>
      <c r="B3372" t="s">
        <v>36033</v>
      </c>
      <c r="C3372">
        <f>-802.225334750666 -87.5388483898015 -90.0786526254379</f>
        <v>-979.84283576590542</v>
      </c>
      <c r="D3372">
        <f>-833.859668444881 -106.538170289368 -199.871716873287</f>
        <v>-1140.2695556075359</v>
      </c>
      <c r="E3372">
        <f>-848.28312624634 -114.030968956865 -297.146974999868</f>
        <v>-1259.4610702030729</v>
      </c>
      <c r="F3372">
        <f>-856.633857409044 -117.5800255973 -385.780568262966</f>
        <v>-1359.99445126931</v>
      </c>
      <c r="G3372">
        <f>-859.913128395983 -117.801024894712 -474.816789911566</f>
        <v>-1452.5309432022609</v>
      </c>
      <c r="H3372">
        <f>-859.131373947116 -114.668001951856 -599.357457857031</f>
        <v>-1573.1568337560029</v>
      </c>
      <c r="I3372">
        <f>-827.232227348189 -104.855679534694 -675.457423736787</f>
        <v>-1607.54533061967</v>
      </c>
      <c r="J3372">
        <f>-870.301821387162 -90.5466231979157 -543.979813594008</f>
        <v>-1504.8282581790857</v>
      </c>
      <c r="K3372" t="s">
        <v>36034</v>
      </c>
      <c r="L3372" t="s">
        <v>36035</v>
      </c>
      <c r="M3372" t="s">
        <v>36036</v>
      </c>
      <c r="N3372">
        <f>-848.649016747746 -141.546639602431 -545.126788126266</f>
        <v>-1535.322444476443</v>
      </c>
      <c r="O3372">
        <f>-797.625561733165 -266.423907830609 -518.67728612279</f>
        <v>-1582.726755686564</v>
      </c>
      <c r="P3372">
        <f>-782.465491373088 -295.802657264403 -226.276469474761</f>
        <v>-1304.5446181122518</v>
      </c>
      <c r="Q3372">
        <f>-653.686849515337 -121.387309206045 -331.377443015037</f>
        <v>-1106.451601736419</v>
      </c>
      <c r="R3372">
        <f>-843.711929061337 -1.70097458911414 -93.7302787977703</f>
        <v>-939.14318244822141</v>
      </c>
      <c r="S3372" t="s">
        <v>36037</v>
      </c>
      <c r="T3372" t="s">
        <v>36038</v>
      </c>
      <c r="U3372" t="s">
        <v>36039</v>
      </c>
      <c r="V3372">
        <f>-761.000879899422 -173.618740075498 -88.4159127381521</f>
        <v>-1023.035532713072</v>
      </c>
      <c r="W3372" t="s">
        <v>36040</v>
      </c>
      <c r="X3372" t="s">
        <v>36041</v>
      </c>
      <c r="Y3372" t="s">
        <v>36042</v>
      </c>
    </row>
    <row r="3373" spans="1:25" x14ac:dyDescent="0.3">
      <c r="A3373">
        <v>168600</v>
      </c>
      <c r="B3373" t="s">
        <v>36043</v>
      </c>
      <c r="C3373">
        <f>-804.824430192091 -82.737805834721 -89.5125203011235</f>
        <v>-977.07475632793546</v>
      </c>
      <c r="D3373">
        <f>-836.162420430756 -101.439026249118 -199.441549291699</f>
        <v>-1137.042995971573</v>
      </c>
      <c r="E3373">
        <f>-850.15625403761 -108.884955559607 -296.783302374802</f>
        <v>-1255.8245119720191</v>
      </c>
      <c r="F3373">
        <f>-858.053205472038 -112.473334605458 -385.456839017607</f>
        <v>-1355.9833790951031</v>
      </c>
      <c r="G3373">
        <f>-860.814446996632 -112.818247289978 -474.510213980483</f>
        <v>-1448.1429082670929</v>
      </c>
      <c r="H3373">
        <f>-859.243701933595 -109.948194418806 -599.049672382334</f>
        <v>-1568.2415687347352</v>
      </c>
      <c r="I3373">
        <f>-827.173448034195 -100.608154658166 -675.13712338735</f>
        <v>-1602.918726079711</v>
      </c>
      <c r="J3373">
        <f>-870.588491369484 -85.6360840134516 -543.790940799835</f>
        <v>-1500.0155161827706</v>
      </c>
      <c r="K3373" t="s">
        <v>36044</v>
      </c>
      <c r="L3373" t="s">
        <v>36045</v>
      </c>
      <c r="M3373" t="s">
        <v>36046</v>
      </c>
      <c r="N3373">
        <f>-849.281254549456 -136.786217014219 -544.701149941704</f>
        <v>-1530.7686215053791</v>
      </c>
      <c r="O3373">
        <f>-799.335930728478 -261.988239174554 -517.687266200037</f>
        <v>-1579.0114361030692</v>
      </c>
      <c r="P3373">
        <f>-786.720277361079 -290.848325553314 -225.114046451358</f>
        <v>-1302.6826493657511</v>
      </c>
      <c r="Q3373">
        <f>-655.209525973606 -118.465453659769 -330.184994943999</f>
        <v>-1103.859974577374</v>
      </c>
      <c r="R3373" t="s">
        <v>36047</v>
      </c>
      <c r="S3373" t="s">
        <v>36048</v>
      </c>
      <c r="T3373" t="s">
        <v>36049</v>
      </c>
      <c r="U3373" t="s">
        <v>36050</v>
      </c>
      <c r="V3373">
        <f>-764.235899854691 -168.726164268123 -87.6992435949614</f>
        <v>-1020.6613077177753</v>
      </c>
      <c r="W3373" t="s">
        <v>36051</v>
      </c>
      <c r="X3373" t="s">
        <v>36052</v>
      </c>
      <c r="Y3373" t="s">
        <v>36053</v>
      </c>
    </row>
    <row r="3374" spans="1:25" x14ac:dyDescent="0.3">
      <c r="A3374">
        <v>168650</v>
      </c>
      <c r="B3374" t="s">
        <v>36054</v>
      </c>
      <c r="C3374">
        <f>-806.164263976785 -79.8790900627573 -89.219469180422</f>
        <v>-975.26282321996439</v>
      </c>
      <c r="D3374">
        <f>-837.380888885107 -98.4176070741539 -199.210653907398</f>
        <v>-1135.0091498666588</v>
      </c>
      <c r="E3374">
        <f>-851.156887651336 -105.846666143483 -296.584622389234</f>
        <v>-1253.5881761840531</v>
      </c>
      <c r="F3374">
        <f>-858.813886165362 -109.467982970547 -385.277957613986</f>
        <v>-1353.5598267498949</v>
      </c>
      <c r="G3374">
        <f>-861.292496568566 -109.896097460818 -474.3391772693</f>
        <v>-1445.527771298684</v>
      </c>
      <c r="H3374">
        <f>-859.283095387359 -107.195192117658 -598.87627203042</f>
        <v>-1565.3545595354371</v>
      </c>
      <c r="I3374">
        <f>-827.069745676322 -98.127461188499 -674.936050911455</f>
        <v>-1600.133257776276</v>
      </c>
      <c r="J3374">
        <f>-870.715958068978 -82.7640127452781 -543.68823475881</f>
        <v>-1497.1682055730662</v>
      </c>
      <c r="K3374" t="s">
        <v>36055</v>
      </c>
      <c r="L3374" t="s">
        <v>36056</v>
      </c>
      <c r="M3374" t="s">
        <v>36057</v>
      </c>
      <c r="N3374">
        <f>-849.618776584173 -134.003401324023 -544.459046548835</f>
        <v>-1528.0812244570311</v>
      </c>
      <c r="O3374">
        <f>-800.333369484525 -259.391870570336 -517.154618241777</f>
        <v>-1576.8798582966378</v>
      </c>
      <c r="P3374">
        <f>-789.119631735312 -288.18868881846 -224.517950868314</f>
        <v>-1301.8262714220862</v>
      </c>
      <c r="Q3374">
        <f>-655.669725132101 -117.172269275998 -329.376860736873</f>
        <v>-1102.2188551449722</v>
      </c>
      <c r="R3374" t="s">
        <v>36058</v>
      </c>
      <c r="S3374" t="s">
        <v>36059</v>
      </c>
      <c r="T3374" t="s">
        <v>36060</v>
      </c>
      <c r="U3374" t="s">
        <v>36061</v>
      </c>
      <c r="V3374">
        <f>-765.918496354833 -165.983661817046 -87.3252173738987</f>
        <v>-1019.2273755457777</v>
      </c>
      <c r="W3374" t="s">
        <v>36062</v>
      </c>
      <c r="X3374" t="s">
        <v>36063</v>
      </c>
      <c r="Y3374" t="s">
        <v>36064</v>
      </c>
    </row>
    <row r="3375" spans="1:25" x14ac:dyDescent="0.3">
      <c r="A3375">
        <v>168700</v>
      </c>
      <c r="B3375" t="s">
        <v>36065</v>
      </c>
      <c r="C3375">
        <f>-808.995342729883 -73.4802168965357 -88.584476439477</f>
        <v>-971.0600360658957</v>
      </c>
      <c r="D3375">
        <f>-840.04511181381 -91.7286294253395 -198.671412439134</f>
        <v>-1130.4451536782835</v>
      </c>
      <c r="E3375">
        <f>-853.451485469873 -99.1747549995046 -296.095633885847</f>
        <v>-1248.7218743552246</v>
      </c>
      <c r="F3375">
        <f>-860.688314741385 -102.915984083203 -384.81917289788</f>
        <v>-1348.4234717224681</v>
      </c>
      <c r="G3375">
        <f>-862.660759364248 -103.572860662871 -473.891761566117</f>
        <v>-1440.1253815932359</v>
      </c>
      <c r="H3375">
        <f>-859.856375850551 -101.30710335313 -598.422186731153</f>
        <v>-1559.585665934834</v>
      </c>
      <c r="I3375">
        <f>-827.285936426862 -92.8242088705907 -674.397327237928</f>
        <v>-1594.5074725353807</v>
      </c>
      <c r="J3375">
        <f>-871.400129099252 -76.5856086444201 -543.386789463681</f>
        <v>-1491.372527207353</v>
      </c>
      <c r="K3375" t="s">
        <v>36066</v>
      </c>
      <c r="L3375" t="s">
        <v>36067</v>
      </c>
      <c r="M3375" t="s">
        <v>36068</v>
      </c>
      <c r="N3375">
        <f>-850.780818659862 -128.022742088544 -543.85835809164</f>
        <v>-1522.6619188400459</v>
      </c>
      <c r="O3375">
        <f>-802.972525734357 -253.846482159409 -515.91071842063</f>
        <v>-1572.729726314396</v>
      </c>
      <c r="P3375">
        <f>-794.524469234614 -281.867688408003 -223.105931630084</f>
        <v>-1299.4980892727008</v>
      </c>
      <c r="Q3375">
        <f>-657.528292275409 -113.607229715991 -327.850057724688</f>
        <v>-1098.9855797160881</v>
      </c>
      <c r="R3375" t="s">
        <v>36069</v>
      </c>
      <c r="S3375" t="s">
        <v>36070</v>
      </c>
      <c r="T3375" t="s">
        <v>36071</v>
      </c>
      <c r="U3375" t="s">
        <v>36072</v>
      </c>
      <c r="V3375">
        <f>-769.419922922979 -159.937325995753 -86.5143875794624</f>
        <v>-1015.8716364981944</v>
      </c>
      <c r="W3375" t="s">
        <v>36073</v>
      </c>
      <c r="X3375" t="s">
        <v>36074</v>
      </c>
      <c r="Y3375" t="s">
        <v>36075</v>
      </c>
    </row>
    <row r="3376" spans="1:25" x14ac:dyDescent="0.3">
      <c r="A3376">
        <v>168750</v>
      </c>
      <c r="B3376" t="s">
        <v>36076</v>
      </c>
      <c r="C3376">
        <f>-810.403894356874 -69.8329465642161 -88.2149280987657</f>
        <v>-968.45176901985576</v>
      </c>
      <c r="D3376">
        <f>-841.386770133434 -87.9632675760547 -198.340134394501</f>
        <v>-1127.6901721039897</v>
      </c>
      <c r="E3376">
        <f>-854.62832662996 -95.4417350211547 -295.78459806984</f>
        <v>-1245.8546597209547</v>
      </c>
      <c r="F3376">
        <f>-861.674753091898 -99.2649744410705 -384.5199968632</f>
        <v>-1345.4597243961684</v>
      </c>
      <c r="G3376">
        <f>-863.416168001244 -100.058760367067 -473.59621639271</f>
        <v>-1437.0711447610211</v>
      </c>
      <c r="H3376">
        <f>-860.246943347619 -98.0423656657076 -598.122184034681</f>
        <v>-1556.4114930480077</v>
      </c>
      <c r="I3376">
        <f>-827.489461008133 -89.8644190352488 -674.050353537663</f>
        <v>-1591.404233581045</v>
      </c>
      <c r="J3376">
        <f>-871.83485585287 -73.1641324553852 -543.166532920824</f>
        <v>-1488.1655212290793</v>
      </c>
      <c r="K3376" t="s">
        <v>36077</v>
      </c>
      <c r="L3376" t="s">
        <v>36078</v>
      </c>
      <c r="M3376" t="s">
        <v>36079</v>
      </c>
      <c r="N3376">
        <f>-851.448211989607 -124.695242142283 -543.482159673928</f>
        <v>-1519.6256138058179</v>
      </c>
      <c r="O3376">
        <f>-804.349071681335 -250.69675875199 -515.170990702455</f>
        <v>-1570.2168211357798</v>
      </c>
      <c r="P3376">
        <f>-797.170158777985 -278.341309225716 -222.296474618673</f>
        <v>-1297.807942622374</v>
      </c>
      <c r="Q3376">
        <f>-658.836182565157 -111.016797354473 -326.78140446332</f>
        <v>-1096.63438438295</v>
      </c>
      <c r="R3376" t="s">
        <v>36080</v>
      </c>
      <c r="S3376" t="s">
        <v>36081</v>
      </c>
      <c r="T3376" t="s">
        <v>36082</v>
      </c>
      <c r="U3376" t="s">
        <v>36083</v>
      </c>
      <c r="V3376">
        <f>-771.075961697291 -156.432120321015 -86.0620415119049</f>
        <v>-1013.5701235302108</v>
      </c>
      <c r="W3376" t="s">
        <v>36084</v>
      </c>
      <c r="X3376" t="s">
        <v>36085</v>
      </c>
      <c r="Y3376" t="s">
        <v>36086</v>
      </c>
    </row>
    <row r="3377" spans="1:25" x14ac:dyDescent="0.3">
      <c r="A3377">
        <v>168800</v>
      </c>
      <c r="B3377" t="s">
        <v>36087</v>
      </c>
      <c r="C3377">
        <f>-813.153941888972 -61.6367577130834 -87.3591886753394</f>
        <v>-962.14988827739478</v>
      </c>
      <c r="D3377">
        <f>-844.109673753404 -79.5790629122907 -197.522800059373</f>
        <v>-1121.2115367250676</v>
      </c>
      <c r="E3377">
        <f>-857.114459739778 -87.1584797217073 -294.991277679294</f>
        <v>-1239.2642171407792</v>
      </c>
      <c r="F3377">
        <f>-863.865126444177 -91.1756742693349 -383.741073222605</f>
        <v>-1338.7818739361169</v>
      </c>
      <c r="G3377">
        <f>-865.22964363975 -92.269501004442 -472.820694211189</f>
        <v>-1430.319838855381</v>
      </c>
      <c r="H3377">
        <f>-861.450086765661 -90.7840298638681 -597.337066727956</f>
        <v>-1549.5711833574851</v>
      </c>
      <c r="I3377">
        <f>-828.374322163201 -83.2125422761264 -673.190199001812</f>
        <v>-1584.7770634411395</v>
      </c>
      <c r="J3377">
        <f>-873.112382322042 -65.5957006745109 -542.538746518321</f>
        <v>-1481.2468295148738</v>
      </c>
      <c r="K3377" t="s">
        <v>36088</v>
      </c>
      <c r="L3377" t="s">
        <v>36089</v>
      </c>
      <c r="M3377" t="s">
        <v>36090</v>
      </c>
      <c r="N3377">
        <f>-853.114302333533 -117.279766177757 -542.548469999728</f>
        <v>-1512.942538511018</v>
      </c>
      <c r="O3377">
        <f>-807.10458213111 -243.488725834547 -513.386308023035</f>
        <v>-1563.9796159886919</v>
      </c>
      <c r="P3377">
        <f>-802.470821809118 -269.786794585792 -220.336601958157</f>
        <v>-1292.5942183530669</v>
      </c>
      <c r="Q3377">
        <f>-662.167556153949 -104.499321822911 -325.436248187989</f>
        <v>-1092.1031261648491</v>
      </c>
      <c r="R3377" t="s">
        <v>36091</v>
      </c>
      <c r="S3377" t="s">
        <v>36092</v>
      </c>
      <c r="T3377" t="s">
        <v>36093</v>
      </c>
      <c r="U3377" t="s">
        <v>36094</v>
      </c>
      <c r="V3377">
        <f>-774.193434139978 -148.609097970506 -85.016659892555</f>
        <v>-1007.819192003039</v>
      </c>
      <c r="W3377" t="s">
        <v>36095</v>
      </c>
      <c r="X3377" t="s">
        <v>36096</v>
      </c>
      <c r="Y3377" t="s">
        <v>36097</v>
      </c>
    </row>
    <row r="3378" spans="1:25" x14ac:dyDescent="0.3">
      <c r="A3378">
        <v>168850</v>
      </c>
      <c r="B3378" t="s">
        <v>36098</v>
      </c>
      <c r="C3378">
        <f>-814.411905691088 -57.4539128439566 -86.8810916695342</f>
        <v>-958.74691020457874</v>
      </c>
      <c r="D3378">
        <f>-845.39347801663 -75.3218494944956 -197.049647602442</f>
        <v>-1117.7649751135675</v>
      </c>
      <c r="E3378">
        <f>-858.333746029966 -82.9775798806098 -294.520593737174</f>
        <v>-1235.8319196477498</v>
      </c>
      <c r="F3378">
        <f>-864.993169352061 -87.1187561569567 -383.271528332133</f>
        <v>-1335.3834538411506</v>
      </c>
      <c r="G3378">
        <f>-866.233526925091 -88.3929523151527 -472.350718006592</f>
        <v>-1426.9771972468357</v>
      </c>
      <c r="H3378">
        <f>-862.247483815309 -87.2186518822404 -596.863899133998</f>
        <v>-1546.3300348315474</v>
      </c>
      <c r="I3378">
        <f>-829.046960204725 -79.9576302951893 -672.692918658453</f>
        <v>-1581.6975091583672</v>
      </c>
      <c r="J3378">
        <f>-873.916183641201 -61.8609128434643 -542.145243130178</f>
        <v>-1477.9223396148432</v>
      </c>
      <c r="K3378" t="s">
        <v>36099</v>
      </c>
      <c r="L3378" t="s">
        <v>36100</v>
      </c>
      <c r="M3378" t="s">
        <v>36101</v>
      </c>
      <c r="N3378">
        <f>-854.087082555261 -113.609838598942 -541.998417673935</f>
        <v>-1509.6953388281381</v>
      </c>
      <c r="O3378">
        <f>-808.569199466271 -239.916134078803 -512.463834319713</f>
        <v>-1560.9491678647869</v>
      </c>
      <c r="P3378">
        <f>-804.992555879821 -265.606912387602 -219.345342072352</f>
        <v>-1289.9448103397749</v>
      </c>
      <c r="Q3378">
        <f>-663.857415155048 -101.173657188198 -324.670807387739</f>
        <v>-1089.701879730985</v>
      </c>
      <c r="R3378" t="s">
        <v>36102</v>
      </c>
      <c r="S3378" t="s">
        <v>36103</v>
      </c>
      <c r="T3378" t="s">
        <v>36104</v>
      </c>
      <c r="U3378" t="s">
        <v>36105</v>
      </c>
      <c r="V3378">
        <f>-775.441582452492 -144.810570467147 -84.4669059852188</f>
        <v>-1004.7190589048578</v>
      </c>
      <c r="W3378" t="s">
        <v>36106</v>
      </c>
      <c r="X3378" t="s">
        <v>36107</v>
      </c>
      <c r="Y3378" t="s">
        <v>36108</v>
      </c>
    </row>
    <row r="3379" spans="1:25" x14ac:dyDescent="0.3">
      <c r="A3379">
        <v>168900</v>
      </c>
      <c r="B3379" t="s">
        <v>36109</v>
      </c>
      <c r="C3379">
        <f>-816.112762632456 -49.6165195898305 -85.7824400355423</f>
        <v>-951.51172225782886</v>
      </c>
      <c r="D3379">
        <f>-847.137531304153 -67.3533186610013 -195.959957717713</f>
        <v>-1110.4508076828672</v>
      </c>
      <c r="E3379">
        <f>-860.007498638484 -75.1319935782965 -293.43060334744</f>
        <v>-1228.5700955642205</v>
      </c>
      <c r="F3379">
        <f>-866.562970957443 -79.4776720090046 -382.179566993455</f>
        <v>-1328.2202099599026</v>
      </c>
      <c r="G3379">
        <f>-867.659306059144 -81.0523489688852 -471.255598502492</f>
        <v>-1419.9672535305212</v>
      </c>
      <c r="H3379">
        <f>-863.430778039695 -80.3993836861011 -595.764770074549</f>
        <v>-1539.5949318003452</v>
      </c>
      <c r="I3379">
        <f>-830.033182519679 -73.6622050797935 -671.555509609707</f>
        <v>-1575.2508972091796</v>
      </c>
      <c r="J3379">
        <f>-875.053810996033 -54.7549942987514 -541.17004656609</f>
        <v>-1470.9788518608743</v>
      </c>
      <c r="K3379" t="s">
        <v>36110</v>
      </c>
      <c r="L3379" t="s">
        <v>36111</v>
      </c>
      <c r="M3379" t="s">
        <v>36112</v>
      </c>
      <c r="N3379">
        <f>-855.52919362817 -106.61840394158 -540.778986680175</f>
        <v>-1502.9265842499249</v>
      </c>
      <c r="O3379">
        <f>-810.934667419756 -233.103754242925 -510.601504913068</f>
        <v>-1554.6399265757491</v>
      </c>
      <c r="P3379">
        <f>-808.469683657505 -257.563814188202 -217.366449284503</f>
        <v>-1283.39994713021</v>
      </c>
      <c r="Q3379">
        <f>-665.637190015627 -94.8457588554255 -323.066854576061</f>
        <v>-1083.5498034471134</v>
      </c>
      <c r="R3379" t="s">
        <v>36113</v>
      </c>
      <c r="S3379" t="s">
        <v>36114</v>
      </c>
      <c r="T3379" t="s">
        <v>36115</v>
      </c>
      <c r="U3379" t="s">
        <v>36116</v>
      </c>
      <c r="V3379">
        <f>-776.965061644647 -137.951246984316 -83.3554016835717</f>
        <v>-998.27171031253465</v>
      </c>
      <c r="W3379" t="s">
        <v>36117</v>
      </c>
      <c r="X3379" t="s">
        <v>36118</v>
      </c>
      <c r="Y3379" t="s">
        <v>36119</v>
      </c>
    </row>
    <row r="3380" spans="1:25" x14ac:dyDescent="0.3">
      <c r="A3380">
        <v>168950</v>
      </c>
      <c r="B3380" t="s">
        <v>36120</v>
      </c>
      <c r="C3380">
        <f>-816.815785879634 -46.0562688012594 -85.0830498042189</f>
        <v>-947.95510448511232</v>
      </c>
      <c r="D3380">
        <f>-847.951551153144 -63.74844250476 -195.236457781392</f>
        <v>-1106.936451439296</v>
      </c>
      <c r="E3380">
        <f>-860.836380066189 -71.5946165422521 -292.699560337218</f>
        <v>-1225.130556945659</v>
      </c>
      <c r="F3380">
        <f>-867.373582313168 -76.0433790051593 -381.444935339882</f>
        <v>-1324.8618966582094</v>
      </c>
      <c r="G3380">
        <f>-868.420040307968 -77.7640244166456 -470.518901904317</f>
        <v>-1416.7029666289304</v>
      </c>
      <c r="H3380">
        <f>-864.089143620034 -77.3600348331923 -595.02557244514</f>
        <v>-1536.4747508983664</v>
      </c>
      <c r="I3380">
        <f>-830.600432123656 -70.8345610877304 -670.794534267778</f>
        <v>-1572.2295274791645</v>
      </c>
      <c r="J3380">
        <f>-875.69389483208 -51.5829904216063 -540.489463307284</f>
        <v>-1467.7663485609703</v>
      </c>
      <c r="K3380" t="s">
        <v>36121</v>
      </c>
      <c r="L3380" t="s">
        <v>36122</v>
      </c>
      <c r="M3380" t="s">
        <v>36123</v>
      </c>
      <c r="N3380">
        <f>-856.295949953584 -103.492809949943 -539.983125522045</f>
        <v>-1499.771885425572</v>
      </c>
      <c r="O3380">
        <f>-812.055710929131 -230.028560100043 -509.509673052428</f>
        <v>-1551.5939440816021</v>
      </c>
      <c r="P3380">
        <f>-810.053977596704 -253.81601320783 -216.215714441709</f>
        <v>-1280.0857052462432</v>
      </c>
      <c r="Q3380">
        <f>-666.333111517044 -92.017358191162 -322.12289491782</f>
        <v>-1080.4733646260261</v>
      </c>
      <c r="R3380" t="s">
        <v>36124</v>
      </c>
      <c r="S3380" t="s">
        <v>36125</v>
      </c>
      <c r="T3380" t="s">
        <v>36126</v>
      </c>
      <c r="U3380" t="s">
        <v>36127</v>
      </c>
      <c r="V3380">
        <f>-777.606309578736 -135.041601294044 -82.6327571980755</f>
        <v>-995.28066807085554</v>
      </c>
      <c r="W3380" t="s">
        <v>36128</v>
      </c>
      <c r="X3380" t="s">
        <v>36129</v>
      </c>
      <c r="Y3380" t="s">
        <v>36130</v>
      </c>
    </row>
    <row r="3381" spans="1:25" x14ac:dyDescent="0.3">
      <c r="A3381">
        <v>169000</v>
      </c>
      <c r="B3381" t="s">
        <v>36131</v>
      </c>
      <c r="C3381">
        <f>-817.987004594875 -38.9410721402514 -83.3509100530323</f>
        <v>-940.2789867881587</v>
      </c>
      <c r="D3381">
        <f>-849.503106750787 -56.5879015249141 -193.403370459438</f>
        <v>-1099.494378735139</v>
      </c>
      <c r="E3381">
        <f>-862.536631713707 -64.5855453605151 -290.834487255481</f>
        <v>-1217.956664329703</v>
      </c>
      <c r="F3381">
        <f>-869.137385141972 -69.244869771108 -379.564193021622</f>
        <v>-1317.9464479347021</v>
      </c>
      <c r="G3381">
        <f>-870.17639642122 -71.251477134168 -468.632416279657</f>
        <v>-1410.0602898350451</v>
      </c>
      <c r="H3381">
        <f>-865.761169979177 -71.3260362903929 -593.136582319357</f>
        <v>-1530.2237885889269</v>
      </c>
      <c r="I3381">
        <f>-832.193438485342 -65.1686329141709 -668.901641328581</f>
        <v>-1566.2637127280939</v>
      </c>
      <c r="J3381">
        <f>-877.285623524965 -45.2958117898911 -538.703783520518</f>
        <v>-1461.2852188353741</v>
      </c>
      <c r="K3381" t="s">
        <v>36132</v>
      </c>
      <c r="L3381" t="s">
        <v>36133</v>
      </c>
      <c r="M3381" t="s">
        <v>36134</v>
      </c>
      <c r="N3381">
        <f>-858.122470829827 -97.2904785407636 -537.993146525866</f>
        <v>-1493.4060958964565</v>
      </c>
      <c r="O3381">
        <f>-814.501957374391 -223.924373680743 -507.011561620736</f>
        <v>-1545.4378926758702</v>
      </c>
      <c r="P3381">
        <f>-813.236159197379 -246.757654506985 -213.637596026368</f>
        <v>-1273.6314097307322</v>
      </c>
      <c r="Q3381">
        <f>-668.448958932819 -86.3844046460878 -320.258333922051</f>
        <v>-1075.0916975009577</v>
      </c>
      <c r="R3381" t="s">
        <v>36135</v>
      </c>
      <c r="S3381" t="s">
        <v>36136</v>
      </c>
      <c r="T3381" t="s">
        <v>36137</v>
      </c>
      <c r="U3381" t="s">
        <v>36138</v>
      </c>
      <c r="V3381">
        <f>-778.33240635997 -129.095363950128 -80.7349077853263</f>
        <v>-988.16267809542433</v>
      </c>
      <c r="W3381" t="s">
        <v>36139</v>
      </c>
      <c r="X3381" t="s">
        <v>36140</v>
      </c>
      <c r="Y3381" t="s">
        <v>36141</v>
      </c>
    </row>
    <row r="3382" spans="1:25" x14ac:dyDescent="0.3">
      <c r="A3382">
        <v>169050</v>
      </c>
      <c r="B3382" t="s">
        <v>36142</v>
      </c>
      <c r="C3382">
        <f>-818.573965715956 -35.5236083202769 -82.2905555257998</f>
        <v>-936.38812956203276</v>
      </c>
      <c r="D3382">
        <f>-850.258106353829 -53.2194519683732 -192.286891969339</f>
        <v>-1095.7644502915412</v>
      </c>
      <c r="E3382">
        <f>-863.399175233471 -61.3079690843218 -289.696026765123</f>
        <v>-1214.4031710829158</v>
      </c>
      <c r="F3382">
        <f>-870.081780881141 -66.0689854271992 -378.414280829314</f>
        <v>-1314.5650471376541</v>
      </c>
      <c r="G3382">
        <f>-871.186214025095 -68.1980592196236 -467.47881676442</f>
        <v>-1406.8630900091384</v>
      </c>
      <c r="H3382">
        <f>-866.845216573173 -68.4662151814878 -591.985437426567</f>
        <v>-1527.296869181228</v>
      </c>
      <c r="I3382">
        <f>-833.286507553873 -62.4831244770198 -667.768284963208</f>
        <v>-1563.5379169941007</v>
      </c>
      <c r="J3382">
        <f>-878.276312789168 -42.3290321617817 -537.584169901202</f>
        <v>-1458.1895148521517</v>
      </c>
      <c r="K3382" t="s">
        <v>36143</v>
      </c>
      <c r="L3382" t="s">
        <v>36144</v>
      </c>
      <c r="M3382" t="s">
        <v>36145</v>
      </c>
      <c r="N3382">
        <f>-859.234654853449 -94.3673024696103 -536.808109989154</f>
        <v>-1490.4100673122134</v>
      </c>
      <c r="O3382">
        <f>-815.918869568169 -221.049040199052 -505.618241879418</f>
        <v>-1542.5861516466391</v>
      </c>
      <c r="P3382">
        <f>-814.891501068132 -243.363484465888 -212.203648239997</f>
        <v>-1270.458633774017</v>
      </c>
      <c r="Q3382">
        <f>-669.430152567418 -83.8726899692033 -319.22947550684</f>
        <v>-1072.5323180434611</v>
      </c>
      <c r="R3382" t="s">
        <v>36146</v>
      </c>
      <c r="S3382" t="s">
        <v>36147</v>
      </c>
      <c r="T3382" t="s">
        <v>36148</v>
      </c>
      <c r="U3382" t="s">
        <v>36149</v>
      </c>
      <c r="V3382">
        <f>-778.551609906127 -126.517284341138 -79.5368505547254</f>
        <v>-984.60574480199045</v>
      </c>
      <c r="W3382" t="s">
        <v>36150</v>
      </c>
      <c r="X3382" t="s">
        <v>36151</v>
      </c>
      <c r="Y3382" t="s">
        <v>36152</v>
      </c>
    </row>
    <row r="3383" spans="1:25" x14ac:dyDescent="0.3">
      <c r="A3383">
        <v>169100</v>
      </c>
      <c r="B3383" t="s">
        <v>36153</v>
      </c>
      <c r="C3383">
        <f>-819.769721414027 -28.7651797525673 -79.6080539711446</f>
        <v>-928.14295513773891</v>
      </c>
      <c r="D3383">
        <f>-851.734991711726 -46.6730811560212 -189.488651883939</f>
        <v>-1087.8967247516862</v>
      </c>
      <c r="E3383">
        <f>-865.10664047265 -54.962064670934 -286.849647645942</f>
        <v>-1206.9183527895261</v>
      </c>
      <c r="F3383">
        <f>-871.990336258537 -59.9132338870986 -375.541937875198</f>
        <v>-1307.4455080208336</v>
      </c>
      <c r="G3383">
        <f>-873.286470149167 -62.2447590600949 -464.598865004124</f>
        <v>-1400.130094213386</v>
      </c>
      <c r="H3383">
        <f>-869.201734396255 -62.8101749746868 -589.113221982753</f>
        <v>-1521.1251313536948</v>
      </c>
      <c r="I3383">
        <f>-835.723048332111 -57.185924035321 -664.958921574075</f>
        <v>-1557.8678939415072</v>
      </c>
      <c r="J3383">
        <f>-880.40850877638 -36.5023824133998 -534.747538737661</f>
        <v>-1451.6584299274409</v>
      </c>
      <c r="K3383" t="s">
        <v>36154</v>
      </c>
      <c r="L3383" t="s">
        <v>36155</v>
      </c>
      <c r="M3383" t="s">
        <v>36156</v>
      </c>
      <c r="N3383">
        <f>-861.589895654912 -88.6203985334738 -533.893561228804</f>
        <v>-1484.1038554171896</v>
      </c>
      <c r="O3383">
        <f>-818.828956595108 -215.433927887546 -502.481077534616</f>
        <v>-1536.74396201727</v>
      </c>
      <c r="P3383">
        <f>-817.993209709579 -236.875598148435 -209.000577116885</f>
        <v>-1263.869384974899</v>
      </c>
      <c r="Q3383">
        <f>-671.118665433549 -78.9256627873215 -316.381253870085</f>
        <v>-1066.4255820909555</v>
      </c>
      <c r="R3383" t="s">
        <v>36157</v>
      </c>
      <c r="S3383" t="s">
        <v>36158</v>
      </c>
      <c r="T3383" t="s">
        <v>36159</v>
      </c>
      <c r="U3383" t="s">
        <v>36160</v>
      </c>
      <c r="V3383">
        <f>-778.866683209123 -121.157523442365 -76.5539552643984</f>
        <v>-976.57816191588643</v>
      </c>
      <c r="W3383" t="s">
        <v>36161</v>
      </c>
      <c r="X3383" t="s">
        <v>36162</v>
      </c>
      <c r="Y3383" t="s">
        <v>36163</v>
      </c>
    </row>
    <row r="3384" spans="1:25" x14ac:dyDescent="0.3">
      <c r="A3384">
        <v>169150</v>
      </c>
      <c r="B3384" t="s">
        <v>36164</v>
      </c>
      <c r="C3384">
        <f>-820.286123159169 -25.4683649900303 -78.1388902204864</f>
        <v>-923.89337836968571</v>
      </c>
      <c r="D3384">
        <f>-852.389044064746 -43.5356919866766 -187.953177932708</f>
        <v>-1083.8779139841306</v>
      </c>
      <c r="E3384">
        <f>-865.878464271547 -51.9398638055571 -285.288064025702</f>
        <v>-1203.1063921028062</v>
      </c>
      <c r="F3384">
        <f>-872.867393910494 -56.9861934192717 -373.966900997184</f>
        <v>-1303.8204883269495</v>
      </c>
      <c r="G3384">
        <f>-874.266476852284 -59.4043040953369 -463.019827624001</f>
        <v>-1396.6906085716219</v>
      </c>
      <c r="H3384">
        <f>-870.322120535732 -60.0824891964012 -587.538011481271</f>
        <v>-1517.9426212134042</v>
      </c>
      <c r="I3384">
        <f>-836.911478174666 -54.6411324414222 -663.42720724368</f>
        <v>-1554.979817859768</v>
      </c>
      <c r="J3384">
        <f>-881.422780647268 -33.709267546353 -533.18239846549</f>
        <v>-1448.3144466591111</v>
      </c>
      <c r="K3384" t="s">
        <v>36165</v>
      </c>
      <c r="L3384" t="s">
        <v>36166</v>
      </c>
      <c r="M3384" t="s">
        <v>36167</v>
      </c>
      <c r="N3384">
        <f>-862.692796804529 -85.8589383509089 -532.305124464897</f>
        <v>-1480.8568596203349</v>
      </c>
      <c r="O3384">
        <f>-820.116084518189 -212.726215704947 -500.849825330542</f>
        <v>-1533.6921255536781</v>
      </c>
      <c r="P3384">
        <f>-819.236803628006 -233.943636326413 -207.353228288467</f>
        <v>-1260.5336682428861</v>
      </c>
      <c r="Q3384">
        <f>-671.945981817646 -76.4798308826427 -314.877091639434</f>
        <v>-1063.3029043397228</v>
      </c>
      <c r="R3384" t="s">
        <v>36168</v>
      </c>
      <c r="S3384" t="s">
        <v>36169</v>
      </c>
      <c r="T3384" t="s">
        <v>36170</v>
      </c>
      <c r="U3384" t="s">
        <v>36171</v>
      </c>
      <c r="V3384">
        <f>-778.936730750366 -118.708031123514 -74.9714507185554</f>
        <v>-972.61621259243543</v>
      </c>
      <c r="W3384" t="s">
        <v>36172</v>
      </c>
      <c r="X3384" t="s">
        <v>36173</v>
      </c>
      <c r="Y3384" t="s">
        <v>36174</v>
      </c>
    </row>
    <row r="3385" spans="1:25" x14ac:dyDescent="0.3">
      <c r="A3385">
        <v>169200</v>
      </c>
      <c r="B3385" t="s">
        <v>36175</v>
      </c>
      <c r="C3385">
        <f>-821.302332876634 -20.14328891952 -76.3865488850003</f>
        <v>-917.83217068115425</v>
      </c>
      <c r="D3385">
        <f>-853.576632107534 -38.6902320019467 -186.070549788442</f>
        <v>-1078.3374138979227</v>
      </c>
      <c r="E3385">
        <f>-867.302104494792 -47.4098638304768 -283.344646072561</f>
        <v>-1198.0566143978299</v>
      </c>
      <c r="F3385">
        <f>-874.537396474619 -52.7020261587417 -371.989324228448</f>
        <v>-1299.2287468618088</v>
      </c>
      <c r="G3385">
        <f>-876.21285847542 -55.3287508670977 -461.031654916126</f>
        <v>-1392.5732642586438</v>
      </c>
      <c r="H3385">
        <f>-872.684293098952 -56.2599608882348 -585.560778030442</f>
        <v>-1514.5050320176288</v>
      </c>
      <c r="I3385">
        <f>-839.458206754315 -51.1639653028143 -661.554709274263</f>
        <v>-1552.1768813313925</v>
      </c>
      <c r="J3385">
        <f>-883.481274301311 -29.7324477524935 -531.218809817447</f>
        <v>-1444.4325318712515</v>
      </c>
      <c r="K3385" t="s">
        <v>36176</v>
      </c>
      <c r="L3385" t="s">
        <v>36177</v>
      </c>
      <c r="M3385" t="s">
        <v>36178</v>
      </c>
      <c r="N3385">
        <f>-864.99295734393 -81.9677289762611 -530.30436594475</f>
        <v>-1477.265052264941</v>
      </c>
      <c r="O3385">
        <f>-822.740775378982 -208.925008100096 -498.805106665892</f>
        <v>-1530.4708901449701</v>
      </c>
      <c r="P3385">
        <f>-821.666235109998 -229.483451821775 -205.26214283406</f>
        <v>-1256.4118297658329</v>
      </c>
      <c r="Q3385">
        <f>-673.49122058622 -73.0548511871363 -313.082177232546</f>
        <v>-1059.6282490059023</v>
      </c>
      <c r="R3385" t="s">
        <v>36179</v>
      </c>
      <c r="S3385" t="s">
        <v>36180</v>
      </c>
      <c r="T3385" t="s">
        <v>36181</v>
      </c>
      <c r="U3385" t="s">
        <v>36182</v>
      </c>
      <c r="V3385">
        <f>-779.158111056487 -115.646594683196 -72.8553797046258</f>
        <v>-967.66008544430872</v>
      </c>
      <c r="W3385" t="s">
        <v>36183</v>
      </c>
      <c r="X3385" t="s">
        <v>36184</v>
      </c>
      <c r="Y3385" t="s">
        <v>36185</v>
      </c>
    </row>
    <row r="3386" spans="1:25" x14ac:dyDescent="0.3">
      <c r="A3386">
        <v>169250</v>
      </c>
      <c r="B3386" t="s">
        <v>36186</v>
      </c>
      <c r="C3386">
        <f>-821.730061206661 -18.048596425733 -75.8112834535924</f>
        <v>-915.58994108598642</v>
      </c>
      <c r="D3386">
        <f>-853.989893547223 -36.97557883732 -185.434646365281</f>
        <v>-1076.4001187498241</v>
      </c>
      <c r="E3386">
        <f>-867.825167941424 -45.9202784401274 -282.672776001268</f>
        <v>-1196.4182223828193</v>
      </c>
      <c r="F3386">
        <f>-875.205973011122 -51.37734760884 -371.295392626218</f>
        <v>-1297.8787132461798</v>
      </c>
      <c r="G3386">
        <f>-877.070960585427 -54.132734811094 -460.330036964699</f>
        <v>-1391.53373236122</v>
      </c>
      <c r="H3386">
        <f>-873.850857276608 -55.2073731768685 -584.866384131082</f>
        <v>-1513.9246145845586</v>
      </c>
      <c r="I3386">
        <f>-840.748468563218 -50.27288080177 -660.924992575043</f>
        <v>-1551.9463419400311</v>
      </c>
      <c r="J3386">
        <f>-884.426318235727 -28.5868267022536 -530.526485758434</f>
        <v>-1443.5396306964144</v>
      </c>
      <c r="K3386" t="s">
        <v>36187</v>
      </c>
      <c r="L3386" t="s">
        <v>36188</v>
      </c>
      <c r="M3386" t="s">
        <v>36189</v>
      </c>
      <c r="N3386">
        <f>-866.109605659368 -80.8820974696929 -529.601770959363</f>
        <v>-1476.5934740884238</v>
      </c>
      <c r="O3386">
        <f>-824.021073665697 -207.892923127665 -498.077769887622</f>
        <v>-1529.991766680984</v>
      </c>
      <c r="P3386">
        <f>-822.643408054204 -228.115849333745 -204.512902403977</f>
        <v>-1255.272159791926</v>
      </c>
      <c r="Q3386">
        <f>-674.181186997424 -72.0619055212801 -312.480810245126</f>
        <v>-1058.7239027638302</v>
      </c>
      <c r="R3386" t="s">
        <v>36190</v>
      </c>
      <c r="S3386" t="s">
        <v>36191</v>
      </c>
      <c r="T3386" t="s">
        <v>36192</v>
      </c>
      <c r="U3386" t="s">
        <v>36193</v>
      </c>
      <c r="V3386">
        <f>-778.993672441212 -114.669821199035 -72.0151631235865</f>
        <v>-965.67865676383349</v>
      </c>
      <c r="W3386" t="s">
        <v>36194</v>
      </c>
      <c r="X3386" t="s">
        <v>36195</v>
      </c>
      <c r="Y3386" t="s">
        <v>36196</v>
      </c>
    </row>
    <row r="3387" spans="1:25" x14ac:dyDescent="0.3">
      <c r="A3387">
        <v>169300</v>
      </c>
      <c r="B3387" t="s">
        <v>36197</v>
      </c>
      <c r="C3387">
        <f>-822.470580498376 -13.9630757890563 -75.0598107205738</f>
        <v>-911.49346700800606</v>
      </c>
      <c r="D3387">
        <f>-854.493748257867 -33.737964591834 -184.602933469906</f>
        <v>-1072.8346463196081</v>
      </c>
      <c r="E3387">
        <f>-868.508377811092 -43.1364442312162 -281.772524314119</f>
        <v>-1193.4173463564271</v>
      </c>
      <c r="F3387">
        <f>-876.198627229848 -48.8994964524227 -370.349489885021</f>
        <v>-1295.4476135672917</v>
      </c>
      <c r="G3387">
        <f>-878.514795273166 -51.8618420857154 -459.366859800774</f>
        <v>-1389.7434971596554</v>
      </c>
      <c r="H3387">
        <f>-876.068573615011 -53.1257925622775 -583.918950386709</f>
        <v>-1513.1133165639976</v>
      </c>
      <c r="I3387">
        <f>-843.266254159947 -48.4425340131141 -660.123319254835</f>
        <v>-1551.8321074278961</v>
      </c>
      <c r="J3387">
        <f>-886.151058473262 -26.3685613988259 -529.552574850065</f>
        <v>-1442.0721947221527</v>
      </c>
      <c r="K3387" t="s">
        <v>36198</v>
      </c>
      <c r="L3387" t="s">
        <v>36199</v>
      </c>
      <c r="M3387" t="s">
        <v>36200</v>
      </c>
      <c r="N3387">
        <f>-868.139038351891 -78.7705153468872 -528.667024686439</f>
        <v>-1475.5765783852173</v>
      </c>
      <c r="O3387">
        <f>-826.26102604543 -205.892653010906 -497.304125966797</f>
        <v>-1529.457805023133</v>
      </c>
      <c r="P3387">
        <f>-824.091692847881 -225.692880393111 -203.715294475136</f>
        <v>-1253.4998677161279</v>
      </c>
      <c r="Q3387">
        <f>-675.492622768869 -69.8982198242791 -311.86895820086</f>
        <v>-1057.259800794008</v>
      </c>
      <c r="R3387" t="s">
        <v>36201</v>
      </c>
      <c r="S3387" t="s">
        <v>36202</v>
      </c>
      <c r="T3387" t="s">
        <v>36203</v>
      </c>
      <c r="U3387" t="s">
        <v>36204</v>
      </c>
      <c r="V3387">
        <f>-778.288559018 -111.937504269504 -70.8243954301621</f>
        <v>-961.05045871766606</v>
      </c>
      <c r="W3387" t="s">
        <v>36205</v>
      </c>
      <c r="X3387" t="s">
        <v>36206</v>
      </c>
      <c r="Y3387" t="s">
        <v>36207</v>
      </c>
    </row>
    <row r="3388" spans="1:25" x14ac:dyDescent="0.3">
      <c r="A3388">
        <v>169350</v>
      </c>
      <c r="B3388" t="s">
        <v>36208</v>
      </c>
      <c r="C3388">
        <f>-822.61271474887 -12.3258621175485 -74.7244811038566</f>
        <v>-909.66305797027508</v>
      </c>
      <c r="D3388">
        <f>-854.367940586567 -32.5650302582515 -184.260867259747</f>
        <v>-1071.1938381045654</v>
      </c>
      <c r="E3388">
        <f>-868.427518404446 -42.1814397837402 -281.4025521913</f>
        <v>-1192.0115103794863</v>
      </c>
      <c r="F3388">
        <f>-876.264934467455 -48.0739675257071 -369.95814122753</f>
        <v>-1294.2970432206921</v>
      </c>
      <c r="G3388">
        <f>-878.831628966232 -51.1004206232114 -458.96653611582</f>
        <v>-1388.8985857052635</v>
      </c>
      <c r="H3388">
        <f>-876.840596931817 -52.3878375034442 -583.526584612768</f>
        <v>-1512.7550190480292</v>
      </c>
      <c r="I3388">
        <f>-844.257149648906 -47.8073016797745 -659.830883080282</f>
        <v>-1551.8953344089623</v>
      </c>
      <c r="J3388">
        <f>-886.679709778949 -25.6051485277862 -529.12803734728</f>
        <v>-1441.4128956540153</v>
      </c>
      <c r="K3388" t="s">
        <v>36209</v>
      </c>
      <c r="L3388" t="s">
        <v>36210</v>
      </c>
      <c r="M3388" t="s">
        <v>36211</v>
      </c>
      <c r="N3388">
        <f>-868.75381131778 -78.0374602708772 -528.299582995689</f>
        <v>-1475.0908545843463</v>
      </c>
      <c r="O3388">
        <f>-826.92300403448 -205.209720846635 -497.102909928575</f>
        <v>-1529.2356348096898</v>
      </c>
      <c r="P3388">
        <f>-824.159303839184 -225.219172323214 -203.53303836289</f>
        <v>-1252.9115145252879</v>
      </c>
      <c r="Q3388">
        <f>-675.572840091617 -69.426809191083 -311.707342847133</f>
        <v>-1056.706992129833</v>
      </c>
      <c r="R3388" t="s">
        <v>36212</v>
      </c>
      <c r="S3388" t="s">
        <v>36213</v>
      </c>
      <c r="T3388" t="s">
        <v>36214</v>
      </c>
      <c r="U3388" t="s">
        <v>36215</v>
      </c>
      <c r="V3388">
        <f>-777.32273724601 -111.133608372424 -70.3602702119671</f>
        <v>-958.81661583040102</v>
      </c>
      <c r="W3388" t="s">
        <v>36216</v>
      </c>
      <c r="X3388" t="s">
        <v>36217</v>
      </c>
      <c r="Y3388" t="s">
        <v>36218</v>
      </c>
    </row>
    <row r="3389" spans="1:25" x14ac:dyDescent="0.3">
      <c r="A3389">
        <v>169400</v>
      </c>
      <c r="B3389" t="s">
        <v>36219</v>
      </c>
      <c r="C3389">
        <f>-823.502519036247 -8.98852603042474 -74.3381243228191</f>
        <v>-906.82916938949086</v>
      </c>
      <c r="D3389">
        <f>-855.028624993937 -29.9625725946264 -183.802447371834</f>
        <v>-1068.7936449603974</v>
      </c>
      <c r="E3389">
        <f>-869.265353536499 -39.8560852939204 -280.890369010685</f>
        <v>-1190.0118078411044</v>
      </c>
      <c r="F3389">
        <f>-877.403744543886 -45.8643800845188 -369.41111122297</f>
        <v>-1292.6792358513749</v>
      </c>
      <c r="G3389">
        <f>-880.407020235129 -48.8744254329953 -458.40636196751</f>
        <v>-1387.6878076356343</v>
      </c>
      <c r="H3389">
        <f>-879.162163058291 -50.0036077930916 -582.9775555751</f>
        <v>-1512.1433264264826</v>
      </c>
      <c r="I3389">
        <f>-847.016184554344 -45.4746009509867 -659.470452028499</f>
        <v>-1551.9612375338297</v>
      </c>
      <c r="J3389">
        <f>-888.670189415632 -23.2884191925637 -528.487152553938</f>
        <v>-1440.4457611621337</v>
      </c>
      <c r="K3389" t="s">
        <v>36220</v>
      </c>
      <c r="L3389" t="s">
        <v>36221</v>
      </c>
      <c r="M3389" t="s">
        <v>36222</v>
      </c>
      <c r="N3389">
        <f>-870.749639228785 -75.7249328176879 -527.832761256983</f>
        <v>-1474.3073333034558</v>
      </c>
      <c r="O3389">
        <f>-828.601941042126 -202.948935210922 -497.175919879288</f>
        <v>-1528.7267961323359</v>
      </c>
      <c r="P3389">
        <f>-824.801765499491 -223.29649075056 -203.640975791779</f>
        <v>-1251.7392320418301</v>
      </c>
      <c r="Q3389">
        <f>-676.816639132182 -66.8889147947001 -311.7516172528</f>
        <v>-1055.4571711796821</v>
      </c>
      <c r="R3389" t="s">
        <v>36223</v>
      </c>
      <c r="S3389" t="s">
        <v>36224</v>
      </c>
      <c r="T3389" t="s">
        <v>36225</v>
      </c>
      <c r="U3389" t="s">
        <v>36226</v>
      </c>
      <c r="V3389">
        <f>-777.447725181948 -108.632787452201 -69.6334667000056</f>
        <v>-955.7139793341546</v>
      </c>
      <c r="W3389" t="s">
        <v>36227</v>
      </c>
      <c r="X3389" t="s">
        <v>36228</v>
      </c>
      <c r="Y3389" t="s">
        <v>36229</v>
      </c>
    </row>
    <row r="3390" spans="1:25" x14ac:dyDescent="0.3">
      <c r="A3390">
        <v>169450</v>
      </c>
      <c r="B3390" t="s">
        <v>36230</v>
      </c>
      <c r="C3390">
        <f>-824.228275836307 -7.29351442536654 -74.3626351455939</f>
        <v>-905.88442540726749</v>
      </c>
      <c r="D3390">
        <f>-855.639761911462 -28.505083501625 -183.813985272706</f>
        <v>-1067.9588306857929</v>
      </c>
      <c r="E3390">
        <f>-869.95561131974 -38.4663972933777 -280.883558405904</f>
        <v>-1189.3055670190217</v>
      </c>
      <c r="F3390">
        <f>-878.233344023632 -44.4837209243395 -369.390658578777</f>
        <v>-1292.1077235267485</v>
      </c>
      <c r="G3390">
        <f>-881.442769078082 -47.4504520393765 -458.380129892943</f>
        <v>-1387.2733510104015</v>
      </c>
      <c r="H3390">
        <f>-880.553515586326 -48.4648990171304 -582.955383059792</f>
        <v>-1511.9737976632482</v>
      </c>
      <c r="I3390">
        <f>-848.637982015256 -43.8741997143906 -659.541066527208</f>
        <v>-1552.0532482568547</v>
      </c>
      <c r="J3390">
        <f>-889.941143126634 -21.8119781915614 -528.413662905749</f>
        <v>-1440.1667842239444</v>
      </c>
      <c r="K3390" t="s">
        <v>36231</v>
      </c>
      <c r="L3390" t="s">
        <v>36232</v>
      </c>
      <c r="M3390" t="s">
        <v>36233</v>
      </c>
      <c r="N3390">
        <f>-871.948541646631 -74.2250235964709 -527.858396561606</f>
        <v>-1474.0319618047079</v>
      </c>
      <c r="O3390">
        <f>-829.526816529741 -201.411653896848 -497.477664539104</f>
        <v>-1528.4161349656929</v>
      </c>
      <c r="P3390">
        <f>-825.07699091903 -222.013571417774 -203.969718878055</f>
        <v>-1251.0602812148591</v>
      </c>
      <c r="Q3390">
        <f>-677.73972861746 -64.9711447412817 -312.044996621814</f>
        <v>-1054.7558699805556</v>
      </c>
      <c r="R3390" t="s">
        <v>36234</v>
      </c>
      <c r="S3390" t="s">
        <v>36235</v>
      </c>
      <c r="T3390" t="s">
        <v>36236</v>
      </c>
      <c r="U3390" t="s">
        <v>36237</v>
      </c>
      <c r="V3390">
        <f>-777.740579189225 -107.218193633741 -69.5433443567454</f>
        <v>-954.50211717971126</v>
      </c>
      <c r="W3390" t="s">
        <v>36238</v>
      </c>
      <c r="X3390" t="s">
        <v>36239</v>
      </c>
      <c r="Y3390" t="s">
        <v>36240</v>
      </c>
    </row>
    <row r="3391" spans="1:25" x14ac:dyDescent="0.3">
      <c r="A3391">
        <v>169500</v>
      </c>
      <c r="B3391" t="s">
        <v>36241</v>
      </c>
      <c r="C3391">
        <f>-825.409698133097 -4.42466273297487 -74.383018913465</f>
        <v>-904.21737977953683</v>
      </c>
      <c r="D3391">
        <f>-856.549123424566 -25.9238436447904 -183.855975630607</f>
        <v>-1066.3289426999634</v>
      </c>
      <c r="E3391">
        <f>-870.935003845901 -35.9479119685989 -280.908618527091</f>
        <v>-1187.7915343415907</v>
      </c>
      <c r="F3391">
        <f>-879.394453789676 -41.9528927048202 -369.399529330155</f>
        <v>-1290.7468758246514</v>
      </c>
      <c r="G3391">
        <f>-882.901767038705 -44.8366736210255 -458.380616689636</f>
        <v>-1386.1190573493664</v>
      </c>
      <c r="H3391">
        <f>-882.548557908551 -45.661450946857 -582.959852203742</f>
        <v>-1511.16986105915</v>
      </c>
      <c r="I3391">
        <f>-851.110649372459 -40.8447760089971 -659.728875237231</f>
        <v>-1551.6843006186871</v>
      </c>
      <c r="J3391">
        <f>-891.813871730847 -19.1305578454376 -528.337687832871</f>
        <v>-1439.2821174091555</v>
      </c>
      <c r="K3391" t="s">
        <v>36242</v>
      </c>
      <c r="L3391" t="s">
        <v>36243</v>
      </c>
      <c r="M3391" t="s">
        <v>36244</v>
      </c>
      <c r="N3391">
        <f>-873.594162326215 -71.4664660550785 -527.939468588429</f>
        <v>-1473.0000969697226</v>
      </c>
      <c r="O3391">
        <f>-830.385584569274 -198.503103113797 -498.064200073228</f>
        <v>-1526.9528877562991</v>
      </c>
      <c r="P3391">
        <f>-824.621861640461 -219.700460637909 -204.621473418576</f>
        <v>-1248.9437956969459</v>
      </c>
      <c r="Q3391">
        <f>-678.708086436101 -61.1226010391781 -312.385761366527</f>
        <v>-1052.2164488418061</v>
      </c>
      <c r="R3391" t="s">
        <v>36245</v>
      </c>
      <c r="S3391" t="s">
        <v>36246</v>
      </c>
      <c r="T3391" t="s">
        <v>36247</v>
      </c>
      <c r="U3391" t="s">
        <v>36248</v>
      </c>
      <c r="V3391">
        <f>-778.009578519005 -104.472752437499 -69.5622357047993</f>
        <v>-952.04456666130329</v>
      </c>
      <c r="W3391" t="s">
        <v>36249</v>
      </c>
      <c r="X3391" t="s">
        <v>36250</v>
      </c>
      <c r="Y3391" t="s">
        <v>36251</v>
      </c>
    </row>
    <row r="3392" spans="1:25" x14ac:dyDescent="0.3">
      <c r="A3392">
        <v>169550</v>
      </c>
      <c r="B3392" t="s">
        <v>36252</v>
      </c>
      <c r="C3392">
        <f>-825.977746092719 -2.86400192462247 -74.461076761442</f>
        <v>-903.30282477878347</v>
      </c>
      <c r="D3392">
        <f>-857.075562532037 -24.4499317523632 -183.928910050244</f>
        <v>-1065.4544043346443</v>
      </c>
      <c r="E3392">
        <f>-871.503827432617 -34.4718363735717 -280.97548186465</f>
        <v>-1186.9511456708387</v>
      </c>
      <c r="F3392">
        <f>-880.030453602259 -40.4462650307121 -369.461981040847</f>
        <v>-1289.9386996738181</v>
      </c>
      <c r="G3392">
        <f>-883.63352767149 -43.2700764805569 -458.44106408571</f>
        <v>-1385.3446682377569</v>
      </c>
      <c r="H3392">
        <f>-883.442935203503 -43.9808342520068 -583.021432817657</f>
        <v>-1510.4452022731668</v>
      </c>
      <c r="I3392">
        <f>-852.225496481618 -39.0112257362321 -659.870546172723</f>
        <v>-1551.1072683905732</v>
      </c>
      <c r="J3392">
        <f>-892.708952386345 -17.5251047600259 -528.362953873204</f>
        <v>-1438.5970110195749</v>
      </c>
      <c r="K3392" t="s">
        <v>36253</v>
      </c>
      <c r="L3392" t="s">
        <v>36254</v>
      </c>
      <c r="M3392" t="s">
        <v>36255</v>
      </c>
      <c r="N3392">
        <f>-874.344752848897 -69.8110355303593 -528.03649263305</f>
        <v>-1472.1922810123062</v>
      </c>
      <c r="O3392">
        <f>-830.676903390061 -196.740344716747 -498.351679029572</f>
        <v>-1525.7689271363802</v>
      </c>
      <c r="P3392">
        <f>-824.431403454345 -218.257296808613 -204.942054537626</f>
        <v>-1247.6307548005841</v>
      </c>
      <c r="Q3392">
        <f>-679.339407315317 -59.0094865973122 -312.827648648449</f>
        <v>-1051.1765425610781</v>
      </c>
      <c r="R3392" t="s">
        <v>36256</v>
      </c>
      <c r="S3392" t="s">
        <v>36257</v>
      </c>
      <c r="T3392" t="s">
        <v>36258</v>
      </c>
      <c r="U3392" t="s">
        <v>36259</v>
      </c>
      <c r="V3392">
        <f>-778.42481909287 -102.540558332143 -69.6722359658017</f>
        <v>-950.63761339081475</v>
      </c>
      <c r="W3392" t="s">
        <v>36260</v>
      </c>
      <c r="X3392" t="s">
        <v>36261</v>
      </c>
      <c r="Y3392" t="s">
        <v>36262</v>
      </c>
    </row>
    <row r="3393" spans="1:25" x14ac:dyDescent="0.3">
      <c r="A3393">
        <v>169600</v>
      </c>
      <c r="B3393" t="s">
        <v>36263</v>
      </c>
      <c r="C3393" t="s">
        <v>36264</v>
      </c>
      <c r="D3393">
        <f>-857.787786763255 -21.108858871836 -184.065370429484</f>
        <v>-1062.962016064575</v>
      </c>
      <c r="E3393">
        <f>-872.285006977473 -31.1024284254654 -281.104726343645</f>
        <v>-1184.4921617465834</v>
      </c>
      <c r="F3393">
        <f>-880.929047231864 -36.9941562796757 -369.58523189264</f>
        <v>-1287.5084354041799</v>
      </c>
      <c r="G3393">
        <f>-884.704663744572 -39.6748424019693 -458.561535519534</f>
        <v>-1382.9410416660753</v>
      </c>
      <c r="H3393">
        <f>-884.811937912109 -40.121411063054 -583.143321462956</f>
        <v>-1508.076670438119</v>
      </c>
      <c r="I3393">
        <f>-854.004880331324 -34.8325488323985 -660.13666032137</f>
        <v>-1548.9740894850925</v>
      </c>
      <c r="J3393">
        <f>-894.104507243915 -13.8375031139012 -528.406533663292</f>
        <v>-1436.3485440211082</v>
      </c>
      <c r="K3393" t="s">
        <v>36265</v>
      </c>
      <c r="L3393" t="s">
        <v>36266</v>
      </c>
      <c r="M3393" t="s">
        <v>36267</v>
      </c>
      <c r="N3393">
        <f>-875.424892166225 -66.0122446602419 -528.235660524065</f>
        <v>-1469.6727973505319</v>
      </c>
      <c r="O3393">
        <f>-830.822390258318 -192.718662038125 -498.96880849872</f>
        <v>-1522.5098607951631</v>
      </c>
      <c r="P3393">
        <f>-823.975447348947 -214.758947923046 -205.611531580971</f>
        <v>-1244.3459268529639</v>
      </c>
      <c r="Q3393">
        <f>-680.423968212217 -54.1091022141013 -313.47911134407</f>
        <v>-1048.0121817703885</v>
      </c>
      <c r="R3393" t="s">
        <v>36268</v>
      </c>
      <c r="S3393" t="s">
        <v>36269</v>
      </c>
      <c r="T3393" t="s">
        <v>36270</v>
      </c>
      <c r="U3393" t="s">
        <v>36271</v>
      </c>
      <c r="V3393">
        <f>-778.872642544657 -98.3485498181542 -69.7949064352501</f>
        <v>-947.01609879806131</v>
      </c>
      <c r="W3393" t="s">
        <v>36272</v>
      </c>
      <c r="X3393" t="s">
        <v>36273</v>
      </c>
      <c r="Y3393" t="s">
        <v>36274</v>
      </c>
    </row>
    <row r="3394" spans="1:25" x14ac:dyDescent="0.3">
      <c r="A3394">
        <v>169650</v>
      </c>
      <c r="B3394" t="s">
        <v>36275</v>
      </c>
      <c r="C3394" t="s">
        <v>36276</v>
      </c>
      <c r="D3394">
        <f>-858.002272628548 -19.8677627675793 -184.107478279754</f>
        <v>-1061.9775136758813</v>
      </c>
      <c r="E3394">
        <f>-872.523527519973 -29.8367940894946 -281.145615945823</f>
        <v>-1183.5059375552905</v>
      </c>
      <c r="F3394">
        <f>-881.22161927263 -35.6784896940715 -369.624110206341</f>
        <v>-1286.5242191730426</v>
      </c>
      <c r="G3394">
        <f>-885.084214102829 -38.279726799422 -458.599191939859</f>
        <v>-1381.9631328421101</v>
      </c>
      <c r="H3394">
        <f>-885.346901877994 -38.582952161913 -583.18112375248</f>
        <v>-1507.1109777923871</v>
      </c>
      <c r="I3394">
        <f>-854.712573875106 -33.1461473636407 -660.233007014079</f>
        <v>-1548.0917282528258</v>
      </c>
      <c r="J3394">
        <f>-894.638875098372 -12.3864260863088 -528.40239254022</f>
        <v>-1435.4276937249008</v>
      </c>
      <c r="K3394" t="s">
        <v>36277</v>
      </c>
      <c r="L3394" t="s">
        <v>36278</v>
      </c>
      <c r="M3394" t="s">
        <v>36279</v>
      </c>
      <c r="N3394">
        <f>-875.823763558018 -64.5126664523003 -528.31526740246</f>
        <v>-1468.6516974127783</v>
      </c>
      <c r="O3394">
        <f>-830.814710419775 -191.118870248194 -499.259824487198</f>
        <v>-1521.1934051551671</v>
      </c>
      <c r="P3394">
        <f>-823.652201279116 -213.641349141373 -205.946521144606</f>
        <v>-1243.2400715650951</v>
      </c>
      <c r="Q3394">
        <f>-680.534877371052 -52.4859328196616 -313.637042209385</f>
        <v>-1046.6578524000986</v>
      </c>
      <c r="R3394" t="s">
        <v>36280</v>
      </c>
      <c r="S3394" t="s">
        <v>36281</v>
      </c>
      <c r="T3394" t="s">
        <v>36282</v>
      </c>
      <c r="U3394" t="s">
        <v>36283</v>
      </c>
      <c r="V3394">
        <f>-779.176537874632 -96.9468197320313 -69.8193621721659</f>
        <v>-945.9427197788292</v>
      </c>
      <c r="W3394" t="s">
        <v>36284</v>
      </c>
      <c r="X3394" t="s">
        <v>36285</v>
      </c>
      <c r="Y3394" t="s">
        <v>36286</v>
      </c>
    </row>
    <row r="3395" spans="1:25" x14ac:dyDescent="0.3">
      <c r="A3395">
        <v>169700</v>
      </c>
      <c r="B3395" t="s">
        <v>36287</v>
      </c>
      <c r="C3395" t="s">
        <v>36288</v>
      </c>
      <c r="D3395">
        <f>-858.453832539572 -18.4131985113702 -184.219333374515</f>
        <v>-1061.0863644254571</v>
      </c>
      <c r="E3395">
        <f>-873.036846716963 -28.2685360416522 -281.259921251772</f>
        <v>-1182.5653040103873</v>
      </c>
      <c r="F3395">
        <f>-881.850567075529 -33.9595262166556 -369.73683240267</f>
        <v>-1285.5469256948547</v>
      </c>
      <c r="G3395">
        <f>-885.889104470536 -36.3592109267415 -458.709709156271</f>
        <v>-1380.9580245535485</v>
      </c>
      <c r="H3395">
        <f>-886.461354745321 -36.3250663787449 -583.291014930272</f>
        <v>-1506.0774360543378</v>
      </c>
      <c r="I3395">
        <f>-856.119718434234 -30.5839813111113 -660.436622086958</f>
        <v>-1547.1403218323032</v>
      </c>
      <c r="J3395">
        <f>-895.727374344139 -10.317065911896 -528.41817421808</f>
        <v>-1434.4626144741151</v>
      </c>
      <c r="K3395" t="s">
        <v>36289</v>
      </c>
      <c r="L3395" t="s">
        <v>36290</v>
      </c>
      <c r="M3395" t="s">
        <v>36291</v>
      </c>
      <c r="N3395">
        <f>-876.691688902208 -62.3632397609665 -528.519828658747</f>
        <v>-1467.5747573219214</v>
      </c>
      <c r="O3395">
        <f>-831.087863084896 -188.845392386841 -499.871112690581</f>
        <v>-1519.804368162318</v>
      </c>
      <c r="P3395">
        <f>-823.342032684371 -212.031121756475 -206.62431302221</f>
        <v>-1241.9974674630562</v>
      </c>
      <c r="Q3395">
        <f>-680.310726804798 -50.4810744499233 -313.836769559579</f>
        <v>-1044.6285708143005</v>
      </c>
      <c r="R3395" t="s">
        <v>36292</v>
      </c>
      <c r="S3395" t="s">
        <v>36293</v>
      </c>
      <c r="T3395" t="s">
        <v>36294</v>
      </c>
      <c r="U3395" t="s">
        <v>36295</v>
      </c>
      <c r="V3395">
        <f>-779.943728768867 -95.3240913726429 -69.9275924859851</f>
        <v>-945.19541262749499</v>
      </c>
      <c r="W3395" t="s">
        <v>36296</v>
      </c>
      <c r="X3395" t="s">
        <v>36297</v>
      </c>
      <c r="Y3395" t="s">
        <v>36298</v>
      </c>
    </row>
    <row r="3396" spans="1:25" x14ac:dyDescent="0.3">
      <c r="A3396">
        <v>169750</v>
      </c>
      <c r="B3396" t="s">
        <v>36299</v>
      </c>
      <c r="C3396" t="s">
        <v>36300</v>
      </c>
      <c r="D3396">
        <f>-858.522461688855 -18.0462504125198 -184.238355793064</f>
        <v>-1060.8070678944387</v>
      </c>
      <c r="E3396">
        <f>-873.143406201688 -27.8489653508516 -281.278536380489</f>
        <v>-1182.2709079330286</v>
      </c>
      <c r="F3396">
        <f>-882.01546418217 -33.4704420690707 -369.754128597862</f>
        <v>-1285.2400348491028</v>
      </c>
      <c r="G3396">
        <f>-886.136552115719 -35.7768345489312 -458.725665213256</f>
        <v>-1380.6390518779062</v>
      </c>
      <c r="H3396">
        <f>-886.850005826888 -35.5866401650851 -583.306090872309</f>
        <v>-1505.7427368642821</v>
      </c>
      <c r="I3396">
        <f>-856.630744638823 -29.7082874401265 -660.489382191476</f>
        <v>-1546.8284142704256</v>
      </c>
      <c r="J3396">
        <f>-896.095772671821 -9.66269135906236 -528.389997817486</f>
        <v>-1434.1484618483694</v>
      </c>
      <c r="K3396" t="s">
        <v>36301</v>
      </c>
      <c r="L3396" t="s">
        <v>36302</v>
      </c>
      <c r="M3396" t="s">
        <v>36303</v>
      </c>
      <c r="N3396">
        <f>-876.976359670415 -61.6779252100838 -528.578782951877</f>
        <v>-1467.2330678323758</v>
      </c>
      <c r="O3396">
        <f>-831.155650582857 -188.116936797597 -500.111096206157</f>
        <v>-1519.3836835866109</v>
      </c>
      <c r="P3396">
        <f>-823.212696465932 -211.689389483321 -206.900353005748</f>
        <v>-1241.802438955001</v>
      </c>
      <c r="Q3396">
        <f>-679.866945873398 -50.2157783273663 -313.807558923933</f>
        <v>-1043.8902831246974</v>
      </c>
      <c r="R3396" t="s">
        <v>36304</v>
      </c>
      <c r="S3396" t="s">
        <v>36305</v>
      </c>
      <c r="T3396" t="s">
        <v>36306</v>
      </c>
      <c r="U3396" t="s">
        <v>36307</v>
      </c>
      <c r="V3396">
        <f>-780.192014624008 -94.6106410822016 -69.9357227530281</f>
        <v>-944.73837845923777</v>
      </c>
      <c r="W3396" t="s">
        <v>36308</v>
      </c>
      <c r="X3396" t="s">
        <v>36309</v>
      </c>
      <c r="Y3396" t="s">
        <v>36310</v>
      </c>
    </row>
    <row r="3397" spans="1:25" x14ac:dyDescent="0.3">
      <c r="A3397">
        <v>169800</v>
      </c>
      <c r="B3397" t="s">
        <v>36311</v>
      </c>
      <c r="C3397" t="s">
        <v>36312</v>
      </c>
      <c r="D3397">
        <f>-858.445372606967 -17.2610049972593 -184.260952137358</f>
        <v>-1059.9673297415843</v>
      </c>
      <c r="E3397">
        <f>-873.138409456829 -26.9815799689093 -281.298419596793</f>
        <v>-1181.4184090225313</v>
      </c>
      <c r="F3397">
        <f>-882.089721515489 -32.4972479011967 -369.77272587573</f>
        <v>-1284.3596952924158</v>
      </c>
      <c r="G3397">
        <f>-886.30422161938 -34.6650917767779 -458.743403266228</f>
        <v>-1379.7127166623859</v>
      </c>
      <c r="H3397">
        <f>-887.162691454734 -34.2462142547404 -583.322267282764</f>
        <v>-1504.7311729922385</v>
      </c>
      <c r="I3397">
        <f>-857.078684003854 -28.1707521612602 -660.543153991517</f>
        <v>-1545.7925901566314</v>
      </c>
      <c r="J3397">
        <f>-896.40628952648 -8.44602181377218 -528.347636416923</f>
        <v>-1433.1999477571753</v>
      </c>
      <c r="K3397" t="s">
        <v>36313</v>
      </c>
      <c r="L3397" t="s">
        <v>36314</v>
      </c>
      <c r="M3397" t="s">
        <v>36315</v>
      </c>
      <c r="N3397">
        <f>-877.163373015048 -60.415110699705 -528.654881142642</f>
        <v>-1466.2333648573949</v>
      </c>
      <c r="O3397">
        <f>-831.036060794205 -186.80786034737 -500.43765703008</f>
        <v>-1518.2815781716549</v>
      </c>
      <c r="P3397">
        <f>-823.075980472292 -210.917709381788 -207.271207469701</f>
        <v>-1241.264897323781</v>
      </c>
      <c r="Q3397">
        <f>-679.047028548633 -49.8341821239659 -313.848090278072</f>
        <v>-1042.7293009506709</v>
      </c>
      <c r="R3397" t="s">
        <v>36316</v>
      </c>
      <c r="S3397" t="s">
        <v>36317</v>
      </c>
      <c r="T3397" t="s">
        <v>36318</v>
      </c>
      <c r="U3397" t="s">
        <v>36319</v>
      </c>
      <c r="V3397">
        <f>-780.308732908644 -93.3758774425628 -70.0724837624288</f>
        <v>-943.7570941136355</v>
      </c>
      <c r="W3397" t="s">
        <v>36320</v>
      </c>
      <c r="X3397" t="s">
        <v>36321</v>
      </c>
      <c r="Y3397" t="s">
        <v>36322</v>
      </c>
    </row>
    <row r="3398" spans="1:25" x14ac:dyDescent="0.3">
      <c r="A3398">
        <v>169850</v>
      </c>
      <c r="B3398" t="s">
        <v>36323</v>
      </c>
      <c r="C3398" t="s">
        <v>36324</v>
      </c>
      <c r="D3398">
        <f>-858.157633334218 -16.6924794454367 -184.319340511301</f>
        <v>-1059.1694532909555</v>
      </c>
      <c r="E3398">
        <f>-872.954177515434 -26.3345976458352 -281.348997412937</f>
        <v>-1180.6377725742063</v>
      </c>
      <c r="F3398">
        <f>-881.998551877928 -31.755010540496 -369.819689264442</f>
        <v>-1283.5732516828659</v>
      </c>
      <c r="G3398">
        <f>-886.306047096058 -33.8018807119201 -458.78872641744</f>
        <v>-1378.8966542254182</v>
      </c>
      <c r="H3398">
        <f>-887.294143554218 -33.1862325670918 -583.365787483861</f>
        <v>-1503.8461636051707</v>
      </c>
      <c r="I3398">
        <f>-857.299837229103 -26.9207823103138 -660.606505017097</f>
        <v>-1544.8271245565138</v>
      </c>
      <c r="J3398">
        <f>-896.539216217585 -7.49466132553903 -528.340558394614</f>
        <v>-1432.3744359377381</v>
      </c>
      <c r="K3398" t="s">
        <v>36325</v>
      </c>
      <c r="L3398" t="s">
        <v>36326</v>
      </c>
      <c r="M3398" t="s">
        <v>36327</v>
      </c>
      <c r="N3398">
        <f>-877.179507778319 -59.4196549178859 -528.750705510464</f>
        <v>-1465.3498682066688</v>
      </c>
      <c r="O3398">
        <f>-830.780523249952 -185.756183356485 -500.760973980531</f>
        <v>-1517.297680586968</v>
      </c>
      <c r="P3398">
        <f>-822.976477916571 -210.26437010236 -207.623333085296</f>
        <v>-1240.8641811042271</v>
      </c>
      <c r="Q3398">
        <f>-678.502525238233 -49.4478231824811 -314.000928868093</f>
        <v>-1041.9512772888072</v>
      </c>
      <c r="R3398" t="s">
        <v>36328</v>
      </c>
      <c r="S3398" t="s">
        <v>36329</v>
      </c>
      <c r="T3398" t="s">
        <v>36330</v>
      </c>
      <c r="U3398" t="s">
        <v>36331</v>
      </c>
      <c r="V3398">
        <f>-780.16452192901 -92.4433269486379 -70.2637668580531</f>
        <v>-942.87161573570108</v>
      </c>
      <c r="W3398" t="s">
        <v>36332</v>
      </c>
      <c r="X3398" t="s">
        <v>36333</v>
      </c>
      <c r="Y3398" t="s">
        <v>36334</v>
      </c>
    </row>
    <row r="3399" spans="1:25" x14ac:dyDescent="0.3">
      <c r="A3399">
        <v>169900</v>
      </c>
      <c r="B3399" t="s">
        <v>36335</v>
      </c>
      <c r="C3399" t="s">
        <v>36336</v>
      </c>
      <c r="D3399">
        <f>-857.497708717024 -16.2458389462188 -184.58324833516</f>
        <v>-1058.3267959984028</v>
      </c>
      <c r="E3399">
        <f>-872.392194378929 -25.8269163077828 -281.603886553</f>
        <v>-1179.8229972397119</v>
      </c>
      <c r="F3399">
        <f>-881.529892105497 -31.1674296614788 -370.069846906463</f>
        <v>-1282.7671686734388</v>
      </c>
      <c r="G3399">
        <f>-885.936006957256 -33.1074907379711 -459.036457135617</f>
        <v>-1378.0799548308441</v>
      </c>
      <c r="H3399">
        <f>-887.067394637726 -32.3134951397319 -583.611398932504</f>
        <v>-1502.9922887099619</v>
      </c>
      <c r="I3399">
        <f>-857.156747393139 -25.8330033178454 -660.866783146308</f>
        <v>-1543.8565338572923</v>
      </c>
      <c r="J3399">
        <f>-896.301131060544 -6.72022824382611 -528.538348198962</f>
        <v>-1431.559707503332</v>
      </c>
      <c r="K3399" t="s">
        <v>36337</v>
      </c>
      <c r="L3399" t="s">
        <v>36338</v>
      </c>
      <c r="M3399" t="s">
        <v>36339</v>
      </c>
      <c r="N3399">
        <f>-876.837963041259 -58.6055621510257 -529.045814129147</f>
        <v>-1464.4893393214315</v>
      </c>
      <c r="O3399">
        <f>-830.110482263417 -184.862209886702 -501.245085462323</f>
        <v>-1516.217777612442</v>
      </c>
      <c r="P3399">
        <f>-821.982345215055 -209.907721299151 -208.161733006106</f>
        <v>-1240.051799520312</v>
      </c>
      <c r="Q3399">
        <f>-677.886085115067 -48.8348660843851 -314.663610889625</f>
        <v>-1041.384562089077</v>
      </c>
      <c r="R3399" t="s">
        <v>36340</v>
      </c>
      <c r="S3399" t="s">
        <v>36341</v>
      </c>
      <c r="T3399" t="s">
        <v>36342</v>
      </c>
      <c r="U3399" t="s">
        <v>36343</v>
      </c>
      <c r="V3399">
        <f>-779.523212296201 -91.8666996757192 -70.639793991814</f>
        <v>-942.02970596373427</v>
      </c>
      <c r="W3399" t="s">
        <v>36344</v>
      </c>
      <c r="X3399" t="s">
        <v>36345</v>
      </c>
      <c r="Y3399" t="s">
        <v>36346</v>
      </c>
    </row>
    <row r="3400" spans="1:25" x14ac:dyDescent="0.3">
      <c r="A3400">
        <v>169950</v>
      </c>
      <c r="B3400" t="s">
        <v>36347</v>
      </c>
      <c r="C3400" t="s">
        <v>36348</v>
      </c>
      <c r="D3400">
        <f>-857.308590384983 -16.1789321687165 -184.886801801868</f>
        <v>-1058.3743243555675</v>
      </c>
      <c r="E3400">
        <f>-872.221809199489 -25.730958049314 -281.907372466518</f>
        <v>-1179.8601397153211</v>
      </c>
      <c r="F3400">
        <f>-881.368982431871 -31.0211524779581 -370.375451929921</f>
        <v>-1282.7655868397501</v>
      </c>
      <c r="G3400">
        <f>-885.775903477931 -32.8871042142127 -459.34359879889</f>
        <v>-1378.0066064910338</v>
      </c>
      <c r="H3400">
        <f>-886.899754447364 -31.964871600481 -583.91778033632</f>
        <v>-1502.7824063841649</v>
      </c>
      <c r="I3400">
        <f>-857.01681515957 -25.3580673210752 -661.173080670421</f>
        <v>-1543.5479631510661</v>
      </c>
      <c r="J3400">
        <f>-896.165801562066 -6.43911301519938 -528.818860321193</f>
        <v>-1431.4237748984583</v>
      </c>
      <c r="K3400" t="s">
        <v>36349</v>
      </c>
      <c r="L3400" t="s">
        <v>36350</v>
      </c>
      <c r="M3400" t="s">
        <v>36351</v>
      </c>
      <c r="N3400">
        <f>-876.644637307387 -58.302174911131 -529.3788685866</f>
        <v>-1464.3256808051181</v>
      </c>
      <c r="O3400">
        <f>-829.738110420837 -184.502661377541 -501.630852102934</f>
        <v>-1515.871623901312</v>
      </c>
      <c r="P3400">
        <f>-821.523561920004 -209.787352362229 -208.570460400412</f>
        <v>-1239.8813746826449</v>
      </c>
      <c r="Q3400">
        <f>-677.604505402079 -48.6273674554658 -315.180191321085</f>
        <v>-1041.4120641786299</v>
      </c>
      <c r="R3400" t="s">
        <v>36352</v>
      </c>
      <c r="S3400" t="s">
        <v>36353</v>
      </c>
      <c r="T3400" t="s">
        <v>36354</v>
      </c>
      <c r="U3400" t="s">
        <v>36355</v>
      </c>
      <c r="V3400">
        <f>-779.391145761309 -91.5514197994827 -70.9581081141981</f>
        <v>-941.90067367498978</v>
      </c>
      <c r="W3400" t="s">
        <v>36356</v>
      </c>
      <c r="X3400" t="s">
        <v>36357</v>
      </c>
      <c r="Y3400" t="s">
        <v>36358</v>
      </c>
    </row>
    <row r="3401" spans="1:25" x14ac:dyDescent="0.3">
      <c r="A3401">
        <v>170000</v>
      </c>
      <c r="B3401" t="s">
        <v>36359</v>
      </c>
      <c r="C3401" t="s">
        <v>36360</v>
      </c>
      <c r="D3401">
        <f>-856.760213829945 -16.0738796531352 -185.574415318386</f>
        <v>-1058.4085088014663</v>
      </c>
      <c r="E3401">
        <f>-871.609506420755 -25.5798296145867 -282.609463024136</f>
        <v>-1179.7987990594777</v>
      </c>
      <c r="F3401">
        <f>-880.680776244276 -30.7617534367978 -371.091634908752</f>
        <v>-1282.5341645898257</v>
      </c>
      <c r="G3401">
        <f>-884.991247341962 -32.4534764423765 -460.068016191705</f>
        <v>-1377.5127399760436</v>
      </c>
      <c r="H3401">
        <f>-885.955343621634 -31.2223923941447 -584.640902322516</f>
        <v>-1501.8186383382947</v>
      </c>
      <c r="I3401">
        <f>-856.129903794999 -24.3248654592321 -661.892982345737</f>
        <v>-1542.347751599968</v>
      </c>
      <c r="J3401">
        <f>-895.407475836559 -5.87701704297592 -529.490267972648</f>
        <v>-1430.7747608521829</v>
      </c>
      <c r="K3401" t="s">
        <v>36361</v>
      </c>
      <c r="L3401" t="s">
        <v>36362</v>
      </c>
      <c r="M3401" t="s">
        <v>36363</v>
      </c>
      <c r="N3401">
        <f>-875.654716731242 -57.6510822457778 -530.154743015611</f>
        <v>-1463.4605419926309</v>
      </c>
      <c r="O3401">
        <f>-828.16186527025 -183.693415919097 -502.657843256072</f>
        <v>-1514.513124445419</v>
      </c>
      <c r="P3401">
        <f>-820.099610924602 -209.768788008289 -209.662508717976</f>
        <v>-1239.530907650867</v>
      </c>
      <c r="Q3401">
        <f>-676.621641159218 -48.1781000492573 -316.214925668777</f>
        <v>-1041.0146668772522</v>
      </c>
      <c r="R3401" t="s">
        <v>36364</v>
      </c>
      <c r="S3401" t="s">
        <v>36365</v>
      </c>
      <c r="T3401" t="s">
        <v>36366</v>
      </c>
      <c r="U3401" t="s">
        <v>36367</v>
      </c>
      <c r="V3401">
        <f>-778.931253850907 -90.2633306512398 -71.7616799883934</f>
        <v>-940.95626449054021</v>
      </c>
      <c r="W3401" t="s">
        <v>36368</v>
      </c>
      <c r="X3401" t="s">
        <v>36369</v>
      </c>
      <c r="Y3401" t="s">
        <v>36370</v>
      </c>
    </row>
    <row r="3402" spans="1:25" x14ac:dyDescent="0.3">
      <c r="A3402">
        <v>170050</v>
      </c>
      <c r="B3402" t="s">
        <v>36371</v>
      </c>
      <c r="C3402" t="s">
        <v>36372</v>
      </c>
      <c r="D3402">
        <f>-856.60725249541 -15.8357549795367 -185.861336191254</f>
        <v>-1058.3043436662006</v>
      </c>
      <c r="E3402">
        <f>-871.415977281188 -25.3054531523828 -282.906017292405</f>
        <v>-1179.6274477259758</v>
      </c>
      <c r="F3402">
        <f>-880.451299299348 -30.4292388456965 -371.395385265393</f>
        <v>-1282.2759234104374</v>
      </c>
      <c r="G3402">
        <f>-884.72605466937 -32.0378067027902 -460.37504454513</f>
        <v>-1377.1389059172902</v>
      </c>
      <c r="H3402">
        <f>-885.638607285194 -30.6656127566537 -584.94657876082</f>
        <v>-1501.2507988026678</v>
      </c>
      <c r="I3402">
        <f>-855.863872717476 -23.5873246703777 -662.201910701026</f>
        <v>-1541.6531080888799</v>
      </c>
      <c r="J3402">
        <f>-895.207616126494 -5.4188009970851 -529.771004942029</f>
        <v>-1430.3974220656082</v>
      </c>
      <c r="K3402" t="s">
        <v>36373</v>
      </c>
      <c r="L3402" t="s">
        <v>36374</v>
      </c>
      <c r="M3402" t="s">
        <v>36375</v>
      </c>
      <c r="N3402">
        <f>-875.266573987222 -57.1200443934033 -530.486600207685</f>
        <v>-1462.8732185883105</v>
      </c>
      <c r="O3402">
        <f>-827.345858750946 -183.049565536799 -503.194220064187</f>
        <v>-1513.5896443519321</v>
      </c>
      <c r="P3402">
        <f>-819.38912456996 -209.698017156697 -210.247552623041</f>
        <v>-1239.3346943496981</v>
      </c>
      <c r="Q3402">
        <f>-676.179120358316 -47.8346353135657 -316.746802433911</f>
        <v>-1040.7605581057928</v>
      </c>
      <c r="R3402" t="s">
        <v>36376</v>
      </c>
      <c r="S3402" t="s">
        <v>36377</v>
      </c>
      <c r="T3402" t="s">
        <v>36378</v>
      </c>
      <c r="U3402" t="s">
        <v>36379</v>
      </c>
      <c r="V3402">
        <f>-778.821294375352 -89.3926333874548 -72.1585140631007</f>
        <v>-940.37244182590746</v>
      </c>
      <c r="W3402" t="s">
        <v>36380</v>
      </c>
      <c r="X3402" t="s">
        <v>36381</v>
      </c>
      <c r="Y3402" t="s">
        <v>36382</v>
      </c>
    </row>
    <row r="3403" spans="1:25" x14ac:dyDescent="0.3">
      <c r="A3403">
        <v>170100</v>
      </c>
      <c r="B3403" t="s">
        <v>36383</v>
      </c>
      <c r="C3403" t="s">
        <v>36384</v>
      </c>
      <c r="D3403">
        <f>-856.303760457528 -15.1723160998499 -186.384803373974</f>
        <v>-1057.860879931352</v>
      </c>
      <c r="E3403">
        <f>-870.964594602466 -24.5064389625272 -283.465208231792</f>
        <v>-1178.9362417967852</v>
      </c>
      <c r="F3403">
        <f>-879.90188020076 -29.4821688301756 -371.972856876463</f>
        <v>-1281.3569059073986</v>
      </c>
      <c r="G3403">
        <f>-884.114171382649 -30.9154512386738 -460.958489189842</f>
        <v>-1375.9881118111648</v>
      </c>
      <c r="H3403">
        <f>-884.976482670061 -29.2709214929573 -585.527308794587</f>
        <v>-1499.7747129576055</v>
      </c>
      <c r="I3403">
        <f>-855.356758199067 -21.7636195653172 -662.801626124527</f>
        <v>-1539.9220038889111</v>
      </c>
      <c r="J3403">
        <f>-894.784475801012 -4.2296420043815 -530.300001891899</f>
        <v>-1429.3141196972924</v>
      </c>
      <c r="K3403" t="s">
        <v>36385</v>
      </c>
      <c r="L3403" t="s">
        <v>36386</v>
      </c>
      <c r="M3403" t="s">
        <v>36387</v>
      </c>
      <c r="N3403">
        <f>-874.409559029009 -55.7596511267585 -531.121320098918</f>
        <v>-1461.2905302546856</v>
      </c>
      <c r="O3403">
        <f>-825.540025350012 -181.416460194876 -504.261075229376</f>
        <v>-1511.217560774264</v>
      </c>
      <c r="P3403">
        <f>-817.451328937497 -209.230782794276 -211.426545021926</f>
        <v>-1238.1086567536988</v>
      </c>
      <c r="Q3403">
        <f>-675.320042181243 -46.6447893016764 -318.268986901052</f>
        <v>-1040.2338183839715</v>
      </c>
      <c r="R3403" t="s">
        <v>36388</v>
      </c>
      <c r="S3403" t="s">
        <v>36389</v>
      </c>
      <c r="T3403" t="s">
        <v>36390</v>
      </c>
      <c r="U3403" t="s">
        <v>36391</v>
      </c>
      <c r="V3403">
        <f>-778.494518341882 -88.3301976670324 -72.8011542901575</f>
        <v>-939.62587029907183</v>
      </c>
      <c r="W3403" t="s">
        <v>36392</v>
      </c>
      <c r="X3403" t="s">
        <v>36393</v>
      </c>
      <c r="Y3403" t="s">
        <v>36394</v>
      </c>
    </row>
    <row r="3404" spans="1:25" x14ac:dyDescent="0.3">
      <c r="A3404">
        <v>170150</v>
      </c>
      <c r="B3404" t="s">
        <v>36395</v>
      </c>
      <c r="C3404" t="s">
        <v>36396</v>
      </c>
      <c r="D3404">
        <f>-856.151399709064 -15.1737574298895 -186.606719245058</f>
        <v>-1057.9318763840115</v>
      </c>
      <c r="E3404">
        <f>-870.678140320672 -24.437774233078 -283.713925360593</f>
        <v>-1178.829839914343</v>
      </c>
      <c r="F3404">
        <f>-879.526466958831 -29.3113529567768 -372.236217592541</f>
        <v>-1281.0740375081486</v>
      </c>
      <c r="G3404">
        <f>-883.682747308421 -30.601565583092 -461.22668880663</f>
        <v>-1375.511001698143</v>
      </c>
      <c r="H3404">
        <f>-884.501824748153 -28.7130113702322 -585.792224343044</f>
        <v>-1499.0070604614293</v>
      </c>
      <c r="I3404">
        <f>-854.969536436704 -20.9350767254898 -663.073392069999</f>
        <v>-1538.9780052321928</v>
      </c>
      <c r="J3404">
        <f>-894.425207831458 -3.81804966065488 -530.519437330125</f>
        <v>-1428.7626948222378</v>
      </c>
      <c r="K3404" t="s">
        <v>36397</v>
      </c>
      <c r="L3404" t="s">
        <v>36398</v>
      </c>
      <c r="M3404" t="s">
        <v>36399</v>
      </c>
      <c r="N3404">
        <f>-873.85764307379 -55.2699823262176 -531.434797784158</f>
        <v>-1460.5624231841657</v>
      </c>
      <c r="O3404">
        <f>-824.563706396419 -180.7982835965 -504.757219968892</f>
        <v>-1510.1192099618111</v>
      </c>
      <c r="P3404">
        <f>-816.153236497738 -209.129841407068 -211.98117523967</f>
        <v>-1237.264253144476</v>
      </c>
      <c r="Q3404">
        <f>-675.142152504079 -45.8376904099027 -319.230447006759</f>
        <v>-1040.2102899207407</v>
      </c>
      <c r="R3404" t="s">
        <v>36400</v>
      </c>
      <c r="S3404" t="s">
        <v>36401</v>
      </c>
      <c r="T3404" t="s">
        <v>36402</v>
      </c>
      <c r="U3404" t="s">
        <v>36403</v>
      </c>
      <c r="V3404">
        <f>-778.373487562397 -88.1897985043809 -72.9738165142688</f>
        <v>-939.53710258104672</v>
      </c>
      <c r="W3404" t="s">
        <v>36404</v>
      </c>
      <c r="X3404" t="s">
        <v>36405</v>
      </c>
      <c r="Y3404" t="s">
        <v>36406</v>
      </c>
    </row>
    <row r="3405" spans="1:25" x14ac:dyDescent="0.3">
      <c r="A3405">
        <v>170200</v>
      </c>
      <c r="B3405" t="s">
        <v>36407</v>
      </c>
      <c r="C3405" t="s">
        <v>36408</v>
      </c>
      <c r="D3405">
        <f>-855.9198882554 -15.5540105809434 -186.880433618231</f>
        <v>-1058.3543324545744</v>
      </c>
      <c r="E3405">
        <f>-870.025218716297 -24.6150487192958 -284.068899310601</f>
        <v>-1178.7091667461939</v>
      </c>
      <c r="F3405">
        <f>-878.50829627008 -29.21311504759 -372.641591950032</f>
        <v>-1280.363003267702</v>
      </c>
      <c r="G3405">
        <f>-882.316571553397 -30.1319622235251 -461.65218954384</f>
        <v>-1374.100723320762</v>
      </c>
      <c r="H3405">
        <f>-882.667821243022 -27.6235538258932 -586.209006549215</f>
        <v>-1496.5003816181302</v>
      </c>
      <c r="I3405">
        <f>-853.184306847366 -19.2798229433172 -663.449744431194</f>
        <v>-1535.913874221877</v>
      </c>
      <c r="J3405">
        <f>-892.961309808636 -3.06934959973614 -530.85155646935</f>
        <v>-1426.882215877722</v>
      </c>
      <c r="K3405" t="s">
        <v>36409</v>
      </c>
      <c r="L3405" t="s">
        <v>36410</v>
      </c>
      <c r="M3405" t="s">
        <v>36411</v>
      </c>
      <c r="N3405">
        <f>-872.06514967297 -54.3854127481808 -531.943972314489</f>
        <v>-1458.3945347356398</v>
      </c>
      <c r="O3405">
        <f>-822.025145440656 -179.67440856632 -505.579078226933</f>
        <v>-1507.2786322339091</v>
      </c>
      <c r="P3405">
        <f>-813.479125633006 -209.204527407405 -212.925494361762</f>
        <v>-1235.609147402173</v>
      </c>
      <c r="Q3405">
        <f>-674.91252958897 -44.2607064961352 -320.831601325026</f>
        <v>-1040.0048374101311</v>
      </c>
      <c r="R3405" t="s">
        <v>36412</v>
      </c>
      <c r="S3405" t="s">
        <v>36413</v>
      </c>
      <c r="T3405" t="s">
        <v>36414</v>
      </c>
      <c r="U3405" t="s">
        <v>36415</v>
      </c>
      <c r="V3405">
        <f>-778.367768352054 -88.3263528831405 -73.0992173430982</f>
        <v>-939.79333857829272</v>
      </c>
      <c r="W3405" t="s">
        <v>36416</v>
      </c>
      <c r="X3405" t="s">
        <v>36417</v>
      </c>
      <c r="Y3405" t="s">
        <v>36418</v>
      </c>
    </row>
    <row r="3406" spans="1:25" x14ac:dyDescent="0.3">
      <c r="A3406">
        <v>170250</v>
      </c>
      <c r="B3406" t="s">
        <v>36419</v>
      </c>
      <c r="C3406" t="s">
        <v>36420</v>
      </c>
      <c r="D3406">
        <f>-855.84027213876 -15.7812915436375 -186.986774947763</f>
        <v>-1058.6083386301605</v>
      </c>
      <c r="E3406">
        <f>-869.722189104897 -24.7387234970022 -284.216977075072</f>
        <v>-1178.6778896769711</v>
      </c>
      <c r="F3406">
        <f>-877.980197893529 -29.2105156426205 -372.817477806633</f>
        <v>-1280.0081913427825</v>
      </c>
      <c r="G3406">
        <f>-881.540828405324 -29.9697703523088 -461.840013821317</f>
        <v>-1373.3506125789497</v>
      </c>
      <c r="H3406">
        <f>-881.52305073727 -27.202970280691 -586.391719417973</f>
        <v>-1495.1177404359341</v>
      </c>
      <c r="I3406">
        <f>-851.996504162028 -18.6121261139906 -663.588921807225</f>
        <v>-1534.1975520832436</v>
      </c>
      <c r="J3406">
        <f>-892.043766728148 -2.78949893233198 -531.014829891826</f>
        <v>-1425.8480955523059</v>
      </c>
      <c r="K3406" t="s">
        <v>36421</v>
      </c>
      <c r="L3406" t="s">
        <v>36422</v>
      </c>
      <c r="M3406" t="s">
        <v>36423</v>
      </c>
      <c r="N3406">
        <f>-871.01818008694 -54.0515354936254 -532.150474562845</f>
        <v>-1457.2201901434105</v>
      </c>
      <c r="O3406">
        <f>-820.68038854643 -179.243007332776 -505.902587206334</f>
        <v>-1505.82598308554</v>
      </c>
      <c r="P3406">
        <f>-812.322654953038 -209.440396651077 -213.31166142019</f>
        <v>-1235.0747130243049</v>
      </c>
      <c r="Q3406">
        <f>-674.898035328237 -43.5944058281699 -321.295067977417</f>
        <v>-1039.787509133824</v>
      </c>
      <c r="R3406" t="s">
        <v>36424</v>
      </c>
      <c r="S3406" t="s">
        <v>36425</v>
      </c>
      <c r="T3406" t="s">
        <v>36426</v>
      </c>
      <c r="U3406" t="s">
        <v>36427</v>
      </c>
      <c r="V3406">
        <f>-778.37967910914 -88.3630976640868 -73.1049906377311</f>
        <v>-939.847767410958</v>
      </c>
      <c r="W3406" t="s">
        <v>36428</v>
      </c>
      <c r="X3406" t="s">
        <v>36429</v>
      </c>
      <c r="Y3406" t="s">
        <v>36430</v>
      </c>
    </row>
    <row r="3407" spans="1:25" x14ac:dyDescent="0.3">
      <c r="A3407">
        <v>170300</v>
      </c>
      <c r="B3407" t="s">
        <v>36431</v>
      </c>
      <c r="C3407" t="s">
        <v>36432</v>
      </c>
      <c r="D3407">
        <f>-855.502168635459 -16.4316923387983 -187.112834337862</f>
        <v>-1059.0466953121193</v>
      </c>
      <c r="E3407">
        <f>-868.968110988384 -25.1912998405328 -284.419581763405</f>
        <v>-1178.5789925923218</v>
      </c>
      <c r="F3407">
        <f>-876.811125012775 -29.4121889687278 -373.070032015548</f>
        <v>-1279.2933459970509</v>
      </c>
      <c r="G3407">
        <f>-879.917395545701 -29.8485642530757 -462.111561628645</f>
        <v>-1371.8775214274217</v>
      </c>
      <c r="H3407">
        <f>-879.223324769223 -26.5572488895341 -586.64875361598</f>
        <v>-1492.4293272747373</v>
      </c>
      <c r="I3407">
        <f>-849.533653129701 -17.5150713196958 -663.731818022703</f>
        <v>-1530.7805424720998</v>
      </c>
      <c r="J3407">
        <f>-890.125366683146 -2.41025602223408 -531.228697687387</f>
        <v>-1423.7643203927671</v>
      </c>
      <c r="K3407" t="s">
        <v>36433</v>
      </c>
      <c r="L3407" t="s">
        <v>36434</v>
      </c>
      <c r="M3407" t="s">
        <v>36435</v>
      </c>
      <c r="N3407">
        <f>-868.932237937734 -53.6009585728013 -532.463451803629</f>
        <v>-1454.9966483141643</v>
      </c>
      <c r="O3407">
        <f>-818.229377465995 -178.709730630642 -506.459795961428</f>
        <v>-1503.398904058065</v>
      </c>
      <c r="P3407">
        <f>-810.716523364996 -209.980881932528 -213.958775032562</f>
        <v>-1234.656180330086</v>
      </c>
      <c r="Q3407">
        <f>-674.589874636494 -42.6745988046214 -321.331955830349</f>
        <v>-1038.5964292714643</v>
      </c>
      <c r="R3407" t="s">
        <v>36436</v>
      </c>
      <c r="S3407" t="s">
        <v>36437</v>
      </c>
      <c r="T3407" t="s">
        <v>36438</v>
      </c>
      <c r="U3407" t="s">
        <v>36439</v>
      </c>
      <c r="V3407">
        <f>-778.034479154098 -88.7347947644516 -73.101381050898</f>
        <v>-939.87065496944763</v>
      </c>
      <c r="W3407" t="s">
        <v>36440</v>
      </c>
      <c r="X3407" t="s">
        <v>36441</v>
      </c>
      <c r="Y3407" t="s">
        <v>36442</v>
      </c>
    </row>
    <row r="3408" spans="1:25" x14ac:dyDescent="0.3">
      <c r="A3408">
        <v>170350</v>
      </c>
      <c r="B3408" t="s">
        <v>36443</v>
      </c>
      <c r="C3408" t="s">
        <v>36444</v>
      </c>
      <c r="D3408">
        <f>-855.386821625043 -16.8832001351991 -187.10474291615</f>
        <v>-1059.374764676392</v>
      </c>
      <c r="E3408">
        <f>-868.685578746689 -25.538891221644 -284.443694363244</f>
        <v>-1178.6681643315769</v>
      </c>
      <c r="F3408">
        <f>-876.36941182496 -29.637206337206 -373.113939761125</f>
        <v>-1279.120557923291</v>
      </c>
      <c r="G3408">
        <f>-879.307935651201 -29.9239614428989 -462.161806708723</f>
        <v>-1371.393703802823</v>
      </c>
      <c r="H3408">
        <f>-878.369400119715 -26.3960372173663 -586.690835712022</f>
        <v>-1491.4562730491034</v>
      </c>
      <c r="I3408">
        <f>-848.582194521414 -17.1636455211824 -663.713652475886</f>
        <v>-1529.4594925184824</v>
      </c>
      <c r="J3408">
        <f>-889.404938754453 -2.36454857760532 -531.247045269747</f>
        <v>-1423.0165326018055</v>
      </c>
      <c r="K3408" t="s">
        <v>36445</v>
      </c>
      <c r="L3408" t="s">
        <v>36446</v>
      </c>
      <c r="M3408" t="s">
        <v>36447</v>
      </c>
      <c r="N3408">
        <f>-868.159742416032 -53.5323143913602 -532.536594410343</f>
        <v>-1454.2286512177352</v>
      </c>
      <c r="O3408">
        <f>-817.349333576622 -178.62588482584 -506.682096715614</f>
        <v>-1502.657315118076</v>
      </c>
      <c r="P3408">
        <f>-810.29449641098 -210.414521169541 -214.225380739293</f>
        <v>-1234.9343983198139</v>
      </c>
      <c r="Q3408">
        <f>-674.345705695117 -42.6052093496378 -321.037461837897</f>
        <v>-1037.9883768826517</v>
      </c>
      <c r="R3408" t="s">
        <v>36448</v>
      </c>
      <c r="S3408" t="s">
        <v>36449</v>
      </c>
      <c r="T3408" t="s">
        <v>36450</v>
      </c>
      <c r="U3408" t="s">
        <v>36451</v>
      </c>
      <c r="V3408">
        <f>-777.946639140892 -89.1596573705594 -73.0593180251157</f>
        <v>-940.16561453656709</v>
      </c>
      <c r="W3408" t="s">
        <v>36452</v>
      </c>
      <c r="X3408" t="s">
        <v>36453</v>
      </c>
      <c r="Y3408" t="s">
        <v>36454</v>
      </c>
    </row>
    <row r="3409" spans="1:25" x14ac:dyDescent="0.3">
      <c r="A3409">
        <v>170400</v>
      </c>
      <c r="B3409" t="s">
        <v>36455</v>
      </c>
      <c r="C3409" t="s">
        <v>36456</v>
      </c>
      <c r="D3409">
        <f>-855.332584094979 -17.9378029860816 -186.972273876451</f>
        <v>-1060.2426609575116</v>
      </c>
      <c r="E3409">
        <f>-868.38524250811 -26.4385396222669 -284.358306851875</f>
        <v>-1179.182088982252</v>
      </c>
      <c r="F3409">
        <f>-875.831806386026 -30.3402492515995 -373.057648329576</f>
        <v>-1279.2297039672014</v>
      </c>
      <c r="G3409">
        <f>-878.517199106288 -30.3739967496808 -462.113938997166</f>
        <v>-1371.0051348531347</v>
      </c>
      <c r="H3409">
        <f>-877.208735833943 -26.4348934291634 -586.62732273593</f>
        <v>-1490.2709519990362</v>
      </c>
      <c r="I3409">
        <f>-847.255876697029 -16.8968642331902 -663.548538841686</f>
        <v>-1527.7012797719051</v>
      </c>
      <c r="J3409">
        <f>-888.446582322173 -2.6022136771885 -531.138376516672</f>
        <v>-1422.1871725160336</v>
      </c>
      <c r="K3409" t="s">
        <v>36457</v>
      </c>
      <c r="L3409" t="s">
        <v>36458</v>
      </c>
      <c r="M3409" t="s">
        <v>36459</v>
      </c>
      <c r="N3409">
        <f>-867.122550877805 -53.7344872428018 -532.531979708102</f>
        <v>-1453.3890178287088</v>
      </c>
      <c r="O3409">
        <f>-816.192022423407 -178.832073749811 -506.977381835163</f>
        <v>-1502.0014780083811</v>
      </c>
      <c r="P3409">
        <f>-809.832088613595 -211.656448544041 -214.619183115729</f>
        <v>-1236.107720273365</v>
      </c>
      <c r="Q3409">
        <f>-673.400394322369 -43.4903174968532 -320.247866239688</f>
        <v>-1037.1385780589103</v>
      </c>
      <c r="R3409" t="s">
        <v>36460</v>
      </c>
      <c r="S3409" t="s">
        <v>36461</v>
      </c>
      <c r="T3409" t="s">
        <v>36462</v>
      </c>
      <c r="U3409" t="s">
        <v>36463</v>
      </c>
      <c r="V3409">
        <f>-777.840047384913 -90.1371517208655 -72.8373976268666</f>
        <v>-940.8145967326451</v>
      </c>
      <c r="W3409" t="s">
        <v>36464</v>
      </c>
      <c r="X3409" t="s">
        <v>36465</v>
      </c>
      <c r="Y3409" t="s">
        <v>36466</v>
      </c>
    </row>
    <row r="3410" spans="1:25" x14ac:dyDescent="0.3">
      <c r="A3410">
        <v>170450</v>
      </c>
      <c r="B3410" t="s">
        <v>36467</v>
      </c>
      <c r="C3410" t="s">
        <v>36468</v>
      </c>
      <c r="D3410">
        <f>-855.093515648363 -18.5696905437203 -186.930380120529</f>
        <v>-1060.5935863126124</v>
      </c>
      <c r="E3410">
        <f>-868.051560487826 -27.0183956681985 -284.333573992215</f>
        <v>-1179.4035301482395</v>
      </c>
      <c r="F3410">
        <f>-875.40361582696 -30.8400778929604 -373.044158354949</f>
        <v>-1279.2878520748695</v>
      </c>
      <c r="G3410">
        <f>-877.986001478604 -30.7606572937743 -462.10363431781</f>
        <v>-1370.8502930901882</v>
      </c>
      <c r="H3410">
        <f>-876.524454079148 -26.6285550657676 -586.608995913308</f>
        <v>-1489.7620050582236</v>
      </c>
      <c r="I3410">
        <f>-846.508695790294 -16.9547303135387 -663.488807375593</f>
        <v>-1526.9522334794256</v>
      </c>
      <c r="J3410">
        <f>-887.833082676277 -2.88288850860022 -531.097002852535</f>
        <v>-1421.812974037412</v>
      </c>
      <c r="K3410" t="s">
        <v>36469</v>
      </c>
      <c r="L3410" t="s">
        <v>36470</v>
      </c>
      <c r="M3410" t="s">
        <v>36471</v>
      </c>
      <c r="N3410">
        <f>-866.50199461167 -54.0108791330805 -532.543495074165</f>
        <v>-1453.0563688189154</v>
      </c>
      <c r="O3410">
        <f>-815.59385786575 -179.153511700964 -507.097344692175</f>
        <v>-1501.8447142588891</v>
      </c>
      <c r="P3410">
        <f>-809.414679758699 -212.370436510819 -214.779572422319</f>
        <v>-1236.5646886918371</v>
      </c>
      <c r="Q3410">
        <f>-672.678059441048 -44.1715987434879 -319.960674246755</f>
        <v>-1036.810332431291</v>
      </c>
      <c r="R3410" t="s">
        <v>36472</v>
      </c>
      <c r="S3410" t="s">
        <v>36473</v>
      </c>
      <c r="T3410" t="s">
        <v>36474</v>
      </c>
      <c r="U3410" t="s">
        <v>36475</v>
      </c>
      <c r="V3410">
        <f>-777.668380757512 -90.8361861352046 -72.7228436699645</f>
        <v>-941.22741056268103</v>
      </c>
      <c r="W3410" t="s">
        <v>36476</v>
      </c>
      <c r="X3410" t="s">
        <v>36477</v>
      </c>
      <c r="Y3410" t="s">
        <v>36478</v>
      </c>
    </row>
    <row r="3411" spans="1:25" x14ac:dyDescent="0.3">
      <c r="A3411">
        <v>170500</v>
      </c>
      <c r="B3411" t="s">
        <v>36479</v>
      </c>
      <c r="C3411" t="s">
        <v>36480</v>
      </c>
      <c r="D3411">
        <f>-854.784611254221 -19.5966178014387 -186.970963785472</f>
        <v>-1061.3521928411317</v>
      </c>
      <c r="E3411">
        <f>-867.613179160281 -27.8852241666675 -284.405071599552</f>
        <v>-1179.9034749265006</v>
      </c>
      <c r="F3411">
        <f>-874.820934929105 -31.520426836521 -373.135513741916</f>
        <v>-1279.476875507542</v>
      </c>
      <c r="G3411">
        <f>-877.231761903813 -31.2126277203688 -462.19910656327</f>
        <v>-1370.6434961874518</v>
      </c>
      <c r="H3411">
        <f>-875.50310401796 -26.717496453678 -586.688575458169</f>
        <v>-1488.9091759298071</v>
      </c>
      <c r="I3411">
        <f>-845.400394968257 -16.8360321525256 -663.507828323964</f>
        <v>-1525.7442554447466</v>
      </c>
      <c r="J3411">
        <f>-886.900059851749 -3.12109530674798 -531.131120699255</f>
        <v>-1421.1522758577521</v>
      </c>
      <c r="K3411" t="s">
        <v>36481</v>
      </c>
      <c r="L3411" t="s">
        <v>36482</v>
      </c>
      <c r="M3411" t="s">
        <v>36483</v>
      </c>
      <c r="N3411">
        <f>-865.62749091651 -54.2701693901703 -532.682695024675</f>
        <v>-1452.5803553313553</v>
      </c>
      <c r="O3411">
        <f>-814.951845282122 -179.521928664269 -507.368220034381</f>
        <v>-1501.841993980772</v>
      </c>
      <c r="P3411">
        <f>-809.23848412958 -213.312610411929 -215.106668552526</f>
        <v>-1237.6577630940351</v>
      </c>
      <c r="Q3411">
        <f>-671.813895833617 -45.3199150547684 -319.719452461646</f>
        <v>-1036.8532633500315</v>
      </c>
      <c r="R3411" t="s">
        <v>36484</v>
      </c>
      <c r="S3411" t="s">
        <v>36485</v>
      </c>
      <c r="T3411" t="s">
        <v>36486</v>
      </c>
      <c r="U3411" t="s">
        <v>36487</v>
      </c>
      <c r="V3411">
        <f>-777.655467553653 -91.9824545888422 -72.6652553813724</f>
        <v>-942.30317752386759</v>
      </c>
      <c r="W3411" t="s">
        <v>36488</v>
      </c>
      <c r="X3411" t="s">
        <v>36489</v>
      </c>
      <c r="Y3411" t="s">
        <v>36490</v>
      </c>
    </row>
    <row r="3412" spans="1:25" x14ac:dyDescent="0.3">
      <c r="A3412">
        <v>170550</v>
      </c>
      <c r="B3412" t="s">
        <v>36491</v>
      </c>
      <c r="C3412" t="s">
        <v>36492</v>
      </c>
      <c r="D3412">
        <f>-854.620641598137 -19.7915905192153 -187.065524345202</f>
        <v>-1061.4777564625542</v>
      </c>
      <c r="E3412">
        <f>-867.392200874222 -28.0156348914527 -284.512608232143</f>
        <v>-1179.9204439978178</v>
      </c>
      <c r="F3412">
        <f>-874.535282783829 -31.5777465832009 -373.251126529841</f>
        <v>-1279.3641558968709</v>
      </c>
      <c r="G3412">
        <f>-876.867390494052 -31.1832797470061 -462.316409037671</f>
        <v>-1370.3670792787291</v>
      </c>
      <c r="H3412">
        <f>-875.013343583221 -26.5536537483054 -586.799125272491</f>
        <v>-1488.3661226040172</v>
      </c>
      <c r="I3412">
        <f>-844.883481622899 -16.6324884669841 -663.602702029967</f>
        <v>-1525.1186721198501</v>
      </c>
      <c r="J3412">
        <f>-886.43723664394 -3.00511188867949 -531.226976249875</f>
        <v>-1420.6693247824944</v>
      </c>
      <c r="K3412" t="s">
        <v>36493</v>
      </c>
      <c r="L3412" t="s">
        <v>36494</v>
      </c>
      <c r="M3412" t="s">
        <v>36495</v>
      </c>
      <c r="N3412">
        <f>-865.221180538407 -54.1766155001286 -532.814026663055</f>
        <v>-1452.2118227015906</v>
      </c>
      <c r="O3412">
        <f>-814.738823055279 -179.518662157959 -507.564268830044</f>
        <v>-1501.821754043282</v>
      </c>
      <c r="P3412">
        <f>-809.274542886259 -213.588308939796 -215.330455819129</f>
        <v>-1238.1933076451839</v>
      </c>
      <c r="Q3412">
        <f>-671.538570163393 -45.7495118794305 -319.780409283003</f>
        <v>-1037.0684913258265</v>
      </c>
      <c r="R3412" t="s">
        <v>36496</v>
      </c>
      <c r="S3412" t="s">
        <v>36497</v>
      </c>
      <c r="T3412" t="s">
        <v>36498</v>
      </c>
      <c r="U3412" t="s">
        <v>36499</v>
      </c>
      <c r="V3412">
        <f>-777.524867629707 -92.0218058470073 -72.7615937151068</f>
        <v>-942.30826719182107</v>
      </c>
      <c r="W3412" t="s">
        <v>36500</v>
      </c>
      <c r="X3412" t="s">
        <v>36501</v>
      </c>
      <c r="Y3412" t="s">
        <v>36502</v>
      </c>
    </row>
    <row r="3413" spans="1:25" x14ac:dyDescent="0.3">
      <c r="A3413">
        <v>170600</v>
      </c>
      <c r="B3413" t="s">
        <v>36503</v>
      </c>
      <c r="C3413" t="s">
        <v>36504</v>
      </c>
      <c r="D3413">
        <f>-854.288169996589 -19.6425474939076 -187.20137300038</f>
        <v>-1061.1320904908766</v>
      </c>
      <c r="E3413">
        <f>-866.9890584515 -27.7632023817134 -284.666279288229</f>
        <v>-1179.4185401214424</v>
      </c>
      <c r="F3413">
        <f>-874.051211596129 -31.2022901956498 -373.416126874167</f>
        <v>-1278.6696286659458</v>
      </c>
      <c r="G3413">
        <f>-876.283939329017 -30.6574277024347 -462.4832996649</f>
        <v>-1369.4246666963518</v>
      </c>
      <c r="H3413">
        <f>-874.27022141153 -25.791360296113 -586.954519380467</f>
        <v>-1487.01610108811</v>
      </c>
      <c r="I3413">
        <f>-844.104424284474 -15.8488271002559 -663.741301903564</f>
        <v>-1523.6945532882939</v>
      </c>
      <c r="J3413">
        <f>-885.719895007946 -2.32972931424183 -531.351001806793</f>
        <v>-1419.4006261289808</v>
      </c>
      <c r="K3413" t="s">
        <v>36505</v>
      </c>
      <c r="L3413" t="s">
        <v>36506</v>
      </c>
      <c r="M3413" t="s">
        <v>36507</v>
      </c>
      <c r="N3413">
        <f>-864.592909142207 -53.5358398816912 -533.01094700175</f>
        <v>-1451.1396960256482</v>
      </c>
      <c r="O3413">
        <f>-814.422103109019 -179.043025697216 -507.925511137465</f>
        <v>-1501.3906399436999</v>
      </c>
      <c r="P3413">
        <f>-809.393223133847 -213.487237906809 -215.727819869119</f>
        <v>-1238.608280909775</v>
      </c>
      <c r="Q3413">
        <f>-670.984675205427 -46.0232040466424 -319.88972761305</f>
        <v>-1036.8976068651195</v>
      </c>
      <c r="R3413" t="s">
        <v>36508</v>
      </c>
      <c r="S3413" t="s">
        <v>36509</v>
      </c>
      <c r="T3413" t="s">
        <v>36510</v>
      </c>
      <c r="U3413" t="s">
        <v>36511</v>
      </c>
      <c r="V3413">
        <f>-777.318541966063 -91.5185398028397 -72.913900000024</f>
        <v>-941.75098176892664</v>
      </c>
      <c r="W3413" t="s">
        <v>36512</v>
      </c>
      <c r="X3413" t="s">
        <v>36513</v>
      </c>
      <c r="Y3413" t="s">
        <v>36514</v>
      </c>
    </row>
    <row r="3414" spans="1:25" x14ac:dyDescent="0.3">
      <c r="A3414">
        <v>170650</v>
      </c>
      <c r="B3414" t="s">
        <v>36515</v>
      </c>
      <c r="C3414" t="s">
        <v>36516</v>
      </c>
      <c r="D3414">
        <f>-854.237522311013 -19.7436300151737 -187.283880477893</f>
        <v>-1061.2650328040797</v>
      </c>
      <c r="E3414">
        <f>-866.928430464713 -27.797715784018 -284.755647847687</f>
        <v>-1179.4817940964181</v>
      </c>
      <c r="F3414">
        <f>-873.971836565804 -31.1703289933059 -373.509606011006</f>
        <v>-1278.6517715701159</v>
      </c>
      <c r="G3414">
        <f>-876.176282295016 -30.5530870280256 -462.576968183393</f>
        <v>-1369.3063375064346</v>
      </c>
      <c r="H3414">
        <f>-874.112894837572 -25.5798531061589 -587.043009516611</f>
        <v>-1486.735757460342</v>
      </c>
      <c r="I3414">
        <f>-843.928688311843 -15.6187352880411 -663.820137059402</f>
        <v>-1523.367560659286</v>
      </c>
      <c r="J3414">
        <f>-885.577428783713 -2.16285662130304 -531.423587863292</f>
        <v>-1419.1638732683082</v>
      </c>
      <c r="K3414" t="s">
        <v>36517</v>
      </c>
      <c r="L3414" t="s">
        <v>36518</v>
      </c>
      <c r="M3414" t="s">
        <v>36519</v>
      </c>
      <c r="N3414">
        <f>-864.46448608801 -53.3736422415584 -533.119704755554</f>
        <v>-1450.9578330851223</v>
      </c>
      <c r="O3414">
        <f>-814.356785847514 -178.919620469188 -508.094040106864</f>
        <v>-1501.3704464235659</v>
      </c>
      <c r="P3414">
        <f>-809.318144005491 -213.558474307844 -215.919429071359</f>
        <v>-1238.796047384694</v>
      </c>
      <c r="Q3414">
        <f>-670.815545021629 -46.1097394200031 -319.981006631372</f>
        <v>-1036.906291073004</v>
      </c>
      <c r="R3414" t="s">
        <v>36520</v>
      </c>
      <c r="S3414" t="s">
        <v>36521</v>
      </c>
      <c r="T3414" t="s">
        <v>36522</v>
      </c>
      <c r="U3414" t="s">
        <v>36523</v>
      </c>
      <c r="V3414">
        <f>-777.386838295887 -91.8087971426771 -73.0262423501071</f>
        <v>-942.22187778867112</v>
      </c>
      <c r="W3414" t="s">
        <v>36524</v>
      </c>
      <c r="X3414" t="s">
        <v>36525</v>
      </c>
      <c r="Y3414" t="s">
        <v>36526</v>
      </c>
    </row>
    <row r="3415" spans="1:25" x14ac:dyDescent="0.3">
      <c r="A3415">
        <v>170700</v>
      </c>
      <c r="B3415" t="s">
        <v>36527</v>
      </c>
      <c r="C3415" t="s">
        <v>36528</v>
      </c>
      <c r="D3415">
        <f>-854.157037266811 -19.9972349869513 -187.445812875863</f>
        <v>-1061.6000851296253</v>
      </c>
      <c r="E3415">
        <f>-866.860768131473 -27.9668192311406 -284.92273831067</f>
        <v>-1179.7503256732837</v>
      </c>
      <c r="F3415">
        <f>-873.896470554364 -31.2507632842028 -373.680596443316</f>
        <v>-1278.8278302818828</v>
      </c>
      <c r="G3415">
        <f>-876.074132345519 -30.5320390065872 -462.747828666522</f>
        <v>-1369.3540000186283</v>
      </c>
      <c r="H3415">
        <f>-873.954809988263 -25.4031002045783 -587.206796581913</f>
        <v>-1486.5647067747543</v>
      </c>
      <c r="I3415">
        <f>-843.72999000142 -15.3990863073479 -663.962320759388</f>
        <v>-1523.0913970681559</v>
      </c>
      <c r="J3415">
        <f>-885.438384378135 -2.05340717471108 -531.562951792631</f>
        <v>-1419.0547433454772</v>
      </c>
      <c r="K3415" t="s">
        <v>36529</v>
      </c>
      <c r="L3415" t="s">
        <v>36530</v>
      </c>
      <c r="M3415" t="s">
        <v>36531</v>
      </c>
      <c r="N3415">
        <f>-864.336429860275 -53.2668325342635 -533.314090535014</f>
        <v>-1450.9173529295524</v>
      </c>
      <c r="O3415">
        <f>-814.292572032174 -178.848488839383 -508.39259915108</f>
        <v>-1501.5336600226369</v>
      </c>
      <c r="P3415">
        <f>-809.212661284408 -213.707214681817 -216.244852244634</f>
        <v>-1239.1647282108588</v>
      </c>
      <c r="Q3415">
        <f>-670.648181695626 -46.2563849742978 -320.220672771144</f>
        <v>-1037.1252394410678</v>
      </c>
      <c r="R3415" t="s">
        <v>36532</v>
      </c>
      <c r="S3415" t="s">
        <v>36533</v>
      </c>
      <c r="T3415" t="s">
        <v>36534</v>
      </c>
      <c r="U3415" t="s">
        <v>36535</v>
      </c>
      <c r="V3415">
        <f>-777.442474410674 -91.8258420152905 -73.2360497658586</f>
        <v>-942.50436619182312</v>
      </c>
      <c r="W3415" t="s">
        <v>36536</v>
      </c>
      <c r="X3415" t="s">
        <v>36537</v>
      </c>
      <c r="Y3415" t="s">
        <v>36538</v>
      </c>
    </row>
    <row r="3416" spans="1:25" x14ac:dyDescent="0.3">
      <c r="A3416">
        <v>170750</v>
      </c>
      <c r="B3416" t="s">
        <v>36539</v>
      </c>
      <c r="C3416" t="s">
        <v>36540</v>
      </c>
      <c r="D3416">
        <f>-854.136398623588 -20.2488305891013 -187.445401464808</f>
        <v>-1061.8306306774973</v>
      </c>
      <c r="E3416">
        <f>-866.861297361473 -28.2041790422893 -284.920712957128</f>
        <v>-1179.9861893608904</v>
      </c>
      <c r="F3416">
        <f>-873.902846553509 -31.4614010057799 -373.679019134347</f>
        <v>-1279.0432666936358</v>
      </c>
      <c r="G3416">
        <f>-876.073001874542 -30.7022702447343 -462.746278252082</f>
        <v>-1369.5215503713584</v>
      </c>
      <c r="H3416">
        <f>-873.928481379375 -25.5025148894954 -587.201868564463</f>
        <v>-1486.6328648333333</v>
      </c>
      <c r="I3416">
        <f>-843.681977625056 -15.4804317432013 -663.946373420893</f>
        <v>-1523.1087827891502</v>
      </c>
      <c r="J3416">
        <f>-885.420088234936 -2.18329416245956 -531.546980349714</f>
        <v>-1419.1503627471095</v>
      </c>
      <c r="K3416" t="s">
        <v>36541</v>
      </c>
      <c r="L3416" t="s">
        <v>36542</v>
      </c>
      <c r="M3416" t="s">
        <v>36543</v>
      </c>
      <c r="N3416">
        <f>-864.3241547229 -53.3980899587473 -533.323166747741</f>
        <v>-1451.0454114293882</v>
      </c>
      <c r="O3416">
        <f>-814.320098104322 -179.011127578594 -508.431041262715</f>
        <v>-1501.7622669456309</v>
      </c>
      <c r="P3416">
        <f>-809.200583021573 -213.929960700229 -216.291152653915</f>
        <v>-1239.4216963757171</v>
      </c>
      <c r="Q3416">
        <f>-670.613850956145 -46.516907161272 -320.298229095333</f>
        <v>-1037.4289872127501</v>
      </c>
      <c r="R3416" t="s">
        <v>36544</v>
      </c>
      <c r="S3416" t="s">
        <v>36545</v>
      </c>
      <c r="T3416" t="s">
        <v>36546</v>
      </c>
      <c r="U3416" t="s">
        <v>36547</v>
      </c>
      <c r="V3416">
        <f>-777.441121356221 -91.8968217303166 -73.2700411718469</f>
        <v>-942.60798425838436</v>
      </c>
      <c r="W3416" t="s">
        <v>36548</v>
      </c>
      <c r="X3416" t="s">
        <v>36549</v>
      </c>
      <c r="Y3416" t="s">
        <v>36550</v>
      </c>
    </row>
    <row r="3417" spans="1:25" x14ac:dyDescent="0.3">
      <c r="A3417">
        <v>170800</v>
      </c>
      <c r="B3417" t="s">
        <v>36551</v>
      </c>
      <c r="C3417" t="s">
        <v>36552</v>
      </c>
      <c r="D3417">
        <f>-854.263038693944 -20.5906779763493 -187.271840692375</f>
        <v>-1062.1255573626684</v>
      </c>
      <c r="E3417">
        <f>-867.1353363612 -28.5313441351423 -284.729042381522</f>
        <v>-1180.3957228778643</v>
      </c>
      <c r="F3417">
        <f>-874.246698248178 -31.7349063997146 -373.483897639746</f>
        <v>-1279.4655022876386</v>
      </c>
      <c r="G3417">
        <f>-876.421939438548 -30.8816113040969 -462.549978912539</f>
        <v>-1369.8535296551838</v>
      </c>
      <c r="H3417">
        <f>-874.21681234299 -25.5082511283283 -586.997141126403</f>
        <v>-1486.7222045977214</v>
      </c>
      <c r="I3417">
        <f>-843.892578694544 -15.4525418214794 -663.706573700628</f>
        <v>-1523.0516942166514</v>
      </c>
      <c r="J3417">
        <f>-885.73909507188 -2.26815054416079 -531.315546378434</f>
        <v>-1419.3227919944748</v>
      </c>
      <c r="K3417" t="s">
        <v>36553</v>
      </c>
      <c r="L3417" t="s">
        <v>36554</v>
      </c>
      <c r="M3417" t="s">
        <v>36555</v>
      </c>
      <c r="N3417">
        <f>-864.635261421023 -53.4776582317843 -533.152617594981</f>
        <v>-1451.2655372477884</v>
      </c>
      <c r="O3417">
        <f>-814.642663019784 -179.107392122236 -508.340690246997</f>
        <v>-1502.090745389017</v>
      </c>
      <c r="P3417">
        <f>-809.525404956285 -214.227751389378 -216.224882190182</f>
        <v>-1239.9780385358449</v>
      </c>
      <c r="Q3417">
        <f>-671.035699192995 -46.8012362949598 -320.339593048316</f>
        <v>-1038.1765285362708</v>
      </c>
      <c r="R3417" t="s">
        <v>36556</v>
      </c>
      <c r="S3417" t="s">
        <v>36557</v>
      </c>
      <c r="T3417" t="s">
        <v>36558</v>
      </c>
      <c r="U3417" t="s">
        <v>36559</v>
      </c>
      <c r="V3417">
        <f>-777.369362194929 -91.842219896878 -73.2357610445387</f>
        <v>-942.44734313634558</v>
      </c>
      <c r="W3417" t="s">
        <v>36560</v>
      </c>
      <c r="X3417" t="s">
        <v>36561</v>
      </c>
      <c r="Y3417" t="s">
        <v>36562</v>
      </c>
    </row>
    <row r="3418" spans="1:25" x14ac:dyDescent="0.3">
      <c r="A3418">
        <v>170850</v>
      </c>
      <c r="B3418" t="s">
        <v>36563</v>
      </c>
      <c r="C3418" t="s">
        <v>36564</v>
      </c>
      <c r="D3418">
        <f>-854.146834742248 -20.9954540304905 -187.123556438386</f>
        <v>-1062.2658452111245</v>
      </c>
      <c r="E3418">
        <f>-867.163903199432 -28.9614651151005 -284.55944156326</f>
        <v>-1180.6848098777925</v>
      </c>
      <c r="F3418">
        <f>-874.368153013505 -32.1479794468009 -373.307435286422</f>
        <v>-1279.8235677467278</v>
      </c>
      <c r="G3418">
        <f>-876.597799385433 -31.2374439463683 -462.371668879144</f>
        <v>-1370.2069122109453</v>
      </c>
      <c r="H3418">
        <f>-874.42798175571 -25.7412965543194 -586.813997017091</f>
        <v>-1486.9832753271203</v>
      </c>
      <c r="I3418">
        <f>-844.043019230773 -15.6711712185897 -663.497557507042</f>
        <v>-1523.2117479564047</v>
      </c>
      <c r="J3418">
        <f>-885.934057146824 -2.55580040760356 -531.106221897794</f>
        <v>-1419.5960794522216</v>
      </c>
      <c r="K3418" t="s">
        <v>36565</v>
      </c>
      <c r="L3418" t="s">
        <v>36566</v>
      </c>
      <c r="M3418" t="s">
        <v>36567</v>
      </c>
      <c r="N3418">
        <f>-864.831532133133 -53.7637702246722 -532.99985480672</f>
        <v>-1451.5951571645251</v>
      </c>
      <c r="O3418">
        <f>-814.899582405615 -179.431740669103 -508.252929710561</f>
        <v>-1502.584252785279</v>
      </c>
      <c r="P3418">
        <f>-809.655026397724 -214.662096652322 -216.152813149061</f>
        <v>-1240.469936199107</v>
      </c>
      <c r="Q3418">
        <f>-671.00229994712 -47.3299197352022 -320.202007177445</f>
        <v>-1038.5342268597674</v>
      </c>
      <c r="R3418" t="s">
        <v>36568</v>
      </c>
      <c r="S3418" t="s">
        <v>36569</v>
      </c>
      <c r="T3418" t="s">
        <v>36570</v>
      </c>
      <c r="U3418" t="s">
        <v>36571</v>
      </c>
      <c r="V3418">
        <f>-777.161350543924 -91.9707449406628 -73.1339608425892</f>
        <v>-942.26605632717599</v>
      </c>
      <c r="W3418" t="s">
        <v>36572</v>
      </c>
      <c r="X3418" t="s">
        <v>36573</v>
      </c>
      <c r="Y3418" t="s">
        <v>36574</v>
      </c>
    </row>
    <row r="3419" spans="1:25" x14ac:dyDescent="0.3">
      <c r="A3419">
        <v>170900</v>
      </c>
      <c r="B3419" t="s">
        <v>36575</v>
      </c>
      <c r="C3419" t="s">
        <v>36576</v>
      </c>
      <c r="D3419">
        <f>-854.019728694511 -21.5006001740533 -186.917610447937</f>
        <v>-1062.4379393165011</v>
      </c>
      <c r="E3419">
        <f>-867.183197055803 -29.4732683237553 -284.333311382128</f>
        <v>-1180.9897767616862</v>
      </c>
      <c r="F3419">
        <f>-874.482984947368 -32.6280333407906 -373.074587679422</f>
        <v>-1280.1856059675806</v>
      </c>
      <c r="G3419">
        <f>-876.771043174314 -31.6472261208385 -462.136540806325</f>
        <v>-1370.5548101014774</v>
      </c>
      <c r="H3419">
        <f>-874.643658717846 -26.0125111150917 -586.573438095731</f>
        <v>-1487.2296079286689</v>
      </c>
      <c r="I3419">
        <f>-844.227191160572 -15.9226891793908 -663.241963649486</f>
        <v>-1523.3918439894487</v>
      </c>
      <c r="J3419">
        <f>-886.126302798309 -2.88727999860907 -530.835809225139</f>
        <v>-1419.8493920220571</v>
      </c>
      <c r="K3419" t="s">
        <v>36577</v>
      </c>
      <c r="L3419" t="s">
        <v>36578</v>
      </c>
      <c r="M3419" t="s">
        <v>36579</v>
      </c>
      <c r="N3419">
        <f>-865.03336797083 -54.0969349900386 -532.794066266914</f>
        <v>-1451.9243692277826</v>
      </c>
      <c r="O3419">
        <f>-815.170672037841 -179.804981724488 -508.109109840808</f>
        <v>-1503.0847636031369</v>
      </c>
      <c r="P3419">
        <f>-809.700191006317 -215.179868818376 -216.030586879811</f>
        <v>-1240.910646704504</v>
      </c>
      <c r="Q3419">
        <f>-671.014541956058 -47.8687532028324 -320.069665210615</f>
        <v>-1038.9529603695055</v>
      </c>
      <c r="R3419" t="s">
        <v>36580</v>
      </c>
      <c r="S3419" t="s">
        <v>36581</v>
      </c>
      <c r="T3419" t="s">
        <v>36582</v>
      </c>
      <c r="U3419" t="s">
        <v>36583</v>
      </c>
      <c r="V3419">
        <f>-776.946952071568 -92.264915433676 -73.0118455845484</f>
        <v>-942.22371308979245</v>
      </c>
      <c r="W3419" t="s">
        <v>36584</v>
      </c>
      <c r="X3419" t="s">
        <v>36585</v>
      </c>
      <c r="Y3419" t="s">
        <v>36586</v>
      </c>
    </row>
    <row r="3420" spans="1:25" x14ac:dyDescent="0.3">
      <c r="A3420">
        <v>170950</v>
      </c>
      <c r="B3420" t="s">
        <v>36587</v>
      </c>
      <c r="C3420" t="s">
        <v>36588</v>
      </c>
      <c r="D3420">
        <f>-853.919600231505 -21.906916884298 -186.837881401662</f>
        <v>-1062.6643985174651</v>
      </c>
      <c r="E3420">
        <f>-867.181899116057 -29.8924035352372 -284.239186263591</f>
        <v>-1181.3134889148853</v>
      </c>
      <c r="F3420">
        <f>-874.552430429663 -33.0454586573342 -372.974611280173</f>
        <v>-1280.5725003671701</v>
      </c>
      <c r="G3420">
        <f>-876.89253400732 -32.0487423229836 -462.035012008915</f>
        <v>-1370.9762883392186</v>
      </c>
      <c r="H3420">
        <f>-874.819359683851 -26.3761152210095 -586.471184942125</f>
        <v>-1487.6666598469856</v>
      </c>
      <c r="I3420">
        <f>-844.411057661505 -16.2834032305545 -663.142550253433</f>
        <v>-1523.8370111454924</v>
      </c>
      <c r="J3420">
        <f>-886.275509756753 -3.26694984796836 -530.721382797062</f>
        <v>-1420.2638424017832</v>
      </c>
      <c r="K3420" t="s">
        <v>36589</v>
      </c>
      <c r="L3420" t="s">
        <v>36590</v>
      </c>
      <c r="M3420" t="s">
        <v>36591</v>
      </c>
      <c r="N3420">
        <f>-865.18761132632 -54.4777473135027 -532.704605283065</f>
        <v>-1452.3699639228878</v>
      </c>
      <c r="O3420">
        <f>-815.341094092893 -180.191823866485 -508.040806759354</f>
        <v>-1503.5737247187319</v>
      </c>
      <c r="P3420">
        <f>-809.765969344757 -215.486150556995 -215.954467039039</f>
        <v>-1241.2065869407909</v>
      </c>
      <c r="Q3420">
        <f>-671.001243944093 -48.2973182919361 -320.084592612849</f>
        <v>-1039.3831548488781</v>
      </c>
      <c r="R3420" t="s">
        <v>36592</v>
      </c>
      <c r="S3420" t="s">
        <v>36593</v>
      </c>
      <c r="T3420" t="s">
        <v>36594</v>
      </c>
      <c r="U3420" t="s">
        <v>36595</v>
      </c>
      <c r="V3420">
        <f>-776.816163428255 -92.6051670277888 -72.9997399622685</f>
        <v>-942.42107041831218</v>
      </c>
      <c r="W3420" t="s">
        <v>36596</v>
      </c>
      <c r="X3420" t="s">
        <v>36597</v>
      </c>
      <c r="Y3420" t="s">
        <v>36598</v>
      </c>
    </row>
    <row r="3421" spans="1:25" x14ac:dyDescent="0.3">
      <c r="A3421">
        <v>171000</v>
      </c>
      <c r="B3421" t="s">
        <v>36599</v>
      </c>
      <c r="C3421">
        <f>-823.564639918071 -0.25867557552624 -77.1419971373476</f>
        <v>-900.96531263094482</v>
      </c>
      <c r="D3421">
        <f>-853.758881162758 -22.4483029414478 -186.742066099125</f>
        <v>-1062.9492502033308</v>
      </c>
      <c r="E3421">
        <f>-867.228079993446 -30.4751743778099 -284.111427925153</f>
        <v>-1181.814682296409</v>
      </c>
      <c r="F3421">
        <f>-874.772111621508 -33.6436680994111 -372.831738657991</f>
        <v>-1281.2475183789102</v>
      </c>
      <c r="G3421">
        <f>-877.271360005495 -32.6400909350266 -461.887845591044</f>
        <v>-1371.7992965315657</v>
      </c>
      <c r="H3421">
        <f>-875.405142335924 -26.933602851655 -586.325677523408</f>
        <v>-1488.6644227109869</v>
      </c>
      <c r="I3421">
        <f>-845.080376949584 -16.8381988983622 -663.029744291537</f>
        <v>-1524.9483201394833</v>
      </c>
      <c r="J3421">
        <f>-886.763672505622 -3.83770920833172 -530.550372076399</f>
        <v>-1421.1517537903528</v>
      </c>
      <c r="K3421" t="s">
        <v>36600</v>
      </c>
      <c r="L3421" t="s">
        <v>36601</v>
      </c>
      <c r="M3421" t="s">
        <v>36602</v>
      </c>
      <c r="N3421">
        <f>-865.689023913363 -55.0519379529745 -532.582897727957</f>
        <v>-1453.3238595942944</v>
      </c>
      <c r="O3421">
        <f>-815.858589681617 -180.786570595871 -507.978881621923</f>
        <v>-1504.6240418994109</v>
      </c>
      <c r="P3421">
        <f>-809.714329380038 -216.158712737243 -215.91333942874</f>
        <v>-1241.7863815460209</v>
      </c>
      <c r="Q3421">
        <f>-671.112828260202 -48.8747266018229 -320.108261544151</f>
        <v>-1040.0958164061758</v>
      </c>
      <c r="R3421" t="s">
        <v>36603</v>
      </c>
      <c r="S3421" t="s">
        <v>36604</v>
      </c>
      <c r="T3421" t="s">
        <v>36605</v>
      </c>
      <c r="U3421" t="s">
        <v>36606</v>
      </c>
      <c r="V3421">
        <f>-776.607720190653 -92.6558123541791 -73.0624180887893</f>
        <v>-942.32595063362146</v>
      </c>
      <c r="W3421" t="s">
        <v>36607</v>
      </c>
      <c r="X3421" t="s">
        <v>36608</v>
      </c>
      <c r="Y3421" t="s">
        <v>36609</v>
      </c>
    </row>
    <row r="3422" spans="1:25" x14ac:dyDescent="0.3">
      <c r="A3422">
        <v>171050</v>
      </c>
      <c r="B3422" t="s">
        <v>36610</v>
      </c>
      <c r="C3422">
        <f>-823.401851431311 -0.327241647397159 -77.1155273223982</f>
        <v>-900.84462040110634</v>
      </c>
      <c r="D3422">
        <f>-853.747123687279 -22.5860520921385 -186.659696420365</f>
        <v>-1062.9928721997826</v>
      </c>
      <c r="E3422">
        <f>-867.348751694168 -30.6436385975139 -284.008164012815</f>
        <v>-1182.0005543044967</v>
      </c>
      <c r="F3422">
        <f>-875.011839356533 -33.8283280836831 -372.717688019157</f>
        <v>-1281.5578554593731</v>
      </c>
      <c r="G3422">
        <f>-877.629185389639 -32.8288153131207 -461.770424374822</f>
        <v>-1372.2284250775817</v>
      </c>
      <c r="H3422">
        <f>-875.92612187986 -27.1156724419945 -586.210292986223</f>
        <v>-1489.2520873080775</v>
      </c>
      <c r="I3422">
        <f>-845.658843996841 -17.0261365596834 -662.937865789264</f>
        <v>-1525.6228463457885</v>
      </c>
      <c r="J3422">
        <f>-887.21492112117 -4.02410067838719 -530.419113611441</f>
        <v>-1421.6581354109983</v>
      </c>
      <c r="K3422" t="s">
        <v>36611</v>
      </c>
      <c r="L3422" t="s">
        <v>36612</v>
      </c>
      <c r="M3422" t="s">
        <v>36613</v>
      </c>
      <c r="N3422">
        <f>-866.136120881604 -55.2352544569511 -532.4817937825</f>
        <v>-1453.8531691210551</v>
      </c>
      <c r="O3422">
        <f>-816.266051865557 -180.970293460983 -507.952217026978</f>
        <v>-1505.1885623535181</v>
      </c>
      <c r="P3422">
        <f>-809.860254659943 -216.384096540618 -215.897362350574</f>
        <v>-1242.1417135511351</v>
      </c>
      <c r="Q3422">
        <f>-671.634650873025 -48.7154198483304 -319.973079631487</f>
        <v>-1040.3231503528423</v>
      </c>
      <c r="R3422" t="s">
        <v>36614</v>
      </c>
      <c r="S3422" t="s">
        <v>36615</v>
      </c>
      <c r="T3422" t="s">
        <v>36616</v>
      </c>
      <c r="U3422" t="s">
        <v>36617</v>
      </c>
      <c r="V3422">
        <f>-776.520814923505 -92.5370981529686 -73.0804487846982</f>
        <v>-942.1383618611718</v>
      </c>
      <c r="W3422" t="s">
        <v>36618</v>
      </c>
      <c r="X3422" t="s">
        <v>36619</v>
      </c>
      <c r="Y3422" t="s">
        <v>36620</v>
      </c>
    </row>
    <row r="3423" spans="1:25" x14ac:dyDescent="0.3">
      <c r="A3423">
        <v>171100</v>
      </c>
      <c r="B3423" t="s">
        <v>36621</v>
      </c>
      <c r="C3423">
        <f>-823.177790475272 -0.277525769951353 -77.0459466662622</f>
        <v>-900.50126291148558</v>
      </c>
      <c r="D3423">
        <f>-853.870473158649 -22.7082832435835 -186.458256490253</f>
        <v>-1063.0370128924856</v>
      </c>
      <c r="E3423">
        <f>-867.780599083684 -30.8432550747041 -283.756667819306</f>
        <v>-1182.3805219776941</v>
      </c>
      <c r="F3423">
        <f>-875.722981432106 -34.0688605407167 -372.440161082581</f>
        <v>-1282.2320030554038</v>
      </c>
      <c r="G3423">
        <f>-878.618202865168 -33.0815425915184 -461.484478435358</f>
        <v>-1373.1842238920444</v>
      </c>
      <c r="H3423">
        <f>-877.299713711726 -27.3548568198878 -585.928345039563</f>
        <v>-1490.5829155711767</v>
      </c>
      <c r="I3423">
        <f>-847.144917208715 -17.279278235909 -662.701985373323</f>
        <v>-1527.126180817947</v>
      </c>
      <c r="J3423">
        <f>-888.422234174141 -4.27180766838205 -530.10012657735</f>
        <v>-1422.7941684198731</v>
      </c>
      <c r="K3423" t="s">
        <v>36622</v>
      </c>
      <c r="L3423" t="s">
        <v>36623</v>
      </c>
      <c r="M3423" t="s">
        <v>36624</v>
      </c>
      <c r="N3423">
        <f>-867.337700080129 -55.4778728521547 -532.233263312564</f>
        <v>-1455.0488362448477</v>
      </c>
      <c r="O3423">
        <f>-817.421261995729 -181.230991388656 -507.893513155382</f>
        <v>-1506.5457665397669</v>
      </c>
      <c r="P3423">
        <f>-810.316819638754 -216.5911978042 -215.848373553857</f>
        <v>-1242.7563909968112</v>
      </c>
      <c r="Q3423">
        <f>-672.116905330124 -48.8047437540718 -319.768454690912</f>
        <v>-1040.6901037751077</v>
      </c>
      <c r="R3423" t="s">
        <v>36625</v>
      </c>
      <c r="S3423" t="s">
        <v>36626</v>
      </c>
      <c r="T3423" t="s">
        <v>36627</v>
      </c>
      <c r="U3423" t="s">
        <v>36628</v>
      </c>
      <c r="V3423">
        <f>-776.397008384633 -92.2295019747138 -73.0244123599421</f>
        <v>-941.65092271928881</v>
      </c>
      <c r="W3423" t="s">
        <v>36629</v>
      </c>
      <c r="X3423" t="s">
        <v>36630</v>
      </c>
      <c r="Y3423" t="s">
        <v>36631</v>
      </c>
    </row>
    <row r="3424" spans="1:25" x14ac:dyDescent="0.3">
      <c r="A3424">
        <v>171150</v>
      </c>
      <c r="B3424" t="s">
        <v>36632</v>
      </c>
      <c r="C3424">
        <f>-823.135649618011 -0.462648731218223 -76.9892012928797</f>
        <v>-900.58749964210892</v>
      </c>
      <c r="D3424">
        <f>-853.979751932273 -22.972034676387 -186.342679105348</f>
        <v>-1063.2944657140079</v>
      </c>
      <c r="E3424">
        <f>-868.027299502736 -31.139424404593 -283.618758370188</f>
        <v>-1182.7854822775171</v>
      </c>
      <c r="F3424">
        <f>-876.095026003307 -34.3799799838439 -372.290298144366</f>
        <v>-1282.7653041315168</v>
      </c>
      <c r="G3424">
        <f>-879.115824787861 -33.3932697193591 -461.330457040512</f>
        <v>-1373.8395515477321</v>
      </c>
      <c r="H3424">
        <f>-877.972775689405 -27.6524729240123 -585.775502141495</f>
        <v>-1491.4007507549122</v>
      </c>
      <c r="I3424">
        <f>-847.864549955222 -17.5772170005325 -662.567422829176</f>
        <v>-1528.0091897849306</v>
      </c>
      <c r="J3424">
        <f>-889.011185082358 -4.57358656998008 -529.928983765026</f>
        <v>-1423.5137554173641</v>
      </c>
      <c r="K3424" t="s">
        <v>36633</v>
      </c>
      <c r="L3424" t="s">
        <v>36634</v>
      </c>
      <c r="M3424" t="s">
        <v>36635</v>
      </c>
      <c r="N3424">
        <f>-867.940421788527 -55.7837096024296 -532.097828057503</f>
        <v>-1455.8219594484594</v>
      </c>
      <c r="O3424">
        <f>-818.052764476834 -181.562892920796 -507.83756421945</f>
        <v>-1507.4532216170801</v>
      </c>
      <c r="P3424">
        <f>-810.458292727566 -217.010054801785 -215.815244279235</f>
        <v>-1243.2835918085859</v>
      </c>
      <c r="Q3424">
        <f>-672.585251971138 -48.787270617602 -319.463557614956</f>
        <v>-1040.8360802036959</v>
      </c>
      <c r="R3424" t="s">
        <v>36636</v>
      </c>
      <c r="S3424" t="s">
        <v>36637</v>
      </c>
      <c r="T3424" t="s">
        <v>36638</v>
      </c>
      <c r="U3424" t="s">
        <v>36639</v>
      </c>
      <c r="V3424">
        <f>-776.428984939343 -92.4261862548266 -72.9334554358362</f>
        <v>-941.78862663000575</v>
      </c>
      <c r="W3424" t="s">
        <v>36640</v>
      </c>
      <c r="X3424" t="s">
        <v>36641</v>
      </c>
      <c r="Y3424" t="s">
        <v>36642</v>
      </c>
    </row>
    <row r="3425" spans="1:25" x14ac:dyDescent="0.3">
      <c r="A3425">
        <v>171200</v>
      </c>
      <c r="B3425" t="s">
        <v>36643</v>
      </c>
      <c r="C3425">
        <f>-823.112601502337 -0.982579367874905 -76.8804243377783</f>
        <v>-900.97560520799027</v>
      </c>
      <c r="D3425">
        <f>-854.157211933736 -23.5734631455343 -186.1603947056</f>
        <v>-1063.8910697848703</v>
      </c>
      <c r="E3425">
        <f>-868.382263810077 -31.7871136571675 -283.40666086881</f>
        <v>-1183.5760383360546</v>
      </c>
      <c r="F3425">
        <f>-876.61322347774 -35.0568348331899 -372.062254744417</f>
        <v>-1283.7323130553468</v>
      </c>
      <c r="G3425">
        <f>-879.799421391094 -34.0857066320807 -461.096742516983</f>
        <v>-1374.9818705401576</v>
      </c>
      <c r="H3425">
        <f>-878.890032608571 -28.3513555466459 -585.543973172844</f>
        <v>-1492.7853613280608</v>
      </c>
      <c r="I3425">
        <f>-848.892093864651 -18.2969317599852 -662.381748057524</f>
        <v>-1529.5707736821601</v>
      </c>
      <c r="J3425">
        <f>-889.797990852106 -5.25912980134717 -529.67729158938</f>
        <v>-1424.7344122428331</v>
      </c>
      <c r="K3425" t="s">
        <v>36644</v>
      </c>
      <c r="L3425" t="s">
        <v>36645</v>
      </c>
      <c r="M3425" t="s">
        <v>36646</v>
      </c>
      <c r="N3425">
        <f>-868.782467397685 -56.4904319185671 -531.88437496263</f>
        <v>-1457.1572742788821</v>
      </c>
      <c r="O3425">
        <f>-819.003405191845 -182.309808286334 -507.634730167305</f>
        <v>-1508.947943645484</v>
      </c>
      <c r="P3425">
        <f>-810.924637381033 -217.393584073831 -215.581511731077</f>
        <v>-1243.8997331859409</v>
      </c>
      <c r="Q3425">
        <f>-673.415242845609 -49.0744320671189 -319.556080010329</f>
        <v>-1042.0457549230568</v>
      </c>
      <c r="R3425" t="s">
        <v>36647</v>
      </c>
      <c r="S3425" t="s">
        <v>36648</v>
      </c>
      <c r="T3425" t="s">
        <v>36649</v>
      </c>
      <c r="U3425" t="s">
        <v>36650</v>
      </c>
      <c r="V3425">
        <f>-776.595933567119 -92.8668713905325 -72.7303542009249</f>
        <v>-942.19315915857646</v>
      </c>
      <c r="W3425" t="s">
        <v>36651</v>
      </c>
      <c r="X3425" t="s">
        <v>36652</v>
      </c>
      <c r="Y3425" t="s">
        <v>36653</v>
      </c>
    </row>
    <row r="3426" spans="1:25" x14ac:dyDescent="0.3">
      <c r="A3426">
        <v>171250</v>
      </c>
      <c r="B3426" t="s">
        <v>36654</v>
      </c>
      <c r="C3426">
        <f>-823.07045502216 -1.24828233207336 -76.7885398405032</f>
        <v>-901.10727719473653</v>
      </c>
      <c r="D3426">
        <f>-854.150613590589 -23.8324242261463 -186.059857420681</f>
        <v>-1064.0428952374164</v>
      </c>
      <c r="E3426">
        <f>-868.41580669697 -32.06260781627 -283.298819188697</f>
        <v>-1183.7772337019369</v>
      </c>
      <c r="F3426">
        <f>-876.688208313677 -35.3547626739062 -371.949607157515</f>
        <v>-1283.9925781450982</v>
      </c>
      <c r="G3426">
        <f>-879.921844747756 -34.4128841946692 -460.98282289071</f>
        <v>-1375.3175518331352</v>
      </c>
      <c r="H3426">
        <f>-879.085055860157 -28.7258508424698 -585.432592835039</f>
        <v>-1493.2434995376657</v>
      </c>
      <c r="I3426">
        <f>-849.160513829702 -18.7079052332099 -662.303933434907</f>
        <v>-1530.1723524978188</v>
      </c>
      <c r="J3426">
        <f>-889.943181843997 -5.60529788266376 -529.568099681793</f>
        <v>-1425.1165794084536</v>
      </c>
      <c r="K3426" t="s">
        <v>36655</v>
      </c>
      <c r="L3426" t="s">
        <v>36656</v>
      </c>
      <c r="M3426" t="s">
        <v>36657</v>
      </c>
      <c r="N3426">
        <f>-868.963402252405 -56.8515284542237 -531.768804574134</f>
        <v>-1457.5837352807628</v>
      </c>
      <c r="O3426">
        <f>-819.271413809991 -182.698872726854 -507.447501722961</f>
        <v>-1509.417788259806</v>
      </c>
      <c r="P3426">
        <f>-811.185401789059 -217.354234282943 -215.343293469059</f>
        <v>-1243.882929541061</v>
      </c>
      <c r="Q3426">
        <f>-673.593427540711 -49.0527343107372 -319.237110993869</f>
        <v>-1041.8832728453172</v>
      </c>
      <c r="R3426" t="s">
        <v>36658</v>
      </c>
      <c r="S3426" t="s">
        <v>36659</v>
      </c>
      <c r="T3426" t="s">
        <v>36660</v>
      </c>
      <c r="U3426" t="s">
        <v>36661</v>
      </c>
      <c r="V3426">
        <f>-776.677464522254 -93.0511229443867 -72.6114559219976</f>
        <v>-942.34004338863838</v>
      </c>
      <c r="W3426" t="s">
        <v>36662</v>
      </c>
      <c r="X3426" t="s">
        <v>36663</v>
      </c>
      <c r="Y3426" t="s">
        <v>36664</v>
      </c>
    </row>
    <row r="3427" spans="1:25" x14ac:dyDescent="0.3">
      <c r="A3427">
        <v>171300</v>
      </c>
      <c r="B3427" t="s">
        <v>36665</v>
      </c>
      <c r="C3427">
        <f>-823.084246556303 -1.82083267892835 -76.7015661946434</f>
        <v>-901.60664542987479</v>
      </c>
      <c r="D3427">
        <f>-854.114235802723 -24.2411346341937 -186.020727919093</f>
        <v>-1064.3760983560096</v>
      </c>
      <c r="E3427">
        <f>-868.378461215178 -32.4345376481413 -283.263065018956</f>
        <v>-1184.0760638822753</v>
      </c>
      <c r="F3427">
        <f>-876.67192071765 -35.7329610695735 -371.911620150807</f>
        <v>-1284.3165019380306</v>
      </c>
      <c r="G3427">
        <f>-879.949407820569 -34.8366448252391 -460.943657532102</f>
        <v>-1375.7297101779102</v>
      </c>
      <c r="H3427">
        <f>-879.199482746819 -29.2529156778035 -585.398866660068</f>
        <v>-1493.8512650846906</v>
      </c>
      <c r="I3427">
        <f>-849.396424616334 -19.3504037299028 -662.332176675619</f>
        <v>-1531.0790050218559</v>
      </c>
      <c r="J3427">
        <f>-889.969316962232 -6.06599402719144 -529.544576998501</f>
        <v>-1425.5798879879244</v>
      </c>
      <c r="K3427" t="s">
        <v>36666</v>
      </c>
      <c r="L3427" t="s">
        <v>36667</v>
      </c>
      <c r="M3427" t="s">
        <v>36668</v>
      </c>
      <c r="N3427">
        <f>-869.089650531374 -57.3541122102808 -531.719745960396</f>
        <v>-1458.1635087020509</v>
      </c>
      <c r="O3427">
        <f>-819.634419543152 -183.271912385654 -507.245131733217</f>
        <v>-1510.1514636620232</v>
      </c>
      <c r="P3427">
        <f>-811.374725769876 -217.310102677528 -215.073110979365</f>
        <v>-1243.7579394267691</v>
      </c>
      <c r="Q3427">
        <f>-673.503480959612 -48.9675481370385 -318.529406470496</f>
        <v>-1041.0004355671465</v>
      </c>
      <c r="R3427" t="s">
        <v>36669</v>
      </c>
      <c r="S3427" t="s">
        <v>36670</v>
      </c>
      <c r="T3427" t="s">
        <v>36671</v>
      </c>
      <c r="U3427" t="s">
        <v>36672</v>
      </c>
      <c r="V3427">
        <f>-777.126859132312 -93.6850427906302 -72.5488159290912</f>
        <v>-943.36071785203342</v>
      </c>
      <c r="W3427" t="s">
        <v>36673</v>
      </c>
      <c r="X3427" t="s">
        <v>36674</v>
      </c>
      <c r="Y3427" t="s">
        <v>36675</v>
      </c>
    </row>
    <row r="3428" spans="1:25" x14ac:dyDescent="0.3">
      <c r="A3428">
        <v>171350</v>
      </c>
      <c r="B3428" t="s">
        <v>36676</v>
      </c>
      <c r="C3428">
        <f>-823.142832055142 -2.10089096036177 -76.7311082057839</f>
        <v>-901.97483122128767</v>
      </c>
      <c r="D3428">
        <f>-854.074999201288 -24.3541946647094 -186.112074397996</f>
        <v>-1064.5412682639935</v>
      </c>
      <c r="E3428">
        <f>-868.304618407634 -32.4763401710013 -283.365424234027</f>
        <v>-1184.1463828126623</v>
      </c>
      <c r="F3428">
        <f>-876.589993356494 -35.7383323004631 -372.0162508589</f>
        <v>-1284.3445765158572</v>
      </c>
      <c r="G3428">
        <f>-879.883899556973 -34.8335058069558 -461.047433545545</f>
        <v>-1375.7648389094738</v>
      </c>
      <c r="H3428">
        <f>-879.183083037469 -29.2665962011927 -585.503692806863</f>
        <v>-1493.9533720455247</v>
      </c>
      <c r="I3428">
        <f>-849.442290004263 -19.4348360454435 -662.47024299045</f>
        <v>-1531.3473690401565</v>
      </c>
      <c r="J3428">
        <f>-889.90942039876 -6.06346868325181 -529.647775400606</f>
        <v>-1425.6206644826177</v>
      </c>
      <c r="K3428" t="s">
        <v>36677</v>
      </c>
      <c r="L3428" t="s">
        <v>36678</v>
      </c>
      <c r="M3428" t="s">
        <v>36679</v>
      </c>
      <c r="N3428">
        <f>-869.073311075225 -57.369219676258 -531.825512616247</f>
        <v>-1458.2680433677301</v>
      </c>
      <c r="O3428">
        <f>-819.751811132494 -183.330002162876 -507.311209839491</f>
        <v>-1510.3930231348611</v>
      </c>
      <c r="P3428">
        <f>-811.465486900255 -217.218851069704 -215.122750213382</f>
        <v>-1243.807088183341</v>
      </c>
      <c r="Q3428">
        <f>-673.277633696964 -49.1999490599555 -318.682518445671</f>
        <v>-1041.1601012025906</v>
      </c>
      <c r="R3428" t="s">
        <v>36680</v>
      </c>
      <c r="S3428" t="s">
        <v>36681</v>
      </c>
      <c r="T3428" t="s">
        <v>36682</v>
      </c>
      <c r="U3428" t="s">
        <v>36683</v>
      </c>
      <c r="V3428">
        <f>-777.429384767161 -93.8830634797342 -72.6612733940837</f>
        <v>-943.97372164097885</v>
      </c>
      <c r="W3428" t="s">
        <v>36684</v>
      </c>
      <c r="X3428" t="s">
        <v>36685</v>
      </c>
      <c r="Y3428" t="s">
        <v>36686</v>
      </c>
    </row>
    <row r="3429" spans="1:25" x14ac:dyDescent="0.3">
      <c r="A3429">
        <v>171400</v>
      </c>
      <c r="B3429" t="s">
        <v>36687</v>
      </c>
      <c r="C3429">
        <f>-823.727363055637 -2.3291808942638 -76.8454963338046</f>
        <v>-902.90204028370545</v>
      </c>
      <c r="D3429">
        <f>-854.310693344037 -24.2505517054967 -186.391539638618</f>
        <v>-1064.9527846881517</v>
      </c>
      <c r="E3429">
        <f>-868.360011499389 -32.2096114592941 -283.684494401725</f>
        <v>-1184.2541173604081</v>
      </c>
      <c r="F3429">
        <f>-876.535467510471 -35.3738493759308 -372.349001313603</f>
        <v>-1284.2583182000049</v>
      </c>
      <c r="G3429">
        <f>-879.774858922677 -34.4208614185825 -461.381798435838</f>
        <v>-1375.5775187770976</v>
      </c>
      <c r="H3429">
        <f>-879.057566455596 -28.8377468167362 -585.837074108792</f>
        <v>-1493.7323873811242</v>
      </c>
      <c r="I3429">
        <f>-849.418444594358 -19.1398430970582 -662.859849396523</f>
        <v>-1531.4181370879392</v>
      </c>
      <c r="J3429">
        <f>-889.770127847163 -5.6332401201214 -529.979228114691</f>
        <v>-1425.3825960819754</v>
      </c>
      <c r="K3429" t="s">
        <v>36688</v>
      </c>
      <c r="L3429" t="s">
        <v>36689</v>
      </c>
      <c r="M3429" t="s">
        <v>36690</v>
      </c>
      <c r="N3429">
        <f>-868.97629156958 -56.955907641865 -532.161673018073</f>
        <v>-1458.093872229518</v>
      </c>
      <c r="O3429">
        <f>-819.820612584693 -182.956431935153 -507.572917498637</f>
        <v>-1510.349962018483</v>
      </c>
      <c r="P3429">
        <f>-811.696733998594 -217.024390940812 -215.400800276388</f>
        <v>-1244.1219252157941</v>
      </c>
      <c r="Q3429">
        <f>-673.899694301561 -49.3207143584436 -319.987409329953</f>
        <v>-1043.2078179899577</v>
      </c>
      <c r="R3429" t="s">
        <v>36691</v>
      </c>
      <c r="S3429" t="s">
        <v>36692</v>
      </c>
      <c r="T3429" t="s">
        <v>36693</v>
      </c>
      <c r="U3429" t="s">
        <v>36694</v>
      </c>
      <c r="V3429">
        <f>-778.076071377171 -93.6899967773104 -72.9531189827527</f>
        <v>-944.71918713723414</v>
      </c>
      <c r="W3429" t="s">
        <v>36695</v>
      </c>
      <c r="X3429" t="s">
        <v>36696</v>
      </c>
      <c r="Y3429" t="s">
        <v>36697</v>
      </c>
    </row>
    <row r="3430" spans="1:25" x14ac:dyDescent="0.3">
      <c r="A3430">
        <v>171450</v>
      </c>
      <c r="B3430" t="s">
        <v>36698</v>
      </c>
      <c r="C3430">
        <f>-824.246552955012 -2.47545062557765 -76.8012413606239</f>
        <v>-903.52324494121353</v>
      </c>
      <c r="D3430">
        <f>-854.695041282889 -24.3065639739862 -186.402766772424</f>
        <v>-1065.4043720292991</v>
      </c>
      <c r="E3430">
        <f>-868.623687470324 -32.1948100978423 -283.718894373698</f>
        <v>-1184.5373919418641</v>
      </c>
      <c r="F3430">
        <f>-876.68856642602 -35.2988873929162 -372.395698101673</f>
        <v>-1284.3831519206092</v>
      </c>
      <c r="G3430">
        <f>-879.816173510074 -34.2898108851218 -461.43181559226</f>
        <v>-1375.5377999874559</v>
      </c>
      <c r="H3430">
        <f>-878.941667474258 -28.6334352155777 -585.882888132522</f>
        <v>-1493.4579908223577</v>
      </c>
      <c r="I3430">
        <f>-849.323589938674 -18.963762161696 -662.917190109326</f>
        <v>-1531.204542209696</v>
      </c>
      <c r="J3430">
        <f>-889.733615888929 -5.46543077654246 -530.025042493096</f>
        <v>-1425.2240891585675</v>
      </c>
      <c r="K3430" t="s">
        <v>36699</v>
      </c>
      <c r="L3430" t="s">
        <v>36700</v>
      </c>
      <c r="M3430" t="s">
        <v>36701</v>
      </c>
      <c r="N3430">
        <f>-868.919341790779 -56.7796573700958 -532.211217772946</f>
        <v>-1457.9102169338207</v>
      </c>
      <c r="O3430">
        <f>-819.768220900277 -182.77732256076 -507.628726199661</f>
        <v>-1510.174269660698</v>
      </c>
      <c r="P3430">
        <f>-811.893423547093 -217.093451603762 -215.478745793211</f>
        <v>-1244.4656209440659</v>
      </c>
      <c r="Q3430">
        <f>-674.410397187567 -49.1029983419628 -320.018131163601</f>
        <v>-1043.5315266931309</v>
      </c>
      <c r="R3430" t="s">
        <v>36702</v>
      </c>
      <c r="S3430" t="s">
        <v>36703</v>
      </c>
      <c r="T3430" t="s">
        <v>36704</v>
      </c>
      <c r="U3430" t="s">
        <v>36705</v>
      </c>
      <c r="V3430">
        <f>-778.573127986408 -93.7284539166102 -72.9568654679441</f>
        <v>-945.25844737096236</v>
      </c>
      <c r="W3430" t="s">
        <v>36706</v>
      </c>
      <c r="X3430" t="s">
        <v>36707</v>
      </c>
      <c r="Y3430" t="s">
        <v>36708</v>
      </c>
    </row>
    <row r="3431" spans="1:25" x14ac:dyDescent="0.3">
      <c r="A3431">
        <v>171500</v>
      </c>
      <c r="B3431" t="s">
        <v>36709</v>
      </c>
      <c r="C3431">
        <f>-824.59674298994 -3.05729583731591 -76.7360082087687</f>
        <v>-904.39004703602461</v>
      </c>
      <c r="D3431">
        <f>-854.907305448129 -24.8225341675538 -186.388985004091</f>
        <v>-1066.1188246197739</v>
      </c>
      <c r="E3431">
        <f>-868.606892156885 -32.6293180891482 -283.744184299469</f>
        <v>-1184.9803945455023</v>
      </c>
      <c r="F3431">
        <f>-876.421168277346 -35.6491789370939 -372.446217997964</f>
        <v>-1284.516565212404</v>
      </c>
      <c r="G3431">
        <f>-879.255983396454 -34.545268054185 -461.491093866243</f>
        <v>-1375.2923453168819</v>
      </c>
      <c r="H3431">
        <f>-877.929701224222 -28.7447501504173 -585.931414849834</f>
        <v>-1492.6058662244732</v>
      </c>
      <c r="I3431">
        <f>-848.23729927834 -19.0783250972813 -662.937689325214</f>
        <v>-1530.2533137008354</v>
      </c>
      <c r="J3431">
        <f>-888.974735256485 -5.66190836592295 -530.087938262962</f>
        <v>-1424.7245818853698</v>
      </c>
      <c r="K3431" t="s">
        <v>36710</v>
      </c>
      <c r="L3431" t="s">
        <v>36711</v>
      </c>
      <c r="M3431" t="s">
        <v>36712</v>
      </c>
      <c r="N3431">
        <f>-868.05193267218 -56.9328519622128 -532.25477056123</f>
        <v>-1457.2395551956229</v>
      </c>
      <c r="O3431">
        <f>-818.768810398261 -182.88389845821 -507.643696603135</f>
        <v>-1509.2964054596059</v>
      </c>
      <c r="P3431">
        <f>-811.867637611882 -217.413020748868 -215.494326762824</f>
        <v>-1244.7749851235737</v>
      </c>
      <c r="Q3431">
        <f>-674.518743302561 -49.1508820025646 -319.772601633904</f>
        <v>-1043.4422269390295</v>
      </c>
      <c r="R3431" t="s">
        <v>36713</v>
      </c>
      <c r="S3431" t="s">
        <v>36714</v>
      </c>
      <c r="T3431" t="s">
        <v>36715</v>
      </c>
      <c r="U3431" t="s">
        <v>36716</v>
      </c>
      <c r="V3431">
        <f>-778.90903682821 -94.2285245800366 -72.8319374236896</f>
        <v>-945.96949883193622</v>
      </c>
      <c r="W3431" t="s">
        <v>36717</v>
      </c>
      <c r="X3431" t="s">
        <v>36718</v>
      </c>
      <c r="Y3431" t="s">
        <v>36719</v>
      </c>
    </row>
    <row r="3432" spans="1:25" x14ac:dyDescent="0.3">
      <c r="A3432">
        <v>171550</v>
      </c>
      <c r="B3432" t="s">
        <v>36720</v>
      </c>
      <c r="C3432">
        <f>-824.530939036177 -3.43203051360865 -76.732519443426</f>
        <v>-904.6954889932116</v>
      </c>
      <c r="D3432">
        <f>-854.772929939853 -25.1960949921065 -186.40459868339</f>
        <v>-1066.3736236153495</v>
      </c>
      <c r="E3432">
        <f>-868.387310923383 -32.9896480755126 -283.772750583589</f>
        <v>-1185.1497095824845</v>
      </c>
      <c r="F3432">
        <f>-876.113960715263 -35.9932735656448 -372.483007569384</f>
        <v>-1284.5902418502919</v>
      </c>
      <c r="G3432">
        <f>-878.850971732068 -34.8681747139256 -461.53071857015</f>
        <v>-1375.2498650161435</v>
      </c>
      <c r="H3432">
        <f>-877.377557260643 -29.0334369326372 -585.967852516895</f>
        <v>-1492.3788467101754</v>
      </c>
      <c r="I3432">
        <f>-847.636173551298 -19.3434386549163 -662.952222141507</f>
        <v>-1529.9318343477214</v>
      </c>
      <c r="J3432">
        <f>-888.502901582105 -5.97162771630883 -530.131563817654</f>
        <v>-1424.6060931160678</v>
      </c>
      <c r="K3432" t="s">
        <v>36721</v>
      </c>
      <c r="L3432" t="s">
        <v>36722</v>
      </c>
      <c r="M3432" t="s">
        <v>36723</v>
      </c>
      <c r="N3432">
        <f>-867.549046663892 -57.2303450929393 -532.286950608777</f>
        <v>-1457.0663423656083</v>
      </c>
      <c r="O3432">
        <f>-818.252077251253 -183.177099957814 -507.677076178025</f>
        <v>-1509.106253387092</v>
      </c>
      <c r="P3432">
        <f>-811.425747066874 -217.994472409169 -215.559962466538</f>
        <v>-1244.9801819425811</v>
      </c>
      <c r="Q3432">
        <f>-674.228814913375 -49.461711908452 -319.601158436318</f>
        <v>-1043.291685258145</v>
      </c>
      <c r="R3432" t="s">
        <v>36724</v>
      </c>
      <c r="S3432" t="s">
        <v>36725</v>
      </c>
      <c r="T3432" t="s">
        <v>36726</v>
      </c>
      <c r="U3432" t="s">
        <v>36727</v>
      </c>
      <c r="V3432">
        <f>-778.737263630635 -94.6342742232857 -72.8005436000409</f>
        <v>-946.1720814539616</v>
      </c>
      <c r="W3432" t="s">
        <v>36728</v>
      </c>
      <c r="X3432" t="s">
        <v>36729</v>
      </c>
      <c r="Y3432" t="s">
        <v>36730</v>
      </c>
    </row>
    <row r="3433" spans="1:25" x14ac:dyDescent="0.3">
      <c r="A3433">
        <v>171600</v>
      </c>
      <c r="B3433" t="s">
        <v>36731</v>
      </c>
      <c r="C3433">
        <f>-824.080830249681 -3.8141793358684 -76.6512532827199</f>
        <v>-904.54626286826931</v>
      </c>
      <c r="D3433">
        <f>-854.218772192798 -25.7203975776777 -186.323681235982</f>
        <v>-1066.2628510064578</v>
      </c>
      <c r="E3433">
        <f>-867.778163593864 -33.548198307599 -283.696828344983</f>
        <v>-1185.0231902464459</v>
      </c>
      <c r="F3433">
        <f>-875.46758374678 -36.5474727387495 -372.410447344169</f>
        <v>-1284.4255038296985</v>
      </c>
      <c r="G3433">
        <f>-878.17951342804 -35.3824231352949 -461.458421679943</f>
        <v>-1375.0203582432778</v>
      </c>
      <c r="H3433">
        <f>-876.683094943558 -29.4539557723924 -585.890827995724</f>
        <v>-1492.0278787116754</v>
      </c>
      <c r="I3433">
        <f>-846.874604370039 -19.6590723186498 -662.835995580815</f>
        <v>-1529.369672269504</v>
      </c>
      <c r="J3433">
        <f>-887.864859933354 -6.45315593564624 -530.040693046322</f>
        <v>-1424.358708915322</v>
      </c>
      <c r="K3433" t="s">
        <v>36732</v>
      </c>
      <c r="L3433" t="s">
        <v>36733</v>
      </c>
      <c r="M3433" t="s">
        <v>36734</v>
      </c>
      <c r="N3433">
        <f>-866.818244282874 -57.6725706888769 -532.227893533128</f>
        <v>-1456.718708504879</v>
      </c>
      <c r="O3433">
        <f>-817.309152304407 -183.522198948152 -507.563657157134</f>
        <v>-1508.395008409693</v>
      </c>
      <c r="P3433">
        <f>-810.643353380554 -218.042247090246 -215.407628283212</f>
        <v>-1244.093228754012</v>
      </c>
      <c r="Q3433">
        <f>-673.429267061329 -49.2910119516321 -319.071230452246</f>
        <v>-1041.7915094652071</v>
      </c>
      <c r="R3433" t="s">
        <v>36735</v>
      </c>
      <c r="S3433" t="s">
        <v>36736</v>
      </c>
      <c r="T3433" t="s">
        <v>36737</v>
      </c>
      <c r="U3433" t="s">
        <v>36738</v>
      </c>
      <c r="V3433">
        <f>-777.986978977491 -94.6184741717277 -72.6499223491896</f>
        <v>-945.2553754984084</v>
      </c>
      <c r="W3433" t="s">
        <v>36739</v>
      </c>
      <c r="X3433" t="s">
        <v>36740</v>
      </c>
      <c r="Y3433" t="s">
        <v>36741</v>
      </c>
    </row>
    <row r="3434" spans="1:25" x14ac:dyDescent="0.3">
      <c r="A3434">
        <v>171650</v>
      </c>
      <c r="B3434" t="s">
        <v>36742</v>
      </c>
      <c r="C3434">
        <f>-823.688295036208 -3.93510605287543 -76.6036147543149</f>
        <v>-904.22701584339836</v>
      </c>
      <c r="D3434">
        <f>-853.824707421914 -25.9416181322122 -186.256420216764</f>
        <v>-1066.0227457708902</v>
      </c>
      <c r="E3434">
        <f>-867.373023674483 -33.805253609067 -283.628224245539</f>
        <v>-1184.806501529089</v>
      </c>
      <c r="F3434">
        <f>-875.048157157286 -36.8159290737628 -372.342675037804</f>
        <v>-1284.2067612688529</v>
      </c>
      <c r="G3434">
        <f>-877.741686278111 -35.6399971182077 -461.391069272381</f>
        <v>-1374.7727526686997</v>
      </c>
      <c r="H3434">
        <f>-876.215726637888 -29.6729412848943 -585.821173518557</f>
        <v>-1491.7098414413392</v>
      </c>
      <c r="I3434">
        <f>-846.391377092292 -19.8215921080712 -662.75287888235</f>
        <v>-1528.9658480827134</v>
      </c>
      <c r="J3434">
        <f>-887.454142840082 -6.70715848376722 -529.967959829887</f>
        <v>-1424.1292611537363</v>
      </c>
      <c r="K3434" t="s">
        <v>36743</v>
      </c>
      <c r="L3434" t="s">
        <v>36744</v>
      </c>
      <c r="M3434" t="s">
        <v>36745</v>
      </c>
      <c r="N3434">
        <f>-866.320241451948 -57.8902409166001 -532.163373589479</f>
        <v>-1456.373855958027</v>
      </c>
      <c r="O3434">
        <f>-816.588301270691 -183.654244632051 -507.48152360556</f>
        <v>-1507.7240695083019</v>
      </c>
      <c r="P3434">
        <f>-810.031353248597 -218.071570410772 -215.311003325682</f>
        <v>-1243.4139269850511</v>
      </c>
      <c r="Q3434">
        <f>-673.049851690436 -49.2228124631971 -319.123173957238</f>
        <v>-1041.395838110871</v>
      </c>
      <c r="R3434" t="s">
        <v>36746</v>
      </c>
      <c r="S3434" t="s">
        <v>36747</v>
      </c>
      <c r="T3434" t="s">
        <v>36748</v>
      </c>
      <c r="U3434" t="s">
        <v>36749</v>
      </c>
      <c r="V3434">
        <f>-777.428865763478 -94.6532908932231 -72.6054676870871</f>
        <v>-944.68762434378823</v>
      </c>
      <c r="W3434" t="s">
        <v>36750</v>
      </c>
      <c r="X3434" t="s">
        <v>36751</v>
      </c>
      <c r="Y3434" t="s">
        <v>36752</v>
      </c>
    </row>
    <row r="3435" spans="1:25" x14ac:dyDescent="0.3">
      <c r="A3435">
        <v>171700</v>
      </c>
      <c r="B3435" t="s">
        <v>36753</v>
      </c>
      <c r="C3435">
        <f>-823.113774025332 -4.20357491089749 -76.5427887903538</f>
        <v>-903.86013772658328</v>
      </c>
      <c r="D3435">
        <f>-853.389380702232 -26.4702343252186 -186.104656482321</f>
        <v>-1065.9642715097716</v>
      </c>
      <c r="E3435">
        <f>-866.994226273728 -34.413795614322 -283.462148672542</f>
        <v>-1184.870170560592</v>
      </c>
      <c r="F3435">
        <f>-874.693336802125 -37.4367854534175 -372.174117033578</f>
        <v>-1284.3042392891207</v>
      </c>
      <c r="G3435">
        <f>-877.384378609345 -36.2095898805119 -461.221894740558</f>
        <v>-1374.8158632304148</v>
      </c>
      <c r="H3435">
        <f>-875.827840874776 -30.1029646041886 -585.644867449212</f>
        <v>-1491.5756729281766</v>
      </c>
      <c r="I3435">
        <f>-846.031398391634 -20.0877937570338 -662.566279173263</f>
        <v>-1528.6854713219307</v>
      </c>
      <c r="J3435">
        <f>-887.189001994261 -7.2449350132747 -529.772271776899</f>
        <v>-1424.2062087844347</v>
      </c>
      <c r="K3435" t="s">
        <v>36754</v>
      </c>
      <c r="L3435" t="s">
        <v>36755</v>
      </c>
      <c r="M3435" t="s">
        <v>36756</v>
      </c>
      <c r="N3435">
        <f>-865.836653594779 -58.3353301242877 -532.012647311405</f>
        <v>-1456.1846310304718</v>
      </c>
      <c r="O3435">
        <f>-815.530219808717 -183.887684435521 -507.446818988642</f>
        <v>-1506.8647232328799</v>
      </c>
      <c r="P3435">
        <f>-808.91881931644 -218.721616751151 -215.326800265489</f>
        <v>-1242.9672363330801</v>
      </c>
      <c r="Q3435">
        <f>-673.140624722641 -49.092208940429 -319.447092695033</f>
        <v>-1041.6799263581029</v>
      </c>
      <c r="R3435" t="s">
        <v>36757</v>
      </c>
      <c r="S3435" t="s">
        <v>36758</v>
      </c>
      <c r="T3435" t="s">
        <v>36759</v>
      </c>
      <c r="U3435" t="s">
        <v>36760</v>
      </c>
      <c r="V3435">
        <f>-776.678492435836 -94.8271424557269 -72.4370852456817</f>
        <v>-943.94272013724458</v>
      </c>
      <c r="W3435" t="s">
        <v>36761</v>
      </c>
      <c r="X3435" t="s">
        <v>36762</v>
      </c>
      <c r="Y3435" t="s">
        <v>36763</v>
      </c>
    </row>
    <row r="3436" spans="1:25" x14ac:dyDescent="0.3">
      <c r="A3436">
        <v>171750</v>
      </c>
      <c r="B3436" t="s">
        <v>36764</v>
      </c>
      <c r="C3436">
        <f>-822.74606980361 -4.46196163038849 -76.5210445591654</f>
        <v>-903.72907599316386</v>
      </c>
      <c r="D3436">
        <f>-853.064675164366 -26.8592407473425 -186.04431578367</f>
        <v>-1065.9682316953786</v>
      </c>
      <c r="E3436">
        <f>-866.729350417231 -34.8620545017429 -283.38861858147</f>
        <v>-1184.9800235004438</v>
      </c>
      <c r="F3436">
        <f>-874.491266696656 -37.915711863754 -372.094222619472</f>
        <v>-1284.5012011798822</v>
      </c>
      <c r="G3436">
        <f>-877.25383117204 -36.6954299299643 -461.139698913377</f>
        <v>-1375.0889600153814</v>
      </c>
      <c r="H3436">
        <f>-875.806694361466 -30.5721247879667 -585.563288053073</f>
        <v>-1491.9421072025057</v>
      </c>
      <c r="I3436">
        <f>-846.055185983431 -20.4800924231404 -662.492092534584</f>
        <v>-1529.0273709411554</v>
      </c>
      <c r="J3436">
        <f>-887.162831556528 -7.74003451360136 -529.679116207706</f>
        <v>-1424.5819822778353</v>
      </c>
      <c r="K3436" t="s">
        <v>36765</v>
      </c>
      <c r="L3436" t="s">
        <v>36766</v>
      </c>
      <c r="M3436" t="s">
        <v>36767</v>
      </c>
      <c r="N3436">
        <f>-865.724170833979 -58.7932829824686 -531.942230438784</f>
        <v>-1456.4596842552314</v>
      </c>
      <c r="O3436">
        <f>-815.142444590109 -184.240567873351 -507.411312189079</f>
        <v>-1506.794324652539</v>
      </c>
      <c r="P3436">
        <f>-808.166525152742 -219.205193329949 -215.315501892724</f>
        <v>-1242.6872203754151</v>
      </c>
      <c r="Q3436">
        <f>-672.981614465449 -49.0743127780319 -319.389551589847</f>
        <v>-1041.4454788333278</v>
      </c>
      <c r="R3436" t="s">
        <v>36768</v>
      </c>
      <c r="S3436" t="s">
        <v>36769</v>
      </c>
      <c r="T3436" t="s">
        <v>36770</v>
      </c>
      <c r="U3436" t="s">
        <v>36771</v>
      </c>
      <c r="V3436">
        <f>-776.229731823414 -95.0124894427389 -72.364547231251</f>
        <v>-943.60676849740389</v>
      </c>
      <c r="W3436" t="s">
        <v>36772</v>
      </c>
      <c r="X3436" t="s">
        <v>36773</v>
      </c>
      <c r="Y3436" t="s">
        <v>36774</v>
      </c>
    </row>
    <row r="3437" spans="1:25" x14ac:dyDescent="0.3">
      <c r="A3437">
        <v>171800</v>
      </c>
      <c r="B3437" t="s">
        <v>36775</v>
      </c>
      <c r="C3437">
        <f>-821.710907944622 -4.76956348505587 -76.4412095718271</f>
        <v>-902.92168100150502</v>
      </c>
      <c r="D3437">
        <f>-852.124467718524 -27.419460978834 -185.886207889091</f>
        <v>-1065.430136586449</v>
      </c>
      <c r="E3437">
        <f>-865.974513262174 -35.5965974220437 -283.189843403797</f>
        <v>-1184.7609540880148</v>
      </c>
      <c r="F3437">
        <f>-873.944078591015 -38.790273806492 -371.871944474099</f>
        <v>-1284.606296871606</v>
      </c>
      <c r="G3437">
        <f>-876.954209727996 -37.6906445031254 -460.911078567858</f>
        <v>-1375.5559327989795</v>
      </c>
      <c r="H3437">
        <f>-875.893438831581 -31.7146615611559 -585.345672331045</f>
        <v>-1492.9537727237819</v>
      </c>
      <c r="I3437">
        <f>-846.298788271324 -21.5612950295379 -662.326818628137</f>
        <v>-1530.1869019289989</v>
      </c>
      <c r="J3437">
        <f>-887.12914230322 -8.83873421004319 -529.455049507118</f>
        <v>-1425.4229260203811</v>
      </c>
      <c r="K3437" t="s">
        <v>36776</v>
      </c>
      <c r="L3437" t="s">
        <v>36777</v>
      </c>
      <c r="M3437" t="s">
        <v>36778</v>
      </c>
      <c r="N3437">
        <f>-865.591428409834 -59.8500635766678 -531.721304246638</f>
        <v>-1457.1627962331399</v>
      </c>
      <c r="O3437">
        <f>-814.666058929416 -185.178823289103 -507.28079516109</f>
        <v>-1507.125677379609</v>
      </c>
      <c r="P3437">
        <f>-807.093125624982 -220.021464735819 -215.185242944745</f>
        <v>-1242.2998333055459</v>
      </c>
      <c r="Q3437">
        <f>-672.511478258733 -49.4722058053035 -319.356312628635</f>
        <v>-1041.3399966926713</v>
      </c>
      <c r="R3437" t="s">
        <v>36779</v>
      </c>
      <c r="S3437" t="s">
        <v>36780</v>
      </c>
      <c r="T3437" t="s">
        <v>36781</v>
      </c>
      <c r="U3437" t="s">
        <v>36782</v>
      </c>
      <c r="V3437">
        <f>-775.10918902582 -94.9350499870703 -72.1592139359348</f>
        <v>-942.20345294882509</v>
      </c>
      <c r="W3437" t="s">
        <v>36783</v>
      </c>
      <c r="X3437" t="s">
        <v>36784</v>
      </c>
      <c r="Y3437" t="s">
        <v>36785</v>
      </c>
    </row>
    <row r="3438" spans="1:25" x14ac:dyDescent="0.3">
      <c r="A3438">
        <v>171850</v>
      </c>
      <c r="B3438" t="s">
        <v>36786</v>
      </c>
      <c r="C3438">
        <f>-821.046871218818 -4.82694865442568 -76.4387588027795</f>
        <v>-902.31257867602312</v>
      </c>
      <c r="D3438">
        <f>-851.517222455442 -27.5887572626502 -185.84476887314</f>
        <v>-1064.9507485912322</v>
      </c>
      <c r="E3438">
        <f>-865.50629912422 -35.8521367791377 -283.121036658308</f>
        <v>-1184.4794725616657</v>
      </c>
      <c r="F3438">
        <f>-873.636761720145 -39.1203006794622 -371.785922681785</f>
        <v>-1284.5429850813921</v>
      </c>
      <c r="G3438">
        <f>-876.842067798187 -38.0912627533965 -460.819201573354</f>
        <v>-1375.7525321249375</v>
      </c>
      <c r="H3438">
        <f>-876.08866967217 -32.2099865451974 -585.260536317183</f>
        <v>-1493.5591925345502</v>
      </c>
      <c r="I3438">
        <f>-846.607027952748 -22.0634357943236 -662.28582897471</f>
        <v>-1530.9562927217817</v>
      </c>
      <c r="J3438">
        <f>-887.191665014933 -9.29377812202824 -529.35977262469</f>
        <v>-1425.8452157616512</v>
      </c>
      <c r="K3438" t="s">
        <v>36787</v>
      </c>
      <c r="L3438" t="s">
        <v>36788</v>
      </c>
      <c r="M3438" t="s">
        <v>36789</v>
      </c>
      <c r="N3438">
        <f>-865.648761559894 -60.3023200962037 -531.640083217724</f>
        <v>-1457.5911648738218</v>
      </c>
      <c r="O3438">
        <f>-814.653864608495 -185.615433623474 -507.23989516811</f>
        <v>-1507.5091934000791</v>
      </c>
      <c r="P3438">
        <f>-806.557987579678 -220.264002941293 -215.135097805139</f>
        <v>-1241.9570883261099</v>
      </c>
      <c r="Q3438">
        <f>-672.154270163346 -49.5292435714159 -319.232025223296</f>
        <v>-1040.9155389580578</v>
      </c>
      <c r="R3438" t="s">
        <v>36790</v>
      </c>
      <c r="S3438" t="s">
        <v>36791</v>
      </c>
      <c r="T3438" t="s">
        <v>36792</v>
      </c>
      <c r="U3438" t="s">
        <v>36793</v>
      </c>
      <c r="V3438">
        <f>-774.348831421917 -94.8547897557452 -72.140946661389</f>
        <v>-941.34456783905114</v>
      </c>
      <c r="W3438" t="s">
        <v>36794</v>
      </c>
      <c r="X3438" t="s">
        <v>36795</v>
      </c>
      <c r="Y3438" t="s">
        <v>36796</v>
      </c>
    </row>
    <row r="3439" spans="1:25" x14ac:dyDescent="0.3">
      <c r="A3439">
        <v>171900</v>
      </c>
      <c r="B3439" t="s">
        <v>36797</v>
      </c>
      <c r="C3439">
        <f>-819.884685971471 -5.51827196307272 -76.4296860679514</f>
        <v>-901.83264400249504</v>
      </c>
      <c r="D3439">
        <f>-850.513526213507 -28.4073710530699 -185.764799397417</f>
        <v>-1064.6856966639939</v>
      </c>
      <c r="E3439">
        <f>-864.80777506231 -36.8148364179985 -282.984367213076</f>
        <v>-1184.6069786933845</v>
      </c>
      <c r="F3439">
        <f>-873.282066735482 -40.2272123510502 -371.611725853474</f>
        <v>-1285.1210049400061</v>
      </c>
      <c r="G3439">
        <f>-876.89809993441 -39.3551562650123 -460.630730444965</f>
        <v>-1376.8839866443873</v>
      </c>
      <c r="H3439">
        <f>-876.787860673655 -33.7052542122442 -585.085118320137</f>
        <v>-1495.5782332060362</v>
      </c>
      <c r="I3439">
        <f>-847.570016191267 -23.6679231345727 -662.22522881668</f>
        <v>-1533.4631681425196</v>
      </c>
      <c r="J3439">
        <f>-887.604958623835 -10.6864376512744 -529.1707027145</f>
        <v>-1427.4620989896093</v>
      </c>
      <c r="K3439" t="s">
        <v>36798</v>
      </c>
      <c r="L3439" t="s">
        <v>36799</v>
      </c>
      <c r="M3439" t="s">
        <v>36800</v>
      </c>
      <c r="N3439">
        <f>-866.06777730354 -61.696562734218 -531.467269171237</f>
        <v>-1459.231609208995</v>
      </c>
      <c r="O3439">
        <f>-814.896923463031 -186.94116208679 -507.138436276475</f>
        <v>-1508.976521826296</v>
      </c>
      <c r="P3439">
        <f>-805.870198268569 -221.251497922428 -215.021151096903</f>
        <v>-1242.1428472878999</v>
      </c>
      <c r="Q3439">
        <f>-671.287080271365 -50.2877839959115 -318.508645308979</f>
        <v>-1040.0835095762554</v>
      </c>
      <c r="R3439" t="s">
        <v>36801</v>
      </c>
      <c r="S3439" t="s">
        <v>36802</v>
      </c>
      <c r="T3439" t="s">
        <v>36803</v>
      </c>
      <c r="U3439" t="s">
        <v>36804</v>
      </c>
      <c r="V3439">
        <f>-773.3351086398 -95.5344453942737 -72.1446873815476</f>
        <v>-941.0142414156212</v>
      </c>
      <c r="W3439" t="s">
        <v>36805</v>
      </c>
      <c r="X3439" t="s">
        <v>36806</v>
      </c>
      <c r="Y3439" t="s">
        <v>36807</v>
      </c>
    </row>
    <row r="3440" spans="1:25" x14ac:dyDescent="0.3">
      <c r="A3440">
        <v>171950</v>
      </c>
      <c r="B3440" t="s">
        <v>36808</v>
      </c>
      <c r="C3440">
        <f>-819.337281091221 -5.77879493212504 -76.4228437350477</f>
        <v>-901.53891975839383</v>
      </c>
      <c r="D3440">
        <f>-850.091122942058 -28.7134217537755 -185.713440885671</f>
        <v>-1064.5179855815045</v>
      </c>
      <c r="E3440">
        <f>-864.5600110214 -37.1788966086001 -282.90203145141</f>
        <v>-1184.6409390814101</v>
      </c>
      <c r="F3440">
        <f>-873.219706964175 -40.6500797931942 -371.509013513915</f>
        <v>-1285.3788002712843</v>
      </c>
      <c r="G3440">
        <f>-877.048676817674 -39.8426081368395 -460.519856190373</f>
        <v>-1377.4111411448866</v>
      </c>
      <c r="H3440">
        <f>-877.264673242584 -34.2883384721076 -584.978348433351</f>
        <v>-1496.5313601480425</v>
      </c>
      <c r="I3440">
        <f>-848.203267948459 -24.3241876477937 -662.18708056498</f>
        <v>-1534.7145361612327</v>
      </c>
      <c r="J3440">
        <f>-887.940489878615 -11.2286604551207 -529.053494790157</f>
        <v>-1428.2226451238926</v>
      </c>
      <c r="K3440" t="s">
        <v>36809</v>
      </c>
      <c r="L3440" t="s">
        <v>36810</v>
      </c>
      <c r="M3440" t="s">
        <v>36811</v>
      </c>
      <c r="N3440">
        <f>-866.398843083192 -62.2362466740018 -531.367262442035</f>
        <v>-1460.0023521992289</v>
      </c>
      <c r="O3440">
        <f>-815.117931357331 -187.438930619827 -507.035967620721</f>
        <v>-1509.592829597879</v>
      </c>
      <c r="P3440">
        <f>-805.445245558789 -221.425388986106 -214.901509818138</f>
        <v>-1241.772144363033</v>
      </c>
      <c r="Q3440">
        <f>-670.912870465189 -50.3630947852014 -318.291892582263</f>
        <v>-1039.5678578326533</v>
      </c>
      <c r="R3440" t="s">
        <v>36812</v>
      </c>
      <c r="S3440" t="s">
        <v>36813</v>
      </c>
      <c r="T3440" t="s">
        <v>36814</v>
      </c>
      <c r="U3440" t="s">
        <v>36815</v>
      </c>
      <c r="V3440">
        <f>-772.831614170292 -95.6191932639468 -72.1449391992862</f>
        <v>-940.5957466335251</v>
      </c>
      <c r="W3440" t="s">
        <v>36816</v>
      </c>
      <c r="X3440" t="s">
        <v>36817</v>
      </c>
      <c r="Y3440" t="s">
        <v>36818</v>
      </c>
    </row>
    <row r="3441" spans="1:25" x14ac:dyDescent="0.3">
      <c r="A3441">
        <v>172000</v>
      </c>
      <c r="B3441" t="s">
        <v>36819</v>
      </c>
      <c r="C3441">
        <f>-818.291148397862 -6.38062042631486 -76.3987051102506</f>
        <v>-901.07047393442747</v>
      </c>
      <c r="D3441">
        <f>-849.214647640357 -29.3526987753451 -185.633526182355</f>
        <v>-1064.2008725980572</v>
      </c>
      <c r="E3441">
        <f>-863.948689951218 -37.9044968895796 -282.774822999796</f>
        <v>-1184.6280098405937</v>
      </c>
      <c r="F3441">
        <f>-872.898569841883 -41.4730168609933 -371.349129218645</f>
        <v>-1285.7207159215213</v>
      </c>
      <c r="G3441">
        <f>-877.069619523928 -40.7795904579496 -460.345479043704</f>
        <v>-1378.1946890255817</v>
      </c>
      <c r="H3441">
        <f>-877.817828390216 -35.3999545678835 -584.809579478556</f>
        <v>-1498.0273624366555</v>
      </c>
      <c r="I3441">
        <f>-849.041495305011 -25.5705031603804 -662.142271611825</f>
        <v>-1536.7542700772165</v>
      </c>
      <c r="J3441">
        <f>-888.270695915424 -12.2687639525736 -528.872147220672</f>
        <v>-1429.4116070886696</v>
      </c>
      <c r="K3441" t="s">
        <v>36820</v>
      </c>
      <c r="L3441" t="s">
        <v>36821</v>
      </c>
      <c r="M3441" t="s">
        <v>36822</v>
      </c>
      <c r="N3441">
        <f>-866.706446873379 -63.2657953474445 -531.206022578433</f>
        <v>-1461.1782647992566</v>
      </c>
      <c r="O3441">
        <f>-815.192962476546 -188.388263333452 -506.91218125112</f>
        <v>-1510.493407061118</v>
      </c>
      <c r="P3441">
        <f>-804.596995849361 -222.075426515756 -214.774894763765</f>
        <v>-1241.4473171288819</v>
      </c>
      <c r="Q3441">
        <f>-671.053072113987 -50.6159349911351 -318.787262105397</f>
        <v>-1040.4562692105192</v>
      </c>
      <c r="R3441" t="s">
        <v>36823</v>
      </c>
      <c r="S3441" t="s">
        <v>36824</v>
      </c>
      <c r="T3441" t="s">
        <v>36825</v>
      </c>
      <c r="U3441" t="s">
        <v>36826</v>
      </c>
      <c r="V3441">
        <f>-772.015658966335 -96.0663923986948 -72.1308275685999</f>
        <v>-940.21287893362967</v>
      </c>
      <c r="W3441" t="s">
        <v>36827</v>
      </c>
      <c r="X3441" t="s">
        <v>36828</v>
      </c>
      <c r="Y3441" t="s">
        <v>36829</v>
      </c>
    </row>
    <row r="3442" spans="1:25" x14ac:dyDescent="0.3">
      <c r="A3442">
        <v>172050</v>
      </c>
      <c r="B3442" t="s">
        <v>36830</v>
      </c>
      <c r="C3442">
        <f>-817.839368230358 -6.52253195147114 -76.3889733567385</f>
        <v>-900.75087353856759</v>
      </c>
      <c r="D3442">
        <f>-848.800349129725 -29.5028813767506 -185.611347597866</f>
        <v>-1063.9145781043414</v>
      </c>
      <c r="E3442">
        <f>-863.636990742718 -38.0712690261612 -282.735580970127</f>
        <v>-1184.4438407390062</v>
      </c>
      <c r="F3442">
        <f>-872.709287999175 -41.6570846517432 -371.296756897629</f>
        <v>-1285.6631295485472</v>
      </c>
      <c r="G3442">
        <f>-877.032441340598 -40.9828713240063 -460.285978817377</f>
        <v>-1378.3012914819813</v>
      </c>
      <c r="H3442">
        <f>-878.025134231371 -35.6305426897059 -584.74966678729</f>
        <v>-1498.4053437083669</v>
      </c>
      <c r="I3442">
        <f>-849.395373990594 -25.8266662632718 -662.139780619397</f>
        <v>-1537.3618208732628</v>
      </c>
      <c r="J3442">
        <f>-888.373309581743 -12.4891936069855 -528.796836101071</f>
        <v>-1429.6593392897994</v>
      </c>
      <c r="K3442" t="s">
        <v>36831</v>
      </c>
      <c r="L3442" t="s">
        <v>36832</v>
      </c>
      <c r="M3442" t="s">
        <v>36833</v>
      </c>
      <c r="N3442">
        <f>-866.803217428669 -63.482472125576 -531.161796899666</f>
        <v>-1461.4474864539111</v>
      </c>
      <c r="O3442">
        <f>-815.204794509448 -188.583844306873 -506.930329848689</f>
        <v>-1510.7189686650099</v>
      </c>
      <c r="P3442">
        <f>-804.160755339253 -222.455757293148 -214.831192012613</f>
        <v>-1241.447704645014</v>
      </c>
      <c r="Q3442">
        <f>-671.388022708343 -50.3890456988261 -318.828014534561</f>
        <v>-1040.60508294173</v>
      </c>
      <c r="R3442" t="s">
        <v>36834</v>
      </c>
      <c r="S3442" t="s">
        <v>36835</v>
      </c>
      <c r="T3442" t="s">
        <v>36836</v>
      </c>
      <c r="U3442" t="s">
        <v>36837</v>
      </c>
      <c r="V3442">
        <f>-771.618136248603 -96.0937051397593 -72.1013489186502</f>
        <v>-939.81319030701252</v>
      </c>
      <c r="W3442" t="s">
        <v>36838</v>
      </c>
      <c r="X3442" t="s">
        <v>36839</v>
      </c>
      <c r="Y3442" t="s">
        <v>36840</v>
      </c>
    </row>
    <row r="3443" spans="1:25" x14ac:dyDescent="0.3">
      <c r="A3443">
        <v>172100</v>
      </c>
      <c r="B3443" t="s">
        <v>36841</v>
      </c>
      <c r="C3443">
        <f>-816.978416164111 -6.90486686970826 -76.3359871879954</f>
        <v>-900.21927022181467</v>
      </c>
      <c r="D3443">
        <f>-848.032448281314 -29.9010589460306 -185.528759738503</f>
        <v>-1063.4622669658477</v>
      </c>
      <c r="E3443">
        <f>-863.08799489815 -38.494629013825 -282.616994145674</f>
        <v>-1184.1996180576491</v>
      </c>
      <c r="F3443">
        <f>-872.414820905666 -42.1071267522818 -371.150542026737</f>
        <v>-1285.6724896846849</v>
      </c>
      <c r="G3443">
        <f>-877.048943354943 -41.4630024226103 -460.124375760047</f>
        <v>-1378.6363215376005</v>
      </c>
      <c r="H3443">
        <f>-878.534122553208 -36.1553971017713 -584.585035887364</f>
        <v>-1499.2745555423435</v>
      </c>
      <c r="I3443">
        <f>-850.158415312279 -26.3752217767078 -662.071869308675</f>
        <v>-1538.6055063976619</v>
      </c>
      <c r="J3443">
        <f>-888.643406820194 -12.986552968654 -528.600048812214</f>
        <v>-1430.2300086010619</v>
      </c>
      <c r="K3443" t="s">
        <v>36842</v>
      </c>
      <c r="L3443" t="s">
        <v>36843</v>
      </c>
      <c r="M3443" t="s">
        <v>36844</v>
      </c>
      <c r="N3443">
        <f>-867.117710779037 -63.9953411582657 -531.032112030084</f>
        <v>-1462.1451639673867</v>
      </c>
      <c r="O3443">
        <f>-815.575700455582 -189.129062841994 -506.932161154069</f>
        <v>-1511.636924451645</v>
      </c>
      <c r="P3443">
        <f>-803.904985423144 -222.886287296868 -214.844036436802</f>
        <v>-1241.6353091568142</v>
      </c>
      <c r="Q3443">
        <f>-671.568238598868 -50.459106370287 -318.799602755348</f>
        <v>-1040.826947724503</v>
      </c>
      <c r="R3443" t="s">
        <v>36845</v>
      </c>
      <c r="S3443" t="s">
        <v>36846</v>
      </c>
      <c r="T3443" t="s">
        <v>36847</v>
      </c>
      <c r="U3443" t="s">
        <v>36848</v>
      </c>
      <c r="V3443">
        <f>-770.856708986666 -96.3991695749169 -72.0570249019809</f>
        <v>-939.31290346356377</v>
      </c>
      <c r="W3443" t="s">
        <v>36849</v>
      </c>
      <c r="X3443" t="s">
        <v>36850</v>
      </c>
      <c r="Y3443" t="s">
        <v>36851</v>
      </c>
    </row>
    <row r="3444" spans="1:25" x14ac:dyDescent="0.3">
      <c r="A3444">
        <v>172150</v>
      </c>
      <c r="B3444" t="s">
        <v>36852</v>
      </c>
      <c r="C3444">
        <f>-816.58843799107 -7.05010955624653 -76.2956074791059</f>
        <v>-899.93415502642245</v>
      </c>
      <c r="D3444">
        <f>-847.723510528337 -30.0547947043358 -185.463592695482</f>
        <v>-1063.2418979281547</v>
      </c>
      <c r="E3444">
        <f>-862.887758351054 -38.6674868178579 -282.533144624906</f>
        <v>-1184.0883897938179</v>
      </c>
      <c r="F3444">
        <f>-872.328303427507 -42.3017248920969 -371.053879831353</f>
        <v>-1285.683908150957</v>
      </c>
      <c r="G3444">
        <f>-877.091958548446 -41.6837198258977 -460.02108356917</f>
        <v>-1378.7967619435137</v>
      </c>
      <c r="H3444">
        <f>-878.773984901532 -36.4172430228944 -584.480825656993</f>
        <v>-1499.6720535814193</v>
      </c>
      <c r="I3444">
        <f>-850.48091544712 -26.654657489767 -662.000019001917</f>
        <v>-1539.1355919388041</v>
      </c>
      <c r="J3444">
        <f>-888.789248849891 -13.2277191125183 -528.487654970321</f>
        <v>-1430.5046229327304</v>
      </c>
      <c r="K3444" t="s">
        <v>36853</v>
      </c>
      <c r="L3444" t="s">
        <v>36854</v>
      </c>
      <c r="M3444" t="s">
        <v>36855</v>
      </c>
      <c r="N3444">
        <f>-867.278304167035 -64.2419177835052 -530.937031287731</f>
        <v>-1462.4572532382713</v>
      </c>
      <c r="O3444">
        <f>-815.70427454381 -189.376920496505 -506.883863726133</f>
        <v>-1511.965058766448</v>
      </c>
      <c r="P3444">
        <f>-803.571649764213 -223.23377413527 -214.826185931218</f>
        <v>-1241.6316098307011</v>
      </c>
      <c r="Q3444">
        <f>-671.677842992434 -50.35774693014 -318.598847662321</f>
        <v>-1040.6344375848951</v>
      </c>
      <c r="R3444" t="s">
        <v>36856</v>
      </c>
      <c r="S3444" t="s">
        <v>36857</v>
      </c>
      <c r="T3444" t="s">
        <v>36858</v>
      </c>
      <c r="U3444" t="s">
        <v>36859</v>
      </c>
      <c r="V3444">
        <f>-770.514885075383 -96.4561377986385 -72.0583536793994</f>
        <v>-939.02937655342078</v>
      </c>
      <c r="W3444" t="s">
        <v>36860</v>
      </c>
      <c r="X3444" t="s">
        <v>36861</v>
      </c>
      <c r="Y3444" t="s">
        <v>36862</v>
      </c>
    </row>
    <row r="3445" spans="1:25" x14ac:dyDescent="0.3">
      <c r="A3445">
        <v>172200</v>
      </c>
      <c r="B3445" t="s">
        <v>36863</v>
      </c>
      <c r="C3445">
        <f>-815.934878016151 -7.48185830666193 -76.2487688642657</f>
        <v>-899.66550518707857</v>
      </c>
      <c r="D3445">
        <f>-847.252123159998 -30.5108967811218 -185.359333180991</f>
        <v>-1063.1223531221108</v>
      </c>
      <c r="E3445">
        <f>-862.60938634536 -39.164087901418 -282.395127418078</f>
        <v>-1184.1686016648559</v>
      </c>
      <c r="F3445">
        <f>-872.239969054279 -42.8416057371155 -370.893381763728</f>
        <v>-1285.9749565551224</v>
      </c>
      <c r="G3445">
        <f>-877.208836106592 -42.2726301033724 -459.849774348016</f>
        <v>-1379.3312405579804</v>
      </c>
      <c r="H3445">
        <f>-879.193762445806 -37.079858564859 -584.308251536584</f>
        <v>-1500.5818725472491</v>
      </c>
      <c r="I3445">
        <f>-851.010127779099 -27.3559234867278 -661.87216078515</f>
        <v>-1540.2382120509767</v>
      </c>
      <c r="J3445">
        <f>-889.083371494075 -13.8616363424128 -528.304532944468</f>
        <v>-1431.2495407809556</v>
      </c>
      <c r="K3445" t="s">
        <v>36864</v>
      </c>
      <c r="L3445" t="s">
        <v>36865</v>
      </c>
      <c r="M3445" t="s">
        <v>36866</v>
      </c>
      <c r="N3445">
        <f>-867.557161187012 -64.8683686463961 -530.776006653951</f>
        <v>-1463.2015364873591</v>
      </c>
      <c r="O3445">
        <f>-815.877811049234 -189.976949910724 -506.801206040465</f>
        <v>-1512.6559670004231</v>
      </c>
      <c r="P3445">
        <f>-803.349101046685 -223.52219152101 -214.724289256747</f>
        <v>-1241.595581824442</v>
      </c>
      <c r="Q3445">
        <f>-671.040691289939 -50.9212577661178 -318.427137569927</f>
        <v>-1040.389086625984</v>
      </c>
      <c r="R3445" t="s">
        <v>36867</v>
      </c>
      <c r="S3445" t="s">
        <v>36868</v>
      </c>
      <c r="T3445" t="s">
        <v>36869</v>
      </c>
      <c r="U3445" t="s">
        <v>36870</v>
      </c>
      <c r="V3445">
        <f>-770.059439619876 -96.6876062586413 -72.0351397793381</f>
        <v>-938.78218565785539</v>
      </c>
      <c r="W3445" t="s">
        <v>36871</v>
      </c>
      <c r="X3445" t="s">
        <v>36872</v>
      </c>
      <c r="Y3445" t="s">
        <v>36873</v>
      </c>
    </row>
    <row r="3446" spans="1:25" x14ac:dyDescent="0.3">
      <c r="A3446">
        <v>172250</v>
      </c>
      <c r="B3446" t="s">
        <v>36874</v>
      </c>
      <c r="C3446">
        <f>-815.661953319983 -7.64300388706874 -76.24777382799</f>
        <v>-899.5527310350418</v>
      </c>
      <c r="D3446">
        <f>-847.02118751106 -30.6778896249639 -185.34512098859</f>
        <v>-1063.044198124614</v>
      </c>
      <c r="E3446">
        <f>-862.432766071655 -39.3464247740235 -282.370823136015</f>
        <v>-1184.1500139816935</v>
      </c>
      <c r="F3446">
        <f>-872.119186622002 -43.0426381196091 -370.862271448657</f>
        <v>-1286.0240961902682</v>
      </c>
      <c r="G3446">
        <f>-877.150811851777 -42.496589795697 -459.815300494589</f>
        <v>-1379.4627021420629</v>
      </c>
      <c r="H3446">
        <f>-879.230646407097 -37.3405212437269 -584.273841694423</f>
        <v>-1500.845009345247</v>
      </c>
      <c r="I3446">
        <f>-851.082640013687 -27.6398854060039 -661.85340912263</f>
        <v>-1540.5759345423207</v>
      </c>
      <c r="J3446">
        <f>-889.083919259078 -14.1085441634825 -528.269284942357</f>
        <v>-1431.4617483649176</v>
      </c>
      <c r="K3446" t="s">
        <v>36875</v>
      </c>
      <c r="L3446" t="s">
        <v>36876</v>
      </c>
      <c r="M3446" t="s">
        <v>36877</v>
      </c>
      <c r="N3446">
        <f>-867.546791753823 -65.1103876108609 -530.742236922864</f>
        <v>-1463.3994162875479</v>
      </c>
      <c r="O3446">
        <f>-815.823562562417 -190.209469645935 -506.784596275486</f>
        <v>-1512.817628483838</v>
      </c>
      <c r="P3446">
        <f>-803.209088722945 -223.65296906831 -214.699597935594</f>
        <v>-1241.561655726849</v>
      </c>
      <c r="Q3446">
        <f>-671.096187659048 -51.0172124862445 -318.59354300174</f>
        <v>-1040.7069431470325</v>
      </c>
      <c r="R3446" t="s">
        <v>36878</v>
      </c>
      <c r="S3446" t="s">
        <v>36879</v>
      </c>
      <c r="T3446" t="s">
        <v>36880</v>
      </c>
      <c r="U3446" t="s">
        <v>36881</v>
      </c>
      <c r="V3446">
        <f>-769.80086704803 -96.6638359547194 -72.058989336713</f>
        <v>-938.5236923394624</v>
      </c>
      <c r="W3446" t="s">
        <v>36882</v>
      </c>
      <c r="X3446" t="s">
        <v>36883</v>
      </c>
      <c r="Y3446" t="s">
        <v>36884</v>
      </c>
    </row>
    <row r="3447" spans="1:25" x14ac:dyDescent="0.3">
      <c r="A3447">
        <v>172300</v>
      </c>
      <c r="B3447" t="s">
        <v>36885</v>
      </c>
      <c r="C3447">
        <f>-815.259775194338 -7.7728936474798 -76.2094781166744</f>
        <v>-899.24214695849219</v>
      </c>
      <c r="D3447">
        <f>-846.670385726179 -30.854930841092 -185.282069652571</f>
        <v>-1062.8073862198421</v>
      </c>
      <c r="E3447">
        <f>-862.140225239761 -39.542135289664 -282.29684975907</f>
        <v>-1183.9792102884949</v>
      </c>
      <c r="F3447">
        <f>-871.883882765762 -43.2470083258161 -370.781688145987</f>
        <v>-1285.9125792375651</v>
      </c>
      <c r="G3447">
        <f>-876.976844249023 -42.7015575309588 -459.731093190231</f>
        <v>-1379.4094949702128</v>
      </c>
      <c r="H3447">
        <f>-879.14564721606 -37.5378001862828 -584.187812943998</f>
        <v>-1500.8712603463407</v>
      </c>
      <c r="I3447">
        <f>-851.055184102279 -27.8428633696772 -661.78905586765</f>
        <v>-1540.687103339606</v>
      </c>
      <c r="J3447">
        <f>-888.97895173157 -14.317590607275 -528.174991802156</f>
        <v>-1431.471534141001</v>
      </c>
      <c r="K3447" t="s">
        <v>36886</v>
      </c>
      <c r="L3447" t="s">
        <v>36887</v>
      </c>
      <c r="M3447" t="s">
        <v>36888</v>
      </c>
      <c r="N3447">
        <f>-867.403646233328 -65.3025919281408 -530.666305607496</f>
        <v>-1463.372543768965</v>
      </c>
      <c r="O3447">
        <f>-815.554579777566 -190.37027623499 -506.829045346869</f>
        <v>-1512.7539013594251</v>
      </c>
      <c r="P3447">
        <f>-802.924786023682 -224.400903608177 -214.812599334787</f>
        <v>-1242.1382889666459</v>
      </c>
      <c r="Q3447">
        <f>-671.437065688052 -51.2726807157353 -318.680348950434</f>
        <v>-1041.3900953542213</v>
      </c>
      <c r="R3447" t="s">
        <v>36889</v>
      </c>
      <c r="S3447" t="s">
        <v>36890</v>
      </c>
      <c r="T3447" t="s">
        <v>36891</v>
      </c>
      <c r="U3447" t="s">
        <v>36892</v>
      </c>
      <c r="V3447">
        <f>-769.409661112507 -96.5165650677934 -72.0634863183507</f>
        <v>-937.9897124986511</v>
      </c>
      <c r="W3447" t="s">
        <v>36893</v>
      </c>
      <c r="X3447" t="s">
        <v>36894</v>
      </c>
      <c r="Y3447" t="s">
        <v>36895</v>
      </c>
    </row>
    <row r="3448" spans="1:25" x14ac:dyDescent="0.3">
      <c r="A3448">
        <v>172350</v>
      </c>
      <c r="B3448" t="s">
        <v>36896</v>
      </c>
      <c r="C3448">
        <f>-815.067266227749 -7.74212996824917 -76.1691219428625</f>
        <v>-898.97851813886064</v>
      </c>
      <c r="D3448">
        <f>-846.506807613125 -30.850998657063 -185.227646159354</f>
        <v>-1062.5854524295421</v>
      </c>
      <c r="E3448">
        <f>-862.014435528045 -39.5384450531517 -282.236334873745</f>
        <v>-1183.7892154549418</v>
      </c>
      <c r="F3448">
        <f>-871.796630287499 -43.2340771520253 -370.717364280351</f>
        <v>-1285.7480717198753</v>
      </c>
      <c r="G3448">
        <f>-876.932396357477 -42.6701816972065 -459.664379908315</f>
        <v>-1379.2669579629987</v>
      </c>
      <c r="H3448">
        <f>-879.165397216997 -37.4707156682853 -584.11826198243</f>
        <v>-1500.7543748677122</v>
      </c>
      <c r="I3448">
        <f>-851.090255594309 -27.754437858709 -661.722422863748</f>
        <v>-1540.567116316766</v>
      </c>
      <c r="J3448">
        <f>-888.978402548927 -14.2702530545841 -528.09369432381</f>
        <v>-1431.3423499273213</v>
      </c>
      <c r="K3448" t="s">
        <v>36897</v>
      </c>
      <c r="L3448" t="s">
        <v>36898</v>
      </c>
      <c r="M3448" t="s">
        <v>36899</v>
      </c>
      <c r="N3448">
        <f>-867.387090664277 -65.2471009140626 -530.610813613549</f>
        <v>-1463.2450051918886</v>
      </c>
      <c r="O3448">
        <f>-815.509838864511 -190.30967428508 -506.80936243709</f>
        <v>-1512.628875586681</v>
      </c>
      <c r="P3448">
        <f>-802.835816855794 -224.288137084967 -214.788648815039</f>
        <v>-1241.9126027558</v>
      </c>
      <c r="Q3448">
        <f>-671.410919460635 -51.1716004099122 -318.755206135788</f>
        <v>-1041.3377260063353</v>
      </c>
      <c r="R3448" t="s">
        <v>36900</v>
      </c>
      <c r="S3448" t="s">
        <v>36901</v>
      </c>
      <c r="T3448" t="s">
        <v>36902</v>
      </c>
      <c r="U3448" t="s">
        <v>36903</v>
      </c>
      <c r="V3448">
        <f>-769.247077544067 -96.4066668102708 -72.0358678990588</f>
        <v>-937.6896122533966</v>
      </c>
      <c r="W3448" t="s">
        <v>36904</v>
      </c>
      <c r="X3448" t="s">
        <v>36905</v>
      </c>
      <c r="Y3448" t="s">
        <v>36906</v>
      </c>
    </row>
    <row r="3449" spans="1:25" x14ac:dyDescent="0.3">
      <c r="A3449">
        <v>172400</v>
      </c>
      <c r="B3449" t="s">
        <v>36907</v>
      </c>
      <c r="C3449">
        <f>-814.64370025459 -7.61197787104857 -76.1040775906168</f>
        <v>-898.35975571625545</v>
      </c>
      <c r="D3449">
        <f>-846.13176438076 -30.7521562699171 -185.141998061007</f>
        <v>-1062.0259187116842</v>
      </c>
      <c r="E3449">
        <f>-861.682205912864 -39.4575207286111 -282.142155559422</f>
        <v>-1183.2818822008971</v>
      </c>
      <c r="F3449">
        <f>-871.504407629109 -43.1647424115556 -370.618327386304</f>
        <v>-1285.2874774269685</v>
      </c>
      <c r="G3449">
        <f>-876.681613854906 -42.6064860260758 -459.562902062234</f>
        <v>-1378.8510019432158</v>
      </c>
      <c r="H3449">
        <f>-878.974587850665 -37.4080776136507 -584.015884519105</f>
        <v>-1500.3985499834207</v>
      </c>
      <c r="I3449">
        <f>-850.84569639322 -27.6638888854238 -661.596946876667</f>
        <v>-1540.1065321553108</v>
      </c>
      <c r="J3449">
        <f>-888.770649934421 -14.2114786527832 -527.986682970618</f>
        <v>-1430.9688115578222</v>
      </c>
      <c r="K3449" t="s">
        <v>36908</v>
      </c>
      <c r="L3449" t="s">
        <v>36909</v>
      </c>
      <c r="M3449" t="s">
        <v>36910</v>
      </c>
      <c r="N3449">
        <f>-867.160335041332 -65.1798916203527 -530.513713592678</f>
        <v>-1462.8539402543627</v>
      </c>
      <c r="O3449">
        <f>-815.217007656404 -190.211653691475 -506.717767056008</f>
        <v>-1512.1464284038871</v>
      </c>
      <c r="P3449">
        <f>-802.365468905328 -224.279376256783 -214.715372476797</f>
        <v>-1241.3602176389081</v>
      </c>
      <c r="Q3449">
        <f>-671.048878369568 -50.996777894683 -318.542179611478</f>
        <v>-1040.5878358757291</v>
      </c>
      <c r="R3449" t="s">
        <v>36911</v>
      </c>
      <c r="S3449" t="s">
        <v>36912</v>
      </c>
      <c r="T3449" t="s">
        <v>36913</v>
      </c>
      <c r="U3449" t="s">
        <v>36914</v>
      </c>
      <c r="V3449">
        <f>-768.890612264053 -96.1995967314514 -71.9656526452977</f>
        <v>-937.05586164080205</v>
      </c>
      <c r="W3449" t="s">
        <v>36915</v>
      </c>
      <c r="X3449" t="s">
        <v>36916</v>
      </c>
      <c r="Y3449" t="s">
        <v>36917</v>
      </c>
    </row>
    <row r="3450" spans="1:25" x14ac:dyDescent="0.3">
      <c r="A3450">
        <v>172450</v>
      </c>
      <c r="B3450" t="s">
        <v>36918</v>
      </c>
      <c r="C3450">
        <f>-814.431653270326 -7.48698269345914 -76.0659103449035</f>
        <v>-897.98454630868866</v>
      </c>
      <c r="D3450">
        <f>-845.934160090456 -30.6417268611549 -185.096372786609</f>
        <v>-1061.67225973822</v>
      </c>
      <c r="E3450">
        <f>-861.48204553802 -39.3463021009786 -282.097249773325</f>
        <v>-1182.9255974123237</v>
      </c>
      <c r="F3450">
        <f>-871.295961754211 -43.046258417829 -370.574621566698</f>
        <v>-1284.916841738738</v>
      </c>
      <c r="G3450">
        <f>-876.459363209373 -42.4744729858396 -459.519764527108</f>
        <v>-1378.4536007223205</v>
      </c>
      <c r="H3450">
        <f>-878.72725648036 -37.2501379132402 -583.972179213984</f>
        <v>-1499.9495736075842</v>
      </c>
      <c r="I3450">
        <f>-850.559738175672 -27.4790008801835 -661.535944533846</f>
        <v>-1539.5746835897016</v>
      </c>
      <c r="J3450">
        <f>-888.541957173784 -14.0683863329798 -527.940131211548</f>
        <v>-1430.5504747183118</v>
      </c>
      <c r="K3450" t="s">
        <v>36919</v>
      </c>
      <c r="L3450" t="s">
        <v>36920</v>
      </c>
      <c r="M3450" t="s">
        <v>36921</v>
      </c>
      <c r="N3450">
        <f>-866.916454986168 -65.029913050275 -530.473480957214</f>
        <v>-1462.4198489936571</v>
      </c>
      <c r="O3450">
        <f>-814.922305378048 -190.04728223431 -506.68919176757</f>
        <v>-1511.6587793799281</v>
      </c>
      <c r="P3450">
        <f>-802.164011686929 -224.15627157541 -214.687418808051</f>
        <v>-1241.00770207039</v>
      </c>
      <c r="Q3450">
        <f>-670.780056008562 -50.793972001413 -318.295544915256</f>
        <v>-1039.8695729252311</v>
      </c>
      <c r="R3450" t="s">
        <v>36922</v>
      </c>
      <c r="S3450" t="s">
        <v>36923</v>
      </c>
      <c r="T3450" t="s">
        <v>36924</v>
      </c>
      <c r="U3450" t="s">
        <v>36925</v>
      </c>
      <c r="V3450">
        <f>-768.69096295143 -95.9142657878538 -71.9277896339865</f>
        <v>-936.53301837327035</v>
      </c>
      <c r="W3450" t="s">
        <v>36926</v>
      </c>
      <c r="X3450" t="s">
        <v>36927</v>
      </c>
      <c r="Y3450" t="s">
        <v>36928</v>
      </c>
    </row>
    <row r="3451" spans="1:25" x14ac:dyDescent="0.3">
      <c r="A3451">
        <v>172500</v>
      </c>
      <c r="B3451" t="s">
        <v>36929</v>
      </c>
      <c r="C3451">
        <f>-814.103716727834 -7.31464658041477 -76.0115665616003</f>
        <v>-897.42992986984905</v>
      </c>
      <c r="D3451">
        <f>-845.647625758231 -30.4767110614796 -185.02867421116</f>
        <v>-1061.1530110308706</v>
      </c>
      <c r="E3451">
        <f>-861.183706064454 -39.1804517691864 -282.031328064303</f>
        <v>-1182.3954858979434</v>
      </c>
      <c r="F3451">
        <f>-870.968575743979 -42.8760255637217 -370.51202106359</f>
        <v>-1284.3566223712908</v>
      </c>
      <c r="G3451">
        <f>-876.084620549388 -42.2951799441719 -459.460017411208</f>
        <v>-1377.8398179047679</v>
      </c>
      <c r="H3451">
        <f>-878.268381741522 -37.0531310475142 -583.912994148404</f>
        <v>-1499.2345069374401</v>
      </c>
      <c r="I3451">
        <f>-850.015684994422 -27.2459347024151 -661.441395949611</f>
        <v>-1538.703015646448</v>
      </c>
      <c r="J3451">
        <f>-888.126527483954 -13.88164848774 -527.884431168616</f>
        <v>-1429.8926071403098</v>
      </c>
      <c r="K3451" t="s">
        <v>36930</v>
      </c>
      <c r="L3451" t="s">
        <v>36931</v>
      </c>
      <c r="M3451" t="s">
        <v>36932</v>
      </c>
      <c r="N3451">
        <f>-866.488335582104 -64.838219570568 -530.410403527005</f>
        <v>-1461.7369586796769</v>
      </c>
      <c r="O3451">
        <f>-814.413726865893 -189.820483321095 -506.622574090826</f>
        <v>-1510.8567842778139</v>
      </c>
      <c r="P3451">
        <f>-802.061131411021 -223.967139799619 -214.607904751929</f>
        <v>-1240.636175962569</v>
      </c>
      <c r="Q3451">
        <f>-670.526347713172 -50.6427873910608 -318.087808232587</f>
        <v>-1039.2569433368199</v>
      </c>
      <c r="R3451" t="s">
        <v>36933</v>
      </c>
      <c r="S3451" t="s">
        <v>36934</v>
      </c>
      <c r="T3451" t="s">
        <v>36935</v>
      </c>
      <c r="U3451" t="s">
        <v>36936</v>
      </c>
      <c r="V3451">
        <f>-768.475505079344 -95.6542486898505 -71.840499857885</f>
        <v>-935.9702536270795</v>
      </c>
      <c r="W3451" t="s">
        <v>36937</v>
      </c>
      <c r="X3451" t="s">
        <v>36938</v>
      </c>
      <c r="Y3451" t="s">
        <v>36939</v>
      </c>
    </row>
    <row r="3452" spans="1:25" x14ac:dyDescent="0.3">
      <c r="A3452">
        <v>172550</v>
      </c>
      <c r="B3452" t="s">
        <v>36940</v>
      </c>
      <c r="C3452">
        <f>-813.900762484394 -7.11769586923219 -76.0085601862328</f>
        <v>-897.027018539859</v>
      </c>
      <c r="D3452">
        <f>-845.439884292671 -30.274172236059 -185.028170792266</f>
        <v>-1060.7422273209959</v>
      </c>
      <c r="E3452">
        <f>-860.967529252139 -38.9745715687668 -282.032544960427</f>
        <v>-1181.9746457813328</v>
      </c>
      <c r="F3452">
        <f>-870.742866965117 -42.6677895812736 -370.51448380821</f>
        <v>-1283.9251403546004</v>
      </c>
      <c r="G3452">
        <f>-875.847551624147 -42.0858290941587 -459.463148686205</f>
        <v>-1377.3965294045106</v>
      </c>
      <c r="H3452">
        <f>-878.01311215353 -36.8433937512807 -583.916404290214</f>
        <v>-1498.7729101950247</v>
      </c>
      <c r="I3452">
        <f>-849.722117919708 -27.0259003283093 -661.429412493866</f>
        <v>-1538.1774307418832</v>
      </c>
      <c r="J3452">
        <f>-887.874932166229 -13.6701644046659 -527.889099557983</f>
        <v>-1429.4341961288778</v>
      </c>
      <c r="K3452" t="s">
        <v>36941</v>
      </c>
      <c r="L3452" t="s">
        <v>36942</v>
      </c>
      <c r="M3452" t="s">
        <v>36943</v>
      </c>
      <c r="N3452">
        <f>-866.245265206902 -64.6305937585262 -530.412114040493</f>
        <v>-1461.2879730059212</v>
      </c>
      <c r="O3452">
        <f>-814.187383410591 -189.618487413406 -506.622585236597</f>
        <v>-1510.428456060594</v>
      </c>
      <c r="P3452">
        <f>-801.816824728246 -223.829064374421 -214.615902361955</f>
        <v>-1240.2617914646221</v>
      </c>
      <c r="Q3452">
        <f>-670.266807425851 -50.5264921286609 -318.112911802935</f>
        <v>-1038.9062113574469</v>
      </c>
      <c r="R3452" t="s">
        <v>36944</v>
      </c>
      <c r="S3452" t="s">
        <v>36945</v>
      </c>
      <c r="T3452" t="s">
        <v>36946</v>
      </c>
      <c r="U3452" t="s">
        <v>36947</v>
      </c>
      <c r="V3452">
        <f>-768.28264205857 -95.3767070831982 -71.8480274964085</f>
        <v>-935.50737663817665</v>
      </c>
      <c r="W3452" t="s">
        <v>36948</v>
      </c>
      <c r="X3452" t="s">
        <v>36949</v>
      </c>
      <c r="Y3452" t="s">
        <v>36950</v>
      </c>
    </row>
    <row r="3453" spans="1:25" x14ac:dyDescent="0.3">
      <c r="A3453">
        <v>172600</v>
      </c>
      <c r="B3453" t="s">
        <v>36951</v>
      </c>
      <c r="C3453">
        <f>-813.512066900213 -6.72549444664946 -76.0295785057536</f>
        <v>-896.26713985261608</v>
      </c>
      <c r="D3453">
        <f>-845.035468655205 -29.8224822493069 -185.066280029702</f>
        <v>-1059.9242309342139</v>
      </c>
      <c r="E3453">
        <f>-860.558768149216 -38.487277639158 -282.074607557841</f>
        <v>-1181.120653346215</v>
      </c>
      <c r="F3453">
        <f>-870.333661116247 -42.1557393689977 -370.557655026285</f>
        <v>-1283.0470555115296</v>
      </c>
      <c r="G3453">
        <f>-875.440933670729 -41.5568664192256 -459.505909260383</f>
        <v>-1376.5037093503377</v>
      </c>
      <c r="H3453">
        <f>-877.61303078246 -36.299882684571 -583.958558531396</f>
        <v>-1497.8714719984268</v>
      </c>
      <c r="I3453">
        <f>-849.257212563552 -26.4647515111842 -661.445672031037</f>
        <v>-1537.1676361057732</v>
      </c>
      <c r="J3453">
        <f>-887.466390287179 -13.1307605176114 -527.928028092521</f>
        <v>-1428.5251788973114</v>
      </c>
      <c r="K3453" t="s">
        <v>36952</v>
      </c>
      <c r="L3453" t="s">
        <v>36953</v>
      </c>
      <c r="M3453" t="s">
        <v>36954</v>
      </c>
      <c r="N3453">
        <f>-865.848049436417 -64.0956747057097 -530.458112559868</f>
        <v>-1460.4018367019949</v>
      </c>
      <c r="O3453">
        <f>-813.834742412882 -189.107851163343 -506.705775739262</f>
        <v>-1509.6483693154869</v>
      </c>
      <c r="P3453">
        <f>-801.344113396101 -223.321847761423 -214.704793293991</f>
        <v>-1239.370754451515</v>
      </c>
      <c r="Q3453">
        <f>-669.501374809072 -50.2763687868403 -318.259759000522</f>
        <v>-1038.0375025964343</v>
      </c>
      <c r="R3453" t="s">
        <v>36955</v>
      </c>
      <c r="S3453" t="s">
        <v>36956</v>
      </c>
      <c r="T3453" t="s">
        <v>36957</v>
      </c>
      <c r="U3453" t="s">
        <v>36958</v>
      </c>
      <c r="V3453">
        <f>-767.953022630364 -94.8273650721613 -71.9316639143034</f>
        <v>-934.71205161682872</v>
      </c>
      <c r="W3453" t="s">
        <v>36959</v>
      </c>
      <c r="X3453" t="s">
        <v>36960</v>
      </c>
      <c r="Y3453" t="s">
        <v>36961</v>
      </c>
    </row>
    <row r="3454" spans="1:25" x14ac:dyDescent="0.3">
      <c r="A3454">
        <v>172650</v>
      </c>
      <c r="B3454" t="s">
        <v>36962</v>
      </c>
      <c r="C3454">
        <f>-813.386599188331 -6.56309454766597 -76.0398820972025</f>
        <v>-895.98957583319952</v>
      </c>
      <c r="D3454">
        <f>-844.880954332242 -29.6283969200606 -185.091812020531</f>
        <v>-1059.6011632728337</v>
      </c>
      <c r="E3454">
        <f>-860.386065247376 -38.2733716734058 -282.104680040646</f>
        <v>-1180.7641169614278</v>
      </c>
      <c r="F3454">
        <f>-870.147064409207 -41.9273663775164 -370.58978797671</f>
        <v>-1282.6642187634334</v>
      </c>
      <c r="G3454">
        <f>-875.243034806147 -41.3178510043097 -459.538696941259</f>
        <v>-1376.0995827517156</v>
      </c>
      <c r="H3454">
        <f>-877.402083472421 -36.0499903196753 -583.991090238394</f>
        <v>-1497.4431640304904</v>
      </c>
      <c r="I3454">
        <f>-849.024823395452 -26.2108949737139 -661.469763975841</f>
        <v>-1536.7054823450071</v>
      </c>
      <c r="J3454">
        <f>-887.263217541935 -12.8866818846766 -527.959535305125</f>
        <v>-1428.1094347317367</v>
      </c>
      <c r="K3454" t="s">
        <v>36963</v>
      </c>
      <c r="L3454" t="s">
        <v>36964</v>
      </c>
      <c r="M3454" t="s">
        <v>36965</v>
      </c>
      <c r="N3454">
        <f>-865.640885300787 -63.849651027957 -530.491883804087</f>
        <v>-1459.9824201328311</v>
      </c>
      <c r="O3454">
        <f>-813.602548669863 -188.852089615427 -506.768516607166</f>
        <v>-1509.223154892456</v>
      </c>
      <c r="P3454">
        <f>-801.104905436982 -223.123061700791 -214.774574496252</f>
        <v>-1239.002541634025</v>
      </c>
      <c r="Q3454">
        <f>-669.187966046973 -50.1398418316606 -318.339043580609</f>
        <v>-1037.6668514592425</v>
      </c>
      <c r="R3454" t="s">
        <v>36966</v>
      </c>
      <c r="S3454" t="s">
        <v>36967</v>
      </c>
      <c r="T3454" t="s">
        <v>36968</v>
      </c>
      <c r="U3454" t="s">
        <v>36969</v>
      </c>
      <c r="V3454">
        <f>-767.836978048397 -94.5801472526706 -71.9709552293127</f>
        <v>-934.38808053038031</v>
      </c>
      <c r="W3454" t="s">
        <v>36970</v>
      </c>
      <c r="X3454" t="s">
        <v>36971</v>
      </c>
      <c r="Y3454" t="s">
        <v>36972</v>
      </c>
    </row>
    <row r="3455" spans="1:25" x14ac:dyDescent="0.3">
      <c r="A3455">
        <v>172700</v>
      </c>
      <c r="B3455" t="s">
        <v>36973</v>
      </c>
      <c r="C3455">
        <f>-813.093906064884 -6.33463895490399 -76.0190322782056</f>
        <v>-895.44757729799358</v>
      </c>
      <c r="D3455">
        <f>-844.517147249319 -29.346250273263 -185.102737302129</f>
        <v>-1058.9661348247109</v>
      </c>
      <c r="E3455">
        <f>-859.934790670686 -37.9248409802499 -282.135554879301</f>
        <v>-1179.9951865302369</v>
      </c>
      <c r="F3455">
        <f>-869.606214563922 -41.5113296291888 -370.633260363316</f>
        <v>-1281.7508045564268</v>
      </c>
      <c r="G3455">
        <f>-874.602296064489 -40.8261297176416 -459.587262957879</f>
        <v>-1375.0156887400096</v>
      </c>
      <c r="H3455">
        <f>-876.611471423897 -35.4447361594771 -584.037279389465</f>
        <v>-1496.0934869728389</v>
      </c>
      <c r="I3455">
        <f>-848.17724834782 -25.5397749082031 -661.486684755701</f>
        <v>-1535.2037080117241</v>
      </c>
      <c r="J3455">
        <f>-886.559211467934 -12.3406525305877 -527.9967317176</f>
        <v>-1426.8965957161217</v>
      </c>
      <c r="K3455" t="s">
        <v>36974</v>
      </c>
      <c r="L3455" t="s">
        <v>36975</v>
      </c>
      <c r="M3455" t="s">
        <v>36976</v>
      </c>
      <c r="N3455">
        <f>-864.89555656864 -63.2851139408911 -530.549303121147</f>
        <v>-1458.7299736306782</v>
      </c>
      <c r="O3455">
        <f>-812.756357450765 -188.259756390678 -506.862516881791</f>
        <v>-1507.878630723234</v>
      </c>
      <c r="P3455">
        <f>-800.374185813152 -222.66103817847 -214.878830665324</f>
        <v>-1237.9140546569461</v>
      </c>
      <c r="Q3455">
        <f>-668.416930855802 -49.5852200712043 -318.236939590701</f>
        <v>-1036.2390905177072</v>
      </c>
      <c r="R3455" t="s">
        <v>36977</v>
      </c>
      <c r="S3455" t="s">
        <v>36978</v>
      </c>
      <c r="T3455" t="s">
        <v>36979</v>
      </c>
      <c r="U3455" t="s">
        <v>36980</v>
      </c>
      <c r="V3455">
        <f>-767.58878267162 -94.3164267109922 -71.967372074318</f>
        <v>-933.87258145693022</v>
      </c>
      <c r="W3455" t="s">
        <v>36981</v>
      </c>
      <c r="X3455" t="s">
        <v>36982</v>
      </c>
      <c r="Y3455" t="s">
        <v>36983</v>
      </c>
    </row>
    <row r="3456" spans="1:25" x14ac:dyDescent="0.3">
      <c r="A3456">
        <v>172750</v>
      </c>
      <c r="B3456" t="s">
        <v>36984</v>
      </c>
      <c r="C3456">
        <f>-812.946458231076 -6.21781916785289 -76.0091367601535</f>
        <v>-895.17341415908243</v>
      </c>
      <c r="D3456">
        <f>-844.334772741338 -29.206884198604 -185.107747087899</f>
        <v>-1058.649404027841</v>
      </c>
      <c r="E3456">
        <f>-859.692533076735 -37.7495360207338 -282.153186787628</f>
        <v>-1179.5952558850968</v>
      </c>
      <c r="F3456">
        <f>-869.29813248466 -41.2966800922816 -370.659650982491</f>
        <v>-1281.2544635594325</v>
      </c>
      <c r="G3456">
        <f>-874.217096877671 -40.5653861553928 -459.617595678049</f>
        <v>-1374.4000787111129</v>
      </c>
      <c r="H3456">
        <f>-876.106688176102 -35.1119353803274 -584.066341060551</f>
        <v>-1495.2849646169805</v>
      </c>
      <c r="I3456">
        <f>-847.626189687488 -25.1483546352451 -661.491181493737</f>
        <v>-1534.2657258164702</v>
      </c>
      <c r="J3456">
        <f>-886.120511020348 -12.0454828794227 -528.021954727114</f>
        <v>-1426.1879486268847</v>
      </c>
      <c r="K3456" t="s">
        <v>36985</v>
      </c>
      <c r="L3456" t="s">
        <v>36986</v>
      </c>
      <c r="M3456" t="s">
        <v>36987</v>
      </c>
      <c r="N3456">
        <f>-864.429924224227 -62.9780236644998 -530.583211257379</f>
        <v>-1457.9911591461059</v>
      </c>
      <c r="O3456">
        <f>-812.208440551664 -187.918048150167 -506.896357729366</f>
        <v>-1507.022846431197</v>
      </c>
      <c r="P3456">
        <f>-799.847726953003 -222.471533772392 -214.929832149423</f>
        <v>-1237.249092874818</v>
      </c>
      <c r="Q3456">
        <f>-668.124318587352 -49.1373026215854 -318.153023045715</f>
        <v>-1035.4146442546523</v>
      </c>
      <c r="R3456" t="s">
        <v>36988</v>
      </c>
      <c r="S3456" t="s">
        <v>36989</v>
      </c>
      <c r="T3456" t="s">
        <v>36990</v>
      </c>
      <c r="U3456" t="s">
        <v>36991</v>
      </c>
      <c r="V3456">
        <f>-767.451085811012 -94.1568425759517 -71.9615397870748</f>
        <v>-933.56946817403855</v>
      </c>
      <c r="W3456" t="s">
        <v>36992</v>
      </c>
      <c r="X3456" t="s">
        <v>36993</v>
      </c>
      <c r="Y3456" t="s">
        <v>36994</v>
      </c>
    </row>
    <row r="3457" spans="1:25" x14ac:dyDescent="0.3">
      <c r="A3457">
        <v>172800</v>
      </c>
      <c r="B3457" t="s">
        <v>36995</v>
      </c>
      <c r="C3457">
        <f>-812.596643542729 -5.71552812559594 -76.0083306857429</f>
        <v>-894.3205023540678</v>
      </c>
      <c r="D3457">
        <f>-843.937538580162 -28.6648691903074 -185.128872340241</f>
        <v>-1057.7312801107105</v>
      </c>
      <c r="E3457">
        <f>-859.198580601788 -37.126103384101 -282.196662382756</f>
        <v>-1178.521346368645</v>
      </c>
      <c r="F3457">
        <f>-868.693936613396 -40.5804338069909 -370.718774671637</f>
        <v>-1279.993145092024</v>
      </c>
      <c r="G3457">
        <f>-873.479716949129 -39.7368535555381 -459.682892493552</f>
        <v>-1372.8994629982192</v>
      </c>
      <c r="H3457">
        <f>-875.160330980019 -34.1064278373776 -584.126888133587</f>
        <v>-1493.3936469509836</v>
      </c>
      <c r="I3457">
        <f>-846.577957879317 -23.9961604689156 -661.495090697568</f>
        <v>-1532.0692090458006</v>
      </c>
      <c r="J3457">
        <f>-885.29535616788 -11.1311166521641 -528.066755960999</f>
        <v>-1424.4932287810429</v>
      </c>
      <c r="K3457" t="s">
        <v>36996</v>
      </c>
      <c r="L3457" t="s">
        <v>36997</v>
      </c>
      <c r="M3457" t="s">
        <v>36998</v>
      </c>
      <c r="N3457">
        <f>-863.546350795313 -62.0370014709852 -530.663693425054</f>
        <v>-1456.247045691352</v>
      </c>
      <c r="O3457">
        <f>-811.209106837633 -186.936437151236 -507.027938007669</f>
        <v>-1505.1734819965379</v>
      </c>
      <c r="P3457">
        <f>-799.17275869934 -221.730221996339 -215.076467885868</f>
        <v>-1235.9794485815469</v>
      </c>
      <c r="Q3457">
        <f>-667.291704162563 -48.3249330793258 -317.97860123307</f>
        <v>-1033.5952384749587</v>
      </c>
      <c r="R3457" t="s">
        <v>36999</v>
      </c>
      <c r="S3457" t="s">
        <v>37000</v>
      </c>
      <c r="T3457" t="s">
        <v>37001</v>
      </c>
      <c r="U3457" t="s">
        <v>37002</v>
      </c>
      <c r="V3457">
        <f>-767.093348206417 -93.4051795922863 -71.967709184269</f>
        <v>-932.4662369829723</v>
      </c>
      <c r="W3457" t="s">
        <v>37003</v>
      </c>
      <c r="X3457" t="s">
        <v>37004</v>
      </c>
      <c r="Y3457" t="s">
        <v>37005</v>
      </c>
    </row>
    <row r="3458" spans="1:25" x14ac:dyDescent="0.3">
      <c r="A3458">
        <v>172850</v>
      </c>
      <c r="B3458" t="s">
        <v>37006</v>
      </c>
      <c r="C3458">
        <f>-812.432198783458 -5.54080196488121 -76.0094841105562</f>
        <v>-893.98248485889542</v>
      </c>
      <c r="D3458">
        <f>-843.740003333518 -28.4694923806273 -185.143965363122</f>
        <v>-1057.3534610772672</v>
      </c>
      <c r="E3458">
        <f>-858.951170181809 -36.8901739811704 -282.223163008445</f>
        <v>-1178.0645071714243</v>
      </c>
      <c r="F3458">
        <f>-868.39225918242 -40.2988040558757 -370.752685689327</f>
        <v>-1279.4437489276229</v>
      </c>
      <c r="G3458">
        <f>-873.115257140427 -39.4005320165747 -459.71972152464</f>
        <v>-1372.2355106816417</v>
      </c>
      <c r="H3458">
        <f>-874.698690366238 -33.6844025264677 -584.160896802379</f>
        <v>-1492.5439896950847</v>
      </c>
      <c r="I3458">
        <f>-846.06701871234 -23.4980228166967 -661.501157311271</f>
        <v>-1531.0661988403076</v>
      </c>
      <c r="J3458">
        <f>-884.889893789278 -10.7530395111366 -528.093085867099</f>
        <v>-1423.7360191675136</v>
      </c>
      <c r="K3458" t="s">
        <v>37007</v>
      </c>
      <c r="L3458" t="s">
        <v>37008</v>
      </c>
      <c r="M3458" t="s">
        <v>37009</v>
      </c>
      <c r="N3458">
        <f>-863.114022800762 -61.6465026739805 -530.708004141201</f>
        <v>-1455.4685296159435</v>
      </c>
      <c r="O3458">
        <f>-810.737894324878 -186.543004146192 -507.106545807544</f>
        <v>-1504.3874442786141</v>
      </c>
      <c r="P3458">
        <f>-798.832791796013 -221.517084364562 -215.171135368331</f>
        <v>-1235.521011528906</v>
      </c>
      <c r="Q3458">
        <f>-666.985981192763 -48.0249976243895 -317.971070175873</f>
        <v>-1032.9820489930255</v>
      </c>
      <c r="R3458" t="s">
        <v>37010</v>
      </c>
      <c r="S3458" t="s">
        <v>37011</v>
      </c>
      <c r="T3458" t="s">
        <v>37012</v>
      </c>
      <c r="U3458" t="s">
        <v>37013</v>
      </c>
      <c r="V3458">
        <f>-766.904374903785 -93.2637222224857 -71.991572137576</f>
        <v>-932.15966926384669</v>
      </c>
      <c r="W3458" t="s">
        <v>37014</v>
      </c>
      <c r="X3458" t="s">
        <v>37015</v>
      </c>
      <c r="Y3458" t="s">
        <v>37016</v>
      </c>
    </row>
    <row r="3459" spans="1:25" x14ac:dyDescent="0.3">
      <c r="A3459">
        <v>172900</v>
      </c>
      <c r="B3459" t="s">
        <v>37017</v>
      </c>
      <c r="C3459">
        <f>-812.065713136845 -5.30478889812207 -76.0317781529346</f>
        <v>-893.40228018790174</v>
      </c>
      <c r="D3459">
        <f>-843.283074399855 -28.1925495353335 -185.200658741267</f>
        <v>-1056.6762826764555</v>
      </c>
      <c r="E3459">
        <f>-858.369198219869 -36.516725015154 -282.307718967936</f>
        <v>-1177.1936422029589</v>
      </c>
      <c r="F3459">
        <f>-867.67741644483 -39.813856928238 -370.855602703679</f>
        <v>-1278.3468760767469</v>
      </c>
      <c r="G3459">
        <f>-872.247609457459 -38.7802222695889 -459.829083162088</f>
        <v>-1370.8569148891359</v>
      </c>
      <c r="H3459">
        <f>-873.596596620196 -32.8505309795353 -584.263259827905</f>
        <v>-1490.7103874276363</v>
      </c>
      <c r="I3459">
        <f>-844.854409997869 -22.532349854903 -661.54474392257</f>
        <v>-1528.931503775342</v>
      </c>
      <c r="J3459">
        <f>-883.903914268693 -10.0199468450178 -528.175491411298</f>
        <v>-1422.0993525250087</v>
      </c>
      <c r="K3459" t="s">
        <v>37018</v>
      </c>
      <c r="L3459" t="s">
        <v>37019</v>
      </c>
      <c r="M3459" t="s">
        <v>37020</v>
      </c>
      <c r="N3459">
        <f>-862.101996328989 -60.8997813662602 -530.836370839851</f>
        <v>-1453.8381485351001</v>
      </c>
      <c r="O3459">
        <f>-809.739058990865 -185.818508557634 -507.364031930553</f>
        <v>-1502.921599479052</v>
      </c>
      <c r="P3459">
        <f>-798.002766344778 -221.634463445308 -215.523863271034</f>
        <v>-1235.16109306112</v>
      </c>
      <c r="Q3459">
        <f>-666.946548779361 -47.4417846155977 -318.14955304378</f>
        <v>-1032.5378864387387</v>
      </c>
      <c r="R3459" t="s">
        <v>37021</v>
      </c>
      <c r="S3459" t="s">
        <v>37022</v>
      </c>
      <c r="T3459" t="s">
        <v>37023</v>
      </c>
      <c r="U3459" t="s">
        <v>37024</v>
      </c>
      <c r="V3459">
        <f>-766.575771341161 -92.9693438042775 -72.0206261862213</f>
        <v>-931.56574133165986</v>
      </c>
      <c r="W3459" t="s">
        <v>37025</v>
      </c>
      <c r="X3459" t="s">
        <v>37026</v>
      </c>
      <c r="Y3459" t="s">
        <v>37027</v>
      </c>
    </row>
    <row r="3460" spans="1:25" x14ac:dyDescent="0.3">
      <c r="A3460">
        <v>172950</v>
      </c>
      <c r="B3460" t="s">
        <v>37028</v>
      </c>
      <c r="C3460">
        <f>-811.921112735981 -5.08885859862289 -76.0507159563597</f>
        <v>-893.06068729096353</v>
      </c>
      <c r="D3460">
        <f>-843.088804799455 -27.9561458350152 -185.238020914136</f>
        <v>-1056.2829715486062</v>
      </c>
      <c r="E3460">
        <f>-858.122545130938 -36.2356738997446 -282.356920716322</f>
        <v>-1176.7151397470045</v>
      </c>
      <c r="F3460">
        <f>-867.379075433645 -39.4816816625212 -370.912134950133</f>
        <v>-1277.7728920462991</v>
      </c>
      <c r="G3460">
        <f>-871.893050527441 -38.3866208721174 -459.887857537873</f>
        <v>-1370.1675289374314</v>
      </c>
      <c r="H3460">
        <f>-873.158780482191 -32.3604360145546 -584.318135450999</f>
        <v>-1489.8373519477445</v>
      </c>
      <c r="I3460">
        <f>-844.371010906354 -21.9897460691996 -661.575736509476</f>
        <v>-1527.9364934850296</v>
      </c>
      <c r="J3460">
        <f>-883.505194036681 -9.57404148599039 -528.219613841882</f>
        <v>-1421.2988493645535</v>
      </c>
      <c r="K3460" t="s">
        <v>37029</v>
      </c>
      <c r="L3460" t="s">
        <v>37030</v>
      </c>
      <c r="M3460" t="s">
        <v>37031</v>
      </c>
      <c r="N3460">
        <f>-861.698322517473 -60.4504379159297 -530.90530870513</f>
        <v>-1453.0540691385327</v>
      </c>
      <c r="O3460">
        <f>-809.377192431334 -185.400519186416 -507.499287154685</f>
        <v>-1502.276998772435</v>
      </c>
      <c r="P3460">
        <f>-797.63797387326 -221.334874096677 -215.673802233646</f>
        <v>-1234.646650203583</v>
      </c>
      <c r="Q3460">
        <f>-666.771453484426 -47.0020374318817 -318.303615948328</f>
        <v>-1032.0771068646359</v>
      </c>
      <c r="R3460" t="s">
        <v>37032</v>
      </c>
      <c r="S3460" t="s">
        <v>37033</v>
      </c>
      <c r="T3460" t="s">
        <v>37034</v>
      </c>
      <c r="U3460" t="s">
        <v>37035</v>
      </c>
      <c r="V3460">
        <f>-766.428208865093 -92.6547990429517 -72.0448850552166</f>
        <v>-931.12789296326127</v>
      </c>
      <c r="W3460" t="s">
        <v>37036</v>
      </c>
      <c r="X3460" t="s">
        <v>37037</v>
      </c>
      <c r="Y3460" t="s">
        <v>37038</v>
      </c>
    </row>
    <row r="3461" spans="1:25" x14ac:dyDescent="0.3">
      <c r="A3461">
        <v>173000</v>
      </c>
      <c r="B3461" t="s">
        <v>37039</v>
      </c>
      <c r="C3461">
        <f>-811.584990626132 -4.89130778312915 -76.0708878918775</f>
        <v>-892.54718630113871</v>
      </c>
      <c r="D3461">
        <f>-842.703614982697 -27.6780900671076 -185.289058008428</f>
        <v>-1055.6707630582325</v>
      </c>
      <c r="E3461">
        <f>-857.669878043976 -35.874314631619 -282.425544821204</f>
        <v>-1175.9697374967991</v>
      </c>
      <c r="F3461">
        <f>-866.854946776264 -39.0399613142133 -370.990960405271</f>
        <v>-1276.8858684957484</v>
      </c>
      <c r="G3461">
        <f>-871.287471363004 -37.8597844129272 -459.96977423042</f>
        <v>-1369.1170300063511</v>
      </c>
      <c r="H3461">
        <f>-872.42894102293 -31.7099977417286 -584.395071202359</f>
        <v>-1488.5340099670175</v>
      </c>
      <c r="I3461">
        <f>-843.554733449875 -21.2610749054679 -661.60995180432</f>
        <v>-1526.4257601596628</v>
      </c>
      <c r="J3461">
        <f>-882.836543572866 -8.98151715784502 -528.284567190849</f>
        <v>-1420.10262792156</v>
      </c>
      <c r="K3461" t="s">
        <v>37040</v>
      </c>
      <c r="L3461" t="s">
        <v>37041</v>
      </c>
      <c r="M3461" t="s">
        <v>37042</v>
      </c>
      <c r="N3461">
        <f>-861.016594973789 -59.8509359549578 -530.998868824507</f>
        <v>-1451.8663997532537</v>
      </c>
      <c r="O3461">
        <f>-808.701872261074 -184.801672277212 -507.618876342462</f>
        <v>-1501.122420880748</v>
      </c>
      <c r="P3461">
        <f>-796.626087702585 -220.482033143968 -215.775919891065</f>
        <v>-1232.8840407376181</v>
      </c>
      <c r="Q3461">
        <f>-665.370175567988 -46.5218940139467 -318.540731027178</f>
        <v>-1030.4328006091127</v>
      </c>
      <c r="R3461" t="s">
        <v>37043</v>
      </c>
      <c r="S3461" t="s">
        <v>37044</v>
      </c>
      <c r="T3461" t="s">
        <v>37045</v>
      </c>
      <c r="U3461" t="s">
        <v>37046</v>
      </c>
      <c r="V3461">
        <f>-766.160487646817 -92.3493268260096 -72.0956635115846</f>
        <v>-930.60547798441121</v>
      </c>
      <c r="W3461" t="s">
        <v>37047</v>
      </c>
      <c r="X3461" t="s">
        <v>37048</v>
      </c>
      <c r="Y3461" t="s">
        <v>37049</v>
      </c>
    </row>
    <row r="3462" spans="1:25" x14ac:dyDescent="0.3">
      <c r="A3462">
        <v>173050</v>
      </c>
      <c r="B3462" t="s">
        <v>37050</v>
      </c>
      <c r="C3462">
        <f>-811.374912202351 -4.75603976842376 -76.0726115190643</f>
        <v>-892.20356348983898</v>
      </c>
      <c r="D3462">
        <f>-842.482769561769 -27.4982661186195 -185.30311969302</f>
        <v>-1055.2841553734086</v>
      </c>
      <c r="E3462">
        <f>-857.418512299519 -35.6640966758257 -282.446790917366</f>
        <v>-1175.5293998927107</v>
      </c>
      <c r="F3462">
        <f>-866.567844595194 -38.8057337091689 -371.01685151632</f>
        <v>-1276.3904298206828</v>
      </c>
      <c r="G3462">
        <f>-870.956656708836 -37.6045586321854 -459.997583194316</f>
        <v>-1368.5587985353375</v>
      </c>
      <c r="H3462">
        <f>-872.028948280658 -31.4291775642369 -584.422256801122</f>
        <v>-1487.8803826460169</v>
      </c>
      <c r="I3462">
        <f>-843.113975936034 -20.9558745640998 -661.618386201863</f>
        <v>-1525.6882367019966</v>
      </c>
      <c r="J3462">
        <f>-882.477083348513 -8.71633203868282 -528.312764963311</f>
        <v>-1419.5061803505068</v>
      </c>
      <c r="K3462" t="s">
        <v>37051</v>
      </c>
      <c r="L3462" t="s">
        <v>37052</v>
      </c>
      <c r="M3462" t="s">
        <v>37053</v>
      </c>
      <c r="N3462">
        <f>-860.637234731545 -59.5770396410092 -531.02528662693</f>
        <v>-1451.2395609994842</v>
      </c>
      <c r="O3462">
        <f>-808.223260408629 -184.488849091027 -507.621488685383</f>
        <v>-1500.3335981850389</v>
      </c>
      <c r="P3462">
        <f>-796.032960419048 -220.134537221875 -215.779103784529</f>
        <v>-1231.9466014254519</v>
      </c>
      <c r="Q3462">
        <f>-664.725712030214 -46.2117504191685 -318.541497992609</f>
        <v>-1029.4789604419916</v>
      </c>
      <c r="R3462" t="s">
        <v>37054</v>
      </c>
      <c r="S3462" t="s">
        <v>37055</v>
      </c>
      <c r="T3462" t="s">
        <v>37056</v>
      </c>
      <c r="U3462" t="s">
        <v>37057</v>
      </c>
      <c r="V3462">
        <f>-765.95613945132 -92.1039290608724 -72.1345748698003</f>
        <v>-930.19464338199271</v>
      </c>
      <c r="W3462" t="s">
        <v>37058</v>
      </c>
      <c r="X3462" t="s">
        <v>37059</v>
      </c>
      <c r="Y3462" t="s">
        <v>37060</v>
      </c>
    </row>
    <row r="3463" spans="1:25" x14ac:dyDescent="0.3">
      <c r="A3463">
        <v>173100</v>
      </c>
      <c r="B3463" t="s">
        <v>37061</v>
      </c>
      <c r="C3463">
        <f>-810.965720431437 -4.47942389053628 -76.0804058424529</f>
        <v>-891.52555016442625</v>
      </c>
      <c r="D3463">
        <f>-842.001663852105 -27.1626273185766 -185.343763591623</f>
        <v>-1054.5080547623047</v>
      </c>
      <c r="E3463">
        <f>-856.86751581251 -35.2761575673765 -282.502516586761</f>
        <v>-1174.6461899666474</v>
      </c>
      <c r="F3463">
        <f>-865.951096125064 -38.3703776651214 -371.080919521442</f>
        <v>-1275.4023933116275</v>
      </c>
      <c r="G3463">
        <f>-870.271871305973 -37.1213171617085 -460.064220118235</f>
        <v>-1367.4574085859165</v>
      </c>
      <c r="H3463">
        <f>-871.247714503883 -30.8783036223465 -584.486461877565</f>
        <v>-1486.6124800037946</v>
      </c>
      <c r="I3463">
        <f>-842.290335811999 -20.3386069916562 -661.657714390883</f>
        <v>-1524.2866571945383</v>
      </c>
      <c r="J3463">
        <f>-881.771837059332 -8.20986538676971 -528.373108587414</f>
        <v>-1418.3548110335157</v>
      </c>
      <c r="K3463" t="s">
        <v>37062</v>
      </c>
      <c r="L3463" t="s">
        <v>37063</v>
      </c>
      <c r="M3463" t="s">
        <v>37064</v>
      </c>
      <c r="N3463">
        <f>-859.864810562674 -59.0412359759521 -531.095535938853</f>
        <v>-1450.0015824774791</v>
      </c>
      <c r="O3463">
        <f>-807.242638953078 -183.880884293207 -507.710549031947</f>
        <v>-1498.834072278232</v>
      </c>
      <c r="P3463">
        <f>-795.408721733505 -219.404630292775 -215.838650399971</f>
        <v>-1230.6520024262509</v>
      </c>
      <c r="Q3463">
        <f>-664.13268634753 -45.8356300055159 -319.23728902601</f>
        <v>-1029.2056053790559</v>
      </c>
      <c r="R3463" t="s">
        <v>37065</v>
      </c>
      <c r="S3463" t="s">
        <v>37066</v>
      </c>
      <c r="T3463" t="s">
        <v>37067</v>
      </c>
      <c r="U3463" t="s">
        <v>37068</v>
      </c>
      <c r="V3463">
        <f>-765.535312417439 -91.8032467180698 -72.2065309328257</f>
        <v>-929.54509006833439</v>
      </c>
      <c r="W3463" t="s">
        <v>37069</v>
      </c>
      <c r="X3463" t="s">
        <v>37070</v>
      </c>
      <c r="Y3463" t="s">
        <v>37071</v>
      </c>
    </row>
    <row r="3464" spans="1:25" x14ac:dyDescent="0.3">
      <c r="A3464">
        <v>173150</v>
      </c>
      <c r="B3464" t="s">
        <v>37072</v>
      </c>
      <c r="C3464">
        <f>-810.756979093074 -4.27855132926561 -76.0871664633655</f>
        <v>-891.12269688570518</v>
      </c>
      <c r="D3464">
        <f>-841.746764526955 -26.9519992579676 -185.365509714897</f>
        <v>-1054.0642734998196</v>
      </c>
      <c r="E3464">
        <f>-856.569217697277 -35.0351824133322 -282.533484336954</f>
        <v>-1174.1378844475632</v>
      </c>
      <c r="F3464">
        <f>-865.611009711379 -38.0938089293857 -371.117637448731</f>
        <v>-1274.8224560894955</v>
      </c>
      <c r="G3464">
        <f>-869.887852907745 -36.8011437206649 -460.102193632338</f>
        <v>-1366.791190260748</v>
      </c>
      <c r="H3464">
        <f>-870.799454434235 -30.4890303240115 -584.521524890075</f>
        <v>-1485.8100096483217</v>
      </c>
      <c r="I3464">
        <f>-841.836870091349 -19.9010976124948 -661.684240177065</f>
        <v>-1523.4222078809089</v>
      </c>
      <c r="J3464">
        <f>-881.364604473322 -7.85690223908841 -528.401208702964</f>
        <v>-1417.6227154153744</v>
      </c>
      <c r="K3464" t="s">
        <v>37073</v>
      </c>
      <c r="L3464" t="s">
        <v>37074</v>
      </c>
      <c r="M3464" t="s">
        <v>37075</v>
      </c>
      <c r="N3464">
        <f>-859.432014317677 -58.6763993237871 -531.14009181535</f>
        <v>-1449.2485054568142</v>
      </c>
      <c r="O3464">
        <f>-806.760538128187 -183.494154049311 -507.790228935365</f>
        <v>-1498.044921112863</v>
      </c>
      <c r="P3464">
        <f>-794.933221337548 -219.692658325303 -216.000838430332</f>
        <v>-1230.6267180931832</v>
      </c>
      <c r="Q3464">
        <f>-664.182649020097 -45.676245371755 -319.313231557038</f>
        <v>-1029.17212594889</v>
      </c>
      <c r="R3464" t="s">
        <v>37076</v>
      </c>
      <c r="S3464" t="s">
        <v>37077</v>
      </c>
      <c r="T3464" t="s">
        <v>37078</v>
      </c>
      <c r="U3464" t="s">
        <v>37079</v>
      </c>
      <c r="V3464">
        <f>-765.292514812229 -91.5516877819545 -72.2073495210332</f>
        <v>-929.05155211521662</v>
      </c>
      <c r="W3464" t="s">
        <v>37080</v>
      </c>
      <c r="X3464" t="s">
        <v>37081</v>
      </c>
      <c r="Y3464" t="s">
        <v>37082</v>
      </c>
    </row>
    <row r="3465" spans="1:25" x14ac:dyDescent="0.3">
      <c r="A3465">
        <v>173200</v>
      </c>
      <c r="B3465" t="s">
        <v>37083</v>
      </c>
      <c r="C3465">
        <f>-810.277947392902 -3.92911132429572 -76.1000953234088</f>
        <v>-890.30715404060652</v>
      </c>
      <c r="D3465">
        <f>-841.158571763674 -26.5899253711118 -185.41200701339</f>
        <v>-1053.1605041481757</v>
      </c>
      <c r="E3465">
        <f>-855.872204662021 -34.5893791317076 -282.603422191775</f>
        <v>-1173.0650059855036</v>
      </c>
      <c r="F3465">
        <f>-864.807531957776 -37.5448258625911 -371.201756066398</f>
        <v>-1273.554113886765</v>
      </c>
      <c r="G3465">
        <f>-868.968249666265 -36.1230090169445 -460.190101766531</f>
        <v>-1365.2813604497405</v>
      </c>
      <c r="H3465">
        <f>-869.707510177197 -29.6044128197161 -584.599724950526</f>
        <v>-1483.9116479474392</v>
      </c>
      <c r="I3465">
        <f>-840.681125956782 -18.8905977742413 -661.72119160747</f>
        <v>-1521.2929153384935</v>
      </c>
      <c r="J3465">
        <f>-880.338457286708 -7.06024956604961 -528.456512879958</f>
        <v>-1415.8552197327158</v>
      </c>
      <c r="K3465" t="s">
        <v>37084</v>
      </c>
      <c r="L3465" t="s">
        <v>37085</v>
      </c>
      <c r="M3465" t="s">
        <v>37086</v>
      </c>
      <c r="N3465">
        <f>-858.425934333567 -57.8854986415026 -531.249780259587</f>
        <v>-1447.5612132346569</v>
      </c>
      <c r="O3465">
        <f>-805.924280288302 -182.789493144461 -508.026888250148</f>
        <v>-1496.740661682911</v>
      </c>
      <c r="P3465">
        <f>-794.720329670151 -219.177931292086 -216.236737123821</f>
        <v>-1230.134998086058</v>
      </c>
      <c r="Q3465">
        <f>-663.530079418665 -45.1014321998805 -318.888343815447</f>
        <v>-1027.5198554339925</v>
      </c>
      <c r="R3465" t="s">
        <v>37087</v>
      </c>
      <c r="S3465" t="s">
        <v>37088</v>
      </c>
      <c r="T3465" t="s">
        <v>37089</v>
      </c>
      <c r="U3465" t="s">
        <v>37090</v>
      </c>
      <c r="V3465">
        <f>-764.769786152043 -91.0339132986704 -72.2032500723614</f>
        <v>-928.00694952307481</v>
      </c>
      <c r="W3465" t="s">
        <v>37091</v>
      </c>
      <c r="X3465" t="s">
        <v>37092</v>
      </c>
      <c r="Y3465" t="s">
        <v>37093</v>
      </c>
    </row>
    <row r="3466" spans="1:25" x14ac:dyDescent="0.3">
      <c r="A3466">
        <v>173250</v>
      </c>
      <c r="B3466" t="s">
        <v>37094</v>
      </c>
      <c r="C3466">
        <f>-809.985310908561 -3.72424332941887 -76.0994384969979</f>
        <v>-889.80899273497778</v>
      </c>
      <c r="D3466">
        <f>-840.808368792289 -26.3622314984284 -185.432368287826</f>
        <v>-1052.6029685785434</v>
      </c>
      <c r="E3466">
        <f>-855.462684166071 -34.3319326109824 -282.635135176525</f>
        <v>-1172.4297519535785</v>
      </c>
      <c r="F3466">
        <f>-864.340225706154 -37.256507133796 -371.240273865708</f>
        <v>-1272.837006705658</v>
      </c>
      <c r="G3466">
        <f>-868.439148533575 -35.8002403950061 -460.231008924334</f>
        <v>-1364.4703978529151</v>
      </c>
      <c r="H3466">
        <f>-869.087301130078 -29.2307695193533 -584.638337644198</f>
        <v>-1482.9564082936295</v>
      </c>
      <c r="I3466">
        <f>-840.013727673236 -18.4779275420563 -661.736625719069</f>
        <v>-1520.2282809343612</v>
      </c>
      <c r="J3466">
        <f>-879.747249256269 -6.70434571765759 -528.493556965866</f>
        <v>-1414.9451519397926</v>
      </c>
      <c r="K3466" t="s">
        <v>37095</v>
      </c>
      <c r="L3466" t="s">
        <v>37096</v>
      </c>
      <c r="M3466" t="s">
        <v>37097</v>
      </c>
      <c r="N3466">
        <f>-857.857083061436 -57.5389601498161 -531.292167936166</f>
        <v>-1446.6882111474183</v>
      </c>
      <c r="O3466">
        <f>-805.470082456817 -182.502651242063 -508.097534325604</f>
        <v>-1496.070268024484</v>
      </c>
      <c r="P3466">
        <f>-794.33965460722 -219.025262887101 -216.321209826836</f>
        <v>-1229.6861273211571</v>
      </c>
      <c r="Q3466">
        <f>-662.740818656107 -45.1128486848522 -318.727484857047</f>
        <v>-1026.5811521980063</v>
      </c>
      <c r="R3466" t="s">
        <v>37098</v>
      </c>
      <c r="S3466" t="s">
        <v>37099</v>
      </c>
      <c r="T3466" t="s">
        <v>37100</v>
      </c>
      <c r="U3466" t="s">
        <v>37101</v>
      </c>
      <c r="V3466">
        <f>-764.494342301224 -90.775933643239 -72.208665036556</f>
        <v>-927.47894098101904</v>
      </c>
      <c r="W3466" t="s">
        <v>37102</v>
      </c>
      <c r="X3466" t="s">
        <v>37103</v>
      </c>
      <c r="Y3466" t="s">
        <v>37104</v>
      </c>
    </row>
    <row r="3467" spans="1:25" x14ac:dyDescent="0.3">
      <c r="A3467">
        <v>173300</v>
      </c>
      <c r="B3467" t="s">
        <v>37105</v>
      </c>
      <c r="C3467">
        <f>-809.624468669261 -3.23821334413947 -76.0813932408582</f>
        <v>-888.94407525425868</v>
      </c>
      <c r="D3467">
        <f>-840.380746767424 -25.7881195828554 -185.451306945571</f>
        <v>-1051.6201732958502</v>
      </c>
      <c r="E3467">
        <f>-854.956405656147 -33.7052215340286 -282.670202283238</f>
        <v>-1171.3318294734136</v>
      </c>
      <c r="F3467">
        <f>-863.755697216272 -36.5915482674352 -371.284507085845</f>
        <v>-1271.6317525695522</v>
      </c>
      <c r="G3467">
        <f>-867.76962552653 -35.1062915463692 -460.278431048454</f>
        <v>-1363.1543481213532</v>
      </c>
      <c r="H3467">
        <f>-868.292416665013 -28.5060393603687 -584.684904771421</f>
        <v>-1481.4833607968026</v>
      </c>
      <c r="I3467">
        <f>-839.119947274053 -17.6956454667197 -661.737714847252</f>
        <v>-1518.5533075880248</v>
      </c>
      <c r="J3467">
        <f>-878.995330146457 -5.98785266406071 -528.545019473708</f>
        <v>-1413.5282022842257</v>
      </c>
      <c r="K3467" t="s">
        <v>37106</v>
      </c>
      <c r="L3467" t="s">
        <v>37107</v>
      </c>
      <c r="M3467" t="s">
        <v>37108</v>
      </c>
      <c r="N3467">
        <f>-857.129251773307 -56.8332714389285 -531.334583222611</f>
        <v>-1445.2971064348465</v>
      </c>
      <c r="O3467">
        <f>-804.820676370513 -181.819316494484 -508.105873879411</f>
        <v>-1494.745866744408</v>
      </c>
      <c r="P3467">
        <f>-793.719998024683 -218.099871132155 -216.298253381958</f>
        <v>-1228.1181225387959</v>
      </c>
      <c r="Q3467">
        <f>-661.205739854374 -44.6840654653727 -318.365790522338</f>
        <v>-1024.2555958420846</v>
      </c>
      <c r="R3467" t="s">
        <v>37109</v>
      </c>
      <c r="S3467" t="s">
        <v>37110</v>
      </c>
      <c r="T3467" t="s">
        <v>37111</v>
      </c>
      <c r="U3467" t="s">
        <v>37112</v>
      </c>
      <c r="V3467">
        <f>-764.263789744867 -90.2797681959888 -72.1609008837843</f>
        <v>-926.70445882464014</v>
      </c>
      <c r="W3467" t="s">
        <v>37113</v>
      </c>
      <c r="X3467" t="s">
        <v>37114</v>
      </c>
      <c r="Y3467" t="s">
        <v>37115</v>
      </c>
    </row>
    <row r="3468" spans="1:25" x14ac:dyDescent="0.3">
      <c r="A3468">
        <v>173350</v>
      </c>
      <c r="B3468" t="s">
        <v>37116</v>
      </c>
      <c r="C3468">
        <f>-809.441194188869 -3.15402853136879 -76.0556417181988</f>
        <v>-888.65086443843654</v>
      </c>
      <c r="D3468">
        <f>-840.159279170938 -25.6430679265425 -185.448902313777</f>
        <v>-1051.2512494112575</v>
      </c>
      <c r="E3468">
        <f>-854.698770793289 -33.5340420301952 -282.675319597141</f>
        <v>-1170.9081324206252</v>
      </c>
      <c r="F3468">
        <f>-863.465066263263 -36.4070312078122 -371.293302224985</f>
        <v>-1271.1653996960601</v>
      </c>
      <c r="G3468">
        <f>-867.445877723419 -34.9188840044635 -460.288576116659</f>
        <v>-1362.6533378445415</v>
      </c>
      <c r="H3468">
        <f>-867.923502149087 -28.3254752905993 -584.695727925348</f>
        <v>-1480.9447053650342</v>
      </c>
      <c r="I3468">
        <f>-838.695195425552 -17.5097091401542 -661.726550556357</f>
        <v>-1517.9314551220632</v>
      </c>
      <c r="J3468">
        <f>-878.649151381193 -5.80516112916416 -528.560964815883</f>
        <v>-1413.0152773262403</v>
      </c>
      <c r="K3468" t="s">
        <v>37117</v>
      </c>
      <c r="L3468" t="s">
        <v>37118</v>
      </c>
      <c r="M3468" t="s">
        <v>37119</v>
      </c>
      <c r="N3468">
        <f>-856.77765239512 -56.6486983792361 -531.33964542115</f>
        <v>-1444.765996195506</v>
      </c>
      <c r="O3468">
        <f>-804.422389411926 -181.608382615957 -508.052609128699</f>
        <v>-1494.0833811565819</v>
      </c>
      <c r="P3468">
        <f>-793.328070037122 -217.774019038905 -216.230466478035</f>
        <v>-1227.3325555540619</v>
      </c>
      <c r="Q3468">
        <f>-661.419427318094 -44.2101465725013 -318.829538678631</f>
        <v>-1024.4591125692264</v>
      </c>
      <c r="R3468" t="s">
        <v>37120</v>
      </c>
      <c r="S3468" t="s">
        <v>37121</v>
      </c>
      <c r="T3468" t="s">
        <v>37122</v>
      </c>
      <c r="U3468" t="s">
        <v>37123</v>
      </c>
      <c r="V3468">
        <f>-764.046462553654 -90.2228563701206 -72.1649358410364</f>
        <v>-926.43425476481093</v>
      </c>
      <c r="W3468" t="s">
        <v>37124</v>
      </c>
      <c r="X3468" t="s">
        <v>37125</v>
      </c>
      <c r="Y3468" t="s">
        <v>37126</v>
      </c>
    </row>
    <row r="3469" spans="1:25" x14ac:dyDescent="0.3">
      <c r="A3469">
        <v>173400</v>
      </c>
      <c r="B3469" t="s">
        <v>37127</v>
      </c>
      <c r="C3469">
        <f>-808.82763948124 -3.16787539364304 -75.9226723670578</f>
        <v>-887.91818724194081</v>
      </c>
      <c r="D3469">
        <f>-839.464839309299 -25.4857090710248 -185.373521799706</f>
        <v>-1050.3240701800298</v>
      </c>
      <c r="E3469">
        <f>-853.8700573957 -33.2908293881837 -282.626886704979</f>
        <v>-1169.7877734888627</v>
      </c>
      <c r="F3469">
        <f>-862.4912253575 -36.1109872176523 -371.260760308002</f>
        <v>-1269.8629728831543</v>
      </c>
      <c r="G3469">
        <f>-866.30484497754 -34.594379558753 -460.263059804283</f>
        <v>-1361.162284340576</v>
      </c>
      <c r="H3469">
        <f>-866.526486534039 -27.9863222391516 -584.670105944673</f>
        <v>-1479.1829147178637</v>
      </c>
      <c r="I3469">
        <f>-837.180295844847 -17.1740849882767 -661.65657784656</f>
        <v>-1516.0109586796839</v>
      </c>
      <c r="J3469">
        <f>-877.378379507847 -5.477098258757 -528.555219243011</f>
        <v>-1411.410697009615</v>
      </c>
      <c r="K3469" t="s">
        <v>37128</v>
      </c>
      <c r="L3469" t="s">
        <v>37129</v>
      </c>
      <c r="M3469" t="s">
        <v>37130</v>
      </c>
      <c r="N3469">
        <f>-855.479554434423 -56.3112363832234 -531.294275635836</f>
        <v>-1443.0850664534823</v>
      </c>
      <c r="O3469">
        <f>-803.09069026625 -181.254220874839 -507.981086006656</f>
        <v>-1492.3259971477451</v>
      </c>
      <c r="P3469">
        <f>-792.557333307973 -217.836532525647 -216.190016193494</f>
        <v>-1226.5838820271138</v>
      </c>
      <c r="Q3469">
        <f>-661.065199473987 -43.8547737207957 -318.615759525943</f>
        <v>-1023.5357327207257</v>
      </c>
      <c r="R3469" t="s">
        <v>37131</v>
      </c>
      <c r="S3469" t="s">
        <v>37132</v>
      </c>
      <c r="T3469" t="s">
        <v>37133</v>
      </c>
      <c r="U3469" t="s">
        <v>37134</v>
      </c>
      <c r="V3469">
        <f>-763.129988287462 -90.2628690403426 -72.1001928980384</f>
        <v>-925.49305022584292</v>
      </c>
      <c r="W3469" t="s">
        <v>37135</v>
      </c>
      <c r="X3469" t="s">
        <v>37136</v>
      </c>
      <c r="Y3469" t="s">
        <v>37137</v>
      </c>
    </row>
    <row r="3470" spans="1:25" x14ac:dyDescent="0.3">
      <c r="A3470">
        <v>173450</v>
      </c>
      <c r="B3470" t="s">
        <v>37138</v>
      </c>
      <c r="C3470">
        <f>-808.59868053625 -3.34027709822908 -75.7943862213541</f>
        <v>-887.73334385583314</v>
      </c>
      <c r="D3470">
        <f>-839.243865490462 -25.5749157197722 -185.259938811675</f>
        <v>-1050.0787200219092</v>
      </c>
      <c r="E3470">
        <f>-853.598691185411 -33.3246058627649 -282.525214768384</f>
        <v>-1169.4485118165599</v>
      </c>
      <c r="F3470">
        <f>-862.151836006049 -36.1005553165946 -371.167065195521</f>
        <v>-1269.4194565181647</v>
      </c>
      <c r="G3470">
        <f>-865.875638411483 -34.5458853786718 -460.172454862942</f>
        <v>-1360.5939786530967</v>
      </c>
      <c r="H3470">
        <f>-865.949205383063 -27.8914332882177 -584.57713283294</f>
        <v>-1478.4177715042208</v>
      </c>
      <c r="I3470">
        <f>-836.516580786637 -17.0880748241048 -661.531953112249</f>
        <v>-1515.1366087229908</v>
      </c>
      <c r="J3470">
        <f>-876.855422162149 -5.39778918827915 -528.466443184985</f>
        <v>-1410.7196545354132</v>
      </c>
      <c r="K3470" t="s">
        <v>37139</v>
      </c>
      <c r="L3470" t="s">
        <v>37140</v>
      </c>
      <c r="M3470" t="s">
        <v>37141</v>
      </c>
      <c r="N3470">
        <f>-854.978187911629 -56.2415020302298 -531.199135429945</f>
        <v>-1442.4188253718039</v>
      </c>
      <c r="O3470">
        <f>-802.696520738985 -181.221765079287 -507.852333085419</f>
        <v>-1491.770618903691</v>
      </c>
      <c r="P3470">
        <f>-792.42749341529 -217.831304665395 -216.055394223684</f>
        <v>-1226.314192304369</v>
      </c>
      <c r="Q3470">
        <f>-660.702167228685 -43.9477773967465 -318.348212211115</f>
        <v>-1022.9981568365465</v>
      </c>
      <c r="R3470" t="s">
        <v>37142</v>
      </c>
      <c r="S3470" t="s">
        <v>37143</v>
      </c>
      <c r="T3470" t="s">
        <v>37144</v>
      </c>
      <c r="U3470" t="s">
        <v>37145</v>
      </c>
      <c r="V3470">
        <f>-762.851643730896 -90.5693266919865 -71.9359047196905</f>
        <v>-925.3568751425729</v>
      </c>
      <c r="W3470" t="s">
        <v>37146</v>
      </c>
      <c r="X3470" t="s">
        <v>37147</v>
      </c>
      <c r="Y3470" t="s">
        <v>37148</v>
      </c>
    </row>
    <row r="3471" spans="1:25" x14ac:dyDescent="0.3">
      <c r="A3471">
        <v>173500</v>
      </c>
      <c r="B3471" t="s">
        <v>37149</v>
      </c>
      <c r="C3471">
        <f>-809.067205562338 -4.85994798623324 -75.2856692766296</f>
        <v>-889.21282282520087</v>
      </c>
      <c r="D3471">
        <f>-839.817659534441 -26.9968777182903 -184.741620477291</f>
        <v>-1051.5561577300223</v>
      </c>
      <c r="E3471">
        <f>-854.06656457033 -34.6779898296224 -282.027910893907</f>
        <v>-1170.7724652938596</v>
      </c>
      <c r="F3471">
        <f>-862.448956625432 -37.3922401993966 -370.687985998847</f>
        <v>-1270.5291828236755</v>
      </c>
      <c r="G3471">
        <f>-865.928516692038 -35.7765166990957 -459.702178739789</f>
        <v>-1361.4072121309227</v>
      </c>
      <c r="H3471">
        <f>-865.586682323829 -29.0352750228683 -584.10174234161</f>
        <v>-1478.7236996883073</v>
      </c>
      <c r="I3471">
        <f>-835.902586056046 -18.2638471058485 -660.964259438005</f>
        <v>-1515.1306925998995</v>
      </c>
      <c r="J3471">
        <f>-876.619416943115 -6.55478457385584 -528.010624787605</f>
        <v>-1411.1848263045758</v>
      </c>
      <c r="K3471" t="s">
        <v>37150</v>
      </c>
      <c r="L3471" t="s">
        <v>37151</v>
      </c>
      <c r="M3471" t="s">
        <v>37152</v>
      </c>
      <c r="N3471">
        <f>-854.854601612928 -57.4486576757946 -530.708596473634</f>
        <v>-1443.0118557623566</v>
      </c>
      <c r="O3471">
        <f>-802.950227705384 -182.550818151467 -507.240925528512</f>
        <v>-1492.7419713853631</v>
      </c>
      <c r="P3471">
        <f>-793.000765898484 -218.911401842787 -215.401754745812</f>
        <v>-1227.3139224870829</v>
      </c>
      <c r="Q3471">
        <f>-660.676763778247 -45.6026790252439 -317.897316107249</f>
        <v>-1024.1767589107399</v>
      </c>
      <c r="R3471" t="s">
        <v>37153</v>
      </c>
      <c r="S3471" t="s">
        <v>37154</v>
      </c>
      <c r="T3471" t="s">
        <v>37155</v>
      </c>
      <c r="U3471" t="s">
        <v>37156</v>
      </c>
      <c r="V3471">
        <f>-764.139396149695 -93.2490926529008 -71.2538639035969</f>
        <v>-928.6423527061927</v>
      </c>
      <c r="W3471" t="s">
        <v>37157</v>
      </c>
      <c r="X3471" t="s">
        <v>37158</v>
      </c>
      <c r="Y3471" t="s">
        <v>37159</v>
      </c>
    </row>
    <row r="3472" spans="1:25" x14ac:dyDescent="0.3">
      <c r="A3472">
        <v>173550</v>
      </c>
      <c r="B3472" t="s">
        <v>37160</v>
      </c>
      <c r="C3472">
        <f>-809.460580956294 -5.89823959995329 -74.9815658413836</f>
        <v>-890.34038639763094</v>
      </c>
      <c r="D3472">
        <f>-840.289506511502 -28.0505384262603 -184.412285067085</f>
        <v>-1052.7523300048474</v>
      </c>
      <c r="E3472">
        <f>-854.496354575782 -35.7242997890694 -281.705356115238</f>
        <v>-1171.9260104800894</v>
      </c>
      <c r="F3472">
        <f>-862.79839982342 -38.4198568011798 -370.373582329321</f>
        <v>-1271.5918389539208</v>
      </c>
      <c r="G3472">
        <f>-866.156172523849 -36.7725533574048 -459.391824109651</f>
        <v>-1362.320549990905</v>
      </c>
      <c r="H3472">
        <f>-865.601716581983 -29.9730121612733 -583.787411434702</f>
        <v>-1479.3621401779583</v>
      </c>
      <c r="I3472">
        <f>-835.766886699383 -19.222300740262 -660.594454490583</f>
        <v>-1515.5836419302279</v>
      </c>
      <c r="J3472">
        <f>-876.686401102599 -7.50015959186953 -527.703455751759</f>
        <v>-1411.8900164462275</v>
      </c>
      <c r="K3472" t="s">
        <v>37161</v>
      </c>
      <c r="L3472" t="s">
        <v>37162</v>
      </c>
      <c r="M3472" t="s">
        <v>37163</v>
      </c>
      <c r="N3472">
        <f>-855.004993127844 -58.4301902628957 -530.390665965862</f>
        <v>-1443.8258493566018</v>
      </c>
      <c r="O3472">
        <f>-803.308287488934 -183.631384740519 -506.838179525218</f>
        <v>-1493.777851754671</v>
      </c>
      <c r="P3472">
        <f>-793.797855250531 -220.134875763149 -215.002171886092</f>
        <v>-1228.9349028997719</v>
      </c>
      <c r="Q3472">
        <f>-661.448222860691 -47.0558992063076 -317.852232826707</f>
        <v>-1026.3563548937054</v>
      </c>
      <c r="R3472" t="s">
        <v>37164</v>
      </c>
      <c r="S3472" t="s">
        <v>37165</v>
      </c>
      <c r="T3472" t="s">
        <v>37166</v>
      </c>
      <c r="U3472" t="s">
        <v>37167</v>
      </c>
      <c r="V3472">
        <f>-764.955302475888 -95.0257475322369 -70.8655939356652</f>
        <v>-930.84664394379001</v>
      </c>
      <c r="W3472" t="s">
        <v>37168</v>
      </c>
      <c r="X3472" t="s">
        <v>37169</v>
      </c>
      <c r="Y3472" t="s">
        <v>37170</v>
      </c>
    </row>
    <row r="3473" spans="1:25" x14ac:dyDescent="0.3">
      <c r="A3473">
        <v>173600</v>
      </c>
      <c r="B3473" t="s">
        <v>37171</v>
      </c>
      <c r="C3473">
        <f>-811.22372551333 -7.67263168586055 -74.3719710948902</f>
        <v>-893.26832829408079</v>
      </c>
      <c r="D3473">
        <f>-842.239220093382 -29.7964571881403 -183.755630091815</f>
        <v>-1055.7913073733373</v>
      </c>
      <c r="E3473">
        <f>-856.432545176402 -37.4027512839821 -281.056074481188</f>
        <v>-1174.8913709415719</v>
      </c>
      <c r="F3473">
        <f>-864.654833161826 -40.0128423165431 -369.734183452475</f>
        <v>-1274.4018589308441</v>
      </c>
      <c r="G3473">
        <f>-867.865817310198 -38.2558794924985 -458.755832894543</f>
        <v>-1364.8775296972394</v>
      </c>
      <c r="H3473">
        <f>-867.038097135412 -31.2773396384541 -583.139924820677</f>
        <v>-1481.4553615945433</v>
      </c>
      <c r="I3473">
        <f>-836.964483233799 -20.5074291799638 -659.851193201056</f>
        <v>-1517.3231056148188</v>
      </c>
      <c r="J3473">
        <f>-878.115677625444 -8.83034184956659 -527.044345531299</f>
        <v>-1413.9903650063097</v>
      </c>
      <c r="K3473" t="s">
        <v>37172</v>
      </c>
      <c r="L3473" t="s">
        <v>37173</v>
      </c>
      <c r="M3473" t="s">
        <v>37174</v>
      </c>
      <c r="N3473">
        <f>-856.689027740233 -59.8661954100934 -529.765033162296</f>
        <v>-1446.3202563126224</v>
      </c>
      <c r="O3473">
        <f>-805.758929877569 -185.359748816818 -506.187541643075</f>
        <v>-1497.306220337462</v>
      </c>
      <c r="P3473">
        <f>-797.216091930436 -222.236314667088 -214.368362867096</f>
        <v>-1233.8207694646201</v>
      </c>
      <c r="Q3473">
        <f>-664.16689224432 -49.7085235835891 -317.241875247881</f>
        <v>-1031.11729107579</v>
      </c>
      <c r="R3473" t="s">
        <v>37175</v>
      </c>
      <c r="S3473" t="s">
        <v>37176</v>
      </c>
      <c r="T3473" t="s">
        <v>37177</v>
      </c>
      <c r="U3473" t="s">
        <v>37178</v>
      </c>
      <c r="V3473">
        <f>-768.37473522975 -97.7412965074865 -70.0394053884431</f>
        <v>-936.15543712567955</v>
      </c>
      <c r="W3473" t="s">
        <v>37179</v>
      </c>
      <c r="X3473" t="s">
        <v>37180</v>
      </c>
      <c r="Y3473" t="s">
        <v>37181</v>
      </c>
    </row>
    <row r="3474" spans="1:25" x14ac:dyDescent="0.3">
      <c r="A3474">
        <v>173650</v>
      </c>
      <c r="B3474" t="s">
        <v>37182</v>
      </c>
      <c r="C3474">
        <f>-812.146506896901 -8.21035128777407 -74.0977545923905</f>
        <v>-894.45461277706556</v>
      </c>
      <c r="D3474">
        <f>-843.291962500211 -30.3268332233179 -183.445895506072</f>
        <v>-1057.0646912296008</v>
      </c>
      <c r="E3474">
        <f>-857.530817770455 -37.9155355383598 -280.741024252606</f>
        <v>-1176.1873775614208</v>
      </c>
      <c r="F3474">
        <f>-865.767788464623 -40.5027446247511 -369.418567866658</f>
        <v>-1275.6891009560322</v>
      </c>
      <c r="G3474">
        <f>-868.966242178594 -38.7175537288531 -458.440000269959</f>
        <v>-1366.1237961774061</v>
      </c>
      <c r="H3474">
        <f>-868.092588207463 -31.6938795046576 -582.821300914266</f>
        <v>-1482.6077686263866</v>
      </c>
      <c r="I3474">
        <f>-837.925801302781 -20.9447696870782 -659.49890721547</f>
        <v>-1518.3694782053292</v>
      </c>
      <c r="J3474">
        <f>-879.106614698134 -9.23226589794717 -526.719013395495</f>
        <v>-1415.0578939915763</v>
      </c>
      <c r="K3474" t="s">
        <v>37183</v>
      </c>
      <c r="L3474" t="s">
        <v>37184</v>
      </c>
      <c r="M3474" t="s">
        <v>37185</v>
      </c>
      <c r="N3474">
        <f>-857.847392084564 -60.3372062043727 -529.455500743906</f>
        <v>-1447.6400990328427</v>
      </c>
      <c r="O3474">
        <f>-807.394790161234 -186.019967526352 -505.861592596192</f>
        <v>-1499.2763502837779</v>
      </c>
      <c r="P3474">
        <f>-799.205902585686 -222.940568762603 -214.038012321431</f>
        <v>-1236.1844836697201</v>
      </c>
      <c r="Q3474">
        <f>-665.191829443053 -51.0860103933825 -316.785486177262</f>
        <v>-1033.0633260136974</v>
      </c>
      <c r="R3474" t="s">
        <v>37186</v>
      </c>
      <c r="S3474" t="s">
        <v>37187</v>
      </c>
      <c r="T3474" t="s">
        <v>37188</v>
      </c>
      <c r="U3474" t="s">
        <v>37189</v>
      </c>
      <c r="V3474">
        <f>-769.978926402189 -98.7281413387935 -69.7333469481167</f>
        <v>-938.44041468909927</v>
      </c>
      <c r="W3474" t="s">
        <v>37190</v>
      </c>
      <c r="X3474" t="s">
        <v>37191</v>
      </c>
      <c r="Y3474" t="s">
        <v>37192</v>
      </c>
    </row>
    <row r="3475" spans="1:25" x14ac:dyDescent="0.3">
      <c r="A3475">
        <v>173700</v>
      </c>
      <c r="B3475" t="s">
        <v>37193</v>
      </c>
      <c r="C3475">
        <f>-812.964932696322 -8.83333524543741 -73.7514888933715</f>
        <v>-895.54975683513089</v>
      </c>
      <c r="D3475">
        <f>-844.464796762895 -30.8541927579636 -183.01743232547</f>
        <v>-1058.3364218463287</v>
      </c>
      <c r="E3475">
        <f>-858.883740002693 -38.4110880746887 -280.2884732947</f>
        <v>-1177.5833013720817</v>
      </c>
      <c r="F3475">
        <f>-867.234103534982 -40.986518473434 -368.955622261856</f>
        <v>-1277.176244270272</v>
      </c>
      <c r="G3475">
        <f>-870.49504725355 -39.208292314021 -457.974945447185</f>
        <v>-1367.6782850147561</v>
      </c>
      <c r="H3475">
        <f>-869.655517152876 -32.2144420599118 -582.358235447003</f>
        <v>-1484.2281946597909</v>
      </c>
      <c r="I3475">
        <f>-839.400074887107 -21.5740874058479 -659.016124741541</f>
        <v>-1519.9902870344959</v>
      </c>
      <c r="J3475">
        <f>-880.490125810914 -9.67184122142794 -526.253442367245</f>
        <v>-1416.4154093995871</v>
      </c>
      <c r="K3475" t="s">
        <v>37194</v>
      </c>
      <c r="L3475" t="s">
        <v>37195</v>
      </c>
      <c r="M3475" t="s">
        <v>37196</v>
      </c>
      <c r="N3475">
        <f>-859.559726297715 -60.91234569095 -528.993335393493</f>
        <v>-1449.465407382158</v>
      </c>
      <c r="O3475">
        <f>-809.94760064601 -186.905087982399 -505.345508420227</f>
        <v>-1502.1981970486358</v>
      </c>
      <c r="P3475">
        <f>-801.630051238217 -223.619906633993 -213.499558233477</f>
        <v>-1238.749516105687</v>
      </c>
      <c r="Q3475">
        <f>-666.277290811959 -52.5842974372637 -315.858156482684</f>
        <v>-1034.7197447319068</v>
      </c>
      <c r="R3475" t="s">
        <v>37197</v>
      </c>
      <c r="S3475" t="s">
        <v>37198</v>
      </c>
      <c r="T3475" t="s">
        <v>37199</v>
      </c>
      <c r="U3475" t="s">
        <v>37200</v>
      </c>
      <c r="V3475">
        <f>-771.826325720998 -99.5214850854596 -69.5307890582366</f>
        <v>-940.87859986469425</v>
      </c>
      <c r="W3475" t="s">
        <v>37201</v>
      </c>
      <c r="X3475" t="s">
        <v>37202</v>
      </c>
      <c r="Y3475" t="s">
        <v>37203</v>
      </c>
    </row>
    <row r="3476" spans="1:25" x14ac:dyDescent="0.3">
      <c r="A3476">
        <v>173750</v>
      </c>
      <c r="B3476" t="s">
        <v>37204</v>
      </c>
      <c r="C3476">
        <f>-812.665421745997 -8.91800892154924 -73.6958645499938</f>
        <v>-895.27929521754004</v>
      </c>
      <c r="D3476">
        <f>-844.371216637263 -30.8798539915219 -182.914266916092</f>
        <v>-1058.165337544877</v>
      </c>
      <c r="E3476">
        <f>-858.904682513002 -38.4316275875108 -280.168480010129</f>
        <v>-1177.5047901106418</v>
      </c>
      <c r="F3476">
        <f>-867.333703949709 -41.0195686590914 -368.82805435906</f>
        <v>-1277.1813269678605</v>
      </c>
      <c r="G3476">
        <f>-870.647722048029 -39.2718248817873 -457.845878482172</f>
        <v>-1367.7654254119884</v>
      </c>
      <c r="H3476">
        <f>-869.85533780858 -32.3395995263741 -582.232981014975</f>
        <v>-1484.4279183499291</v>
      </c>
      <c r="I3476">
        <f>-839.596593363015 -21.7991545740722 -658.903330599767</f>
        <v>-1520.2990785368543</v>
      </c>
      <c r="J3476">
        <f>-880.601946569288 -9.74221918248213 -526.133211064246</f>
        <v>-1416.4773768160162</v>
      </c>
      <c r="K3476" t="s">
        <v>37205</v>
      </c>
      <c r="L3476" t="s">
        <v>37206</v>
      </c>
      <c r="M3476" t="s">
        <v>37207</v>
      </c>
      <c r="N3476">
        <f>-859.806051061052 -61.0380692356757 -528.85947784736</f>
        <v>-1449.7035981440877</v>
      </c>
      <c r="O3476">
        <f>-810.444023647431 -187.135907984928 -505.168823446053</f>
        <v>-1502.7487550784119</v>
      </c>
      <c r="P3476">
        <f>-802.276098342057 -223.640342156781 -213.292235681929</f>
        <v>-1239.208676180767</v>
      </c>
      <c r="Q3476">
        <f>-666.727885313268 -53.0136389819394 -316.073726932444</f>
        <v>-1035.8152512276513</v>
      </c>
      <c r="R3476" t="s">
        <v>37208</v>
      </c>
      <c r="S3476" t="s">
        <v>37209</v>
      </c>
      <c r="T3476" t="s">
        <v>37210</v>
      </c>
      <c r="U3476" t="s">
        <v>37211</v>
      </c>
      <c r="V3476">
        <f>-771.785387323529 -99.4241070304951 -69.6156639595511</f>
        <v>-940.82515831357512</v>
      </c>
      <c r="W3476" t="s">
        <v>37212</v>
      </c>
      <c r="X3476" t="s">
        <v>37213</v>
      </c>
      <c r="Y3476" t="s">
        <v>37214</v>
      </c>
    </row>
    <row r="3477" spans="1:25" x14ac:dyDescent="0.3">
      <c r="A3477">
        <v>173800</v>
      </c>
      <c r="B3477" t="s">
        <v>37215</v>
      </c>
      <c r="C3477">
        <f>-811.949551232307 -8.85320639238421 -73.6233108029787</f>
        <v>-894.42606842766997</v>
      </c>
      <c r="D3477">
        <f>-843.868104068019 -30.7383436601331 -182.794915344585</f>
        <v>-1057.401363072737</v>
      </c>
      <c r="E3477">
        <f>-858.51554463852 -38.2734354666486 -280.033579365915</f>
        <v>-1176.8225594710837</v>
      </c>
      <c r="F3477">
        <f>-867.019514402082 -40.8651654855139 -368.685677272711</f>
        <v>-1276.5703571603069</v>
      </c>
      <c r="G3477">
        <f>-870.379895130699 -39.1413219912624 -457.702397542339</f>
        <v>-1367.2236146643004</v>
      </c>
      <c r="H3477">
        <f>-869.622284727008 -32.2638530886086 -582.092690779708</f>
        <v>-1483.9788285953246</v>
      </c>
      <c r="I3477">
        <f>-839.410734345668 -21.8196826366341 -658.794717912255</f>
        <v>-1520.0251348945571</v>
      </c>
      <c r="J3477">
        <f>-880.292862171955 -9.61745881745946 -525.998118082556</f>
        <v>-1415.9084390719704</v>
      </c>
      <c r="K3477" t="s">
        <v>37216</v>
      </c>
      <c r="L3477" t="s">
        <v>37217</v>
      </c>
      <c r="M3477" t="s">
        <v>37218</v>
      </c>
      <c r="N3477">
        <f>-859.618552147109 -60.9631668205462 -528.711221811807</f>
        <v>-1449.2929407794622</v>
      </c>
      <c r="O3477">
        <f>-810.531045794323 -187.174617370141 -505.050598311332</f>
        <v>-1502.7562614757958</v>
      </c>
      <c r="P3477">
        <f>-802.218526929068 -223.95445810534 -213.212781686259</f>
        <v>-1239.3857667206671</v>
      </c>
      <c r="Q3477">
        <f>-666.577907936736 -53.5843369690339 -316.297790624194</f>
        <v>-1036.460035529964</v>
      </c>
      <c r="R3477" t="s">
        <v>37219</v>
      </c>
      <c r="S3477" t="s">
        <v>37220</v>
      </c>
      <c r="T3477" t="s">
        <v>37221</v>
      </c>
      <c r="U3477" t="s">
        <v>37222</v>
      </c>
      <c r="V3477">
        <f>-771.281813761978 -99.0557784685122 -69.6680320060372</f>
        <v>-940.00562423652741</v>
      </c>
      <c r="W3477" t="s">
        <v>37223</v>
      </c>
      <c r="X3477" t="s">
        <v>37224</v>
      </c>
      <c r="Y3477" t="s">
        <v>37225</v>
      </c>
    </row>
    <row r="3478" spans="1:25" x14ac:dyDescent="0.3">
      <c r="A3478">
        <v>173850</v>
      </c>
      <c r="B3478" t="s">
        <v>37226</v>
      </c>
      <c r="C3478">
        <f>-810.519590214599 -8.54177104110022 -73.5583323083072</f>
        <v>-892.61969356400641</v>
      </c>
      <c r="D3478">
        <f>-842.850083162895 -30.1289624962146 -182.668078996665</f>
        <v>-1055.6471246557746</v>
      </c>
      <c r="E3478">
        <f>-857.743685683141 -37.5087259865438 -279.881162619125</f>
        <v>-1175.13357428881</v>
      </c>
      <c r="F3478">
        <f>-866.426479810923 -39.999301136274 -368.518851612034</f>
        <v>-1274.944632559231</v>
      </c>
      <c r="G3478">
        <f>-869.920380994726 -38.2171222583183 -457.529398093553</f>
        <v>-1365.6669013465973</v>
      </c>
      <c r="H3478">
        <f>-869.301427811653 -31.3043049150422 -581.91839722279</f>
        <v>-1482.5241299494851</v>
      </c>
      <c r="I3478">
        <f>-839.247514217509 -21.0086157860142 -658.702438522912</f>
        <v>-1518.9585685264351</v>
      </c>
      <c r="J3478">
        <f>-879.751269903303 -8.61102152120861 -525.801281675307</f>
        <v>-1414.1635730998187</v>
      </c>
      <c r="K3478" t="s">
        <v>37227</v>
      </c>
      <c r="L3478" t="s">
        <v>37228</v>
      </c>
      <c r="M3478" t="s">
        <v>37229</v>
      </c>
      <c r="N3478">
        <f>-859.396416501302 -60.0816898513998 -528.56040755206</f>
        <v>-1448.0385139047619</v>
      </c>
      <c r="O3478">
        <f>-811.077683297482 -186.617665316427 -505.009783515546</f>
        <v>-1502.7051321294553</v>
      </c>
      <c r="P3478">
        <f>-802.221169606967 -223.246729171681 -213.168998171508</f>
        <v>-1238.6368969501561</v>
      </c>
      <c r="Q3478">
        <f>-666.098427565625 -53.6309491058353 -316.860412000667</f>
        <v>-1036.5897886721273</v>
      </c>
      <c r="R3478" t="s">
        <v>37230</v>
      </c>
      <c r="S3478" t="s">
        <v>37231</v>
      </c>
      <c r="T3478" t="s">
        <v>37232</v>
      </c>
      <c r="U3478" t="s">
        <v>37233</v>
      </c>
      <c r="V3478">
        <f>-770.632066694364 -98.2786494184423 -69.822358243431</f>
        <v>-938.73307435623735</v>
      </c>
      <c r="W3478" t="s">
        <v>37234</v>
      </c>
      <c r="X3478" t="s">
        <v>37235</v>
      </c>
      <c r="Y3478" t="s">
        <v>37236</v>
      </c>
    </row>
    <row r="3479" spans="1:25" x14ac:dyDescent="0.3">
      <c r="A3479">
        <v>173900</v>
      </c>
      <c r="B3479" t="s">
        <v>37237</v>
      </c>
      <c r="C3479">
        <f>-809.263036843947 -8.74870148764467 -73.6729400882654</f>
        <v>-891.68467841985705</v>
      </c>
      <c r="D3479">
        <f>-841.90072371995 -29.9177404442137 -182.773241459899</f>
        <v>-1054.5917056240626</v>
      </c>
      <c r="E3479">
        <f>-857.002527599212 -37.0832774573844 -279.970228918494</f>
        <v>-1174.0560339750905</v>
      </c>
      <c r="F3479">
        <f>-865.852056300142 -39.4387673227445 -368.595126304591</f>
        <v>-1273.8859499274774</v>
      </c>
      <c r="G3479">
        <f>-869.489195827129 -37.5848539775088 -457.598386901673</f>
        <v>-1364.6724367063109</v>
      </c>
      <c r="H3479">
        <f>-869.044759819961 -30.6395680083888 -581.986356939459</f>
        <v>-1481.6706847678088</v>
      </c>
      <c r="I3479">
        <f>-839.177902197455 -20.5599618478375 -658.871971093467</f>
        <v>-1518.6098351387595</v>
      </c>
      <c r="J3479">
        <f>-879.198905415223 -7.87640668198446 -525.843403476009</f>
        <v>-1412.9187155732166</v>
      </c>
      <c r="K3479" t="s">
        <v>37238</v>
      </c>
      <c r="L3479" t="s">
        <v>37239</v>
      </c>
      <c r="M3479" t="s">
        <v>37240</v>
      </c>
      <c r="N3479">
        <f>-859.281864801264 -59.5152477633136 -528.655334685327</f>
        <v>-1447.4524472499047</v>
      </c>
      <c r="O3479">
        <f>-811.992966662747 -186.433409961637 -505.204913396845</f>
        <v>-1503.631290021229</v>
      </c>
      <c r="P3479">
        <f>-801.939872987401 -223.090113615007 -213.406242225125</f>
        <v>-1238.4362288275329</v>
      </c>
      <c r="Q3479">
        <f>-664.853113405074 -54.153506309831 -316.93637661926</f>
        <v>-1035.9429963341649</v>
      </c>
      <c r="R3479" t="s">
        <v>37241</v>
      </c>
      <c r="S3479" t="s">
        <v>37242</v>
      </c>
      <c r="T3479" t="s">
        <v>37243</v>
      </c>
      <c r="U3479" t="s">
        <v>37244</v>
      </c>
      <c r="V3479">
        <f>-769.950356972253 -98.2124053050392 -70.1586859953322</f>
        <v>-938.32144827262437</v>
      </c>
      <c r="W3479" t="s">
        <v>37245</v>
      </c>
      <c r="X3479" t="s">
        <v>37246</v>
      </c>
      <c r="Y3479" t="s">
        <v>37247</v>
      </c>
    </row>
    <row r="3480" spans="1:25" x14ac:dyDescent="0.3">
      <c r="A3480">
        <v>173950</v>
      </c>
      <c r="B3480" t="s">
        <v>37248</v>
      </c>
      <c r="C3480">
        <f>-808.592632223886 -8.84514378761401 -73.6745234236707</f>
        <v>-891.11229943517071</v>
      </c>
      <c r="D3480">
        <f>-841.285458250695 -29.8762579253441 -182.785001098763</f>
        <v>-1053.946717274802</v>
      </c>
      <c r="E3480">
        <f>-856.441640615151 -36.9736431768283 -279.978453281885</f>
        <v>-1173.3937370738643</v>
      </c>
      <c r="F3480">
        <f>-865.342531473255 -39.2889907595775 -368.599237017285</f>
        <v>-1273.2307592501174</v>
      </c>
      <c r="G3480">
        <f>-869.031571369791 -37.4195158707537 -457.600086529124</f>
        <v>-1364.0511737696686</v>
      </c>
      <c r="H3480">
        <f>-868.659230008516 -30.4802293914895 -581.98868983173</f>
        <v>-1481.1281492317355</v>
      </c>
      <c r="I3480">
        <f>-838.919494165913 -20.5364709007324 -658.941198382228</f>
        <v>-1518.3971634488735</v>
      </c>
      <c r="J3480">
        <f>-878.668925996752 -7.67169458998023 -525.838084991413</f>
        <v>-1412.1787055781451</v>
      </c>
      <c r="K3480" t="s">
        <v>37249</v>
      </c>
      <c r="L3480" t="s">
        <v>37250</v>
      </c>
      <c r="M3480" t="s">
        <v>37251</v>
      </c>
      <c r="N3480">
        <f>-858.977258025345 -59.3960405772158 -528.664734352441</f>
        <v>-1447.0380329550017</v>
      </c>
      <c r="O3480">
        <f>-812.227173742176 -186.523339564332 -505.200521117492</f>
        <v>-1503.951034424</v>
      </c>
      <c r="P3480">
        <f>-801.846066370285 -223.032712121518 -213.394915626238</f>
        <v>-1238.273694118041</v>
      </c>
      <c r="Q3480">
        <f>-664.784614000435 -54.3590287281683 -317.386434096357</f>
        <v>-1036.5300768249604</v>
      </c>
      <c r="R3480" t="s">
        <v>37252</v>
      </c>
      <c r="S3480" t="s">
        <v>37253</v>
      </c>
      <c r="T3480" t="s">
        <v>37254</v>
      </c>
      <c r="U3480" t="s">
        <v>37255</v>
      </c>
      <c r="V3480">
        <f>-769.497334077425 -98.1305153977659 -70.2041277938171</f>
        <v>-937.83197726900789</v>
      </c>
      <c r="W3480" t="s">
        <v>37256</v>
      </c>
      <c r="X3480" t="s">
        <v>37257</v>
      </c>
      <c r="Y3480" t="s">
        <v>37258</v>
      </c>
    </row>
    <row r="3481" spans="1:25" x14ac:dyDescent="0.3">
      <c r="A3481">
        <v>174000</v>
      </c>
      <c r="B3481" t="s">
        <v>37259</v>
      </c>
      <c r="C3481">
        <f>-807.50826002154 -8.83364976785697 -73.339981046087</f>
        <v>-889.68189083548396</v>
      </c>
      <c r="D3481">
        <f>-840.24625419496 -29.661338403356 -182.476022379978</f>
        <v>-1052.383614978294</v>
      </c>
      <c r="E3481">
        <f>-855.333792015731 -36.630191060402 -279.689428314722</f>
        <v>-1171.6534113908551</v>
      </c>
      <c r="F3481">
        <f>-864.1280672164 -38.8489313589926 -368.323382369786</f>
        <v>-1271.3003809451786</v>
      </c>
      <c r="G3481">
        <f>-867.664132564024 -36.9074376749429 -457.328891706218</f>
        <v>-1361.9004619451848</v>
      </c>
      <c r="H3481">
        <f>-867.028647713105 -29.8959859703386 -581.712323694246</f>
        <v>-1478.6369573776897</v>
      </c>
      <c r="I3481">
        <f>-837.536800485922 -20.1525183134447 -658.785802316583</f>
        <v>-1516.4751211159496</v>
      </c>
      <c r="J3481">
        <f>-876.956987370619 -7.04507395535825 -525.564618717882</f>
        <v>-1409.5666800438594</v>
      </c>
      <c r="K3481" t="s">
        <v>37260</v>
      </c>
      <c r="L3481" t="s">
        <v>37261</v>
      </c>
      <c r="M3481" t="s">
        <v>37262</v>
      </c>
      <c r="N3481">
        <f>-857.659590394039 -58.9178136937063 -528.389996566778</f>
        <v>-1444.9674006545233</v>
      </c>
      <c r="O3481">
        <f>-812.016787784435 -186.43373573234 -504.836063424264</f>
        <v>-1503.2865869410389</v>
      </c>
      <c r="P3481">
        <f>-802.241059867796 -223.305731015322 -213.055189211977</f>
        <v>-1238.6019800950951</v>
      </c>
      <c r="Q3481">
        <f>-664.997479197083 -55.1794962932208 -317.690932843358</f>
        <v>-1037.8679083336617</v>
      </c>
      <c r="R3481" t="s">
        <v>37263</v>
      </c>
      <c r="S3481" t="s">
        <v>37264</v>
      </c>
      <c r="T3481" t="s">
        <v>37265</v>
      </c>
      <c r="U3481" t="s">
        <v>37266</v>
      </c>
      <c r="V3481">
        <f>-768.944141395097 -98.160732370879 -69.8726099437844</f>
        <v>-936.97748370976035</v>
      </c>
      <c r="W3481" t="s">
        <v>37267</v>
      </c>
      <c r="X3481" t="s">
        <v>37268</v>
      </c>
      <c r="Y3481" t="s">
        <v>37269</v>
      </c>
    </row>
    <row r="3482" spans="1:25" x14ac:dyDescent="0.3">
      <c r="A3482">
        <v>174050</v>
      </c>
      <c r="B3482" t="s">
        <v>37270</v>
      </c>
      <c r="C3482">
        <f>-807.097183476241 -8.86225567503288 -73.1522311059695</f>
        <v>-889.1116702572433</v>
      </c>
      <c r="D3482">
        <f>-839.760317863794 -29.637435539765 -182.32057720083</f>
        <v>-1051.7183306043889</v>
      </c>
      <c r="E3482">
        <f>-854.763661737021 -36.5640527577832 -279.550174257033</f>
        <v>-1170.8778887518372</v>
      </c>
      <c r="F3482">
        <f>-863.47254277223 -38.7474919077758 -368.193472127069</f>
        <v>-1270.4135068070748</v>
      </c>
      <c r="G3482">
        <f>-866.91211984934 -36.7768509986827 -457.201964920574</f>
        <v>-1360.8909357685966</v>
      </c>
      <c r="H3482">
        <f>-866.128837367592 -29.7334077519249 -581.582911808463</f>
        <v>-1477.44515692798</v>
      </c>
      <c r="I3482">
        <f>-836.756059245223 -20.0813542101273 -658.713288081079</f>
        <v>-1515.5507015364292</v>
      </c>
      <c r="J3482">
        <f>-876.000337611879 -6.85137589670103 -525.437708283793</f>
        <v>-1408.2894217923731</v>
      </c>
      <c r="K3482" t="s">
        <v>37271</v>
      </c>
      <c r="L3482" t="s">
        <v>37272</v>
      </c>
      <c r="M3482" t="s">
        <v>37273</v>
      </c>
      <c r="N3482">
        <f>-856.946611651442 -58.8143337109992 -528.260188835037</f>
        <v>-1444.0211341974782</v>
      </c>
      <c r="O3482">
        <f>-811.925267459042 -186.536295960943 -504.630393672356</f>
        <v>-1503.0919570923409</v>
      </c>
      <c r="P3482">
        <f>-802.440787134985 -223.245717965171 -212.819363812444</f>
        <v>-1238.5058689125999</v>
      </c>
      <c r="Q3482">
        <f>-664.840085508994 -55.5647469404474 -317.70022331566</f>
        <v>-1038.1050557651015</v>
      </c>
      <c r="R3482" t="s">
        <v>37274</v>
      </c>
      <c r="S3482" t="s">
        <v>37275</v>
      </c>
      <c r="T3482" t="s">
        <v>37276</v>
      </c>
      <c r="U3482" t="s">
        <v>37277</v>
      </c>
      <c r="V3482">
        <f>-768.737120874573 -98.1899934708601 -69.6289024125148</f>
        <v>-936.55601675794787</v>
      </c>
      <c r="W3482" t="s">
        <v>37278</v>
      </c>
      <c r="X3482" t="s">
        <v>37279</v>
      </c>
      <c r="Y3482" t="s">
        <v>37280</v>
      </c>
    </row>
    <row r="3483" spans="1:25" x14ac:dyDescent="0.3">
      <c r="A3483">
        <v>174100</v>
      </c>
      <c r="B3483" t="s">
        <v>37281</v>
      </c>
      <c r="C3483">
        <f>-806.427657373721 -8.86521673676998 -72.8015571944591</f>
        <v>-888.09443130495004</v>
      </c>
      <c r="D3483">
        <f>-838.87505689303 -29.4797209861779 -182.064691597311</f>
        <v>-1050.4194694765188</v>
      </c>
      <c r="E3483">
        <f>-853.703343712159 -36.3882030013226 -279.32247436649</f>
        <v>-1169.4140210799717</v>
      </c>
      <c r="F3483">
        <f>-862.256203289381 -38.6083707761147 -367.979979697877</f>
        <v>-1268.8445537633727</v>
      </c>
      <c r="G3483">
        <f>-865.53843279287 -36.7362500397621 -456.996574938397</f>
        <v>-1359.271257771029</v>
      </c>
      <c r="H3483">
        <f>-864.53145378995 -29.9003260214192 -581.387358842222</f>
        <v>-1475.8191386535914</v>
      </c>
      <c r="I3483">
        <f>-835.364249406269 -20.5994527693624 -658.638821670765</f>
        <v>-1514.6025238463963</v>
      </c>
      <c r="J3483">
        <f>-874.198203487714 -6.81507503831335 -525.289825553999</f>
        <v>-1406.3031040800263</v>
      </c>
      <c r="K3483" t="s">
        <v>37282</v>
      </c>
      <c r="L3483" t="s">
        <v>37283</v>
      </c>
      <c r="M3483" t="s">
        <v>37284</v>
      </c>
      <c r="N3483">
        <f>-855.750964983013 -59.0019694991994 -528.008428649548</f>
        <v>-1442.7613631317604</v>
      </c>
      <c r="O3483">
        <f>-812.148158045429 -187.14646646023 -504.051052353889</f>
        <v>-1503.3456768595479</v>
      </c>
      <c r="P3483">
        <f>-802.681413463589 -223.81407070875 -212.234192387775</f>
        <v>-1238.7296765601141</v>
      </c>
      <c r="Q3483">
        <f>-664.023357236264 -57.0162360219115 -317.130683537575</f>
        <v>-1038.1702767957504</v>
      </c>
      <c r="R3483" t="s">
        <v>37285</v>
      </c>
      <c r="S3483" t="s">
        <v>37286</v>
      </c>
      <c r="T3483" t="s">
        <v>37287</v>
      </c>
      <c r="U3483" t="s">
        <v>37288</v>
      </c>
      <c r="V3483">
        <f>-768.475300741831 -98.2426589792242 -69.1501789103249</f>
        <v>-935.86813863138013</v>
      </c>
      <c r="W3483" t="s">
        <v>37289</v>
      </c>
      <c r="X3483" t="s">
        <v>37290</v>
      </c>
      <c r="Y3483" t="s">
        <v>37291</v>
      </c>
    </row>
    <row r="3484" spans="1:25" x14ac:dyDescent="0.3">
      <c r="A3484">
        <v>174150</v>
      </c>
      <c r="B3484" t="s">
        <v>37292</v>
      </c>
      <c r="C3484">
        <f>-806.144717784391 -8.65060185837547 -72.6872320901925</f>
        <v>-887.482551732959</v>
      </c>
      <c r="D3484">
        <f>-838.486578016924 -29.1317011628023 -182.006733285338</f>
        <v>-1049.6250124650642</v>
      </c>
      <c r="E3484">
        <f>-853.223572010808 -36.0319839008791 -279.278780337782</f>
        <v>-1168.5343362494691</v>
      </c>
      <c r="F3484">
        <f>-861.6937312626 -38.29002189875 -367.943382536539</f>
        <v>-1267.9271356978888</v>
      </c>
      <c r="G3484">
        <f>-864.891708451998 -36.5054505749729 -456.964816465668</f>
        <v>-1358.361975492639</v>
      </c>
      <c r="H3484">
        <f>-863.76446480408 -29.8457745361707 -581.364174974491</f>
        <v>-1474.9744143147418</v>
      </c>
      <c r="I3484">
        <f>-834.714960273386 -20.7928489005506 -658.689532767139</f>
        <v>-1514.1973419410756</v>
      </c>
      <c r="J3484">
        <f>-873.324684279659 -6.62495938986649 -525.304341007685</f>
        <v>-1405.2539846772106</v>
      </c>
      <c r="K3484" t="s">
        <v>37293</v>
      </c>
      <c r="L3484" t="s">
        <v>37294</v>
      </c>
      <c r="M3484" t="s">
        <v>37295</v>
      </c>
      <c r="N3484">
        <f>-855.196197315544 -58.9277984887946 -527.940187677081</f>
        <v>-1442.0641834814196</v>
      </c>
      <c r="O3484">
        <f>-812.295779696529 -187.283506004168 -503.815291694018</f>
        <v>-1503.394577394715</v>
      </c>
      <c r="P3484">
        <f>-803.244059663586 -223.953248233314 -211.985588084535</f>
        <v>-1239.182895981435</v>
      </c>
      <c r="Q3484">
        <f>-663.989270911104 -57.5058098768109 -316.647937202961</f>
        <v>-1038.1430179908757</v>
      </c>
      <c r="R3484" t="s">
        <v>37296</v>
      </c>
      <c r="S3484" t="s">
        <v>37297</v>
      </c>
      <c r="T3484" t="s">
        <v>37298</v>
      </c>
      <c r="U3484" t="s">
        <v>37299</v>
      </c>
      <c r="V3484">
        <f>-768.343706473884 -97.9772440713679 -69.0268572291785</f>
        <v>-935.34780777443041</v>
      </c>
      <c r="W3484" t="s">
        <v>37300</v>
      </c>
      <c r="X3484" t="s">
        <v>37301</v>
      </c>
      <c r="Y3484" t="s">
        <v>37302</v>
      </c>
    </row>
    <row r="3485" spans="1:25" x14ac:dyDescent="0.3">
      <c r="A3485">
        <v>174200</v>
      </c>
      <c r="B3485" t="s">
        <v>37303</v>
      </c>
      <c r="C3485">
        <f>-805.748567946579 -8.19575163123795 -72.5469284282151</f>
        <v>-886.49124800603204</v>
      </c>
      <c r="D3485">
        <f>-837.976993740735 -28.3183805076173 -181.966442796278</f>
        <v>-1048.2618170446303</v>
      </c>
      <c r="E3485">
        <f>-852.568013063874 -35.1964513334208 -279.26209343782</f>
        <v>-1167.0265578351148</v>
      </c>
      <c r="F3485">
        <f>-860.887223056733 -37.5554206601473 -367.938303264898</f>
        <v>-1266.3809469817784</v>
      </c>
      <c r="G3485">
        <f>-863.912673642733 -36.0014886407846 -456.970154141895</f>
        <v>-1356.8843164254126</v>
      </c>
      <c r="H3485">
        <f>-862.520591128838 -29.8058839792989 -581.390896553305</f>
        <v>-1473.7173716614418</v>
      </c>
      <c r="I3485">
        <f>-833.678663485254 -21.3757754902897 -658.863995108102</f>
        <v>-1513.9184340836457</v>
      </c>
      <c r="J3485">
        <f>-871.87161484948 -6.26509957963162 -525.429266748619</f>
        <v>-1403.5659811777307</v>
      </c>
      <c r="K3485" t="s">
        <v>37304</v>
      </c>
      <c r="L3485" t="s">
        <v>37305</v>
      </c>
      <c r="M3485" t="s">
        <v>37306</v>
      </c>
      <c r="N3485">
        <f>-854.394661376978 -58.7994742900262 -527.84963557274</f>
        <v>-1441.0437712397443</v>
      </c>
      <c r="O3485">
        <f>-812.950027057114 -187.554129909574 -503.326789528095</f>
        <v>-1503.8309464947829</v>
      </c>
      <c r="P3485">
        <f>-805.098795816164 -223.664612419822 -211.39254958456</f>
        <v>-1240.1559578205458</v>
      </c>
      <c r="Q3485">
        <f>-664.244427555218 -58.4317991972773 -315.838855058602</f>
        <v>-1038.5150818110974</v>
      </c>
      <c r="R3485" t="s">
        <v>37307</v>
      </c>
      <c r="S3485" t="s">
        <v>37308</v>
      </c>
      <c r="T3485" t="s">
        <v>37309</v>
      </c>
      <c r="U3485" t="s">
        <v>37310</v>
      </c>
      <c r="V3485">
        <f>-768.341444208856 -97.5980041224033 -68.9242153303189</f>
        <v>-934.86366366157824</v>
      </c>
      <c r="W3485" t="s">
        <v>37311</v>
      </c>
      <c r="X3485" t="s">
        <v>37312</v>
      </c>
      <c r="Y3485" t="s">
        <v>37313</v>
      </c>
    </row>
    <row r="3486" spans="1:25" x14ac:dyDescent="0.3">
      <c r="A3486">
        <v>174250</v>
      </c>
      <c r="B3486" t="s">
        <v>37314</v>
      </c>
      <c r="C3486">
        <f>-805.673169651986 -7.94196964377716 -72.4471393597009</f>
        <v>-886.06227865546407</v>
      </c>
      <c r="D3486">
        <f>-837.944675493093 -27.9416669201173 -181.876457754593</f>
        <v>-1047.7628001678033</v>
      </c>
      <c r="E3486">
        <f>-852.531137800093 -34.8592168030971 -279.169959865911</f>
        <v>-1166.5603144691011</v>
      </c>
      <c r="F3486">
        <f>-860.828646703787 -37.3153047270364 -367.845656733975</f>
        <v>-1265.9896081647983</v>
      </c>
      <c r="G3486">
        <f>-863.812863747123 -35.9261434791051 -456.881645958739</f>
        <v>-1356.6206531849671</v>
      </c>
      <c r="H3486">
        <f>-862.341282012546 -30.0335368513317 -581.316096593133</f>
        <v>-1473.6909154570108</v>
      </c>
      <c r="I3486">
        <f>-833.579939700948 -21.970658083967 -658.858298335838</f>
        <v>-1514.4088961207531</v>
      </c>
      <c r="J3486">
        <f>-871.555083898467 -6.29978779071007 -525.413211359902</f>
        <v>-1403.268083049079</v>
      </c>
      <c r="K3486" t="s">
        <v>37315</v>
      </c>
      <c r="L3486" t="s">
        <v>37316</v>
      </c>
      <c r="M3486" t="s">
        <v>37317</v>
      </c>
      <c r="N3486">
        <f>-854.422695215604 -58.9534571007426 -527.703899883226</f>
        <v>-1441.0800521995725</v>
      </c>
      <c r="O3486">
        <f>-813.766928811396 -187.914815958685 -502.958939777872</f>
        <v>-1504.640684547953</v>
      </c>
      <c r="P3486">
        <f>-806.23033816136 -223.666996917888 -210.972358168449</f>
        <v>-1240.8696932476971</v>
      </c>
      <c r="Q3486">
        <f>-664.437179500992 -59.3492219845836 -315.591752325083</f>
        <v>-1039.3781538106587</v>
      </c>
      <c r="R3486" t="s">
        <v>37318</v>
      </c>
      <c r="S3486" t="s">
        <v>37319</v>
      </c>
      <c r="T3486" t="s">
        <v>37320</v>
      </c>
      <c r="U3486" t="s">
        <v>37321</v>
      </c>
      <c r="V3486">
        <f>-768.558848721015 -97.2870752755297 -68.8063043186347</f>
        <v>-934.6522283151794</v>
      </c>
      <c r="W3486" t="s">
        <v>37322</v>
      </c>
      <c r="X3486" t="s">
        <v>37323</v>
      </c>
      <c r="Y3486" t="s">
        <v>37324</v>
      </c>
    </row>
    <row r="3487" spans="1:25" x14ac:dyDescent="0.3">
      <c r="A3487">
        <v>174300</v>
      </c>
      <c r="B3487" t="s">
        <v>37325</v>
      </c>
      <c r="C3487">
        <f>-805.684588728946 -7.44837626100139 -72.0582802136863</f>
        <v>-885.19124520363368</v>
      </c>
      <c r="D3487">
        <f>-838.087223272463 -27.1329485074748 -181.505982188942</f>
        <v>-1046.7261539688798</v>
      </c>
      <c r="E3487">
        <f>-852.727689518384 -34.0851332126431 -278.78893216211</f>
        <v>-1165.601754893137</v>
      </c>
      <c r="F3487">
        <f>-861.049727382012 -36.7022916408216 -367.457762761291</f>
        <v>-1265.2097817841245</v>
      </c>
      <c r="G3487">
        <f>-864.030664502796 -35.6136126773795 -456.497894006712</f>
        <v>-1356.1421711868875</v>
      </c>
      <c r="H3487">
        <f>-862.523592556865 -30.2931360961954 -580.957616140349</f>
        <v>-1473.7743447934095</v>
      </c>
      <c r="I3487">
        <f>-833.853562839518 -22.9943697356755 -658.609440451328</f>
        <v>-1515.4573730265215</v>
      </c>
      <c r="J3487">
        <f>-871.38549078147 -6.18614173679975 -525.157756049268</f>
        <v>-1402.7293885675376</v>
      </c>
      <c r="K3487" t="s">
        <v>37326</v>
      </c>
      <c r="L3487" t="s">
        <v>37327</v>
      </c>
      <c r="M3487" t="s">
        <v>37328</v>
      </c>
      <c r="N3487">
        <f>-854.988110057058 -59.0826675691022 -527.220487785977</f>
        <v>-1441.2912654121371</v>
      </c>
      <c r="O3487">
        <f>-816.025538389987 -188.502113959629 -502.070159592797</f>
        <v>-1506.597811942413</v>
      </c>
      <c r="P3487">
        <f>-808.634024269807 -223.468209944076 -209.984558965709</f>
        <v>-1242.0867931795922</v>
      </c>
      <c r="Q3487">
        <f>-665.003685642723 -61.1444046145831 -315.208995638608</f>
        <v>-1041.357085895914</v>
      </c>
      <c r="R3487" t="s">
        <v>37329</v>
      </c>
      <c r="S3487" t="s">
        <v>37330</v>
      </c>
      <c r="T3487" t="s">
        <v>37331</v>
      </c>
      <c r="U3487" t="s">
        <v>37332</v>
      </c>
      <c r="V3487">
        <f>-769.210515942982 -96.8557264186645 -68.3779756909537</f>
        <v>-934.44421805260026</v>
      </c>
      <c r="W3487" t="s">
        <v>37333</v>
      </c>
      <c r="X3487" t="s">
        <v>37334</v>
      </c>
      <c r="Y3487" t="s">
        <v>37335</v>
      </c>
    </row>
    <row r="3488" spans="1:25" x14ac:dyDescent="0.3">
      <c r="A3488">
        <v>174350</v>
      </c>
      <c r="B3488" t="s">
        <v>37336</v>
      </c>
      <c r="C3488">
        <f>-805.648591918631 -7.24309160833036 -71.9346709109817</f>
        <v>-884.82635443794311</v>
      </c>
      <c r="D3488">
        <f>-838.070790584307 -26.7423489869807 -181.409794175904</f>
        <v>-1046.2229337471917</v>
      </c>
      <c r="E3488">
        <f>-852.717634111566 -33.6619640277504 -278.694171676555</f>
        <v>-1165.0737698158714</v>
      </c>
      <c r="F3488">
        <f>-861.042980418255 -36.3004053274672 -367.361878384029</f>
        <v>-1264.7052641297512</v>
      </c>
      <c r="G3488">
        <f>-864.024569857368 -35.2873361823108 -456.402951199946</f>
        <v>-1355.7148572396247</v>
      </c>
      <c r="H3488">
        <f>-862.51484010116 -30.1312290467215 -580.869749887426</f>
        <v>-1473.5158190353075</v>
      </c>
      <c r="I3488">
        <f>-833.86459272629 -23.1932600158746 -658.561680645718</f>
        <v>-1515.6195333878825</v>
      </c>
      <c r="J3488">
        <f>-871.204675626091 -5.89769855688496 -525.097440474911</f>
        <v>-1402.1998146578869</v>
      </c>
      <c r="K3488" t="s">
        <v>37337</v>
      </c>
      <c r="L3488" t="s">
        <v>37338</v>
      </c>
      <c r="M3488" t="s">
        <v>37339</v>
      </c>
      <c r="N3488">
        <f>-855.153753141129 -58.9027340265758 -527.098621758096</f>
        <v>-1441.1551089258007</v>
      </c>
      <c r="O3488">
        <f>-817.018536712308 -188.531447787902 -501.781586304507</f>
        <v>-1507.3315708047171</v>
      </c>
      <c r="P3488">
        <f>-809.751011529013 -223.268957408289 -209.665588574028</f>
        <v>-1242.68555751133</v>
      </c>
      <c r="Q3488">
        <f>-665.237893650084 -61.8622520460295 -315.092018264249</f>
        <v>-1042.1921639603624</v>
      </c>
      <c r="R3488" t="s">
        <v>37340</v>
      </c>
      <c r="S3488" t="s">
        <v>37341</v>
      </c>
      <c r="T3488" t="s">
        <v>37342</v>
      </c>
      <c r="U3488" t="s">
        <v>37343</v>
      </c>
      <c r="V3488">
        <f>-769.42394990443 -96.7232423619921 -68.2210866492666</f>
        <v>-934.36827891568862</v>
      </c>
      <c r="W3488" t="s">
        <v>37344</v>
      </c>
      <c r="X3488" t="s">
        <v>37345</v>
      </c>
      <c r="Y3488" t="s">
        <v>37346</v>
      </c>
    </row>
    <row r="3489" spans="1:25" x14ac:dyDescent="0.3">
      <c r="A3489">
        <v>174400</v>
      </c>
      <c r="B3489" t="s">
        <v>37347</v>
      </c>
      <c r="C3489">
        <f>-805.901006761634 -7.21747862002485 -71.797330695088</f>
        <v>-884.91581607674686</v>
      </c>
      <c r="D3489">
        <f>-838.314551403615 -26.4610131079539 -181.320296344941</f>
        <v>-1046.0958608565099</v>
      </c>
      <c r="E3489">
        <f>-852.936578462666 -33.3114466796465 -278.613216743659</f>
        <v>-1164.8612418859716</v>
      </c>
      <c r="F3489">
        <f>-861.235316892215 -35.9465410770472 -367.283523256672</f>
        <v>-1264.4653812259342</v>
      </c>
      <c r="G3489">
        <f>-864.184950167332 -34.9955441875049 -456.326396640295</f>
        <v>-1355.5068909951319</v>
      </c>
      <c r="H3489">
        <f>-862.625199244393 -29.9957378220167 -580.798824957614</f>
        <v>-1473.4197620240238</v>
      </c>
      <c r="I3489">
        <f>-833.958266967672 -23.6924075055551 -658.538891274049</f>
        <v>-1516.189565747276</v>
      </c>
      <c r="J3489">
        <f>-871.04611370129 -5.60607933890833 -525.053652395011</f>
        <v>-1401.7058454352093</v>
      </c>
      <c r="K3489" t="s">
        <v>37348</v>
      </c>
      <c r="L3489" t="s">
        <v>37349</v>
      </c>
      <c r="M3489" t="s">
        <v>37350</v>
      </c>
      <c r="N3489">
        <f>-855.576730040691 -58.7857733363031 -526.995794382814</f>
        <v>-1441.358297759808</v>
      </c>
      <c r="O3489">
        <f>-818.856075719554 -188.794101825832 -501.550786671381</f>
        <v>-1509.200964216767</v>
      </c>
      <c r="P3489">
        <f>-812.354866608088 -223.346808544023 -209.394929317143</f>
        <v>-1245.0966044692541</v>
      </c>
      <c r="Q3489">
        <f>-665.781679396385 -63.6651720115194 -314.603935534483</f>
        <v>-1044.0507869423875</v>
      </c>
      <c r="R3489" t="s">
        <v>37351</v>
      </c>
      <c r="S3489" t="s">
        <v>37352</v>
      </c>
      <c r="T3489" t="s">
        <v>37353</v>
      </c>
      <c r="U3489" t="s">
        <v>37354</v>
      </c>
      <c r="V3489">
        <f>-770.269292723653 -96.9949941656705 -67.9879581856598</f>
        <v>-935.25224507498342</v>
      </c>
      <c r="W3489" t="s">
        <v>37355</v>
      </c>
      <c r="X3489" t="s">
        <v>37356</v>
      </c>
      <c r="Y3489" t="s">
        <v>37357</v>
      </c>
    </row>
    <row r="3490" spans="1:25" x14ac:dyDescent="0.3">
      <c r="A3490">
        <v>174450</v>
      </c>
      <c r="B3490" t="s">
        <v>37358</v>
      </c>
      <c r="C3490">
        <f>-806.111982141969 -7.14874340752999 -71.745696554675</f>
        <v>-885.00642210417391</v>
      </c>
      <c r="D3490">
        <f>-838.559543670069 -26.2634754324572 -181.281125502251</f>
        <v>-1046.1041446047773</v>
      </c>
      <c r="E3490">
        <f>-853.172370144535 -33.0729103545125 -278.578422788706</f>
        <v>-1164.8237032877535</v>
      </c>
      <c r="F3490">
        <f>-861.44852358465 -35.6985894844822 -367.250970136295</f>
        <v>-1264.3980832054272</v>
      </c>
      <c r="G3490">
        <f>-864.36121304845 -34.7673722803584 -456.295384649463</f>
        <v>-1355.4239699782715</v>
      </c>
      <c r="H3490">
        <f>-862.735360476423 -29.8270910746303 -580.769280487565</f>
        <v>-1473.3317320386182</v>
      </c>
      <c r="I3490">
        <f>-834.005397647245 -23.763348840962 -658.5050894681</f>
        <v>-1516.2738359563068</v>
      </c>
      <c r="J3490">
        <f>-871.080618403086 -5.38031665022049 -525.037676008299</f>
        <v>-1401.4986110616055</v>
      </c>
      <c r="K3490" t="s">
        <v>37359</v>
      </c>
      <c r="L3490" t="s">
        <v>37360</v>
      </c>
      <c r="M3490" t="s">
        <v>37361</v>
      </c>
      <c r="N3490">
        <f>-855.821096699019 -58.6217028630173 -526.951429870431</f>
        <v>-1441.3942294324672</v>
      </c>
      <c r="O3490">
        <f>-819.627525323 -188.774260744377 -501.474342580052</f>
        <v>-1509.8761286474289</v>
      </c>
      <c r="P3490">
        <f>-813.486761641243 -223.434009995315 -209.323314934389</f>
        <v>-1246.2440865709468</v>
      </c>
      <c r="Q3490">
        <f>-666.231058343739 -64.2286987054849 -314.300668212312</f>
        <v>-1044.7604252615361</v>
      </c>
      <c r="R3490" t="s">
        <v>37362</v>
      </c>
      <c r="S3490" t="s">
        <v>37363</v>
      </c>
      <c r="T3490" t="s">
        <v>37364</v>
      </c>
      <c r="U3490" t="s">
        <v>37365</v>
      </c>
      <c r="V3490">
        <f>-770.737169015845 -96.9446853396402 -67.9538384072008</f>
        <v>-935.63569276268595</v>
      </c>
      <c r="W3490" t="s">
        <v>37366</v>
      </c>
      <c r="X3490" t="s">
        <v>37367</v>
      </c>
      <c r="Y3490" t="s">
        <v>37368</v>
      </c>
    </row>
    <row r="3491" spans="1:25" x14ac:dyDescent="0.3">
      <c r="A3491">
        <v>174500</v>
      </c>
      <c r="B3491" t="s">
        <v>37369</v>
      </c>
      <c r="C3491">
        <f>-806.684134002282 -6.94099761454936 -71.6839192089192</f>
        <v>-885.30905082575055</v>
      </c>
      <c r="D3491">
        <f>-839.226334003249 -25.8354830311744 -181.229420825323</f>
        <v>-1046.2912378597464</v>
      </c>
      <c r="E3491">
        <f>-853.823906401786 -32.6197794548921 -278.530797161053</f>
        <v>-1164.974483017731</v>
      </c>
      <c r="F3491">
        <f>-862.050424681543 -35.2875078175553 -367.206862536293</f>
        <v>-1264.5447950353912</v>
      </c>
      <c r="G3491">
        <f>-864.877682233958 -34.4665530590514 -456.255113756224</f>
        <v>-1355.5993490492333</v>
      </c>
      <c r="H3491">
        <f>-863.095949983562 -29.7527200602549 -580.735648280005</f>
        <v>-1473.5843183238219</v>
      </c>
      <c r="I3491">
        <f>-834.168962840149 -24.0557035382831 -658.426014883151</f>
        <v>-1516.650681261583</v>
      </c>
      <c r="J3491">
        <f>-871.351783043881 -5.1596466274143 -525.05496958852</f>
        <v>-1401.5663992598152</v>
      </c>
      <c r="K3491" t="s">
        <v>37370</v>
      </c>
      <c r="L3491" t="s">
        <v>37371</v>
      </c>
      <c r="M3491" t="s">
        <v>37372</v>
      </c>
      <c r="N3491">
        <f>-856.408113148289 -58.4943542751871 -526.860718224949</f>
        <v>-1441.763185648425</v>
      </c>
      <c r="O3491">
        <f>-821.084049134692 -188.850930642012 -501.22889665763</f>
        <v>-1511.163876434334</v>
      </c>
      <c r="P3491">
        <f>-815.754858405072 -223.187891386082 -209.023790801931</f>
        <v>-1247.966540593085</v>
      </c>
      <c r="Q3491">
        <f>-666.791332707569 -65.3345732024795 -313.632802806416</f>
        <v>-1045.7587087164645</v>
      </c>
      <c r="R3491" t="s">
        <v>37373</v>
      </c>
      <c r="S3491" t="s">
        <v>37374</v>
      </c>
      <c r="T3491" t="s">
        <v>37375</v>
      </c>
      <c r="U3491" t="s">
        <v>37376</v>
      </c>
      <c r="V3491">
        <f>-771.795286950891 -96.8144831280752 -67.9169891373839</f>
        <v>-936.52675921635</v>
      </c>
      <c r="W3491" t="s">
        <v>37377</v>
      </c>
      <c r="X3491" t="s">
        <v>37378</v>
      </c>
      <c r="Y3491" t="s">
        <v>37379</v>
      </c>
    </row>
    <row r="3492" spans="1:25" x14ac:dyDescent="0.3">
      <c r="A3492">
        <v>174550</v>
      </c>
      <c r="B3492" t="s">
        <v>37380</v>
      </c>
      <c r="C3492">
        <f>-807.020768214779 -6.93020430804472 -71.6937404755387</f>
        <v>-885.64471299836237</v>
      </c>
      <c r="D3492">
        <f>-839.589200683118 -25.7383995581381 -181.246357784113</f>
        <v>-1046.5739580253689</v>
      </c>
      <c r="E3492">
        <f>-854.178892500595 -32.5312807079858 -278.54816645825</f>
        <v>-1165.2583396668308</v>
      </c>
      <c r="F3492">
        <f>-862.387411755275 -35.2399039446448 -367.224717698034</f>
        <v>-1264.8520333979538</v>
      </c>
      <c r="G3492">
        <f>-865.186367293099 -34.4937659485497 -456.274330679092</f>
        <v>-1355.9544639207406</v>
      </c>
      <c r="H3492">
        <f>-863.354515507185 -29.9205758510916 -580.759414339188</f>
        <v>-1474.0345056974647</v>
      </c>
      <c r="I3492">
        <f>-834.333121753926 -24.3741998025848 -658.425576950932</f>
        <v>-1517.1328985074429</v>
      </c>
      <c r="J3492">
        <f>-871.557441680677 -5.24373555649527 -525.108165141703</f>
        <v>-1401.9093423788754</v>
      </c>
      <c r="K3492" t="s">
        <v>37381</v>
      </c>
      <c r="L3492" t="s">
        <v>37382</v>
      </c>
      <c r="M3492" t="s">
        <v>37383</v>
      </c>
      <c r="N3492">
        <f>-856.763713554736 -58.6222610425408 -526.851401417672</f>
        <v>-1442.2373760149489</v>
      </c>
      <c r="O3492">
        <f>-821.810721743551 -189.056365456782 -501.078019174975</f>
        <v>-1511.9451063753081</v>
      </c>
      <c r="P3492">
        <f>-816.835971890081 -223.193745893945 -208.843407863417</f>
        <v>-1248.8731256474432</v>
      </c>
      <c r="Q3492">
        <f>-667.238380247063 -65.9297411577483 -313.435386486993</f>
        <v>-1046.6035078918044</v>
      </c>
      <c r="R3492" t="s">
        <v>37384</v>
      </c>
      <c r="S3492" t="s">
        <v>37385</v>
      </c>
      <c r="T3492" t="s">
        <v>37386</v>
      </c>
      <c r="U3492" t="s">
        <v>37387</v>
      </c>
      <c r="V3492">
        <f>-772.369043414182 -96.8787910790765 -67.9055118011364</f>
        <v>-937.15334629439496</v>
      </c>
      <c r="W3492" t="s">
        <v>37388</v>
      </c>
      <c r="X3492" t="s">
        <v>37389</v>
      </c>
      <c r="Y3492" t="s">
        <v>37390</v>
      </c>
    </row>
    <row r="3493" spans="1:25" x14ac:dyDescent="0.3">
      <c r="A3493">
        <v>174600</v>
      </c>
      <c r="B3493" t="s">
        <v>37391</v>
      </c>
      <c r="C3493">
        <f>-807.626427032639 -7.05728531668888 -71.6791272384048</f>
        <v>-886.36283958773265</v>
      </c>
      <c r="D3493">
        <f>-840.202776089331 -25.7666484832966 -181.246220928094</f>
        <v>-1047.2156455007216</v>
      </c>
      <c r="E3493">
        <f>-854.803869417547 -32.5937784323939 -278.543984949742</f>
        <v>-1165.941632799683</v>
      </c>
      <c r="F3493">
        <f>-863.02672899565 -35.3800845650444 -367.216916880537</f>
        <v>-1265.6237304412314</v>
      </c>
      <c r="G3493">
        <f>-865.844063343009 -34.761239741189 -456.266934312545</f>
        <v>-1356.872237396743</v>
      </c>
      <c r="H3493">
        <f>-864.042651270733 -30.417915434934 -580.760737628306</f>
        <v>-1475.221304333973</v>
      </c>
      <c r="I3493">
        <f>-834.881878526583 -25.1495699066591 -658.393949134569</f>
        <v>-1518.4253975678112</v>
      </c>
      <c r="J3493">
        <f>-872.101085188734 -5.60249845031649 -525.149809593825</f>
        <v>-1402.8533932328755</v>
      </c>
      <c r="K3493" t="s">
        <v>37392</v>
      </c>
      <c r="L3493" t="s">
        <v>37393</v>
      </c>
      <c r="M3493" t="s">
        <v>37394</v>
      </c>
      <c r="N3493">
        <f>-857.56964385345 -59.0559238078775 -526.804467411901</f>
        <v>-1443.4300350732285</v>
      </c>
      <c r="O3493">
        <f>-823.265874546518 -189.618740726035 -500.858151453525</f>
        <v>-1513.7427667260781</v>
      </c>
      <c r="P3493">
        <f>-818.737851901166 -223.461635974232 -208.581886143861</f>
        <v>-1250.7813740192591</v>
      </c>
      <c r="Q3493">
        <f>-668.701954078122 -66.6723257758341 -313.25859803915</f>
        <v>-1048.6328778931061</v>
      </c>
      <c r="R3493" t="s">
        <v>37395</v>
      </c>
      <c r="S3493" t="s">
        <v>37396</v>
      </c>
      <c r="T3493" t="s">
        <v>37397</v>
      </c>
      <c r="U3493" t="s">
        <v>37398</v>
      </c>
      <c r="V3493">
        <f>-773.25640839736 -97.1074954071411 -67.8207214238342</f>
        <v>-938.18462522833534</v>
      </c>
      <c r="W3493" t="s">
        <v>37399</v>
      </c>
      <c r="X3493" t="s">
        <v>37400</v>
      </c>
      <c r="Y3493" t="s">
        <v>37401</v>
      </c>
    </row>
    <row r="3494" spans="1:25" x14ac:dyDescent="0.3">
      <c r="A3494">
        <v>174650</v>
      </c>
      <c r="B3494" t="s">
        <v>37402</v>
      </c>
      <c r="C3494">
        <f>-807.862153974645 -7.30793390928079 -71.6562187881084</f>
        <v>-886.82630667203421</v>
      </c>
      <c r="D3494">
        <f>-840.49736672701 -25.9884047633216 -181.210720292816</f>
        <v>-1047.6964917831476</v>
      </c>
      <c r="E3494">
        <f>-855.167023529721 -32.8521617032916 -278.495664260582</f>
        <v>-1166.5148494935945</v>
      </c>
      <c r="F3494">
        <f>-863.459988664545 -35.6964247613864 -367.160088788898</f>
        <v>-1266.3165022148294</v>
      </c>
      <c r="G3494">
        <f>-866.355231673214 -35.160714689742 -456.208164562979</f>
        <v>-1357.7241109259351</v>
      </c>
      <c r="H3494">
        <f>-864.671187037156 -30.9605793454468 -580.708544225361</f>
        <v>-1476.3403106079638</v>
      </c>
      <c r="I3494">
        <f>-835.463494440087 -25.8342139659185 -658.333820120881</f>
        <v>-1519.6315285268865</v>
      </c>
      <c r="J3494">
        <f>-872.635021767952 -6.06975718346166 -525.117790810389</f>
        <v>-1403.8225697618027</v>
      </c>
      <c r="K3494" t="s">
        <v>37403</v>
      </c>
      <c r="L3494" t="s">
        <v>37404</v>
      </c>
      <c r="M3494" t="s">
        <v>37405</v>
      </c>
      <c r="N3494">
        <f>-858.189336374799 -59.5478489929631 -526.726453078532</f>
        <v>-1444.4636384462942</v>
      </c>
      <c r="O3494">
        <f>-824.081433215893 -190.151152673561 -500.713902106102</f>
        <v>-1514.946487995556</v>
      </c>
      <c r="P3494">
        <f>-819.387626778201 -223.617823694392 -208.397021729618</f>
        <v>-1251.4024722022111</v>
      </c>
      <c r="Q3494">
        <f>-669.178782888598 -67.0928248747817 -313.221285748654</f>
        <v>-1049.4928935120338</v>
      </c>
      <c r="R3494" t="s">
        <v>37406</v>
      </c>
      <c r="S3494" t="s">
        <v>37407</v>
      </c>
      <c r="T3494" t="s">
        <v>37408</v>
      </c>
      <c r="U3494" t="s">
        <v>37409</v>
      </c>
      <c r="V3494">
        <f>-773.622532650374 -97.425558830884 -67.7875788451155</f>
        <v>-938.83567032637347</v>
      </c>
      <c r="W3494" t="s">
        <v>37410</v>
      </c>
      <c r="X3494" t="s">
        <v>37411</v>
      </c>
      <c r="Y3494" t="s">
        <v>37412</v>
      </c>
    </row>
    <row r="3495" spans="1:25" x14ac:dyDescent="0.3">
      <c r="A3495">
        <v>174700</v>
      </c>
      <c r="B3495" t="s">
        <v>37413</v>
      </c>
      <c r="C3495">
        <f>-808.327433286274 -7.63874704573345 -71.6305409037886</f>
        <v>-887.59672123579605</v>
      </c>
      <c r="D3495">
        <f>-841.078224498146 -26.3084293519967 -181.152432429303</f>
        <v>-1048.5390862794457</v>
      </c>
      <c r="E3495">
        <f>-855.929786922154 -33.2927016337703 -278.401076082029</f>
        <v>-1167.6235646379532</v>
      </c>
      <c r="F3495">
        <f>-864.422004240657 -36.298497998346 -367.041399295319</f>
        <v>-1267.7619015343221</v>
      </c>
      <c r="G3495">
        <f>-867.551245877606 -35.9778434534612 -456.082646379674</f>
        <v>-1359.6117357107412</v>
      </c>
      <c r="H3495">
        <f>-866.229959693223 -32.1340685716566 -580.598916070391</f>
        <v>-1478.9629443352705</v>
      </c>
      <c r="I3495">
        <f>-836.990694682739 -27.2945973806027 -658.230387398715</f>
        <v>-1522.5156794620566</v>
      </c>
      <c r="J3495">
        <f>-873.966576156396 -7.06668909169275 -525.05523400917</f>
        <v>-1406.0884992572587</v>
      </c>
      <c r="K3495" t="s">
        <v>37414</v>
      </c>
      <c r="L3495" t="s">
        <v>37415</v>
      </c>
      <c r="M3495" t="s">
        <v>37416</v>
      </c>
      <c r="N3495">
        <f>-859.656220123666 -60.5843032928414 -526.555570531596</f>
        <v>-1446.7960939481034</v>
      </c>
      <c r="O3495">
        <f>-825.816441395073 -191.221371228651 -500.386575519523</f>
        <v>-1517.4243881432469</v>
      </c>
      <c r="P3495">
        <f>-820.294088962166 -224.340196082235 -208.044581533729</f>
        <v>-1252.6788665781301</v>
      </c>
      <c r="Q3495">
        <f>-669.826289809822 -68.2489334430252 -313.143679415794</f>
        <v>-1051.2189026686412</v>
      </c>
      <c r="R3495" t="s">
        <v>37417</v>
      </c>
      <c r="S3495" t="s">
        <v>37418</v>
      </c>
      <c r="T3495" t="s">
        <v>37419</v>
      </c>
      <c r="U3495" t="s">
        <v>37420</v>
      </c>
      <c r="V3495">
        <f>-774.198222834471 -97.7946420477952 -67.7483116305813</f>
        <v>-939.74117651284746</v>
      </c>
      <c r="W3495" t="s">
        <v>37421</v>
      </c>
      <c r="X3495" t="s">
        <v>37422</v>
      </c>
      <c r="Y3495" t="s">
        <v>37423</v>
      </c>
    </row>
    <row r="3496" spans="1:25" x14ac:dyDescent="0.3">
      <c r="A3496">
        <v>174750</v>
      </c>
      <c r="B3496" t="s">
        <v>37424</v>
      </c>
      <c r="C3496">
        <f>-808.491015895796 -7.5962869003838 -71.6369188625634</f>
        <v>-887.7242216587432</v>
      </c>
      <c r="D3496">
        <f>-841.289000367641 -26.3045061081498 -181.138076665638</f>
        <v>-1048.7315831414289</v>
      </c>
      <c r="E3496">
        <f>-856.226258374847 -33.3689008479839 -278.367841284053</f>
        <v>-1167.9630005068839</v>
      </c>
      <c r="F3496">
        <f>-864.814033433 -36.4667661882254 -366.99573572119</f>
        <v>-1268.2765353424154</v>
      </c>
      <c r="G3496">
        <f>-868.056638901245 -36.2587084705779 -456.033327384111</f>
        <v>-1360.3486747559339</v>
      </c>
      <c r="H3496">
        <f>-866.911464456662 -32.593922897669 -580.556667856796</f>
        <v>-1480.062055211127</v>
      </c>
      <c r="I3496">
        <f>-837.694607247658 -27.895648986412 -658.20541314772</f>
        <v>-1523.79566938179</v>
      </c>
      <c r="J3496">
        <f>-874.53726096306 -7.43824248088799 -525.03770745771</f>
        <v>-1407.0132109016581</v>
      </c>
      <c r="K3496" t="s">
        <v>37425</v>
      </c>
      <c r="L3496" t="s">
        <v>37426</v>
      </c>
      <c r="M3496" t="s">
        <v>37427</v>
      </c>
      <c r="N3496">
        <f>-860.293405632431 -60.975021037444 -526.482347994684</f>
        <v>-1447.750774664559</v>
      </c>
      <c r="O3496">
        <f>-826.583452497378 -191.632183242108 -500.198118603657</f>
        <v>-1518.413754343143</v>
      </c>
      <c r="P3496">
        <f>-820.834814580455 -224.257242991897 -207.804976055189</f>
        <v>-1252.8970336275411</v>
      </c>
      <c r="Q3496">
        <f>-669.952208844618 -68.6380027253872 -313.009310829902</f>
        <v>-1051.5995223999071</v>
      </c>
      <c r="R3496" t="s">
        <v>37428</v>
      </c>
      <c r="S3496" t="s">
        <v>37429</v>
      </c>
      <c r="T3496" t="s">
        <v>37430</v>
      </c>
      <c r="U3496" t="s">
        <v>37431</v>
      </c>
      <c r="V3496">
        <f>-774.359811290903 -97.6982466656531 -67.7379931366546</f>
        <v>-939.79605109321074</v>
      </c>
      <c r="W3496" t="s">
        <v>37432</v>
      </c>
      <c r="X3496" t="s">
        <v>37433</v>
      </c>
      <c r="Y3496" t="s">
        <v>37434</v>
      </c>
    </row>
    <row r="3497" spans="1:25" x14ac:dyDescent="0.3">
      <c r="A3497">
        <v>174800</v>
      </c>
      <c r="B3497" t="s">
        <v>37435</v>
      </c>
      <c r="C3497">
        <f>-808.808632509257 -7.71625576777296 -71.5774404546162</f>
        <v>-888.10232873164614</v>
      </c>
      <c r="D3497">
        <f>-841.738906478995 -26.5010496765483 -181.025921899091</f>
        <v>-1049.2658780546342</v>
      </c>
      <c r="E3497">
        <f>-856.816894708615 -33.7245362228057 -278.222204678373</f>
        <v>-1168.7636356097937</v>
      </c>
      <c r="F3497">
        <f>-865.543483036644 -37.0034834223309 -366.830076085848</f>
        <v>-1269.3770425448229</v>
      </c>
      <c r="G3497">
        <f>-868.93640002833 -37.0141520472571 -455.86220750736</f>
        <v>-1361.8127595829471</v>
      </c>
      <c r="H3497">
        <f>-868.013013080693 -33.6950563840435 -580.397094244414</f>
        <v>-1482.1051637091505</v>
      </c>
      <c r="I3497">
        <f>-838.895212824791 -29.2737569369451 -658.099395246787</f>
        <v>-1526.2683650085232</v>
      </c>
      <c r="J3497">
        <f>-875.48497487423 -8.37070375598137 -524.93381135065</f>
        <v>-1408.7894899808614</v>
      </c>
      <c r="K3497" t="s">
        <v>37436</v>
      </c>
      <c r="L3497" t="s">
        <v>37437</v>
      </c>
      <c r="M3497" t="s">
        <v>37438</v>
      </c>
      <c r="N3497">
        <f>-861.353635450988 -61.9404458010441 -526.257032584543</f>
        <v>-1449.551113836575</v>
      </c>
      <c r="O3497">
        <f>-827.820253089487 -192.579961098616 -499.663199630544</f>
        <v>-1520.0634138186469</v>
      </c>
      <c r="P3497">
        <f>-821.980806374563 -224.159429471559 -207.157147396622</f>
        <v>-1253.2973832427442</v>
      </c>
      <c r="Q3497">
        <f>-670.490818118455 -69.4104766481778 -312.771744317027</f>
        <v>-1052.6730390836597</v>
      </c>
      <c r="R3497" t="s">
        <v>37439</v>
      </c>
      <c r="S3497" t="s">
        <v>37440</v>
      </c>
      <c r="T3497" t="s">
        <v>37441</v>
      </c>
      <c r="U3497" t="s">
        <v>37442</v>
      </c>
      <c r="V3497">
        <f>-774.779499806838 -97.8880624414284 -67.6053713323682</f>
        <v>-940.27293358063457</v>
      </c>
      <c r="W3497" t="s">
        <v>37443</v>
      </c>
      <c r="X3497" t="s">
        <v>37444</v>
      </c>
      <c r="Y3497" t="s">
        <v>37445</v>
      </c>
    </row>
    <row r="3498" spans="1:25" x14ac:dyDescent="0.3">
      <c r="A3498">
        <v>174850</v>
      </c>
      <c r="B3498" t="s">
        <v>37446</v>
      </c>
      <c r="C3498">
        <f>-809.000704841186 -7.74238982893553 -71.5350860789555</f>
        <v>-888.27818074907702</v>
      </c>
      <c r="D3498">
        <f>-841.968426564438 -26.569740375669 -180.964908919896</f>
        <v>-1049.503075860003</v>
      </c>
      <c r="E3498">
        <f>-857.105085125883 -33.8855299899556 -278.145281080605</f>
        <v>-1169.1358961964436</v>
      </c>
      <c r="F3498">
        <f>-865.896521996354 -37.2695034301812 -366.74270226357</f>
        <v>-1269.908727690105</v>
      </c>
      <c r="G3498">
        <f>-869.366571820888 -37.4067735851331 -455.771858016545</f>
        <v>-1362.5452034225661</v>
      </c>
      <c r="H3498">
        <f>-868.564167286326 -34.2857426136316 -580.312710414399</f>
        <v>-1483.1626203143564</v>
      </c>
      <c r="I3498">
        <f>-839.50369079981 -30.0023543732841 -658.044096752025</f>
        <v>-1527.5501419251191</v>
      </c>
      <c r="J3498">
        <f>-875.96115861871 -8.86774006808196 -524.88231286101</f>
        <v>-1409.7112115478019</v>
      </c>
      <c r="K3498" t="s">
        <v>37447</v>
      </c>
      <c r="L3498" t="s">
        <v>37448</v>
      </c>
      <c r="M3498" t="s">
        <v>37449</v>
      </c>
      <c r="N3498">
        <f>-861.873435711484 -62.4505800452584 -526.134413559135</f>
        <v>-1450.4584293158775</v>
      </c>
      <c r="O3498">
        <f>-828.41151106468 -193.079096690418 -499.388802458241</f>
        <v>-1520.8794102133388</v>
      </c>
      <c r="P3498">
        <f>-822.501441561571 -224.200577497193 -206.835063505155</f>
        <v>-1253.5370825639191</v>
      </c>
      <c r="Q3498">
        <f>-670.856455680631 -69.7609600485571 -312.679546888493</f>
        <v>-1053.2969626176812</v>
      </c>
      <c r="R3498" t="s">
        <v>37450</v>
      </c>
      <c r="S3498" t="s">
        <v>37451</v>
      </c>
      <c r="T3498" t="s">
        <v>37452</v>
      </c>
      <c r="U3498" t="s">
        <v>37453</v>
      </c>
      <c r="V3498">
        <f>-775.012272642417 -97.9772908950873 -67.5207732642198</f>
        <v>-940.51033680172407</v>
      </c>
      <c r="W3498" t="s">
        <v>37454</v>
      </c>
      <c r="X3498" t="s">
        <v>37455</v>
      </c>
      <c r="Y3498" t="s">
        <v>37456</v>
      </c>
    </row>
    <row r="3499" spans="1:25" x14ac:dyDescent="0.3">
      <c r="A3499">
        <v>174900</v>
      </c>
      <c r="B3499" t="s">
        <v>37457</v>
      </c>
      <c r="C3499">
        <f>-809.344948199746 -7.69484002511967 -71.4338041005132</f>
        <v>-888.47359232537883</v>
      </c>
      <c r="D3499">
        <f>-842.395711197162 -26.628736098744 -180.820125921541</f>
        <v>-1049.8445732174469</v>
      </c>
      <c r="E3499">
        <f>-857.686104713855 -34.1053775468968 -277.964075236174</f>
        <v>-1169.7555574969258</v>
      </c>
      <c r="F3499">
        <f>-866.651694311942 -37.6605127803036 -366.537426182936</f>
        <v>-1270.8496332751815</v>
      </c>
      <c r="G3499">
        <f>-870.331104216183 -37.9937015402702 -455.557538099048</f>
        <v>-1363.8823438555012</v>
      </c>
      <c r="H3499">
        <f>-869.858338587315 -35.1718283839803 -580.107304116764</f>
        <v>-1485.1374710880591</v>
      </c>
      <c r="I3499">
        <f>-840.893405474744 -31.1317710777309 -657.887325556199</f>
        <v>-1529.9125021086738</v>
      </c>
      <c r="J3499">
        <f>-877.071581996767 -9.61100458131909 -524.718458673664</f>
        <v>-1411.40104525175</v>
      </c>
      <c r="K3499" t="s">
        <v>37458</v>
      </c>
      <c r="L3499" t="s">
        <v>37459</v>
      </c>
      <c r="M3499" t="s">
        <v>37460</v>
      </c>
      <c r="N3499">
        <f>-863.061188043951 -63.2162645264212 -525.879828275686</f>
        <v>-1452.1572808460583</v>
      </c>
      <c r="O3499">
        <f>-829.683921919534 -193.820402048113 -498.914005137923</f>
        <v>-1522.4183291055701</v>
      </c>
      <c r="P3499">
        <f>-823.266714653261 -224.346773066601 -206.308209779412</f>
        <v>-1253.9216974992739</v>
      </c>
      <c r="Q3499">
        <f>-671.715575155594 -70.1577054653721 -312.65132672157</f>
        <v>-1054.5246073425362</v>
      </c>
      <c r="R3499" t="s">
        <v>37461</v>
      </c>
      <c r="S3499" t="s">
        <v>37462</v>
      </c>
      <c r="T3499" t="s">
        <v>37463</v>
      </c>
      <c r="U3499" t="s">
        <v>37464</v>
      </c>
      <c r="V3499">
        <f>-775.439418655329 -97.9825415351437 -67.3049148090056</f>
        <v>-940.72687499947824</v>
      </c>
      <c r="W3499" t="s">
        <v>37465</v>
      </c>
      <c r="X3499" t="s">
        <v>37466</v>
      </c>
      <c r="Y3499" t="s">
        <v>37467</v>
      </c>
    </row>
    <row r="3500" spans="1:25" x14ac:dyDescent="0.3">
      <c r="A3500">
        <v>174950</v>
      </c>
      <c r="B3500" t="s">
        <v>37468</v>
      </c>
      <c r="C3500">
        <f>-809.526248271548 -7.60424889426326 -71.3895440452133</f>
        <v>-888.52004121102448</v>
      </c>
      <c r="D3500">
        <f>-842.618741557641 -26.5847220297571 -180.755126755504</f>
        <v>-1049.9585903429022</v>
      </c>
      <c r="E3500">
        <f>-857.986619072454 -34.1314149193045 -277.881585092825</f>
        <v>-1169.9996190845834</v>
      </c>
      <c r="F3500">
        <f>-867.039854230405 -37.7604590852284 -366.44298269903</f>
        <v>-1271.2432960146634</v>
      </c>
      <c r="G3500">
        <f>-870.825186087912 -38.1776517974674 -455.458197985702</f>
        <v>-1364.4610358710815</v>
      </c>
      <c r="H3500">
        <f>-870.519562115685 -35.4822055625268 -580.011377596387</f>
        <v>-1486.0131452745986</v>
      </c>
      <c r="I3500">
        <f>-841.590253475356 -31.539153957272 -657.809534351465</f>
        <v>-1530.938941784093</v>
      </c>
      <c r="J3500">
        <f>-877.653814097153 -9.86390692565465 -524.638791331925</f>
        <v>-1412.1565123547325</v>
      </c>
      <c r="K3500" t="s">
        <v>37469</v>
      </c>
      <c r="L3500" t="s">
        <v>37470</v>
      </c>
      <c r="M3500" t="s">
        <v>37471</v>
      </c>
      <c r="N3500">
        <f>-863.654360149575 -63.4727742269248 -525.764624606895</f>
        <v>-1452.891758983395</v>
      </c>
      <c r="O3500">
        <f>-830.283864766544 -194.053533145474 -498.701879403422</f>
        <v>-1523.0392773154399</v>
      </c>
      <c r="P3500">
        <f>-823.572313566684 -224.300818515386 -206.073717734064</f>
        <v>-1253.9468498161341</v>
      </c>
      <c r="Q3500">
        <f>-672.025906209632 -70.3228894523259 -312.728819435562</f>
        <v>-1055.0776150975198</v>
      </c>
      <c r="R3500" t="s">
        <v>37472</v>
      </c>
      <c r="S3500" t="s">
        <v>37473</v>
      </c>
      <c r="T3500" t="s">
        <v>37474</v>
      </c>
      <c r="U3500" t="s">
        <v>37475</v>
      </c>
      <c r="V3500">
        <f>-775.630313464403 -97.9387143010725 -67.2112828655572</f>
        <v>-940.78031063103276</v>
      </c>
      <c r="W3500" t="s">
        <v>37476</v>
      </c>
      <c r="X3500" t="s">
        <v>37477</v>
      </c>
      <c r="Y3500" t="s">
        <v>37478</v>
      </c>
    </row>
    <row r="3501" spans="1:25" x14ac:dyDescent="0.3">
      <c r="A3501">
        <v>175000</v>
      </c>
      <c r="B3501" t="s">
        <v>37479</v>
      </c>
      <c r="C3501">
        <f>-809.956098444634 -7.64443423073567 -71.3830120414397</f>
        <v>-888.98354471680932</v>
      </c>
      <c r="D3501">
        <f>-843.083432865063 -26.7260183454325 -180.72041165158</f>
        <v>-1050.5298628620756</v>
      </c>
      <c r="E3501">
        <f>-858.565333146156 -34.4140892357821 -277.817686155411</f>
        <v>-1170.7971085373492</v>
      </c>
      <c r="F3501">
        <f>-867.757452338455 -38.1912253181627 -366.358519623834</f>
        <v>-1272.3071972804516</v>
      </c>
      <c r="G3501">
        <f>-871.718127808775 -38.7753102307618 -455.36536648035</f>
        <v>-1365.8588045198867</v>
      </c>
      <c r="H3501">
        <f>-871.695765131119 -36.3310704673279 -579.924019618647</f>
        <v>-1487.9508552170937</v>
      </c>
      <c r="I3501">
        <f>-842.83708661499 -32.5277366019279 -657.755273353368</f>
        <v>-1533.120096570286</v>
      </c>
      <c r="J3501">
        <f>-878.724356160033 -10.6064533470158 -524.587166537987</f>
        <v>-1413.9179760450356</v>
      </c>
      <c r="K3501" t="s">
        <v>37480</v>
      </c>
      <c r="L3501" t="s">
        <v>37481</v>
      </c>
      <c r="M3501" t="s">
        <v>37482</v>
      </c>
      <c r="N3501">
        <f>-864.686797292327 -64.20684917218 -525.636586521367</f>
        <v>-1454.5302329858741</v>
      </c>
      <c r="O3501">
        <f>-831.155448969802 -194.711639828387 -498.385826617064</f>
        <v>-1524.252915415253</v>
      </c>
      <c r="P3501">
        <f>-824.021884513958 -224.310522184439 -205.701369281859</f>
        <v>-1254.033775980256</v>
      </c>
      <c r="Q3501">
        <f>-672.720503593465 -70.6402363318095 -313.145328377509</f>
        <v>-1056.5060683027834</v>
      </c>
      <c r="R3501" t="s">
        <v>37483</v>
      </c>
      <c r="S3501" t="s">
        <v>37484</v>
      </c>
      <c r="T3501" t="s">
        <v>37485</v>
      </c>
      <c r="U3501" t="s">
        <v>37486</v>
      </c>
      <c r="V3501">
        <f>-775.992987058528 -98.0989682628968 -67.1212671215235</f>
        <v>-941.21322244294834</v>
      </c>
      <c r="W3501" t="s">
        <v>37487</v>
      </c>
      <c r="X3501" t="s">
        <v>37488</v>
      </c>
      <c r="Y3501" t="s">
        <v>37489</v>
      </c>
    </row>
    <row r="3502" spans="1:25" x14ac:dyDescent="0.3">
      <c r="A3502">
        <v>175050</v>
      </c>
      <c r="B3502" t="s">
        <v>37490</v>
      </c>
      <c r="C3502">
        <f>-810.174222708702 -7.66568878465068 -71.3992465094647</f>
        <v>-889.23915800281736</v>
      </c>
      <c r="D3502">
        <f>-843.321584825947 -26.8115657561168 -180.719531760876</f>
        <v>-1050.8526823429397</v>
      </c>
      <c r="E3502">
        <f>-858.844562503661 -34.5591573675208 -277.805243024167</f>
        <v>-1171.2089628953488</v>
      </c>
      <c r="F3502">
        <f>-868.083337386612 -38.3921569282138 -366.338928316875</f>
        <v>-1272.8144226317008</v>
      </c>
      <c r="G3502">
        <f>-872.099881925722 -39.0336255342042 -455.342788650474</f>
        <v>-1366.4762961104002</v>
      </c>
      <c r="H3502">
        <f>-872.165421769325 -36.6714439907682 -579.902964817053</f>
        <v>-1488.7398305771462</v>
      </c>
      <c r="I3502">
        <f>-843.337667904369 -32.9016986728875 -657.747590642077</f>
        <v>-1533.9869572193334</v>
      </c>
      <c r="J3502">
        <f>-879.175258191991 -10.9156087212959 -524.578403295904</f>
        <v>-1414.6692702091909</v>
      </c>
      <c r="K3502" t="s">
        <v>37491</v>
      </c>
      <c r="L3502" t="s">
        <v>37492</v>
      </c>
      <c r="M3502" t="s">
        <v>37493</v>
      </c>
      <c r="N3502">
        <f>-865.098017605716 -64.5062676941182 -525.602078975371</f>
        <v>-1455.206364275205</v>
      </c>
      <c r="O3502">
        <f>-831.465251266389 -194.970109051978 -498.301247552738</f>
        <v>-1524.736607871105</v>
      </c>
      <c r="P3502">
        <f>-824.142166137411 -224.392847724429 -205.603642907524</f>
        <v>-1254.1386567693642</v>
      </c>
      <c r="Q3502">
        <f>-673.034438251221 -70.7115839573463 -313.304281497493</f>
        <v>-1057.0503037060603</v>
      </c>
      <c r="R3502" t="s">
        <v>37494</v>
      </c>
      <c r="S3502" t="s">
        <v>37495</v>
      </c>
      <c r="T3502" t="s">
        <v>37496</v>
      </c>
      <c r="U3502" t="s">
        <v>37497</v>
      </c>
      <c r="V3502">
        <f>-776.124110882557 -98.0727644803798 -67.1088945221954</f>
        <v>-941.30576988513224</v>
      </c>
      <c r="W3502" t="s">
        <v>37498</v>
      </c>
      <c r="X3502" t="s">
        <v>37499</v>
      </c>
      <c r="Y3502" t="s">
        <v>37500</v>
      </c>
    </row>
    <row r="3503" spans="1:25" x14ac:dyDescent="0.3">
      <c r="A3503">
        <v>175100</v>
      </c>
      <c r="B3503" t="s">
        <v>37501</v>
      </c>
      <c r="C3503">
        <f>-810.714378942569 -7.60281645953728 -71.4365830322148</f>
        <v>-889.75377843432113</v>
      </c>
      <c r="D3503">
        <f>-843.820868508848 -26.875608256873 -180.7468287915</f>
        <v>-1051.443305557221</v>
      </c>
      <c r="E3503">
        <f>-859.342568522427 -34.7286617404761 -277.824389809171</f>
        <v>-1171.8956200720741</v>
      </c>
      <c r="F3503">
        <f>-868.593270187101 -38.6568053859969 -366.352525506796</f>
        <v>-1273.6026010798939</v>
      </c>
      <c r="G3503">
        <f>-872.634808317853 -39.3924189535762 -455.354802571102</f>
        <v>-1367.3820298425312</v>
      </c>
      <c r="H3503">
        <f>-872.74865249399 -37.1603157230229 -579.917201873044</f>
        <v>-1489.8261700900568</v>
      </c>
      <c r="I3503">
        <f>-843.959599165456 -33.4239525319106 -657.777621104344</f>
        <v>-1535.1611728017106</v>
      </c>
      <c r="J3503">
        <f>-879.785203474583 -11.3594048465347 -524.616999143528</f>
        <v>-1415.7616074646457</v>
      </c>
      <c r="K3503" t="s">
        <v>37502</v>
      </c>
      <c r="L3503" t="s">
        <v>37503</v>
      </c>
      <c r="M3503" t="s">
        <v>37504</v>
      </c>
      <c r="N3503">
        <f>-865.612029650793 -64.9256009046862 -525.589764821547</f>
        <v>-1456.1273953770262</v>
      </c>
      <c r="O3503">
        <f>-831.759067036915 -195.309917307804 -498.18530704803</f>
        <v>-1525.2542913927489</v>
      </c>
      <c r="P3503">
        <f>-824.135631157354 -224.348258481206 -205.456998394286</f>
        <v>-1253.940888032846</v>
      </c>
      <c r="Q3503">
        <f>-673.053691170886 -70.7078937664851 -313.251771845895</f>
        <v>-1057.0133567832661</v>
      </c>
      <c r="R3503" t="s">
        <v>37505</v>
      </c>
      <c r="S3503" t="s">
        <v>37506</v>
      </c>
      <c r="T3503" t="s">
        <v>37507</v>
      </c>
      <c r="U3503" t="s">
        <v>37508</v>
      </c>
      <c r="V3503">
        <f>-776.494730213004 -98.0074903826882 -67.0899624167949</f>
        <v>-941.59218301248711</v>
      </c>
      <c r="W3503" t="s">
        <v>37509</v>
      </c>
      <c r="X3503" t="s">
        <v>37510</v>
      </c>
      <c r="Y3503" t="s">
        <v>37511</v>
      </c>
    </row>
    <row r="3504" spans="1:25" x14ac:dyDescent="0.3">
      <c r="A3504">
        <v>175150</v>
      </c>
      <c r="B3504" t="s">
        <v>37512</v>
      </c>
      <c r="C3504">
        <f>-810.937335789478 -7.47233246308792 -71.4786509722334</f>
        <v>-889.88831922479926</v>
      </c>
      <c r="D3504">
        <f>-843.940160416717 -26.8049807792681 -180.809751529106</f>
        <v>-1051.5548927250911</v>
      </c>
      <c r="E3504">
        <f>-859.37872049842 -34.7070812917596 -277.896595547766</f>
        <v>-1171.9823973379455</v>
      </c>
      <c r="F3504">
        <f>-868.556923111577 -38.6788523697462 -366.430353659498</f>
        <v>-1273.6661291408213</v>
      </c>
      <c r="G3504">
        <f>-872.529485031303 -39.4561203665769 -455.435245858676</f>
        <v>-1367.420851256556</v>
      </c>
      <c r="H3504">
        <f>-872.551116190912 -37.2797430308533 -579.998651651856</f>
        <v>-1489.8295108736213</v>
      </c>
      <c r="I3504">
        <f>-843.773051688981 -33.5217602651148 -657.862269216814</f>
        <v>-1535.1570811709098</v>
      </c>
      <c r="J3504">
        <f>-879.679787075039 -11.4677725385791 -524.715537724202</f>
        <v>-1415.8630973378201</v>
      </c>
      <c r="K3504" t="s">
        <v>37513</v>
      </c>
      <c r="L3504" t="s">
        <v>37514</v>
      </c>
      <c r="M3504" t="s">
        <v>37515</v>
      </c>
      <c r="N3504">
        <f>-865.403491891958 -65.0071724109052 -525.653462901373</f>
        <v>-1456.0641272042362</v>
      </c>
      <c r="O3504">
        <f>-831.276928135415 -195.293752476615 -498.119709970126</f>
        <v>-1524.6903905821559</v>
      </c>
      <c r="P3504">
        <f>-823.514666304047 -224.231444587213 -205.38502501531</f>
        <v>-1253.1311359065699</v>
      </c>
      <c r="Q3504">
        <f>-673.026159865724 -70.440415948979 -313.793561789897</f>
        <v>-1057.2601376046</v>
      </c>
      <c r="R3504" t="s">
        <v>37516</v>
      </c>
      <c r="S3504" t="s">
        <v>37517</v>
      </c>
      <c r="T3504" t="s">
        <v>37518</v>
      </c>
      <c r="U3504" t="s">
        <v>37519</v>
      </c>
      <c r="V3504">
        <f>-776.668048529984 -97.8033987416266 -67.0697672210955</f>
        <v>-941.5412144927061</v>
      </c>
      <c r="W3504" t="s">
        <v>37520</v>
      </c>
      <c r="X3504" t="s">
        <v>37521</v>
      </c>
      <c r="Y3504" t="s">
        <v>37522</v>
      </c>
    </row>
    <row r="3505" spans="1:25" x14ac:dyDescent="0.3">
      <c r="A3505">
        <v>175200</v>
      </c>
      <c r="B3505" t="s">
        <v>37523</v>
      </c>
      <c r="C3505">
        <f>-811.132282918553 -7.27357836364354 -71.5193933774669</f>
        <v>-889.92525465966344</v>
      </c>
      <c r="D3505">
        <f>-844.055121589968 -26.6559770076592 -180.865819707033</f>
        <v>-1051.5769183046602</v>
      </c>
      <c r="E3505">
        <f>-859.439507465588 -34.5809948538656 -277.959373215073</f>
        <v>-1171.9798755345266</v>
      </c>
      <c r="F3505">
        <f>-868.574608038908 -38.5656385818259 -366.497133335804</f>
        <v>-1273.6373799565379</v>
      </c>
      <c r="G3505">
        <f>-872.509561096983 -39.3475521545863 -455.503470635415</f>
        <v>-1367.3605838869844</v>
      </c>
      <c r="H3505">
        <f>-872.484856126881 -37.169231708737 -580.066954608394</f>
        <v>-1489.721042444012</v>
      </c>
      <c r="I3505">
        <f>-843.709692401789 -33.3879865678107 -657.930427793143</f>
        <v>-1535.0281067627427</v>
      </c>
      <c r="J3505">
        <f>-879.656005389593 -11.3639758302329 -524.786102259414</f>
        <v>-1415.80608347924</v>
      </c>
      <c r="K3505" t="s">
        <v>37524</v>
      </c>
      <c r="L3505" t="s">
        <v>37525</v>
      </c>
      <c r="M3505" t="s">
        <v>37526</v>
      </c>
      <c r="N3505">
        <f>-865.335586507708 -64.8916856825475 -525.719379005789</f>
        <v>-1455.9466511960445</v>
      </c>
      <c r="O3505">
        <f>-831.098738936021 -195.137516951565 -498.13695908493</f>
        <v>-1524.3732149725161</v>
      </c>
      <c r="P3505">
        <f>-823.28598011685 -223.879195312756 -205.384387516523</f>
        <v>-1252.5495629461291</v>
      </c>
      <c r="Q3505">
        <f>-673.004273147797 -70.0345024359949 -314.003268918743</f>
        <v>-1057.042044502535</v>
      </c>
      <c r="R3505" t="s">
        <v>37527</v>
      </c>
      <c r="S3505" t="s">
        <v>37528</v>
      </c>
      <c r="T3505" t="s">
        <v>37529</v>
      </c>
      <c r="U3505" t="s">
        <v>37530</v>
      </c>
      <c r="V3505">
        <f>-776.753161757987 -97.6606953667007 -67.0626405357804</f>
        <v>-941.476497660468</v>
      </c>
      <c r="W3505" t="s">
        <v>37531</v>
      </c>
      <c r="X3505" t="s">
        <v>37532</v>
      </c>
      <c r="Y3505" t="s">
        <v>37533</v>
      </c>
    </row>
    <row r="3506" spans="1:25" x14ac:dyDescent="0.3">
      <c r="A3506">
        <v>175250</v>
      </c>
      <c r="B3506" t="s">
        <v>37534</v>
      </c>
      <c r="C3506">
        <f>-811.272915458997 -7.11535636314443 -71.5386239484382</f>
        <v>-889.92689577057956</v>
      </c>
      <c r="D3506">
        <f>-844.11352036058 -26.5335755800543 -180.903299364713</f>
        <v>-1051.5503953053471</v>
      </c>
      <c r="E3506">
        <f>-859.441197539263 -34.4751096421933 -278.004540275893</f>
        <v>-1171.9208474573493</v>
      </c>
      <c r="F3506">
        <f>-868.529981220733 -38.4701286385509 -366.54659788828</f>
        <v>-1273.5467077475639</v>
      </c>
      <c r="G3506">
        <f>-872.423939122485 -39.2578584659561 -455.554714397321</f>
        <v>-1367.236511985762</v>
      </c>
      <c r="H3506">
        <f>-872.346648895212 -37.0829621327023 -580.118241703197</f>
        <v>-1489.5478527311111</v>
      </c>
      <c r="I3506">
        <f>-843.559731511608 -33.2872778805158 -657.97673556602</f>
        <v>-1534.8237449581438</v>
      </c>
      <c r="J3506">
        <f>-879.563717079155 -11.2823247170113 -524.841414600856</f>
        <v>-1415.6874563970223</v>
      </c>
      <c r="K3506" t="s">
        <v>37535</v>
      </c>
      <c r="L3506" t="s">
        <v>37536</v>
      </c>
      <c r="M3506" t="s">
        <v>37537</v>
      </c>
      <c r="N3506">
        <f>-865.197587777853 -64.7978656787647 -525.766811159382</f>
        <v>-1455.7622646159996</v>
      </c>
      <c r="O3506">
        <f>-830.841350142972 -195.00864600764 -498.139446600152</f>
        <v>-1523.9894427507641</v>
      </c>
      <c r="P3506">
        <f>-822.935856816775 -223.687355114098 -205.383222123869</f>
        <v>-1252.0064340547419</v>
      </c>
      <c r="Q3506">
        <f>-672.873479778585 -69.6742792254903 -314.066727282133</f>
        <v>-1056.6144862862084</v>
      </c>
      <c r="R3506" t="s">
        <v>37538</v>
      </c>
      <c r="S3506" t="s">
        <v>37539</v>
      </c>
      <c r="T3506" t="s">
        <v>37540</v>
      </c>
      <c r="U3506" t="s">
        <v>37541</v>
      </c>
      <c r="V3506">
        <f>-776.779409328575 -97.5113530580022 -67.0757545544599</f>
        <v>-941.36651694103705</v>
      </c>
      <c r="W3506" t="s">
        <v>37542</v>
      </c>
      <c r="X3506" t="s">
        <v>37543</v>
      </c>
      <c r="Y3506" t="s">
        <v>37544</v>
      </c>
    </row>
    <row r="3507" spans="1:25" x14ac:dyDescent="0.3">
      <c r="A3507">
        <v>175300</v>
      </c>
      <c r="B3507" t="s">
        <v>37545</v>
      </c>
      <c r="C3507">
        <f>-811.371682442804 -6.78000241822951 -71.6272979712786</f>
        <v>-889.77898283231207</v>
      </c>
      <c r="D3507">
        <f>-844.17717525042 -26.2131174068086 -180.999800978572</f>
        <v>-1051.3900936358004</v>
      </c>
      <c r="E3507">
        <f>-859.484783706329 -34.1605905488086 -278.103797415499</f>
        <v>-1171.7491716706368</v>
      </c>
      <c r="F3507">
        <f>-868.559378789293 -38.1589560843174 -366.647002203245</f>
        <v>-1273.3653370768554</v>
      </c>
      <c r="G3507">
        <f>-872.443354663688 -38.9474970420497 -455.655692069907</f>
        <v>-1367.0465437756447</v>
      </c>
      <c r="H3507">
        <f>-872.356609554024 -36.7700907634148 -580.219244482647</f>
        <v>-1489.3459448000858</v>
      </c>
      <c r="I3507">
        <f>-843.573458135217 -32.9282662144303 -658.076656060101</f>
        <v>-1534.5783804097482</v>
      </c>
      <c r="J3507">
        <f>-879.632753260024 -10.9853308163651 -524.942531335376</f>
        <v>-1415.560615411765</v>
      </c>
      <c r="K3507" t="s">
        <v>37546</v>
      </c>
      <c r="L3507" t="s">
        <v>37547</v>
      </c>
      <c r="M3507" t="s">
        <v>37548</v>
      </c>
      <c r="N3507">
        <f>-865.156810415553 -64.4712732377183 -525.867356008398</f>
        <v>-1455.4954396616693</v>
      </c>
      <c r="O3507">
        <f>-830.540197490839 -194.603753526167 -498.201639895968</f>
        <v>-1523.3455909129739</v>
      </c>
      <c r="P3507">
        <f>-822.63292985731 -223.156821993199 -205.433149757662</f>
        <v>-1251.222901608171</v>
      </c>
      <c r="Q3507">
        <f>-672.519445929557 -69.1054196891405 -313.991819219815</f>
        <v>-1055.6166848385126</v>
      </c>
      <c r="R3507" t="s">
        <v>37549</v>
      </c>
      <c r="S3507" t="s">
        <v>37550</v>
      </c>
      <c r="T3507" t="s">
        <v>37551</v>
      </c>
      <c r="U3507" t="s">
        <v>37552</v>
      </c>
      <c r="V3507">
        <f>-776.760697996736 -97.1083412528949 -67.1721401371659</f>
        <v>-941.04117938679678</v>
      </c>
      <c r="W3507" t="s">
        <v>37553</v>
      </c>
      <c r="X3507" t="s">
        <v>37554</v>
      </c>
      <c r="Y3507" t="s">
        <v>37555</v>
      </c>
    </row>
    <row r="3508" spans="1:25" x14ac:dyDescent="0.3">
      <c r="A3508">
        <v>175350</v>
      </c>
      <c r="B3508" t="s">
        <v>37556</v>
      </c>
      <c r="C3508">
        <f>-811.408235077678 -6.59935076917782 -71.6682459057442</f>
        <v>-889.67583175260006</v>
      </c>
      <c r="D3508">
        <f>-844.155797925358 -26.0175637247537 -181.060914279614</f>
        <v>-1051.2342759297258</v>
      </c>
      <c r="E3508">
        <f>-859.466346844407 -33.9593619044365 -278.164824326665</f>
        <v>-1171.5905330755086</v>
      </c>
      <c r="F3508">
        <f>-868.565265541364 -37.956358752763 -366.705624244637</f>
        <v>-1273.2272485387641</v>
      </c>
      <c r="G3508">
        <f>-872.495012650342 -38.7465577030225 -455.712185550983</f>
        <v>-1366.9537559043474</v>
      </c>
      <c r="H3508">
        <f>-872.495012798564 -36.5755974350245 -580.275848399277</f>
        <v>-1489.3464586328655</v>
      </c>
      <c r="I3508">
        <f>-843.738698360425 -32.7099222229308 -658.142068060333</f>
        <v>-1534.5906886436887</v>
      </c>
      <c r="J3508">
        <f>-879.75152552159 -10.792944169697 -524.995493437912</f>
        <v>-1415.5399631291989</v>
      </c>
      <c r="K3508" t="s">
        <v>37557</v>
      </c>
      <c r="L3508" t="s">
        <v>37558</v>
      </c>
      <c r="M3508" t="s">
        <v>37559</v>
      </c>
      <c r="N3508">
        <f>-865.238619054634 -64.2689465899874 -525.927472702229</f>
        <v>-1455.4350383468504</v>
      </c>
      <c r="O3508">
        <f>-830.540272242588 -194.3770407192 -498.248835619146</f>
        <v>-1523.1661485809341</v>
      </c>
      <c r="P3508">
        <f>-822.479160407506 -222.948883104985 -205.486362496329</f>
        <v>-1250.9144060088202</v>
      </c>
      <c r="Q3508">
        <f>-672.420016033986 -68.8111891020009 -313.997466937401</f>
        <v>-1055.2286720733878</v>
      </c>
      <c r="R3508" t="s">
        <v>37560</v>
      </c>
      <c r="S3508" t="s">
        <v>37561</v>
      </c>
      <c r="T3508" t="s">
        <v>37562</v>
      </c>
      <c r="U3508" t="s">
        <v>37563</v>
      </c>
      <c r="V3508">
        <f>-776.755592875249 -96.9265349209857 -67.2456669902356</f>
        <v>-940.92779478647026</v>
      </c>
      <c r="W3508" t="s">
        <v>37564</v>
      </c>
      <c r="X3508" t="s">
        <v>37565</v>
      </c>
      <c r="Y3508" t="s">
        <v>37566</v>
      </c>
    </row>
    <row r="3509" spans="1:25" x14ac:dyDescent="0.3">
      <c r="A3509">
        <v>175400</v>
      </c>
      <c r="B3509" t="s">
        <v>37567</v>
      </c>
      <c r="C3509">
        <f>-811.302632101008 -6.01345478398753 -71.7538051305964</f>
        <v>-889.06989201559202</v>
      </c>
      <c r="D3509">
        <f>-843.945156842737 -25.3711724279253 -181.188519330401</f>
        <v>-1050.5048486010633</v>
      </c>
      <c r="E3509">
        <f>-859.235366847129 -33.2953919743582 -278.297112456402</f>
        <v>-1170.827871277889</v>
      </c>
      <c r="F3509">
        <f>-868.345334360248 -37.2905712582717 -366.836959766307</f>
        <v>-1272.4728653848267</v>
      </c>
      <c r="G3509">
        <f>-872.316769838267 -38.0922753258217 -455.841416968893</f>
        <v>-1366.2504621329817</v>
      </c>
      <c r="H3509">
        <f>-872.407030635434 -35.9506664057608 -580.405607876855</f>
        <v>-1488.7633049180499</v>
      </c>
      <c r="I3509">
        <f>-843.680325014943 -32.0461957249386 -658.280903602346</f>
        <v>-1534.0074243422278</v>
      </c>
      <c r="J3509">
        <f>-879.657399673315 -10.1643676461945 -525.126289672596</f>
        <v>-1414.9480569921056</v>
      </c>
      <c r="K3509" t="s">
        <v>37568</v>
      </c>
      <c r="L3509" t="s">
        <v>37569</v>
      </c>
      <c r="M3509" t="s">
        <v>37570</v>
      </c>
      <c r="N3509">
        <f>-865.077106977991 -63.6219662710881 -526.0559412474</f>
        <v>-1454.7550144964791</v>
      </c>
      <c r="O3509">
        <f>-830.190992601164 -193.668698986863 -498.350052841186</f>
        <v>-1522.2097444292131</v>
      </c>
      <c r="P3509">
        <f>-821.977820238512 -222.046133620464 -205.572836237265</f>
        <v>-1249.596790096241</v>
      </c>
      <c r="Q3509">
        <f>-672.145283824197 -67.762256860595 -314.189431940004</f>
        <v>-1054.0969726247961</v>
      </c>
      <c r="R3509" t="s">
        <v>37571</v>
      </c>
      <c r="S3509" t="s">
        <v>37572</v>
      </c>
      <c r="T3509" t="s">
        <v>37573</v>
      </c>
      <c r="U3509" t="s">
        <v>37574</v>
      </c>
      <c r="V3509">
        <f>-776.562623187964 -96.2388503780346 -67.4078122518539</f>
        <v>-940.20928581785256</v>
      </c>
      <c r="W3509" t="s">
        <v>37575</v>
      </c>
      <c r="X3509" t="s">
        <v>37576</v>
      </c>
      <c r="Y3509" t="s">
        <v>37577</v>
      </c>
    </row>
    <row r="3510" spans="1:25" x14ac:dyDescent="0.3">
      <c r="A3510">
        <v>175450</v>
      </c>
      <c r="B3510" t="s">
        <v>37578</v>
      </c>
      <c r="C3510">
        <f>-811.215771648406 -5.69832007111086 -71.7655719238937</f>
        <v>-888.67966364341055</v>
      </c>
      <c r="D3510">
        <f>-843.814842050294 -25.0253124925418 -181.218743600129</f>
        <v>-1050.0588981429648</v>
      </c>
      <c r="E3510">
        <f>-859.087137318489 -32.9392080013206 -278.330902729474</f>
        <v>-1170.3572480492835</v>
      </c>
      <c r="F3510">
        <f>-868.189387137777 -36.9316238232086 -366.871698082739</f>
        <v>-1271.9927090437245</v>
      </c>
      <c r="G3510">
        <f>-872.161753495039 -37.7372185568449 -455.876149959508</f>
        <v>-1365.7751220113919</v>
      </c>
      <c r="H3510">
        <f>-872.26287658068 -35.6072585058466 -580.440532205688</f>
        <v>-1488.3106672922145</v>
      </c>
      <c r="I3510">
        <f>-843.540172908764 -31.6846517081767 -658.316375198131</f>
        <v>-1533.5411998150716</v>
      </c>
      <c r="J3510">
        <f>-879.517036161412 -9.81800238114079 -525.162986463657</f>
        <v>-1414.4980250062099</v>
      </c>
      <c r="K3510" t="s">
        <v>37579</v>
      </c>
      <c r="L3510" t="s">
        <v>37580</v>
      </c>
      <c r="M3510" t="s">
        <v>37581</v>
      </c>
      <c r="N3510">
        <f>-864.919788811432 -63.2711804316218 -526.08881768923</f>
        <v>-1454.279786932284</v>
      </c>
      <c r="O3510">
        <f>-829.953041293663 -193.295686118199 -498.354644495559</f>
        <v>-1521.603371907421</v>
      </c>
      <c r="P3510">
        <f>-821.641614852556 -221.608611430303 -205.574005447701</f>
        <v>-1248.8242317305601</v>
      </c>
      <c r="Q3510">
        <f>-672.067638660127 -67.1381528031579 -314.281911318995</f>
        <v>-1053.4877027822799</v>
      </c>
      <c r="R3510" t="s">
        <v>37582</v>
      </c>
      <c r="S3510" t="s">
        <v>37583</v>
      </c>
      <c r="T3510" t="s">
        <v>37584</v>
      </c>
      <c r="U3510" t="s">
        <v>37585</v>
      </c>
      <c r="V3510">
        <f>-776.430109871724 -95.9221131690814 -67.4605557230468</f>
        <v>-939.81277876385218</v>
      </c>
      <c r="W3510" t="s">
        <v>37586</v>
      </c>
      <c r="X3510" t="s">
        <v>37587</v>
      </c>
      <c r="Y3510" t="s">
        <v>37588</v>
      </c>
    </row>
    <row r="3511" spans="1:25" x14ac:dyDescent="0.3">
      <c r="A3511">
        <v>175500</v>
      </c>
      <c r="B3511" t="s">
        <v>37589</v>
      </c>
      <c r="C3511">
        <f>-810.92655675869 -5.22755330072982 -71.7860706346835</f>
        <v>-887.94018069410333</v>
      </c>
      <c r="D3511">
        <f>-843.479799899451 -24.4636927843908 -181.268963955475</f>
        <v>-1049.2124566393168</v>
      </c>
      <c r="E3511">
        <f>-858.723503047732 -32.3242378405359 -278.389900168104</f>
        <v>-1169.4376410563721</v>
      </c>
      <c r="F3511">
        <f>-867.805945063986 -36.2779123973278 -366.934410494607</f>
        <v>-1271.0182679559207</v>
      </c>
      <c r="G3511">
        <f>-871.765170795262 -37.0532435689411 -455.939815975455</f>
        <v>-1364.758230339658</v>
      </c>
      <c r="H3511">
        <f>-871.855478202535 -34.8897613795914 -580.503561780252</f>
        <v>-1487.2488013623783</v>
      </c>
      <c r="I3511">
        <f>-843.085388441067 -30.9013221978319 -658.358597985635</f>
        <v>-1532.345308624534</v>
      </c>
      <c r="J3511">
        <f>-879.128724298992 -9.11928908651498 -525.219758944575</f>
        <v>-1413.467772330082</v>
      </c>
      <c r="K3511" t="s">
        <v>37590</v>
      </c>
      <c r="L3511" t="s">
        <v>37591</v>
      </c>
      <c r="M3511" t="s">
        <v>37592</v>
      </c>
      <c r="N3511">
        <f>-864.502815118786 -62.5643520911046 -526.15864136416</f>
        <v>-1453.2258085740505</v>
      </c>
      <c r="O3511">
        <f>-829.428241139323 -192.569503912531 -498.468661603948</f>
        <v>-1520.4664066558021</v>
      </c>
      <c r="P3511">
        <f>-821.244665370999 -221.09107720536 -205.704730528047</f>
        <v>-1248.0404731044061</v>
      </c>
      <c r="Q3511">
        <f>-672.408070933456 -65.8930180395403 -314.38813833109</f>
        <v>-1052.6892273040862</v>
      </c>
      <c r="R3511" t="s">
        <v>37593</v>
      </c>
      <c r="S3511" t="s">
        <v>37594</v>
      </c>
      <c r="T3511" t="s">
        <v>37595</v>
      </c>
      <c r="U3511" t="s">
        <v>37596</v>
      </c>
      <c r="V3511">
        <f>-776.153112907001 -95.5118210728053 -67.5372483300553</f>
        <v>-939.20218230986154</v>
      </c>
      <c r="W3511" t="s">
        <v>37597</v>
      </c>
      <c r="X3511" t="s">
        <v>37598</v>
      </c>
      <c r="Y3511" t="s">
        <v>37599</v>
      </c>
    </row>
    <row r="3512" spans="1:25" x14ac:dyDescent="0.3">
      <c r="A3512">
        <v>175550</v>
      </c>
      <c r="B3512" t="s">
        <v>37600</v>
      </c>
      <c r="C3512">
        <f>-810.78410985204 -5.0803117452474 -71.8232940559058</f>
        <v>-887.68771565319321</v>
      </c>
      <c r="D3512">
        <f>-843.303467526292 -24.2692998735383 -181.324467128808</f>
        <v>-1048.8972345286384</v>
      </c>
      <c r="E3512">
        <f>-858.5198301816 -32.0858530061396 -278.453297321626</f>
        <v>-1169.0589805093655</v>
      </c>
      <c r="F3512">
        <f>-867.578404243106 -35.9983115275968 -367.002091451216</f>
        <v>-1270.5788072219189</v>
      </c>
      <c r="G3512">
        <f>-871.514737040637 -36.7312356956456 -456.008843391847</f>
        <v>-1364.2548161281297</v>
      </c>
      <c r="H3512">
        <f>-871.574145867954 -34.5073620032276 -580.571599905908</f>
        <v>-1486.6531077770896</v>
      </c>
      <c r="I3512">
        <f>-842.757471096534 -30.4763111995871 -658.407067179853</f>
        <v>-1531.6408494759742</v>
      </c>
      <c r="J3512">
        <f>-878.85791252757 -8.76292560867978 -525.277019369208</f>
        <v>-1412.8978575054578</v>
      </c>
      <c r="K3512" t="s">
        <v>37601</v>
      </c>
      <c r="L3512" t="s">
        <v>37602</v>
      </c>
      <c r="M3512" t="s">
        <v>37603</v>
      </c>
      <c r="N3512">
        <f>-864.238169998361 -62.2090447686946 -526.238264042037</f>
        <v>-1452.6854788090927</v>
      </c>
      <c r="O3512">
        <f>-829.228793771414 -192.242413452704 -498.589669035503</f>
        <v>-1520.060876259621</v>
      </c>
      <c r="P3512">
        <f>-821.218528684978 -220.863035410207 -205.830459623317</f>
        <v>-1247.912023718502</v>
      </c>
      <c r="Q3512">
        <f>-672.098805649307 -65.8782798082156 -314.430094271732</f>
        <v>-1052.4071797292545</v>
      </c>
      <c r="R3512" t="s">
        <v>37604</v>
      </c>
      <c r="S3512" t="s">
        <v>37605</v>
      </c>
      <c r="T3512" t="s">
        <v>37606</v>
      </c>
      <c r="U3512" t="s">
        <v>37607</v>
      </c>
      <c r="V3512">
        <f>-776.007035236597 -95.3488135173798 -67.5932495852829</f>
        <v>-938.94909833925965</v>
      </c>
      <c r="W3512" t="s">
        <v>37608</v>
      </c>
      <c r="X3512" t="s">
        <v>37609</v>
      </c>
      <c r="Y3512" t="s">
        <v>37610</v>
      </c>
    </row>
    <row r="3513" spans="1:25" x14ac:dyDescent="0.3">
      <c r="A3513">
        <v>175600</v>
      </c>
      <c r="B3513" t="s">
        <v>37611</v>
      </c>
      <c r="C3513">
        <f>-810.464187813596 -4.76696631900722 -71.8987533457595</f>
        <v>-887.12990747836272</v>
      </c>
      <c r="D3513">
        <f>-842.897926257938 -23.8746374111606 -181.439419472569</f>
        <v>-1048.2119831416676</v>
      </c>
      <c r="E3513">
        <f>-858.001572789568 -31.5989048982351 -278.593379222148</f>
        <v>-1168.1938569099511</v>
      </c>
      <c r="F3513">
        <f>-866.941268274896 -35.4200608366743 -367.158086291902</f>
        <v>-1269.5194154034723</v>
      </c>
      <c r="G3513">
        <f>-870.741318184436 -36.0561595186834 -456.171597474884</f>
        <v>-1362.9690751780033</v>
      </c>
      <c r="H3513">
        <f>-870.591443525745 -33.6923730258407 -580.731642525625</f>
        <v>-1485.0154590772108</v>
      </c>
      <c r="I3513">
        <f>-841.637296385479 -29.5673439223413 -658.511162164693</f>
        <v>-1529.7158024725131</v>
      </c>
      <c r="J3513">
        <f>-877.932094649064 -8.00019453450273 -525.420358646482</f>
        <v>-1411.3526478300487</v>
      </c>
      <c r="K3513" t="s">
        <v>37612</v>
      </c>
      <c r="L3513" t="s">
        <v>37613</v>
      </c>
      <c r="M3513" t="s">
        <v>37614</v>
      </c>
      <c r="N3513">
        <f>-863.382730800893 -61.4650125118284 -526.417419061681</f>
        <v>-1451.2651623744023</v>
      </c>
      <c r="O3513">
        <f>-828.613375103953 -191.574746511507 -498.841533903736</f>
        <v>-1519.029655519196</v>
      </c>
      <c r="P3513">
        <f>-821.025527068825 -220.533551174826 -206.104393253827</f>
        <v>-1247.663471497478</v>
      </c>
      <c r="Q3513">
        <f>-671.332021298467 -65.6767526469815 -314.095508226421</f>
        <v>-1051.1042821718695</v>
      </c>
      <c r="R3513" t="s">
        <v>37615</v>
      </c>
      <c r="S3513" t="s">
        <v>37616</v>
      </c>
      <c r="T3513" t="s">
        <v>37617</v>
      </c>
      <c r="U3513" t="s">
        <v>37618</v>
      </c>
      <c r="V3513">
        <f>-775.688718340753 -94.9992751625359 -67.714499003234</f>
        <v>-938.40249250652289</v>
      </c>
      <c r="W3513" t="s">
        <v>37619</v>
      </c>
      <c r="X3513" t="s">
        <v>37620</v>
      </c>
      <c r="Y3513" t="s">
        <v>37621</v>
      </c>
    </row>
    <row r="3514" spans="1:25" x14ac:dyDescent="0.3">
      <c r="A3514">
        <v>175650</v>
      </c>
      <c r="B3514" t="s">
        <v>37622</v>
      </c>
      <c r="C3514">
        <f>-810.293350811805 -4.68529503792956 -71.9240663149785</f>
        <v>-886.90271216471308</v>
      </c>
      <c r="D3514">
        <f>-842.698999621392 -23.7226807157508 -181.485268234568</f>
        <v>-1047.9069485717107</v>
      </c>
      <c r="E3514">
        <f>-857.747602225484 -31.3961401164752 -278.651799642217</f>
        <v>-1167.7955419841762</v>
      </c>
      <c r="F3514">
        <f>-866.625309899112 -35.1756612742886 -367.224454181892</f>
        <v>-1269.0254253552926</v>
      </c>
      <c r="G3514">
        <f>-870.351079134705 -35.7742703932352 -456.241353937614</f>
        <v>-1362.3667034655541</v>
      </c>
      <c r="H3514">
        <f>-870.085409616487 -33.3631544463838 -580.800369325179</f>
        <v>-1484.2489333880499</v>
      </c>
      <c r="I3514">
        <f>-841.042282626132 -29.183679254344 -658.543885326406</f>
        <v>-1528.7698472068819</v>
      </c>
      <c r="J3514">
        <f>-877.462080023854 -7.68781555627606 -525.486071758363</f>
        <v>-1410.6359673384932</v>
      </c>
      <c r="K3514" t="s">
        <v>37623</v>
      </c>
      <c r="L3514" t="s">
        <v>37624</v>
      </c>
      <c r="M3514" t="s">
        <v>37625</v>
      </c>
      <c r="N3514">
        <f>-862.942557689473 -61.1606202622341 -526.490202782216</f>
        <v>-1450.5933807339231</v>
      </c>
      <c r="O3514">
        <f>-828.241375877141 -191.29073699057 -498.940150444669</f>
        <v>-1518.4722633123799</v>
      </c>
      <c r="P3514">
        <f>-820.844791402189 -220.334670538697 -206.206588684829</f>
        <v>-1247.3860506257151</v>
      </c>
      <c r="Q3514">
        <f>-671.275601438545 -65.3386972905662 -314.170488367821</f>
        <v>-1050.7847870969322</v>
      </c>
      <c r="R3514" t="s">
        <v>37626</v>
      </c>
      <c r="S3514" t="s">
        <v>37627</v>
      </c>
      <c r="T3514" t="s">
        <v>37628</v>
      </c>
      <c r="U3514" t="s">
        <v>37629</v>
      </c>
      <c r="V3514">
        <f>-775.608130344152 -94.9275100854379 -67.7758200399015</f>
        <v>-938.31146046949141</v>
      </c>
      <c r="W3514" t="s">
        <v>37630</v>
      </c>
      <c r="X3514" t="s">
        <v>37631</v>
      </c>
      <c r="Y3514" t="s">
        <v>37632</v>
      </c>
    </row>
    <row r="3515" spans="1:25" x14ac:dyDescent="0.3">
      <c r="A3515">
        <v>175700</v>
      </c>
      <c r="B3515" t="s">
        <v>37633</v>
      </c>
      <c r="C3515">
        <f>-809.819344284661 -4.49730397118265 -71.9648286311691</f>
        <v>-886.28147688701279</v>
      </c>
      <c r="D3515">
        <f>-842.242283713507 -23.3854020948629 -181.546848170963</f>
        <v>-1047.1745339793329</v>
      </c>
      <c r="E3515">
        <f>-857.262494182934 -30.9525994644205 -278.726007166664</f>
        <v>-1166.9411008140185</v>
      </c>
      <c r="F3515">
        <f>-866.098429343749 -34.6432131042222 -367.306690291972</f>
        <v>-1268.0483327399434</v>
      </c>
      <c r="G3515">
        <f>-869.767491860596 -35.1602726439778 -456.32658487699</f>
        <v>-1361.2543493815638</v>
      </c>
      <c r="H3515">
        <f>-869.406933996383 -32.642655762583 -580.883085321534</f>
        <v>-1482.9326750805001</v>
      </c>
      <c r="I3515">
        <f>-840.184583807224 -28.3199176038502 -658.551567466602</f>
        <v>-1527.0560688776764</v>
      </c>
      <c r="J3515">
        <f>-876.796875682973 -7.00683462928396 -525.552208843946</f>
        <v>-1409.3559191562031</v>
      </c>
      <c r="K3515" t="s">
        <v>37634</v>
      </c>
      <c r="L3515" t="s">
        <v>37635</v>
      </c>
      <c r="M3515" t="s">
        <v>37636</v>
      </c>
      <c r="N3515">
        <f>-862.334193715956 -60.4943607556889 -526.591503957862</f>
        <v>-1449.4200584295068</v>
      </c>
      <c r="O3515">
        <f>-827.755127237342 -190.663052107653 -499.053592640647</f>
        <v>-1517.4717719856421</v>
      </c>
      <c r="P3515">
        <f>-820.134065652702 -219.88212455028 -206.343270307229</f>
        <v>-1246.359460510211</v>
      </c>
      <c r="Q3515">
        <f>-671.284968794963 -64.3638755149199 -314.550971946647</f>
        <v>-1050.1998162565299</v>
      </c>
      <c r="R3515" t="s">
        <v>37637</v>
      </c>
      <c r="S3515" t="s">
        <v>37638</v>
      </c>
      <c r="T3515" t="s">
        <v>37639</v>
      </c>
      <c r="U3515" t="s">
        <v>37640</v>
      </c>
      <c r="V3515">
        <f>-775.30442890511 -94.6200870078006 -67.8949808154703</f>
        <v>-937.81949672838084</v>
      </c>
      <c r="W3515" t="s">
        <v>37641</v>
      </c>
      <c r="X3515" t="s">
        <v>37642</v>
      </c>
      <c r="Y3515" t="s">
        <v>37643</v>
      </c>
    </row>
    <row r="3516" spans="1:25" x14ac:dyDescent="0.3">
      <c r="A3516">
        <v>175750</v>
      </c>
      <c r="B3516" t="s">
        <v>37644</v>
      </c>
      <c r="C3516">
        <f>-809.631891403666 -4.52154697002948 -71.9496495340043</f>
        <v>-886.10308790769977</v>
      </c>
      <c r="D3516">
        <f>-842.068635022166 -23.3479977068737 -181.53818982211</f>
        <v>-1046.9548225511496</v>
      </c>
      <c r="E3516">
        <f>-857.093172463199 -30.8690197141391 -278.720157582585</f>
        <v>-1166.682349759923</v>
      </c>
      <c r="F3516">
        <f>-865.931066228025 -34.5195763491652 -367.302361055102</f>
        <v>-1267.7530036322921</v>
      </c>
      <c r="G3516">
        <f>-869.599870238505 -34.9981721284851 -456.322348390146</f>
        <v>-1360.9203907571359</v>
      </c>
      <c r="H3516">
        <f>-869.237399401049 -32.4280506921925 -580.877875988766</f>
        <v>-1482.5433260820075</v>
      </c>
      <c r="I3516">
        <f>-839.932232584788 -28.0219350677894 -658.510601054152</f>
        <v>-1526.4647687067295</v>
      </c>
      <c r="J3516">
        <f>-876.616124007838 -6.81232123224549 -525.536271220839</f>
        <v>-1408.9647164609225</v>
      </c>
      <c r="K3516" t="s">
        <v>37645</v>
      </c>
      <c r="L3516" t="s">
        <v>37646</v>
      </c>
      <c r="M3516" t="s">
        <v>37647</v>
      </c>
      <c r="N3516">
        <f>-862.177667757909 -60.305882033475 -526.598031290919</f>
        <v>-1449.081581082303</v>
      </c>
      <c r="O3516">
        <f>-827.634525307346 -190.486776043253 -499.088867732702</f>
        <v>-1517.210169083301</v>
      </c>
      <c r="P3516">
        <f>-819.770612383898 -219.864633273564 -206.400749026969</f>
        <v>-1246.035994684431</v>
      </c>
      <c r="Q3516">
        <f>-671.284613418951 -64.0580739883686 -314.692482385919</f>
        <v>-1050.0351697932388</v>
      </c>
      <c r="R3516" t="s">
        <v>37648</v>
      </c>
      <c r="S3516" t="s">
        <v>37649</v>
      </c>
      <c r="T3516" t="s">
        <v>37650</v>
      </c>
      <c r="U3516" t="s">
        <v>37651</v>
      </c>
      <c r="V3516">
        <f>-775.252534752928 -94.7139599731339 -67.9081867693496</f>
        <v>-937.87468149541155</v>
      </c>
      <c r="W3516" t="s">
        <v>37652</v>
      </c>
      <c r="X3516" t="s">
        <v>37653</v>
      </c>
      <c r="Y3516" t="s">
        <v>37654</v>
      </c>
    </row>
    <row r="3517" spans="1:25" x14ac:dyDescent="0.3">
      <c r="A3517">
        <v>175800</v>
      </c>
      <c r="B3517" t="s">
        <v>37655</v>
      </c>
      <c r="C3517">
        <f>-809.172175069221 -4.46864465071963 -71.9138558208024</f>
        <v>-885.55467554074301</v>
      </c>
      <c r="D3517">
        <f>-841.651688105292 -23.1886744777387 -181.508020311583</f>
        <v>-1046.3483828946137</v>
      </c>
      <c r="E3517">
        <f>-856.7112835924 -30.6334573436259 -278.690502041551</f>
        <v>-1166.0352429775769</v>
      </c>
      <c r="F3517">
        <f>-865.58125034 -34.2194068897804 -367.272184556887</f>
        <v>-1267.0728417866674</v>
      </c>
      <c r="G3517">
        <f>-869.282926592258 -34.6381248376174 -456.290896649253</f>
        <v>-1360.2119480791284</v>
      </c>
      <c r="H3517">
        <f>-868.967849772539 -31.9887986050721 -580.844991211044</f>
        <v>-1481.8016395886552</v>
      </c>
      <c r="I3517">
        <f>-839.550760076704 -27.4112537038798 -658.425332432675</f>
        <v>-1525.3873462132588</v>
      </c>
      <c r="J3517">
        <f>-876.293896133802 -6.3997024683481 -525.484050538724</f>
        <v>-1408.1776491408741</v>
      </c>
      <c r="K3517" t="s">
        <v>37656</v>
      </c>
      <c r="L3517" t="s">
        <v>37657</v>
      </c>
      <c r="M3517" t="s">
        <v>37658</v>
      </c>
      <c r="N3517">
        <f>-861.919077718234 -59.9096893930794 -526.58582717163</f>
        <v>-1448.4145942829432</v>
      </c>
      <c r="O3517">
        <f>-827.527088166847 -190.152725372779 -499.134620947944</f>
        <v>-1516.81443448757</v>
      </c>
      <c r="P3517">
        <f>-819.385883521121 -219.6983116574 -206.471034945747</f>
        <v>-1245.5552301242681</v>
      </c>
      <c r="Q3517">
        <f>-670.879936641995 -63.9827722231333 -314.866196954363</f>
        <v>-1049.7289058194913</v>
      </c>
      <c r="R3517" t="s">
        <v>37659</v>
      </c>
      <c r="S3517" t="s">
        <v>37660</v>
      </c>
      <c r="T3517" t="s">
        <v>37661</v>
      </c>
      <c r="U3517" t="s">
        <v>37662</v>
      </c>
      <c r="V3517">
        <f>-774.944840263129 -94.7010686180735 -67.900742638583</f>
        <v>-937.54665151978543</v>
      </c>
      <c r="W3517" t="s">
        <v>37663</v>
      </c>
      <c r="X3517" t="s">
        <v>37664</v>
      </c>
      <c r="Y3517" t="s">
        <v>37665</v>
      </c>
    </row>
    <row r="3518" spans="1:25" x14ac:dyDescent="0.3">
      <c r="A3518">
        <v>175850</v>
      </c>
      <c r="B3518" t="s">
        <v>37666</v>
      </c>
      <c r="C3518">
        <f>-808.760231279191 -4.55488597421208 -71.9004867737913</f>
        <v>-885.21560402719433</v>
      </c>
      <c r="D3518">
        <f>-841.249650279467 -23.2386584886724 -181.497756050981</f>
        <v>-1045.9860648191204</v>
      </c>
      <c r="E3518">
        <f>-856.321243236617 -30.6379493161326 -278.681906569932</f>
        <v>-1165.6410991226815</v>
      </c>
      <c r="F3518">
        <f>-865.20339257597 -34.1772771718968 -367.264179352508</f>
        <v>-1266.6448491003748</v>
      </c>
      <c r="G3518">
        <f>-868.918343517847 -34.5440823286056 -456.28271745084</f>
        <v>-1359.7451432972925</v>
      </c>
      <c r="H3518">
        <f>-868.622568470838 -31.8163128410533 -580.835120186005</f>
        <v>-1481.2740014978963</v>
      </c>
      <c r="I3518">
        <f>-839.171245515547 -27.1222732376368 -658.395553988241</f>
        <v>-1524.6890727414248</v>
      </c>
      <c r="J3518">
        <f>-875.9197568386 -6.25662915676389 -525.456753592603</f>
        <v>-1407.633139587967</v>
      </c>
      <c r="K3518" t="s">
        <v>37667</v>
      </c>
      <c r="L3518" t="s">
        <v>37668</v>
      </c>
      <c r="M3518" t="s">
        <v>37669</v>
      </c>
      <c r="N3518">
        <f>-861.585601909036 -59.7766610668602 -526.594862462655</f>
        <v>-1447.9571254385512</v>
      </c>
      <c r="O3518">
        <f>-827.317527016165 -190.059118155732 -499.193345518806</f>
        <v>-1516.569990690703</v>
      </c>
      <c r="P3518">
        <f>-819.128606310626 -219.772150619059 -206.54810990028</f>
        <v>-1245.448866829965</v>
      </c>
      <c r="Q3518">
        <f>-670.502771000862 -64.1619634998675 -314.930227486315</f>
        <v>-1049.5949619870446</v>
      </c>
      <c r="R3518" t="s">
        <v>37670</v>
      </c>
      <c r="S3518" t="s">
        <v>37671</v>
      </c>
      <c r="T3518" t="s">
        <v>37672</v>
      </c>
      <c r="U3518" t="s">
        <v>37673</v>
      </c>
      <c r="V3518">
        <f>-774.526583917831 -94.7771095408309 -67.9191215588895</f>
        <v>-937.2228150175514</v>
      </c>
      <c r="W3518" t="s">
        <v>37674</v>
      </c>
      <c r="X3518" t="s">
        <v>37675</v>
      </c>
      <c r="Y3518" t="s">
        <v>37676</v>
      </c>
    </row>
    <row r="3519" spans="1:25" x14ac:dyDescent="0.3">
      <c r="A3519">
        <v>175900</v>
      </c>
      <c r="B3519" t="s">
        <v>37677</v>
      </c>
      <c r="C3519">
        <f>-808.038461754418 -5.11376673885934 -72.0463407712981</f>
        <v>-885.19856926457544</v>
      </c>
      <c r="D3519">
        <f>-840.526676092202 -23.7305643688583 -181.655428183323</f>
        <v>-1045.9126686443833</v>
      </c>
      <c r="E3519">
        <f>-855.609348613832 -31.0518321185093 -278.84366207469</f>
        <v>-1165.5048428070313</v>
      </c>
      <c r="F3519">
        <f>-864.503892577464 -34.5157413677011 -367.427709436479</f>
        <v>-1266.447343381644</v>
      </c>
      <c r="G3519">
        <f>-868.232095997696 -34.804618051485 -456.445976330152</f>
        <v>-1359.482690379333</v>
      </c>
      <c r="H3519">
        <f>-867.954160138167 -31.9682525483734 -580.996130447731</f>
        <v>-1480.9185431342714</v>
      </c>
      <c r="I3519">
        <f>-838.441534150167 -26.9856003522623 -658.515046819342</f>
        <v>-1523.9421813217714</v>
      </c>
      <c r="J3519">
        <f>-875.190599031118 -6.44281076846528 -525.593881352401</f>
        <v>-1407.2272911519844</v>
      </c>
      <c r="K3519" t="s">
        <v>37678</v>
      </c>
      <c r="L3519" t="s">
        <v>37679</v>
      </c>
      <c r="M3519" t="s">
        <v>37680</v>
      </c>
      <c r="N3519">
        <f>-860.962406303736 -59.9901399003171 -526.781625327204</f>
        <v>-1447.7341715312571</v>
      </c>
      <c r="O3519">
        <f>-826.970685106104 -190.362545293665 -499.439487679071</f>
        <v>-1516.7727180788402</v>
      </c>
      <c r="P3519">
        <f>-818.778214966912 -220.353834706423 -206.822649212906</f>
        <v>-1245.954698886241</v>
      </c>
      <c r="Q3519">
        <f>-669.821780743242 -65.02689602075 -315.157354851571</f>
        <v>-1050.006031615563</v>
      </c>
      <c r="R3519" t="s">
        <v>37681</v>
      </c>
      <c r="S3519" t="s">
        <v>37682</v>
      </c>
      <c r="T3519" t="s">
        <v>37683</v>
      </c>
      <c r="U3519" t="s">
        <v>37684</v>
      </c>
      <c r="V3519">
        <f>-773.880746586848 -95.6376355328589 -68.2329153295262</f>
        <v>-937.75129744923311</v>
      </c>
      <c r="W3519" t="s">
        <v>37685</v>
      </c>
      <c r="X3519" t="s">
        <v>37686</v>
      </c>
      <c r="Y3519" t="s">
        <v>37687</v>
      </c>
    </row>
    <row r="3520" spans="1:25" x14ac:dyDescent="0.3">
      <c r="A3520">
        <v>175950</v>
      </c>
      <c r="B3520" t="s">
        <v>37688</v>
      </c>
      <c r="C3520">
        <f>-807.912519655224 -4.77665465178347 -72.2534224650484</f>
        <v>-884.94259677205582</v>
      </c>
      <c r="D3520">
        <f>-840.410063861357 -23.3010263567176 -181.875375402887</f>
        <v>-1045.5864656209615</v>
      </c>
      <c r="E3520">
        <f>-855.508991014552 -30.5697588119856 -279.065179087723</f>
        <v>-1165.1439289142604</v>
      </c>
      <c r="F3520">
        <f>-864.419863045375 -34.0008675474166 -367.6488457335</f>
        <v>-1266.0695763262916</v>
      </c>
      <c r="G3520">
        <f>-868.165076371325 -34.2736550353875 -456.666422307035</f>
        <v>-1359.1051537137475</v>
      </c>
      <c r="H3520">
        <f>-867.91126503692 -31.4342710444357 -581.216418047636</f>
        <v>-1480.5619541289916</v>
      </c>
      <c r="I3520">
        <f>-838.364999900649 -26.3039119751043 -658.713113669142</f>
        <v>-1523.3820255448952</v>
      </c>
      <c r="J3520">
        <f>-875.11467787073 -5.90426154104853 -525.812013400459</f>
        <v>-1406.8309528122377</v>
      </c>
      <c r="K3520" t="s">
        <v>37689</v>
      </c>
      <c r="L3520" t="s">
        <v>37690</v>
      </c>
      <c r="M3520" t="s">
        <v>37691</v>
      </c>
      <c r="N3520">
        <f>-860.93121445404 -59.4632658179427 -527.004262826451</f>
        <v>-1447.3987430984337</v>
      </c>
      <c r="O3520">
        <f>-827.056790811584 -189.858876607479 -499.649518240639</f>
        <v>-1516.5651856597021</v>
      </c>
      <c r="P3520">
        <f>-818.913554348651 -219.971533466397 -207.043757950029</f>
        <v>-1245.9288457650771</v>
      </c>
      <c r="Q3520">
        <f>-670.096894926403 -64.4780116000397 -315.331461695589</f>
        <v>-1049.9063682220317</v>
      </c>
      <c r="R3520" t="s">
        <v>37692</v>
      </c>
      <c r="S3520" t="s">
        <v>37693</v>
      </c>
      <c r="T3520" t="s">
        <v>37694</v>
      </c>
      <c r="U3520" t="s">
        <v>37695</v>
      </c>
      <c r="V3520">
        <f>-773.82868860507 -94.8610741773419 -68.5621382768582</f>
        <v>-937.25190105927027</v>
      </c>
      <c r="W3520" t="s">
        <v>37696</v>
      </c>
      <c r="X3520" t="s">
        <v>37697</v>
      </c>
      <c r="Y3520" t="s">
        <v>37698</v>
      </c>
    </row>
    <row r="3521" spans="1:25" x14ac:dyDescent="0.3">
      <c r="A3521">
        <v>176000</v>
      </c>
      <c r="B3521" t="s">
        <v>37699</v>
      </c>
      <c r="C3521">
        <f>-808.184708206059 -2.83465956346504 -72.8600121127494</f>
        <v>-883.87937988227338</v>
      </c>
      <c r="D3521">
        <f>-840.465463709748 -20.8921533858336 -182.623790860234</f>
        <v>-1043.9814079558155</v>
      </c>
      <c r="E3521">
        <f>-855.476208995986 -27.9544120536423 -279.842487116018</f>
        <v>-1163.2731081656461</v>
      </c>
      <c r="F3521">
        <f>-864.348608362533 -31.2849383523285 -368.433741147276</f>
        <v>-1264.0672878621376</v>
      </c>
      <c r="G3521">
        <f>-868.09702599607 -31.5467942977907 -457.451228255121</f>
        <v>-1357.0950485489816</v>
      </c>
      <c r="H3521">
        <f>-867.891301142281 -28.7892443499152 -582.003166318568</f>
        <v>-1478.6837118107642</v>
      </c>
      <c r="I3521">
        <f>-838.292077636923 -23.4334113511618 -659.464453347421</f>
        <v>-1521.1899423355057</v>
      </c>
      <c r="J3521">
        <f>-875.047437442951 -3.2158885580825 -526.612712475871</f>
        <v>-1404.8760384769046</v>
      </c>
      <c r="K3521" t="s">
        <v>37700</v>
      </c>
      <c r="L3521" t="s">
        <v>37701</v>
      </c>
      <c r="M3521" t="s">
        <v>37702</v>
      </c>
      <c r="N3521">
        <f>-860.916264403219 -56.7894846205644 -527.775532130304</f>
        <v>-1445.4812811540874</v>
      </c>
      <c r="O3521">
        <f>-827.264085406407 -187.234138733459 -500.386655191023</f>
        <v>-1514.8848793308889</v>
      </c>
      <c r="P3521">
        <f>-819.09573106706 -217.382181503359 -207.785307254829</f>
        <v>-1244.2632198252479</v>
      </c>
      <c r="Q3521">
        <f>-670.845507065324 -61.2759981077573 -315.968230574452</f>
        <v>-1048.0897357475333</v>
      </c>
      <c r="R3521" t="s">
        <v>37703</v>
      </c>
      <c r="S3521" t="s">
        <v>37704</v>
      </c>
      <c r="T3521" t="s">
        <v>37705</v>
      </c>
      <c r="U3521" t="s">
        <v>37706</v>
      </c>
      <c r="V3521">
        <f>-774.140072736479 -91.9128074124983 -69.5250505761949</f>
        <v>-935.57793072517222</v>
      </c>
      <c r="W3521" t="s">
        <v>37707</v>
      </c>
      <c r="X3521" t="s">
        <v>37708</v>
      </c>
      <c r="Y3521" t="s">
        <v>37709</v>
      </c>
    </row>
    <row r="3522" spans="1:25" x14ac:dyDescent="0.3">
      <c r="A3522">
        <v>176050</v>
      </c>
      <c r="B3522" t="s">
        <v>37710</v>
      </c>
      <c r="C3522">
        <f>-808.393400194671 -1.48931624899978 -73.275076231523</f>
        <v>-883.15779267519383</v>
      </c>
      <c r="D3522">
        <f>-840.525210891267 -19.2254213069307 -183.134988477019</f>
        <v>-1042.8856206752166</v>
      </c>
      <c r="E3522">
        <f>-855.441586513894 -26.1474073562288 -280.37824505625</f>
        <v>-1161.9672389263728</v>
      </c>
      <c r="F3522">
        <f>-864.245383492016 -29.4073971449852 -368.979116329094</f>
        <v>-1262.6318969660952</v>
      </c>
      <c r="G3522">
        <f>-867.943520796315 -29.6557094142324 -457.998690987338</f>
        <v>-1355.5979211978856</v>
      </c>
      <c r="H3522">
        <f>-867.687683192962 -26.9394152949153 -582.551372968677</f>
        <v>-1477.1784714565542</v>
      </c>
      <c r="I3522">
        <f>-838.058127165422 -21.5306362705733 -659.997296152356</f>
        <v>-1519.5860595883512</v>
      </c>
      <c r="J3522">
        <f>-874.856876127459 -1.34533696925405 -527.172209444231</f>
        <v>-1403.3744225409441</v>
      </c>
      <c r="K3522" t="s">
        <v>37711</v>
      </c>
      <c r="L3522" t="s">
        <v>37712</v>
      </c>
      <c r="M3522" t="s">
        <v>37713</v>
      </c>
      <c r="N3522">
        <f>-860.743568592352 -54.9241210816306 -528.311674667483</f>
        <v>-1443.9793643414655</v>
      </c>
      <c r="O3522">
        <f>-827.187249299932 -185.372419009537 -500.878795054114</f>
        <v>-1513.438463363583</v>
      </c>
      <c r="P3522">
        <f>-819.048458060918 -215.609089926989 -208.285735530145</f>
        <v>-1242.9432835180521</v>
      </c>
      <c r="Q3522">
        <f>-671.258457280792 -59.0947502937261 -316.5089703443</f>
        <v>-1046.8621779188179</v>
      </c>
      <c r="R3522" t="s">
        <v>37714</v>
      </c>
      <c r="S3522" t="s">
        <v>37715</v>
      </c>
      <c r="T3522" t="s">
        <v>37716</v>
      </c>
      <c r="U3522" t="s">
        <v>37717</v>
      </c>
      <c r="V3522">
        <f>-774.27363749346 -90.0268532762958 -70.2178937348207</f>
        <v>-934.51838450457649</v>
      </c>
      <c r="W3522" t="s">
        <v>37718</v>
      </c>
      <c r="X3522" t="s">
        <v>37719</v>
      </c>
      <c r="Y3522" t="s">
        <v>37720</v>
      </c>
    </row>
    <row r="3523" spans="1:25" x14ac:dyDescent="0.3">
      <c r="A3523">
        <v>176100</v>
      </c>
      <c r="B3523" t="s">
        <v>37721</v>
      </c>
      <c r="C3523" t="s">
        <v>37722</v>
      </c>
      <c r="D3523">
        <f>-840.751068106421 -16.1777005678036 -183.859687958946</f>
        <v>-1040.7884566331707</v>
      </c>
      <c r="E3523">
        <f>-855.429454774768 -22.8615584384736 -281.155927305271</f>
        <v>-1159.4469405185127</v>
      </c>
      <c r="F3523">
        <f>-864.03360234586 -25.962857482943 -369.781944010323</f>
        <v>-1259.778403839126</v>
      </c>
      <c r="G3523">
        <f>-867.548894851763 -26.1115756579268 -458.809361581557</f>
        <v>-1352.4698320912466</v>
      </c>
      <c r="H3523">
        <f>-867.056559581841 -23.3190235928382 -583.35958434314</f>
        <v>-1473.7351675178193</v>
      </c>
      <c r="I3523">
        <f>-837.345564342963 -17.8721992128553 -660.771650188932</f>
        <v>-1515.9894137447504</v>
      </c>
      <c r="J3523" t="s">
        <v>37723</v>
      </c>
      <c r="K3523" t="s">
        <v>37724</v>
      </c>
      <c r="L3523" t="s">
        <v>37725</v>
      </c>
      <c r="M3523" t="s">
        <v>37726</v>
      </c>
      <c r="N3523">
        <f>-860.251966218166 -51.3465470879501 -529.124228766579</f>
        <v>-1440.7227420726949</v>
      </c>
      <c r="O3523">
        <f>-826.976334395903 -181.877677636123 -501.740487508291</f>
        <v>-1510.594499540317</v>
      </c>
      <c r="P3523">
        <f>-818.86389028773 -212.499798075759 -209.186825408383</f>
        <v>-1240.5505137718719</v>
      </c>
      <c r="Q3523">
        <f>-671.983022177498 -55.2181646499471 -317.535211098626</f>
        <v>-1044.736397926071</v>
      </c>
      <c r="R3523" t="s">
        <v>37727</v>
      </c>
      <c r="S3523" t="s">
        <v>37728</v>
      </c>
      <c r="T3523" t="s">
        <v>37729</v>
      </c>
      <c r="U3523" t="s">
        <v>37730</v>
      </c>
      <c r="V3523">
        <f>-774.791895820994 -87.0421274574849 -71.0397626550498</f>
        <v>-932.87378593352867</v>
      </c>
      <c r="W3523" t="s">
        <v>37731</v>
      </c>
      <c r="X3523" t="s">
        <v>37732</v>
      </c>
      <c r="Y3523" t="s">
        <v>37733</v>
      </c>
    </row>
    <row r="3524" spans="1:25" x14ac:dyDescent="0.3">
      <c r="A3524">
        <v>176150</v>
      </c>
      <c r="B3524" t="s">
        <v>37734</v>
      </c>
      <c r="C3524" t="s">
        <v>37735</v>
      </c>
      <c r="D3524">
        <f>-841.081444200496 -15.3515282591632 -183.970455937425</f>
        <v>-1040.4034283970841</v>
      </c>
      <c r="E3524">
        <f>-855.660770227168 -21.9140929727685 -281.289734379469</f>
        <v>-1158.8645975794054</v>
      </c>
      <c r="F3524">
        <f>-864.176846009283 -24.9197502762693 -369.927638958607</f>
        <v>-1259.0242352441594</v>
      </c>
      <c r="G3524">
        <f>-867.606129738155 -24.987109041165 -458.958459697464</f>
        <v>-1351.5516984767839</v>
      </c>
      <c r="H3524">
        <f>-866.995973213932 -22.0965376448519 -583.505906525934</f>
        <v>-1472.5984173847178</v>
      </c>
      <c r="I3524">
        <f>-837.21060851996 -16.6262837259276 -660.887787535246</f>
        <v>-1514.7246797811335</v>
      </c>
      <c r="J3524" t="s">
        <v>37736</v>
      </c>
      <c r="K3524" t="s">
        <v>37737</v>
      </c>
      <c r="L3524" t="s">
        <v>37738</v>
      </c>
      <c r="M3524" t="s">
        <v>37739</v>
      </c>
      <c r="N3524">
        <f>-860.257954862514 -50.1707284399276 -529.286512205859</f>
        <v>-1439.7151955083007</v>
      </c>
      <c r="O3524">
        <f>-827.055516467734 -180.740762442408 -501.957421900211</f>
        <v>-1509.7537008103532</v>
      </c>
      <c r="P3524">
        <f>-819.12412322969 -211.60537991184 -209.424258096887</f>
        <v>-1240.1537612384168</v>
      </c>
      <c r="Q3524">
        <f>-672.515412257524 -53.9136608334765 -317.544910632886</f>
        <v>-1043.9739837238865</v>
      </c>
      <c r="R3524" t="s">
        <v>37740</v>
      </c>
      <c r="S3524" t="s">
        <v>37741</v>
      </c>
      <c r="T3524" t="s">
        <v>37742</v>
      </c>
      <c r="U3524" t="s">
        <v>37743</v>
      </c>
      <c r="V3524">
        <f>-775.382305098099 -86.7772849140765 -71.0792352108102</f>
        <v>-933.23882522298572</v>
      </c>
      <c r="W3524" t="s">
        <v>37744</v>
      </c>
      <c r="X3524" t="s">
        <v>37745</v>
      </c>
      <c r="Y3524" t="s">
        <v>37746</v>
      </c>
    </row>
    <row r="3525" spans="1:25" x14ac:dyDescent="0.3">
      <c r="A3525">
        <v>176200</v>
      </c>
      <c r="B3525" t="s">
        <v>37747</v>
      </c>
      <c r="C3525" t="s">
        <v>37748</v>
      </c>
      <c r="D3525">
        <f>-841.855045838666 -14.0758886708061 -184.034556504911</f>
        <v>-1039.9654910143831</v>
      </c>
      <c r="E3525">
        <f>-856.23844734344 -20.4121367623718 -281.397728662783</f>
        <v>-1158.0483127685948</v>
      </c>
      <c r="F3525">
        <f>-864.597951887567 -23.2458527300112 -370.056298000986</f>
        <v>-1257.9001026185642</v>
      </c>
      <c r="G3525">
        <f>-867.892296709013 -23.1754070367856 -459.092265602995</f>
        <v>-1350.1599693487935</v>
      </c>
      <c r="H3525">
        <f>-867.116821312662 -20.1286678451506 -583.635128468875</f>
        <v>-1470.8806176266876</v>
      </c>
      <c r="I3525">
        <f>-837.162476897149 -14.4959774853255 -660.939886495496</f>
        <v>-1512.5983408779705</v>
      </c>
      <c r="J3525" t="s">
        <v>37749</v>
      </c>
      <c r="K3525" t="s">
        <v>37750</v>
      </c>
      <c r="L3525" t="s">
        <v>37751</v>
      </c>
      <c r="M3525" t="s">
        <v>37752</v>
      </c>
      <c r="N3525">
        <f>-860.479777405449 -48.2783382134563 -529.442252510873</f>
        <v>-1438.2003681297783</v>
      </c>
      <c r="O3525">
        <f>-827.468187637069 -178.925877020922 -502.231303279498</f>
        <v>-1508.625367937489</v>
      </c>
      <c r="P3525">
        <f>-820.474556543994 -210.26983668208 -209.725023737681</f>
        <v>-1240.4694169637551</v>
      </c>
      <c r="Q3525">
        <f>-673.222048373463 -52.5006409103138 -316.853271916389</f>
        <v>-1042.5759612001659</v>
      </c>
      <c r="R3525" t="s">
        <v>37753</v>
      </c>
      <c r="S3525" t="s">
        <v>37754</v>
      </c>
      <c r="T3525" t="s">
        <v>37755</v>
      </c>
      <c r="U3525" t="s">
        <v>37756</v>
      </c>
      <c r="V3525">
        <f>-775.786801842742 -86.2266131058327 -71.0809267384377</f>
        <v>-933.09434168701239</v>
      </c>
      <c r="W3525" t="s">
        <v>37757</v>
      </c>
      <c r="X3525" t="s">
        <v>37758</v>
      </c>
      <c r="Y3525" t="s">
        <v>37759</v>
      </c>
    </row>
    <row r="3526" spans="1:25" x14ac:dyDescent="0.3">
      <c r="A3526">
        <v>176250</v>
      </c>
      <c r="B3526" t="s">
        <v>37760</v>
      </c>
      <c r="C3526" t="s">
        <v>37761</v>
      </c>
      <c r="D3526">
        <f>-841.779098230154 -12.8487711002454 -184.301388232594</f>
        <v>-1038.9292575629934</v>
      </c>
      <c r="E3526">
        <f>-855.977291169866 -18.9749128188114 -281.705362494217</f>
        <v>-1156.6575664828945</v>
      </c>
      <c r="F3526">
        <f>-864.222571734874 -21.6629939344766 -370.37905360148</f>
        <v>-1256.2646192708307</v>
      </c>
      <c r="G3526">
        <f>-867.45712294366 -21.4923446548607 -459.416990926933</f>
        <v>-1348.3664585254537</v>
      </c>
      <c r="H3526">
        <f>-866.656061822521 -18.3533239415565 -583.95738028378</f>
        <v>-1468.9667660478576</v>
      </c>
      <c r="I3526">
        <f>-836.621514489633 -12.5778308609517 -661.220654095635</f>
        <v>-1510.4199994462197</v>
      </c>
      <c r="J3526" t="s">
        <v>37762</v>
      </c>
      <c r="K3526" t="s">
        <v>37763</v>
      </c>
      <c r="L3526" t="s">
        <v>37764</v>
      </c>
      <c r="M3526" t="s">
        <v>37765</v>
      </c>
      <c r="N3526">
        <f>-860.059856468004 -46.5508535347426 -529.784512490586</f>
        <v>-1436.3952224933328</v>
      </c>
      <c r="O3526">
        <f>-827.286775815593 -177.275015388059 -502.596958440378</f>
        <v>-1507.1587496440302</v>
      </c>
      <c r="P3526">
        <f>-820.945717647789 -208.628813073839 -210.076921982721</f>
        <v>-1239.6514527043489</v>
      </c>
      <c r="Q3526">
        <f>-672.995528356029 -51.0732665317319 -316.556368824474</f>
        <v>-1040.625163712235</v>
      </c>
      <c r="R3526" t="s">
        <v>37766</v>
      </c>
      <c r="S3526" t="s">
        <v>37767</v>
      </c>
      <c r="T3526" t="s">
        <v>37768</v>
      </c>
      <c r="U3526" t="s">
        <v>37769</v>
      </c>
      <c r="V3526">
        <f>-775.597055398697 -84.7939513874113 -71.1875928513329</f>
        <v>-931.57859963744113</v>
      </c>
      <c r="W3526" t="s">
        <v>37770</v>
      </c>
      <c r="X3526" t="s">
        <v>37771</v>
      </c>
      <c r="Y3526" t="s">
        <v>37772</v>
      </c>
    </row>
    <row r="3527" spans="1:25" x14ac:dyDescent="0.3">
      <c r="A3527">
        <v>176300</v>
      </c>
      <c r="B3527" t="s">
        <v>37773</v>
      </c>
      <c r="C3527" t="s">
        <v>37774</v>
      </c>
      <c r="D3527">
        <f>-841.152275449929 -12.5727881110179 -186.27270875582</f>
        <v>-1039.9977723167669</v>
      </c>
      <c r="E3527">
        <f>-854.391940868761 -17.8874713283724 -283.859131323605</f>
        <v>-1156.1385435207385</v>
      </c>
      <c r="F3527">
        <f>-862.058211249183 -20.0477114186831 -372.599295703145</f>
        <v>-1254.7052183710111</v>
      </c>
      <c r="G3527">
        <f>-865.009188214554 -19.5537890972446 -461.645747856127</f>
        <v>-1346.2087251679256</v>
      </c>
      <c r="H3527">
        <f>-864.127242720506 -16.1756340534982 -586.179406484279</f>
        <v>-1466.4822832582831</v>
      </c>
      <c r="I3527">
        <f>-834.000852262463 -10.0823137127543 -663.38229459071</f>
        <v>-1507.4654605659273</v>
      </c>
      <c r="J3527" t="s">
        <v>37775</v>
      </c>
      <c r="K3527" t="s">
        <v>37776</v>
      </c>
      <c r="L3527" t="s">
        <v>37777</v>
      </c>
      <c r="M3527" t="s">
        <v>37778</v>
      </c>
      <c r="N3527">
        <f>-857.632147411444 -44.4940713953565 -532.057356993948</f>
        <v>-1434.1835758007485</v>
      </c>
      <c r="O3527">
        <f>-825.380224444755 -175.350836129612 -504.915188366974</f>
        <v>-1505.6462489413409</v>
      </c>
      <c r="P3527">
        <f>-820.968092447849 -206.995938288026 -212.391137589849</f>
        <v>-1240.355168325724</v>
      </c>
      <c r="Q3527">
        <f>-671.588726796674 -49.7662061351353 -317.345840547667</f>
        <v>-1038.7007734794763</v>
      </c>
      <c r="R3527" t="s">
        <v>37779</v>
      </c>
      <c r="S3527" t="s">
        <v>37780</v>
      </c>
      <c r="T3527" t="s">
        <v>37781</v>
      </c>
      <c r="U3527" t="s">
        <v>37782</v>
      </c>
      <c r="V3527">
        <f>-776.428509133321 -87.4177251169283 -73.2361401332789</f>
        <v>-937.08237438352819</v>
      </c>
      <c r="W3527" t="s">
        <v>37783</v>
      </c>
      <c r="X3527" t="s">
        <v>37784</v>
      </c>
      <c r="Y3527" t="s">
        <v>37785</v>
      </c>
    </row>
    <row r="3528" spans="1:25" x14ac:dyDescent="0.3">
      <c r="A3528">
        <v>176350</v>
      </c>
      <c r="B3528" t="s">
        <v>37786</v>
      </c>
      <c r="C3528" t="s">
        <v>37787</v>
      </c>
      <c r="D3528">
        <f>-841.837268310387 -12.7496953002642 -187.335410280162</f>
        <v>-1041.9223738908131</v>
      </c>
      <c r="E3528">
        <f>-854.484487767868 -17.4742218615722 -285.030738825268</f>
        <v>-1156.9894484547083</v>
      </c>
      <c r="F3528">
        <f>-861.720608351054 -19.2486320277203 -373.815512556485</f>
        <v>-1254.7847529352593</v>
      </c>
      <c r="G3528">
        <f>-864.352512325835 -18.5156332918477 -462.870397612692</f>
        <v>-1345.7385432303747</v>
      </c>
      <c r="H3528">
        <f>-863.145093109361 -14.9558823660768 -587.396281292297</f>
        <v>-1465.4972567677348</v>
      </c>
      <c r="I3528">
        <f>-832.988762610368 -8.67449217619765 -664.572428770975</f>
        <v>-1506.2356835575406</v>
      </c>
      <c r="J3528" t="s">
        <v>37788</v>
      </c>
      <c r="K3528" t="s">
        <v>37789</v>
      </c>
      <c r="L3528" t="s">
        <v>37790</v>
      </c>
      <c r="M3528" t="s">
        <v>37791</v>
      </c>
      <c r="N3528">
        <f>-856.800379397494 -43.3555515208485 -533.299005511904</f>
        <v>-1433.4549364302466</v>
      </c>
      <c r="O3528">
        <f>-824.841841049091 -174.309229186638 -506.270432577575</f>
        <v>-1505.421502813304</v>
      </c>
      <c r="P3528">
        <f>-821.91616108757 -206.297015187499 -213.765004840516</f>
        <v>-1241.9781811155849</v>
      </c>
      <c r="Q3528">
        <f>-671.724784916932 -49.246371896334 -317.825151551889</f>
        <v>-1038.796308365155</v>
      </c>
      <c r="R3528" t="s">
        <v>37792</v>
      </c>
      <c r="S3528" t="s">
        <v>37793</v>
      </c>
      <c r="T3528" t="s">
        <v>37794</v>
      </c>
      <c r="U3528" t="s">
        <v>37795</v>
      </c>
      <c r="V3528">
        <f>-779.068069071453 -88.7887622489942 -74.4763615884597</f>
        <v>-942.33319290890688</v>
      </c>
      <c r="W3528" t="s">
        <v>37796</v>
      </c>
      <c r="X3528" t="s">
        <v>37797</v>
      </c>
      <c r="Y3528" t="s">
        <v>37798</v>
      </c>
    </row>
    <row r="3529" spans="1:25" x14ac:dyDescent="0.3">
      <c r="A3529">
        <v>176400</v>
      </c>
      <c r="B3529" t="s">
        <v>37799</v>
      </c>
      <c r="C3529">
        <f>-817.676087614856 -2.06980549314494 -77.2130689283655</f>
        <v>-896.95896203636642</v>
      </c>
      <c r="D3529">
        <f>-843.990337755705 -12.8455548869811 -189.496928470083</f>
        <v>-1046.3328211127691</v>
      </c>
      <c r="E3529">
        <f>-855.300966797982 -16.0061570063331 -287.418991971156</f>
        <v>-1158.726115775471</v>
      </c>
      <c r="F3529">
        <f>-861.476754083353 -16.7526362726244 -376.298410627098</f>
        <v>-1254.5278009830754</v>
      </c>
      <c r="G3529">
        <f>-863.211671321824 -15.3719698095413 -465.367705071972</f>
        <v>-1343.9513462033374</v>
      </c>
      <c r="H3529">
        <f>-860.935089560328 -11.2986489271095 -589.862723571894</f>
        <v>-1462.0964620593315</v>
      </c>
      <c r="I3529">
        <f>-830.595479145362 -4.64364138325368 -666.935758224144</f>
        <v>-1502.1748787527597</v>
      </c>
      <c r="J3529" t="s">
        <v>37800</v>
      </c>
      <c r="K3529" t="s">
        <v>37801</v>
      </c>
      <c r="L3529" t="s">
        <v>37802</v>
      </c>
      <c r="M3529" t="s">
        <v>37803</v>
      </c>
      <c r="N3529">
        <f>-855.050308428362 -39.9202467752013 -535.830585279258</f>
        <v>-1430.8011404828212</v>
      </c>
      <c r="O3529">
        <f>-823.466129770228 -170.991705257631 -509.016611846392</f>
        <v>-1503.474446874251</v>
      </c>
      <c r="P3529">
        <f>-822.621169346388 -204.319355566551 -216.647443897118</f>
        <v>-1243.587968810057</v>
      </c>
      <c r="Q3529">
        <f>-671.510077883486 -47.1760485323332 -319.225599503996</f>
        <v>-1037.9117259198151</v>
      </c>
      <c r="R3529" t="s">
        <v>37804</v>
      </c>
      <c r="S3529" t="s">
        <v>37805</v>
      </c>
      <c r="T3529" t="s">
        <v>37806</v>
      </c>
      <c r="U3529" t="s">
        <v>37807</v>
      </c>
      <c r="V3529">
        <f>-783.918868169833 -91.5794105770667 -77.4164854282612</f>
        <v>-952.91476417516094</v>
      </c>
      <c r="W3529" t="s">
        <v>37808</v>
      </c>
      <c r="X3529" t="s">
        <v>37809</v>
      </c>
      <c r="Y3529" t="s">
        <v>37810</v>
      </c>
    </row>
    <row r="3530" spans="1:25" x14ac:dyDescent="0.3">
      <c r="A3530">
        <v>176450</v>
      </c>
      <c r="B3530" t="s">
        <v>37811</v>
      </c>
      <c r="C3530">
        <f>-819.26817750242 -3.7868261954311 -77.9733550122203</f>
        <v>-901.02835871007142</v>
      </c>
      <c r="D3530">
        <f>-844.386540798161 -13.019809525277 -190.667775070801</f>
        <v>-1048.074125394239</v>
      </c>
      <c r="E3530">
        <f>-854.911369554476 -15.324384994298 -288.701361541235</f>
        <v>-1158.9371160900091</v>
      </c>
      <c r="F3530">
        <f>-860.489131113411 -15.4749925209976 -377.623187569186</f>
        <v>-1253.5873112035945</v>
      </c>
      <c r="G3530">
        <f>-861.746448736431 -13.6713889935343 -466.692859863349</f>
        <v>-1342.1106975933144</v>
      </c>
      <c r="H3530">
        <f>-858.934856974877 -9.18265081536401 -591.162954482309</f>
        <v>-1459.28046227255</v>
      </c>
      <c r="I3530">
        <f>-828.472884383821 -2.31928730478353 -668.169232339363</f>
        <v>-1498.9614040279675</v>
      </c>
      <c r="J3530" t="s">
        <v>37812</v>
      </c>
      <c r="K3530" t="s">
        <v>37813</v>
      </c>
      <c r="L3530" t="s">
        <v>37814</v>
      </c>
      <c r="M3530" t="s">
        <v>37815</v>
      </c>
      <c r="N3530">
        <f>-853.271586294995 -37.9816583598565 -537.201217385297</f>
        <v>-1428.4544620401484</v>
      </c>
      <c r="O3530">
        <f>-821.791429749437 -169.148472220378 -510.66816268787</f>
        <v>-1501.6080646576852</v>
      </c>
      <c r="P3530">
        <f>-821.749580936541 -203.592475530542 -218.427195487742</f>
        <v>-1243.769251954825</v>
      </c>
      <c r="Q3530">
        <f>-670.521161737167 -46.0360943979932 -320.195667312296</f>
        <v>-1036.7529234474562</v>
      </c>
      <c r="R3530" t="s">
        <v>37816</v>
      </c>
      <c r="S3530" t="s">
        <v>37817</v>
      </c>
      <c r="T3530" t="s">
        <v>37818</v>
      </c>
      <c r="U3530" t="s">
        <v>37819</v>
      </c>
      <c r="V3530">
        <f>-786.133422857294 -93.3070825263213 -78.9673268257617</f>
        <v>-958.40783220937703</v>
      </c>
      <c r="W3530" t="s">
        <v>37820</v>
      </c>
      <c r="X3530" t="s">
        <v>37821</v>
      </c>
      <c r="Y3530" t="s">
        <v>37822</v>
      </c>
    </row>
    <row r="3531" spans="1:25" x14ac:dyDescent="0.3">
      <c r="A3531">
        <v>176500</v>
      </c>
      <c r="B3531" t="s">
        <v>37823</v>
      </c>
      <c r="C3531">
        <f>-821.747856538894 -7.71115045869374 -79.7418962079659</f>
        <v>-909.20090320555357</v>
      </c>
      <c r="D3531">
        <f>-844.146863834426 -14.0445708744753 -193.207285318219</f>
        <v>-1051.3987200271204</v>
      </c>
      <c r="E3531">
        <f>-853.030342630091 -14.6817104038823 -291.42824484454</f>
        <v>-1159.1402978785134</v>
      </c>
      <c r="F3531">
        <f>-857.429592710803 -13.6316866000564 -380.410053466582</f>
        <v>-1251.4713327774414</v>
      </c>
      <c r="G3531">
        <f>-857.826156728352 -10.9227767519417 -469.464825695013</f>
        <v>-1338.2137591753067</v>
      </c>
      <c r="H3531">
        <f>-854.155263133481 -5.46574738080085 -593.873734286321</f>
        <v>-1453.4947448006028</v>
      </c>
      <c r="I3531" t="s">
        <v>37824</v>
      </c>
      <c r="J3531" t="s">
        <v>37825</v>
      </c>
      <c r="K3531" t="s">
        <v>37826</v>
      </c>
      <c r="L3531" t="s">
        <v>37827</v>
      </c>
      <c r="M3531" t="s">
        <v>37828</v>
      </c>
      <c r="N3531">
        <f>-848.837054955176 -34.6770236980219 -540.098805241088</f>
        <v>-1423.6128838942859</v>
      </c>
      <c r="O3531">
        <f>-817.415208706817 -165.978949062396 -514.326857077354</f>
        <v>-1497.721014846567</v>
      </c>
      <c r="P3531">
        <f>-818.707166726122 -203.101048341598 -222.41668964607</f>
        <v>-1244.22490471379</v>
      </c>
      <c r="Q3531">
        <f>-667.233198573652 -44.4889595818631 -322.159905916732</f>
        <v>-1033.882064072247</v>
      </c>
      <c r="R3531" t="s">
        <v>37829</v>
      </c>
      <c r="S3531" t="s">
        <v>37830</v>
      </c>
      <c r="T3531" t="s">
        <v>37831</v>
      </c>
      <c r="U3531" t="s">
        <v>37832</v>
      </c>
      <c r="V3531">
        <f>-789.605050494925 -98.2911167450825 -82.2456703643775</f>
        <v>-970.14183760438493</v>
      </c>
      <c r="W3531" t="s">
        <v>37833</v>
      </c>
      <c r="X3531" t="s">
        <v>37834</v>
      </c>
      <c r="Y3531" t="s">
        <v>37835</v>
      </c>
    </row>
    <row r="3532" spans="1:25" x14ac:dyDescent="0.3">
      <c r="A3532">
        <v>176550</v>
      </c>
      <c r="B3532" t="s">
        <v>37836</v>
      </c>
      <c r="C3532">
        <f>-822.696911450412 -10.6853962245752 -80.57527145094</f>
        <v>-913.95757912592728</v>
      </c>
      <c r="D3532">
        <f>-843.885017584693 -15.9724726050999 -194.326548295524</f>
        <v>-1054.1840384853169</v>
      </c>
      <c r="E3532">
        <f>-852.013004938112 -15.9260716679223 -292.614907348078</f>
        <v>-1160.5539839541123</v>
      </c>
      <c r="F3532">
        <f>-855.849607776061 -14.339361560664 -381.614816217934</f>
        <v>-1251.803785554659</v>
      </c>
      <c r="G3532">
        <f>-855.806836431749 -11.1721156577646 -470.655320400806</f>
        <v>-1337.6342724903197</v>
      </c>
      <c r="H3532">
        <f>-851.653477385862 -5.15368071704142 -595.023072339933</f>
        <v>-1451.8302304428364</v>
      </c>
      <c r="I3532" t="s">
        <v>37837</v>
      </c>
      <c r="J3532" t="s">
        <v>37838</v>
      </c>
      <c r="K3532" t="s">
        <v>37839</v>
      </c>
      <c r="L3532" t="s">
        <v>37840</v>
      </c>
      <c r="M3532" t="s">
        <v>37841</v>
      </c>
      <c r="N3532">
        <f>-846.525533814437 -34.6028443712032 -541.359579317827</f>
        <v>-1422.4879575034672</v>
      </c>
      <c r="O3532">
        <f>-815.148105373026 -165.993239182303 -516.046497219101</f>
        <v>-1497.1878417744301</v>
      </c>
      <c r="P3532">
        <f>-816.907236813952 -204.863373762286 -224.366534993626</f>
        <v>-1246.1371455698638</v>
      </c>
      <c r="Q3532">
        <f>-665.416773687778 -45.6593035182055 -323.136822362914</f>
        <v>-1034.2128995688977</v>
      </c>
      <c r="R3532" t="s">
        <v>37842</v>
      </c>
      <c r="S3532" t="s">
        <v>37843</v>
      </c>
      <c r="T3532" t="s">
        <v>37844</v>
      </c>
      <c r="U3532" t="s">
        <v>37845</v>
      </c>
      <c r="V3532">
        <f>-790.841478984277 -102.110840821633 -83.5816848292163</f>
        <v>-976.53400463512639</v>
      </c>
      <c r="W3532" t="s">
        <v>37846</v>
      </c>
      <c r="X3532" t="s">
        <v>37847</v>
      </c>
      <c r="Y3532" t="s">
        <v>37848</v>
      </c>
    </row>
    <row r="3533" spans="1:25" x14ac:dyDescent="0.3">
      <c r="A3533">
        <v>176600</v>
      </c>
      <c r="B3533" t="s">
        <v>37849</v>
      </c>
      <c r="C3533">
        <f>-823.986871431765 -17.1077519099201 -81.3657074562948</f>
        <v>-922.46033079797996</v>
      </c>
      <c r="D3533">
        <f>-842.904092917708 -21.0078155073545 -195.572363019921</f>
        <v>-1059.4842714449835</v>
      </c>
      <c r="E3533">
        <f>-849.635181082567 -19.8696413400473 -293.959644570344</f>
        <v>-1163.4644669929583</v>
      </c>
      <c r="F3533">
        <f>-852.430242888779 -17.341003568815 -382.976545137317</f>
        <v>-1252.7477915949112</v>
      </c>
      <c r="G3533">
        <f>-851.56919422893 -13.2745841540607 -471.9763234427</f>
        <v>-1336.8201018256907</v>
      </c>
      <c r="H3533">
        <f>-846.506418084503 -6.04482882974753 -596.245977261711</f>
        <v>-1448.7972241759617</v>
      </c>
      <c r="I3533" t="s">
        <v>37850</v>
      </c>
      <c r="J3533" t="s">
        <v>37851</v>
      </c>
      <c r="K3533" t="s">
        <v>37852</v>
      </c>
      <c r="L3533" t="s">
        <v>37853</v>
      </c>
      <c r="M3533" t="s">
        <v>37854</v>
      </c>
      <c r="N3533">
        <f>-841.613680952999 -35.9747332883221 -542.827173989622</f>
        <v>-1420.4155882309431</v>
      </c>
      <c r="O3533">
        <f>-809.782783436117 -167.496975928173 -518.641377241305</f>
        <v>-1495.9211366055952</v>
      </c>
      <c r="P3533">
        <f>-813.211013638962 -209.267581433175 -227.377458001036</f>
        <v>-1249.8560530731729</v>
      </c>
      <c r="Q3533">
        <f>-661.662053089238 -48.9263045614179 -324.19919381338</f>
        <v>-1034.7875514640359</v>
      </c>
      <c r="R3533" t="s">
        <v>37855</v>
      </c>
      <c r="S3533" t="s">
        <v>37856</v>
      </c>
      <c r="T3533" t="s">
        <v>37857</v>
      </c>
      <c r="U3533" t="s">
        <v>37858</v>
      </c>
      <c r="V3533">
        <f>-791.870278213952 -107.203413281129 -84.7393221708295</f>
        <v>-983.81301366591049</v>
      </c>
      <c r="W3533" t="s">
        <v>37859</v>
      </c>
      <c r="X3533" t="s">
        <v>37860</v>
      </c>
      <c r="Y3533" t="s">
        <v>37861</v>
      </c>
    </row>
    <row r="3534" spans="1:25" x14ac:dyDescent="0.3">
      <c r="A3534">
        <v>176650</v>
      </c>
      <c r="B3534" t="s">
        <v>37862</v>
      </c>
      <c r="C3534">
        <f>-824.485067868308 -19.5914924338852 -81.5408250108994</f>
        <v>-925.61738531309254</v>
      </c>
      <c r="D3534">
        <f>-842.308893890723 -23.2145482001522 -195.932346322561</f>
        <v>-1061.455788413436</v>
      </c>
      <c r="E3534">
        <f>-848.431601829359 -21.7267246816866 -294.35467568873</f>
        <v>-1164.5130021997757</v>
      </c>
      <c r="F3534">
        <f>-850.803527014621 -18.8467136116519 -383.373313430979</f>
        <v>-1253.0235540572519</v>
      </c>
      <c r="G3534">
        <f>-849.644756072721 -14.3930143927696 -472.351163289497</f>
        <v>-1336.3889337549876</v>
      </c>
      <c r="H3534">
        <f>-844.295269742263 -6.58633262849116 -596.573810086501</f>
        <v>-1447.4554124572551</v>
      </c>
      <c r="I3534" t="s">
        <v>37863</v>
      </c>
      <c r="J3534" t="s">
        <v>37864</v>
      </c>
      <c r="K3534" t="s">
        <v>37865</v>
      </c>
      <c r="L3534" t="s">
        <v>37866</v>
      </c>
      <c r="M3534" t="s">
        <v>37867</v>
      </c>
      <c r="N3534">
        <f>-839.378842451559 -36.7249772801572 -543.274630493666</f>
        <v>-1419.378450225382</v>
      </c>
      <c r="O3534">
        <f>-806.866840802721 -168.196480158417 -519.690933495744</f>
        <v>-1494.7542544568819</v>
      </c>
      <c r="P3534">
        <f>-810.885065722721 -211.533948109405 -228.663581849043</f>
        <v>-1251.0825956811691</v>
      </c>
      <c r="Q3534">
        <f>-659.607197187061 -50.367625437745 -324.534664864588</f>
        <v>-1034.5094874893941</v>
      </c>
      <c r="R3534" t="s">
        <v>37868</v>
      </c>
      <c r="S3534" t="s">
        <v>37869</v>
      </c>
      <c r="T3534" t="s">
        <v>37870</v>
      </c>
      <c r="U3534" t="s">
        <v>37871</v>
      </c>
      <c r="V3534">
        <f>-791.404585862924 -108.127159207584 -85.3827422520843</f>
        <v>-984.91448732259232</v>
      </c>
      <c r="W3534" t="s">
        <v>37872</v>
      </c>
      <c r="X3534" t="s">
        <v>37873</v>
      </c>
      <c r="Y3534" t="s">
        <v>37874</v>
      </c>
    </row>
    <row r="3535" spans="1:25" x14ac:dyDescent="0.3">
      <c r="A3535">
        <v>176700</v>
      </c>
      <c r="B3535" t="s">
        <v>37875</v>
      </c>
      <c r="C3535">
        <f>-823.953391118975 -20.9742247284703 -82.2554356300617</f>
        <v>-927.18305147750698</v>
      </c>
      <c r="D3535">
        <f>-839.980234055097 -24.7579770309596 -196.907423941416</f>
        <v>-1061.6456350274725</v>
      </c>
      <c r="E3535">
        <f>-845.163622140451 -22.8503888287273 -295.376366108241</f>
        <v>-1163.3903770774193</v>
      </c>
      <c r="F3535">
        <f>-846.91321131493 -19.3797153793864 -384.388405780436</f>
        <v>-1250.6813324747525</v>
      </c>
      <c r="G3535">
        <f>-845.354929191361 -14.1178435575303 -473.316006370946</f>
        <v>-1332.7887791198373</v>
      </c>
      <c r="H3535">
        <f>-839.675047250869 -4.95434649361255 -597.43120532293</f>
        <v>-1442.0605990674117</v>
      </c>
      <c r="I3535" t="s">
        <v>37876</v>
      </c>
      <c r="J3535" t="s">
        <v>37877</v>
      </c>
      <c r="K3535" t="s">
        <v>37878</v>
      </c>
      <c r="L3535" t="s">
        <v>37879</v>
      </c>
      <c r="M3535" t="s">
        <v>37880</v>
      </c>
      <c r="N3535">
        <f>-834.446152320274 -35.5475726559177 -544.421538314068</f>
        <v>-1414.4152632902596</v>
      </c>
      <c r="O3535">
        <f>-799.568103524183 -166.713040953798 -522.338569329523</f>
        <v>-1488.619713807504</v>
      </c>
      <c r="P3535">
        <f>-803.931096091335 -213.619639596077 -231.87010801097</f>
        <v>-1249.420843698382</v>
      </c>
      <c r="Q3535">
        <f>-654.198344296861 -49.7490021576727 -325.557868044696</f>
        <v>-1029.5052144992299</v>
      </c>
      <c r="R3535" t="s">
        <v>37881</v>
      </c>
      <c r="S3535" t="s">
        <v>37882</v>
      </c>
      <c r="T3535" t="s">
        <v>37883</v>
      </c>
      <c r="U3535" t="s">
        <v>37884</v>
      </c>
      <c r="V3535">
        <f>-787.194925430614 -109.492368365548 -86.095075954212</f>
        <v>-982.78236975037407</v>
      </c>
      <c r="W3535" t="s">
        <v>37885</v>
      </c>
      <c r="X3535" t="s">
        <v>37886</v>
      </c>
      <c r="Y3535" t="s">
        <v>37887</v>
      </c>
    </row>
    <row r="3536" spans="1:25" x14ac:dyDescent="0.3">
      <c r="A3536">
        <v>176750</v>
      </c>
      <c r="B3536" t="s">
        <v>37888</v>
      </c>
      <c r="C3536">
        <f>-821.612402289098 -19.2147691405301 -82.7679907767674</f>
        <v>-923.59516220639546</v>
      </c>
      <c r="D3536">
        <f>-837.120358645752 -23.0153396974008 -197.490604142873</f>
        <v>-1057.6263024860259</v>
      </c>
      <c r="E3536">
        <f>-842.043586400296 -20.9604468644068 -295.970033726997</f>
        <v>-1158.9740669916998</v>
      </c>
      <c r="F3536">
        <f>-843.630941700045 -17.2890806270229 -384.97700241858</f>
        <v>-1245.897024745648</v>
      </c>
      <c r="G3536">
        <f>-841.984523661315 -11.7528708801747 -473.886400405328</f>
        <v>-1327.6237949468177</v>
      </c>
      <c r="H3536">
        <f>-836.258870893852 -2.12507716874507 -597.964316753068</f>
        <v>-1436.3482648156651</v>
      </c>
      <c r="I3536" t="s">
        <v>37889</v>
      </c>
      <c r="J3536" t="s">
        <v>37890</v>
      </c>
      <c r="K3536" t="s">
        <v>37891</v>
      </c>
      <c r="L3536" t="s">
        <v>37892</v>
      </c>
      <c r="M3536" t="s">
        <v>37893</v>
      </c>
      <c r="N3536">
        <f>-830.81632866058 -32.8485580734446 -545.051670804584</f>
        <v>-1408.7165575386084</v>
      </c>
      <c r="O3536">
        <f>-794.665973837336 -163.720172759127 -523.54949956186</f>
        <v>-1481.9356461583229</v>
      </c>
      <c r="P3536">
        <f>-798.252461075396 -212.394245211755 -233.361434819753</f>
        <v>-1244.0081411069041</v>
      </c>
      <c r="Q3536">
        <f>-650.176364500784 -46.3249952286349 -325.802519991915</f>
        <v>-1022.3038797213338</v>
      </c>
      <c r="R3536" t="s">
        <v>37894</v>
      </c>
      <c r="S3536" t="s">
        <v>37895</v>
      </c>
      <c r="T3536" t="s">
        <v>37896</v>
      </c>
      <c r="U3536" t="s">
        <v>37897</v>
      </c>
      <c r="V3536">
        <f>-785.036879090408 -108.724049715453 -86.0271054001552</f>
        <v>-979.78803420601616</v>
      </c>
      <c r="W3536" t="s">
        <v>37898</v>
      </c>
      <c r="X3536" t="s">
        <v>37899</v>
      </c>
      <c r="Y3536" t="s">
        <v>37900</v>
      </c>
    </row>
    <row r="3537" spans="1:25" x14ac:dyDescent="0.3">
      <c r="A3537">
        <v>176800</v>
      </c>
      <c r="B3537" t="s">
        <v>37901</v>
      </c>
      <c r="C3537">
        <f>-813.431164557531 -18.073941896173 -83.9322777569417</f>
        <v>-915.43738421064575</v>
      </c>
      <c r="D3537">
        <f>-828.485642663714 -22.2345591131173 -198.702816841538</f>
        <v>-1049.4230186183693</v>
      </c>
      <c r="E3537">
        <f>-833.364423590625 -20.3737321334822 -297.188225519145</f>
        <v>-1150.9263812432523</v>
      </c>
      <c r="F3537">
        <f>-835.051843909744 -16.8227076759333 -386.198290012794</f>
        <v>-1238.0728415984713</v>
      </c>
      <c r="G3537">
        <f>-833.647767773421 -11.3432354524562 -475.115306790159</f>
        <v>-1320.1063100160363</v>
      </c>
      <c r="H3537">
        <f>-828.410906943785 -1.72068081890143 -599.215235790228</f>
        <v>-1429.3468235529144</v>
      </c>
      <c r="I3537" t="s">
        <v>37902</v>
      </c>
      <c r="J3537" t="s">
        <v>37903</v>
      </c>
      <c r="K3537" t="s">
        <v>37904</v>
      </c>
      <c r="L3537" t="s">
        <v>37905</v>
      </c>
      <c r="M3537" t="s">
        <v>37906</v>
      </c>
      <c r="N3537">
        <f>-822.532573874385 -32.3735310492912 -546.308178856942</f>
        <v>-1401.2142837806182</v>
      </c>
      <c r="O3537">
        <f>-785.058304891407 -162.900775305176 -525.128496400179</f>
        <v>-1473.0875765967621</v>
      </c>
      <c r="P3537">
        <f>-784.79120171832 -213.705737477597 -235.283678352734</f>
        <v>-1233.7806175486512</v>
      </c>
      <c r="Q3537">
        <f>-640.975976895799 -43.260030211819 -326.477399949726</f>
        <v>-1010.7134070573441</v>
      </c>
      <c r="R3537" t="s">
        <v>37907</v>
      </c>
      <c r="S3537" t="s">
        <v>37908</v>
      </c>
      <c r="T3537" t="s">
        <v>37909</v>
      </c>
      <c r="U3537" t="s">
        <v>37910</v>
      </c>
      <c r="V3537">
        <f>-776.602323171921 -106.111259798591 -86.7181907800849</f>
        <v>-969.4317737505969</v>
      </c>
      <c r="W3537" t="s">
        <v>37911</v>
      </c>
      <c r="X3537" t="s">
        <v>37912</v>
      </c>
      <c r="Y3537" t="s">
        <v>37913</v>
      </c>
    </row>
    <row r="3538" spans="1:25" x14ac:dyDescent="0.3">
      <c r="A3538">
        <v>176850</v>
      </c>
      <c r="B3538" t="s">
        <v>37914</v>
      </c>
      <c r="C3538">
        <f>-809.314731337767 -18.2565947526605 -84.2350744808351</f>
        <v>-911.80640057126254</v>
      </c>
      <c r="D3538">
        <f>-824.384648040497 -22.8601459637009 -198.986624783771</f>
        <v>-1046.231418787969</v>
      </c>
      <c r="E3538">
        <f>-829.409855243084 -21.301006129818 -297.469937513687</f>
        <v>-1148.1807988865889</v>
      </c>
      <c r="F3538">
        <f>-831.280799162343 -17.9920601499318 -386.485640198152</f>
        <v>-1235.7584995104269</v>
      </c>
      <c r="G3538">
        <f>-830.109844178134 -12.7234727215591 -475.41880864047</f>
        <v>-1318.2521255401632</v>
      </c>
      <c r="H3538">
        <f>-825.249601889764 -3.36298121950927 -599.554161636996</f>
        <v>-1428.1667447462692</v>
      </c>
      <c r="I3538" t="s">
        <v>37915</v>
      </c>
      <c r="J3538" t="s">
        <v>37916</v>
      </c>
      <c r="K3538" t="s">
        <v>37917</v>
      </c>
      <c r="L3538" t="s">
        <v>37918</v>
      </c>
      <c r="M3538" t="s">
        <v>37919</v>
      </c>
      <c r="N3538">
        <f>-819.214068560096 -33.9051173452956 -546.600685468172</f>
        <v>-1399.7198713735636</v>
      </c>
      <c r="O3538">
        <f>-781.639572878955 -164.400010786271 -525.186186407485</f>
        <v>-1471.2257700727109</v>
      </c>
      <c r="P3538">
        <f>-779.721654644763 -214.541022465446 -235.231988689887</f>
        <v>-1229.4946658000961</v>
      </c>
      <c r="Q3538">
        <f>-637.049883668394 -43.665660358746 -327.412669058579</f>
        <v>-1008.128213085719</v>
      </c>
      <c r="R3538" t="s">
        <v>37920</v>
      </c>
      <c r="S3538" t="s">
        <v>37921</v>
      </c>
      <c r="T3538" t="s">
        <v>37922</v>
      </c>
      <c r="U3538" t="s">
        <v>37923</v>
      </c>
      <c r="V3538">
        <f>-771.968136360984 -106.138184664127 -86.7985795348452</f>
        <v>-964.90490055995622</v>
      </c>
      <c r="W3538" t="s">
        <v>37924</v>
      </c>
      <c r="X3538" t="s">
        <v>37925</v>
      </c>
      <c r="Y3538" t="s">
        <v>37926</v>
      </c>
    </row>
    <row r="3539" spans="1:25" x14ac:dyDescent="0.3">
      <c r="A3539">
        <v>176900</v>
      </c>
      <c r="B3539" t="s">
        <v>37927</v>
      </c>
      <c r="C3539">
        <f>-800.07861844725 -22.2146428567853 -83.9549859342077</f>
        <v>-906.24824723824304</v>
      </c>
      <c r="D3539">
        <f>-815.110840857609 -27.578087409843 -198.678550753573</f>
        <v>-1041.367479021025</v>
      </c>
      <c r="E3539">
        <f>-820.399491834276 -26.6058411640317 -297.155558280439</f>
        <v>-1144.1608912787467</v>
      </c>
      <c r="F3539">
        <f>-822.61773936493 -23.8114230932463 -386.180897459403</f>
        <v>-1232.6100599175793</v>
      </c>
      <c r="G3539">
        <f>-821.898424653231 -19.0442841303156 -475.147255767641</f>
        <v>-1316.0899645511877</v>
      </c>
      <c r="H3539">
        <f>-817.77409685992 -10.3742403498056 -599.359287545431</f>
        <v>-1427.5076247551565</v>
      </c>
      <c r="I3539">
        <f>-790.167468275421 -2.98506870882943 -677.386811851828</f>
        <v>-1470.5393488360785</v>
      </c>
      <c r="J3539" t="s">
        <v>37928</v>
      </c>
      <c r="K3539" t="s">
        <v>37929</v>
      </c>
      <c r="L3539" t="s">
        <v>37930</v>
      </c>
      <c r="M3539" t="s">
        <v>37931</v>
      </c>
      <c r="N3539">
        <f>-811.466847205217 -40.6344797126862 -546.2759366936</f>
        <v>-1398.3772636115032</v>
      </c>
      <c r="O3539">
        <f>-773.841334829843 -170.949052332737 -524.002579706589</f>
        <v>-1468.792966869169</v>
      </c>
      <c r="P3539">
        <f>-770.439842564783 -218.38022045767 -233.606418754602</f>
        <v>-1222.426481777055</v>
      </c>
      <c r="Q3539">
        <f>-628.820561528937 -48.0574592435174 -328.395860869896</f>
        <v>-1005.2738816423505</v>
      </c>
      <c r="R3539" t="s">
        <v>37932</v>
      </c>
      <c r="S3539" t="s">
        <v>37933</v>
      </c>
      <c r="T3539" t="s">
        <v>37934</v>
      </c>
      <c r="U3539" t="s">
        <v>37935</v>
      </c>
      <c r="V3539">
        <f>-761.797435522116 -110.49394487227 -86.4736282349368</f>
        <v>-958.76500862932278</v>
      </c>
      <c r="W3539" t="s">
        <v>37936</v>
      </c>
      <c r="X3539" t="s">
        <v>37937</v>
      </c>
      <c r="Y3539" t="s">
        <v>37938</v>
      </c>
    </row>
    <row r="3540" spans="1:25" x14ac:dyDescent="0.3">
      <c r="A3540">
        <v>176950</v>
      </c>
      <c r="B3540" t="s">
        <v>37939</v>
      </c>
      <c r="C3540">
        <f>-794.016609093254 -26.4614684189507 -82.8517680860488</f>
        <v>-903.32984559825354</v>
      </c>
      <c r="D3540">
        <f>-808.961324566741 -32.1020209472174 -197.57339742429</f>
        <v>-1038.6367429382485</v>
      </c>
      <c r="E3540">
        <f>-814.300240581396 -31.4270762616175 -296.05031000345</f>
        <v>-1141.7776268464636</v>
      </c>
      <c r="F3540">
        <f>-816.612019118141 -28.9287074134916 -385.082136943323</f>
        <v>-1230.6228634749555</v>
      </c>
      <c r="G3540">
        <f>-816.033808081123 -24.4843666133406 -474.066107632293</f>
        <v>-1314.5842823267567</v>
      </c>
      <c r="H3540">
        <f>-812.155660690073 -16.2946269479087 -598.318658190077</f>
        <v>-1426.7689458280588</v>
      </c>
      <c r="I3540">
        <f>-784.790098293846 -9.10066307833722 -676.449310056925</f>
        <v>-1470.3400714291083</v>
      </c>
      <c r="J3540" t="s">
        <v>37940</v>
      </c>
      <c r="K3540" t="s">
        <v>37941</v>
      </c>
      <c r="L3540" t="s">
        <v>37942</v>
      </c>
      <c r="M3540" t="s">
        <v>37943</v>
      </c>
      <c r="N3540">
        <f>-805.718343738371 -46.3420257840124 -545.130075648544</f>
        <v>-1397.1904451709274</v>
      </c>
      <c r="O3540">
        <f>-768.033769533662 -176.595932421309 -522.609425499509</f>
        <v>-1467.2391274544802</v>
      </c>
      <c r="P3540">
        <f>-764.894873244497 -222.621924975268 -231.984255419439</f>
        <v>-1219.501053639204</v>
      </c>
      <c r="Q3540">
        <f>-623.048246679051 -52.804430455534 -327.338548895582</f>
        <v>-1003.1912260301669</v>
      </c>
      <c r="R3540" t="s">
        <v>37944</v>
      </c>
      <c r="S3540" t="s">
        <v>37945</v>
      </c>
      <c r="T3540" t="s">
        <v>37946</v>
      </c>
      <c r="U3540" t="s">
        <v>37947</v>
      </c>
      <c r="V3540">
        <f>-755.406377982513 -114.256661694593 -85.0384845894085</f>
        <v>-954.70152426651464</v>
      </c>
      <c r="W3540" t="s">
        <v>37948</v>
      </c>
      <c r="X3540" t="s">
        <v>37949</v>
      </c>
      <c r="Y3540" t="s">
        <v>37950</v>
      </c>
    </row>
    <row r="3541" spans="1:25" x14ac:dyDescent="0.3">
      <c r="A3541">
        <v>177000</v>
      </c>
      <c r="B3541" t="s">
        <v>37951</v>
      </c>
      <c r="C3541">
        <f>-785.899231253392 -32.3535939319772 -80.4277812574895</f>
        <v>-898.68060644285879</v>
      </c>
      <c r="D3541">
        <f>-800.353519878353 -38.4853048574473 -195.187118344164</f>
        <v>-1034.0259430799642</v>
      </c>
      <c r="E3541">
        <f>-805.524694388202 -38.2103160126653 -293.674912342834</f>
        <v>-1137.4099227437014</v>
      </c>
      <c r="F3541">
        <f>-807.7850615656 -36.0640461611424 -382.71716775287</f>
        <v>-1226.5662754796124</v>
      </c>
      <c r="G3541">
        <f>-807.255868847653 -31.9583604298207 -471.717671614058</f>
        <v>-1310.9319008915318</v>
      </c>
      <c r="H3541">
        <f>-803.551464579322 -24.2253343430771 -596.004806581285</f>
        <v>-1423.7816055036842</v>
      </c>
      <c r="I3541">
        <f>-776.529976086662 -17.1213455251161 -674.263335851092</f>
        <v>-1467.9146574628703</v>
      </c>
      <c r="J3541">
        <f>-813.446374873357 -1.21737093915908 -539.915374666094</f>
        <v>-1354.5791204786101</v>
      </c>
      <c r="K3541" t="s">
        <v>37952</v>
      </c>
      <c r="L3541" t="s">
        <v>37953</v>
      </c>
      <c r="M3541" t="s">
        <v>37954</v>
      </c>
      <c r="N3541">
        <f>-796.9167845023 -54.039116198831 -542.709085967034</f>
        <v>-1393.6649866681651</v>
      </c>
      <c r="O3541">
        <f>-758.514485216569 -184.072691246818 -519.978196809149</f>
        <v>-1462.5653732725361</v>
      </c>
      <c r="P3541">
        <f>-754.814364843079 -229.830344200025 -229.317242204422</f>
        <v>-1213.961951247526</v>
      </c>
      <c r="Q3541">
        <f>-613.474538448008 -59.8217758840289 -325.082582161811</f>
        <v>-998.37889649384783</v>
      </c>
      <c r="R3541" t="s">
        <v>37955</v>
      </c>
      <c r="S3541" t="s">
        <v>37956</v>
      </c>
      <c r="T3541" t="s">
        <v>37957</v>
      </c>
      <c r="U3541" t="s">
        <v>37958</v>
      </c>
      <c r="V3541">
        <f>-751.008425378004 -116.481505866048 -82.0253426677072</f>
        <v>-949.5152739117591</v>
      </c>
      <c r="W3541" t="s">
        <v>37959</v>
      </c>
      <c r="X3541" t="s">
        <v>37960</v>
      </c>
      <c r="Y3541" t="s">
        <v>37961</v>
      </c>
    </row>
    <row r="3542" spans="1:25" x14ac:dyDescent="0.3">
      <c r="A3542">
        <v>177050</v>
      </c>
      <c r="B3542" t="s">
        <v>37962</v>
      </c>
      <c r="C3542">
        <f>-790.500111071819 -28.9212911577686 -81.4786594733033</f>
        <v>-900.90006170289087</v>
      </c>
      <c r="D3542">
        <f>-804.62425860043 -35.5393554715215 -196.251954744421</f>
        <v>-1036.4155688163726</v>
      </c>
      <c r="E3542">
        <f>-809.638055034704 -35.4139462437629 -294.74819413726</f>
        <v>-1139.8001954157269</v>
      </c>
      <c r="F3542">
        <f>-811.804366258061 -33.2912432173714 -383.793405139639</f>
        <v>-1228.8890146150713</v>
      </c>
      <c r="G3542">
        <f>-811.22818232428 -29.0952159997387 -472.789570287842</f>
        <v>-1313.1129686118607</v>
      </c>
      <c r="H3542">
        <f>-807.50603496508 -21.1139445726992 -597.060415401427</f>
        <v>-1425.6803949392061</v>
      </c>
      <c r="I3542">
        <f>-780.581084809641 -13.8312461860189 -675.335817628032</f>
        <v>-1469.748148623692</v>
      </c>
      <c r="J3542" t="s">
        <v>37963</v>
      </c>
      <c r="K3542" t="s">
        <v>37964</v>
      </c>
      <c r="L3542" t="s">
        <v>37965</v>
      </c>
      <c r="M3542" t="s">
        <v>37966</v>
      </c>
      <c r="N3542">
        <f>-800.829005578834 -51.0184687634802 -543.820895776439</f>
        <v>-1395.668370118753</v>
      </c>
      <c r="O3542">
        <f>-762.016137979077 -180.999376885504 -521.273148978244</f>
        <v>-1464.2886638428249</v>
      </c>
      <c r="P3542">
        <f>-758.090942452932 -227.149829644349 -230.67742522232</f>
        <v>-1215.9181973196009</v>
      </c>
      <c r="Q3542">
        <f>-617.420443953338 -56.4044996239179 -326.116637640541</f>
        <v>-999.94158121779697</v>
      </c>
      <c r="R3542" t="s">
        <v>37967</v>
      </c>
      <c r="S3542" t="s">
        <v>37968</v>
      </c>
      <c r="T3542" t="s">
        <v>37969</v>
      </c>
      <c r="U3542" t="s">
        <v>37970</v>
      </c>
      <c r="V3542">
        <f>-755.335663005747 -113.66499762344 -82.951256543075</f>
        <v>-951.95191717226203</v>
      </c>
      <c r="W3542" t="s">
        <v>37971</v>
      </c>
      <c r="X3542" t="s">
        <v>37972</v>
      </c>
      <c r="Y3542" t="s">
        <v>37973</v>
      </c>
    </row>
    <row r="3543" spans="1:25" x14ac:dyDescent="0.3">
      <c r="A3543">
        <v>177100</v>
      </c>
      <c r="B3543" t="s">
        <v>37974</v>
      </c>
      <c r="C3543">
        <f>-803.882063425179 -15.3254632575768 -85.6068431292034</f>
        <v>-904.81436981195918</v>
      </c>
      <c r="D3543">
        <f>-817.152202184093 -23.0924684293489 -200.410155249775</f>
        <v>-1040.6548258632167</v>
      </c>
      <c r="E3543">
        <f>-821.992828989198 -23.2430972132315 -298.914992689802</f>
        <v>-1144.1509188922314</v>
      </c>
      <c r="F3543">
        <f>-824.230598411133 -21.0598703573346 -387.956985024943</f>
        <v>-1233.2474537934106</v>
      </c>
      <c r="G3543">
        <f>-823.953578683053 -16.4836197612883 -476.935606450588</f>
        <v>-1317.3728048949292</v>
      </c>
      <c r="H3543">
        <f>-820.888876325177 -7.62400810778036 -601.165089971403</f>
        <v>-1429.6779744043602</v>
      </c>
      <c r="I3543" t="s">
        <v>37975</v>
      </c>
      <c r="J3543" t="s">
        <v>37976</v>
      </c>
      <c r="K3543" t="s">
        <v>37977</v>
      </c>
      <c r="L3543" t="s">
        <v>37978</v>
      </c>
      <c r="M3543" t="s">
        <v>37979</v>
      </c>
      <c r="N3543">
        <f>-813.959944474606 -37.9132184362559 -548.175819324759</f>
        <v>-1400.0489822356208</v>
      </c>
      <c r="O3543">
        <f>-775.305082496566 -168.130630303664 -526.700646900974</f>
        <v>-1470.1363597012041</v>
      </c>
      <c r="P3543">
        <f>-770.587298459469 -215.805499616606 -236.362858337148</f>
        <v>-1222.7556564132231</v>
      </c>
      <c r="Q3543">
        <f>-631.100494093354 -43.3067725157507 -330.376193541252</f>
        <v>-1004.7834601503566</v>
      </c>
      <c r="R3543" t="s">
        <v>37980</v>
      </c>
      <c r="S3543" t="s">
        <v>37981</v>
      </c>
      <c r="T3543" t="s">
        <v>37982</v>
      </c>
      <c r="U3543" t="s">
        <v>37983</v>
      </c>
      <c r="V3543">
        <f>-767.188323024783 -102.969521280273 -85.5524641727833</f>
        <v>-955.71030847783925</v>
      </c>
      <c r="W3543" t="s">
        <v>37984</v>
      </c>
      <c r="X3543" t="s">
        <v>37985</v>
      </c>
      <c r="Y3543" t="s">
        <v>37986</v>
      </c>
    </row>
    <row r="3544" spans="1:25" x14ac:dyDescent="0.3">
      <c r="A3544">
        <v>177150</v>
      </c>
      <c r="B3544" t="s">
        <v>37987</v>
      </c>
      <c r="C3544">
        <f>-808.980847740019 -9.11169394096464 -87.5218904925849</f>
        <v>-905.61443217356862</v>
      </c>
      <c r="D3544">
        <f>-821.545580711142 -17.2100708238238 -202.381653873962</f>
        <v>-1041.1373054089277</v>
      </c>
      <c r="E3544">
        <f>-826.176010698239 -17.4019968018988 -300.896493391092</f>
        <v>-1144.4745008912298</v>
      </c>
      <c r="F3544">
        <f>-828.390567061377 -15.1397828768104 -389.937070937349</f>
        <v>-1233.4674208755364</v>
      </c>
      <c r="G3544">
        <f>-828.259552602557 -10.3630728338301 -478.905587560528</f>
        <v>-1317.528212996915</v>
      </c>
      <c r="H3544">
        <f>-825.579563327851 -1.08807985379781 -603.113563634618</f>
        <v>-1429.7812068162668</v>
      </c>
      <c r="I3544" t="s">
        <v>37988</v>
      </c>
      <c r="J3544" t="s">
        <v>37989</v>
      </c>
      <c r="K3544" t="s">
        <v>37990</v>
      </c>
      <c r="L3544" t="s">
        <v>37991</v>
      </c>
      <c r="M3544" t="s">
        <v>37992</v>
      </c>
      <c r="N3544">
        <f>-818.58393155768 -31.5842213015474 -550.251817118646</f>
        <v>-1400.4199699778733</v>
      </c>
      <c r="O3544">
        <f>-780.497966382224 -162.007821027333 -529.16946991177</f>
        <v>-1471.6752573213271</v>
      </c>
      <c r="P3544">
        <f>-774.830428059884 -211.126369286535 -239.089259690907</f>
        <v>-1225.0460570373259</v>
      </c>
      <c r="Q3544">
        <f>-635.822989757999 -38.0617525978228 -332.772091582834</f>
        <v>-1006.6568339386558</v>
      </c>
      <c r="R3544" t="s">
        <v>37993</v>
      </c>
      <c r="S3544" t="s">
        <v>37994</v>
      </c>
      <c r="T3544" t="s">
        <v>37995</v>
      </c>
      <c r="U3544" t="s">
        <v>37996</v>
      </c>
      <c r="V3544">
        <f>-772.331046020548 -98.0102756512606 -86.662310325022</f>
        <v>-957.00363199683056</v>
      </c>
      <c r="W3544" t="s">
        <v>37997</v>
      </c>
      <c r="X3544" t="s">
        <v>37998</v>
      </c>
      <c r="Y3544" t="s">
        <v>37999</v>
      </c>
    </row>
    <row r="3545" spans="1:25" x14ac:dyDescent="0.3">
      <c r="A3545">
        <v>177200</v>
      </c>
      <c r="B3545" t="s">
        <v>38000</v>
      </c>
      <c r="C3545">
        <f>-811.983610271003 -0.732857657625573 -89.9068498984524</f>
        <v>-902.623317827081</v>
      </c>
      <c r="D3545">
        <f>-823.836452718688 -8.94512710484651 -204.834220612652</f>
        <v>-1037.6158004361864</v>
      </c>
      <c r="E3545">
        <f>-828.104154874611 -9.13237873001299 -303.365392104447</f>
        <v>-1140.6019257090711</v>
      </c>
      <c r="F3545">
        <f>-830.103692893941 -6.80134563173988 -392.409298257039</f>
        <v>-1229.3143367827199</v>
      </c>
      <c r="G3545">
        <f>-829.873919975627 -1.89109517995303 -481.370474928493</f>
        <v>-1313.1354900840731</v>
      </c>
      <c r="H3545" t="s">
        <v>38001</v>
      </c>
      <c r="I3545" t="s">
        <v>38002</v>
      </c>
      <c r="J3545" t="s">
        <v>38003</v>
      </c>
      <c r="K3545" t="s">
        <v>38004</v>
      </c>
      <c r="L3545" t="s">
        <v>38005</v>
      </c>
      <c r="M3545" t="s">
        <v>38006</v>
      </c>
      <c r="N3545">
        <f>-820.577320609401 -23.0771423237939 -552.777381763232</f>
        <v>-1396.4318446964269</v>
      </c>
      <c r="O3545">
        <f>-784.604381839102 -154.028862699743 -531.742951221118</f>
        <v>-1470.3761957599631</v>
      </c>
      <c r="P3545">
        <f>-778.246588008938 -204.596967821932 -241.926380964471</f>
        <v>-1224.769936795341</v>
      </c>
      <c r="Q3545">
        <f>-637.061570548426 -33.447795327834 -335.871053396539</f>
        <v>-1006.3804192727989</v>
      </c>
      <c r="R3545" t="s">
        <v>38007</v>
      </c>
      <c r="S3545" t="s">
        <v>38008</v>
      </c>
      <c r="T3545" t="s">
        <v>38009</v>
      </c>
      <c r="U3545" t="s">
        <v>38010</v>
      </c>
      <c r="V3545">
        <f>-777.171253924825 -90.7089702816014 -88.5031623733282</f>
        <v>-956.38338657975464</v>
      </c>
      <c r="W3545" t="s">
        <v>38011</v>
      </c>
      <c r="X3545" t="s">
        <v>38012</v>
      </c>
      <c r="Y3545" t="s">
        <v>38013</v>
      </c>
    </row>
    <row r="3546" spans="1:25" x14ac:dyDescent="0.3">
      <c r="A3546">
        <v>177250</v>
      </c>
      <c r="B3546" t="s">
        <v>38014</v>
      </c>
      <c r="C3546" t="s">
        <v>38015</v>
      </c>
      <c r="D3546">
        <f>-823.852292025215 -6.46405522184727 -205.874006302164</f>
        <v>-1036.1903535492263</v>
      </c>
      <c r="E3546">
        <f>-827.909862126046 -6.62882570674105 -304.414168773657</f>
        <v>-1138.9528566064441</v>
      </c>
      <c r="F3546">
        <f>-829.664536627863 -4.33194195976762 -393.464086867415</f>
        <v>-1227.4605654550455</v>
      </c>
      <c r="G3546" t="s">
        <v>38016</v>
      </c>
      <c r="H3546" t="s">
        <v>38017</v>
      </c>
      <c r="I3546" t="s">
        <v>38018</v>
      </c>
      <c r="J3546" t="s">
        <v>38019</v>
      </c>
      <c r="K3546" t="s">
        <v>38020</v>
      </c>
      <c r="L3546" t="s">
        <v>38021</v>
      </c>
      <c r="M3546" t="s">
        <v>38022</v>
      </c>
      <c r="N3546">
        <f>-819.822155615649 -20.8852553339843 -553.778890381504</f>
        <v>-1394.4863013311374</v>
      </c>
      <c r="O3546">
        <f>-785.154512490726 -152.068132588987 -532.201060815305</f>
        <v>-1469.423705895018</v>
      </c>
      <c r="P3546">
        <f>-779.478444852387 -202.530132806549 -242.351774581177</f>
        <v>-1224.3603522401131</v>
      </c>
      <c r="Q3546">
        <f>-635.968872939815 -33.3047142345868 -336.259111471152</f>
        <v>-1005.5326986455538</v>
      </c>
      <c r="R3546" t="s">
        <v>38023</v>
      </c>
      <c r="S3546" t="s">
        <v>38024</v>
      </c>
      <c r="T3546" t="s">
        <v>38025</v>
      </c>
      <c r="U3546" t="s">
        <v>38026</v>
      </c>
      <c r="V3546">
        <f>-778.24099544284 -88.8051065812612 -89.0170519254013</f>
        <v>-956.06315394950252</v>
      </c>
      <c r="W3546" t="s">
        <v>38027</v>
      </c>
      <c r="X3546" t="s">
        <v>38028</v>
      </c>
      <c r="Y3546" t="s">
        <v>38029</v>
      </c>
    </row>
    <row r="3547" spans="1:25" x14ac:dyDescent="0.3">
      <c r="A3547">
        <v>177300</v>
      </c>
      <c r="B3547" t="s">
        <v>38030</v>
      </c>
      <c r="C3547">
        <f>-810.893420804429 -2.002853075659 -93.1974368958485</f>
        <v>-906.09371077593642</v>
      </c>
      <c r="D3547">
        <f>-822.422499310889 -10.1688163138342 -208.160954306508</f>
        <v>-1040.7522699312312</v>
      </c>
      <c r="E3547">
        <f>-826.124866951645 -10.6075155383937 -306.714294278239</f>
        <v>-1143.4466767682777</v>
      </c>
      <c r="F3547">
        <f>-827.48640165822 -8.63195631009648 -395.778780272808</f>
        <v>-1231.8971382411244</v>
      </c>
      <c r="G3547">
        <f>-826.482402763135 -4.22053929095068 -484.760697390116</f>
        <v>-1315.4636394442018</v>
      </c>
      <c r="H3547" t="s">
        <v>38031</v>
      </c>
      <c r="I3547" t="s">
        <v>38032</v>
      </c>
      <c r="J3547" t="s">
        <v>38033</v>
      </c>
      <c r="K3547" t="s">
        <v>38034</v>
      </c>
      <c r="L3547" t="s">
        <v>38035</v>
      </c>
      <c r="M3547" t="s">
        <v>38036</v>
      </c>
      <c r="N3547">
        <f>-817.109629510438 -26.0745400789476 -555.956026229149</f>
        <v>-1399.1401958185347</v>
      </c>
      <c r="O3547">
        <f>-784.256672497958 -157.748256694059 -533.810658850441</f>
        <v>-1475.8155880424579</v>
      </c>
      <c r="P3547">
        <f>-784.509202306995 -205.511469335767 -243.449154084473</f>
        <v>-1233.469825727235</v>
      </c>
      <c r="Q3547">
        <f>-634.747568852848 -41.1875185320705 -336.293232857488</f>
        <v>-1012.2283202424064</v>
      </c>
      <c r="R3547" t="s">
        <v>38037</v>
      </c>
      <c r="S3547" t="s">
        <v>38038</v>
      </c>
      <c r="T3547" t="s">
        <v>38039</v>
      </c>
      <c r="U3547" t="s">
        <v>38040</v>
      </c>
      <c r="V3547">
        <f>-776.953157468768 -93.4891300686094 -90.8453614961866</f>
        <v>-961.28764903356398</v>
      </c>
      <c r="W3547" t="s">
        <v>38041</v>
      </c>
      <c r="X3547" t="s">
        <v>38042</v>
      </c>
      <c r="Y3547" t="s">
        <v>38043</v>
      </c>
    </row>
    <row r="3548" spans="1:25" x14ac:dyDescent="0.3">
      <c r="A3548">
        <v>177350</v>
      </c>
      <c r="B3548" t="s">
        <v>38044</v>
      </c>
      <c r="C3548">
        <f>-812.749742600768 -0.335256895566317 -93.5585193070589</f>
        <v>-906.64351880339314</v>
      </c>
      <c r="D3548">
        <f>-824.431858727999 -8.51590740400252 -208.50557871313</f>
        <v>-1041.4533448451316</v>
      </c>
      <c r="E3548">
        <f>-828.25629419221 -9.04636348380291 -307.053757337848</f>
        <v>-1144.3564150138609</v>
      </c>
      <c r="F3548">
        <f>-829.719497414599 -7.19240839357644 -396.119297388848</f>
        <v>-1233.0312031970234</v>
      </c>
      <c r="G3548">
        <f>-828.805723311634 -2.94428152074715 -485.10995910601</f>
        <v>-1316.859963938391</v>
      </c>
      <c r="H3548" t="s">
        <v>38045</v>
      </c>
      <c r="I3548" t="s">
        <v>38046</v>
      </c>
      <c r="J3548" t="s">
        <v>38047</v>
      </c>
      <c r="K3548" t="s">
        <v>38048</v>
      </c>
      <c r="L3548" t="s">
        <v>38049</v>
      </c>
      <c r="M3548" t="s">
        <v>38050</v>
      </c>
      <c r="N3548">
        <f>-819.542032836838 -24.9675083876798 -556.267655118614</f>
        <v>-1400.7771963431319</v>
      </c>
      <c r="O3548">
        <f>-787.072152520448 -156.773277076095 -534.159926842341</f>
        <v>-1478.0053564388841</v>
      </c>
      <c r="P3548">
        <f>-790.296586212934 -202.712431320513 -243.522111939042</f>
        <v>-1236.5311294724891</v>
      </c>
      <c r="Q3548">
        <f>-638.269171365179 -40.1692643710662 -335.816397753955</f>
        <v>-1014.2548334902002</v>
      </c>
      <c r="R3548" t="s">
        <v>38051</v>
      </c>
      <c r="S3548" t="s">
        <v>38052</v>
      </c>
      <c r="T3548" t="s">
        <v>38053</v>
      </c>
      <c r="U3548" t="s">
        <v>38054</v>
      </c>
      <c r="V3548">
        <f>-777.455626752031 -92.4502345063086 -91.4263175237929</f>
        <v>-961.33217878213247</v>
      </c>
      <c r="W3548" t="s">
        <v>38055</v>
      </c>
      <c r="X3548" t="s">
        <v>38056</v>
      </c>
      <c r="Y3548" t="s">
        <v>38057</v>
      </c>
    </row>
    <row r="3549" spans="1:25" x14ac:dyDescent="0.3">
      <c r="A3549">
        <v>177400</v>
      </c>
      <c r="B3549" t="s">
        <v>38058</v>
      </c>
      <c r="C3549" t="s">
        <v>38059</v>
      </c>
      <c r="D3549">
        <f>-828.687751703713 -7.64506628731033 -207.66385535879</f>
        <v>-1043.9966733498134</v>
      </c>
      <c r="E3549">
        <f>-833.359255496211 -8.49278464474423 -306.173346250693</f>
        <v>-1148.0253863916482</v>
      </c>
      <c r="F3549">
        <f>-835.569854912523 -7.04054469060065 -395.230820976705</f>
        <v>-1237.8412205798286</v>
      </c>
      <c r="G3549">
        <f>-835.384020832107 -3.310806450668 -484.249247298614</f>
        <v>-1322.944074581389</v>
      </c>
      <c r="H3549" t="s">
        <v>38060</v>
      </c>
      <c r="I3549" t="s">
        <v>38061</v>
      </c>
      <c r="J3549" t="s">
        <v>38062</v>
      </c>
      <c r="K3549" t="s">
        <v>38063</v>
      </c>
      <c r="L3549" t="s">
        <v>38064</v>
      </c>
      <c r="M3549" t="s">
        <v>38065</v>
      </c>
      <c r="N3549">
        <f>-826.695339152152 -25.822033153225 -555.326676367402</f>
        <v>-1407.8440486727791</v>
      </c>
      <c r="O3549">
        <f>-794.305730713283 -157.498962943586 -532.891598566266</f>
        <v>-1484.6962922231351</v>
      </c>
      <c r="P3549">
        <f>-796.044633558561 -201.760269150592 -241.980841377902</f>
        <v>-1239.785744087055</v>
      </c>
      <c r="Q3549">
        <f>-643.803807178548 -39.9488847597559 -335.204659549306</f>
        <v>-1018.9573514876099</v>
      </c>
      <c r="R3549" t="s">
        <v>38066</v>
      </c>
      <c r="S3549" t="s">
        <v>38067</v>
      </c>
      <c r="T3549" t="s">
        <v>38068</v>
      </c>
      <c r="U3549" t="s">
        <v>38069</v>
      </c>
      <c r="V3549">
        <f>-779.327338244466 -91.3764299127546 -91.2846192311849</f>
        <v>-961.9883873884055</v>
      </c>
      <c r="W3549" t="s">
        <v>38070</v>
      </c>
      <c r="X3549" t="s">
        <v>38071</v>
      </c>
      <c r="Y3549" t="s">
        <v>38072</v>
      </c>
    </row>
    <row r="3550" spans="1:25" x14ac:dyDescent="0.3">
      <c r="A3550">
        <v>177450</v>
      </c>
      <c r="B3550" t="s">
        <v>38073</v>
      </c>
      <c r="C3550">
        <f>-814.523756118816 -0.475988154742026 -92.5407542721327</f>
        <v>-907.54049854569075</v>
      </c>
      <c r="D3550">
        <f>-827.959046060793 -8.78110930804041 -207.287099571103</f>
        <v>-1044.0272549399365</v>
      </c>
      <c r="E3550">
        <f>-833.223876600139 -9.8399755885589 -305.764716691742</f>
        <v>-1148.8285688804399</v>
      </c>
      <c r="F3550">
        <f>-835.964626675609 -8.63942229964528 -394.811206702057</f>
        <v>-1239.4152556773113</v>
      </c>
      <c r="G3550">
        <f>-836.304260343658 -5.2217591498877 -483.841773957835</f>
        <v>-1325.3677934513807</v>
      </c>
      <c r="H3550" t="s">
        <v>38074</v>
      </c>
      <c r="I3550" t="s">
        <v>38075</v>
      </c>
      <c r="J3550" t="s">
        <v>38076</v>
      </c>
      <c r="K3550" t="s">
        <v>38077</v>
      </c>
      <c r="L3550" t="s">
        <v>38078</v>
      </c>
      <c r="M3550" t="s">
        <v>38079</v>
      </c>
      <c r="N3550">
        <f>-828.056865147663 -28.0246741803344 -554.878824177661</f>
        <v>-1410.9603635056583</v>
      </c>
      <c r="O3550">
        <f>-795.596762515833 -159.68208441262 -532.172878156711</f>
        <v>-1487.4517250851641</v>
      </c>
      <c r="P3550">
        <f>-794.326572968496 -203.355410987547 -241.170735317611</f>
        <v>-1238.852719273654</v>
      </c>
      <c r="Q3550">
        <f>-643.537421411549 -40.8128705184149 -335.475847493362</f>
        <v>-1019.8261394233259</v>
      </c>
      <c r="R3550" t="s">
        <v>38080</v>
      </c>
      <c r="S3550" t="s">
        <v>38081</v>
      </c>
      <c r="T3550" t="s">
        <v>38082</v>
      </c>
      <c r="U3550" t="s">
        <v>38083</v>
      </c>
      <c r="V3550">
        <f>-778.90002146339 -91.0892113316844 -91.2067403716411</f>
        <v>-961.19597316671548</v>
      </c>
      <c r="W3550" t="s">
        <v>38084</v>
      </c>
      <c r="X3550" t="s">
        <v>38085</v>
      </c>
      <c r="Y3550" t="s">
        <v>38086</v>
      </c>
    </row>
    <row r="3551" spans="1:25" x14ac:dyDescent="0.3">
      <c r="A3551">
        <v>177500</v>
      </c>
      <c r="B3551" t="s">
        <v>38087</v>
      </c>
      <c r="C3551" t="s">
        <v>38088</v>
      </c>
      <c r="D3551">
        <f>-824.310946320575 -7.22321780467314 -207.097301981046</f>
        <v>-1038.6314661062941</v>
      </c>
      <c r="E3551">
        <f>-830.56560565242 -8.57790992401192 -305.513194738908</f>
        <v>-1144.65671031534</v>
      </c>
      <c r="F3551">
        <f>-834.297982558274 -7.7221365429566 -394.527736496046</f>
        <v>-1236.5478555972766</v>
      </c>
      <c r="G3551">
        <f>-835.729022656755 -4.72463179293504 -483.562570390712</f>
        <v>-1324.0162248404019</v>
      </c>
      <c r="H3551" t="s">
        <v>38089</v>
      </c>
      <c r="I3551" t="s">
        <v>38090</v>
      </c>
      <c r="J3551" t="s">
        <v>38091</v>
      </c>
      <c r="K3551" t="s">
        <v>38092</v>
      </c>
      <c r="L3551" t="s">
        <v>38093</v>
      </c>
      <c r="M3551" t="s">
        <v>38094</v>
      </c>
      <c r="N3551">
        <f>-828.519426509211 -27.932625681543 -554.581203592736</f>
        <v>-1411.0332557834899</v>
      </c>
      <c r="O3551">
        <f>-796.179418622732 -159.498919384726 -531.216317427542</f>
        <v>-1486.894655435</v>
      </c>
      <c r="P3551">
        <f>-790.255485447086 -200.953353291424 -239.947362969691</f>
        <v>-1231.156201708201</v>
      </c>
      <c r="Q3551">
        <f>-641.242783869852 -38.1215656965089 -336.549205686657</f>
        <v>-1015.9135552530179</v>
      </c>
      <c r="R3551" t="s">
        <v>38095</v>
      </c>
      <c r="S3551" t="s">
        <v>38096</v>
      </c>
      <c r="T3551" t="s">
        <v>38097</v>
      </c>
      <c r="U3551" t="s">
        <v>38098</v>
      </c>
      <c r="V3551">
        <f>-776.49562345897 -87.9392438205626 -91.1238411559634</f>
        <v>-955.5587084354961</v>
      </c>
      <c r="W3551" t="s">
        <v>38099</v>
      </c>
      <c r="X3551" t="s">
        <v>38100</v>
      </c>
      <c r="Y3551" t="s">
        <v>38101</v>
      </c>
    </row>
    <row r="3552" spans="1:25" x14ac:dyDescent="0.3">
      <c r="A3552">
        <v>177550</v>
      </c>
      <c r="B3552" t="s">
        <v>38102</v>
      </c>
      <c r="C3552" t="s">
        <v>38103</v>
      </c>
      <c r="D3552">
        <f>-822.247611060322 -5.32562281713945 -207.109426904456</f>
        <v>-1034.6826607819175</v>
      </c>
      <c r="E3552">
        <f>-828.870644516244 -6.84181418905519 -305.498975073466</f>
        <v>-1141.2114337787652</v>
      </c>
      <c r="F3552">
        <f>-832.992541986014 -6.19456217093943 -394.498114440907</f>
        <v>-1233.6852185978605</v>
      </c>
      <c r="G3552">
        <f>-834.870267590472 -3.46804966149034 -483.533328032176</f>
        <v>-1321.8716452841384</v>
      </c>
      <c r="H3552" t="s">
        <v>38104</v>
      </c>
      <c r="I3552" t="s">
        <v>38105</v>
      </c>
      <c r="J3552" t="s">
        <v>38106</v>
      </c>
      <c r="K3552" t="s">
        <v>38107</v>
      </c>
      <c r="L3552" t="s">
        <v>38108</v>
      </c>
      <c r="M3552" t="s">
        <v>38109</v>
      </c>
      <c r="N3552">
        <f>-828.138417296729 -26.950854242215 -554.508521163936</f>
        <v>-1409.59779270288</v>
      </c>
      <c r="O3552">
        <f>-796.159513019328 -158.495063601669 -530.767456417219</f>
        <v>-1485.4220330382159</v>
      </c>
      <c r="P3552">
        <f>-788.856831884841 -198.947849688483 -239.388959157582</f>
        <v>-1227.1936407309058</v>
      </c>
      <c r="Q3552">
        <f>-640.021144905002 -36.6949847086405 -337.229682790951</f>
        <v>-1013.9458124045934</v>
      </c>
      <c r="R3552" t="s">
        <v>38110</v>
      </c>
      <c r="S3552" t="s">
        <v>38111</v>
      </c>
      <c r="T3552" t="s">
        <v>38112</v>
      </c>
      <c r="U3552" t="s">
        <v>38113</v>
      </c>
      <c r="V3552">
        <f>-774.468013429946 -86.3188375990837 -91.1436512405844</f>
        <v>-951.93050226961418</v>
      </c>
      <c r="W3552" t="s">
        <v>38114</v>
      </c>
      <c r="X3552" t="s">
        <v>38115</v>
      </c>
      <c r="Y3552" t="s">
        <v>38116</v>
      </c>
    </row>
    <row r="3553" spans="1:25" x14ac:dyDescent="0.3">
      <c r="A3553">
        <v>177600</v>
      </c>
      <c r="B3553" t="s">
        <v>38117</v>
      </c>
      <c r="C3553" t="s">
        <v>38118</v>
      </c>
      <c r="D3553">
        <f>-819.049088994293 -4.45019115357695 -207.400176110084</f>
        <v>-1030.8994562579539</v>
      </c>
      <c r="E3553">
        <f>-826.060379851935 -6.45287462313536 -305.754018039638</f>
        <v>-1138.2672725147083</v>
      </c>
      <c r="F3553">
        <f>-830.634818830033 -6.35616465043086 -394.733312487551</f>
        <v>-1231.724295968015</v>
      </c>
      <c r="G3553">
        <f>-833.066770309593 -4.29273407924984 -483.773048179122</f>
        <v>-1321.1325525679649</v>
      </c>
      <c r="H3553" t="s">
        <v>38119</v>
      </c>
      <c r="I3553" t="s">
        <v>38120</v>
      </c>
      <c r="J3553" t="s">
        <v>38121</v>
      </c>
      <c r="K3553" t="s">
        <v>38122</v>
      </c>
      <c r="L3553" t="s">
        <v>38123</v>
      </c>
      <c r="M3553" t="s">
        <v>38124</v>
      </c>
      <c r="N3553">
        <f>-827.008496550694 -28.4139904690958 -554.594635112958</f>
        <v>-1410.0171221327478</v>
      </c>
      <c r="O3553">
        <f>-795.725407832935 -160.002689429131 -530.034970672137</f>
        <v>-1485.763067934203</v>
      </c>
      <c r="P3553">
        <f>-787.508397225261 -198.127948623723 -238.367091732847</f>
        <v>-1224.0034375818309</v>
      </c>
      <c r="Q3553">
        <f>-637.647965700681 -37.8915364590046 -337.951239302204</f>
        <v>-1013.4907414618895</v>
      </c>
      <c r="R3553" t="s">
        <v>38125</v>
      </c>
      <c r="S3553" t="s">
        <v>38126</v>
      </c>
      <c r="T3553" t="s">
        <v>38127</v>
      </c>
      <c r="U3553" t="s">
        <v>38128</v>
      </c>
      <c r="V3553">
        <f>-770.757455157924 -85.1428031492603 -91.2808796027426</f>
        <v>-947.18113790992697</v>
      </c>
      <c r="W3553" t="s">
        <v>38129</v>
      </c>
      <c r="X3553" t="s">
        <v>38130</v>
      </c>
      <c r="Y3553" t="s">
        <v>38131</v>
      </c>
    </row>
    <row r="3554" spans="1:25" x14ac:dyDescent="0.3">
      <c r="A3554">
        <v>177650</v>
      </c>
      <c r="B3554" t="s">
        <v>38132</v>
      </c>
      <c r="C3554" t="s">
        <v>38133</v>
      </c>
      <c r="D3554">
        <f>-817.739799858306 -3.20459586474931 -207.600836249889</f>
        <v>-1028.5452319729443</v>
      </c>
      <c r="E3554">
        <f>-824.88177368136 -5.4372660871195 -305.940465330131</f>
        <v>-1136.2595050986106</v>
      </c>
      <c r="F3554">
        <f>-829.599196553744 -5.57890526857568 -394.912121647483</f>
        <v>-1230.0902234698028</v>
      </c>
      <c r="G3554">
        <f>-832.198249724306 -3.78497860853759 -483.95287913385</f>
        <v>-1319.9361074666936</v>
      </c>
      <c r="H3554" t="s">
        <v>38134</v>
      </c>
      <c r="I3554" t="s">
        <v>38135</v>
      </c>
      <c r="J3554" t="s">
        <v>38136</v>
      </c>
      <c r="K3554" t="s">
        <v>38137</v>
      </c>
      <c r="L3554" t="s">
        <v>38138</v>
      </c>
      <c r="M3554" t="s">
        <v>38139</v>
      </c>
      <c r="N3554">
        <f>-826.309075833709 -28.1457699138773 -554.706872933417</f>
        <v>-1409.1617186810033</v>
      </c>
      <c r="O3554">
        <f>-795.040818415078 -159.679706027538 -529.773786242327</f>
        <v>-1484.494310684943</v>
      </c>
      <c r="P3554">
        <f>-786.790331662339 -196.517332653976 -237.941432786057</f>
        <v>-1221.2490971023719</v>
      </c>
      <c r="Q3554">
        <f>-636.532913961314 -37.0485484863545 -338.157765105844</f>
        <v>-1011.7392275535126</v>
      </c>
      <c r="R3554" t="s">
        <v>38140</v>
      </c>
      <c r="S3554" t="s">
        <v>38141</v>
      </c>
      <c r="T3554" t="s">
        <v>38142</v>
      </c>
      <c r="U3554" t="s">
        <v>38143</v>
      </c>
      <c r="V3554">
        <f>-768.755998293784 -84.0855143869501 -91.467834455428</f>
        <v>-944.30934713616216</v>
      </c>
      <c r="W3554" t="s">
        <v>38144</v>
      </c>
      <c r="X3554" t="s">
        <v>38145</v>
      </c>
      <c r="Y3554" t="s">
        <v>38146</v>
      </c>
    </row>
    <row r="3555" spans="1:25" x14ac:dyDescent="0.3">
      <c r="A3555">
        <v>177700</v>
      </c>
      <c r="B3555" t="s">
        <v>38147</v>
      </c>
      <c r="C3555" t="s">
        <v>38148</v>
      </c>
      <c r="D3555" t="s">
        <v>38149</v>
      </c>
      <c r="E3555">
        <f>-822.93946805119 -1.7580363153304 -306.45663194409</f>
        <v>-1131.1541363106105</v>
      </c>
      <c r="F3555">
        <f>-827.873260797645 -2.28673923553561 -395.415188478511</f>
        <v>-1225.5751885116915</v>
      </c>
      <c r="G3555">
        <f>-830.745283193294 -0.928596232803329 -484.455318287892</f>
        <v>-1316.1291977139892</v>
      </c>
      <c r="H3555" t="s">
        <v>38150</v>
      </c>
      <c r="I3555" t="s">
        <v>38151</v>
      </c>
      <c r="J3555" t="s">
        <v>38152</v>
      </c>
      <c r="K3555" t="s">
        <v>38153</v>
      </c>
      <c r="L3555" t="s">
        <v>38154</v>
      </c>
      <c r="M3555" t="s">
        <v>38155</v>
      </c>
      <c r="N3555">
        <f>-825.028287256032 -25.644454939008 -555.100059566925</f>
        <v>-1405.772801761965</v>
      </c>
      <c r="O3555">
        <f>-793.15351482293 -156.94935303469 -529.735944535215</f>
        <v>-1479.8388123928351</v>
      </c>
      <c r="P3555">
        <f>-784.30176969296 -191.748455795481 -237.670989586501</f>
        <v>-1213.7212150749419</v>
      </c>
      <c r="Q3555">
        <f>-634.483893367121 -32.619727716502 -339.078631165722</f>
        <v>-1006.1822522493451</v>
      </c>
      <c r="R3555" t="s">
        <v>38156</v>
      </c>
      <c r="S3555" t="s">
        <v>38157</v>
      </c>
      <c r="T3555" t="s">
        <v>38158</v>
      </c>
      <c r="U3555" t="s">
        <v>38159</v>
      </c>
      <c r="V3555">
        <f>-765.462978532296 -80.8826418369415 -91.8778392946383</f>
        <v>-938.22345966387581</v>
      </c>
      <c r="W3555" t="s">
        <v>38160</v>
      </c>
      <c r="X3555" t="s">
        <v>38161</v>
      </c>
      <c r="Y3555" t="s">
        <v>38162</v>
      </c>
    </row>
    <row r="3556" spans="1:25" x14ac:dyDescent="0.3">
      <c r="A3556">
        <v>177750</v>
      </c>
      <c r="B3556" t="s">
        <v>38163</v>
      </c>
      <c r="C3556" t="s">
        <v>38164</v>
      </c>
      <c r="D3556" t="s">
        <v>38165</v>
      </c>
      <c r="E3556">
        <f>-821.813570083492 -0.11056437567845 -306.669125137752</f>
        <v>-1128.5932595969225</v>
      </c>
      <c r="F3556">
        <f>-826.872603286039 -0.786094472330433 -395.619598903516</f>
        <v>-1223.2782966618854</v>
      </c>
      <c r="G3556" t="s">
        <v>38166</v>
      </c>
      <c r="H3556" t="s">
        <v>38167</v>
      </c>
      <c r="I3556" t="s">
        <v>38168</v>
      </c>
      <c r="J3556" t="s">
        <v>38169</v>
      </c>
      <c r="K3556" t="s">
        <v>38170</v>
      </c>
      <c r="L3556" t="s">
        <v>38171</v>
      </c>
      <c r="M3556" t="s">
        <v>38172</v>
      </c>
      <c r="N3556">
        <f>-824.244049005642 -24.4361253559575 -555.263136214986</f>
        <v>-1403.9433105765856</v>
      </c>
      <c r="O3556">
        <f>-791.999559123486 -155.612149649677 -529.696015303589</f>
        <v>-1477.307724076752</v>
      </c>
      <c r="P3556">
        <f>-782.161967588072 -189.72639894365 -237.581916325784</f>
        <v>-1209.4702828575059</v>
      </c>
      <c r="Q3556">
        <f>-633.29575413964 -30.1011878888919 -339.608776143721</f>
        <v>-1003.005718172253</v>
      </c>
      <c r="R3556" t="s">
        <v>38173</v>
      </c>
      <c r="S3556" t="s">
        <v>38174</v>
      </c>
      <c r="T3556" t="s">
        <v>38175</v>
      </c>
      <c r="U3556" t="s">
        <v>38176</v>
      </c>
      <c r="V3556">
        <f>-764.122157325784 -78.8697031064654 -92.0622903482742</f>
        <v>-935.05415078052363</v>
      </c>
      <c r="W3556" t="s">
        <v>38177</v>
      </c>
      <c r="X3556" t="s">
        <v>38178</v>
      </c>
      <c r="Y3556" t="s">
        <v>38179</v>
      </c>
    </row>
    <row r="3557" spans="1:25" x14ac:dyDescent="0.3">
      <c r="A3557">
        <v>177800</v>
      </c>
      <c r="B3557" t="s">
        <v>38180</v>
      </c>
      <c r="C3557" t="s">
        <v>38181</v>
      </c>
      <c r="D3557" t="s">
        <v>38182</v>
      </c>
      <c r="E3557" t="s">
        <v>38183</v>
      </c>
      <c r="F3557" t="s">
        <v>38184</v>
      </c>
      <c r="G3557" t="s">
        <v>38185</v>
      </c>
      <c r="H3557" t="s">
        <v>38186</v>
      </c>
      <c r="I3557" t="s">
        <v>38187</v>
      </c>
      <c r="J3557" t="s">
        <v>38188</v>
      </c>
      <c r="K3557" t="s">
        <v>38189</v>
      </c>
      <c r="L3557" t="s">
        <v>38190</v>
      </c>
      <c r="M3557" t="s">
        <v>38191</v>
      </c>
      <c r="N3557">
        <f>-822.33079799498 -23.4518338203702 -555.368069511161</f>
        <v>-1401.1507013265114</v>
      </c>
      <c r="O3557">
        <f>-789.338277403191 -154.317595688448 -529.308182224144</f>
        <v>-1472.9640553157831</v>
      </c>
      <c r="P3557">
        <f>-777.717425818351 -187.416912181681 -237.142862451729</f>
        <v>-1202.277200451761</v>
      </c>
      <c r="Q3557">
        <f>-631.480359173577 -26.296596723942 -340.611804443843</f>
        <v>-998.38876034136206</v>
      </c>
      <c r="R3557" t="s">
        <v>38192</v>
      </c>
      <c r="S3557" t="s">
        <v>38193</v>
      </c>
      <c r="T3557" t="s">
        <v>38194</v>
      </c>
      <c r="U3557" t="s">
        <v>38195</v>
      </c>
      <c r="V3557">
        <f>-761.32191324468 -76.0402002508262 -92.2987333085797</f>
        <v>-929.66084680408585</v>
      </c>
      <c r="W3557" t="s">
        <v>38196</v>
      </c>
      <c r="X3557" t="s">
        <v>38197</v>
      </c>
      <c r="Y3557" t="s">
        <v>38198</v>
      </c>
    </row>
    <row r="3558" spans="1:25" x14ac:dyDescent="0.3">
      <c r="A3558">
        <v>177850</v>
      </c>
      <c r="B3558" t="s">
        <v>38199</v>
      </c>
      <c r="C3558" t="s">
        <v>38200</v>
      </c>
      <c r="D3558" t="s">
        <v>38201</v>
      </c>
      <c r="E3558" t="s">
        <v>38202</v>
      </c>
      <c r="F3558" t="s">
        <v>38203</v>
      </c>
      <c r="G3558" t="s">
        <v>38204</v>
      </c>
      <c r="H3558" t="s">
        <v>38205</v>
      </c>
      <c r="I3558" t="s">
        <v>38206</v>
      </c>
      <c r="J3558" t="s">
        <v>38207</v>
      </c>
      <c r="K3558" t="s">
        <v>38208</v>
      </c>
      <c r="L3558" t="s">
        <v>38209</v>
      </c>
      <c r="M3558" t="s">
        <v>38210</v>
      </c>
      <c r="N3558">
        <f>-821.92542700757 -22.9644114196462 -555.310072597779</f>
        <v>-1400.1999110249953</v>
      </c>
      <c r="O3558">
        <f>-788.543557363394 -153.6999680978 -529.013565004427</f>
        <v>-1471.2570904656211</v>
      </c>
      <c r="P3558">
        <f>-776.483952447022 -186.031022318699 -236.779943527762</f>
        <v>-1199.2949182934831</v>
      </c>
      <c r="Q3558">
        <f>-631.221453526762 -24.3745056649507 -340.784212378506</f>
        <v>-996.38017157021875</v>
      </c>
      <c r="R3558" t="s">
        <v>38211</v>
      </c>
      <c r="S3558" t="s">
        <v>38212</v>
      </c>
      <c r="T3558" t="s">
        <v>38213</v>
      </c>
      <c r="U3558" t="s">
        <v>38214</v>
      </c>
      <c r="V3558">
        <f>-760.036741086146 -74.7864791510502 -92.3831657340128</f>
        <v>-927.20638597120899</v>
      </c>
      <c r="W3558" t="s">
        <v>38215</v>
      </c>
      <c r="X3558" t="s">
        <v>38216</v>
      </c>
      <c r="Y3558" t="s">
        <v>38217</v>
      </c>
    </row>
    <row r="3559" spans="1:25" x14ac:dyDescent="0.3">
      <c r="A3559">
        <v>177900</v>
      </c>
      <c r="B3559" t="s">
        <v>38218</v>
      </c>
      <c r="C3559" t="s">
        <v>38219</v>
      </c>
      <c r="D3559" t="s">
        <v>38220</v>
      </c>
      <c r="E3559" t="s">
        <v>38221</v>
      </c>
      <c r="F3559" t="s">
        <v>38222</v>
      </c>
      <c r="G3559" t="s">
        <v>38223</v>
      </c>
      <c r="H3559" t="s">
        <v>38224</v>
      </c>
      <c r="I3559" t="s">
        <v>38225</v>
      </c>
      <c r="J3559" t="s">
        <v>38226</v>
      </c>
      <c r="K3559" t="s">
        <v>38227</v>
      </c>
      <c r="L3559" t="s">
        <v>38228</v>
      </c>
      <c r="M3559" t="s">
        <v>38229</v>
      </c>
      <c r="N3559">
        <f>-822.177826327728 -22.8931475617737 -555.139636638268</f>
        <v>-1400.2106105277699</v>
      </c>
      <c r="O3559">
        <f>-787.954355603443 -153.322604292579 -528.39079588824</f>
        <v>-1469.6677557842618</v>
      </c>
      <c r="P3559">
        <f>-775.371657473667 -184.286780848699 -236.031169680921</f>
        <v>-1195.689608003287</v>
      </c>
      <c r="Q3559">
        <f>-631.795439201313 -21.6402448954882 -340.830416511334</f>
        <v>-994.26610060813528</v>
      </c>
      <c r="R3559" t="s">
        <v>38230</v>
      </c>
      <c r="S3559" t="s">
        <v>38231</v>
      </c>
      <c r="T3559" t="s">
        <v>38232</v>
      </c>
      <c r="U3559" t="s">
        <v>38233</v>
      </c>
      <c r="V3559">
        <f>-758.214284576096 -73.8465865782912 -92.4193920071986</f>
        <v>-924.48026316158575</v>
      </c>
      <c r="W3559" t="s">
        <v>38234</v>
      </c>
      <c r="X3559" t="s">
        <v>38235</v>
      </c>
      <c r="Y3559" t="s">
        <v>38236</v>
      </c>
    </row>
    <row r="3560" spans="1:25" x14ac:dyDescent="0.3">
      <c r="A3560">
        <v>177950</v>
      </c>
      <c r="B3560" t="s">
        <v>38237</v>
      </c>
      <c r="C3560" t="s">
        <v>38238</v>
      </c>
      <c r="D3560" t="s">
        <v>38239</v>
      </c>
      <c r="E3560" t="s">
        <v>38240</v>
      </c>
      <c r="F3560" t="s">
        <v>38241</v>
      </c>
      <c r="G3560" t="s">
        <v>38242</v>
      </c>
      <c r="H3560" t="s">
        <v>38243</v>
      </c>
      <c r="I3560" t="s">
        <v>38244</v>
      </c>
      <c r="J3560" t="s">
        <v>38245</v>
      </c>
      <c r="K3560" t="s">
        <v>38246</v>
      </c>
      <c r="L3560" t="s">
        <v>38247</v>
      </c>
      <c r="M3560" t="s">
        <v>38248</v>
      </c>
      <c r="N3560">
        <f>-822.331618298688 -22.8937686298996 -555.083908966356</f>
        <v>-1400.3092958949437</v>
      </c>
      <c r="O3560">
        <f>-787.626750948357 -153.175076276785 -528.181397902653</f>
        <v>-1468.9832251277949</v>
      </c>
      <c r="P3560">
        <f>-774.948598506584 -183.526070105755 -235.761758126494</f>
        <v>-1194.236426738833</v>
      </c>
      <c r="Q3560">
        <f>-631.7606645369 -20.6639649956378 -340.756864576138</f>
        <v>-993.18149410867579</v>
      </c>
      <c r="R3560" t="s">
        <v>38249</v>
      </c>
      <c r="S3560" t="s">
        <v>38250</v>
      </c>
      <c r="T3560" t="s">
        <v>38251</v>
      </c>
      <c r="U3560" t="s">
        <v>38252</v>
      </c>
      <c r="V3560">
        <f>-757.561919699508 -73.578211276694 -92.4118401769224</f>
        <v>-923.55197115312444</v>
      </c>
      <c r="W3560" t="s">
        <v>38253</v>
      </c>
      <c r="X3560" t="s">
        <v>38254</v>
      </c>
      <c r="Y3560" t="s">
        <v>38255</v>
      </c>
    </row>
    <row r="3561" spans="1:25" x14ac:dyDescent="0.3">
      <c r="A3561">
        <v>178000</v>
      </c>
      <c r="B3561" t="s">
        <v>38256</v>
      </c>
      <c r="C3561" t="s">
        <v>38257</v>
      </c>
      <c r="D3561" t="s">
        <v>38258</v>
      </c>
      <c r="E3561" t="s">
        <v>38259</v>
      </c>
      <c r="F3561" t="s">
        <v>38260</v>
      </c>
      <c r="G3561" t="s">
        <v>38261</v>
      </c>
      <c r="H3561" t="s">
        <v>38262</v>
      </c>
      <c r="I3561" t="s">
        <v>38263</v>
      </c>
      <c r="J3561" t="s">
        <v>38264</v>
      </c>
      <c r="K3561" t="s">
        <v>38265</v>
      </c>
      <c r="L3561" t="s">
        <v>38266</v>
      </c>
      <c r="M3561" t="s">
        <v>38267</v>
      </c>
      <c r="N3561">
        <f>-822.201614492182 -23.4434934976111 -554.788150263184</f>
        <v>-1400.4332582529771</v>
      </c>
      <c r="O3561">
        <f>-786.566413556089 -153.411897302962 -527.680568449047</f>
        <v>-1467.6588793080978</v>
      </c>
      <c r="P3561">
        <f>-773.279911259191 -183.170306166925 -235.22700897147</f>
        <v>-1191.6772263975859</v>
      </c>
      <c r="Q3561">
        <f>-631.229430290935 -19.6547796649672 -340.750458108593</f>
        <v>-991.63466806449537</v>
      </c>
      <c r="R3561" t="s">
        <v>38268</v>
      </c>
      <c r="S3561" t="s">
        <v>38269</v>
      </c>
      <c r="T3561" t="s">
        <v>38270</v>
      </c>
      <c r="U3561" t="s">
        <v>38271</v>
      </c>
      <c r="V3561">
        <f>-756.238915134915 -73.2838143051073 -92.3070926063006</f>
        <v>-921.82982204632287</v>
      </c>
      <c r="W3561" t="s">
        <v>38272</v>
      </c>
      <c r="X3561" t="s">
        <v>38273</v>
      </c>
      <c r="Y3561" t="s">
        <v>38274</v>
      </c>
    </row>
    <row r="3562" spans="1:25" x14ac:dyDescent="0.3">
      <c r="A3562">
        <v>178050</v>
      </c>
      <c r="B3562" t="s">
        <v>38275</v>
      </c>
      <c r="C3562" t="s">
        <v>38276</v>
      </c>
      <c r="D3562" t="s">
        <v>38277</v>
      </c>
      <c r="E3562" t="s">
        <v>38278</v>
      </c>
      <c r="F3562" t="s">
        <v>38279</v>
      </c>
      <c r="G3562" t="s">
        <v>38280</v>
      </c>
      <c r="H3562" t="s">
        <v>38281</v>
      </c>
      <c r="I3562" t="s">
        <v>38282</v>
      </c>
      <c r="J3562" t="s">
        <v>38283</v>
      </c>
      <c r="K3562" t="s">
        <v>38284</v>
      </c>
      <c r="L3562" t="s">
        <v>38285</v>
      </c>
      <c r="M3562" t="s">
        <v>38286</v>
      </c>
      <c r="N3562">
        <f>-822.101070831579 -23.7546378632699 -554.521622657879</f>
        <v>-1400.3773313527279</v>
      </c>
      <c r="O3562">
        <f>-785.997631424578 -153.583339458301 -527.31480824736</f>
        <v>-1466.8957791302391</v>
      </c>
      <c r="P3562">
        <f>-772.248594216407 -183.157779722514 -234.863941335599</f>
        <v>-1190.27031527452</v>
      </c>
      <c r="Q3562">
        <f>-630.773233299163 -19.3539567479506 -340.71252975331</f>
        <v>-990.83971980042361</v>
      </c>
      <c r="R3562" t="s">
        <v>38287</v>
      </c>
      <c r="S3562" t="s">
        <v>38288</v>
      </c>
      <c r="T3562" t="s">
        <v>38289</v>
      </c>
      <c r="U3562" t="s">
        <v>38290</v>
      </c>
      <c r="V3562">
        <f>-755.543525401505 -72.821146454554 -92.192647527954</f>
        <v>-920.557319384013</v>
      </c>
      <c r="W3562" t="s">
        <v>38291</v>
      </c>
      <c r="X3562" t="s">
        <v>38292</v>
      </c>
      <c r="Y3562" t="s">
        <v>38293</v>
      </c>
    </row>
    <row r="3563" spans="1:25" x14ac:dyDescent="0.3">
      <c r="A3563">
        <v>178100</v>
      </c>
      <c r="B3563" t="s">
        <v>38294</v>
      </c>
      <c r="C3563" t="s">
        <v>38295</v>
      </c>
      <c r="D3563" t="s">
        <v>38296</v>
      </c>
      <c r="E3563" t="s">
        <v>38297</v>
      </c>
      <c r="F3563" t="s">
        <v>38298</v>
      </c>
      <c r="G3563" t="s">
        <v>38299</v>
      </c>
      <c r="H3563" t="s">
        <v>38300</v>
      </c>
      <c r="I3563" t="s">
        <v>38301</v>
      </c>
      <c r="J3563" t="s">
        <v>38302</v>
      </c>
      <c r="K3563" t="s">
        <v>38303</v>
      </c>
      <c r="L3563" t="s">
        <v>38304</v>
      </c>
      <c r="M3563" t="s">
        <v>38305</v>
      </c>
      <c r="N3563">
        <f>-822.649916077322 -24.3729064553404 -554.088796402786</f>
        <v>-1401.1116189354484</v>
      </c>
      <c r="O3563">
        <f>-785.434261268069 -153.827091522315 -526.661067600293</f>
        <v>-1465.922420390677</v>
      </c>
      <c r="P3563">
        <f>-771.278632419202 -183.358374474088 -234.225095030349</f>
        <v>-1188.8621019236391</v>
      </c>
      <c r="Q3563">
        <f>-630.893249924713 -18.6277960517027 -340.086444893046</f>
        <v>-989.6074908694618</v>
      </c>
      <c r="R3563" t="s">
        <v>38306</v>
      </c>
      <c r="S3563" t="s">
        <v>38307</v>
      </c>
      <c r="T3563" t="s">
        <v>38308</v>
      </c>
      <c r="U3563" t="s">
        <v>38309</v>
      </c>
      <c r="V3563">
        <f>-754.523343365033 -72.1905993478363 -92.0115440623338</f>
        <v>-918.72548677520308</v>
      </c>
      <c r="W3563" t="s">
        <v>38310</v>
      </c>
      <c r="X3563" t="s">
        <v>38311</v>
      </c>
      <c r="Y3563" t="s">
        <v>38312</v>
      </c>
    </row>
    <row r="3564" spans="1:25" x14ac:dyDescent="0.3">
      <c r="A3564">
        <v>178150</v>
      </c>
      <c r="B3564" t="s">
        <v>38313</v>
      </c>
      <c r="C3564" t="s">
        <v>38314</v>
      </c>
      <c r="D3564" t="s">
        <v>38315</v>
      </c>
      <c r="E3564" t="s">
        <v>38316</v>
      </c>
      <c r="F3564" t="s">
        <v>38317</v>
      </c>
      <c r="G3564" t="s">
        <v>38318</v>
      </c>
      <c r="H3564" t="s">
        <v>38319</v>
      </c>
      <c r="I3564" t="s">
        <v>38320</v>
      </c>
      <c r="J3564" t="s">
        <v>38321</v>
      </c>
      <c r="K3564" t="s">
        <v>38322</v>
      </c>
      <c r="L3564" t="s">
        <v>38323</v>
      </c>
      <c r="M3564" t="s">
        <v>38324</v>
      </c>
      <c r="N3564">
        <f>-822.893004259024 -24.6668051369818 -554.106116496434</f>
        <v>-1401.6659258924396</v>
      </c>
      <c r="O3564">
        <f>-785.15154977426 -153.951163709571 -526.567240089955</f>
        <v>-1465.6699535737862</v>
      </c>
      <c r="P3564">
        <f>-770.940062164411 -183.051417464085 -234.090837295814</f>
        <v>-1188.0823169243099</v>
      </c>
      <c r="Q3564">
        <f>-630.679081517579 -18.0044128188092 -339.623720884287</f>
        <v>-988.30721522067529</v>
      </c>
      <c r="R3564" t="s">
        <v>38325</v>
      </c>
      <c r="S3564" t="s">
        <v>38326</v>
      </c>
      <c r="T3564" t="s">
        <v>38327</v>
      </c>
      <c r="U3564" t="s">
        <v>38328</v>
      </c>
      <c r="V3564">
        <f>-753.992861995064 -72.1098394078671 -92.0225217946787</f>
        <v>-918.12522319760978</v>
      </c>
      <c r="W3564" t="s">
        <v>38329</v>
      </c>
      <c r="X3564" t="s">
        <v>38330</v>
      </c>
      <c r="Y3564" t="s">
        <v>38331</v>
      </c>
    </row>
    <row r="3565" spans="1:25" x14ac:dyDescent="0.3">
      <c r="A3565">
        <v>178200</v>
      </c>
      <c r="B3565" t="s">
        <v>38332</v>
      </c>
      <c r="C3565" t="s">
        <v>38333</v>
      </c>
      <c r="D3565" t="s">
        <v>38334</v>
      </c>
      <c r="E3565" t="s">
        <v>38335</v>
      </c>
      <c r="F3565" t="s">
        <v>38336</v>
      </c>
      <c r="G3565" t="s">
        <v>38337</v>
      </c>
      <c r="H3565" t="s">
        <v>38338</v>
      </c>
      <c r="I3565" t="s">
        <v>38339</v>
      </c>
      <c r="J3565" t="s">
        <v>38340</v>
      </c>
      <c r="K3565" t="s">
        <v>38341</v>
      </c>
      <c r="L3565" t="s">
        <v>38342</v>
      </c>
      <c r="M3565" t="s">
        <v>38343</v>
      </c>
      <c r="N3565">
        <f>-822.576325580148 -25.5965737066849 -554.20652445456</f>
        <v>-1402.3794237413931</v>
      </c>
      <c r="O3565">
        <f>-784.088215612059 -154.599990729103 -526.373639663918</f>
        <v>-1465.06184600508</v>
      </c>
      <c r="P3565">
        <f>-769.750440928629 -182.889145182647 -233.823827631344</f>
        <v>-1186.4634137426201</v>
      </c>
      <c r="Q3565">
        <f>-630.065904405598 -17.4818146213852 -339.557227313357</f>
        <v>-987.10494634034012</v>
      </c>
      <c r="R3565" t="s">
        <v>38344</v>
      </c>
      <c r="S3565" t="s">
        <v>38345</v>
      </c>
      <c r="T3565" t="s">
        <v>38346</v>
      </c>
      <c r="U3565" t="s">
        <v>38347</v>
      </c>
      <c r="V3565">
        <f>-752.516541801847 -72.3348353586056 -92.1608622099449</f>
        <v>-917.01223937039742</v>
      </c>
      <c r="W3565" t="s">
        <v>38348</v>
      </c>
      <c r="X3565" t="s">
        <v>38349</v>
      </c>
      <c r="Y3565" t="s">
        <v>38350</v>
      </c>
    </row>
    <row r="3566" spans="1:25" x14ac:dyDescent="0.3">
      <c r="A3566">
        <v>178250</v>
      </c>
      <c r="B3566" t="s">
        <v>38351</v>
      </c>
      <c r="C3566" t="s">
        <v>38352</v>
      </c>
      <c r="D3566" t="s">
        <v>38353</v>
      </c>
      <c r="E3566" t="s">
        <v>38354</v>
      </c>
      <c r="F3566" t="s">
        <v>38355</v>
      </c>
      <c r="G3566">
        <f>-827.838313066733 -0.0897652517965071 -484.108685821673</f>
        <v>-1312.0367641402026</v>
      </c>
      <c r="H3566" t="s">
        <v>38356</v>
      </c>
      <c r="I3566" t="s">
        <v>38357</v>
      </c>
      <c r="J3566" t="s">
        <v>38358</v>
      </c>
      <c r="K3566" t="s">
        <v>38359</v>
      </c>
      <c r="L3566" t="s">
        <v>38360</v>
      </c>
      <c r="M3566" t="s">
        <v>38361</v>
      </c>
      <c r="N3566">
        <f>-821.81760665083 -26.1623336268872 -554.238773512256</f>
        <v>-1402.2187137899732</v>
      </c>
      <c r="O3566">
        <f>-783.112229606003 -155.069097195506 -526.276431393748</f>
        <v>-1464.4577581952569</v>
      </c>
      <c r="P3566">
        <f>-768.69193965301 -183.052731307006 -233.701284176728</f>
        <v>-1185.445955136744</v>
      </c>
      <c r="Q3566">
        <f>-629.228558384978 -17.6663764190764 -339.75877683564</f>
        <v>-986.65371163969439</v>
      </c>
      <c r="R3566" t="s">
        <v>38362</v>
      </c>
      <c r="S3566" t="s">
        <v>38363</v>
      </c>
      <c r="T3566" t="s">
        <v>38364</v>
      </c>
      <c r="U3566" t="s">
        <v>38365</v>
      </c>
      <c r="V3566">
        <f>-751.572277029905 -72.3723505556034 -92.2145673987027</f>
        <v>-916.15919498421101</v>
      </c>
      <c r="W3566" t="s">
        <v>38366</v>
      </c>
      <c r="X3566" t="s">
        <v>38367</v>
      </c>
      <c r="Y3566" t="s">
        <v>38368</v>
      </c>
    </row>
    <row r="3567" spans="1:25" x14ac:dyDescent="0.3">
      <c r="A3567">
        <v>178300</v>
      </c>
      <c r="B3567" t="s">
        <v>38369</v>
      </c>
      <c r="C3567" t="s">
        <v>38370</v>
      </c>
      <c r="D3567" t="s">
        <v>38371</v>
      </c>
      <c r="E3567" t="s">
        <v>38372</v>
      </c>
      <c r="F3567" t="s">
        <v>38373</v>
      </c>
      <c r="G3567">
        <f>-826.542033439866 -0.445342494019542 -484.165093968368</f>
        <v>-1311.1524699022536</v>
      </c>
      <c r="H3567" t="s">
        <v>38374</v>
      </c>
      <c r="I3567" t="s">
        <v>38375</v>
      </c>
      <c r="J3567" t="s">
        <v>38376</v>
      </c>
      <c r="K3567" t="s">
        <v>38377</v>
      </c>
      <c r="L3567" t="s">
        <v>38378</v>
      </c>
      <c r="M3567" t="s">
        <v>38379</v>
      </c>
      <c r="N3567">
        <f>-820.43787017291 -26.5807381143056 -554.264430451731</f>
        <v>-1401.2830387389467</v>
      </c>
      <c r="O3567">
        <f>-781.325484529618 -155.328534829449 -526.120546940836</f>
        <v>-1462.7745662999032</v>
      </c>
      <c r="P3567">
        <f>-766.810598331286 -182.938770827039 -233.514568492985</f>
        <v>-1183.26393765131</v>
      </c>
      <c r="Q3567">
        <f>-627.813984382079 -17.415829552396 -339.971080387575</f>
        <v>-985.20089432204986</v>
      </c>
      <c r="R3567" t="s">
        <v>38380</v>
      </c>
      <c r="S3567" t="s">
        <v>38381</v>
      </c>
      <c r="T3567" t="s">
        <v>38382</v>
      </c>
      <c r="U3567" t="s">
        <v>38383</v>
      </c>
      <c r="V3567">
        <f>-749.990964237841 -71.9313411647536 -92.2516314663327</f>
        <v>-914.17393686892729</v>
      </c>
      <c r="W3567" t="s">
        <v>38384</v>
      </c>
      <c r="X3567" t="s">
        <v>38385</v>
      </c>
      <c r="Y3567" t="s">
        <v>38386</v>
      </c>
    </row>
    <row r="3568" spans="1:25" x14ac:dyDescent="0.3">
      <c r="A3568">
        <v>178350</v>
      </c>
      <c r="B3568" t="s">
        <v>38387</v>
      </c>
      <c r="C3568" t="s">
        <v>38388</v>
      </c>
      <c r="D3568" t="s">
        <v>38389</v>
      </c>
      <c r="E3568" t="s">
        <v>38390</v>
      </c>
      <c r="F3568" t="s">
        <v>38391</v>
      </c>
      <c r="G3568">
        <f>-826.42752509043 -0.237623105638477 -484.173432975783</f>
        <v>-1310.8385811718515</v>
      </c>
      <c r="H3568" t="s">
        <v>38392</v>
      </c>
      <c r="I3568" t="s">
        <v>38393</v>
      </c>
      <c r="J3568" t="s">
        <v>38394</v>
      </c>
      <c r="K3568" t="s">
        <v>38395</v>
      </c>
      <c r="L3568" t="s">
        <v>38396</v>
      </c>
      <c r="M3568" t="s">
        <v>38397</v>
      </c>
      <c r="N3568">
        <f>-820.293663568369 -26.4036286989619 -554.258642556058</f>
        <v>-1400.9559348233888</v>
      </c>
      <c r="O3568">
        <f>-780.982695419352 -155.072005385548 -526.033833676646</f>
        <v>-1462.088534481546</v>
      </c>
      <c r="P3568">
        <f>-766.408122617662 -182.432723691894 -233.407563894218</f>
        <v>-1182.248410203774</v>
      </c>
      <c r="Q3568">
        <f>-627.53712611179 -16.8966140769724 -340.007113987497</f>
        <v>-984.44085417625934</v>
      </c>
      <c r="R3568" t="s">
        <v>38398</v>
      </c>
      <c r="S3568" t="s">
        <v>38399</v>
      </c>
      <c r="T3568" t="s">
        <v>38400</v>
      </c>
      <c r="U3568" t="s">
        <v>38401</v>
      </c>
      <c r="V3568">
        <f>-749.684265028205 -71.4244741835132 -92.2708733323585</f>
        <v>-913.37961254407674</v>
      </c>
      <c r="W3568" t="s">
        <v>38402</v>
      </c>
      <c r="X3568" t="s">
        <v>38403</v>
      </c>
      <c r="Y3568" t="s">
        <v>38404</v>
      </c>
    </row>
    <row r="3569" spans="1:25" x14ac:dyDescent="0.3">
      <c r="A3569">
        <v>178400</v>
      </c>
      <c r="B3569" t="s">
        <v>38405</v>
      </c>
      <c r="C3569" t="s">
        <v>38406</v>
      </c>
      <c r="D3569" t="s">
        <v>38407</v>
      </c>
      <c r="E3569" t="s">
        <v>38408</v>
      </c>
      <c r="F3569" t="s">
        <v>38409</v>
      </c>
      <c r="G3569" t="s">
        <v>38410</v>
      </c>
      <c r="H3569" t="s">
        <v>38411</v>
      </c>
      <c r="I3569" t="s">
        <v>38412</v>
      </c>
      <c r="J3569" t="s">
        <v>38413</v>
      </c>
      <c r="K3569" t="s">
        <v>38414</v>
      </c>
      <c r="L3569" t="s">
        <v>38415</v>
      </c>
      <c r="M3569" t="s">
        <v>38416</v>
      </c>
      <c r="N3569">
        <f>-820.374711239395 -26.1469474365192 -554.320357118427</f>
        <v>-1400.842015794341</v>
      </c>
      <c r="O3569">
        <f>-780.71433785204 -154.687879714154 -525.986610285027</f>
        <v>-1461.3888278512209</v>
      </c>
      <c r="P3569">
        <f>-765.958316890555 -181.713251933898 -233.338335122775</f>
        <v>-1181.0099039472279</v>
      </c>
      <c r="Q3569">
        <f>-627.393217653035 -15.9766775278706 -340.024581332356</f>
        <v>-983.39447651326157</v>
      </c>
      <c r="R3569" t="s">
        <v>38417</v>
      </c>
      <c r="S3569" t="s">
        <v>38418</v>
      </c>
      <c r="T3569" t="s">
        <v>38419</v>
      </c>
      <c r="U3569" t="s">
        <v>38420</v>
      </c>
      <c r="V3569">
        <f>-749.092795092276 -71.2923396282819 -92.411144008455</f>
        <v>-912.7962787290129</v>
      </c>
      <c r="W3569" t="s">
        <v>38421</v>
      </c>
      <c r="X3569" t="s">
        <v>38422</v>
      </c>
      <c r="Y3569" t="s">
        <v>38423</v>
      </c>
    </row>
    <row r="3570" spans="1:25" x14ac:dyDescent="0.3">
      <c r="A3570">
        <v>178450</v>
      </c>
      <c r="B3570" t="s">
        <v>38424</v>
      </c>
      <c r="C3570" t="s">
        <v>38425</v>
      </c>
      <c r="D3570" t="s">
        <v>38426</v>
      </c>
      <c r="E3570" t="s">
        <v>38427</v>
      </c>
      <c r="F3570" t="s">
        <v>38428</v>
      </c>
      <c r="G3570" t="s">
        <v>38429</v>
      </c>
      <c r="H3570" t="s">
        <v>38430</v>
      </c>
      <c r="I3570" t="s">
        <v>38431</v>
      </c>
      <c r="J3570" t="s">
        <v>38432</v>
      </c>
      <c r="K3570" t="s">
        <v>38433</v>
      </c>
      <c r="L3570" t="s">
        <v>38434</v>
      </c>
      <c r="M3570" t="s">
        <v>38435</v>
      </c>
      <c r="N3570">
        <f>-820.316813236216 -26.0348328052162 -554.389384473414</f>
        <v>-1400.7410305148462</v>
      </c>
      <c r="O3570">
        <f>-780.521606269684 -154.530830135878 -526.055581325183</f>
        <v>-1461.1080177307449</v>
      </c>
      <c r="P3570">
        <f>-765.751502619864 -181.567373662086 -233.408869523481</f>
        <v>-1180.7277458054309</v>
      </c>
      <c r="Q3570">
        <f>-627.369916721114 -15.7103737187654 -340.146135972037</f>
        <v>-983.22642641191635</v>
      </c>
      <c r="R3570" t="s">
        <v>38436</v>
      </c>
      <c r="S3570" t="s">
        <v>38437</v>
      </c>
      <c r="T3570" t="s">
        <v>38438</v>
      </c>
      <c r="U3570" t="s">
        <v>38439</v>
      </c>
      <c r="V3570">
        <f>-748.908398822153 -71.2084171649116 -92.4802989493035</f>
        <v>-912.59711493636803</v>
      </c>
      <c r="W3570" t="s">
        <v>38440</v>
      </c>
      <c r="X3570" t="s">
        <v>38441</v>
      </c>
      <c r="Y3570" t="s">
        <v>38442</v>
      </c>
    </row>
    <row r="3571" spans="1:25" x14ac:dyDescent="0.3">
      <c r="A3571">
        <v>178500</v>
      </c>
      <c r="B3571" t="s">
        <v>38443</v>
      </c>
      <c r="C3571" t="s">
        <v>38444</v>
      </c>
      <c r="D3571" t="s">
        <v>38445</v>
      </c>
      <c r="E3571" t="s">
        <v>38446</v>
      </c>
      <c r="F3571" t="s">
        <v>38447</v>
      </c>
      <c r="G3571" t="s">
        <v>38448</v>
      </c>
      <c r="H3571" t="s">
        <v>38449</v>
      </c>
      <c r="I3571" t="s">
        <v>38450</v>
      </c>
      <c r="J3571" t="s">
        <v>38451</v>
      </c>
      <c r="K3571" t="s">
        <v>38452</v>
      </c>
      <c r="L3571" t="s">
        <v>38453</v>
      </c>
      <c r="M3571" t="s">
        <v>38454</v>
      </c>
      <c r="N3571">
        <f>-820.138010677772 -25.9946716772804 -554.447195699711</f>
        <v>-1400.5798780547634</v>
      </c>
      <c r="O3571">
        <f>-780.187727566143 -154.465652432869 -526.205926266837</f>
        <v>-1460.859306265849</v>
      </c>
      <c r="P3571">
        <f>-765.359601968644 -181.694382581781 -233.580008978736</f>
        <v>-1180.633993529161</v>
      </c>
      <c r="Q3571">
        <f>-627.298073096565 -15.7061277923744 -340.527511611576</f>
        <v>-983.53171250051537</v>
      </c>
      <c r="R3571" t="s">
        <v>38455</v>
      </c>
      <c r="S3571" t="s">
        <v>38456</v>
      </c>
      <c r="T3571" t="s">
        <v>38457</v>
      </c>
      <c r="U3571" t="s">
        <v>38458</v>
      </c>
      <c r="V3571">
        <f>-748.527430569399 -71.1700922533984 -92.5145842303867</f>
        <v>-912.21210705318413</v>
      </c>
      <c r="W3571" t="s">
        <v>38459</v>
      </c>
      <c r="X3571" t="s">
        <v>38460</v>
      </c>
      <c r="Y3571" t="s">
        <v>38461</v>
      </c>
    </row>
    <row r="3572" spans="1:25" x14ac:dyDescent="0.3">
      <c r="A3572">
        <v>178550</v>
      </c>
      <c r="B3572" t="s">
        <v>38462</v>
      </c>
      <c r="C3572" t="s">
        <v>38463</v>
      </c>
      <c r="D3572" t="s">
        <v>38464</v>
      </c>
      <c r="E3572" t="s">
        <v>38465</v>
      </c>
      <c r="F3572" t="s">
        <v>38466</v>
      </c>
      <c r="G3572">
        <f>-826.206316724512 -0.0272437169712703 -484.313000231588</f>
        <v>-1310.5465606730713</v>
      </c>
      <c r="H3572" t="s">
        <v>38467</v>
      </c>
      <c r="I3572" t="s">
        <v>38468</v>
      </c>
      <c r="J3572" t="s">
        <v>38469</v>
      </c>
      <c r="K3572" t="s">
        <v>38470</v>
      </c>
      <c r="L3572" t="s">
        <v>38471</v>
      </c>
      <c r="M3572" t="s">
        <v>38472</v>
      </c>
      <c r="N3572">
        <f>-819.96965908053 -26.0489957126047 -554.442832927735</f>
        <v>-1400.4614877208696</v>
      </c>
      <c r="O3572">
        <f>-779.942533903108 -154.516556461341 -526.283261065759</f>
        <v>-1460.7423514302081</v>
      </c>
      <c r="P3572">
        <f>-765.026966600665 -181.898400294429 -233.676088168944</f>
        <v>-1180.601455064038</v>
      </c>
      <c r="Q3572">
        <f>-627.242571907529 -15.6762058594961 -340.617785312118</f>
        <v>-983.53656307914321</v>
      </c>
      <c r="R3572" t="s">
        <v>38473</v>
      </c>
      <c r="S3572" t="s">
        <v>38474</v>
      </c>
      <c r="T3572" t="s">
        <v>38475</v>
      </c>
      <c r="U3572" t="s">
        <v>38476</v>
      </c>
      <c r="V3572">
        <f>-748.260309539393 -71.3064889983991 -92.5098975044955</f>
        <v>-912.07669604228761</v>
      </c>
      <c r="W3572" t="s">
        <v>38477</v>
      </c>
      <c r="X3572" t="s">
        <v>38478</v>
      </c>
      <c r="Y3572" t="s">
        <v>38479</v>
      </c>
    </row>
    <row r="3573" spans="1:25" x14ac:dyDescent="0.3">
      <c r="A3573">
        <v>178600</v>
      </c>
      <c r="B3573" t="s">
        <v>38480</v>
      </c>
      <c r="C3573" t="s">
        <v>38481</v>
      </c>
      <c r="D3573" t="s">
        <v>38482</v>
      </c>
      <c r="E3573" t="s">
        <v>38483</v>
      </c>
      <c r="F3573" t="s">
        <v>38484</v>
      </c>
      <c r="G3573">
        <f>-826.104113183619 -0.0502095742012898 -484.232316735575</f>
        <v>-1310.3866394933953</v>
      </c>
      <c r="H3573" t="s">
        <v>38485</v>
      </c>
      <c r="I3573" t="s">
        <v>38486</v>
      </c>
      <c r="J3573" t="s">
        <v>38487</v>
      </c>
      <c r="K3573" t="s">
        <v>38488</v>
      </c>
      <c r="L3573" t="s">
        <v>38489</v>
      </c>
      <c r="M3573" t="s">
        <v>38490</v>
      </c>
      <c r="N3573">
        <f>-819.91008784438 -25.9610332527636 -554.407108613238</f>
        <v>-1400.2782297103818</v>
      </c>
      <c r="O3573">
        <f>-779.779038182761 -154.434583785739 -526.438447804384</f>
        <v>-1460.6520697728843</v>
      </c>
      <c r="P3573">
        <f>-764.472621135077 -182.189294156425 -233.886657033752</f>
        <v>-1180.5485723252541</v>
      </c>
      <c r="Q3573">
        <f>-627.286606978383 -15.4670743232214 -340.819285457421</f>
        <v>-983.57296675902535</v>
      </c>
      <c r="R3573" t="s">
        <v>38491</v>
      </c>
      <c r="S3573" t="s">
        <v>38492</v>
      </c>
      <c r="T3573" t="s">
        <v>38493</v>
      </c>
      <c r="U3573" t="s">
        <v>38494</v>
      </c>
      <c r="V3573">
        <f>-748.007851296353 -71.3603535746981 -92.4758013836516</f>
        <v>-911.84400625470278</v>
      </c>
      <c r="W3573" t="s">
        <v>38495</v>
      </c>
      <c r="X3573" t="s">
        <v>38496</v>
      </c>
      <c r="Y3573" t="s">
        <v>38497</v>
      </c>
    </row>
    <row r="3574" spans="1:25" x14ac:dyDescent="0.3">
      <c r="A3574">
        <v>178650</v>
      </c>
      <c r="B3574" t="s">
        <v>38498</v>
      </c>
      <c r="C3574" t="s">
        <v>38499</v>
      </c>
      <c r="D3574" t="s">
        <v>38500</v>
      </c>
      <c r="E3574" t="s">
        <v>38501</v>
      </c>
      <c r="F3574" t="s">
        <v>38502</v>
      </c>
      <c r="G3574">
        <f>-826.109492919575 -0.0880027364653415 -484.189786726876</f>
        <v>-1310.3872823829163</v>
      </c>
      <c r="H3574" t="s">
        <v>38503</v>
      </c>
      <c r="I3574" t="s">
        <v>38504</v>
      </c>
      <c r="J3574" t="s">
        <v>38505</v>
      </c>
      <c r="K3574" t="s">
        <v>38506</v>
      </c>
      <c r="L3574" t="s">
        <v>38507</v>
      </c>
      <c r="M3574" t="s">
        <v>38508</v>
      </c>
      <c r="N3574">
        <f>-819.959159456541 -25.9541913617643 -554.385034520397</f>
        <v>-1400.2983853387022</v>
      </c>
      <c r="O3574">
        <f>-779.777725250839 -154.42953981986 -526.504228098174</f>
        <v>-1460.7114931688729</v>
      </c>
      <c r="P3574">
        <f>-764.199229750199 -182.408524291524 -233.988114317664</f>
        <v>-1180.5958683593872</v>
      </c>
      <c r="Q3574">
        <f>-627.346187510079 -15.4191640221038 -340.930413284861</f>
        <v>-983.69576481704371</v>
      </c>
      <c r="R3574" t="s">
        <v>38509</v>
      </c>
      <c r="S3574" t="s">
        <v>38510</v>
      </c>
      <c r="T3574" t="s">
        <v>38511</v>
      </c>
      <c r="U3574" t="s">
        <v>38512</v>
      </c>
      <c r="V3574">
        <f>-747.839718410026 -71.54341346641 -92.4598577430222</f>
        <v>-911.84298961945819</v>
      </c>
      <c r="W3574" t="s">
        <v>38513</v>
      </c>
      <c r="X3574" t="s">
        <v>38514</v>
      </c>
      <c r="Y3574" t="s">
        <v>38515</v>
      </c>
    </row>
    <row r="3575" spans="1:25" x14ac:dyDescent="0.3">
      <c r="A3575">
        <v>178700</v>
      </c>
      <c r="B3575" t="s">
        <v>38516</v>
      </c>
      <c r="C3575" t="s">
        <v>38517</v>
      </c>
      <c r="D3575" t="s">
        <v>38518</v>
      </c>
      <c r="E3575" t="s">
        <v>38519</v>
      </c>
      <c r="F3575" t="s">
        <v>38520</v>
      </c>
      <c r="G3575">
        <f>-826.187350597533 -0.312028130140334 -484.161559522198</f>
        <v>-1310.6609382498714</v>
      </c>
      <c r="H3575" t="s">
        <v>38521</v>
      </c>
      <c r="I3575" t="s">
        <v>38522</v>
      </c>
      <c r="J3575" t="s">
        <v>38523</v>
      </c>
      <c r="K3575" t="s">
        <v>38524</v>
      </c>
      <c r="L3575" t="s">
        <v>38525</v>
      </c>
      <c r="M3575" t="s">
        <v>38526</v>
      </c>
      <c r="N3575">
        <f>-820.083689254134 -26.1054485361813 -554.38749819871</f>
        <v>-1400.5766359890254</v>
      </c>
      <c r="O3575">
        <f>-779.805339031044 -154.570865292765 -526.615763057357</f>
        <v>-1460.991967381166</v>
      </c>
      <c r="P3575">
        <f>-764.103430887836 -182.72347196923 -234.122937539556</f>
        <v>-1180.949840396622</v>
      </c>
      <c r="Q3575">
        <f>-627.280376676339 -15.6618899779617 -340.990810329558</f>
        <v>-983.93307698385865</v>
      </c>
      <c r="R3575" t="s">
        <v>38527</v>
      </c>
      <c r="S3575" t="s">
        <v>38528</v>
      </c>
      <c r="T3575" t="s">
        <v>38529</v>
      </c>
      <c r="U3575" t="s">
        <v>38530</v>
      </c>
      <c r="V3575">
        <f>-747.47765071662 -71.8437031396577 -92.4574200486776</f>
        <v>-911.7787739049553</v>
      </c>
      <c r="W3575" t="s">
        <v>38531</v>
      </c>
      <c r="X3575" t="s">
        <v>38532</v>
      </c>
      <c r="Y3575" t="s">
        <v>38533</v>
      </c>
    </row>
    <row r="3576" spans="1:25" x14ac:dyDescent="0.3">
      <c r="A3576">
        <v>178750</v>
      </c>
      <c r="B3576" t="s">
        <v>38534</v>
      </c>
      <c r="C3576" t="s">
        <v>38535</v>
      </c>
      <c r="D3576" t="s">
        <v>38536</v>
      </c>
      <c r="E3576" t="s">
        <v>38537</v>
      </c>
      <c r="F3576">
        <f>-821.552434768022 -0.0982276898757846 -395.178885145914</f>
        <v>-1216.8295476038118</v>
      </c>
      <c r="G3576">
        <f>-826.033676003292 -0.622779204434892 -484.161420253676</f>
        <v>-1310.817875461403</v>
      </c>
      <c r="H3576" t="s">
        <v>38538</v>
      </c>
      <c r="I3576" t="s">
        <v>38539</v>
      </c>
      <c r="J3576" t="s">
        <v>38540</v>
      </c>
      <c r="K3576" t="s">
        <v>38541</v>
      </c>
      <c r="L3576" t="s">
        <v>38542</v>
      </c>
      <c r="M3576" t="s">
        <v>38543</v>
      </c>
      <c r="N3576">
        <f>-819.921942134268 -26.3742154792822 -554.401983675879</f>
        <v>-1400.6981412894293</v>
      </c>
      <c r="O3576">
        <f>-779.618388015997 -154.850808281542 -526.691946968646</f>
        <v>-1461.1611432661848</v>
      </c>
      <c r="P3576">
        <f>-763.907190151064 -183.023982641792 -234.201509758538</f>
        <v>-1181.1326825513941</v>
      </c>
      <c r="Q3576">
        <f>-626.924609312142 -16.0437380305395 -340.992087252253</f>
        <v>-983.96043459493455</v>
      </c>
      <c r="R3576" t="s">
        <v>38544</v>
      </c>
      <c r="S3576" t="s">
        <v>38545</v>
      </c>
      <c r="T3576" t="s">
        <v>38546</v>
      </c>
      <c r="U3576" t="s">
        <v>38547</v>
      </c>
      <c r="V3576">
        <f>-747.186566325662 -72.2055953573099 -92.4610170227097</f>
        <v>-911.85317870568167</v>
      </c>
      <c r="W3576" t="s">
        <v>38548</v>
      </c>
      <c r="X3576" t="s">
        <v>38549</v>
      </c>
      <c r="Y3576" t="s">
        <v>38550</v>
      </c>
    </row>
    <row r="3577" spans="1:25" x14ac:dyDescent="0.3">
      <c r="A3577">
        <v>178800</v>
      </c>
      <c r="B3577" t="s">
        <v>38551</v>
      </c>
      <c r="C3577" t="s">
        <v>38552</v>
      </c>
      <c r="D3577" t="s">
        <v>38553</v>
      </c>
      <c r="E3577" t="s">
        <v>38554</v>
      </c>
      <c r="F3577">
        <f>-821.150897832872 -0.630248759279766 -395.14425113509</f>
        <v>-1216.9253977272417</v>
      </c>
      <c r="G3577">
        <f>-825.66223134854 -1.09961477169099 -484.125493588802</f>
        <v>-1310.8873397090329</v>
      </c>
      <c r="H3577" t="s">
        <v>38555</v>
      </c>
      <c r="I3577" t="s">
        <v>38556</v>
      </c>
      <c r="J3577" t="s">
        <v>38557</v>
      </c>
      <c r="K3577" t="s">
        <v>38558</v>
      </c>
      <c r="L3577" t="s">
        <v>38559</v>
      </c>
      <c r="M3577" t="s">
        <v>38560</v>
      </c>
      <c r="N3577">
        <f>-819.540680956463 -26.7870705222801 -554.388610546329</f>
        <v>-1400.7163620250722</v>
      </c>
      <c r="O3577">
        <f>-779.092684018825 -155.240512999504 -526.795004491035</f>
        <v>-1461.1282015093639</v>
      </c>
      <c r="P3577">
        <f>-763.186160320038 -183.679290565422 -234.340829750135</f>
        <v>-1181.206280635595</v>
      </c>
      <c r="Q3577">
        <f>-626.621467295111 -16.315923533052 -341.067022390449</f>
        <v>-984.00441321861194</v>
      </c>
      <c r="R3577" t="s">
        <v>38561</v>
      </c>
      <c r="S3577" t="s">
        <v>38562</v>
      </c>
      <c r="T3577" t="s">
        <v>38563</v>
      </c>
      <c r="U3577" t="s">
        <v>38564</v>
      </c>
      <c r="V3577">
        <f>-746.689899155118 -72.7159973638652 -92.4627350554989</f>
        <v>-911.86863157448215</v>
      </c>
      <c r="W3577" t="s">
        <v>38565</v>
      </c>
      <c r="X3577" t="s">
        <v>38566</v>
      </c>
      <c r="Y3577" t="s">
        <v>38567</v>
      </c>
    </row>
    <row r="3578" spans="1:25" x14ac:dyDescent="0.3">
      <c r="A3578">
        <v>178850</v>
      </c>
      <c r="B3578" t="s">
        <v>38568</v>
      </c>
      <c r="C3578" t="s">
        <v>38569</v>
      </c>
      <c r="D3578" t="s">
        <v>38570</v>
      </c>
      <c r="E3578" t="s">
        <v>38571</v>
      </c>
      <c r="F3578">
        <f>-820.972696312933 -0.931333681899559 -395.120279913837</f>
        <v>-1217.0243099086695</v>
      </c>
      <c r="G3578">
        <f>-825.515942998578 -1.40165465479731 -484.100017386093</f>
        <v>-1311.0176150394682</v>
      </c>
      <c r="H3578">
        <f>-829.684317984624 -0.14653226049677 -608.606365388493</f>
        <v>-1438.437215633614</v>
      </c>
      <c r="I3578" t="s">
        <v>38572</v>
      </c>
      <c r="J3578" t="s">
        <v>38573</v>
      </c>
      <c r="K3578" t="s">
        <v>38574</v>
      </c>
      <c r="L3578" t="s">
        <v>38575</v>
      </c>
      <c r="M3578" t="s">
        <v>38576</v>
      </c>
      <c r="N3578">
        <f>-819.418712820598 -27.0883524227813 -554.365601930358</f>
        <v>-1400.8726671737372</v>
      </c>
      <c r="O3578">
        <f>-778.934029398741 -155.522901833379 -526.765675056749</f>
        <v>-1461.222606288869</v>
      </c>
      <c r="P3578">
        <f>-762.806285494215 -183.898846165139 -234.317587486131</f>
        <v>-1181.0227191454851</v>
      </c>
      <c r="Q3578">
        <f>-626.396082929714 -16.5137910863079 -341.207032574498</f>
        <v>-984.11690659051987</v>
      </c>
      <c r="R3578" t="s">
        <v>38577</v>
      </c>
      <c r="S3578" t="s">
        <v>38578</v>
      </c>
      <c r="T3578" t="s">
        <v>38579</v>
      </c>
      <c r="U3578" t="s">
        <v>38580</v>
      </c>
      <c r="V3578">
        <f>-746.470937679863 -72.8776645015062 -92.456909330308</f>
        <v>-911.8055115116772</v>
      </c>
      <c r="W3578" t="s">
        <v>38581</v>
      </c>
      <c r="X3578" t="s">
        <v>38582</v>
      </c>
      <c r="Y3578" t="s">
        <v>38583</v>
      </c>
    </row>
    <row r="3579" spans="1:25" x14ac:dyDescent="0.3">
      <c r="A3579">
        <v>178900</v>
      </c>
      <c r="B3579" t="s">
        <v>38584</v>
      </c>
      <c r="C3579" t="s">
        <v>38585</v>
      </c>
      <c r="D3579" t="s">
        <v>38586</v>
      </c>
      <c r="E3579" t="s">
        <v>38587</v>
      </c>
      <c r="F3579">
        <f>-820.745759361813 -1.33004136407067 -395.071436572894</f>
        <v>-1217.1472372987778</v>
      </c>
      <c r="G3579">
        <f>-825.334163289935 -1.79921585714851 -484.048768859123</f>
        <v>-1311.1821480062065</v>
      </c>
      <c r="H3579">
        <f>-829.564444114922 -0.536538908668945 -608.553138141359</f>
        <v>-1438.6541211649501</v>
      </c>
      <c r="I3579" t="s">
        <v>38588</v>
      </c>
      <c r="J3579" t="s">
        <v>38589</v>
      </c>
      <c r="K3579" t="s">
        <v>38590</v>
      </c>
      <c r="L3579" t="s">
        <v>38591</v>
      </c>
      <c r="M3579" t="s">
        <v>38592</v>
      </c>
      <c r="N3579">
        <f>-819.270470590236 -27.4811282109836 -554.318918676575</f>
        <v>-1401.0705174777945</v>
      </c>
      <c r="O3579">
        <f>-778.733399323287 -155.899200171519 -526.68285973118</f>
        <v>-1461.3154592259862</v>
      </c>
      <c r="P3579">
        <f>-762.272836534962 -184.22147325303 -234.248078454719</f>
        <v>-1180.7423882427111</v>
      </c>
      <c r="Q3579">
        <f>-626.514592339017 -16.6599803927506 -341.689880111445</f>
        <v>-984.86445284321258</v>
      </c>
      <c r="R3579" t="s">
        <v>38593</v>
      </c>
      <c r="S3579" t="s">
        <v>38594</v>
      </c>
      <c r="T3579" t="s">
        <v>38595</v>
      </c>
      <c r="U3579" t="s">
        <v>38596</v>
      </c>
      <c r="V3579">
        <f>-746.141610458988 -73.2130135384227 -92.4523495450703</f>
        <v>-911.80697354248105</v>
      </c>
      <c r="W3579" t="s">
        <v>38597</v>
      </c>
      <c r="X3579" t="s">
        <v>38598</v>
      </c>
      <c r="Y3579" t="s">
        <v>38599</v>
      </c>
    </row>
    <row r="3580" spans="1:25" x14ac:dyDescent="0.3">
      <c r="A3580">
        <v>178950</v>
      </c>
      <c r="B3580" t="s">
        <v>38600</v>
      </c>
      <c r="C3580" t="s">
        <v>38601</v>
      </c>
      <c r="D3580" t="s">
        <v>38602</v>
      </c>
      <c r="E3580" t="s">
        <v>38603</v>
      </c>
      <c r="F3580">
        <f>-820.692992214201 -1.61583701011955 -395.057017717292</f>
        <v>-1217.3658469416125</v>
      </c>
      <c r="G3580">
        <f>-825.299941133191 -2.08513488001427 -484.0335768025</f>
        <v>-1311.4186528157054</v>
      </c>
      <c r="H3580">
        <f>-829.550374935124 -0.820475001095247 -608.537168116303</f>
        <v>-1438.908018052522</v>
      </c>
      <c r="I3580" t="s">
        <v>38604</v>
      </c>
      <c r="J3580" t="s">
        <v>38605</v>
      </c>
      <c r="K3580" t="s">
        <v>38606</v>
      </c>
      <c r="L3580" t="s">
        <v>38607</v>
      </c>
      <c r="M3580" t="s">
        <v>38608</v>
      </c>
      <c r="N3580">
        <f>-819.243768591891 -27.7647463804249 -554.305230552108</f>
        <v>-1401.3137455244239</v>
      </c>
      <c r="O3580">
        <f>-778.686673105965 -156.165289723788 -526.649284055466</f>
        <v>-1461.501246885219</v>
      </c>
      <c r="P3580">
        <f>-762.125548032503 -184.298906465838 -234.201973576349</f>
        <v>-1180.62642807469</v>
      </c>
      <c r="Q3580">
        <f>-626.454202144081 -16.8097616714447 -341.866229570423</f>
        <v>-985.1301933859487</v>
      </c>
      <c r="R3580" t="s">
        <v>38609</v>
      </c>
      <c r="S3580" t="s">
        <v>38610</v>
      </c>
      <c r="T3580" t="s">
        <v>38611</v>
      </c>
      <c r="U3580" t="s">
        <v>38612</v>
      </c>
      <c r="V3580">
        <f>-745.907149985654 -73.5857810640348 -92.4568791588875</f>
        <v>-911.94981020857631</v>
      </c>
      <c r="W3580" t="s">
        <v>38613</v>
      </c>
      <c r="X3580" t="s">
        <v>38614</v>
      </c>
      <c r="Y3580" t="s">
        <v>38615</v>
      </c>
    </row>
    <row r="3581" spans="1:25" x14ac:dyDescent="0.3">
      <c r="A3581">
        <v>179000</v>
      </c>
      <c r="B3581" t="s">
        <v>38616</v>
      </c>
      <c r="C3581" t="s">
        <v>38617</v>
      </c>
      <c r="D3581" t="s">
        <v>38618</v>
      </c>
      <c r="E3581" t="s">
        <v>38619</v>
      </c>
      <c r="F3581">
        <f>-820.638336458459 -2.28034280396832 -395.035741145813</f>
        <v>-1217.9544204082404</v>
      </c>
      <c r="G3581">
        <f>-825.262478030749 -2.77212652984122 -484.011028366555</f>
        <v>-1312.0456329271451</v>
      </c>
      <c r="H3581">
        <f>-829.520451415871 -1.54592572643082 -608.51488353162</f>
        <v>-1439.5812606739219</v>
      </c>
      <c r="I3581" t="s">
        <v>38620</v>
      </c>
      <c r="J3581" t="s">
        <v>38621</v>
      </c>
      <c r="K3581" t="s">
        <v>38622</v>
      </c>
      <c r="L3581" t="s">
        <v>38623</v>
      </c>
      <c r="M3581" t="s">
        <v>38624</v>
      </c>
      <c r="N3581">
        <f>-819.198165676312 -28.4695454962534 -554.275689676967</f>
        <v>-1401.9434008495323</v>
      </c>
      <c r="O3581">
        <f>-778.563493102737 -156.851447114968 -526.612523603248</f>
        <v>-1462.027463820953</v>
      </c>
      <c r="P3581">
        <f>-761.9476220339 -185.054721477554 -234.17495571909</f>
        <v>-1181.1772992305441</v>
      </c>
      <c r="Q3581">
        <f>-626.325797774609 -17.66980552275 -342.06329343471</f>
        <v>-986.058896732069</v>
      </c>
      <c r="R3581" t="s">
        <v>38625</v>
      </c>
      <c r="S3581" t="s">
        <v>38626</v>
      </c>
      <c r="T3581" t="s">
        <v>38627</v>
      </c>
      <c r="U3581" t="s">
        <v>38628</v>
      </c>
      <c r="V3581">
        <f>-745.557618491682 -74.2948961914462 -92.4928344600065</f>
        <v>-912.34534914313474</v>
      </c>
      <c r="W3581" t="s">
        <v>38629</v>
      </c>
      <c r="X3581" t="s">
        <v>38630</v>
      </c>
      <c r="Y3581" t="s">
        <v>38631</v>
      </c>
    </row>
    <row r="3582" spans="1:25" x14ac:dyDescent="0.3">
      <c r="A3582">
        <v>179050</v>
      </c>
      <c r="B3582" t="s">
        <v>38632</v>
      </c>
      <c r="C3582" t="s">
        <v>38633</v>
      </c>
      <c r="D3582" t="s">
        <v>38634</v>
      </c>
      <c r="E3582">
        <f>-813.96375132771 -0.314746206570589 -306.208522495579</f>
        <v>-1120.4870200298597</v>
      </c>
      <c r="F3582">
        <f>-820.66893994982 -2.67853027999149 -395.021285714058</f>
        <v>-1218.3687559438695</v>
      </c>
      <c r="G3582">
        <f>-825.301044578109 -3.17833941645836 -483.996220949053</f>
        <v>-1312.4756049436203</v>
      </c>
      <c r="H3582">
        <f>-829.562418487685 -1.9639177471347 -608.49991409902</f>
        <v>-1440.0262503338397</v>
      </c>
      <c r="I3582" t="s">
        <v>38635</v>
      </c>
      <c r="J3582" t="s">
        <v>38636</v>
      </c>
      <c r="K3582" t="s">
        <v>38637</v>
      </c>
      <c r="L3582" t="s">
        <v>38638</v>
      </c>
      <c r="M3582" t="s">
        <v>38639</v>
      </c>
      <c r="N3582">
        <f>-819.232287608211 -28.8803060439034 -554.258727286046</f>
        <v>-1402.3713209381604</v>
      </c>
      <c r="O3582">
        <f>-778.57060043934 -157.248784202894 -526.602697561175</f>
        <v>-1462.422082203409</v>
      </c>
      <c r="P3582">
        <f>-761.994083793641 -185.386445316116 -234.156681437841</f>
        <v>-1181.5372105475981</v>
      </c>
      <c r="Q3582">
        <f>-626.257575732756 -18.0584399708596 -341.988868038803</f>
        <v>-986.3048837424185</v>
      </c>
      <c r="R3582" t="s">
        <v>38640</v>
      </c>
      <c r="S3582" t="s">
        <v>38641</v>
      </c>
      <c r="T3582" t="s">
        <v>38642</v>
      </c>
      <c r="U3582" t="s">
        <v>38643</v>
      </c>
      <c r="V3582">
        <f>-745.440572932062 -74.683857208177 -92.497447780217</f>
        <v>-912.62187792045597</v>
      </c>
      <c r="W3582" t="s">
        <v>38644</v>
      </c>
      <c r="X3582" t="s">
        <v>38645</v>
      </c>
      <c r="Y3582" t="s">
        <v>38646</v>
      </c>
    </row>
    <row r="3583" spans="1:25" x14ac:dyDescent="0.3">
      <c r="A3583">
        <v>179100</v>
      </c>
      <c r="B3583" t="s">
        <v>38647</v>
      </c>
      <c r="C3583" t="s">
        <v>38648</v>
      </c>
      <c r="D3583" t="s">
        <v>38649</v>
      </c>
      <c r="E3583">
        <f>-814.036591297375 -0.901108390136869 -306.219520195631</f>
        <v>-1121.1572198831429</v>
      </c>
      <c r="F3583">
        <f>-820.775418781706 -3.31484933485035 -395.028300076305</f>
        <v>-1219.1185681928614</v>
      </c>
      <c r="G3583">
        <f>-825.43098729366 -3.87414818205752 -484.001696236844</f>
        <v>-1313.3068317125615</v>
      </c>
      <c r="H3583">
        <f>-829.714711116312 -2.75334949769604 -608.50537741071</f>
        <v>-1440.973438024718</v>
      </c>
      <c r="I3583" t="s">
        <v>38650</v>
      </c>
      <c r="J3583" t="s">
        <v>38651</v>
      </c>
      <c r="K3583" t="s">
        <v>38652</v>
      </c>
      <c r="L3583" t="s">
        <v>38653</v>
      </c>
      <c r="M3583" t="s">
        <v>38654</v>
      </c>
      <c r="N3583">
        <f>-819.372264931485 -29.6279865561585 -554.245968998325</f>
        <v>-1403.2462204859685</v>
      </c>
      <c r="O3583">
        <f>-778.742814449468 -158.021790392037 -526.623016218318</f>
        <v>-1463.387621059823</v>
      </c>
      <c r="P3583">
        <f>-762.449831044551 -186.236570117976 -234.168386815136</f>
        <v>-1182.8547879776631</v>
      </c>
      <c r="Q3583">
        <f>-626.309506493725 -18.9142806399211 -341.499428462449</f>
        <v>-986.72321559609509</v>
      </c>
      <c r="R3583" t="s">
        <v>38655</v>
      </c>
      <c r="S3583" t="s">
        <v>38656</v>
      </c>
      <c r="T3583" t="s">
        <v>38657</v>
      </c>
      <c r="U3583" t="s">
        <v>38658</v>
      </c>
      <c r="V3583">
        <f>-745.3658399857 -75.2234361649209 -92.522624810426</f>
        <v>-913.1119009610469</v>
      </c>
      <c r="W3583" t="s">
        <v>38659</v>
      </c>
      <c r="X3583" t="s">
        <v>38660</v>
      </c>
      <c r="Y3583" t="s">
        <v>38661</v>
      </c>
    </row>
    <row r="3584" spans="1:25" x14ac:dyDescent="0.3">
      <c r="A3584">
        <v>179150</v>
      </c>
      <c r="B3584" t="s">
        <v>38662</v>
      </c>
      <c r="C3584" t="s">
        <v>38663</v>
      </c>
      <c r="D3584" t="s">
        <v>38664</v>
      </c>
      <c r="E3584">
        <f>-814.146355790075 -1.02826903395521 -306.209525951159</f>
        <v>-1121.384150775189</v>
      </c>
      <c r="F3584">
        <f>-820.910871397484 -3.46711288700112 -395.015695777294</f>
        <v>-1219.3936800617792</v>
      </c>
      <c r="G3584">
        <f>-825.595302342978 -4.0591727972328 -483.987405824146</f>
        <v>-1313.6418809643569</v>
      </c>
      <c r="H3584">
        <f>-829.922432159905 -2.99213190077398 -608.490090656084</f>
        <v>-1441.4046547167632</v>
      </c>
      <c r="I3584" t="s">
        <v>38665</v>
      </c>
      <c r="J3584" t="s">
        <v>38666</v>
      </c>
      <c r="K3584" t="s">
        <v>38667</v>
      </c>
      <c r="L3584" t="s">
        <v>38668</v>
      </c>
      <c r="M3584" t="s">
        <v>38669</v>
      </c>
      <c r="N3584">
        <f>-819.569031485889 -29.8458816960156 -554.222411337987</f>
        <v>-1403.6373245198915</v>
      </c>
      <c r="O3584">
        <f>-779.0212967596 -158.267283110615 -526.625986054159</f>
        <v>-1463.9145659243741</v>
      </c>
      <c r="P3584">
        <f>-762.807984074001 -186.585690449983 -234.177039284053</f>
        <v>-1183.570713808037</v>
      </c>
      <c r="Q3584">
        <f>-626.298894321003 -19.2365148906827 -340.996732591615</f>
        <v>-986.53214180330065</v>
      </c>
      <c r="R3584" t="s">
        <v>38670</v>
      </c>
      <c r="S3584" t="s">
        <v>38671</v>
      </c>
      <c r="T3584" t="s">
        <v>38672</v>
      </c>
      <c r="U3584" t="s">
        <v>38673</v>
      </c>
      <c r="V3584">
        <f>-745.424821725958 -75.2892396340441 -92.5289762892987</f>
        <v>-913.24303764930085</v>
      </c>
      <c r="W3584" t="s">
        <v>38674</v>
      </c>
      <c r="X3584" t="s">
        <v>38675</v>
      </c>
      <c r="Y3584" t="s">
        <v>38676</v>
      </c>
    </row>
    <row r="3585" spans="1:25" x14ac:dyDescent="0.3">
      <c r="A3585">
        <v>179200</v>
      </c>
      <c r="B3585" t="s">
        <v>38677</v>
      </c>
      <c r="C3585" t="s">
        <v>38678</v>
      </c>
      <c r="D3585" t="s">
        <v>38679</v>
      </c>
      <c r="E3585">
        <f>-814.430827995894 -1.1401831415908 -306.208460926685</f>
        <v>-1121.7794720641698</v>
      </c>
      <c r="F3585">
        <f>-821.275640481753 -3.60215203793405 -395.007839374999</f>
        <v>-1219.885631894686</v>
      </c>
      <c r="G3585">
        <f>-826.065680160585 -4.22970795768879 -483.973526481016</f>
        <v>-1314.2689145992897</v>
      </c>
      <c r="H3585">
        <f>-830.567317173559 -3.22534657939968 -608.470660533168</f>
        <v>-1442.2633242861266</v>
      </c>
      <c r="I3585" t="s">
        <v>38680</v>
      </c>
      <c r="J3585" t="s">
        <v>38681</v>
      </c>
      <c r="K3585" t="s">
        <v>38682</v>
      </c>
      <c r="L3585" t="s">
        <v>38683</v>
      </c>
      <c r="M3585" t="s">
        <v>38684</v>
      </c>
      <c r="N3585">
        <f>-820.163219393234 -30.059897323976 -554.203266490323</f>
        <v>-1404.426383207533</v>
      </c>
      <c r="O3585">
        <f>-779.697980511541 -158.523125754961 -526.685165427327</f>
        <v>-1464.906271693829</v>
      </c>
      <c r="P3585">
        <f>-763.710482499156 -187.188612887474 -234.257486945818</f>
        <v>-1185.1565823324481</v>
      </c>
      <c r="Q3585">
        <f>-627.211595090539 -19.5564436262459 -340.645468441886</f>
        <v>-987.413507158671</v>
      </c>
      <c r="R3585" t="s">
        <v>38685</v>
      </c>
      <c r="S3585" t="s">
        <v>38686</v>
      </c>
      <c r="T3585" t="s">
        <v>38687</v>
      </c>
      <c r="U3585" t="s">
        <v>38688</v>
      </c>
      <c r="V3585">
        <f>-745.661007187734 -75.4558422389598 -92.5421310180058</f>
        <v>-913.65898044469952</v>
      </c>
      <c r="W3585" t="s">
        <v>38689</v>
      </c>
      <c r="X3585" t="s">
        <v>38690</v>
      </c>
      <c r="Y3585" t="s">
        <v>38691</v>
      </c>
    </row>
    <row r="3586" spans="1:25" x14ac:dyDescent="0.3">
      <c r="A3586">
        <v>179250</v>
      </c>
      <c r="B3586" t="s">
        <v>38692</v>
      </c>
      <c r="C3586" t="s">
        <v>38693</v>
      </c>
      <c r="D3586" t="s">
        <v>38694</v>
      </c>
      <c r="E3586">
        <f>-814.632473275764 -1.18207964981639 -306.222262581855</f>
        <v>-1122.0368155074354</v>
      </c>
      <c r="F3586">
        <f>-821.533594542952 -3.66803220833845 -395.016644344429</f>
        <v>-1220.2182710957195</v>
      </c>
      <c r="G3586">
        <f>-826.403209162526 -4.33392942671844 -483.97788182204</f>
        <v>-1314.7150204112845</v>
      </c>
      <c r="H3586">
        <f>-831.040227803199 -3.3982530962594 -608.470441268223</f>
        <v>-1442.9089221676813</v>
      </c>
      <c r="I3586" t="s">
        <v>38695</v>
      </c>
      <c r="J3586" t="s">
        <v>38696</v>
      </c>
      <c r="K3586" t="s">
        <v>38697</v>
      </c>
      <c r="L3586" t="s">
        <v>38698</v>
      </c>
      <c r="M3586" t="s">
        <v>38699</v>
      </c>
      <c r="N3586">
        <f>-820.59078313034 -30.2074125969857 -554.199020375435</f>
        <v>-1404.9972161027608</v>
      </c>
      <c r="O3586">
        <f>-780.127286327466 -158.668398532589 -526.690198952226</f>
        <v>-1465.4858838122809</v>
      </c>
      <c r="P3586">
        <f>-764.22722690041 -187.192565668455 -234.244099184291</f>
        <v>-1185.6638917531559</v>
      </c>
      <c r="Q3586">
        <f>-627.798271405755 -19.4713500599973 -340.581227903957</f>
        <v>-987.85084936970929</v>
      </c>
      <c r="R3586" t="s">
        <v>38700</v>
      </c>
      <c r="S3586" t="s">
        <v>38701</v>
      </c>
      <c r="T3586" t="s">
        <v>38702</v>
      </c>
      <c r="U3586" t="s">
        <v>38703</v>
      </c>
      <c r="V3586">
        <f>-745.796807377398 -75.5524072992373 -92.5587316012579</f>
        <v>-913.90794627789319</v>
      </c>
      <c r="W3586" t="s">
        <v>38704</v>
      </c>
      <c r="X3586" t="s">
        <v>38705</v>
      </c>
      <c r="Y3586" t="s">
        <v>38706</v>
      </c>
    </row>
    <row r="3587" spans="1:25" x14ac:dyDescent="0.3">
      <c r="A3587">
        <v>179300</v>
      </c>
      <c r="B3587" t="s">
        <v>38707</v>
      </c>
      <c r="C3587" t="s">
        <v>38708</v>
      </c>
      <c r="D3587" t="s">
        <v>38709</v>
      </c>
      <c r="E3587">
        <f>-815.008580149256 -1.47277415834628 -306.249674632611</f>
        <v>-1122.7310289402133</v>
      </c>
      <c r="F3587">
        <f>-821.945767817396 -4.06452525953637 -395.038136290077</f>
        <v>-1221.0484293670092</v>
      </c>
      <c r="G3587">
        <f>-826.878332034726 -4.87543795462489 -483.994489272929</f>
        <v>-1315.7482592622798</v>
      </c>
      <c r="H3587">
        <f>-831.631320199167 -4.18399327389784 -608.4844872735</f>
        <v>-1444.2998007465649</v>
      </c>
      <c r="I3587" t="s">
        <v>38710</v>
      </c>
      <c r="J3587" t="s">
        <v>38711</v>
      </c>
      <c r="K3587" t="s">
        <v>38712</v>
      </c>
      <c r="L3587" t="s">
        <v>38713</v>
      </c>
      <c r="M3587" t="s">
        <v>38714</v>
      </c>
      <c r="N3587">
        <f>-821.158786125196 -30.8952690234059 -554.169222993846</f>
        <v>-1406.223278142448</v>
      </c>
      <c r="O3587">
        <f>-780.689313017814 -159.361145027989 -526.675641483867</f>
        <v>-1466.7260995296701</v>
      </c>
      <c r="P3587">
        <f>-764.833736596179 -187.742828494003 -234.213138536441</f>
        <v>-1186.7897036266231</v>
      </c>
      <c r="Q3587">
        <f>-628.528319978763 -19.777220600995 -340.322582621146</f>
        <v>-988.62812320090393</v>
      </c>
      <c r="R3587" t="s">
        <v>38715</v>
      </c>
      <c r="S3587" t="s">
        <v>38716</v>
      </c>
      <c r="T3587" t="s">
        <v>38717</v>
      </c>
      <c r="U3587" t="s">
        <v>38718</v>
      </c>
      <c r="V3587">
        <f>-746.112041466094 -75.7539677038874 -92.6001600603829</f>
        <v>-914.46616923036424</v>
      </c>
      <c r="W3587" t="s">
        <v>38719</v>
      </c>
      <c r="X3587" t="s">
        <v>38720</v>
      </c>
      <c r="Y3587" t="s">
        <v>38721</v>
      </c>
    </row>
    <row r="3588" spans="1:25" x14ac:dyDescent="0.3">
      <c r="A3588">
        <v>179350</v>
      </c>
      <c r="B3588" t="s">
        <v>38722</v>
      </c>
      <c r="C3588" t="s">
        <v>38723</v>
      </c>
      <c r="D3588" t="s">
        <v>38724</v>
      </c>
      <c r="E3588">
        <f>-815.121395361831 -1.67024639842521 -306.240545312672</f>
        <v>-1123.0321870729281</v>
      </c>
      <c r="F3588">
        <f>-822.040154419897 -4.31302521285852 -395.02901611816</f>
        <v>-1221.3821957509156</v>
      </c>
      <c r="G3588">
        <f>-826.957147770878 -5.1894527996958 -483.985657815333</f>
        <v>-1316.1322583859069</v>
      </c>
      <c r="H3588">
        <f>-831.69180617096 -4.60500250411133 -608.476983225524</f>
        <v>-1444.7737919005954</v>
      </c>
      <c r="I3588" t="s">
        <v>38725</v>
      </c>
      <c r="J3588" t="s">
        <v>38726</v>
      </c>
      <c r="K3588" t="s">
        <v>38727</v>
      </c>
      <c r="L3588" t="s">
        <v>38728</v>
      </c>
      <c r="M3588" t="s">
        <v>38729</v>
      </c>
      <c r="N3588">
        <f>-821.244049050861 -31.2750052307422 -554.136569243348</f>
        <v>-1406.6556235249514</v>
      </c>
      <c r="O3588">
        <f>-780.799893009405 -159.753420061648 -526.645584607816</f>
        <v>-1467.1988976788689</v>
      </c>
      <c r="P3588">
        <f>-765.018291244962 -188.176041270248 -234.183040675412</f>
        <v>-1187.3773731906219</v>
      </c>
      <c r="Q3588">
        <f>-628.577766033057 -20.2443243794824 -340.172486740067</f>
        <v>-988.99457715260633</v>
      </c>
      <c r="R3588" t="s">
        <v>38730</v>
      </c>
      <c r="S3588" t="s">
        <v>38731</v>
      </c>
      <c r="T3588" t="s">
        <v>38732</v>
      </c>
      <c r="U3588" t="s">
        <v>38733</v>
      </c>
      <c r="V3588">
        <f>-746.237014174564 -75.8361110416145 -92.5961093459359</f>
        <v>-914.66923456211441</v>
      </c>
      <c r="W3588" t="s">
        <v>38734</v>
      </c>
      <c r="X3588" t="s">
        <v>38735</v>
      </c>
      <c r="Y3588" t="s">
        <v>38736</v>
      </c>
    </row>
    <row r="3589" spans="1:25" x14ac:dyDescent="0.3">
      <c r="A3589">
        <v>179400</v>
      </c>
      <c r="B3589" t="s">
        <v>38737</v>
      </c>
      <c r="C3589" t="s">
        <v>38738</v>
      </c>
      <c r="D3589" t="s">
        <v>38739</v>
      </c>
      <c r="E3589">
        <f>-815.304742356082 -1.92991433424959 -306.216925523529</f>
        <v>-1123.4515822138605</v>
      </c>
      <c r="F3589">
        <f>-822.258859545102 -4.66690720642691 -394.999661594304</f>
        <v>-1221.9254283458329</v>
      </c>
      <c r="G3589">
        <f>-827.231814765248 -5.65760050912354 -483.952169272493</f>
        <v>-1316.8415845468646</v>
      </c>
      <c r="H3589">
        <f>-832.065851946453 -5.25428543559519 -608.440120934</f>
        <v>-1445.7602583160483</v>
      </c>
      <c r="I3589" t="s">
        <v>38740</v>
      </c>
      <c r="J3589" t="s">
        <v>38741</v>
      </c>
      <c r="K3589" t="s">
        <v>38742</v>
      </c>
      <c r="L3589" t="s">
        <v>38743</v>
      </c>
      <c r="M3589" t="s">
        <v>38744</v>
      </c>
      <c r="N3589">
        <f>-821.621052126025 -31.8598042235715 -554.067822355311</f>
        <v>-1407.5486787049076</v>
      </c>
      <c r="O3589">
        <f>-781.301538862886 -160.357025032135 -526.489184470875</f>
        <v>-1468.1477483658959</v>
      </c>
      <c r="P3589">
        <f>-765.773483084932 -188.43054970666 -233.979385664893</f>
        <v>-1188.183418456485</v>
      </c>
      <c r="Q3589">
        <f>-628.85047151204 -20.8840487386171 -339.956615861835</f>
        <v>-989.69113611249213</v>
      </c>
      <c r="R3589" t="s">
        <v>38745</v>
      </c>
      <c r="S3589" t="s">
        <v>38746</v>
      </c>
      <c r="T3589" t="s">
        <v>38747</v>
      </c>
      <c r="U3589" t="s">
        <v>38748</v>
      </c>
      <c r="V3589">
        <f>-746.460234814267 -75.8827818062267 -92.5703702175969</f>
        <v>-914.91338683809056</v>
      </c>
      <c r="W3589" t="s">
        <v>38749</v>
      </c>
      <c r="X3589" t="s">
        <v>38750</v>
      </c>
      <c r="Y3589" t="s">
        <v>38751</v>
      </c>
    </row>
    <row r="3590" spans="1:25" x14ac:dyDescent="0.3">
      <c r="A3590">
        <v>179450</v>
      </c>
      <c r="B3590" t="s">
        <v>38752</v>
      </c>
      <c r="C3590" t="s">
        <v>38753</v>
      </c>
      <c r="D3590" t="s">
        <v>38754</v>
      </c>
      <c r="E3590">
        <f>-815.373446717431 -1.97072320456323 -306.220004189626</f>
        <v>-1123.5641741116201</v>
      </c>
      <c r="F3590">
        <f>-822.361152468674 -4.7682896691731 -394.99837732145</f>
        <v>-1222.1278194592971</v>
      </c>
      <c r="G3590">
        <f>-827.380068423966 -5.83534727695883 -483.947414796366</f>
        <v>-1317.1628304972908</v>
      </c>
      <c r="H3590">
        <f>-832.291618988345 -5.55546205626342 -608.432821463081</f>
        <v>-1446.2799025076895</v>
      </c>
      <c r="I3590" t="s">
        <v>38755</v>
      </c>
      <c r="J3590" t="s">
        <v>38756</v>
      </c>
      <c r="K3590" t="s">
        <v>38757</v>
      </c>
      <c r="L3590" t="s">
        <v>38758</v>
      </c>
      <c r="M3590" t="s">
        <v>38759</v>
      </c>
      <c r="N3590">
        <f>-821.837373319559 -32.1147092509416 -554.039501204226</f>
        <v>-1407.9915837747267</v>
      </c>
      <c r="O3590">
        <f>-781.58769974163 -160.61472283036 -526.365985814162</f>
        <v>-1468.568408386152</v>
      </c>
      <c r="P3590">
        <f>-766.124409560916 -188.4501886941 -233.83016763815</f>
        <v>-1188.4047658931659</v>
      </c>
      <c r="Q3590">
        <f>-628.946151775896 -21.204194688798 -339.9515661449</f>
        <v>-990.10191260959414</v>
      </c>
      <c r="R3590" t="s">
        <v>38760</v>
      </c>
      <c r="S3590" t="s">
        <v>38761</v>
      </c>
      <c r="T3590" t="s">
        <v>38762</v>
      </c>
      <c r="U3590" t="s">
        <v>38763</v>
      </c>
      <c r="V3590">
        <f>-746.520547023051 -75.906419941853 -92.5594384721908</f>
        <v>-914.98640543709473</v>
      </c>
      <c r="W3590" t="s">
        <v>38764</v>
      </c>
      <c r="X3590" t="s">
        <v>38765</v>
      </c>
      <c r="Y3590" t="s">
        <v>38766</v>
      </c>
    </row>
    <row r="3591" spans="1:25" x14ac:dyDescent="0.3">
      <c r="A3591">
        <v>179500</v>
      </c>
      <c r="B3591" t="s">
        <v>38767</v>
      </c>
      <c r="C3591" t="s">
        <v>38768</v>
      </c>
      <c r="D3591" t="s">
        <v>38769</v>
      </c>
      <c r="E3591">
        <f>-815.604964316393 -2.03364989853185 -306.232615182128</f>
        <v>-1123.8712293970527</v>
      </c>
      <c r="F3591">
        <f>-822.66831832548 -4.94363300420378 -395.001324297374</f>
        <v>-1222.6132756270576</v>
      </c>
      <c r="G3591">
        <f>-827.787377664 -6.15091289024713 -483.942706291934</f>
        <v>-1317.880996846181</v>
      </c>
      <c r="H3591">
        <f>-832.864596356703 -6.09579517731686 -608.421724278896</f>
        <v>-1447.3821158129158</v>
      </c>
      <c r="I3591">
        <f>-805.778766728347 -0.445710832237182 -686.776520798939</f>
        <v>-1493.0009983595232</v>
      </c>
      <c r="J3591" t="s">
        <v>38770</v>
      </c>
      <c r="K3591" t="s">
        <v>38771</v>
      </c>
      <c r="L3591" t="s">
        <v>38772</v>
      </c>
      <c r="M3591" t="s">
        <v>38773</v>
      </c>
      <c r="N3591">
        <f>-822.375440626755 -32.5685853592649 -553.993125224406</f>
        <v>-1408.9371512104258</v>
      </c>
      <c r="O3591">
        <f>-782.237832648934 -161.078187014983 -526.178861382609</f>
        <v>-1469.4948810465262</v>
      </c>
      <c r="P3591">
        <f>-766.75864679363 -188.418289499891 -233.596922416807</f>
        <v>-1188.7738587103279</v>
      </c>
      <c r="Q3591">
        <f>-628.938579607278 -21.8701478368794 -339.984079269195</f>
        <v>-990.79280671335232</v>
      </c>
      <c r="R3591" t="s">
        <v>38774</v>
      </c>
      <c r="S3591" t="s">
        <v>38775</v>
      </c>
      <c r="T3591" t="s">
        <v>38776</v>
      </c>
      <c r="U3591" t="s">
        <v>38777</v>
      </c>
      <c r="V3591">
        <f>-746.732897883141 -75.8407366578009 -92.5477571849295</f>
        <v>-915.12139172587149</v>
      </c>
      <c r="W3591" t="s">
        <v>38778</v>
      </c>
      <c r="X3591" t="s">
        <v>38779</v>
      </c>
      <c r="Y3591" t="s">
        <v>38780</v>
      </c>
    </row>
    <row r="3592" spans="1:25" x14ac:dyDescent="0.3">
      <c r="A3592">
        <v>179550</v>
      </c>
      <c r="B3592" t="s">
        <v>38781</v>
      </c>
      <c r="C3592" t="s">
        <v>38782</v>
      </c>
      <c r="D3592" t="s">
        <v>38783</v>
      </c>
      <c r="E3592">
        <f>-815.759438149208 -2.04730427900063 -306.244233874408</f>
        <v>-1124.0509763026166</v>
      </c>
      <c r="F3592">
        <f>-822.868309933912 -5.00808653022204 -395.007546562117</f>
        <v>-1222.883943026251</v>
      </c>
      <c r="G3592">
        <f>-828.045865664891 -6.27499035912069 -483.944695908692</f>
        <v>-1318.2655519327036</v>
      </c>
      <c r="H3592">
        <f>-833.218588132078 -6.31288923639454 -608.419816552941</f>
        <v>-1447.9512939214137</v>
      </c>
      <c r="I3592">
        <f>-806.139306641362 -0.751564644702967 -686.783213747646</f>
        <v>-1493.674085033711</v>
      </c>
      <c r="J3592" t="s">
        <v>38784</v>
      </c>
      <c r="K3592" t="s">
        <v>38785</v>
      </c>
      <c r="L3592" t="s">
        <v>38786</v>
      </c>
      <c r="M3592" t="s">
        <v>38787</v>
      </c>
      <c r="N3592">
        <f>-822.699029020875 -32.7485686455177 -553.979012809409</f>
        <v>-1409.4266104758017</v>
      </c>
      <c r="O3592">
        <f>-782.576286223778 -161.245268272968 -526.11420587084</f>
        <v>-1469.935760367586</v>
      </c>
      <c r="P3592">
        <f>-766.96030471405 -188.427746226867 -233.52488911525</f>
        <v>-1188.9129400561671</v>
      </c>
      <c r="Q3592">
        <f>-628.913952713975 -22.1033684017336 -339.968738785516</f>
        <v>-990.98605990122473</v>
      </c>
      <c r="R3592" t="s">
        <v>38788</v>
      </c>
      <c r="S3592" t="s">
        <v>38789</v>
      </c>
      <c r="T3592" t="s">
        <v>38790</v>
      </c>
      <c r="U3592" t="s">
        <v>38791</v>
      </c>
      <c r="V3592">
        <f>-746.853764303014 -75.758942067426 -92.5439422439493</f>
        <v>-915.15664861438938</v>
      </c>
      <c r="W3592" t="s">
        <v>38792</v>
      </c>
      <c r="X3592" t="s">
        <v>38793</v>
      </c>
      <c r="Y3592" t="s">
        <v>38794</v>
      </c>
    </row>
    <row r="3593" spans="1:25" x14ac:dyDescent="0.3">
      <c r="A3593">
        <v>179600</v>
      </c>
      <c r="B3593" t="s">
        <v>38795</v>
      </c>
      <c r="C3593" t="s">
        <v>38796</v>
      </c>
      <c r="D3593" t="s">
        <v>38797</v>
      </c>
      <c r="E3593">
        <f>-815.917024831305 -2.19475412446945 -306.270438183783</f>
        <v>-1124.3822171395575</v>
      </c>
      <c r="F3593">
        <f>-823.061192134797 -5.22021430232644 -395.028739366753</f>
        <v>-1223.3101458038764</v>
      </c>
      <c r="G3593">
        <f>-828.293419714778 -6.56672085986679 -483.961668521596</f>
        <v>-1318.8218090962407</v>
      </c>
      <c r="H3593">
        <f>-833.563266367591 -6.73106313608173 -608.432630085568</f>
        <v>-1448.7269595892408</v>
      </c>
      <c r="I3593">
        <f>-806.501527231372 -1.32811846599338 -686.813051787443</f>
        <v>-1494.6426974848084</v>
      </c>
      <c r="J3593" t="s">
        <v>38798</v>
      </c>
      <c r="K3593" t="s">
        <v>38799</v>
      </c>
      <c r="L3593" t="s">
        <v>38800</v>
      </c>
      <c r="M3593" t="s">
        <v>38801</v>
      </c>
      <c r="N3593">
        <f>-823.013699109869 -33.1152820352477 -553.97262728173</f>
        <v>-1410.1016084268467</v>
      </c>
      <c r="O3593">
        <f>-782.917061094246 -161.600361916436 -526.019343587741</f>
        <v>-1470.5367665984231</v>
      </c>
      <c r="P3593">
        <f>-766.96450403935 -188.507239911198 -233.422735394953</f>
        <v>-1188.8944793455009</v>
      </c>
      <c r="Q3593">
        <f>-628.254245602116 -22.7113133230998 -339.828132658805</f>
        <v>-990.79369158402085</v>
      </c>
      <c r="R3593" t="s">
        <v>38802</v>
      </c>
      <c r="S3593" t="s">
        <v>38803</v>
      </c>
      <c r="T3593" t="s">
        <v>38804</v>
      </c>
      <c r="U3593" t="s">
        <v>38805</v>
      </c>
      <c r="V3593">
        <f>-747.116482323708 -75.7235415933081 -92.5427129358354</f>
        <v>-915.38273685285162</v>
      </c>
      <c r="W3593" t="s">
        <v>38806</v>
      </c>
      <c r="X3593" t="s">
        <v>38807</v>
      </c>
      <c r="Y3593" t="s">
        <v>38808</v>
      </c>
    </row>
    <row r="3594" spans="1:25" x14ac:dyDescent="0.3">
      <c r="A3594">
        <v>179650</v>
      </c>
      <c r="B3594" t="s">
        <v>38809</v>
      </c>
      <c r="C3594" t="s">
        <v>38810</v>
      </c>
      <c r="D3594" t="s">
        <v>38811</v>
      </c>
      <c r="E3594">
        <f>-815.999737109773 -2.19850359698353 -306.291526167106</f>
        <v>-1124.4897668738627</v>
      </c>
      <c r="F3594">
        <f>-823.149577858964 -5.24752261769891 -395.048687438989</f>
        <v>-1223.4457879156519</v>
      </c>
      <c r="G3594">
        <f>-828.392909756918 -6.62700849496537 -483.980301302289</f>
        <v>-1319.0002195541724</v>
      </c>
      <c r="H3594">
        <f>-833.684206413372 -6.84686113004614 -608.450257850004</f>
        <v>-1448.9813253934221</v>
      </c>
      <c r="I3594">
        <f>-806.63587124426 -1.5187777760234 -686.84047958882</f>
        <v>-1494.9951286091034</v>
      </c>
      <c r="J3594" t="s">
        <v>38812</v>
      </c>
      <c r="K3594" t="s">
        <v>38813</v>
      </c>
      <c r="L3594" t="s">
        <v>38814</v>
      </c>
      <c r="M3594" t="s">
        <v>38815</v>
      </c>
      <c r="N3594">
        <f>-823.128530568798 -33.2079835064055 -553.980280390446</f>
        <v>-1410.3167944656495</v>
      </c>
      <c r="O3594">
        <f>-782.992377845783 -161.675013619106 -525.991308457198</f>
        <v>-1470.6586999220872</v>
      </c>
      <c r="P3594">
        <f>-767.026040970205 -188.525126642029 -233.390336284652</f>
        <v>-1188.9415038968859</v>
      </c>
      <c r="Q3594">
        <f>-628.138165443032 -22.8428185907565 -339.740641475635</f>
        <v>-990.72162550942346</v>
      </c>
      <c r="R3594" t="s">
        <v>38816</v>
      </c>
      <c r="S3594" t="s">
        <v>38817</v>
      </c>
      <c r="T3594" t="s">
        <v>38818</v>
      </c>
      <c r="U3594" t="s">
        <v>38819</v>
      </c>
      <c r="V3594">
        <f>-747.305029046873 -75.6533608311513 -92.5482844022255</f>
        <v>-915.50667428024974</v>
      </c>
      <c r="W3594" t="s">
        <v>38820</v>
      </c>
      <c r="X3594" t="s">
        <v>38821</v>
      </c>
      <c r="Y3594" t="s">
        <v>38822</v>
      </c>
    </row>
    <row r="3595" spans="1:25" x14ac:dyDescent="0.3">
      <c r="A3595">
        <v>179700</v>
      </c>
      <c r="B3595" t="s">
        <v>38823</v>
      </c>
      <c r="C3595" t="s">
        <v>38824</v>
      </c>
      <c r="D3595" t="s">
        <v>38825</v>
      </c>
      <c r="E3595">
        <f>-816.243200117695 -2.28615159869582 -306.305315516578</f>
        <v>-1124.8346672329687</v>
      </c>
      <c r="F3595">
        <f>-823.418575778305 -5.3725918476739 -395.059082645504</f>
        <v>-1223.850250271483</v>
      </c>
      <c r="G3595">
        <f>-828.703382606793 -6.80471653992572 -483.987473517609</f>
        <v>-1319.4955726643277</v>
      </c>
      <c r="H3595">
        <f>-834.06991490834 -7.1140692778597 -608.454082424206</f>
        <v>-1449.6380666104058</v>
      </c>
      <c r="I3595">
        <f>-807.03808635118 -1.88136237185131 -686.856305132865</f>
        <v>-1495.7757538558963</v>
      </c>
      <c r="J3595" t="s">
        <v>38826</v>
      </c>
      <c r="K3595" t="s">
        <v>38827</v>
      </c>
      <c r="L3595" t="s">
        <v>38828</v>
      </c>
      <c r="M3595" t="s">
        <v>38829</v>
      </c>
      <c r="N3595">
        <f>-823.481760845163 -33.4359090628304 -553.971414888657</f>
        <v>-1410.8890847966504</v>
      </c>
      <c r="O3595">
        <f>-783.305477442599 -161.888537165687 -525.967580168084</f>
        <v>-1471.1615947763701</v>
      </c>
      <c r="P3595">
        <f>-767.270521279135 -188.69981108528 -233.366654980536</f>
        <v>-1189.336987344951</v>
      </c>
      <c r="Q3595">
        <f>-628.434390324518 -23.1119813358177 -339.931305576182</f>
        <v>-991.47767723651771</v>
      </c>
      <c r="R3595" t="s">
        <v>38830</v>
      </c>
      <c r="S3595" t="s">
        <v>38831</v>
      </c>
      <c r="T3595" t="s">
        <v>38832</v>
      </c>
      <c r="U3595" t="s">
        <v>38833</v>
      </c>
      <c r="V3595">
        <f>-747.655727229678 -75.6077203153606 -92.5694001498662</f>
        <v>-915.83284769490467</v>
      </c>
      <c r="W3595" t="s">
        <v>38834</v>
      </c>
      <c r="X3595" t="s">
        <v>38835</v>
      </c>
      <c r="Y3595" t="s">
        <v>38836</v>
      </c>
    </row>
    <row r="3596" spans="1:25" x14ac:dyDescent="0.3">
      <c r="A3596">
        <v>179750</v>
      </c>
      <c r="B3596" t="s">
        <v>38837</v>
      </c>
      <c r="C3596" t="s">
        <v>38838</v>
      </c>
      <c r="D3596" t="s">
        <v>38839</v>
      </c>
      <c r="E3596">
        <f>-816.485640416589 -2.51446021605602 -306.268300476292</f>
        <v>-1125.268401108937</v>
      </c>
      <c r="F3596">
        <f>-823.744348595561 -5.6413956944441 -395.013768660761</f>
        <v>-1224.3995129507662</v>
      </c>
      <c r="G3596">
        <f>-829.12567082914 -7.12285173062219 -483.935627859781</f>
        <v>-1320.1841504195431</v>
      </c>
      <c r="H3596">
        <f>-834.64111718692 -7.50973987259408 -608.395384892008</f>
        <v>-1450.546241951522</v>
      </c>
      <c r="I3596">
        <f>-807.604470952117 -2.29091000542167 -686.797070629647</f>
        <v>-1496.6924515871856</v>
      </c>
      <c r="J3596" t="s">
        <v>38840</v>
      </c>
      <c r="K3596" t="s">
        <v>38841</v>
      </c>
      <c r="L3596" t="s">
        <v>38842</v>
      </c>
      <c r="M3596" t="s">
        <v>38843</v>
      </c>
      <c r="N3596">
        <f>-823.981108903476 -33.7957083221775 -553.9093838558</f>
        <v>-1411.6862010814534</v>
      </c>
      <c r="O3596">
        <f>-783.803474810626 -162.256386583225 -525.969911461489</f>
        <v>-1472.0297728553401</v>
      </c>
      <c r="P3596">
        <f>-767.6308440082 -189.164070477358 -233.385494220199</f>
        <v>-1190.1804087057571</v>
      </c>
      <c r="Q3596">
        <f>-628.205360854989 -23.9734202738675 -339.79731946062</f>
        <v>-991.97610058947646</v>
      </c>
      <c r="R3596" t="s">
        <v>38844</v>
      </c>
      <c r="S3596" t="s">
        <v>38845</v>
      </c>
      <c r="T3596" t="s">
        <v>38846</v>
      </c>
      <c r="U3596" t="s">
        <v>38847</v>
      </c>
      <c r="V3596">
        <f>-747.748023670266 -75.8266090258645 -92.5784256137496</f>
        <v>-916.15305830988007</v>
      </c>
      <c r="W3596" t="s">
        <v>38848</v>
      </c>
      <c r="X3596" t="s">
        <v>38849</v>
      </c>
      <c r="Y3596" t="s">
        <v>38850</v>
      </c>
    </row>
    <row r="3597" spans="1:25" x14ac:dyDescent="0.3">
      <c r="A3597">
        <v>179800</v>
      </c>
      <c r="B3597" t="s">
        <v>38851</v>
      </c>
      <c r="C3597" t="s">
        <v>38852</v>
      </c>
      <c r="D3597" t="s">
        <v>38853</v>
      </c>
      <c r="E3597">
        <f>-816.624903820621 -2.5365603936641 -306.264483108614</f>
        <v>-1125.425947322899</v>
      </c>
      <c r="F3597">
        <f>-823.923495365945 -5.66902183364505 -395.00671223223</f>
        <v>-1224.59922943182</v>
      </c>
      <c r="G3597">
        <f>-829.346486357072 -7.15574019309906 -483.92588732619</f>
        <v>-1320.4281138763611</v>
      </c>
      <c r="H3597">
        <f>-834.922327841848 -7.54961863711173 -608.382996810756</f>
        <v>-1450.8549432897157</v>
      </c>
      <c r="I3597">
        <f>-807.870497770571 -2.31527829374113 -686.778260884709</f>
        <v>-1496.9640369490212</v>
      </c>
      <c r="J3597" t="s">
        <v>38854</v>
      </c>
      <c r="K3597" t="s">
        <v>38855</v>
      </c>
      <c r="L3597" t="s">
        <v>38856</v>
      </c>
      <c r="M3597" t="s">
        <v>38857</v>
      </c>
      <c r="N3597">
        <f>-824.228144382596 -33.8300963060158 -553.901011967497</f>
        <v>-1411.9592526561087</v>
      </c>
      <c r="O3597">
        <f>-783.969490117307 -162.28134877333 -526.005164868094</f>
        <v>-1472.2560037587309</v>
      </c>
      <c r="P3597">
        <f>-767.760495210535 -189.44077214022 -233.446051508895</f>
        <v>-1190.6473188596501</v>
      </c>
      <c r="Q3597">
        <f>-628.535281585854 -23.7581884731967 -339.354125671162</f>
        <v>-991.64759573021274</v>
      </c>
      <c r="R3597" t="s">
        <v>38858</v>
      </c>
      <c r="S3597" t="s">
        <v>38859</v>
      </c>
      <c r="T3597" t="s">
        <v>38860</v>
      </c>
      <c r="U3597" t="s">
        <v>38861</v>
      </c>
      <c r="V3597">
        <f>-747.823682179435 -75.8145605166297 -92.5827960122926</f>
        <v>-916.22103870835736</v>
      </c>
      <c r="W3597" t="s">
        <v>38862</v>
      </c>
      <c r="X3597" t="s">
        <v>38863</v>
      </c>
      <c r="Y3597" t="s">
        <v>38864</v>
      </c>
    </row>
    <row r="3598" spans="1:25" x14ac:dyDescent="0.3">
      <c r="A3598">
        <v>179850</v>
      </c>
      <c r="B3598" t="s">
        <v>38865</v>
      </c>
      <c r="C3598" t="s">
        <v>38866</v>
      </c>
      <c r="D3598" t="s">
        <v>38867</v>
      </c>
      <c r="E3598">
        <f>-816.815099054784 -2.40934544954712 -306.261553718907</f>
        <v>-1125.4859982232381</v>
      </c>
      <c r="F3598">
        <f>-824.142252999436 -5.52169024974683 -395.002054081458</f>
        <v>-1224.6659973306409</v>
      </c>
      <c r="G3598">
        <f>-829.595343279758 -6.98192123885724 -483.919846597523</f>
        <v>-1320.4971111161383</v>
      </c>
      <c r="H3598">
        <f>-835.214354371907 -7.33134708902298 -608.375066640989</f>
        <v>-1450.9207681019188</v>
      </c>
      <c r="I3598">
        <f>-808.150826234144 -2.05406648511644 -686.763601603273</f>
        <v>-1496.9684943225334</v>
      </c>
      <c r="J3598" t="s">
        <v>38868</v>
      </c>
      <c r="K3598" t="s">
        <v>38869</v>
      </c>
      <c r="L3598" t="s">
        <v>38870</v>
      </c>
      <c r="M3598" t="s">
        <v>38871</v>
      </c>
      <c r="N3598">
        <f>-824.48857431319 -33.6272931904948 -553.906881626686</f>
        <v>-1412.0227491303708</v>
      </c>
      <c r="O3598">
        <f>-784.127868771084 -162.061934115417 -526.081228164486</f>
        <v>-1472.2710310509869</v>
      </c>
      <c r="P3598">
        <f>-767.986936565282 -189.545065337893 -233.548488450239</f>
        <v>-1191.080490353414</v>
      </c>
      <c r="Q3598">
        <f>-629.001642057723 -23.477870871546 -339.168732182418</f>
        <v>-991.64824511168695</v>
      </c>
      <c r="R3598" t="s">
        <v>38872</v>
      </c>
      <c r="S3598" t="s">
        <v>38873</v>
      </c>
      <c r="T3598" t="s">
        <v>38874</v>
      </c>
      <c r="U3598" t="s">
        <v>38875</v>
      </c>
      <c r="V3598">
        <f>-748.003294690248 -75.6075362191368 -92.5891490577001</f>
        <v>-916.19997996708491</v>
      </c>
      <c r="W3598" t="s">
        <v>38876</v>
      </c>
      <c r="X3598" t="s">
        <v>38877</v>
      </c>
      <c r="Y3598" t="s">
        <v>38878</v>
      </c>
    </row>
    <row r="3599" spans="1:25" x14ac:dyDescent="0.3">
      <c r="A3599">
        <v>179900</v>
      </c>
      <c r="B3599" t="s">
        <v>38879</v>
      </c>
      <c r="C3599" t="s">
        <v>38880</v>
      </c>
      <c r="D3599" t="s">
        <v>38881</v>
      </c>
      <c r="E3599">
        <f>-817.116082273342 -2.39018035949948 -306.271420010035</f>
        <v>-1125.7776826428765</v>
      </c>
      <c r="F3599">
        <f>-824.508373324041 -5.43064533730035 -395.008955442527</f>
        <v>-1224.9479741038683</v>
      </c>
      <c r="G3599">
        <f>-830.036401435259 -6.79255120278935 -483.92359743044</f>
        <v>-1320.7525500684883</v>
      </c>
      <c r="H3599">
        <f>-835.77016576776 -6.97704154725056 -608.374069085684</f>
        <v>-1451.1212764006946</v>
      </c>
      <c r="I3599">
        <f>-808.712077169395 -1.55742309657717 -686.754648091341</f>
        <v>-1497.0241483573132</v>
      </c>
      <c r="J3599" t="s">
        <v>38882</v>
      </c>
      <c r="K3599" t="s">
        <v>38883</v>
      </c>
      <c r="L3599" t="s">
        <v>38884</v>
      </c>
      <c r="M3599" t="s">
        <v>38885</v>
      </c>
      <c r="N3599">
        <f>-824.976093737641 -33.339522065454 -553.951486595562</f>
        <v>-1412.267102398657</v>
      </c>
      <c r="O3599">
        <f>-784.481004344381 -161.758619143089 -526.246247311982</f>
        <v>-1472.485870799452</v>
      </c>
      <c r="P3599">
        <f>-768.064254877904 -189.407663036335 -233.744630904441</f>
        <v>-1191.2165488186799</v>
      </c>
      <c r="Q3599">
        <f>-630.429931773255 -22.4232033467028 -339.68729966844</f>
        <v>-992.54043478839787</v>
      </c>
      <c r="R3599" t="s">
        <v>38886</v>
      </c>
      <c r="S3599" t="s">
        <v>38887</v>
      </c>
      <c r="T3599" t="s">
        <v>38888</v>
      </c>
      <c r="U3599" t="s">
        <v>38889</v>
      </c>
      <c r="V3599">
        <f>-748.191461892888 -75.585844879846 -92.616520109528</f>
        <v>-916.39382688226203</v>
      </c>
      <c r="W3599" t="s">
        <v>38890</v>
      </c>
      <c r="X3599" t="s">
        <v>38891</v>
      </c>
      <c r="Y3599" t="s">
        <v>38892</v>
      </c>
    </row>
    <row r="3600" spans="1:25" x14ac:dyDescent="0.3">
      <c r="A3600">
        <v>179950</v>
      </c>
      <c r="B3600" t="s">
        <v>38893</v>
      </c>
      <c r="C3600" t="s">
        <v>38894</v>
      </c>
      <c r="D3600" t="s">
        <v>38895</v>
      </c>
      <c r="E3600">
        <f>-817.327109537627 -2.31558101589735 -306.283094872226</f>
        <v>-1125.9257854257503</v>
      </c>
      <c r="F3600">
        <f>-824.754621258853 -5.32700536802986 -395.018642379022</f>
        <v>-1225.1002690059049</v>
      </c>
      <c r="G3600">
        <f>-830.32206762529 -6.6522274195811 -483.931580716635</f>
        <v>-1320.905875761506</v>
      </c>
      <c r="H3600">
        <f>-836.115415822671 -6.77740202541918 -608.379219131138</f>
        <v>-1451.2720369792282</v>
      </c>
      <c r="I3600">
        <f>-809.057473678829 -1.29183995589415 -686.755293790642</f>
        <v>-1497.104607425365</v>
      </c>
      <c r="J3600" t="s">
        <v>38896</v>
      </c>
      <c r="K3600" t="s">
        <v>38897</v>
      </c>
      <c r="L3600" t="s">
        <v>38898</v>
      </c>
      <c r="M3600" t="s">
        <v>38899</v>
      </c>
      <c r="N3600">
        <f>-825.285950947749 -33.1628585212818 -553.974784366173</f>
        <v>-1412.423593835204</v>
      </c>
      <c r="O3600">
        <f>-784.740683187939 -161.572906202398 -526.334076108256</f>
        <v>-1472.6476654985931</v>
      </c>
      <c r="P3600">
        <f>-768.115870053324 -189.241129171992 -233.84598172132</f>
        <v>-1191.202980946636</v>
      </c>
      <c r="Q3600">
        <f>-631.074126179645 -21.8713340261759 -339.948649171514</f>
        <v>-992.89410937733487</v>
      </c>
      <c r="R3600" t="s">
        <v>38900</v>
      </c>
      <c r="S3600" t="s">
        <v>38901</v>
      </c>
      <c r="T3600" t="s">
        <v>38902</v>
      </c>
      <c r="U3600" t="s">
        <v>38903</v>
      </c>
      <c r="V3600">
        <f>-748.412321757888 -75.4968975723066 -92.6380372450323</f>
        <v>-916.54725657522681</v>
      </c>
      <c r="W3600" t="s">
        <v>38904</v>
      </c>
      <c r="X3600" t="s">
        <v>38905</v>
      </c>
      <c r="Y3600" t="s">
        <v>38906</v>
      </c>
    </row>
    <row r="3601" spans="1:25" x14ac:dyDescent="0.3">
      <c r="A3601">
        <v>180000</v>
      </c>
      <c r="B3601" t="s">
        <v>38907</v>
      </c>
      <c r="C3601" t="s">
        <v>38908</v>
      </c>
      <c r="D3601" t="s">
        <v>38909</v>
      </c>
      <c r="E3601">
        <f>-817.715809129524 -2.17417432595403 -306.280662207137</f>
        <v>-1126.170645662615</v>
      </c>
      <c r="F3601">
        <f>-825.181429594015 -5.12099283580915 -395.015355640724</f>
        <v>-1225.3177780705482</v>
      </c>
      <c r="G3601">
        <f>-830.793407000211 -6.36815219811001 -483.926444375069</f>
        <v>-1321.0880035733901</v>
      </c>
      <c r="H3601">
        <f>-836.655935731892 -6.36897582580036 -608.371035697235</f>
        <v>-1451.3959472549273</v>
      </c>
      <c r="I3601">
        <f>-809.579785198662 -0.770668282177439 -686.732782700824</f>
        <v>-1497.0832361816633</v>
      </c>
      <c r="J3601" t="s">
        <v>38910</v>
      </c>
      <c r="K3601" t="s">
        <v>38911</v>
      </c>
      <c r="L3601" t="s">
        <v>38912</v>
      </c>
      <c r="M3601" t="s">
        <v>38913</v>
      </c>
      <c r="N3601">
        <f>-825.775718792606 -32.8023794682535 -553.999948390161</f>
        <v>-1412.5780466510205</v>
      </c>
      <c r="O3601">
        <f>-785.155442377915 -161.226933680635 -526.507024744485</f>
        <v>-1472.8894008030352</v>
      </c>
      <c r="P3601">
        <f>-768.04530212678 -189.406435422723 -234.09573869317</f>
        <v>-1191.5474762426729</v>
      </c>
      <c r="Q3601">
        <f>-632.28311859782 -20.9805554081095 -340.17214562529</f>
        <v>-993.43581963121949</v>
      </c>
      <c r="R3601" t="s">
        <v>38914</v>
      </c>
      <c r="S3601" t="s">
        <v>38915</v>
      </c>
      <c r="T3601" t="s">
        <v>38916</v>
      </c>
      <c r="U3601" t="s">
        <v>38917</v>
      </c>
      <c r="V3601">
        <f>-748.809788239673 -75.4160070284458 -92.6519037219078</f>
        <v>-916.87769899002672</v>
      </c>
      <c r="W3601" t="s">
        <v>38918</v>
      </c>
      <c r="X3601" t="s">
        <v>38919</v>
      </c>
      <c r="Y3601" t="s">
        <v>38920</v>
      </c>
    </row>
    <row r="3602" spans="1:25" x14ac:dyDescent="0.3">
      <c r="A3602">
        <v>180050</v>
      </c>
      <c r="B3602" t="s">
        <v>38921</v>
      </c>
      <c r="C3602" t="s">
        <v>38922</v>
      </c>
      <c r="D3602" t="s">
        <v>38923</v>
      </c>
      <c r="E3602">
        <f>-817.899466554876 -2.02748230977795 -306.285156706738</f>
        <v>-1126.2121055713919</v>
      </c>
      <c r="F3602">
        <f>-825.367484086467 -4.94557415074132 -395.020589843406</f>
        <v>-1225.3336480806142</v>
      </c>
      <c r="G3602">
        <f>-830.983767940135 -6.15956030663187 -483.931849206347</f>
        <v>-1321.0751774531138</v>
      </c>
      <c r="H3602">
        <f>-836.85372426509 -6.10967452606565 -608.376074925815</f>
        <v>-1451.3394737169706</v>
      </c>
      <c r="I3602">
        <f>-809.760050801242 -0.473980811254705 -686.729083685648</f>
        <v>-1496.9631152981447</v>
      </c>
      <c r="J3602" t="s">
        <v>38924</v>
      </c>
      <c r="K3602" t="s">
        <v>38925</v>
      </c>
      <c r="L3602" t="s">
        <v>38926</v>
      </c>
      <c r="M3602" t="s">
        <v>38927</v>
      </c>
      <c r="N3602">
        <f>-825.966374516 -32.5640194504658 -554.016577206307</f>
        <v>-1412.5469711727728</v>
      </c>
      <c r="O3602">
        <f>-785.340503891347 -160.992554031348 -526.59302858374</f>
        <v>-1472.9260865064348</v>
      </c>
      <c r="P3602">
        <f>-768.179829602186 -189.364612083516 -234.203366005443</f>
        <v>-1191.747807691145</v>
      </c>
      <c r="Q3602">
        <f>-632.40108199252 -20.8834264384304 -340.170761367793</f>
        <v>-993.4552697987433</v>
      </c>
      <c r="R3602" t="s">
        <v>38928</v>
      </c>
      <c r="S3602" t="s">
        <v>38929</v>
      </c>
      <c r="T3602" t="s">
        <v>38930</v>
      </c>
      <c r="U3602" t="s">
        <v>38931</v>
      </c>
      <c r="V3602">
        <f>-749.038200668126 -75.2713141759275 -92.6671258637901</f>
        <v>-916.97664070784367</v>
      </c>
      <c r="W3602" t="s">
        <v>38932</v>
      </c>
      <c r="X3602" t="s">
        <v>38933</v>
      </c>
      <c r="Y3602" t="s">
        <v>38934</v>
      </c>
    </row>
    <row r="3603" spans="1:25" x14ac:dyDescent="0.3">
      <c r="A3603">
        <v>180100</v>
      </c>
      <c r="B3603" t="s">
        <v>38935</v>
      </c>
      <c r="C3603" t="s">
        <v>38936</v>
      </c>
      <c r="D3603" t="s">
        <v>38937</v>
      </c>
      <c r="E3603">
        <f>-818.130617642661 -1.85444371304243 -306.301952584522</f>
        <v>-1126.2870139402255</v>
      </c>
      <c r="F3603">
        <f>-825.590102366815 -4.72255570091511 -395.039637084116</f>
        <v>-1225.3522951518462</v>
      </c>
      <c r="G3603">
        <f>-831.198516467574 -5.8783438278349 -483.952225634594</f>
        <v>-1321.029085930003</v>
      </c>
      <c r="H3603">
        <f>-837.058174475348 -5.7382830330755 -608.396813313055</f>
        <v>-1451.1932708214786</v>
      </c>
      <c r="I3603">
        <f>-809.894797907716 -0.0427238477111587 -686.721463294462</f>
        <v>-1496.658985049889</v>
      </c>
      <c r="J3603" t="s">
        <v>38938</v>
      </c>
      <c r="K3603" t="s">
        <v>38939</v>
      </c>
      <c r="L3603" t="s">
        <v>38940</v>
      </c>
      <c r="M3603" t="s">
        <v>38941</v>
      </c>
      <c r="N3603">
        <f>-826.177551799007 -32.2326543252864 -554.055652386399</f>
        <v>-1412.4658585106922</v>
      </c>
      <c r="O3603">
        <f>-785.545217896828 -160.676538608747 -526.676917553147</f>
        <v>-1472.898674058722</v>
      </c>
      <c r="P3603">
        <f>-768.344768929175 -189.247732437359 -234.308952775668</f>
        <v>-1191.9014541422021</v>
      </c>
      <c r="Q3603">
        <f>-632.604405116411 -20.9541064264345 -340.622798630756</f>
        <v>-994.18131017360156</v>
      </c>
      <c r="R3603" t="s">
        <v>38942</v>
      </c>
      <c r="S3603" t="s">
        <v>38943</v>
      </c>
      <c r="T3603" t="s">
        <v>38944</v>
      </c>
      <c r="U3603" t="s">
        <v>38945</v>
      </c>
      <c r="V3603">
        <f>-749.329109217774 -75.1543522533394 -92.7023351397612</f>
        <v>-917.1857966108746</v>
      </c>
      <c r="W3603" t="s">
        <v>38946</v>
      </c>
      <c r="X3603" t="s">
        <v>38947</v>
      </c>
      <c r="Y3603" t="s">
        <v>38948</v>
      </c>
    </row>
    <row r="3604" spans="1:25" x14ac:dyDescent="0.3">
      <c r="A3604">
        <v>180150</v>
      </c>
      <c r="B3604" t="s">
        <v>38949</v>
      </c>
      <c r="C3604" t="s">
        <v>38950</v>
      </c>
      <c r="D3604" t="s">
        <v>38951</v>
      </c>
      <c r="E3604">
        <f>-818.144625465791 -1.85742993179065 -306.309698535068</f>
        <v>-1126.3117539326497</v>
      </c>
      <c r="F3604">
        <f>-825.562893878677 -4.70674712885875 -395.051359136798</f>
        <v>-1225.3210001443338</v>
      </c>
      <c r="G3604">
        <f>-831.11804021746 -5.84334693120923 -483.967621417055</f>
        <v>-1320.9290085657242</v>
      </c>
      <c r="H3604">
        <f>-836.890585766224 -5.67692205363574 -608.416263169751</f>
        <v>-1450.9837709896108</v>
      </c>
      <c r="I3604" t="s">
        <v>38952</v>
      </c>
      <c r="J3604" t="s">
        <v>38953</v>
      </c>
      <c r="K3604" t="s">
        <v>38954</v>
      </c>
      <c r="L3604" t="s">
        <v>38955</v>
      </c>
      <c r="M3604" t="s">
        <v>38956</v>
      </c>
      <c r="N3604">
        <f>-826.047741732392 -32.1827496201049 -554.07301376608</f>
        <v>-1412.3035051185768</v>
      </c>
      <c r="O3604">
        <f>-785.442383733706 -160.625344348529 -526.687258750812</f>
        <v>-1472.754986833047</v>
      </c>
      <c r="P3604">
        <f>-768.383280688981 -189.158365834478 -234.30722291097</f>
        <v>-1191.8488694344289</v>
      </c>
      <c r="Q3604">
        <f>-632.375977400459 -21.1141591190424 -340.674646055197</f>
        <v>-994.16478257469839</v>
      </c>
      <c r="R3604" t="s">
        <v>38957</v>
      </c>
      <c r="S3604" t="s">
        <v>38958</v>
      </c>
      <c r="T3604" t="s">
        <v>38959</v>
      </c>
      <c r="U3604" t="s">
        <v>38960</v>
      </c>
      <c r="V3604">
        <f>-749.379810373838 -75.2324514044069 -92.7131354103446</f>
        <v>-917.32539718858959</v>
      </c>
      <c r="W3604" t="s">
        <v>38961</v>
      </c>
      <c r="X3604" t="s">
        <v>38962</v>
      </c>
      <c r="Y3604" t="s">
        <v>38963</v>
      </c>
    </row>
    <row r="3605" spans="1:25" x14ac:dyDescent="0.3">
      <c r="A3605">
        <v>180200</v>
      </c>
      <c r="B3605" t="s">
        <v>38964</v>
      </c>
      <c r="C3605" t="s">
        <v>38965</v>
      </c>
      <c r="D3605" t="s">
        <v>38966</v>
      </c>
      <c r="E3605">
        <f>-818.186157827318 -1.67789186258051 -306.320816349552</f>
        <v>-1126.1848660394505</v>
      </c>
      <c r="F3605">
        <f>-825.496511098918 -4.48795633378381 -395.072826352871</f>
        <v>-1225.0572937855727</v>
      </c>
      <c r="G3605">
        <f>-830.910202022206 -5.58712013140962 -483.998244222867</f>
        <v>-1320.4955663764827</v>
      </c>
      <c r="H3605">
        <f>-836.450026258069 -5.37119237968227 -608.457325940099</f>
        <v>-1450.2785445778504</v>
      </c>
      <c r="I3605" t="s">
        <v>38967</v>
      </c>
      <c r="J3605" t="s">
        <v>38968</v>
      </c>
      <c r="K3605" t="s">
        <v>38969</v>
      </c>
      <c r="L3605" t="s">
        <v>38970</v>
      </c>
      <c r="M3605" t="s">
        <v>38971</v>
      </c>
      <c r="N3605">
        <f>-825.706518298397 -31.8978876493106 -554.104475727697</f>
        <v>-1411.7088816754047</v>
      </c>
      <c r="O3605">
        <f>-785.06870991552 -160.328954353205 -526.661000352904</f>
        <v>-1472.0586646216291</v>
      </c>
      <c r="P3605">
        <f>-768.337531045119 -188.995921311013 -234.27515534935</f>
        <v>-1191.608607705482</v>
      </c>
      <c r="Q3605">
        <f>-632.239160205035 -21.0630492296716 -340.702056195254</f>
        <v>-994.00426562996063</v>
      </c>
      <c r="R3605" t="s">
        <v>38972</v>
      </c>
      <c r="S3605" t="s">
        <v>38973</v>
      </c>
      <c r="T3605" t="s">
        <v>38974</v>
      </c>
      <c r="U3605" t="s">
        <v>38975</v>
      </c>
      <c r="V3605">
        <f>-749.592276483791 -75.061036310472 -92.7345154419614</f>
        <v>-917.38782823622444</v>
      </c>
      <c r="W3605" t="s">
        <v>38976</v>
      </c>
      <c r="X3605" t="s">
        <v>38977</v>
      </c>
      <c r="Y3605" t="s">
        <v>38978</v>
      </c>
    </row>
    <row r="3606" spans="1:25" x14ac:dyDescent="0.3">
      <c r="A3606">
        <v>180250</v>
      </c>
      <c r="B3606" t="s">
        <v>38979</v>
      </c>
      <c r="C3606" t="s">
        <v>38980</v>
      </c>
      <c r="D3606" t="s">
        <v>38981</v>
      </c>
      <c r="E3606">
        <f>-818.211973422496 -1.62305802328933 -306.315754751535</f>
        <v>-1126.1507861973205</v>
      </c>
      <c r="F3606">
        <f>-825.479470115715 -4.4114303784836 -395.071868902093</f>
        <v>-1224.9627693962916</v>
      </c>
      <c r="G3606">
        <f>-830.839353633189 -5.48909120991789 -484.000791501554</f>
        <v>-1320.3292363446608</v>
      </c>
      <c r="H3606">
        <f>-836.292408728651 -5.24275873609031 -608.463769575223</f>
        <v>-1449.9989370399644</v>
      </c>
      <c r="I3606" t="s">
        <v>38982</v>
      </c>
      <c r="J3606" t="s">
        <v>38983</v>
      </c>
      <c r="K3606" t="s">
        <v>38984</v>
      </c>
      <c r="L3606" t="s">
        <v>38985</v>
      </c>
      <c r="M3606" t="s">
        <v>38986</v>
      </c>
      <c r="N3606">
        <f>-825.576625280678 -31.7795472468324 -554.110315107143</f>
        <v>-1411.4664876346533</v>
      </c>
      <c r="O3606">
        <f>-784.936276359341 -160.199260353797 -526.66512859172</f>
        <v>-1471.8006653048578</v>
      </c>
      <c r="P3606">
        <f>-768.44303261783 -188.724381683308 -234.25195097642</f>
        <v>-1191.419365277558</v>
      </c>
      <c r="Q3606">
        <f>-631.972067532893 -21.0144643406811 -340.553006546248</f>
        <v>-993.53953841982207</v>
      </c>
      <c r="R3606" t="s">
        <v>38987</v>
      </c>
      <c r="S3606" t="s">
        <v>38988</v>
      </c>
      <c r="T3606" t="s">
        <v>38989</v>
      </c>
      <c r="U3606" t="s">
        <v>38990</v>
      </c>
      <c r="V3606">
        <f>-749.714397409899 -75.0310728773554 -92.735989135062</f>
        <v>-917.48145942231645</v>
      </c>
      <c r="W3606" t="s">
        <v>38991</v>
      </c>
      <c r="X3606" t="s">
        <v>38992</v>
      </c>
      <c r="Y3606" t="s">
        <v>38993</v>
      </c>
    </row>
    <row r="3607" spans="1:25" x14ac:dyDescent="0.3">
      <c r="A3607">
        <v>180300</v>
      </c>
      <c r="B3607" t="s">
        <v>38994</v>
      </c>
      <c r="C3607" t="s">
        <v>38995</v>
      </c>
      <c r="D3607" t="s">
        <v>38996</v>
      </c>
      <c r="E3607">
        <f>-818.284669187018 -1.54044182275493 -306.304235120768</f>
        <v>-1126.1293461305409</v>
      </c>
      <c r="F3607">
        <f>-825.453726088085 -4.27556600549406 -395.069976153509</f>
        <v>-1224.7992682470881</v>
      </c>
      <c r="G3607">
        <f>-830.690463314588 -5.29502595224631 -484.00694404378</f>
        <v>-1319.9924333106142</v>
      </c>
      <c r="H3607">
        <f>-835.945502856688 -4.9630685817383 -608.478076296447</f>
        <v>-1449.3866477348733</v>
      </c>
      <c r="I3607" t="s">
        <v>38997</v>
      </c>
      <c r="J3607" t="s">
        <v>38998</v>
      </c>
      <c r="K3607" t="s">
        <v>38999</v>
      </c>
      <c r="L3607" t="s">
        <v>39000</v>
      </c>
      <c r="M3607" t="s">
        <v>39001</v>
      </c>
      <c r="N3607">
        <f>-825.300243309322 -31.5323031705491 -554.126741439037</f>
        <v>-1410.9592879189081</v>
      </c>
      <c r="O3607">
        <f>-784.642978520371 -159.956676358835 -526.68435368512</f>
        <v>-1471.2840085643261</v>
      </c>
      <c r="P3607">
        <f>-768.345604871112 -188.761653338259 -234.287556554173</f>
        <v>-1191.394814763544</v>
      </c>
      <c r="Q3607">
        <f>-631.604903896309 -20.9759271484509 -340.121304426473</f>
        <v>-992.70213547123285</v>
      </c>
      <c r="R3607" t="s">
        <v>39002</v>
      </c>
      <c r="S3607" t="s">
        <v>39003</v>
      </c>
      <c r="T3607" t="s">
        <v>39004</v>
      </c>
      <c r="U3607" t="s">
        <v>39005</v>
      </c>
      <c r="V3607">
        <f>-749.938313253235 -75.0324526628581 -92.738333403472</f>
        <v>-917.7090993195651</v>
      </c>
      <c r="W3607" t="s">
        <v>39006</v>
      </c>
      <c r="X3607" t="s">
        <v>39007</v>
      </c>
      <c r="Y3607" t="s">
        <v>39008</v>
      </c>
    </row>
    <row r="3608" spans="1:25" x14ac:dyDescent="0.3">
      <c r="A3608">
        <v>180350</v>
      </c>
      <c r="B3608" t="s">
        <v>39009</v>
      </c>
      <c r="C3608" t="s">
        <v>39010</v>
      </c>
      <c r="D3608" t="s">
        <v>39011</v>
      </c>
      <c r="E3608">
        <f>-818.309892355262 -1.49276985581173 -306.311604045877</f>
        <v>-1126.1142662569507</v>
      </c>
      <c r="F3608">
        <f>-825.406830748485 -4.18202924062962 -395.084405811491</f>
        <v>-1224.6732658006058</v>
      </c>
      <c r="G3608">
        <f>-830.553761751868 -5.14664122799013 -484.027194706358</f>
        <v>-1319.7275976862161</v>
      </c>
      <c r="H3608">
        <f>-835.664455469117 -4.72873509900114 -608.504247147342</f>
        <v>-1448.89743771546</v>
      </c>
      <c r="I3608" t="s">
        <v>39012</v>
      </c>
      <c r="J3608" t="s">
        <v>39013</v>
      </c>
      <c r="K3608" t="s">
        <v>39014</v>
      </c>
      <c r="L3608" t="s">
        <v>39015</v>
      </c>
      <c r="M3608" t="s">
        <v>39016</v>
      </c>
      <c r="N3608">
        <f>-825.071820438354 -31.3321993746558 -554.159279242402</f>
        <v>-1410.5632990554118</v>
      </c>
      <c r="O3608">
        <f>-784.400159295465 -159.755564826608 -526.746376068525</f>
        <v>-1470.902100190598</v>
      </c>
      <c r="P3608">
        <f>-768.305745420699 -188.771333973582 -234.359089364078</f>
        <v>-1191.4361687583591</v>
      </c>
      <c r="Q3608">
        <f>-631.607474418605 -20.7943522451001 -339.944208229157</f>
        <v>-992.34603489286201</v>
      </c>
      <c r="R3608" t="s">
        <v>39017</v>
      </c>
      <c r="S3608" t="s">
        <v>39018</v>
      </c>
      <c r="T3608" t="s">
        <v>39019</v>
      </c>
      <c r="U3608" t="s">
        <v>39020</v>
      </c>
      <c r="V3608">
        <f>-750.055016007119 -75.0395659498205 -92.7459334412769</f>
        <v>-917.84051539821633</v>
      </c>
      <c r="W3608" t="s">
        <v>39021</v>
      </c>
      <c r="X3608" t="s">
        <v>39022</v>
      </c>
      <c r="Y3608" t="s">
        <v>39023</v>
      </c>
    </row>
    <row r="3609" spans="1:25" x14ac:dyDescent="0.3">
      <c r="A3609">
        <v>180400</v>
      </c>
      <c r="B3609" t="s">
        <v>39024</v>
      </c>
      <c r="C3609" t="s">
        <v>39025</v>
      </c>
      <c r="D3609" t="s">
        <v>39026</v>
      </c>
      <c r="E3609">
        <f>-818.399609765973 -1.48588898458183 -306.332828943822</f>
        <v>-1126.2183276943767</v>
      </c>
      <c r="F3609">
        <f>-825.384724699627 -4.12937784870655 -395.116153609955</f>
        <v>-1224.6302561582886</v>
      </c>
      <c r="G3609">
        <f>-830.398235407872 -5.04147574299964 -484.066963605358</f>
        <v>-1319.5066747562296</v>
      </c>
      <c r="H3609">
        <f>-835.300009508695 -4.54278635372793 -608.552066501834</f>
        <v>-1448.3948623642568</v>
      </c>
      <c r="I3609" t="s">
        <v>39027</v>
      </c>
      <c r="J3609" t="s">
        <v>39028</v>
      </c>
      <c r="K3609" t="s">
        <v>39029</v>
      </c>
      <c r="L3609" t="s">
        <v>39030</v>
      </c>
      <c r="M3609" t="s">
        <v>39031</v>
      </c>
      <c r="N3609">
        <f>-824.778624294246 -31.1749780445648 -554.207573086811</f>
        <v>-1410.1611754256219</v>
      </c>
      <c r="O3609">
        <f>-784.086675755088 -159.592574961316 -526.829608170883</f>
        <v>-1470.508858887287</v>
      </c>
      <c r="P3609">
        <f>-768.302372316163 -188.729031006343 -234.437580611122</f>
        <v>-1191.4689839336279</v>
      </c>
      <c r="Q3609">
        <f>-631.218393897794 -20.803957773272 -339.604343444603</f>
        <v>-991.62669511566901</v>
      </c>
      <c r="R3609" t="s">
        <v>39032</v>
      </c>
      <c r="S3609" t="s">
        <v>39033</v>
      </c>
      <c r="T3609" t="s">
        <v>39034</v>
      </c>
      <c r="U3609" t="s">
        <v>39035</v>
      </c>
      <c r="V3609">
        <f>-750.298123908653 -75.0510617716807 -92.7446721513164</f>
        <v>-918.0938578316501</v>
      </c>
      <c r="W3609" t="s">
        <v>39036</v>
      </c>
      <c r="X3609" t="s">
        <v>39037</v>
      </c>
      <c r="Y3609" t="s">
        <v>39038</v>
      </c>
    </row>
    <row r="3610" spans="1:25" x14ac:dyDescent="0.3">
      <c r="A3610">
        <v>180450</v>
      </c>
      <c r="B3610" t="s">
        <v>39039</v>
      </c>
      <c r="C3610" t="s">
        <v>39040</v>
      </c>
      <c r="D3610" t="s">
        <v>39041</v>
      </c>
      <c r="E3610">
        <f>-818.498586869501 -1.47486786644367 -306.327318046215</f>
        <v>-1126.3007727821596</v>
      </c>
      <c r="F3610">
        <f>-825.442961617723 -4.10918888932156 -395.114122800063</f>
        <v>-1224.6662733071075</v>
      </c>
      <c r="G3610">
        <f>-830.406743560953 -5.00934354804986 -484.067939451827</f>
        <v>-1319.48402656083</v>
      </c>
      <c r="H3610">
        <f>-835.229152902794 -4.49193515965271 -608.556028159526</f>
        <v>-1448.2771162219728</v>
      </c>
      <c r="I3610" t="s">
        <v>39042</v>
      </c>
      <c r="J3610" t="s">
        <v>39043</v>
      </c>
      <c r="K3610" t="s">
        <v>39044</v>
      </c>
      <c r="L3610" t="s">
        <v>39045</v>
      </c>
      <c r="M3610" t="s">
        <v>39046</v>
      </c>
      <c r="N3610">
        <f>-824.736455816835 -31.1306127258429 -554.209029982883</f>
        <v>-1410.0760985255608</v>
      </c>
      <c r="O3610">
        <f>-784.025500817751 -159.542613034105 -526.805596876182</f>
        <v>-1470.3737107280381</v>
      </c>
      <c r="P3610">
        <f>-768.289681619048 -188.693093349951 -234.412265880405</f>
        <v>-1191.395040849404</v>
      </c>
      <c r="Q3610">
        <f>-631.034770983083 -20.8488402816943 -339.484794858993</f>
        <v>-991.36840612377023</v>
      </c>
      <c r="R3610" t="s">
        <v>39047</v>
      </c>
      <c r="S3610" t="s">
        <v>39048</v>
      </c>
      <c r="T3610" t="s">
        <v>39049</v>
      </c>
      <c r="U3610" t="s">
        <v>39050</v>
      </c>
      <c r="V3610">
        <f>-750.488234228904 -74.9688307694562 -92.7457180895044</f>
        <v>-918.20278308786465</v>
      </c>
      <c r="W3610" t="s">
        <v>39051</v>
      </c>
      <c r="X3610" t="s">
        <v>39052</v>
      </c>
      <c r="Y3610" t="s">
        <v>39053</v>
      </c>
    </row>
    <row r="3611" spans="1:25" x14ac:dyDescent="0.3">
      <c r="A3611">
        <v>180500</v>
      </c>
      <c r="B3611" t="s">
        <v>39054</v>
      </c>
      <c r="C3611" t="s">
        <v>39055</v>
      </c>
      <c r="D3611" t="s">
        <v>39056</v>
      </c>
      <c r="E3611">
        <f>-818.703080553058 -1.55037010237652 -306.319673346412</f>
        <v>-1126.5731240018465</v>
      </c>
      <c r="F3611">
        <f>-825.591277773742 -4.17778956671191 -395.110931006657</f>
        <v>-1224.8799983471108</v>
      </c>
      <c r="G3611">
        <f>-830.480368643032 -5.07113830349158 -484.06898987122</f>
        <v>-1319.6204968177435</v>
      </c>
      <c r="H3611">
        <f>-835.179434672602 -4.54442497207287 -608.561860016586</f>
        <v>-1448.2857196612608</v>
      </c>
      <c r="I3611" t="s">
        <v>39057</v>
      </c>
      <c r="J3611" t="s">
        <v>39058</v>
      </c>
      <c r="K3611" t="s">
        <v>39059</v>
      </c>
      <c r="L3611" t="s">
        <v>39060</v>
      </c>
      <c r="M3611" t="s">
        <v>39061</v>
      </c>
      <c r="N3611">
        <f>-824.72578786217 -31.1824195757974 -554.206916216531</f>
        <v>-1410.1151236544983</v>
      </c>
      <c r="O3611">
        <f>-783.969501297023 -159.567676170875 -526.752815538386</f>
        <v>-1470.289993006284</v>
      </c>
      <c r="P3611">
        <f>-768.33200005436 -188.567735464798 -234.339316925042</f>
        <v>-1191.2390524442001</v>
      </c>
      <c r="Q3611">
        <f>-631.036560467501 -20.7400680232111 -339.385610795467</f>
        <v>-991.1622392861791</v>
      </c>
      <c r="R3611" t="s">
        <v>39062</v>
      </c>
      <c r="S3611" t="s">
        <v>39063</v>
      </c>
      <c r="T3611" t="s">
        <v>39064</v>
      </c>
      <c r="U3611" t="s">
        <v>39065</v>
      </c>
      <c r="V3611">
        <f>-750.772809350203 -74.981890237447 -92.7451078302984</f>
        <v>-918.49980741794843</v>
      </c>
      <c r="W3611" t="s">
        <v>39066</v>
      </c>
      <c r="X3611" t="s">
        <v>39067</v>
      </c>
      <c r="Y3611" t="s">
        <v>39068</v>
      </c>
    </row>
    <row r="3612" spans="1:25" x14ac:dyDescent="0.3">
      <c r="A3612">
        <v>180550</v>
      </c>
      <c r="B3612" t="s">
        <v>39069</v>
      </c>
      <c r="C3612" t="s">
        <v>39070</v>
      </c>
      <c r="D3612" t="s">
        <v>39071</v>
      </c>
      <c r="E3612">
        <f>-818.819616696896 -1.57268790517446 -306.317377899798</f>
        <v>-1126.7096825018684</v>
      </c>
      <c r="F3612">
        <f>-825.692612292094 -4.20847181255135 -395.109451272649</f>
        <v>-1225.0105353772944</v>
      </c>
      <c r="G3612">
        <f>-830.557421102989 -5.11354169271181 -484.068805560513</f>
        <v>-1319.7397683562137</v>
      </c>
      <c r="H3612">
        <f>-835.212767189465 -4.60661512271327 -608.56333125637</f>
        <v>-1448.3827135685483</v>
      </c>
      <c r="I3612" t="s">
        <v>39072</v>
      </c>
      <c r="J3612" t="s">
        <v>39073</v>
      </c>
      <c r="K3612" t="s">
        <v>39074</v>
      </c>
      <c r="L3612" t="s">
        <v>39075</v>
      </c>
      <c r="M3612" t="s">
        <v>39076</v>
      </c>
      <c r="N3612">
        <f>-824.777921009719 -31.2357595775779 -554.200615697793</f>
        <v>-1410.2142962850899</v>
      </c>
      <c r="O3612">
        <f>-784.020557821267 -159.61109002169 -526.710262792264</f>
        <v>-1470.3419106352208</v>
      </c>
      <c r="P3612">
        <f>-768.387407584721 -188.609590590936 -234.296283652412</f>
        <v>-1191.293281828069</v>
      </c>
      <c r="Q3612">
        <f>-631.185534294603 -20.7268142710277 -339.376941217992</f>
        <v>-991.28928978362273</v>
      </c>
      <c r="R3612" t="s">
        <v>39077</v>
      </c>
      <c r="S3612" t="s">
        <v>39078</v>
      </c>
      <c r="T3612" t="s">
        <v>39079</v>
      </c>
      <c r="U3612" t="s">
        <v>39080</v>
      </c>
      <c r="V3612">
        <f>-750.872721453246 -75.0264400852243 -92.7476766913809</f>
        <v>-918.64683822985114</v>
      </c>
      <c r="W3612" t="s">
        <v>39081</v>
      </c>
      <c r="X3612" t="s">
        <v>39082</v>
      </c>
      <c r="Y3612" t="s">
        <v>39083</v>
      </c>
    </row>
    <row r="3613" spans="1:25" x14ac:dyDescent="0.3">
      <c r="A3613">
        <v>180600</v>
      </c>
      <c r="B3613" t="s">
        <v>39084</v>
      </c>
      <c r="C3613" t="s">
        <v>39085</v>
      </c>
      <c r="D3613" t="s">
        <v>39086</v>
      </c>
      <c r="E3613">
        <f>-819.084350147553 -1.45715307887804 -306.285289873366</f>
        <v>-1126.826793099797</v>
      </c>
      <c r="F3613">
        <f>-825.935687405548 -4.10095141058378 -395.078901841705</f>
        <v>-1225.1155406578368</v>
      </c>
      <c r="G3613">
        <f>-830.764607930368 -5.01369692211779 -484.040055863118</f>
        <v>-1319.8183607156038</v>
      </c>
      <c r="H3613">
        <f>-835.354835602995 -4.51781736523549 -608.537076000476</f>
        <v>-1448.4097289687065</v>
      </c>
      <c r="I3613" t="s">
        <v>39087</v>
      </c>
      <c r="J3613" t="s">
        <v>39088</v>
      </c>
      <c r="K3613" t="s">
        <v>39089</v>
      </c>
      <c r="L3613" t="s">
        <v>39090</v>
      </c>
      <c r="M3613" t="s">
        <v>39091</v>
      </c>
      <c r="N3613">
        <f>-824.946984675612 -31.1417446988978 -554.166580196232</f>
        <v>-1410.2553095707417</v>
      </c>
      <c r="O3613">
        <f>-784.199930093501 -159.513218665468 -526.637229800181</f>
        <v>-1470.3503785591502</v>
      </c>
      <c r="P3613">
        <f>-768.68295877965 -188.430241112975 -234.209084206754</f>
        <v>-1191.322284099379</v>
      </c>
      <c r="Q3613">
        <f>-631.479834680813 -20.6463503617367 -339.445596064548</f>
        <v>-991.57178110709776</v>
      </c>
      <c r="R3613" t="s">
        <v>39092</v>
      </c>
      <c r="S3613" t="s">
        <v>39093</v>
      </c>
      <c r="T3613" t="s">
        <v>39094</v>
      </c>
      <c r="U3613" t="s">
        <v>39095</v>
      </c>
      <c r="V3613">
        <f>-751.15511231254 -74.8339846779694 -92.7344435593492</f>
        <v>-918.72354054985863</v>
      </c>
      <c r="W3613" t="s">
        <v>39096</v>
      </c>
      <c r="X3613" t="s">
        <v>39097</v>
      </c>
      <c r="Y3613" t="s">
        <v>39098</v>
      </c>
    </row>
    <row r="3614" spans="1:25" x14ac:dyDescent="0.3">
      <c r="A3614">
        <v>180650</v>
      </c>
      <c r="B3614" t="s">
        <v>39099</v>
      </c>
      <c r="C3614" t="s">
        <v>39100</v>
      </c>
      <c r="D3614" t="s">
        <v>39101</v>
      </c>
      <c r="E3614">
        <f>-819.206327199639 -1.44282054879727 -306.271969632184</f>
        <v>-1126.9211173806202</v>
      </c>
      <c r="F3614">
        <f>-826.051290794805 -4.09749325738403 -395.065905388042</f>
        <v>-1225.214689440231</v>
      </c>
      <c r="G3614">
        <f>-830.864879053389 -5.02141302960035 -484.027811093123</f>
        <v>-1319.9141031761123</v>
      </c>
      <c r="H3614">
        <f>-835.424365568167 -4.54140232284362 -608.526006733738</f>
        <v>-1448.4917746247486</v>
      </c>
      <c r="I3614" t="s">
        <v>39102</v>
      </c>
      <c r="J3614" t="s">
        <v>39103</v>
      </c>
      <c r="K3614" t="s">
        <v>39104</v>
      </c>
      <c r="L3614" t="s">
        <v>39105</v>
      </c>
      <c r="M3614" t="s">
        <v>39106</v>
      </c>
      <c r="N3614">
        <f>-825.029852671159 -31.1583346325062 -554.149473115146</f>
        <v>-1410.3376604188111</v>
      </c>
      <c r="O3614">
        <f>-784.29170662217 -159.524990570402 -526.578265276372</f>
        <v>-1470.394962468944</v>
      </c>
      <c r="P3614">
        <f>-768.773584357338 -188.335703083917 -234.139681776142</f>
        <v>-1191.248969217397</v>
      </c>
      <c r="Q3614">
        <f>-631.505058069022 -20.6636954630503 -339.469338402203</f>
        <v>-991.63809193427528</v>
      </c>
      <c r="R3614" t="s">
        <v>39107</v>
      </c>
      <c r="S3614" t="s">
        <v>39108</v>
      </c>
      <c r="T3614" t="s">
        <v>39109</v>
      </c>
      <c r="U3614" t="s">
        <v>39110</v>
      </c>
      <c r="V3614">
        <f>-751.245033859575 -74.7757440121216 -92.7215436846917</f>
        <v>-918.74232155638822</v>
      </c>
      <c r="W3614" t="s">
        <v>39111</v>
      </c>
      <c r="X3614" t="s">
        <v>39112</v>
      </c>
      <c r="Y3614" t="s">
        <v>39113</v>
      </c>
    </row>
    <row r="3615" spans="1:25" x14ac:dyDescent="0.3">
      <c r="A3615">
        <v>180700</v>
      </c>
      <c r="B3615" t="s">
        <v>39114</v>
      </c>
      <c r="C3615" t="s">
        <v>39115</v>
      </c>
      <c r="D3615" t="s">
        <v>39116</v>
      </c>
      <c r="E3615">
        <f>-819.532057905643 -1.35281469138499 -306.251300006374</f>
        <v>-1127.136172603402</v>
      </c>
      <c r="F3615">
        <f>-826.37764736725 -4.03541358383791 -395.044043428488</f>
        <v>-1225.4571043795759</v>
      </c>
      <c r="G3615">
        <f>-831.182399469511 -4.98820400402701 -484.006164000337</f>
        <v>-1320.1767674738749</v>
      </c>
      <c r="H3615">
        <f>-835.719712090616 -4.55027729425001 -608.505328900117</f>
        <v>-1448.7753182849829</v>
      </c>
      <c r="I3615" t="s">
        <v>39117</v>
      </c>
      <c r="J3615" t="s">
        <v>39118</v>
      </c>
      <c r="K3615" t="s">
        <v>39119</v>
      </c>
      <c r="L3615" t="s">
        <v>39120</v>
      </c>
      <c r="M3615" t="s">
        <v>39121</v>
      </c>
      <c r="N3615">
        <f>-825.330434974454 -31.1474283100933 -554.118221112255</f>
        <v>-1410.5960843968023</v>
      </c>
      <c r="O3615">
        <f>-784.597568365963 -159.499533160051 -526.467399724121</f>
        <v>-1470.564501250135</v>
      </c>
      <c r="P3615">
        <f>-769.074907575186 -188.087453347879 -234.007289446343</f>
        <v>-1191.1696503694079</v>
      </c>
      <c r="Q3615">
        <f>-631.660006518133 -20.6708067056618 -339.551598771359</f>
        <v>-991.88241199515369</v>
      </c>
      <c r="R3615" t="s">
        <v>39122</v>
      </c>
      <c r="S3615" t="s">
        <v>39123</v>
      </c>
      <c r="T3615" t="s">
        <v>39124</v>
      </c>
      <c r="U3615" t="s">
        <v>39125</v>
      </c>
      <c r="V3615">
        <f>-751.511462400694 -74.5425041354333 -92.7113301284551</f>
        <v>-918.76529666458237</v>
      </c>
      <c r="W3615" t="s">
        <v>39126</v>
      </c>
      <c r="X3615" t="s">
        <v>39127</v>
      </c>
      <c r="Y3615" t="s">
        <v>39128</v>
      </c>
    </row>
    <row r="3616" spans="1:25" x14ac:dyDescent="0.3">
      <c r="A3616">
        <v>180750</v>
      </c>
      <c r="B3616" t="s">
        <v>39129</v>
      </c>
      <c r="C3616" t="s">
        <v>39130</v>
      </c>
      <c r="D3616" t="s">
        <v>39131</v>
      </c>
      <c r="E3616">
        <f>-819.672760521984 -1.42333351576099 -306.245883799541</f>
        <v>-1127.3419778372859</v>
      </c>
      <c r="F3616">
        <f>-826.523122521686 -4.11694020367349 -395.037947370441</f>
        <v>-1225.6780100958003</v>
      </c>
      <c r="G3616">
        <f>-831.328526022981 -5.07826483885083 -483.999959022928</f>
        <v>-1320.4067498847598</v>
      </c>
      <c r="H3616">
        <f>-835.862356552646 -4.64968531298064 -608.499139591386</f>
        <v>-1449.0111814570128</v>
      </c>
      <c r="I3616" t="s">
        <v>39132</v>
      </c>
      <c r="J3616" t="s">
        <v>39133</v>
      </c>
      <c r="K3616" t="s">
        <v>39134</v>
      </c>
      <c r="L3616" t="s">
        <v>39135</v>
      </c>
      <c r="M3616" t="s">
        <v>39136</v>
      </c>
      <c r="N3616">
        <f>-825.465794268765 -31.2399631575638 -554.110132712608</f>
        <v>-1410.8158901389368</v>
      </c>
      <c r="O3616">
        <f>-784.696947881019 -159.575863462402 -526.436527904092</f>
        <v>-1470.7093392475131</v>
      </c>
      <c r="P3616">
        <f>-769.154036915617 -188.123540084041 -233.973464767857</f>
        <v>-1191.2510417675151</v>
      </c>
      <c r="Q3616">
        <f>-631.840924835057 -20.639765893769 -339.544079912974</f>
        <v>-992.02477064179993</v>
      </c>
      <c r="R3616" t="s">
        <v>39137</v>
      </c>
      <c r="S3616" t="s">
        <v>39138</v>
      </c>
      <c r="T3616" t="s">
        <v>39139</v>
      </c>
      <c r="U3616" t="s">
        <v>39140</v>
      </c>
      <c r="V3616">
        <f>-751.594302025329 -74.5931263316045 -92.7095822396383</f>
        <v>-918.8970105965717</v>
      </c>
      <c r="W3616" t="s">
        <v>39141</v>
      </c>
      <c r="X3616" t="s">
        <v>39142</v>
      </c>
      <c r="Y3616" t="s">
        <v>39143</v>
      </c>
    </row>
    <row r="3617" spans="1:25" x14ac:dyDescent="0.3">
      <c r="A3617">
        <v>180800</v>
      </c>
      <c r="B3617" t="s">
        <v>39144</v>
      </c>
      <c r="C3617" t="s">
        <v>39145</v>
      </c>
      <c r="D3617" t="s">
        <v>39146</v>
      </c>
      <c r="E3617">
        <f>-820.121810634505 -1.37488913753373 -306.259965900602</f>
        <v>-1127.7566656726408</v>
      </c>
      <c r="F3617">
        <f>-826.99679299126 -4.09850177124213 -395.049337033388</f>
        <v>-1226.1446317958901</v>
      </c>
      <c r="G3617">
        <f>-831.822195285158 -5.08579405871978 -484.009771588453</f>
        <v>-1320.9177609323308</v>
      </c>
      <c r="H3617">
        <f>-836.379417555941 -4.6892524177108 -608.508452306429</f>
        <v>-1449.5771222800809</v>
      </c>
      <c r="I3617" t="s">
        <v>39147</v>
      </c>
      <c r="J3617" t="s">
        <v>39148</v>
      </c>
      <c r="K3617" t="s">
        <v>39149</v>
      </c>
      <c r="L3617" t="s">
        <v>39150</v>
      </c>
      <c r="M3617" t="s">
        <v>39151</v>
      </c>
      <c r="N3617">
        <f>-825.951637260551 -31.2588737694068 -554.11505365617</f>
        <v>-1411.3255646861278</v>
      </c>
      <c r="O3617">
        <f>-785.075942429384 -159.548493501099 -526.396340114118</f>
        <v>-1471.020776044601</v>
      </c>
      <c r="P3617">
        <f>-769.407652032183 -188.015001617261 -233.93206431661</f>
        <v>-1191.3547179660541</v>
      </c>
      <c r="Q3617">
        <f>-632.321308908031 -20.4664039476154 -339.694393734982</f>
        <v>-992.4821065906284</v>
      </c>
      <c r="R3617" t="s">
        <v>39152</v>
      </c>
      <c r="S3617" t="s">
        <v>39153</v>
      </c>
      <c r="T3617" t="s">
        <v>39154</v>
      </c>
      <c r="U3617" t="s">
        <v>39155</v>
      </c>
      <c r="V3617">
        <f>-751.968578281246 -74.3565012188212 -92.7200579991386</f>
        <v>-919.04513749920579</v>
      </c>
      <c r="W3617" t="s">
        <v>39156</v>
      </c>
      <c r="X3617" t="s">
        <v>39157</v>
      </c>
      <c r="Y3617" t="s">
        <v>39158</v>
      </c>
    </row>
    <row r="3618" spans="1:25" x14ac:dyDescent="0.3">
      <c r="A3618">
        <v>180850</v>
      </c>
      <c r="B3618" t="s">
        <v>39159</v>
      </c>
      <c r="C3618" t="s">
        <v>39160</v>
      </c>
      <c r="D3618" t="s">
        <v>39161</v>
      </c>
      <c r="E3618">
        <f>-820.341969344105 -1.39805732855302 -306.261481915456</f>
        <v>-1128.0015085881141</v>
      </c>
      <c r="F3618">
        <f>-827.234117918151 -4.13754699183278 -395.049010356602</f>
        <v>-1226.4206752665859</v>
      </c>
      <c r="G3618">
        <f>-832.074646952144 -5.14078057936558 -484.008649364703</f>
        <v>-1321.2240768962126</v>
      </c>
      <c r="H3618">
        <f>-836.650709656969 -4.76585050426138 -608.506510708654</f>
        <v>-1449.9230708698842</v>
      </c>
      <c r="I3618" t="s">
        <v>39162</v>
      </c>
      <c r="J3618" t="s">
        <v>39163</v>
      </c>
      <c r="K3618" t="s">
        <v>39164</v>
      </c>
      <c r="L3618" t="s">
        <v>39165</v>
      </c>
      <c r="M3618" t="s">
        <v>39166</v>
      </c>
      <c r="N3618">
        <f>-826.204388139324 -31.3226849093405 -554.110528838652</f>
        <v>-1411.6376018873166</v>
      </c>
      <c r="O3618">
        <f>-785.285255725983 -159.595198573172 -526.36406068867</f>
        <v>-1471.2445149878249</v>
      </c>
      <c r="P3618">
        <f>-769.572908122938 -187.95338079409 -233.891506355144</f>
        <v>-1191.417795272172</v>
      </c>
      <c r="Q3618">
        <f>-632.489664041628 -20.466130151181 -339.755106404788</f>
        <v>-992.71090059759695</v>
      </c>
      <c r="R3618" t="s">
        <v>39167</v>
      </c>
      <c r="S3618" t="s">
        <v>39168</v>
      </c>
      <c r="T3618" t="s">
        <v>39169</v>
      </c>
      <c r="U3618" t="s">
        <v>39170</v>
      </c>
      <c r="V3618">
        <f>-752.152970221214 -74.3195010535082 -92.7209937446883</f>
        <v>-919.1934650194105</v>
      </c>
      <c r="W3618" t="s">
        <v>39171</v>
      </c>
      <c r="X3618" t="s">
        <v>39172</v>
      </c>
      <c r="Y3618" t="s">
        <v>39173</v>
      </c>
    </row>
    <row r="3619" spans="1:25" x14ac:dyDescent="0.3">
      <c r="A3619">
        <v>180900</v>
      </c>
      <c r="B3619" t="s">
        <v>39174</v>
      </c>
      <c r="C3619" t="s">
        <v>39175</v>
      </c>
      <c r="D3619" t="s">
        <v>39176</v>
      </c>
      <c r="E3619">
        <f>-820.908004474004 -1.45127368669205 -306.237838311473</f>
        <v>-1128.5971164721691</v>
      </c>
      <c r="F3619">
        <f>-827.84053944183 -4.22349474208681 -395.021323788978</f>
        <v>-1227.0853579728948</v>
      </c>
      <c r="G3619">
        <f>-832.714194351476 -5.26000425375491 -483.978626414623</f>
        <v>-1321.9528250198539</v>
      </c>
      <c r="H3619">
        <f>-837.328951386928 -4.93244271758272 -608.475323304889</f>
        <v>-1450.7367174093997</v>
      </c>
      <c r="I3619" t="s">
        <v>39177</v>
      </c>
      <c r="J3619" t="s">
        <v>39178</v>
      </c>
      <c r="K3619" t="s">
        <v>39179</v>
      </c>
      <c r="L3619" t="s">
        <v>39180</v>
      </c>
      <c r="M3619" t="s">
        <v>39181</v>
      </c>
      <c r="N3619">
        <f>-826.858255282971 -31.4662411651841 -554.0728137266</f>
        <v>-1412.3973101747551</v>
      </c>
      <c r="O3619">
        <f>-785.914280969742 -159.717362746748 -526.268111436571</f>
        <v>-1471.8997551530611</v>
      </c>
      <c r="P3619">
        <f>-770.059821357968 -187.869842416663 -233.783429712491</f>
        <v>-1191.713093487122</v>
      </c>
      <c r="Q3619">
        <f>-632.835973263205 -20.6476764277404 -339.883602592303</f>
        <v>-993.36725228324849</v>
      </c>
      <c r="R3619" t="s">
        <v>39182</v>
      </c>
      <c r="S3619" t="s">
        <v>39183</v>
      </c>
      <c r="T3619" t="s">
        <v>39184</v>
      </c>
      <c r="U3619" t="s">
        <v>39185</v>
      </c>
      <c r="V3619">
        <f>-752.691299624607 -74.21030381681 -92.7262306289464</f>
        <v>-919.62783407036341</v>
      </c>
      <c r="W3619" t="s">
        <v>39186</v>
      </c>
      <c r="X3619" t="s">
        <v>39187</v>
      </c>
      <c r="Y3619" t="s">
        <v>39188</v>
      </c>
    </row>
    <row r="3620" spans="1:25" x14ac:dyDescent="0.3">
      <c r="A3620">
        <v>180950</v>
      </c>
      <c r="B3620" t="s">
        <v>39189</v>
      </c>
      <c r="C3620" t="s">
        <v>39190</v>
      </c>
      <c r="D3620" t="s">
        <v>39191</v>
      </c>
      <c r="E3620">
        <f>-821.182603156364 -1.56247633316525 -306.225406269468</f>
        <v>-1128.9704857589973</v>
      </c>
      <c r="F3620">
        <f>-828.132311419548 -4.33763949184026 -395.007486759265</f>
        <v>-1227.4774376706532</v>
      </c>
      <c r="G3620">
        <f>-833.018712972546 -5.37414138656504 -483.964221990374</f>
        <v>-1322.3570763494852</v>
      </c>
      <c r="H3620">
        <f>-837.64652371773 -5.04363385840884 -608.460290307505</f>
        <v>-1451.1504478836439</v>
      </c>
      <c r="I3620" t="s">
        <v>39192</v>
      </c>
      <c r="J3620" t="s">
        <v>39193</v>
      </c>
      <c r="K3620" t="s">
        <v>39194</v>
      </c>
      <c r="L3620" t="s">
        <v>39195</v>
      </c>
      <c r="M3620" t="s">
        <v>39196</v>
      </c>
      <c r="N3620">
        <f>-827.172443132892 -31.5794910003983 -554.059437089162</f>
        <v>-1412.8113712224522</v>
      </c>
      <c r="O3620">
        <f>-786.244147919313 -159.833063741248 -526.235066833512</f>
        <v>-1472.3122784940729</v>
      </c>
      <c r="P3620">
        <f>-770.319922660198 -187.917713902517 -233.747758798398</f>
        <v>-1191.985395361113</v>
      </c>
      <c r="Q3620">
        <f>-633.032762110149 -20.7765189350912 -339.893374319844</f>
        <v>-993.70265536508418</v>
      </c>
      <c r="R3620" t="s">
        <v>39197</v>
      </c>
      <c r="S3620" t="s">
        <v>39198</v>
      </c>
      <c r="T3620" t="s">
        <v>39199</v>
      </c>
      <c r="U3620" t="s">
        <v>39200</v>
      </c>
      <c r="V3620">
        <f>-752.926116272709 -74.3706188336799 -92.7262689349734</f>
        <v>-920.02300404136236</v>
      </c>
      <c r="W3620" t="s">
        <v>39201</v>
      </c>
      <c r="X3620" t="s">
        <v>39202</v>
      </c>
      <c r="Y3620" t="s">
        <v>39203</v>
      </c>
    </row>
    <row r="3621" spans="1:25" x14ac:dyDescent="0.3">
      <c r="A3621">
        <v>181000</v>
      </c>
      <c r="B3621" t="s">
        <v>39204</v>
      </c>
      <c r="C3621" t="s">
        <v>39205</v>
      </c>
      <c r="D3621" t="s">
        <v>39206</v>
      </c>
      <c r="E3621">
        <f>-821.834122551665 -1.68224613996472 -306.216333358683</f>
        <v>-1129.7327020503128</v>
      </c>
      <c r="F3621">
        <f>-828.823885444111 -4.44267075996117 -394.995663504453</f>
        <v>-1228.2622197085252</v>
      </c>
      <c r="G3621">
        <f>-833.738243208335 -5.45858880128799 -483.951069105405</f>
        <v>-1323.1479011150279</v>
      </c>
      <c r="H3621">
        <f>-838.391790426841 -5.09337926246531 -608.446107829745</f>
        <v>-1451.9312775190513</v>
      </c>
      <c r="I3621" t="s">
        <v>39207</v>
      </c>
      <c r="J3621" t="s">
        <v>39208</v>
      </c>
      <c r="K3621" t="s">
        <v>39209</v>
      </c>
      <c r="L3621" t="s">
        <v>39210</v>
      </c>
      <c r="M3621" t="s">
        <v>39211</v>
      </c>
      <c r="N3621">
        <f>-827.917965370046 -31.6480255809024 -554.054439308909</f>
        <v>-1413.6204302598574</v>
      </c>
      <c r="O3621">
        <f>-787.02651620307 -159.914269763659 -526.239224165156</f>
        <v>-1473.180010131885</v>
      </c>
      <c r="P3621">
        <f>-771.075915762576 -188.048113598691 -233.75811241955</f>
        <v>-1192.8821417808169</v>
      </c>
      <c r="Q3621">
        <f>-633.935565430241 -20.8094677941269 -339.940197170018</f>
        <v>-994.68523039438594</v>
      </c>
      <c r="R3621" t="s">
        <v>39212</v>
      </c>
      <c r="S3621" t="s">
        <v>39213</v>
      </c>
      <c r="T3621" t="s">
        <v>39214</v>
      </c>
      <c r="U3621" t="s">
        <v>39215</v>
      </c>
      <c r="V3621">
        <f>-753.566536865202 -74.450385020119 -92.7403697574131</f>
        <v>-920.75729164273412</v>
      </c>
      <c r="W3621" t="s">
        <v>39216</v>
      </c>
      <c r="X3621" t="s">
        <v>39217</v>
      </c>
      <c r="Y3621" t="s">
        <v>39218</v>
      </c>
    </row>
    <row r="3622" spans="1:25" x14ac:dyDescent="0.3">
      <c r="A3622">
        <v>181050</v>
      </c>
      <c r="B3622" t="s">
        <v>39219</v>
      </c>
      <c r="C3622" t="s">
        <v>39220</v>
      </c>
      <c r="D3622" t="s">
        <v>39221</v>
      </c>
      <c r="E3622">
        <f>-822.159617265717 -1.83301762707492 -306.197858029114</f>
        <v>-1130.1904929219058</v>
      </c>
      <c r="F3622">
        <f>-829.179382818556 -4.58208242230126 -394.975073133186</f>
        <v>-1228.7365383740432</v>
      </c>
      <c r="G3622">
        <f>-834.120048006022 -5.58038116013768 -483.929256526674</f>
        <v>-1323.6296856928336</v>
      </c>
      <c r="H3622">
        <f>-838.806921571963 -5.18484064615313 -608.423015923737</f>
        <v>-1452.4147781418533</v>
      </c>
      <c r="I3622" t="s">
        <v>39222</v>
      </c>
      <c r="J3622" t="s">
        <v>39223</v>
      </c>
      <c r="K3622" t="s">
        <v>39224</v>
      </c>
      <c r="L3622" t="s">
        <v>39225</v>
      </c>
      <c r="M3622" t="s">
        <v>39226</v>
      </c>
      <c r="N3622">
        <f>-828.32490722385 -31.7547639286393 -554.040302018397</f>
        <v>-1414.1199731708862</v>
      </c>
      <c r="O3622">
        <f>-787.472818965175 -160.032825254302 -526.238573488085</f>
        <v>-1473.7442177075618</v>
      </c>
      <c r="P3622">
        <f>-771.424170613646 -188.136804657162 -233.759906300071</f>
        <v>-1193.320881570879</v>
      </c>
      <c r="Q3622">
        <f>-634.305348784788 -20.9427113847198 -340.039850991309</f>
        <v>-995.28791116081675</v>
      </c>
      <c r="R3622" t="s">
        <v>39227</v>
      </c>
      <c r="S3622" t="s">
        <v>39228</v>
      </c>
      <c r="T3622" t="s">
        <v>39229</v>
      </c>
      <c r="U3622" t="s">
        <v>39230</v>
      </c>
      <c r="V3622">
        <f>-753.862048956986 -74.555943105128 -92.7424341183622</f>
        <v>-921.16042618047618</v>
      </c>
      <c r="W3622" t="s">
        <v>39231</v>
      </c>
      <c r="X3622" t="s">
        <v>39232</v>
      </c>
      <c r="Y3622" t="s">
        <v>39233</v>
      </c>
    </row>
    <row r="3623" spans="1:25" x14ac:dyDescent="0.3">
      <c r="A3623">
        <v>181100</v>
      </c>
      <c r="B3623" t="s">
        <v>39234</v>
      </c>
      <c r="C3623" t="s">
        <v>39235</v>
      </c>
      <c r="D3623" t="s">
        <v>39236</v>
      </c>
      <c r="E3623">
        <f>-822.727011390445 -2.19177367368775 -306.139950366529</f>
        <v>-1131.0587354306617</v>
      </c>
      <c r="F3623">
        <f>-829.814508013189 -4.9040507517318 -394.912886681798</f>
        <v>-1229.6314454467188</v>
      </c>
      <c r="G3623">
        <f>-834.816605174989 -5.85008301833227 -483.864244531161</f>
        <v>-1324.5309327244822</v>
      </c>
      <c r="H3623">
        <f>-839.58199991313 -5.36493850850843 -608.354637468423</f>
        <v>-1453.3015758900615</v>
      </c>
      <c r="I3623" t="s">
        <v>39237</v>
      </c>
      <c r="J3623" t="s">
        <v>39238</v>
      </c>
      <c r="K3623" t="s">
        <v>39239</v>
      </c>
      <c r="L3623" t="s">
        <v>39240</v>
      </c>
      <c r="M3623" t="s">
        <v>39241</v>
      </c>
      <c r="N3623">
        <f>-829.079287507762 -31.9782614155311 -553.997245367281</f>
        <v>-1415.0547942905741</v>
      </c>
      <c r="O3623">
        <f>-788.303571066331 -160.29745172817 -526.236562471142</f>
        <v>-1474.8375852656429</v>
      </c>
      <c r="P3623">
        <f>-771.975248155935 -188.3472387025 -233.768013313167</f>
        <v>-1194.0905001716019</v>
      </c>
      <c r="Q3623">
        <f>-634.868658877758 -21.3068377560364 -340.305246280011</f>
        <v>-996.48074291380544</v>
      </c>
      <c r="R3623" t="s">
        <v>39242</v>
      </c>
      <c r="S3623" t="s">
        <v>39243</v>
      </c>
      <c r="T3623" t="s">
        <v>39244</v>
      </c>
      <c r="U3623" t="s">
        <v>39245</v>
      </c>
      <c r="V3623">
        <f>-754.349272124168 -74.8815468583622 -92.7396365069596</f>
        <v>-921.97045548948984</v>
      </c>
      <c r="W3623" t="s">
        <v>39246</v>
      </c>
      <c r="X3623" t="s">
        <v>39247</v>
      </c>
      <c r="Y3623" t="s">
        <v>39248</v>
      </c>
    </row>
    <row r="3624" spans="1:25" x14ac:dyDescent="0.3">
      <c r="A3624">
        <v>181150</v>
      </c>
      <c r="B3624" t="s">
        <v>39249</v>
      </c>
      <c r="C3624" t="s">
        <v>39250</v>
      </c>
      <c r="D3624" t="s">
        <v>39251</v>
      </c>
      <c r="E3624">
        <f>-822.944902658982 -2.32811989143215 -306.109092664348</f>
        <v>-1131.3821152147621</v>
      </c>
      <c r="F3624">
        <f>-830.050924734904 -5.00438015361487 -394.881649998522</f>
        <v>-1229.9369548870409</v>
      </c>
      <c r="G3624">
        <f>-835.060749446003 -5.90202538994959 -483.832941613083</f>
        <v>-1324.7957164490356</v>
      </c>
      <c r="H3624">
        <f>-839.825476342951 -5.33603829429558 -608.323132171458</f>
        <v>-1453.4846468087046</v>
      </c>
      <c r="I3624" t="s">
        <v>39252</v>
      </c>
      <c r="J3624" t="s">
        <v>39253</v>
      </c>
      <c r="K3624" t="s">
        <v>39254</v>
      </c>
      <c r="L3624" t="s">
        <v>39255</v>
      </c>
      <c r="M3624" t="s">
        <v>39256</v>
      </c>
      <c r="N3624">
        <f>-829.323252418224 -31.9847123970712 -553.982942812404</f>
        <v>-1415.2909076276992</v>
      </c>
      <c r="O3624">
        <f>-788.557633641098 -160.315417278346 -526.267688279726</f>
        <v>-1475.1407391991702</v>
      </c>
      <c r="P3624">
        <f>-772.240242098588 -188.499835692717 -233.811476233883</f>
        <v>-1194.5515540251881</v>
      </c>
      <c r="Q3624">
        <f>-635.114697394991 -21.4764530075747 -340.350910995513</f>
        <v>-996.94206139807875</v>
      </c>
      <c r="R3624" t="s">
        <v>39257</v>
      </c>
      <c r="S3624" t="s">
        <v>39258</v>
      </c>
      <c r="T3624" t="s">
        <v>39259</v>
      </c>
      <c r="U3624" t="s">
        <v>39260</v>
      </c>
      <c r="V3624">
        <f>-754.539771192727 -75.0456091340326 -92.7295246901413</f>
        <v>-922.31490501690087</v>
      </c>
      <c r="W3624" t="s">
        <v>39261</v>
      </c>
      <c r="X3624" t="s">
        <v>39262</v>
      </c>
      <c r="Y3624" t="s">
        <v>39263</v>
      </c>
    </row>
    <row r="3625" spans="1:25" x14ac:dyDescent="0.3">
      <c r="A3625">
        <v>181200</v>
      </c>
      <c r="B3625" t="s">
        <v>39264</v>
      </c>
      <c r="C3625" t="s">
        <v>39265</v>
      </c>
      <c r="D3625" t="s">
        <v>39266</v>
      </c>
      <c r="E3625">
        <f>-823.298439718707 -2.44970814316912 -306.062981313273</f>
        <v>-1131.8111291751491</v>
      </c>
      <c r="F3625">
        <f>-830.434284961769 -5.07812676592698 -394.834687022779</f>
        <v>-1230.347098750475</v>
      </c>
      <c r="G3625">
        <f>-835.458772698735 -5.91369542640973 -483.785759889495</f>
        <v>-1325.1582280146397</v>
      </c>
      <c r="H3625">
        <f>-840.228459772683 -5.24635131374021 -608.275196946501</f>
        <v>-1453.7500080329241</v>
      </c>
      <c r="I3625" t="s">
        <v>39267</v>
      </c>
      <c r="J3625" t="s">
        <v>39268</v>
      </c>
      <c r="K3625" t="s">
        <v>39269</v>
      </c>
      <c r="L3625" t="s">
        <v>39270</v>
      </c>
      <c r="M3625" t="s">
        <v>39271</v>
      </c>
      <c r="N3625">
        <f>-829.739848302126 -31.94440446269 -553.956418722087</f>
        <v>-1415.6406714869031</v>
      </c>
      <c r="O3625">
        <f>-789.058392338628 -160.313935274051 -526.32524593982</f>
        <v>-1475.6975735524989</v>
      </c>
      <c r="P3625">
        <f>-772.693342395093 -188.819766675328 -233.902928216417</f>
        <v>-1195.416037286838</v>
      </c>
      <c r="Q3625">
        <f>-635.583983736445 -21.7418189896496 -340.377518167242</f>
        <v>-997.70332089333658</v>
      </c>
      <c r="R3625" t="s">
        <v>39272</v>
      </c>
      <c r="S3625" t="s">
        <v>39273</v>
      </c>
      <c r="T3625" t="s">
        <v>39274</v>
      </c>
      <c r="U3625" t="s">
        <v>39275</v>
      </c>
      <c r="V3625">
        <f>-754.914203578439 -75.2135132250618 -92.7122810941826</f>
        <v>-922.83999789768336</v>
      </c>
      <c r="W3625" t="s">
        <v>39276</v>
      </c>
      <c r="X3625" t="s">
        <v>39277</v>
      </c>
      <c r="Y3625" t="s">
        <v>39278</v>
      </c>
    </row>
    <row r="3626" spans="1:25" x14ac:dyDescent="0.3">
      <c r="A3626">
        <v>181250</v>
      </c>
      <c r="B3626" t="s">
        <v>39279</v>
      </c>
      <c r="C3626" t="s">
        <v>39280</v>
      </c>
      <c r="D3626" t="s">
        <v>39281</v>
      </c>
      <c r="E3626">
        <f>-823.413959073624 -2.53560987082869 -306.028868244427</f>
        <v>-1131.9784371888798</v>
      </c>
      <c r="F3626">
        <f>-830.570197663752 -5.14029668995977 -394.799585437414</f>
        <v>-1230.5100797911257</v>
      </c>
      <c r="G3626">
        <f>-835.612348941214 -5.94315471800769 -483.749984366849</f>
        <v>-1325.3054880260706</v>
      </c>
      <c r="H3626">
        <f>-840.403335031698 -5.22042741989821 -608.238318672974</f>
        <v>-1453.8620811245701</v>
      </c>
      <c r="I3626" t="s">
        <v>39282</v>
      </c>
      <c r="J3626" t="s">
        <v>39283</v>
      </c>
      <c r="K3626" t="s">
        <v>39284</v>
      </c>
      <c r="L3626" t="s">
        <v>39285</v>
      </c>
      <c r="M3626" t="s">
        <v>39286</v>
      </c>
      <c r="N3626">
        <f>-829.917993098201 -31.9466003763464 -553.932912750702</f>
        <v>-1415.7975062252494</v>
      </c>
      <c r="O3626">
        <f>-789.281144298763 -160.340688435668 -526.345033178027</f>
        <v>-1475.9668659124582</v>
      </c>
      <c r="P3626">
        <f>-772.844030512092 -188.905142746877 -233.93247729165</f>
        <v>-1195.681650550619</v>
      </c>
      <c r="Q3626">
        <f>-635.786579694116 -21.7939915463623 -340.421947575562</f>
        <v>-998.00251881604026</v>
      </c>
      <c r="R3626" t="s">
        <v>39287</v>
      </c>
      <c r="S3626" t="s">
        <v>39288</v>
      </c>
      <c r="T3626" t="s">
        <v>39289</v>
      </c>
      <c r="U3626" t="s">
        <v>39290</v>
      </c>
      <c r="V3626">
        <f>-755.014525095907 -75.2964843655138 -92.6961203421307</f>
        <v>-923.00712980355149</v>
      </c>
      <c r="W3626" t="s">
        <v>39291</v>
      </c>
      <c r="X3626" t="s">
        <v>39292</v>
      </c>
      <c r="Y3626" t="s">
        <v>39293</v>
      </c>
    </row>
    <row r="3627" spans="1:25" x14ac:dyDescent="0.3">
      <c r="A3627">
        <v>181300</v>
      </c>
      <c r="B3627" t="s">
        <v>39294</v>
      </c>
      <c r="C3627" t="s">
        <v>39295</v>
      </c>
      <c r="D3627" t="s">
        <v>39296</v>
      </c>
      <c r="E3627">
        <f>-823.597365005435 -2.75701378899112 -305.98431007753</f>
        <v>-1132.338688871956</v>
      </c>
      <c r="F3627">
        <f>-830.811639555876 -5.34133842603387 -394.750808450476</f>
        <v>-1230.9037864323859</v>
      </c>
      <c r="G3627">
        <f>-835.909573048334 -6.10913404622306 -483.698403625546</f>
        <v>-1325.7171107201029</v>
      </c>
      <c r="H3627">
        <f>-840.775787033446 -5.32214466208302 -608.183356619841</f>
        <v>-1454.2812883153701</v>
      </c>
      <c r="I3627" t="s">
        <v>39297</v>
      </c>
      <c r="J3627" t="s">
        <v>39298</v>
      </c>
      <c r="K3627" t="s">
        <v>39299</v>
      </c>
      <c r="L3627" t="s">
        <v>39300</v>
      </c>
      <c r="M3627" t="s">
        <v>39301</v>
      </c>
      <c r="N3627">
        <f>-830.274609673564 -32.0817141261366 -553.897604273079</f>
        <v>-1416.2539280727797</v>
      </c>
      <c r="O3627">
        <f>-789.704982953464 -160.509921561657 -526.363968009706</f>
        <v>-1476.5788725248269</v>
      </c>
      <c r="P3627">
        <f>-773.070460991611 -189.170169293626 -233.97197725743</f>
        <v>-1196.212607542667</v>
      </c>
      <c r="Q3627">
        <f>-636.066626230908 -22.2411029498542 -340.815196845547</f>
        <v>-999.12292602630919</v>
      </c>
      <c r="R3627" t="s">
        <v>39302</v>
      </c>
      <c r="S3627" t="s">
        <v>39303</v>
      </c>
      <c r="T3627" t="s">
        <v>39304</v>
      </c>
      <c r="U3627" t="s">
        <v>39305</v>
      </c>
      <c r="V3627">
        <f>-755.135773916012 -75.4549958088203 -92.6737187979527</f>
        <v>-923.26448852278497</v>
      </c>
      <c r="W3627" t="s">
        <v>39306</v>
      </c>
      <c r="X3627" t="s">
        <v>39307</v>
      </c>
      <c r="Y3627" t="s">
        <v>39308</v>
      </c>
    </row>
    <row r="3628" spans="1:25" x14ac:dyDescent="0.3">
      <c r="A3628">
        <v>181350</v>
      </c>
      <c r="B3628" t="s">
        <v>39309</v>
      </c>
      <c r="C3628" t="s">
        <v>39310</v>
      </c>
      <c r="D3628" t="s">
        <v>39311</v>
      </c>
      <c r="E3628">
        <f>-823.662307371754 -2.95214822161984 -305.968113581133</f>
        <v>-1132.5825691745067</v>
      </c>
      <c r="F3628">
        <f>-830.91575348065 -5.53981571333543 -394.731451060017</f>
        <v>-1231.1870202540024</v>
      </c>
      <c r="G3628">
        <f>-836.051313487274 -6.30526609893286 -483.67681127447</f>
        <v>-1326.0333908606769</v>
      </c>
      <c r="H3628">
        <f>-840.968523831996 -5.50872881282271 -608.1598488714</f>
        <v>-1454.6371015162185</v>
      </c>
      <c r="I3628" t="s">
        <v>39312</v>
      </c>
      <c r="J3628" t="s">
        <v>39313</v>
      </c>
      <c r="K3628" t="s">
        <v>39314</v>
      </c>
      <c r="L3628" t="s">
        <v>39315</v>
      </c>
      <c r="M3628" t="s">
        <v>39316</v>
      </c>
      <c r="N3628">
        <f>-830.454919278462 -32.2755135213665 -553.879852773708</f>
        <v>-1416.6102855735364</v>
      </c>
      <c r="O3628">
        <f>-789.915964203819 -160.716639235512 -526.372808888699</f>
        <v>-1477.0054123280299</v>
      </c>
      <c r="P3628">
        <f>-773.064138011059 -189.313986520162 -233.987136657133</f>
        <v>-1196.365261188354</v>
      </c>
      <c r="Q3628">
        <f>-636.154773242921 -22.3683921171341 -340.925814548834</f>
        <v>-999.44897990888921</v>
      </c>
      <c r="R3628" t="s">
        <v>39317</v>
      </c>
      <c r="S3628" t="s">
        <v>39318</v>
      </c>
      <c r="T3628" t="s">
        <v>39319</v>
      </c>
      <c r="U3628" t="s">
        <v>39320</v>
      </c>
      <c r="V3628">
        <f>-755.133469005435 -75.610410348494 -92.6624300934637</f>
        <v>-923.4063094473928</v>
      </c>
      <c r="W3628" t="s">
        <v>39321</v>
      </c>
      <c r="X3628" t="s">
        <v>39322</v>
      </c>
      <c r="Y3628" t="s">
        <v>39323</v>
      </c>
    </row>
    <row r="3629" spans="1:25" x14ac:dyDescent="0.3">
      <c r="A3629">
        <v>181400</v>
      </c>
      <c r="B3629" t="s">
        <v>39324</v>
      </c>
      <c r="C3629" t="s">
        <v>39325</v>
      </c>
      <c r="D3629" t="s">
        <v>39326</v>
      </c>
      <c r="E3629">
        <f>-823.665721275896 -3.40062988333329 -305.937374697073</f>
        <v>-1133.0037258563023</v>
      </c>
      <c r="F3629">
        <f>-830.975408425796 -5.97615096622349 -394.696477690847</f>
        <v>-1231.6480370828665</v>
      </c>
      <c r="G3629">
        <f>-836.160438114851 -6.71459873836488 -483.639180150264</f>
        <v>-1326.5142170034799</v>
      </c>
      <c r="H3629">
        <f>-841.139062523306 -5.86505993893229 -608.119288591751</f>
        <v>-1455.1234110539895</v>
      </c>
      <c r="I3629" t="s">
        <v>39327</v>
      </c>
      <c r="J3629" t="s">
        <v>39328</v>
      </c>
      <c r="K3629" t="s">
        <v>39329</v>
      </c>
      <c r="L3629" t="s">
        <v>39330</v>
      </c>
      <c r="M3629" t="s">
        <v>39331</v>
      </c>
      <c r="N3629">
        <f>-830.598818047972 -32.6551105462038 -553.856027662339</f>
        <v>-1417.1099562565148</v>
      </c>
      <c r="O3629">
        <f>-790.046476498119 -161.106312259608 -526.412128853443</f>
        <v>-1477.5649176111701</v>
      </c>
      <c r="P3629">
        <f>-773.068702657166 -189.839707423255 -234.047085301422</f>
        <v>-1196.9554953818429</v>
      </c>
      <c r="Q3629">
        <f>-636.362770772675 -22.7664126727298 -341.046406024176</f>
        <v>-1000.1755894695808</v>
      </c>
      <c r="R3629" t="s">
        <v>39332</v>
      </c>
      <c r="S3629" t="s">
        <v>39333</v>
      </c>
      <c r="T3629" t="s">
        <v>39334</v>
      </c>
      <c r="U3629" t="s">
        <v>39335</v>
      </c>
      <c r="V3629">
        <f>-754.979408472061 -76.0306617067019 -92.6405098156318</f>
        <v>-923.65057999439477</v>
      </c>
      <c r="W3629" t="s">
        <v>39336</v>
      </c>
      <c r="X3629" t="s">
        <v>39337</v>
      </c>
      <c r="Y3629" t="s">
        <v>39338</v>
      </c>
    </row>
    <row r="3630" spans="1:25" x14ac:dyDescent="0.3">
      <c r="A3630">
        <v>181450</v>
      </c>
      <c r="B3630" t="s">
        <v>39339</v>
      </c>
      <c r="C3630" t="s">
        <v>39340</v>
      </c>
      <c r="D3630" t="s">
        <v>39341</v>
      </c>
      <c r="E3630">
        <f>-823.657041989825 -3.47220651415796 -305.921513252559</f>
        <v>-1133.050761756542</v>
      </c>
      <c r="F3630">
        <f>-830.980881486 -6.04548332214199 -394.679565610174</f>
        <v>-1231.705930418316</v>
      </c>
      <c r="G3630">
        <f>-836.177518808716 -6.77563982477818 -483.621698334801</f>
        <v>-1326.5748569682951</v>
      </c>
      <c r="H3630">
        <f>-841.170065659565 -5.90847922289595 -608.101017391768</f>
        <v>-1455.1795622742288</v>
      </c>
      <c r="I3630" t="s">
        <v>39342</v>
      </c>
      <c r="J3630" t="s">
        <v>39343</v>
      </c>
      <c r="K3630" t="s">
        <v>39344</v>
      </c>
      <c r="L3630" t="s">
        <v>39345</v>
      </c>
      <c r="M3630" t="s">
        <v>39346</v>
      </c>
      <c r="N3630">
        <f>-830.627166767348 -32.7072509539439 -553.842645739901</f>
        <v>-1417.1770634611928</v>
      </c>
      <c r="O3630">
        <f>-790.084123508134 -161.169501798071 -526.417701277439</f>
        <v>-1477.671326583644</v>
      </c>
      <c r="P3630">
        <f>-773.038930722701 -189.916256237804 -234.057986272377</f>
        <v>-1197.0131732328821</v>
      </c>
      <c r="Q3630">
        <f>-636.344825486205 -22.8271161621333 -341.047872612847</f>
        <v>-1000.2198142611853</v>
      </c>
      <c r="R3630" t="s">
        <v>39347</v>
      </c>
      <c r="S3630" t="s">
        <v>39348</v>
      </c>
      <c r="T3630" t="s">
        <v>39349</v>
      </c>
      <c r="U3630" t="s">
        <v>39350</v>
      </c>
      <c r="V3630">
        <f>-754.97746095543 -75.9850955209727 -92.6239739698061</f>
        <v>-923.58653044620883</v>
      </c>
      <c r="W3630" t="s">
        <v>39351</v>
      </c>
      <c r="X3630" t="s">
        <v>39352</v>
      </c>
      <c r="Y3630" t="s">
        <v>39353</v>
      </c>
    </row>
    <row r="3631" spans="1:25" x14ac:dyDescent="0.3">
      <c r="A3631">
        <v>181500</v>
      </c>
      <c r="B3631" t="s">
        <v>39354</v>
      </c>
      <c r="C3631" t="s">
        <v>39355</v>
      </c>
      <c r="D3631" t="s">
        <v>39356</v>
      </c>
      <c r="E3631">
        <f>-823.501431810011 -3.53672219232317 -305.894708217078</f>
        <v>-1132.9328622194121</v>
      </c>
      <c r="F3631">
        <f>-830.840699258561 -6.10113580040479 -394.651704767102</f>
        <v>-1231.5935398260679</v>
      </c>
      <c r="G3631">
        <f>-836.055099530093 -6.81982345279471 -483.592885884408</f>
        <v>-1326.4678088672958</v>
      </c>
      <c r="H3631">
        <f>-841.074895191029 -5.93295330490105 -608.071123048112</f>
        <v>-1455.0789715440419</v>
      </c>
      <c r="I3631" t="s">
        <v>39357</v>
      </c>
      <c r="J3631" t="s">
        <v>39358</v>
      </c>
      <c r="K3631" t="s">
        <v>39359</v>
      </c>
      <c r="L3631" t="s">
        <v>39360</v>
      </c>
      <c r="M3631" t="s">
        <v>39361</v>
      </c>
      <c r="N3631">
        <f>-830.528639433741 -32.7430536264601 -553.818823376643</f>
        <v>-1417.0905164368442</v>
      </c>
      <c r="O3631">
        <f>-790.032636522689 -161.220203201487 -526.406899779428</f>
        <v>-1477.6597395036042</v>
      </c>
      <c r="P3631">
        <f>-772.992638848748 -190.007742078676 -234.050772671356</f>
        <v>-1197.05115359878</v>
      </c>
      <c r="Q3631">
        <f>-636.186472092675 -23.017133069558 -341.051210764132</f>
        <v>-1000.2548159263649</v>
      </c>
      <c r="R3631" t="s">
        <v>39362</v>
      </c>
      <c r="S3631" t="s">
        <v>39363</v>
      </c>
      <c r="T3631" t="s">
        <v>39364</v>
      </c>
      <c r="U3631" t="s">
        <v>39365</v>
      </c>
      <c r="V3631">
        <f>-754.868502452986 -75.9917554327578 -92.6064202358152</f>
        <v>-923.46667812155908</v>
      </c>
      <c r="W3631" t="s">
        <v>39366</v>
      </c>
      <c r="X3631" t="s">
        <v>39367</v>
      </c>
      <c r="Y3631" t="s">
        <v>39368</v>
      </c>
    </row>
    <row r="3632" spans="1:25" x14ac:dyDescent="0.3">
      <c r="A3632">
        <v>181550</v>
      </c>
      <c r="B3632" t="s">
        <v>39369</v>
      </c>
      <c r="C3632" t="s">
        <v>39370</v>
      </c>
      <c r="D3632" t="s">
        <v>39371</v>
      </c>
      <c r="E3632">
        <f>-823.429631353607 -3.44777147112723 -305.898166774886</f>
        <v>-1132.7755695996202</v>
      </c>
      <c r="F3632">
        <f>-830.776915440235 -6.00762551962657 -394.654627969134</f>
        <v>-1231.4391689289955</v>
      </c>
      <c r="G3632">
        <f>-836.006104508159 -6.72198460342338 -483.594909274503</f>
        <v>-1326.3229983860854</v>
      </c>
      <c r="H3632">
        <f>-841.053601782684 -5.82919749223288 -608.07207855896</f>
        <v>-1454.9548778338769</v>
      </c>
      <c r="I3632" t="s">
        <v>39372</v>
      </c>
      <c r="J3632" t="s">
        <v>39373</v>
      </c>
      <c r="K3632" t="s">
        <v>39374</v>
      </c>
      <c r="L3632" t="s">
        <v>39375</v>
      </c>
      <c r="M3632" t="s">
        <v>39376</v>
      </c>
      <c r="N3632">
        <f>-830.497574746558 -32.6425003920579 -553.823341029487</f>
        <v>-1416.9634161681029</v>
      </c>
      <c r="O3632">
        <f>-790.029651072677 -161.128228417442 -526.404239978411</f>
        <v>-1477.56211946853</v>
      </c>
      <c r="P3632">
        <f>-773.006288803517 -189.867740069917 -234.04222843718</f>
        <v>-1196.9162573106139</v>
      </c>
      <c r="Q3632">
        <f>-636.094685743392 -22.9721887854751 -341.056003920561</f>
        <v>-1000.1228784494281</v>
      </c>
      <c r="R3632" t="s">
        <v>39377</v>
      </c>
      <c r="S3632" t="s">
        <v>39378</v>
      </c>
      <c r="T3632" t="s">
        <v>39379</v>
      </c>
      <c r="U3632" t="s">
        <v>39380</v>
      </c>
      <c r="V3632">
        <f>-754.84984596694 -75.8750679340355 -92.6025898695403</f>
        <v>-923.32750377051593</v>
      </c>
      <c r="W3632" t="s">
        <v>39381</v>
      </c>
      <c r="X3632" t="s">
        <v>39382</v>
      </c>
      <c r="Y3632" t="s">
        <v>39383</v>
      </c>
    </row>
    <row r="3633" spans="1:25" x14ac:dyDescent="0.3">
      <c r="A3633">
        <v>181600</v>
      </c>
      <c r="B3633" t="s">
        <v>39384</v>
      </c>
      <c r="C3633" t="s">
        <v>39385</v>
      </c>
      <c r="D3633" t="s">
        <v>39386</v>
      </c>
      <c r="E3633">
        <f>-823.210921864823 -3.33399657723112 -305.92263735625</f>
        <v>-1132.4675557983041</v>
      </c>
      <c r="F3633">
        <f>-830.542377373939 -5.89454088397065 -394.68024569531</f>
        <v>-1231.1171639532197</v>
      </c>
      <c r="G3633">
        <f>-835.765273373335 -6.61428028946375 -483.620982094047</f>
        <v>-1326.0005357568457</v>
      </c>
      <c r="H3633">
        <f>-840.814052250979 -5.73392698548309 -608.098169602913</f>
        <v>-1454.6461488393752</v>
      </c>
      <c r="I3633" t="s">
        <v>39387</v>
      </c>
      <c r="J3633" t="s">
        <v>39388</v>
      </c>
      <c r="K3633" t="s">
        <v>39389</v>
      </c>
      <c r="L3633" t="s">
        <v>39390</v>
      </c>
      <c r="M3633" t="s">
        <v>39391</v>
      </c>
      <c r="N3633">
        <f>-830.254947051577 -32.5411167865207 -553.846878699675</f>
        <v>-1416.6429425377728</v>
      </c>
      <c r="O3633">
        <f>-789.802355921565 -161.026744083175 -526.427855256305</f>
        <v>-1477.2569552610448</v>
      </c>
      <c r="P3633">
        <f>-772.949423662331 -189.781312280188 -234.057566005929</f>
        <v>-1196.788301948448</v>
      </c>
      <c r="Q3633">
        <f>-635.861846024123 -22.9076371809861 -340.880122584362</f>
        <v>-999.64960578947102</v>
      </c>
      <c r="R3633" t="s">
        <v>39392</v>
      </c>
      <c r="S3633" t="s">
        <v>39393</v>
      </c>
      <c r="T3633" t="s">
        <v>39394</v>
      </c>
      <c r="U3633" t="s">
        <v>39395</v>
      </c>
      <c r="V3633">
        <f>-754.717835276688 -75.7556479376836 -92.6149441118287</f>
        <v>-923.0884273262003</v>
      </c>
      <c r="W3633" t="s">
        <v>39396</v>
      </c>
      <c r="X3633" t="s">
        <v>39397</v>
      </c>
      <c r="Y3633" t="s">
        <v>39398</v>
      </c>
    </row>
    <row r="3634" spans="1:25" x14ac:dyDescent="0.3">
      <c r="A3634">
        <v>181650</v>
      </c>
      <c r="B3634" t="s">
        <v>39399</v>
      </c>
      <c r="C3634" t="s">
        <v>39400</v>
      </c>
      <c r="D3634" t="s">
        <v>39401</v>
      </c>
      <c r="E3634">
        <f>-823.045711489619 -3.26783786734086 -305.937600528369</f>
        <v>-1132.2511498853287</v>
      </c>
      <c r="F3634">
        <f>-830.357258374447 -5.83184948320627 -394.696919509886</f>
        <v>-1230.8860273675393</v>
      </c>
      <c r="G3634">
        <f>-835.561934795518 -6.55842548994224 -483.638614373975</f>
        <v>-1325.7589746594354</v>
      </c>
      <c r="H3634">
        <f>-840.587051451901 -5.69099260774306 -608.116679826985</f>
        <v>-1454.394723886629</v>
      </c>
      <c r="I3634" t="s">
        <v>39402</v>
      </c>
      <c r="J3634" t="s">
        <v>39403</v>
      </c>
      <c r="K3634" t="s">
        <v>39404</v>
      </c>
      <c r="L3634" t="s">
        <v>39405</v>
      </c>
      <c r="M3634" t="s">
        <v>39406</v>
      </c>
      <c r="N3634">
        <f>-830.033145494896 -32.4908885433481 -553.8608646058</f>
        <v>-1416.3848986440439</v>
      </c>
      <c r="O3634">
        <f>-789.580052375968 -160.983439750713 -526.437535515821</f>
        <v>-1477.0010276425019</v>
      </c>
      <c r="P3634">
        <f>-772.874150779918 -189.828158441338 -234.067727471174</f>
        <v>-1196.77003669243</v>
      </c>
      <c r="Q3634">
        <f>-635.873797575746 -22.7870348711319 -340.740430267065</f>
        <v>-999.40126271394297</v>
      </c>
      <c r="R3634" t="s">
        <v>39407</v>
      </c>
      <c r="S3634" t="s">
        <v>39408</v>
      </c>
      <c r="T3634" t="s">
        <v>39409</v>
      </c>
      <c r="U3634" t="s">
        <v>39410</v>
      </c>
      <c r="V3634">
        <f>-754.598988212584 -75.6742637868763 -92.6172960737377</f>
        <v>-922.89054807319803</v>
      </c>
      <c r="W3634" t="s">
        <v>39411</v>
      </c>
      <c r="X3634" t="s">
        <v>39412</v>
      </c>
      <c r="Y3634" t="s">
        <v>39413</v>
      </c>
    </row>
    <row r="3635" spans="1:25" x14ac:dyDescent="0.3">
      <c r="A3635">
        <v>181700</v>
      </c>
      <c r="B3635" t="s">
        <v>39414</v>
      </c>
      <c r="C3635" t="s">
        <v>39415</v>
      </c>
      <c r="D3635" t="s">
        <v>39416</v>
      </c>
      <c r="E3635">
        <f>-822.606094490494 -3.22828566196131 -305.967000776959</f>
        <v>-1131.8013809294143</v>
      </c>
      <c r="F3635">
        <f>-829.876562059047 -5.81707045183157 -394.72910530233</f>
        <v>-1230.4227378132086</v>
      </c>
      <c r="G3635">
        <f>-835.040556534651 -6.57449933709813 -483.67281250035</f>
        <v>-1325.2878683720992</v>
      </c>
      <c r="H3635">
        <f>-840.009445181332 -5.75703441184692 -608.153577769865</f>
        <v>-1453.920057363044</v>
      </c>
      <c r="I3635" t="s">
        <v>39417</v>
      </c>
      <c r="J3635" t="s">
        <v>39418</v>
      </c>
      <c r="K3635" t="s">
        <v>39419</v>
      </c>
      <c r="L3635" t="s">
        <v>39420</v>
      </c>
      <c r="M3635" t="s">
        <v>39421</v>
      </c>
      <c r="N3635">
        <f>-829.455806838149 -32.5274934400252 -553.883199172601</f>
        <v>-1415.8664994507753</v>
      </c>
      <c r="O3635">
        <f>-788.891648624924 -160.974086679323 -526.446423552828</f>
        <v>-1476.312158857075</v>
      </c>
      <c r="P3635">
        <f>-772.535911466308 -189.898200257558 -234.064640950949</f>
        <v>-1196.498752674815</v>
      </c>
      <c r="Q3635">
        <f>-635.403535576621 -22.7215208803702 -340.354408635778</f>
        <v>-998.47946509276926</v>
      </c>
      <c r="R3635" t="s">
        <v>39422</v>
      </c>
      <c r="S3635" t="s">
        <v>39423</v>
      </c>
      <c r="T3635" t="s">
        <v>39424</v>
      </c>
      <c r="U3635" t="s">
        <v>39425</v>
      </c>
      <c r="V3635">
        <f>-754.174669036091 -75.6163699393782 -92.6206460421641</f>
        <v>-922.41168501763332</v>
      </c>
      <c r="W3635" t="s">
        <v>39426</v>
      </c>
      <c r="X3635" t="s">
        <v>39427</v>
      </c>
      <c r="Y3635" t="s">
        <v>39428</v>
      </c>
    </row>
    <row r="3636" spans="1:25" x14ac:dyDescent="0.3">
      <c r="A3636">
        <v>181750</v>
      </c>
      <c r="B3636" t="s">
        <v>39429</v>
      </c>
      <c r="C3636" t="s">
        <v>39430</v>
      </c>
      <c r="D3636" t="s">
        <v>39431</v>
      </c>
      <c r="E3636">
        <f>-822.472921652996 -3.15880070956268 -305.970540280486</f>
        <v>-1131.6022626430447</v>
      </c>
      <c r="F3636">
        <f>-829.721515242537 -5.7608463822794 -394.733818496455</f>
        <v>-1230.2161801212715</v>
      </c>
      <c r="G3636">
        <f>-834.860888890816 -6.53428107180775 -483.678972719492</f>
        <v>-1325.0741426821157</v>
      </c>
      <c r="H3636">
        <f>-839.792517705635 -5.74210060082964 -608.161400139854</f>
        <v>-1453.6960184463187</v>
      </c>
      <c r="I3636" t="s">
        <v>39432</v>
      </c>
      <c r="J3636" t="s">
        <v>39433</v>
      </c>
      <c r="K3636" t="s">
        <v>39434</v>
      </c>
      <c r="L3636" t="s">
        <v>39435</v>
      </c>
      <c r="M3636" t="s">
        <v>39436</v>
      </c>
      <c r="N3636">
        <f>-829.236870952313 -32.495666080544 -553.883073630255</f>
        <v>-1415.615610663112</v>
      </c>
      <c r="O3636">
        <f>-788.589926308888 -160.915457443113 -526.416611791349</f>
        <v>-1475.92199554335</v>
      </c>
      <c r="P3636">
        <f>-772.415330020831 -189.757270969286 -234.016702333277</f>
        <v>-1196.1893033233939</v>
      </c>
      <c r="Q3636">
        <f>-635.168696905847 -22.5703798632153 -340.14295700846</f>
        <v>-997.88203377752234</v>
      </c>
      <c r="R3636" t="s">
        <v>39437</v>
      </c>
      <c r="S3636" t="s">
        <v>39438</v>
      </c>
      <c r="T3636" t="s">
        <v>39439</v>
      </c>
      <c r="U3636" t="s">
        <v>39440</v>
      </c>
      <c r="V3636">
        <f>-754.077869681389 -75.4444971342394 -92.6227260939828</f>
        <v>-922.14509290961121</v>
      </c>
      <c r="W3636" t="s">
        <v>39441</v>
      </c>
      <c r="X3636" t="s">
        <v>39442</v>
      </c>
      <c r="Y3636" t="s">
        <v>39443</v>
      </c>
    </row>
    <row r="3637" spans="1:25" x14ac:dyDescent="0.3">
      <c r="A3637">
        <v>181800</v>
      </c>
      <c r="B3637" t="s">
        <v>39444</v>
      </c>
      <c r="C3637" t="s">
        <v>39445</v>
      </c>
      <c r="D3637" t="s">
        <v>39446</v>
      </c>
      <c r="E3637">
        <f>-822.357305572488 -3.19667975707216 -305.997358626687</f>
        <v>-1131.5513439562471</v>
      </c>
      <c r="F3637">
        <f>-829.56758131805 -5.8117213140697 -394.763369041138</f>
        <v>-1230.1426716732576</v>
      </c>
      <c r="G3637">
        <f>-834.663829228639 -6.59664366280253 -483.710849375692</f>
        <v>-1324.9713222671335</v>
      </c>
      <c r="H3637">
        <f>-839.529978112292 -5.81857475784705 -608.195953419685</f>
        <v>-1453.5445062898241</v>
      </c>
      <c r="I3637" t="s">
        <v>39447</v>
      </c>
      <c r="J3637" t="s">
        <v>39448</v>
      </c>
      <c r="K3637" t="s">
        <v>39449</v>
      </c>
      <c r="L3637" t="s">
        <v>39450</v>
      </c>
      <c r="M3637" t="s">
        <v>39451</v>
      </c>
      <c r="N3637">
        <f>-828.967636856871 -32.5547431336556 -553.910465940119</f>
        <v>-1415.4328459306457</v>
      </c>
      <c r="O3637">
        <f>-788.183555787685 -160.923184892607 -526.405575603252</f>
        <v>-1475.5123162835439</v>
      </c>
      <c r="P3637">
        <f>-772.240040578282 -189.624397240503 -233.979031375807</f>
        <v>-1195.843469194592</v>
      </c>
      <c r="Q3637">
        <f>-634.87957112508 -22.3248514000404 -339.779803354429</f>
        <v>-996.98422587954951</v>
      </c>
      <c r="R3637" t="s">
        <v>39452</v>
      </c>
      <c r="S3637" t="s">
        <v>39453</v>
      </c>
      <c r="T3637" t="s">
        <v>39454</v>
      </c>
      <c r="U3637" t="s">
        <v>39455</v>
      </c>
      <c r="V3637">
        <f>-753.900692363581 -75.3628417026055 -92.6342093893651</f>
        <v>-921.89774345555156</v>
      </c>
      <c r="W3637" t="s">
        <v>39456</v>
      </c>
      <c r="X3637" t="s">
        <v>39457</v>
      </c>
      <c r="Y3637" t="s">
        <v>39458</v>
      </c>
    </row>
    <row r="3638" spans="1:25" x14ac:dyDescent="0.3">
      <c r="A3638">
        <v>181850</v>
      </c>
      <c r="B3638" t="s">
        <v>39459</v>
      </c>
      <c r="C3638" t="s">
        <v>39460</v>
      </c>
      <c r="D3638" t="s">
        <v>39461</v>
      </c>
      <c r="E3638">
        <f>-822.362234791767 -3.18778519323382 -306.021351030631</f>
        <v>-1131.5713710156319</v>
      </c>
      <c r="F3638">
        <f>-829.563380636456 -5.80984913132875 -394.787875578111</f>
        <v>-1230.1611053458957</v>
      </c>
      <c r="G3638">
        <f>-834.652843030074 -6.59991729829676 -483.735833938149</f>
        <v>-1324.9885942665198</v>
      </c>
      <c r="H3638">
        <f>-839.512085286387 -5.82771972398837 -608.221035984686</f>
        <v>-1453.5608409950614</v>
      </c>
      <c r="I3638" t="s">
        <v>39462</v>
      </c>
      <c r="J3638" t="s">
        <v>39463</v>
      </c>
      <c r="K3638" t="s">
        <v>39464</v>
      </c>
      <c r="L3638" t="s">
        <v>39465</v>
      </c>
      <c r="M3638" t="s">
        <v>39466</v>
      </c>
      <c r="N3638">
        <f>-828.937215362035 -32.556516126391 -553.934211355475</f>
        <v>-1415.4279428439008</v>
      </c>
      <c r="O3638">
        <f>-788.082417195319 -160.903592536419 -526.43304671161</f>
        <v>-1475.4190564433479</v>
      </c>
      <c r="P3638">
        <f>-772.204673031306 -189.665437796606 -234.00895533666</f>
        <v>-1195.8790661645719</v>
      </c>
      <c r="Q3638">
        <f>-634.967487241711 -22.2148789121807 -339.730910098376</f>
        <v>-996.91327625226768</v>
      </c>
      <c r="R3638" t="s">
        <v>39467</v>
      </c>
      <c r="S3638" t="s">
        <v>39468</v>
      </c>
      <c r="T3638" t="s">
        <v>39469</v>
      </c>
      <c r="U3638" t="s">
        <v>39470</v>
      </c>
      <c r="V3638">
        <f>-753.892357055388 -75.2757292831845 -92.6437137593408</f>
        <v>-921.81180009791331</v>
      </c>
      <c r="W3638" t="s">
        <v>39471</v>
      </c>
      <c r="X3638" t="s">
        <v>39472</v>
      </c>
      <c r="Y3638" t="s">
        <v>39473</v>
      </c>
    </row>
    <row r="3639" spans="1:25" x14ac:dyDescent="0.3">
      <c r="A3639">
        <v>181900</v>
      </c>
      <c r="B3639" t="s">
        <v>39474</v>
      </c>
      <c r="C3639" t="s">
        <v>39475</v>
      </c>
      <c r="D3639" t="s">
        <v>39476</v>
      </c>
      <c r="E3639">
        <f>-822.429804523173 -3.2563306560512 -306.048472826179</f>
        <v>-1131.7346080054031</v>
      </c>
      <c r="F3639">
        <f>-829.655174757817 -5.88411622418744 -394.812789424204</f>
        <v>-1230.3520804062084</v>
      </c>
      <c r="G3639">
        <f>-834.787934080499 -6.67819746005875 -483.758159465048</f>
        <v>-1325.2242910056057</v>
      </c>
      <c r="H3639">
        <f>-839.727886064922 -5.90918245799662 -608.240341438798</f>
        <v>-1453.8774099617167</v>
      </c>
      <c r="I3639" t="s">
        <v>39477</v>
      </c>
      <c r="J3639" t="s">
        <v>39478</v>
      </c>
      <c r="K3639" t="s">
        <v>39479</v>
      </c>
      <c r="L3639" t="s">
        <v>39480</v>
      </c>
      <c r="M3639" t="s">
        <v>39481</v>
      </c>
      <c r="N3639">
        <f>-829.085667616949 -32.6262301217116 -553.96092201183</f>
        <v>-1415.6728197504906</v>
      </c>
      <c r="O3639">
        <f>-788.088371575507 -160.93062106811 -526.468222266579</f>
        <v>-1475.4872149101961</v>
      </c>
      <c r="P3639">
        <f>-772.405394839239 -189.658936563542 -234.030446357336</f>
        <v>-1196.0947777601168</v>
      </c>
      <c r="Q3639">
        <f>-635.302070533407 -22.0003327358386 -339.596288438534</f>
        <v>-996.89869170777956</v>
      </c>
      <c r="R3639" t="s">
        <v>39482</v>
      </c>
      <c r="S3639" t="s">
        <v>39483</v>
      </c>
      <c r="T3639" t="s">
        <v>39484</v>
      </c>
      <c r="U3639" t="s">
        <v>39485</v>
      </c>
      <c r="V3639">
        <f>-754.017182189382 -75.2616127650952 -92.6508762510686</f>
        <v>-921.92967120554567</v>
      </c>
      <c r="W3639" t="s">
        <v>39486</v>
      </c>
      <c r="X3639" t="s">
        <v>39487</v>
      </c>
      <c r="Y3639" t="s">
        <v>39488</v>
      </c>
    </row>
    <row r="3640" spans="1:25" x14ac:dyDescent="0.3">
      <c r="A3640">
        <v>181950</v>
      </c>
      <c r="B3640" t="s">
        <v>39489</v>
      </c>
      <c r="C3640" t="s">
        <v>39490</v>
      </c>
      <c r="D3640" t="s">
        <v>39491</v>
      </c>
      <c r="E3640">
        <f>-822.531524399233 -3.28827832575894 -306.053913061088</f>
        <v>-1131.8737157860801</v>
      </c>
      <c r="F3640">
        <f>-829.77630669561 -5.92128137072564 -394.816690896467</f>
        <v>-1230.5142789628026</v>
      </c>
      <c r="G3640">
        <f>-834.939306962788 -6.72219965668683 -483.760104249293</f>
        <v>-1325.4216108687679</v>
      </c>
      <c r="H3640">
        <f>-839.933089470126 -5.96385486356758 -608.240266948911</f>
        <v>-1454.1372112826045</v>
      </c>
      <c r="I3640" t="s">
        <v>39492</v>
      </c>
      <c r="J3640" t="s">
        <v>39493</v>
      </c>
      <c r="K3640" t="s">
        <v>39494</v>
      </c>
      <c r="L3640" t="s">
        <v>39495</v>
      </c>
      <c r="M3640" t="s">
        <v>39496</v>
      </c>
      <c r="N3640">
        <f>-829.252485472406 -32.6713103435343 -553.96376696735</f>
        <v>-1415.8875627832904</v>
      </c>
      <c r="O3640">
        <f>-788.180135380385 -160.946599110788 -526.464992295904</f>
        <v>-1475.5917267870771</v>
      </c>
      <c r="P3640">
        <f>-772.54552194831 -189.654353533759 -234.022485140447</f>
        <v>-1196.2223606225161</v>
      </c>
      <c r="Q3640">
        <f>-635.53987413337 -21.8991579869962 -339.561614136539</f>
        <v>-997.00064625690516</v>
      </c>
      <c r="R3640" t="s">
        <v>39497</v>
      </c>
      <c r="S3640" t="s">
        <v>39498</v>
      </c>
      <c r="T3640" t="s">
        <v>39499</v>
      </c>
      <c r="U3640" t="s">
        <v>39500</v>
      </c>
      <c r="V3640">
        <f>-754.131989279421 -75.252124730496 -92.6500896689444</f>
        <v>-922.03420367886133</v>
      </c>
      <c r="W3640" t="s">
        <v>39501</v>
      </c>
      <c r="X3640" t="s">
        <v>39502</v>
      </c>
      <c r="Y3640" t="s">
        <v>39503</v>
      </c>
    </row>
    <row r="3641" spans="1:25" x14ac:dyDescent="0.3">
      <c r="A3641">
        <v>182000</v>
      </c>
      <c r="B3641" t="s">
        <v>39504</v>
      </c>
      <c r="C3641" t="s">
        <v>39505</v>
      </c>
      <c r="D3641" t="s">
        <v>39506</v>
      </c>
      <c r="E3641">
        <f>-822.681977696915 -3.56482959909408 -306.060598340194</f>
        <v>-1132.3074056362032</v>
      </c>
      <c r="F3641">
        <f>-829.943771775111 -6.19211198072412 -394.822188308801</f>
        <v>-1230.9580720646361</v>
      </c>
      <c r="G3641">
        <f>-835.139179354796 -6.98212399341287 -483.763880247865</f>
        <v>-1325.8851835960741</v>
      </c>
      <c r="H3641">
        <f>-840.194639813946 -6.20253442861986 -608.241428949414</f>
        <v>-1454.6386031919797</v>
      </c>
      <c r="I3641" t="s">
        <v>39507</v>
      </c>
      <c r="J3641" t="s">
        <v>39508</v>
      </c>
      <c r="K3641" t="s">
        <v>39509</v>
      </c>
      <c r="L3641" t="s">
        <v>39510</v>
      </c>
      <c r="M3641" t="s">
        <v>39511</v>
      </c>
      <c r="N3641">
        <f>-829.464597160614 -32.9120321768394 -553.975525845388</f>
        <v>-1416.3521551828412</v>
      </c>
      <c r="O3641">
        <f>-788.259010044526 -161.153797452721 -526.516558093993</f>
        <v>-1475.9293655912402</v>
      </c>
      <c r="P3641">
        <f>-772.776242391199 -189.977633911619 -234.077274099617</f>
        <v>-1196.831150402435</v>
      </c>
      <c r="Q3641">
        <f>-636.009924606521 -21.9045735798884 -339.420798962321</f>
        <v>-997.33529714873043</v>
      </c>
      <c r="R3641" t="s">
        <v>39512</v>
      </c>
      <c r="S3641" t="s">
        <v>39513</v>
      </c>
      <c r="T3641" t="s">
        <v>39514</v>
      </c>
      <c r="U3641" t="s">
        <v>39515</v>
      </c>
      <c r="V3641">
        <f>-754.312006733388 -75.5692783790457 -92.6444264016051</f>
        <v>-922.52571151403879</v>
      </c>
      <c r="W3641" t="s">
        <v>39516</v>
      </c>
      <c r="X3641" t="s">
        <v>39517</v>
      </c>
      <c r="Y3641" t="s">
        <v>39518</v>
      </c>
    </row>
    <row r="3642" spans="1:25" x14ac:dyDescent="0.3">
      <c r="A3642">
        <v>182050</v>
      </c>
      <c r="B3642" t="s">
        <v>39519</v>
      </c>
      <c r="C3642" t="s">
        <v>39520</v>
      </c>
      <c r="D3642" t="s">
        <v>39521</v>
      </c>
      <c r="E3642">
        <f>-822.727854204879 -3.64469302602492 -306.065109615232</f>
        <v>-1132.437656846136</v>
      </c>
      <c r="F3642">
        <f>-829.98957776308 -6.26819307293545 -394.826794383121</f>
        <v>-1231.0845652191365</v>
      </c>
      <c r="G3642">
        <f>-835.185741635654 -7.05318300889439 -483.768460314254</f>
        <v>-1326.0073849588025</v>
      </c>
      <c r="H3642">
        <f>-840.243105915987 -6.26512531510548 -608.245782673812</f>
        <v>-1454.7540139049045</v>
      </c>
      <c r="I3642" t="s">
        <v>39522</v>
      </c>
      <c r="J3642" t="s">
        <v>39523</v>
      </c>
      <c r="K3642" t="s">
        <v>39524</v>
      </c>
      <c r="L3642" t="s">
        <v>39525</v>
      </c>
      <c r="M3642" t="s">
        <v>39526</v>
      </c>
      <c r="N3642">
        <f>-829.502288773056 -32.9751324548286 -553.982442882657</f>
        <v>-1416.4598641105415</v>
      </c>
      <c r="O3642">
        <f>-788.241758720064 -161.202998391454 -526.551758874109</f>
        <v>-1475.996515985627</v>
      </c>
      <c r="P3642">
        <f>-772.974785059107 -190.104307869788 -234.109030091987</f>
        <v>-1197.1881230208821</v>
      </c>
      <c r="Q3642">
        <f>-636.214967432274 -21.9547544602376 -339.33885617387</f>
        <v>-997.50857806638157</v>
      </c>
      <c r="R3642" t="s">
        <v>39527</v>
      </c>
      <c r="S3642" t="s">
        <v>39528</v>
      </c>
      <c r="T3642" t="s">
        <v>39529</v>
      </c>
      <c r="U3642" t="s">
        <v>39530</v>
      </c>
      <c r="V3642">
        <f>-754.386738718083 -75.6048006776143 -92.6481565914355</f>
        <v>-922.63969598713288</v>
      </c>
      <c r="W3642" t="s">
        <v>39531</v>
      </c>
      <c r="X3642" t="s">
        <v>39532</v>
      </c>
      <c r="Y3642" t="s">
        <v>39533</v>
      </c>
    </row>
    <row r="3643" spans="1:25" x14ac:dyDescent="0.3">
      <c r="A3643">
        <v>182100</v>
      </c>
      <c r="B3643" t="s">
        <v>39534</v>
      </c>
      <c r="C3643" t="s">
        <v>39535</v>
      </c>
      <c r="D3643" t="s">
        <v>39536</v>
      </c>
      <c r="E3643">
        <f>-822.830597016933 -3.80111593219476 -306.0528136519</f>
        <v>-1132.6845266010278</v>
      </c>
      <c r="F3643">
        <f>-830.101835824872 -6.45834638834071 -394.812731593841</f>
        <v>-1231.3729138070537</v>
      </c>
      <c r="G3643">
        <f>-835.307324734141 -7.29101227829437 -483.753396534445</f>
        <v>-1326.3517335468805</v>
      </c>
      <c r="H3643">
        <f>-840.377813621839 -6.58392644492983 -608.230727209035</f>
        <v>-1455.1924672758037</v>
      </c>
      <c r="I3643">
        <f>-812.458891419704 -0.0850987334263209 -686.226413409035</f>
        <v>-1498.7704035621653</v>
      </c>
      <c r="J3643" t="s">
        <v>39537</v>
      </c>
      <c r="K3643" t="s">
        <v>39538</v>
      </c>
      <c r="L3643" t="s">
        <v>39539</v>
      </c>
      <c r="M3643" t="s">
        <v>39540</v>
      </c>
      <c r="N3643">
        <f>-829.624347327556 -33.2563938230317 -553.951273933297</f>
        <v>-1416.8320150838847</v>
      </c>
      <c r="O3643">
        <f>-788.295800061552 -161.454560693579 -526.48862564195</f>
        <v>-1476.2389863970809</v>
      </c>
      <c r="P3643">
        <f>-773.295715143226 -190.33755436134 -234.030176089884</f>
        <v>-1197.66344559445</v>
      </c>
      <c r="Q3643">
        <f>-636.598438496797 -22.0462906184071 -339.114903268431</f>
        <v>-997.75963238363511</v>
      </c>
      <c r="R3643" t="s">
        <v>39541</v>
      </c>
      <c r="S3643" t="s">
        <v>39542</v>
      </c>
      <c r="T3643" t="s">
        <v>39543</v>
      </c>
      <c r="U3643" t="s">
        <v>39544</v>
      </c>
      <c r="V3643">
        <f>-754.493499985478 -75.7507568285985 -92.6573574327205</f>
        <v>-922.90161424679695</v>
      </c>
      <c r="W3643" t="s">
        <v>39545</v>
      </c>
      <c r="X3643" t="s">
        <v>39546</v>
      </c>
      <c r="Y3643" t="s">
        <v>39547</v>
      </c>
    </row>
    <row r="3644" spans="1:25" x14ac:dyDescent="0.3">
      <c r="A3644">
        <v>182150</v>
      </c>
      <c r="B3644" t="s">
        <v>39548</v>
      </c>
      <c r="C3644" t="s">
        <v>39549</v>
      </c>
      <c r="D3644" t="s">
        <v>39550</v>
      </c>
      <c r="E3644">
        <f>-822.906633962141 -3.86396032072707 -306.029317939166</f>
        <v>-1132.799912222034</v>
      </c>
      <c r="F3644">
        <f>-830.194723543042 -6.54305466388473 -394.787258059469</f>
        <v>-1231.5250362663958</v>
      </c>
      <c r="G3644">
        <f>-835.419323444684 -7.40292913791518 -483.726468811868</f>
        <v>-1326.5487213944671</v>
      </c>
      <c r="H3644">
        <f>-840.518730343807 -6.73937168276757 -608.202948207245</f>
        <v>-1455.4610502338196</v>
      </c>
      <c r="I3644">
        <f>-812.571419462869 -0.25146563383214 -686.189340901149</f>
        <v>-1499.0122259978502</v>
      </c>
      <c r="J3644" t="s">
        <v>39551</v>
      </c>
      <c r="K3644" t="s">
        <v>39552</v>
      </c>
      <c r="L3644" t="s">
        <v>39553</v>
      </c>
      <c r="M3644" t="s">
        <v>39554</v>
      </c>
      <c r="N3644">
        <f>-829.747096668626 -33.3910041194101 -553.916818777572</f>
        <v>-1417.0549195656081</v>
      </c>
      <c r="O3644">
        <f>-788.366077122469 -161.569416086647 -526.433394019546</f>
        <v>-1476.3688872286621</v>
      </c>
      <c r="P3644">
        <f>-773.42921884235 -190.393602260159 -233.965862473893</f>
        <v>-1197.788683576402</v>
      </c>
      <c r="Q3644">
        <f>-636.844308115886 -21.9766622162037 -338.995116366428</f>
        <v>-997.81608669851767</v>
      </c>
      <c r="R3644" t="s">
        <v>39555</v>
      </c>
      <c r="S3644" t="s">
        <v>39556</v>
      </c>
      <c r="T3644" t="s">
        <v>39557</v>
      </c>
      <c r="U3644" t="s">
        <v>39558</v>
      </c>
      <c r="V3644">
        <f>-754.548627651539 -75.7543852711191 -92.6579694520096</f>
        <v>-922.96098237466776</v>
      </c>
      <c r="W3644" t="s">
        <v>39559</v>
      </c>
      <c r="X3644" t="s">
        <v>39560</v>
      </c>
      <c r="Y3644" t="s">
        <v>39561</v>
      </c>
    </row>
    <row r="3645" spans="1:25" x14ac:dyDescent="0.3">
      <c r="A3645">
        <v>182200</v>
      </c>
      <c r="B3645" t="s">
        <v>39562</v>
      </c>
      <c r="C3645" t="s">
        <v>39563</v>
      </c>
      <c r="D3645" t="s">
        <v>39564</v>
      </c>
      <c r="E3645">
        <f>-823.041260866574 -4.16996217321002 -306.010301415836</f>
        <v>-1133.2215244556201</v>
      </c>
      <c r="F3645">
        <f>-830.381519923324 -6.87726468495453 -394.763041996153</f>
        <v>-1232.0218266044317</v>
      </c>
      <c r="G3645">
        <f>-835.663966768297 -7.76870002066585 -483.69860569452</f>
        <v>-1327.1312724834829</v>
      </c>
      <c r="H3645">
        <f>-840.850321515095 -7.15314423016412 -608.171730358053</f>
        <v>-1456.1751961033119</v>
      </c>
      <c r="I3645">
        <f>-812.854709731619 -0.6680312566873 -686.141048902795</f>
        <v>-1499.6637898911013</v>
      </c>
      <c r="J3645" t="s">
        <v>39565</v>
      </c>
      <c r="K3645" t="s">
        <v>39566</v>
      </c>
      <c r="L3645" t="s">
        <v>39567</v>
      </c>
      <c r="M3645" t="s">
        <v>39568</v>
      </c>
      <c r="N3645">
        <f>-830.015329723033 -33.7755077084485 -553.884008635068</f>
        <v>-1417.6748460665494</v>
      </c>
      <c r="O3645">
        <f>-788.439992602976 -161.897272131514 -526.412788684696</f>
        <v>-1476.7500534191859</v>
      </c>
      <c r="P3645">
        <f>-773.55286834534 -190.701975109479 -233.940696045498</f>
        <v>-1198.195539500317</v>
      </c>
      <c r="Q3645">
        <f>-637.262873876914 -22.0163654845041 -338.921974070657</f>
        <v>-998.20121343207506</v>
      </c>
      <c r="R3645" t="s">
        <v>39569</v>
      </c>
      <c r="S3645" t="s">
        <v>39570</v>
      </c>
      <c r="T3645" t="s">
        <v>39571</v>
      </c>
      <c r="U3645" t="s">
        <v>39572</v>
      </c>
      <c r="V3645">
        <f>-754.449328703153 -76.0401703052175 -92.6669861288333</f>
        <v>-923.15648513720384</v>
      </c>
      <c r="W3645" t="s">
        <v>39573</v>
      </c>
      <c r="X3645" t="s">
        <v>39574</v>
      </c>
      <c r="Y3645" t="s">
        <v>39575</v>
      </c>
    </row>
    <row r="3646" spans="1:25" x14ac:dyDescent="0.3">
      <c r="A3646">
        <v>182250</v>
      </c>
      <c r="B3646" t="s">
        <v>39576</v>
      </c>
      <c r="C3646" t="s">
        <v>39577</v>
      </c>
      <c r="D3646" t="s">
        <v>39578</v>
      </c>
      <c r="E3646">
        <f>-823.095199186951 -4.29688189456783 -306.007639728686</f>
        <v>-1133.3997208102048</v>
      </c>
      <c r="F3646">
        <f>-830.457204900869 -7.01117492476169 -394.758227961308</f>
        <v>-1232.2266077869388</v>
      </c>
      <c r="G3646">
        <f>-835.763113419399 -7.90860924288882 -483.692336677592</f>
        <v>-1327.3640593398798</v>
      </c>
      <c r="H3646">
        <f>-840.984543869171 -7.29956737582506 -608.163954508688</f>
        <v>-1456.4480657536842</v>
      </c>
      <c r="I3646">
        <f>-812.973753087005 -0.799428992037747 -686.126717198013</f>
        <v>-1499.8998992770557</v>
      </c>
      <c r="J3646" t="s">
        <v>39579</v>
      </c>
      <c r="K3646" t="s">
        <v>39580</v>
      </c>
      <c r="L3646" t="s">
        <v>39581</v>
      </c>
      <c r="M3646" t="s">
        <v>39582</v>
      </c>
      <c r="N3646">
        <f>-830.116543377458 -33.9134451469608 -553.878570795624</f>
        <v>-1417.908559320043</v>
      </c>
      <c r="O3646">
        <f>-788.41155435614 -162.003621048849 -526.449062335033</f>
        <v>-1476.864237740022</v>
      </c>
      <c r="P3646">
        <f>-773.464815162898 -190.913033561195 -233.99042525078</f>
        <v>-1198.3682739748731</v>
      </c>
      <c r="Q3646">
        <f>-637.459934178855 -21.9992276047658 -338.974397987188</f>
        <v>-998.43355977080876</v>
      </c>
      <c r="R3646" t="s">
        <v>39583</v>
      </c>
      <c r="S3646" t="s">
        <v>39584</v>
      </c>
      <c r="T3646" t="s">
        <v>39585</v>
      </c>
      <c r="U3646" t="s">
        <v>39586</v>
      </c>
      <c r="V3646">
        <f>-754.400287311723 -76.1449909461644 -92.6805582302084</f>
        <v>-923.22583648809575</v>
      </c>
      <c r="W3646" t="s">
        <v>39587</v>
      </c>
      <c r="X3646" t="s">
        <v>39588</v>
      </c>
      <c r="Y3646" t="s">
        <v>39589</v>
      </c>
    </row>
    <row r="3647" spans="1:25" x14ac:dyDescent="0.3">
      <c r="A3647">
        <v>182300</v>
      </c>
      <c r="B3647" t="s">
        <v>39590</v>
      </c>
      <c r="C3647" t="s">
        <v>39591</v>
      </c>
      <c r="D3647" t="s">
        <v>39592</v>
      </c>
      <c r="E3647">
        <f>-823.266626251367 -4.46346867050192 -305.993917456373</f>
        <v>-1133.7240123782419</v>
      </c>
      <c r="F3647">
        <f>-830.670034308636 -7.17031405992475 -394.741285903269</f>
        <v>-1232.5816342718297</v>
      </c>
      <c r="G3647">
        <f>-836.021030377143 -8.044132863698 -483.673051662844</f>
        <v>-1327.738214903685</v>
      </c>
      <c r="H3647">
        <f>-841.30887401145 -7.38516539294392 -608.141490567078</f>
        <v>-1456.8355299714719</v>
      </c>
      <c r="I3647">
        <f>-813.30110051449 -0.794552080541507 -686.097681655383</f>
        <v>-1500.1933342504144</v>
      </c>
      <c r="J3647" t="s">
        <v>39593</v>
      </c>
      <c r="K3647" t="s">
        <v>39594</v>
      </c>
      <c r="L3647" t="s">
        <v>39595</v>
      </c>
      <c r="M3647" t="s">
        <v>39596</v>
      </c>
      <c r="N3647">
        <f>-830.350732516265 -34.0008333640258 -553.875096452106</f>
        <v>-1418.2266623323967</v>
      </c>
      <c r="O3647">
        <f>-788.356420836083 -162.010454672421 -526.534516106968</f>
        <v>-1476.901391615472</v>
      </c>
      <c r="P3647">
        <f>-773.157613895202 -191.111619611686 -234.107985280251</f>
        <v>-1198.3772187871391</v>
      </c>
      <c r="Q3647">
        <f>-637.601206456566 -21.7742132782107 -338.989738600096</f>
        <v>-998.36515833487283</v>
      </c>
      <c r="R3647" t="s">
        <v>39597</v>
      </c>
      <c r="S3647" t="s">
        <v>39598</v>
      </c>
      <c r="T3647" t="s">
        <v>39599</v>
      </c>
      <c r="U3647" t="s">
        <v>39600</v>
      </c>
      <c r="V3647">
        <f>-754.432328539957 -76.1301342027162 -92.6793125915111</f>
        <v>-923.24177533418435</v>
      </c>
      <c r="W3647" t="s">
        <v>39601</v>
      </c>
      <c r="X3647" t="s">
        <v>39602</v>
      </c>
      <c r="Y3647" t="s">
        <v>39603</v>
      </c>
    </row>
    <row r="3648" spans="1:25" x14ac:dyDescent="0.3">
      <c r="A3648">
        <v>182350</v>
      </c>
      <c r="B3648" t="s">
        <v>39604</v>
      </c>
      <c r="C3648" t="s">
        <v>39605</v>
      </c>
      <c r="D3648" t="s">
        <v>39606</v>
      </c>
      <c r="E3648">
        <f>-823.363319290844 -4.66608975581676 -305.997932630991</f>
        <v>-1134.0273416776517</v>
      </c>
      <c r="F3648">
        <f>-830.78346394585 -7.38540301108287 -394.743556623429</f>
        <v>-1232.912423580362</v>
      </c>
      <c r="G3648">
        <f>-836.15245756192 -8.26642895075247 -483.674151018497</f>
        <v>-1328.0930375311696</v>
      </c>
      <c r="H3648">
        <f>-841.466677735753 -7.61182912245613 -608.141561637248</f>
        <v>-1457.2200684954571</v>
      </c>
      <c r="I3648">
        <f>-813.465614527294 -0.97378222020302 -686.095988224557</f>
        <v>-1500.5353849720541</v>
      </c>
      <c r="J3648" t="s">
        <v>39607</v>
      </c>
      <c r="K3648" t="s">
        <v>39608</v>
      </c>
      <c r="L3648" t="s">
        <v>39609</v>
      </c>
      <c r="M3648" t="s">
        <v>39610</v>
      </c>
      <c r="N3648">
        <f>-830.464400400755 -34.2147093573517 -553.877877182928</f>
        <v>-1418.5569869410347</v>
      </c>
      <c r="O3648">
        <f>-788.28487911504 -162.168861556503 -526.566748709139</f>
        <v>-1477.020489380682</v>
      </c>
      <c r="P3648">
        <f>-773.018178439643 -191.383288920361 -234.154975735791</f>
        <v>-1198.556443095795</v>
      </c>
      <c r="Q3648">
        <f>-637.679796121375 -21.8058231124267 -338.930384026892</f>
        <v>-998.41600326069374</v>
      </c>
      <c r="R3648" t="s">
        <v>39611</v>
      </c>
      <c r="S3648" t="s">
        <v>39612</v>
      </c>
      <c r="T3648" t="s">
        <v>39613</v>
      </c>
      <c r="U3648" t="s">
        <v>39614</v>
      </c>
      <c r="V3648">
        <f>-754.428866465516 -76.2532775548176 -92.6757553675908</f>
        <v>-923.35789938792436</v>
      </c>
      <c r="W3648" t="s">
        <v>39615</v>
      </c>
      <c r="X3648" t="s">
        <v>39616</v>
      </c>
      <c r="Y3648" t="s">
        <v>39617</v>
      </c>
    </row>
    <row r="3649" spans="1:25" x14ac:dyDescent="0.3">
      <c r="A3649">
        <v>182400</v>
      </c>
      <c r="B3649" t="s">
        <v>39618</v>
      </c>
      <c r="C3649" t="s">
        <v>39619</v>
      </c>
      <c r="D3649" t="s">
        <v>39620</v>
      </c>
      <c r="E3649">
        <f>-823.662144271381 -4.91019190413635 -306.014154242498</f>
        <v>-1134.5864904180153</v>
      </c>
      <c r="F3649">
        <f>-831.118231476697 -7.65622048508067 -394.756037415664</f>
        <v>-1233.5304893774417</v>
      </c>
      <c r="G3649">
        <f>-836.532870413755 -8.55268686677709 -483.683682465502</f>
        <v>-1328.7692397460341</v>
      </c>
      <c r="H3649">
        <f>-841.921140488795 -7.90774028168994 -608.147903396654</f>
        <v>-1457.9767841671389</v>
      </c>
      <c r="I3649">
        <f>-813.947966196024 -1.17689702086523 -686.104476108133</f>
        <v>-1501.2293393250222</v>
      </c>
      <c r="J3649" t="s">
        <v>39621</v>
      </c>
      <c r="K3649" t="s">
        <v>39622</v>
      </c>
      <c r="L3649" t="s">
        <v>39623</v>
      </c>
      <c r="M3649" t="s">
        <v>39624</v>
      </c>
      <c r="N3649">
        <f>-830.828553264571 -34.4873215853293 -553.891242263408</f>
        <v>-1419.2071171133084</v>
      </c>
      <c r="O3649">
        <f>-788.331862514595 -162.348178559008 -526.61265646142</f>
        <v>-1477.2926975350229</v>
      </c>
      <c r="P3649">
        <f>-773.068982784182 -191.62289127076 -234.20673132708</f>
        <v>-1198.898605382022</v>
      </c>
      <c r="Q3649">
        <f>-638.114530612329 -21.6199831148417 -338.787652257562</f>
        <v>-998.52216598473274</v>
      </c>
      <c r="R3649" t="s">
        <v>39625</v>
      </c>
      <c r="S3649" t="s">
        <v>39626</v>
      </c>
      <c r="T3649" t="s">
        <v>39627</v>
      </c>
      <c r="U3649" t="s">
        <v>39628</v>
      </c>
      <c r="V3649">
        <f>-754.583073345127 -76.2673913366283 -92.6811409337699</f>
        <v>-923.53160561552522</v>
      </c>
      <c r="W3649" t="s">
        <v>39629</v>
      </c>
      <c r="X3649" t="s">
        <v>39630</v>
      </c>
      <c r="Y3649" t="s">
        <v>39631</v>
      </c>
    </row>
    <row r="3650" spans="1:25" x14ac:dyDescent="0.3">
      <c r="A3650">
        <v>182450</v>
      </c>
      <c r="B3650" t="s">
        <v>39632</v>
      </c>
      <c r="C3650" t="s">
        <v>39633</v>
      </c>
      <c r="D3650">
        <f>-813.742543183754 -0.0367212494143132 -208.040337010599</f>
        <v>-1021.8196014437674</v>
      </c>
      <c r="E3650">
        <f>-823.862054508832 -5.04768461742174 -306.015663954965</f>
        <v>-1134.9254030812187</v>
      </c>
      <c r="F3650">
        <f>-831.33948962455 -7.80876713734528 -394.755211867746</f>
        <v>-1233.9034686296413</v>
      </c>
      <c r="G3650">
        <f>-836.777534230792 -8.71477319411611 -483.681317456311</f>
        <v>-1329.173624881219</v>
      </c>
      <c r="H3650">
        <f>-842.200642883938 -8.07671132392602 -608.144030788918</f>
        <v>-1458.4213849967821</v>
      </c>
      <c r="I3650">
        <f>-814.239540153662 -1.30829898436627 -686.101709739998</f>
        <v>-1501.6495488780263</v>
      </c>
      <c r="J3650" t="s">
        <v>39634</v>
      </c>
      <c r="K3650" t="s">
        <v>39635</v>
      </c>
      <c r="L3650" t="s">
        <v>39636</v>
      </c>
      <c r="M3650" t="s">
        <v>39637</v>
      </c>
      <c r="N3650">
        <f>-831.066991935571 -34.6446655110194 -553.889943635698</f>
        <v>-1419.6016010822884</v>
      </c>
      <c r="O3650">
        <f>-788.428808054755 -162.460993619271 -526.632295103802</f>
        <v>-1477.522096777828</v>
      </c>
      <c r="P3650">
        <f>-773.147287493941 -191.746917773798 -234.228580347616</f>
        <v>-1199.122785615355</v>
      </c>
      <c r="Q3650">
        <f>-638.381845805444 -21.6145441207764 -338.842589488218</f>
        <v>-998.83897941443831</v>
      </c>
      <c r="R3650" t="s">
        <v>39638</v>
      </c>
      <c r="S3650" t="s">
        <v>39639</v>
      </c>
      <c r="T3650" t="s">
        <v>39640</v>
      </c>
      <c r="U3650" t="s">
        <v>39641</v>
      </c>
      <c r="V3650">
        <f>-754.655860946024 -76.3067281699639 -92.6918713606181</f>
        <v>-923.65446047660589</v>
      </c>
      <c r="W3650" t="s">
        <v>39642</v>
      </c>
      <c r="X3650" t="s">
        <v>39643</v>
      </c>
      <c r="Y3650" t="s">
        <v>39644</v>
      </c>
    </row>
    <row r="3651" spans="1:25" x14ac:dyDescent="0.3">
      <c r="A3651">
        <v>182500</v>
      </c>
      <c r="B3651" t="s">
        <v>39645</v>
      </c>
      <c r="C3651" t="s">
        <v>39646</v>
      </c>
      <c r="D3651">
        <f>-814.130670550863 -0.437053949474375 -208.046080989109</f>
        <v>-1022.6138054894463</v>
      </c>
      <c r="E3651">
        <f>-824.315690117177 -5.50797396595476 -306.01130181872</f>
        <v>-1135.8349659018518</v>
      </c>
      <c r="F3651">
        <f>-831.859463446745 -8.31271193941438 -394.743922730246</f>
        <v>-1234.9160981164055</v>
      </c>
      <c r="G3651">
        <f>-837.370831586891 -9.25056884730293 -483.665100308095</f>
        <v>-1330.2865007422888</v>
      </c>
      <c r="H3651">
        <f>-842.903633654977 -8.64491170726092 -608.123311790983</f>
        <v>-1459.671857153221</v>
      </c>
      <c r="I3651">
        <f>-814.948834796276 -1.80850722807349 -686.077298698675</f>
        <v>-1502.8346407230244</v>
      </c>
      <c r="J3651" t="s">
        <v>39647</v>
      </c>
      <c r="K3651" t="s">
        <v>39648</v>
      </c>
      <c r="L3651" t="s">
        <v>39649</v>
      </c>
      <c r="M3651" t="s">
        <v>39650</v>
      </c>
      <c r="N3651">
        <f>-831.659789700583 -35.1778132405161 -553.874908216526</f>
        <v>-1420.7125111576252</v>
      </c>
      <c r="O3651">
        <f>-788.679919025407 -162.881656963822 -526.633411234422</f>
        <v>-1478.194987223651</v>
      </c>
      <c r="P3651">
        <f>-773.269516177431 -192.088552825592 -234.22843178694</f>
        <v>-1199.5865007899631</v>
      </c>
      <c r="Q3651">
        <f>-638.907918265615 -21.6662628375316 -338.890266462649</f>
        <v>-999.46444756579558</v>
      </c>
      <c r="R3651" t="s">
        <v>39651</v>
      </c>
      <c r="S3651" t="s">
        <v>39652</v>
      </c>
      <c r="T3651" t="s">
        <v>39653</v>
      </c>
      <c r="U3651" t="s">
        <v>39654</v>
      </c>
      <c r="V3651">
        <f>-754.794609756884 -76.4814375176534 -92.7001689075231</f>
        <v>-923.97621618206051</v>
      </c>
      <c r="W3651" t="s">
        <v>39655</v>
      </c>
      <c r="X3651" t="s">
        <v>39656</v>
      </c>
      <c r="Y3651" t="s">
        <v>39657</v>
      </c>
    </row>
    <row r="3652" spans="1:25" x14ac:dyDescent="0.3">
      <c r="A3652">
        <v>182550</v>
      </c>
      <c r="B3652" t="s">
        <v>39658</v>
      </c>
      <c r="C3652" t="s">
        <v>39659</v>
      </c>
      <c r="D3652">
        <f>-814.28801504194 -0.725195291402315 -208.067148635069</f>
        <v>-1023.0803589684112</v>
      </c>
      <c r="E3652">
        <f>-824.49815285777 -5.82912925515666 -306.028242204266</f>
        <v>-1136.3555243171927</v>
      </c>
      <c r="F3652">
        <f>-832.072391250731 -8.66129968728296 -394.757296186695</f>
        <v>-1235.4909871247089</v>
      </c>
      <c r="G3652">
        <f>-837.6223286286 -9.62401739464121 -483.67578606581</f>
        <v>-1330.9221320890513</v>
      </c>
      <c r="H3652">
        <f>-843.217465507431 -9.04949800394138 -608.131425818147</f>
        <v>-1460.3983893295194</v>
      </c>
      <c r="I3652">
        <f>-815.269897234466 -2.17776997240776 -686.084800585531</f>
        <v>-1503.5324677924048</v>
      </c>
      <c r="J3652" t="s">
        <v>39660</v>
      </c>
      <c r="K3652" t="s">
        <v>39661</v>
      </c>
      <c r="L3652" t="s">
        <v>39662</v>
      </c>
      <c r="M3652" t="s">
        <v>39663</v>
      </c>
      <c r="N3652">
        <f>-831.91027532879 -35.5564778640396 -553.883424899902</f>
        <v>-1421.3501780927318</v>
      </c>
      <c r="O3652">
        <f>-788.730045071685 -163.192272095337 -526.643014984807</f>
        <v>-1478.5653321518289</v>
      </c>
      <c r="P3652">
        <f>-773.203358698981 -192.345601980327 -234.238763551674</f>
        <v>-1199.7877242309821</v>
      </c>
      <c r="Q3652">
        <f>-639.084644397667 -21.7639370368947 -338.952327480503</f>
        <v>-999.80090891506484</v>
      </c>
      <c r="R3652" t="s">
        <v>39664</v>
      </c>
      <c r="S3652" t="s">
        <v>39665</v>
      </c>
      <c r="T3652" t="s">
        <v>39666</v>
      </c>
      <c r="U3652" t="s">
        <v>39667</v>
      </c>
      <c r="V3652">
        <f>-754.851306096006 -76.7171362413537 -92.7053239830776</f>
        <v>-924.2737663204374</v>
      </c>
      <c r="W3652" t="s">
        <v>39668</v>
      </c>
      <c r="X3652" t="s">
        <v>39669</v>
      </c>
      <c r="Y3652" t="s">
        <v>39670</v>
      </c>
    </row>
    <row r="3653" spans="1:25" x14ac:dyDescent="0.3">
      <c r="A3653">
        <v>182600</v>
      </c>
      <c r="B3653" t="s">
        <v>39671</v>
      </c>
      <c r="C3653" t="s">
        <v>39672</v>
      </c>
      <c r="D3653">
        <f>-814.64459168596 -1.36687411547473 -208.084231195497</f>
        <v>-1024.0956969969318</v>
      </c>
      <c r="E3653">
        <f>-824.900199021913 -6.52984976979474 -306.037407362588</f>
        <v>-1137.4674561542956</v>
      </c>
      <c r="F3653">
        <f>-832.530825449104 -9.40819493694789 -394.760064888806</f>
        <v>-1236.6990852748579</v>
      </c>
      <c r="G3653">
        <f>-838.15303166767 -10.4079165090866 -483.673782176682</f>
        <v>-1332.2347303534386</v>
      </c>
      <c r="H3653">
        <f>-843.865414894212 -9.87541279595575 -608.124177174344</f>
        <v>-1461.8650048645118</v>
      </c>
      <c r="I3653">
        <f>-815.959112095883 -2.92029771555326 -686.084987830535</f>
        <v>-1504.9643976419713</v>
      </c>
      <c r="J3653" t="s">
        <v>39673</v>
      </c>
      <c r="K3653" t="s">
        <v>39674</v>
      </c>
      <c r="L3653" t="s">
        <v>39675</v>
      </c>
      <c r="M3653" t="s">
        <v>39676</v>
      </c>
      <c r="N3653">
        <f>-832.42674599896 -36.3368617377282 -553.881637596341</f>
        <v>-1422.6452453330292</v>
      </c>
      <c r="O3653">
        <f>-788.800119388198 -163.829803075485 -526.668865912201</f>
        <v>-1479.298788375884</v>
      </c>
      <c r="P3653">
        <f>-772.98676082527 -192.940763918355 -234.27591020033</f>
        <v>-1200.203434943955</v>
      </c>
      <c r="Q3653">
        <f>-639.456793032229 -21.9275588011305 -339.037839308455</f>
        <v>-1000.4221911418146</v>
      </c>
      <c r="R3653" t="s">
        <v>39677</v>
      </c>
      <c r="S3653" t="s">
        <v>39678</v>
      </c>
      <c r="T3653" t="s">
        <v>39679</v>
      </c>
      <c r="U3653" t="s">
        <v>39680</v>
      </c>
      <c r="V3653">
        <f>-755.030793641321 -77.1627219035839 -92.7143823723537</f>
        <v>-924.90789791725865</v>
      </c>
      <c r="W3653" t="s">
        <v>39681</v>
      </c>
      <c r="X3653" t="s">
        <v>39682</v>
      </c>
      <c r="Y3653" t="s">
        <v>39683</v>
      </c>
    </row>
    <row r="3654" spans="1:25" x14ac:dyDescent="0.3">
      <c r="A3654">
        <v>182650</v>
      </c>
      <c r="B3654" t="s">
        <v>39684</v>
      </c>
      <c r="C3654" t="s">
        <v>39685</v>
      </c>
      <c r="D3654">
        <f>-814.886593156803 -1.65957578106304 -208.091966171765</f>
        <v>-1024.6381351096311</v>
      </c>
      <c r="E3654">
        <f>-825.157714557106 -6.84978734369679 -306.042102632964</f>
        <v>-1138.0496045337668</v>
      </c>
      <c r="F3654">
        <f>-832.811865120295 -9.74887752793802 -394.762087743141</f>
        <v>-1237.3228303913741</v>
      </c>
      <c r="G3654">
        <f>-838.46687505176 -10.7652726238566 -483.673518663485</f>
        <v>-1332.9056663391016</v>
      </c>
      <c r="H3654">
        <f>-844.235003600124 -10.2516953960551 -608.121381562947</f>
        <v>-1462.6080805591259</v>
      </c>
      <c r="I3654">
        <f>-816.362855104709 -3.25401921422304 -686.090590474658</f>
        <v>-1505.7074647935901</v>
      </c>
      <c r="J3654" t="s">
        <v>39686</v>
      </c>
      <c r="K3654" t="s">
        <v>39687</v>
      </c>
      <c r="L3654" t="s">
        <v>39688</v>
      </c>
      <c r="M3654" t="s">
        <v>39689</v>
      </c>
      <c r="N3654">
        <f>-832.734081502476 -36.6920257626155 -553.881654998379</f>
        <v>-1423.3077622634705</v>
      </c>
      <c r="O3654">
        <f>-788.88235632129 -164.111701446021 -526.68709007386</f>
        <v>-1479.681147841171</v>
      </c>
      <c r="P3654">
        <f>-772.909461344393 -193.199718872446 -234.300391240447</f>
        <v>-1200.4095714572859</v>
      </c>
      <c r="Q3654">
        <f>-639.690336985133 -21.9355544374275 -339.048177229871</f>
        <v>-1000.6740686524315</v>
      </c>
      <c r="R3654" t="s">
        <v>39690</v>
      </c>
      <c r="S3654" t="s">
        <v>39691</v>
      </c>
      <c r="T3654" t="s">
        <v>39692</v>
      </c>
      <c r="U3654" t="s">
        <v>39693</v>
      </c>
      <c r="V3654">
        <f>-755.19958817911 -77.298929960928 -92.7194543289826</f>
        <v>-925.21797246902065</v>
      </c>
      <c r="W3654" t="s">
        <v>39694</v>
      </c>
      <c r="X3654" t="s">
        <v>39695</v>
      </c>
      <c r="Y3654" t="s">
        <v>39696</v>
      </c>
    </row>
    <row r="3655" spans="1:25" x14ac:dyDescent="0.3">
      <c r="A3655">
        <v>182700</v>
      </c>
      <c r="B3655" t="s">
        <v>39697</v>
      </c>
      <c r="C3655" t="s">
        <v>39698</v>
      </c>
      <c r="D3655">
        <f>-815.292410623597 -2.53954553574431 -208.087826638412</f>
        <v>-1025.9197827977532</v>
      </c>
      <c r="E3655">
        <f>-825.614844487162 -7.77123703308257 -306.030514614123</f>
        <v>-1139.4165961343676</v>
      </c>
      <c r="F3655">
        <f>-833.339212837078 -10.7002276255084 -394.743406408688</f>
        <v>-1238.7828468712744</v>
      </c>
      <c r="G3655">
        <f>-839.088716307589 -11.7371731850524 -483.648468003976</f>
        <v>-1334.4743574966174</v>
      </c>
      <c r="H3655">
        <f>-845.014787376645 -11.2418407393741 -608.089022612008</f>
        <v>-1464.3456507280271</v>
      </c>
      <c r="I3655">
        <f>-817.251994813799 -4.15851738809579 -686.089490105644</f>
        <v>-1507.5000023075388</v>
      </c>
      <c r="J3655" t="s">
        <v>39699</v>
      </c>
      <c r="K3655" t="s">
        <v>39700</v>
      </c>
      <c r="L3655" t="s">
        <v>39701</v>
      </c>
      <c r="M3655" t="s">
        <v>39702</v>
      </c>
      <c r="N3655">
        <f>-833.372361545318 -37.64925550814 -553.863352399942</f>
        <v>-1424.8849694533999</v>
      </c>
      <c r="O3655">
        <f>-789.083464894745 -164.930715749084 -526.727512894642</f>
        <v>-1480.7416935384711</v>
      </c>
      <c r="P3655">
        <f>-772.774527902838 -194.000261754296 -234.357650014629</f>
        <v>-1201.132439671763</v>
      </c>
      <c r="Q3655">
        <f>-640.19868810712 -22.2475407824452 -339.122009007046</f>
        <v>-1001.5682378966112</v>
      </c>
      <c r="R3655" t="s">
        <v>39703</v>
      </c>
      <c r="S3655" t="s">
        <v>39704</v>
      </c>
      <c r="T3655" t="s">
        <v>39705</v>
      </c>
      <c r="U3655" t="s">
        <v>39706</v>
      </c>
      <c r="V3655">
        <f>-755.424830395218 -78.1017293040351 -92.7107405115723</f>
        <v>-926.23730021082542</v>
      </c>
      <c r="W3655" t="s">
        <v>39707</v>
      </c>
      <c r="X3655" t="s">
        <v>39708</v>
      </c>
      <c r="Y3655" t="s">
        <v>39709</v>
      </c>
    </row>
    <row r="3656" spans="1:25" x14ac:dyDescent="0.3">
      <c r="A3656">
        <v>182750</v>
      </c>
      <c r="B3656" t="s">
        <v>39710</v>
      </c>
      <c r="C3656" t="s">
        <v>39711</v>
      </c>
      <c r="D3656">
        <f>-815.559885742359 -2.95596803026069 -208.080532718301</f>
        <v>-1026.5963864909206</v>
      </c>
      <c r="E3656">
        <f>-825.917392725386 -8.20971699254937 -306.018157789563</f>
        <v>-1140.1452675074984</v>
      </c>
      <c r="F3656">
        <f>-833.680230247881 -11.1541384231864 -394.727251595337</f>
        <v>-1239.5616202664044</v>
      </c>
      <c r="G3656">
        <f>-839.475464471467 -12.2015154354606 -483.629360959511</f>
        <v>-1335.3063408664386</v>
      </c>
      <c r="H3656">
        <f>-845.472812302595 -11.7150267650038 -608.066475997724</f>
        <v>-1465.2543150653228</v>
      </c>
      <c r="I3656">
        <f>-817.761476074534 -4.58872593034903 -686.081345118372</f>
        <v>-1508.4315471232551</v>
      </c>
      <c r="J3656" t="s">
        <v>39712</v>
      </c>
      <c r="K3656" t="s">
        <v>39713</v>
      </c>
      <c r="L3656" t="s">
        <v>39714</v>
      </c>
      <c r="M3656" t="s">
        <v>39715</v>
      </c>
      <c r="N3656">
        <f>-833.764141707814 -38.1062527926235 -553.847303360771</f>
        <v>-1425.7176978612085</v>
      </c>
      <c r="O3656">
        <f>-789.282754708787 -165.323682411423 -526.727694849653</f>
        <v>-1481.3341319698629</v>
      </c>
      <c r="P3656">
        <f>-772.770835269496 -194.35206747265 -234.365074241011</f>
        <v>-1201.4879769831571</v>
      </c>
      <c r="Q3656">
        <f>-640.490549422757 -22.3871571591346 -339.154831145525</f>
        <v>-1002.0325377274166</v>
      </c>
      <c r="R3656" t="s">
        <v>39716</v>
      </c>
      <c r="S3656" t="s">
        <v>39717</v>
      </c>
      <c r="T3656" t="s">
        <v>39718</v>
      </c>
      <c r="U3656" t="s">
        <v>39719</v>
      </c>
      <c r="V3656">
        <f>-755.617509270218 -78.4422871084616 -92.7029638452588</f>
        <v>-926.76276022393836</v>
      </c>
      <c r="W3656" t="s">
        <v>39720</v>
      </c>
      <c r="X3656" t="s">
        <v>39721</v>
      </c>
      <c r="Y3656" t="s">
        <v>39722</v>
      </c>
    </row>
    <row r="3657" spans="1:25" x14ac:dyDescent="0.3">
      <c r="A3657">
        <v>182800</v>
      </c>
      <c r="B3657" t="s">
        <v>39723</v>
      </c>
      <c r="C3657" t="s">
        <v>39724</v>
      </c>
      <c r="D3657">
        <f>-816.1252026909 -3.76718697444539 -208.058936127966</f>
        <v>-1027.9513257933113</v>
      </c>
      <c r="E3657">
        <f>-826.525263795648 -9.04942313646575 -305.990469020199</f>
        <v>-1141.5651559523128</v>
      </c>
      <c r="F3657">
        <f>-834.325374612335 -12.0038093125322 -394.696062244685</f>
        <v>-1241.0252461695522</v>
      </c>
      <c r="G3657">
        <f>-840.156787575392 -13.0438558904807 -483.595742393331</f>
        <v>-1336.7963858592036</v>
      </c>
      <c r="H3657">
        <f>-846.203290476654 -12.5294004236266 -608.030478569993</f>
        <v>-1466.7631694702736</v>
      </c>
      <c r="I3657">
        <f>-818.562596988807 -5.32051643260729 -686.062855925622</f>
        <v>-1509.9459693470362</v>
      </c>
      <c r="J3657" t="s">
        <v>39725</v>
      </c>
      <c r="K3657" t="s">
        <v>39726</v>
      </c>
      <c r="L3657" t="s">
        <v>39727</v>
      </c>
      <c r="M3657" t="s">
        <v>39728</v>
      </c>
      <c r="N3657">
        <f>-834.41907460654 -38.9139354898255 -553.824372230758</f>
        <v>-1427.1573823271233</v>
      </c>
      <c r="O3657">
        <f>-789.635714257234 -166.028502814947 -526.729922447573</f>
        <v>-1482.3941395197539</v>
      </c>
      <c r="P3657">
        <f>-772.715748023254 -195.032162282661 -234.388028307604</f>
        <v>-1202.1359386135191</v>
      </c>
      <c r="Q3657">
        <f>-641.060896247021 -22.6282661312021 -339.243866100598</f>
        <v>-1002.933028478821</v>
      </c>
      <c r="R3657" t="s">
        <v>39729</v>
      </c>
      <c r="S3657" t="s">
        <v>39730</v>
      </c>
      <c r="T3657" t="s">
        <v>39731</v>
      </c>
      <c r="U3657" t="s">
        <v>39732</v>
      </c>
      <c r="V3657">
        <f>-755.99514028556 -79.1265883630467 -92.6918179852388</f>
        <v>-927.81354663384548</v>
      </c>
      <c r="W3657" t="s">
        <v>39733</v>
      </c>
      <c r="X3657" t="s">
        <v>39734</v>
      </c>
      <c r="Y3657" t="s">
        <v>39735</v>
      </c>
    </row>
    <row r="3658" spans="1:25" x14ac:dyDescent="0.3">
      <c r="A3658">
        <v>182850</v>
      </c>
      <c r="B3658" t="s">
        <v>39736</v>
      </c>
      <c r="C3658" t="s">
        <v>39737</v>
      </c>
      <c r="D3658">
        <f>-816.368475833553 -4.21046119381072 -208.057330527193</f>
        <v>-1028.6362675545568</v>
      </c>
      <c r="E3658">
        <f>-826.785969595274 -9.51135503356022 -305.986088267851</f>
        <v>-1142.2834128966851</v>
      </c>
      <c r="F3658">
        <f>-834.597992184875 -12.4779370346457 -394.690112270339</f>
        <v>-1241.7660414898596</v>
      </c>
      <c r="G3658">
        <f>-840.437472556128 -13.525512645861 -483.589204542261</f>
        <v>-1337.55218974425</v>
      </c>
      <c r="H3658">
        <f>-846.491455019113 -13.016281692325 -608.02355182259</f>
        <v>-1467.5312885340281</v>
      </c>
      <c r="I3658">
        <f>-818.872406152209 -5.78319341467454 -686.061384074866</f>
        <v>-1510.7169836417497</v>
      </c>
      <c r="J3658" t="s">
        <v>39738</v>
      </c>
      <c r="K3658" t="s">
        <v>39739</v>
      </c>
      <c r="L3658" t="s">
        <v>39740</v>
      </c>
      <c r="M3658" t="s">
        <v>39741</v>
      </c>
      <c r="N3658">
        <f>-834.685032783204 -39.3919615344823 -553.817948879763</f>
        <v>-1427.8949431974493</v>
      </c>
      <c r="O3658">
        <f>-789.776019247698 -166.461344971147 -526.727648776146</f>
        <v>-1482.965012994991</v>
      </c>
      <c r="P3658">
        <f>-772.759498764682 -195.449019218069 -234.390007440196</f>
        <v>-1202.598525422947</v>
      </c>
      <c r="Q3658">
        <f>-641.299768854079 -22.9362108723867 -339.311695782526</f>
        <v>-1003.5476755089917</v>
      </c>
      <c r="R3658" t="s">
        <v>39742</v>
      </c>
      <c r="S3658" t="s">
        <v>39743</v>
      </c>
      <c r="T3658" t="s">
        <v>39744</v>
      </c>
      <c r="U3658" t="s">
        <v>39745</v>
      </c>
      <c r="V3658">
        <f>-756.192453439201 -79.4784131934483 -92.6862923182647</f>
        <v>-928.35715895091403</v>
      </c>
      <c r="W3658" t="s">
        <v>39746</v>
      </c>
      <c r="X3658" t="s">
        <v>39747</v>
      </c>
      <c r="Y3658" t="s">
        <v>39748</v>
      </c>
    </row>
    <row r="3659" spans="1:25" x14ac:dyDescent="0.3">
      <c r="A3659">
        <v>182900</v>
      </c>
      <c r="B3659" t="s">
        <v>39749</v>
      </c>
      <c r="C3659" t="s">
        <v>39750</v>
      </c>
      <c r="D3659">
        <f>-816.816291313237 -5.05433390264602 -208.042708013822</f>
        <v>-1029.9133332297051</v>
      </c>
      <c r="E3659">
        <f>-827.266978562159 -10.3881786657792 -305.965958233361</f>
        <v>-1143.6211154612993</v>
      </c>
      <c r="F3659">
        <f>-835.10669391032 -13.3803004468775 -394.666802744738</f>
        <v>-1243.1537971019357</v>
      </c>
      <c r="G3659">
        <f>-840.971804381257 -14.4489645193191 -483.563873715752</f>
        <v>-1338.9846426163281</v>
      </c>
      <c r="H3659">
        <f>-847.05926467454 -13.9643550689814 -607.996816675926</f>
        <v>-1469.0204364194474</v>
      </c>
      <c r="I3659">
        <f>-819.461298326731 -6.70963662911277 -686.040060626022</f>
        <v>-1512.2109955818657</v>
      </c>
      <c r="J3659" t="s">
        <v>39751</v>
      </c>
      <c r="K3659" t="s">
        <v>39752</v>
      </c>
      <c r="L3659" t="s">
        <v>39753</v>
      </c>
      <c r="M3659" t="s">
        <v>39754</v>
      </c>
      <c r="N3659">
        <f>-835.215300142192 -40.3211680837428 -553.790175968262</f>
        <v>-1429.3266441941969</v>
      </c>
      <c r="O3659">
        <f>-790.145217732079 -167.332337758639 -526.68163363699</f>
        <v>-1484.159189127708</v>
      </c>
      <c r="P3659">
        <f>-772.93340764209 -196.233225889706 -234.3468257868</f>
        <v>-1203.513459318596</v>
      </c>
      <c r="Q3659">
        <f>-641.713515536926 -23.5994646212696 -339.369628299941</f>
        <v>-1004.6826084581367</v>
      </c>
      <c r="R3659" t="s">
        <v>39755</v>
      </c>
      <c r="S3659" t="s">
        <v>39756</v>
      </c>
      <c r="T3659" t="s">
        <v>39757</v>
      </c>
      <c r="U3659" t="s">
        <v>39758</v>
      </c>
      <c r="V3659">
        <f>-756.573142058107 -80.1968331275334 -92.6718852637059</f>
        <v>-929.44186044934634</v>
      </c>
      <c r="W3659" t="s">
        <v>39759</v>
      </c>
      <c r="X3659" t="s">
        <v>39760</v>
      </c>
      <c r="Y3659" t="s">
        <v>39761</v>
      </c>
    </row>
    <row r="3660" spans="1:25" x14ac:dyDescent="0.3">
      <c r="A3660">
        <v>182950</v>
      </c>
      <c r="B3660" t="s">
        <v>39762</v>
      </c>
      <c r="C3660" t="s">
        <v>39763</v>
      </c>
      <c r="D3660">
        <f>-817.018351567964 -5.52536416635348 -208.031235146408</f>
        <v>-1030.5749508807255</v>
      </c>
      <c r="E3660">
        <f>-827.483978905054 -10.8638972506931 -305.952871420684</f>
        <v>-1144.3007475764311</v>
      </c>
      <c r="F3660">
        <f>-835.333943842663 -13.85714638325 -394.65271935906</f>
        <v>-1243.8438095849729</v>
      </c>
      <c r="G3660">
        <f>-841.205959675612 -14.9235946841295 -483.54935876916</f>
        <v>-1339.6789131289015</v>
      </c>
      <c r="H3660">
        <f>-847.299807714052 -14.4321384029927 -607.981879128455</f>
        <v>-1469.7138252454997</v>
      </c>
      <c r="I3660">
        <f>-819.707539731492 -7.1616949158265 -686.025674390129</f>
        <v>-1512.8949090374476</v>
      </c>
      <c r="J3660" t="s">
        <v>39764</v>
      </c>
      <c r="K3660" t="s">
        <v>39765</v>
      </c>
      <c r="L3660" t="s">
        <v>39766</v>
      </c>
      <c r="M3660" t="s">
        <v>39767</v>
      </c>
      <c r="N3660">
        <f>-835.4406412058 -40.7875942996998 -553.778002006629</f>
        <v>-1430.0062375121288</v>
      </c>
      <c r="O3660">
        <f>-790.309164920957 -167.772498170318 -526.657584396743</f>
        <v>-1484.739247488018</v>
      </c>
      <c r="P3660">
        <f>-772.988209958039 -196.602922776431 -234.322201451247</f>
        <v>-1203.9133341857168</v>
      </c>
      <c r="Q3660">
        <f>-641.915173853801 -23.9265732563383 -339.458083856241</f>
        <v>-1005.2998309663803</v>
      </c>
      <c r="R3660" t="s">
        <v>39768</v>
      </c>
      <c r="S3660" t="s">
        <v>39769</v>
      </c>
      <c r="T3660" t="s">
        <v>39770</v>
      </c>
      <c r="U3660" t="s">
        <v>39771</v>
      </c>
      <c r="V3660">
        <f>-756.727186992475 -80.6801175607533 -92.6604470265648</f>
        <v>-930.06775157979314</v>
      </c>
      <c r="W3660" t="s">
        <v>39772</v>
      </c>
      <c r="X3660" t="s">
        <v>39773</v>
      </c>
      <c r="Y3660" t="s">
        <v>39774</v>
      </c>
    </row>
    <row r="3661" spans="1:25" x14ac:dyDescent="0.3">
      <c r="A3661">
        <v>183000</v>
      </c>
      <c r="B3661" t="s">
        <v>39775</v>
      </c>
      <c r="C3661" t="s">
        <v>39776</v>
      </c>
      <c r="D3661">
        <f>-817.472213907907 -6.20442129635148 -208.028366628118</f>
        <v>-1031.7050018323764</v>
      </c>
      <c r="E3661">
        <f>-827.925041994517 -11.5457825347173 -305.950992004253</f>
        <v>-1145.4218165334873</v>
      </c>
      <c r="F3661">
        <f>-835.745428873757 -14.5367191499045 -394.653518282045</f>
        <v>-1244.9356663057065</v>
      </c>
      <c r="G3661">
        <f>-841.570199925048 -15.5957071003343 -483.553579020643</f>
        <v>-1340.7194860460252</v>
      </c>
      <c r="H3661">
        <f>-847.579165895171 -15.0890784220496 -607.990046667361</f>
        <v>-1470.6582909845815</v>
      </c>
      <c r="I3661">
        <f>-819.952114067887 -7.77698646111139 -686.017624738979</f>
        <v>-1513.7467252679774</v>
      </c>
      <c r="J3661" t="s">
        <v>39777</v>
      </c>
      <c r="K3661" t="s">
        <v>39778</v>
      </c>
      <c r="L3661" t="s">
        <v>39779</v>
      </c>
      <c r="M3661" t="s">
        <v>39780</v>
      </c>
      <c r="N3661">
        <f>-835.732845056265 -41.4426143709279 -553.782468664871</f>
        <v>-1430.9579280920639</v>
      </c>
      <c r="O3661">
        <f>-790.450682824435 -168.358482561698 -526.59495992658</f>
        <v>-1485.4041253127129</v>
      </c>
      <c r="P3661">
        <f>-772.938217789985 -197.195280016896 -234.271489213504</f>
        <v>-1204.4049870203851</v>
      </c>
      <c r="Q3661">
        <f>-642.545863974593 -24.3662733842718 -340.001640455833</f>
        <v>-1006.9137778146978</v>
      </c>
      <c r="R3661" t="s">
        <v>39781</v>
      </c>
      <c r="S3661" t="s">
        <v>39782</v>
      </c>
      <c r="T3661" t="s">
        <v>39783</v>
      </c>
      <c r="U3661" t="s">
        <v>39784</v>
      </c>
      <c r="V3661">
        <f>-757.122984143607 -81.278564691287 -92.6702501802248</f>
        <v>-931.07179901511881</v>
      </c>
      <c r="W3661" t="s">
        <v>39785</v>
      </c>
      <c r="X3661" t="s">
        <v>39786</v>
      </c>
      <c r="Y3661" t="s">
        <v>39787</v>
      </c>
    </row>
    <row r="3662" spans="1:25" x14ac:dyDescent="0.3">
      <c r="A3662">
        <v>183050</v>
      </c>
      <c r="B3662" t="s">
        <v>39788</v>
      </c>
      <c r="C3662" t="s">
        <v>39789</v>
      </c>
      <c r="D3662">
        <f>-817.615580514538 -6.57601626974724 -208.01135324216</f>
        <v>-1032.2029500264453</v>
      </c>
      <c r="E3662">
        <f>-828.047698443018 -11.9159935490534 -305.936446604291</f>
        <v>-1145.9001385963625</v>
      </c>
      <c r="F3662">
        <f>-835.834182832163 -14.8982361458104 -394.642080295549</f>
        <v>-1245.3744992735224</v>
      </c>
      <c r="G3662">
        <f>-841.609840806902 -15.9418574255189 -483.545454112752</f>
        <v>-1341.0971523451728</v>
      </c>
      <c r="H3662">
        <f>-847.533781103503 -15.4062607958404 -607.985966482424</f>
        <v>-1470.9260083817674</v>
      </c>
      <c r="I3662">
        <f>-819.88371486642 -8.05889128125204 -686.002014372362</f>
        <v>-1513.9446205200341</v>
      </c>
      <c r="J3662" t="s">
        <v>39790</v>
      </c>
      <c r="K3662" t="s">
        <v>39791</v>
      </c>
      <c r="L3662" t="s">
        <v>39792</v>
      </c>
      <c r="M3662" t="s">
        <v>39793</v>
      </c>
      <c r="N3662">
        <f>-835.715322271584 -41.7692525441278 -553.776817531917</f>
        <v>-1431.2613923476288</v>
      </c>
      <c r="O3662">
        <f>-790.401383306109 -168.67657587973 -526.570712221354</f>
        <v>-1485.648671407193</v>
      </c>
      <c r="P3662">
        <f>-772.853258908195 -197.574517452748 -234.255547553113</f>
        <v>-1204.683323914056</v>
      </c>
      <c r="Q3662">
        <f>-642.721907612975 -24.6606456651641 -340.168275624666</f>
        <v>-1007.5508289028051</v>
      </c>
      <c r="R3662" t="s">
        <v>39794</v>
      </c>
      <c r="S3662" t="s">
        <v>39795</v>
      </c>
      <c r="T3662" t="s">
        <v>39796</v>
      </c>
      <c r="U3662" t="s">
        <v>39797</v>
      </c>
      <c r="V3662">
        <f>-757.197662366855 -81.6565947551416 -92.6664150556562</f>
        <v>-931.52067217765273</v>
      </c>
      <c r="W3662" t="s">
        <v>39798</v>
      </c>
      <c r="X3662" t="s">
        <v>39799</v>
      </c>
      <c r="Y3662" t="s">
        <v>39800</v>
      </c>
    </row>
    <row r="3663" spans="1:25" x14ac:dyDescent="0.3">
      <c r="A3663">
        <v>183100</v>
      </c>
      <c r="B3663" t="s">
        <v>39801</v>
      </c>
      <c r="C3663" t="s">
        <v>39802</v>
      </c>
      <c r="D3663">
        <f>-817.832628521141 -7.19656984775111 -207.983243993211</f>
        <v>-1033.0124423621032</v>
      </c>
      <c r="E3663">
        <f>-828.246636429995 -12.5313195516376 -305.910441773733</f>
        <v>-1146.6883977553655</v>
      </c>
      <c r="F3663">
        <f>-835.987827567964 -15.4907153788918 -394.621026030212</f>
        <v>-1246.0995689770677</v>
      </c>
      <c r="G3663">
        <f>-841.689006787129 -16.493107035046 -483.529474999816</f>
        <v>-1341.711588821991</v>
      </c>
      <c r="H3663">
        <f>-847.478630052874 -15.8812708328551 -607.976053191173</f>
        <v>-1471.335954076902</v>
      </c>
      <c r="I3663">
        <f>-819.791490946588 -8.45726424144414 -685.971808596753</f>
        <v>-1514.2205637847851</v>
      </c>
      <c r="J3663" t="s">
        <v>39803</v>
      </c>
      <c r="K3663" t="s">
        <v>39804</v>
      </c>
      <c r="L3663" t="s">
        <v>39805</v>
      </c>
      <c r="M3663" t="s">
        <v>39806</v>
      </c>
      <c r="N3663">
        <f>-835.681870080648 -42.2643785674525 -553.771886192191</f>
        <v>-1431.7181348402914</v>
      </c>
      <c r="O3663">
        <f>-790.252616816372 -169.127236948021 -526.557577990508</f>
        <v>-1485.9374317549009</v>
      </c>
      <c r="P3663">
        <f>-772.704218202524 -198.015999127977 -234.241425181706</f>
        <v>-1204.9616425122069</v>
      </c>
      <c r="Q3663">
        <f>-642.636752773482 -24.904527796627 -339.909572279127</f>
        <v>-1007.4508528492361</v>
      </c>
      <c r="R3663" t="s">
        <v>39807</v>
      </c>
      <c r="S3663" t="s">
        <v>39808</v>
      </c>
      <c r="T3663" t="s">
        <v>39809</v>
      </c>
      <c r="U3663" t="s">
        <v>39810</v>
      </c>
      <c r="V3663">
        <f>-757.333268991125 -82.1511116069005 -92.6435564088212</f>
        <v>-932.12793700684665</v>
      </c>
      <c r="W3663" t="s">
        <v>39811</v>
      </c>
      <c r="X3663" t="s">
        <v>39812</v>
      </c>
      <c r="Y3663" t="s">
        <v>39813</v>
      </c>
    </row>
    <row r="3664" spans="1:25" x14ac:dyDescent="0.3">
      <c r="A3664">
        <v>183150</v>
      </c>
      <c r="B3664" t="s">
        <v>39814</v>
      </c>
      <c r="C3664" t="s">
        <v>39815</v>
      </c>
      <c r="D3664">
        <f>-817.911924123607 -7.51736793747045 -207.977406884056</f>
        <v>-1033.4066989451335</v>
      </c>
      <c r="E3664">
        <f>-828.316642749969 -12.8534126593468 -305.905508546687</f>
        <v>-1147.0755639560027</v>
      </c>
      <c r="F3664">
        <f>-836.03692173476 -15.8115352211278 -394.617954239301</f>
        <v>-1246.4664111951888</v>
      </c>
      <c r="G3664">
        <f>-841.704692786105 -16.8099680650737 -483.528766846896</f>
        <v>-1342.0434276980748</v>
      </c>
      <c r="H3664">
        <f>-847.434623488208 -16.1897821875677 -607.977879040751</f>
        <v>-1471.6022847165268</v>
      </c>
      <c r="I3664">
        <f>-819.737131897605 -8.72719083001903 -685.966263264817</f>
        <v>-1514.4305859924411</v>
      </c>
      <c r="J3664" t="s">
        <v>39816</v>
      </c>
      <c r="K3664" t="s">
        <v>39817</v>
      </c>
      <c r="L3664" t="s">
        <v>39818</v>
      </c>
      <c r="M3664" t="s">
        <v>39819</v>
      </c>
      <c r="N3664">
        <f>-835.637968068873 -42.5673250094974 -553.771034073576</f>
        <v>-1431.9763271519464</v>
      </c>
      <c r="O3664">
        <f>-790.118327926835 -169.39564788442 -526.56610327242</f>
        <v>-1486.0800790836752</v>
      </c>
      <c r="P3664">
        <f>-772.623894696327 -198.335603383621 -234.251946646086</f>
        <v>-1205.211444726034</v>
      </c>
      <c r="Q3664">
        <f>-642.369602447261 -25.2695625667379 -339.763989384573</f>
        <v>-1007.4031543985718</v>
      </c>
      <c r="R3664" t="s">
        <v>39820</v>
      </c>
      <c r="S3664" t="s">
        <v>39821</v>
      </c>
      <c r="T3664" t="s">
        <v>39822</v>
      </c>
      <c r="U3664" t="s">
        <v>39823</v>
      </c>
      <c r="V3664">
        <f>-757.324732520259 -82.503874482485 -92.6392749521574</f>
        <v>-932.46788195490137</v>
      </c>
      <c r="W3664" t="s">
        <v>39824</v>
      </c>
      <c r="X3664" t="s">
        <v>39825</v>
      </c>
      <c r="Y3664" t="s">
        <v>39826</v>
      </c>
    </row>
    <row r="3665" spans="1:25" x14ac:dyDescent="0.3">
      <c r="A3665">
        <v>183200</v>
      </c>
      <c r="B3665" t="s">
        <v>39827</v>
      </c>
      <c r="C3665" t="s">
        <v>39828</v>
      </c>
      <c r="D3665">
        <f>-818.203707105354 -7.79888487067979 -207.975489277256</f>
        <v>-1033.9780812532899</v>
      </c>
      <c r="E3665">
        <f>-828.592999256705 -13.1644078466131 -305.903654712249</f>
        <v>-1147.6610618155671</v>
      </c>
      <c r="F3665">
        <f>-836.285033706526 -16.1398366385372 -394.618008848419</f>
        <v>-1247.0428791934821</v>
      </c>
      <c r="G3665">
        <f>-841.910091561166 -17.1454802229466 -483.531359742512</f>
        <v>-1342.5869315266245</v>
      </c>
      <c r="H3665">
        <f>-847.565066798688 -16.5250692586419 -607.983951829126</f>
        <v>-1472.0740878864558</v>
      </c>
      <c r="I3665">
        <f>-819.891248683987 -8.96846671635944 -685.971604602894</f>
        <v>-1514.8313200032403</v>
      </c>
      <c r="J3665" t="s">
        <v>39829</v>
      </c>
      <c r="K3665" t="s">
        <v>39830</v>
      </c>
      <c r="L3665" t="s">
        <v>39831</v>
      </c>
      <c r="M3665" t="s">
        <v>39832</v>
      </c>
      <c r="N3665">
        <f>-835.754850415563 -42.8861332889887 -553.772240484851</f>
        <v>-1432.4132241894026</v>
      </c>
      <c r="O3665">
        <f>-790.087104912562 -169.668341036927 -526.583385116971</f>
        <v>-1486.33883106646</v>
      </c>
      <c r="P3665">
        <f>-772.622687011944 -198.716103007526 -234.278010364898</f>
        <v>-1205.6168003843679</v>
      </c>
      <c r="Q3665">
        <f>-642.002842251019 -25.6443211755734 -339.328048400543</f>
        <v>-1006.9752118271355</v>
      </c>
      <c r="R3665" t="s">
        <v>39833</v>
      </c>
      <c r="S3665" t="s">
        <v>39834</v>
      </c>
      <c r="T3665" t="s">
        <v>39835</v>
      </c>
      <c r="U3665" t="s">
        <v>39836</v>
      </c>
      <c r="V3665">
        <f>-757.473091722354 -82.6129286845783 -92.6445631346111</f>
        <v>-932.7305835415433</v>
      </c>
      <c r="W3665" t="s">
        <v>39837</v>
      </c>
      <c r="X3665" t="s">
        <v>39838</v>
      </c>
      <c r="Y3665" t="s">
        <v>39839</v>
      </c>
    </row>
    <row r="3666" spans="1:25" x14ac:dyDescent="0.3">
      <c r="A3666">
        <v>183250</v>
      </c>
      <c r="B3666" t="s">
        <v>39840</v>
      </c>
      <c r="C3666" t="s">
        <v>39841</v>
      </c>
      <c r="D3666">
        <f>-818.279287927832 -8.00834732295743 -207.983374043506</f>
        <v>-1034.2710092942955</v>
      </c>
      <c r="E3666">
        <f>-828.66428684291 -13.3927444293563 -305.91098437332</f>
        <v>-1147.9680156455863</v>
      </c>
      <c r="F3666">
        <f>-836.343598266623 -16.3818597385084 -394.625937690112</f>
        <v>-1247.3513956952434</v>
      </c>
      <c r="G3666">
        <f>-841.94752038162 -17.3978204796595 -483.540508341739</f>
        <v>-1342.8858492030186</v>
      </c>
      <c r="H3666">
        <f>-847.563800073623 -16.7883133464952 -607.994919447027</f>
        <v>-1472.3470328671451</v>
      </c>
      <c r="I3666">
        <f>-819.901560812619 -9.18960469155149 -685.982584624285</f>
        <v>-1515.0737501284555</v>
      </c>
      <c r="J3666" t="s">
        <v>39842</v>
      </c>
      <c r="K3666" t="s">
        <v>39843</v>
      </c>
      <c r="L3666" t="s">
        <v>39844</v>
      </c>
      <c r="M3666" t="s">
        <v>39845</v>
      </c>
      <c r="N3666">
        <f>-835.746548805989 -43.1360667615219 -553.778036346087</f>
        <v>-1432.660651913598</v>
      </c>
      <c r="O3666">
        <f>-790.002791338489 -169.882471137405 -526.573284259774</f>
        <v>-1486.4585467356681</v>
      </c>
      <c r="P3666">
        <f>-772.607077998558 -198.87987179178 -234.25879645555</f>
        <v>-1205.7457462458881</v>
      </c>
      <c r="Q3666">
        <f>-641.833433172706 -25.790717835207 -339.088475413498</f>
        <v>-1006.712626421411</v>
      </c>
      <c r="R3666" t="s">
        <v>39846</v>
      </c>
      <c r="S3666" t="s">
        <v>39847</v>
      </c>
      <c r="T3666" t="s">
        <v>39848</v>
      </c>
      <c r="U3666" t="s">
        <v>39849</v>
      </c>
      <c r="V3666">
        <f>-757.431829925088 -82.7957046758797 -92.6483240130875</f>
        <v>-932.87585861405523</v>
      </c>
      <c r="W3666" t="s">
        <v>39850</v>
      </c>
      <c r="X3666" t="s">
        <v>39851</v>
      </c>
      <c r="Y3666" t="s">
        <v>39852</v>
      </c>
    </row>
    <row r="3667" spans="1:25" x14ac:dyDescent="0.3">
      <c r="A3667">
        <v>183300</v>
      </c>
      <c r="B3667" t="s">
        <v>39853</v>
      </c>
      <c r="C3667" t="s">
        <v>39854</v>
      </c>
      <c r="D3667">
        <f>-818.388686411754 -8.3024088281386 -207.990577691557</f>
        <v>-1034.6816729314496</v>
      </c>
      <c r="E3667">
        <f>-828.756242475697 -13.7331579578658 -305.917543781487</f>
        <v>-1148.4069442150499</v>
      </c>
      <c r="F3667">
        <f>-836.404498456467 -16.7626966409023 -394.633695059112</f>
        <v>-1247.8008901564813</v>
      </c>
      <c r="G3667">
        <f>-841.962534375523 -17.8174355602957 -483.550755144665</f>
        <v>-1343.3307250804837</v>
      </c>
      <c r="H3667">
        <f>-847.499037974961 -17.2608029943369 -608.008862300405</f>
        <v>-1472.7687032697029</v>
      </c>
      <c r="I3667">
        <f>-819.846928527633 -9.61865858608326 -685.996012067871</f>
        <v>-1515.4615991815872</v>
      </c>
      <c r="J3667" t="s">
        <v>39855</v>
      </c>
      <c r="K3667" t="s">
        <v>39856</v>
      </c>
      <c r="L3667" t="s">
        <v>39857</v>
      </c>
      <c r="M3667" t="s">
        <v>39858</v>
      </c>
      <c r="N3667">
        <f>-835.671652405313 -43.5693686279666 -553.775329346974</f>
        <v>-1433.0163503802537</v>
      </c>
      <c r="O3667">
        <f>-789.731708807169 -170.228683173444 -526.480225263249</f>
        <v>-1486.4406172438621</v>
      </c>
      <c r="P3667">
        <f>-772.4176297367 -198.981284797551 -234.136727395058</f>
        <v>-1205.5356419293089</v>
      </c>
      <c r="Q3667">
        <f>-641.79476025669 -25.6958073632568 -338.830065129227</f>
        <v>-1006.3206327491738</v>
      </c>
      <c r="R3667" t="s">
        <v>39859</v>
      </c>
      <c r="S3667" t="s">
        <v>39860</v>
      </c>
      <c r="T3667" t="s">
        <v>39861</v>
      </c>
      <c r="U3667" t="s">
        <v>39862</v>
      </c>
      <c r="V3667">
        <f>-757.441008576261 -82.904928912013 -92.6543171987701</f>
        <v>-933.00025468704405</v>
      </c>
      <c r="W3667" t="s">
        <v>39863</v>
      </c>
      <c r="X3667" t="s">
        <v>39864</v>
      </c>
      <c r="Y3667" t="s">
        <v>39865</v>
      </c>
    </row>
    <row r="3668" spans="1:25" x14ac:dyDescent="0.3">
      <c r="A3668">
        <v>183350</v>
      </c>
      <c r="B3668" t="s">
        <v>39866</v>
      </c>
      <c r="C3668" t="s">
        <v>39867</v>
      </c>
      <c r="D3668">
        <f>-818.404583365163 -8.48513592338645 -207.988615969875</f>
        <v>-1034.8783352584246</v>
      </c>
      <c r="E3668">
        <f>-828.763497927141 -13.9474095736098 -305.914625707553</f>
        <v>-1148.6255332083038</v>
      </c>
      <c r="F3668">
        <f>-836.398653187067 -17.0061462098813 -394.63113287616</f>
        <v>-1248.0359322731083</v>
      </c>
      <c r="G3668">
        <f>-841.938045073232 -18.0903163393778 -483.548859036608</f>
        <v>-1343.5772204492177</v>
      </c>
      <c r="H3668">
        <f>-847.442798901404 -17.5752314308893 -608.008649693126</f>
        <v>-1473.0266800254194</v>
      </c>
      <c r="I3668">
        <f>-819.789035279845 -9.93102293189781 -685.995052382439</f>
        <v>-1515.7151105941819</v>
      </c>
      <c r="J3668" t="s">
        <v>39868</v>
      </c>
      <c r="K3668" t="s">
        <v>39869</v>
      </c>
      <c r="L3668" t="s">
        <v>39870</v>
      </c>
      <c r="M3668" t="s">
        <v>39871</v>
      </c>
      <c r="N3668">
        <f>-835.605913640202 -43.8573246683678 -553.764365540829</f>
        <v>-1433.2276038493987</v>
      </c>
      <c r="O3668">
        <f>-789.547224068631 -170.460389591821 -526.419558029417</f>
        <v>-1486.4271716898688</v>
      </c>
      <c r="P3668">
        <f>-772.206659491695 -199.147597567726 -234.071251164237</f>
        <v>-1205.425508223658</v>
      </c>
      <c r="Q3668">
        <f>-641.842990602655 -25.6923627036927 -338.806471324487</f>
        <v>-1006.3418246308347</v>
      </c>
      <c r="R3668" t="s">
        <v>39872</v>
      </c>
      <c r="S3668" t="s">
        <v>39873</v>
      </c>
      <c r="T3668" t="s">
        <v>39874</v>
      </c>
      <c r="U3668" t="s">
        <v>39875</v>
      </c>
      <c r="V3668">
        <f>-757.387379855717 -83.051429698205 -92.6512096283785</f>
        <v>-933.09001918230047</v>
      </c>
      <c r="W3668" t="s">
        <v>39876</v>
      </c>
      <c r="X3668" t="s">
        <v>39877</v>
      </c>
      <c r="Y3668" t="s">
        <v>39878</v>
      </c>
    </row>
    <row r="3669" spans="1:25" x14ac:dyDescent="0.3">
      <c r="A3669">
        <v>183400</v>
      </c>
      <c r="B3669" t="s">
        <v>39879</v>
      </c>
      <c r="C3669" t="s">
        <v>39880</v>
      </c>
      <c r="D3669">
        <f>-818.549438494469 -8.6859725999393 -207.99624559285</f>
        <v>-1035.2316566872582</v>
      </c>
      <c r="E3669">
        <f>-828.910843163712 -14.1966107308065 -305.919277100063</f>
        <v>-1149.0267309945816</v>
      </c>
      <c r="F3669">
        <f>-836.539257352414 -17.2967274033026 -394.634765278083</f>
        <v>-1248.4707500337995</v>
      </c>
      <c r="G3669">
        <f>-842.063247069926 -18.4199170394702 -483.553176706646</f>
        <v>-1344.0363408160422</v>
      </c>
      <c r="H3669">
        <f>-847.537544247063 -17.956610256937 -608.014478111959</f>
        <v>-1473.508632615959</v>
      </c>
      <c r="I3669">
        <f>-819.886057172061 -10.3200896683466 -686.002324110455</f>
        <v>-1516.2084709508626</v>
      </c>
      <c r="J3669" t="s">
        <v>39881</v>
      </c>
      <c r="K3669" t="s">
        <v>39882</v>
      </c>
      <c r="L3669" t="s">
        <v>39883</v>
      </c>
      <c r="M3669" t="s">
        <v>39884</v>
      </c>
      <c r="N3669">
        <f>-835.667347964158 -44.1992114019787 -553.758271185213</f>
        <v>-1433.6248305513495</v>
      </c>
      <c r="O3669">
        <f>-789.379694937371 -170.702302831339 -526.332879834853</f>
        <v>-1486.4148776035631</v>
      </c>
      <c r="P3669">
        <f>-771.965264106802 -199.163341408429 -233.966772928223</f>
        <v>-1205.0953784434541</v>
      </c>
      <c r="Q3669">
        <f>-641.969542562762 -25.4543070101386 -338.738828395305</f>
        <v>-1006.1626779682056</v>
      </c>
      <c r="R3669" t="s">
        <v>39885</v>
      </c>
      <c r="S3669" t="s">
        <v>39886</v>
      </c>
      <c r="T3669" t="s">
        <v>39887</v>
      </c>
      <c r="U3669" t="s">
        <v>39888</v>
      </c>
      <c r="V3669">
        <f>-757.393627021285 -83.0792482931903 -92.6572154591032</f>
        <v>-933.13009077357856</v>
      </c>
      <c r="W3669" t="s">
        <v>39889</v>
      </c>
      <c r="X3669" t="s">
        <v>39890</v>
      </c>
      <c r="Y3669" t="s">
        <v>39891</v>
      </c>
    </row>
    <row r="3670" spans="1:25" x14ac:dyDescent="0.3">
      <c r="A3670">
        <v>183450</v>
      </c>
      <c r="B3670" t="s">
        <v>39892</v>
      </c>
      <c r="C3670" t="s">
        <v>39893</v>
      </c>
      <c r="D3670">
        <f>-818.58305989473 -8.85404016121856 -207.997565660237</f>
        <v>-1035.4346657161855</v>
      </c>
      <c r="E3670">
        <f>-828.941538360637 -14.3851094107486 -305.919834104074</f>
        <v>-1149.2464818754595</v>
      </c>
      <c r="F3670">
        <f>-836.561896985456 -17.5010124179537 -394.635462746515</f>
        <v>-1248.6983721499246</v>
      </c>
      <c r="G3670">
        <f>-842.072535604696 -18.6369243826359 -483.554518840072</f>
        <v>-1344.2639788274039</v>
      </c>
      <c r="H3670">
        <f>-847.522652945985 -18.1877747923631 -608.016930446288</f>
        <v>-1473.7273581846362</v>
      </c>
      <c r="I3670">
        <f>-819.871319548227 -10.5499055383989 -686.00468181766</f>
        <v>-1516.425906904286</v>
      </c>
      <c r="J3670" t="s">
        <v>39894</v>
      </c>
      <c r="K3670" t="s">
        <v>39895</v>
      </c>
      <c r="L3670" t="s">
        <v>39896</v>
      </c>
      <c r="M3670" t="s">
        <v>39897</v>
      </c>
      <c r="N3670">
        <f>-835.637033512046 -44.4145559917853 -553.756394852634</f>
        <v>-1433.8079843564651</v>
      </c>
      <c r="O3670">
        <f>-789.238768335116 -170.876800813367 -526.317172003586</f>
        <v>-1486.432741152069</v>
      </c>
      <c r="P3670">
        <f>-771.829864230496 -199.296656583265 -233.946867915147</f>
        <v>-1205.073388728908</v>
      </c>
      <c r="Q3670">
        <f>-641.930295242243 -25.4729041965652 -338.647621201785</f>
        <v>-1006.0508206405932</v>
      </c>
      <c r="R3670" t="s">
        <v>39898</v>
      </c>
      <c r="S3670" t="s">
        <v>39899</v>
      </c>
      <c r="T3670" t="s">
        <v>39900</v>
      </c>
      <c r="U3670" t="s">
        <v>39901</v>
      </c>
      <c r="V3670">
        <f>-757.326727415196 -83.2185155332156 -92.6577416315779</f>
        <v>-933.20298457998956</v>
      </c>
      <c r="W3670" t="s">
        <v>39902</v>
      </c>
      <c r="X3670" t="s">
        <v>39903</v>
      </c>
      <c r="Y3670" t="s">
        <v>39904</v>
      </c>
    </row>
    <row r="3671" spans="1:25" x14ac:dyDescent="0.3">
      <c r="A3671">
        <v>183500</v>
      </c>
      <c r="B3671" t="s">
        <v>39905</v>
      </c>
      <c r="C3671" t="s">
        <v>39906</v>
      </c>
      <c r="D3671">
        <f>-818.735478476283 -9.01337058240119 -208.001790097333</f>
        <v>-1035.7506391560171</v>
      </c>
      <c r="E3671">
        <f>-829.083841524434 -14.5822148597272 -305.922878921352</f>
        <v>-1149.5889353055131</v>
      </c>
      <c r="F3671">
        <f>-836.681309029148 -17.725315943087 -394.639498739332</f>
        <v>-1249.0461237115669</v>
      </c>
      <c r="G3671">
        <f>-842.155138308363 -18.8807731012685 -483.560585712775</f>
        <v>-1344.5964971224064</v>
      </c>
      <c r="H3671">
        <f>-847.539231384321 -18.4518576362293 -608.025910041301</f>
        <v>-1474.0169990618515</v>
      </c>
      <c r="I3671">
        <f>-819.886645004609 -10.797108002911 -686.011673659106</f>
        <v>-1516.6954266666262</v>
      </c>
      <c r="J3671" t="s">
        <v>39907</v>
      </c>
      <c r="K3671" t="s">
        <v>39908</v>
      </c>
      <c r="L3671" t="s">
        <v>39909</v>
      </c>
      <c r="M3671" t="s">
        <v>39910</v>
      </c>
      <c r="N3671">
        <f>-835.639156878399 -44.6541459662333 -553.756825157145</f>
        <v>-1434.0501280017775</v>
      </c>
      <c r="O3671">
        <f>-789.060236101959 -171.039175030759 -526.2770495873</f>
        <v>-1486.376460720018</v>
      </c>
      <c r="P3671">
        <f>-771.794136703193 -199.490304421611 -233.901236452571</f>
        <v>-1205.1856775773749</v>
      </c>
      <c r="Q3671">
        <f>-641.838812619814 -25.6221816671191 -338.459136835299</f>
        <v>-1005.9201311222321</v>
      </c>
      <c r="R3671" t="s">
        <v>39911</v>
      </c>
      <c r="S3671" t="s">
        <v>39912</v>
      </c>
      <c r="T3671" t="s">
        <v>39913</v>
      </c>
      <c r="U3671" t="s">
        <v>39914</v>
      </c>
      <c r="V3671">
        <f>-757.393376166254 -83.1454473211327 -92.6425958667941</f>
        <v>-933.18141935418078</v>
      </c>
      <c r="W3671" t="s">
        <v>39915</v>
      </c>
      <c r="X3671" t="s">
        <v>39916</v>
      </c>
      <c r="Y3671" t="s">
        <v>39917</v>
      </c>
    </row>
    <row r="3672" spans="1:25" x14ac:dyDescent="0.3">
      <c r="A3672">
        <v>183550</v>
      </c>
      <c r="B3672" t="s">
        <v>39918</v>
      </c>
      <c r="C3672" t="s">
        <v>39919</v>
      </c>
      <c r="D3672">
        <f>-818.740401936982 -9.25159932502288 -207.99384747147</f>
        <v>-1035.985848733475</v>
      </c>
      <c r="E3672">
        <f>-829.082640397577 -14.8320393303429 -305.914989407609</f>
        <v>-1149.829669135529</v>
      </c>
      <c r="F3672">
        <f>-836.669703803566 -17.9823127679999 -394.632286402233</f>
        <v>-1249.284302973799</v>
      </c>
      <c r="G3672">
        <f>-842.128611225612 -19.1417318646133 -483.554164606179</f>
        <v>-1344.8245076964042</v>
      </c>
      <c r="H3672">
        <f>-847.486883763047 -18.7149129556176 -608.020584349099</f>
        <v>-1474.2223810677635</v>
      </c>
      <c r="I3672">
        <f>-819.837446401146 -11.0387055088904 -686.005295591091</f>
        <v>-1516.8814475011275</v>
      </c>
      <c r="J3672" t="s">
        <v>39920</v>
      </c>
      <c r="K3672" t="s">
        <v>39921</v>
      </c>
      <c r="L3672" t="s">
        <v>39922</v>
      </c>
      <c r="M3672" t="s">
        <v>39923</v>
      </c>
      <c r="N3672">
        <f>-835.580111790692 -44.9095781973057 -553.749353783099</f>
        <v>-1434.2390437710965</v>
      </c>
      <c r="O3672">
        <f>-788.921887797901 -171.257616034823 -526.240385569998</f>
        <v>-1486.4198894027222</v>
      </c>
      <c r="P3672">
        <f>-771.713718691866 -199.632159990292 -233.853665884726</f>
        <v>-1205.199544566884</v>
      </c>
      <c r="Q3672">
        <f>-641.880532933426 -25.7392536593977 -338.522265038118</f>
        <v>-1006.1420516309418</v>
      </c>
      <c r="R3672" t="s">
        <v>39924</v>
      </c>
      <c r="S3672" t="s">
        <v>39925</v>
      </c>
      <c r="T3672" t="s">
        <v>39926</v>
      </c>
      <c r="U3672" t="s">
        <v>39927</v>
      </c>
      <c r="V3672">
        <f>-757.302784811752 -83.4076470581753 -92.6429037326706</f>
        <v>-933.35333560259778</v>
      </c>
      <c r="W3672" t="s">
        <v>39928</v>
      </c>
      <c r="X3672" t="s">
        <v>39929</v>
      </c>
      <c r="Y3672" t="s">
        <v>39930</v>
      </c>
    </row>
    <row r="3673" spans="1:25" x14ac:dyDescent="0.3">
      <c r="A3673">
        <v>183600</v>
      </c>
      <c r="B3673" t="s">
        <v>39931</v>
      </c>
      <c r="C3673" t="s">
        <v>39932</v>
      </c>
      <c r="D3673">
        <f>-818.991308738892 -9.39196963914765 -207.997048242554</f>
        <v>-1036.3803266205937</v>
      </c>
      <c r="E3673">
        <f>-829.326423777908 -14.9825632564621 -305.918435578945</f>
        <v>-1150.227422613315</v>
      </c>
      <c r="F3673">
        <f>-836.900098100213 -18.1334793616918 -394.636795638211</f>
        <v>-1249.6703731001157</v>
      </c>
      <c r="G3673">
        <f>-842.338487019976 -19.2846420056662 -483.559958911209</f>
        <v>-1345.1830879368513</v>
      </c>
      <c r="H3673">
        <f>-847.660851477829 -18.8367916643333 -608.027902432825</f>
        <v>-1474.5255455749875</v>
      </c>
      <c r="I3673">
        <f>-820.005977267963 -11.1046876544935 -686.005248985636</f>
        <v>-1517.1159139080924</v>
      </c>
      <c r="J3673" t="s">
        <v>39933</v>
      </c>
      <c r="K3673" t="s">
        <v>39934</v>
      </c>
      <c r="L3673" t="s">
        <v>39935</v>
      </c>
      <c r="M3673" t="s">
        <v>39936</v>
      </c>
      <c r="N3673">
        <f>-835.732700616191 -45.0271536081885 -553.759112306288</f>
        <v>-1434.5189665306675</v>
      </c>
      <c r="O3673">
        <f>-788.900140222165 -171.291589765017 -526.151979132562</f>
        <v>-1486.3437091197438</v>
      </c>
      <c r="P3673">
        <f>-771.562464370331 -199.386374819387 -233.746068976581</f>
        <v>-1204.694908166299</v>
      </c>
      <c r="Q3673">
        <f>-642.30357680869 -25.3763969886136 -338.929191104464</f>
        <v>-1006.6091649017676</v>
      </c>
      <c r="R3673" t="s">
        <v>39937</v>
      </c>
      <c r="S3673" t="s">
        <v>39938</v>
      </c>
      <c r="T3673" t="s">
        <v>39939</v>
      </c>
      <c r="U3673" t="s">
        <v>39940</v>
      </c>
      <c r="V3673">
        <f>-757.527832254108 -83.3528194201581 -92.6425486292218</f>
        <v>-933.5232003034879</v>
      </c>
      <c r="W3673" t="s">
        <v>39941</v>
      </c>
      <c r="X3673" t="s">
        <v>39942</v>
      </c>
      <c r="Y3673" t="s">
        <v>39943</v>
      </c>
    </row>
    <row r="3674" spans="1:25" x14ac:dyDescent="0.3">
      <c r="A3674">
        <v>183650</v>
      </c>
      <c r="B3674" t="s">
        <v>39944</v>
      </c>
      <c r="C3674" t="s">
        <v>39945</v>
      </c>
      <c r="D3674">
        <f>-819.113246148899 -9.49468142666979 -208.004941764759</f>
        <v>-1036.6128693403277</v>
      </c>
      <c r="E3674">
        <f>-829.423164653494 -15.0714191656671 -305.929747043968</f>
        <v>-1150.4243308631292</v>
      </c>
      <c r="F3674">
        <f>-836.963372173813 -18.2003379200214 -394.651890599861</f>
        <v>-1249.8156006936954</v>
      </c>
      <c r="G3674">
        <f>-842.357826089575 -19.3200344679051 -483.578212495799</f>
        <v>-1345.2560730532791</v>
      </c>
      <c r="H3674">
        <f>-847.607517997941 -18.8180392041093 -608.04891754311</f>
        <v>-1474.4744747451603</v>
      </c>
      <c r="I3674">
        <f>-819.935069430513 -11.0482722511624 -686.016190413015</f>
        <v>-1516.9995320946905</v>
      </c>
      <c r="J3674" t="s">
        <v>39946</v>
      </c>
      <c r="K3674" t="s">
        <v>39947</v>
      </c>
      <c r="L3674" t="s">
        <v>39948</v>
      </c>
      <c r="M3674" t="s">
        <v>39949</v>
      </c>
      <c r="N3674">
        <f>-835.68864902222 -45.0237520471472 -553.785537393084</f>
        <v>-1434.4979384624512</v>
      </c>
      <c r="O3674">
        <f>-788.743535984467 -171.242893471478 -526.15864005692</f>
        <v>-1486.1450695128651</v>
      </c>
      <c r="P3674">
        <f>-771.277511452615 -199.411515380586 -233.767263773882</f>
        <v>-1204.456290607083</v>
      </c>
      <c r="Q3674">
        <f>-642.565593257301 -25.1296435135637 -339.170788258392</f>
        <v>-1006.8660250292567</v>
      </c>
      <c r="R3674" t="s">
        <v>39950</v>
      </c>
      <c r="S3674" t="s">
        <v>39951</v>
      </c>
      <c r="T3674" t="s">
        <v>39952</v>
      </c>
      <c r="U3674" t="s">
        <v>39953</v>
      </c>
      <c r="V3674">
        <f>-757.614203806217 -83.4213719865422 -92.6498308271684</f>
        <v>-933.68540661992768</v>
      </c>
      <c r="W3674" t="s">
        <v>39954</v>
      </c>
      <c r="X3674" t="s">
        <v>39955</v>
      </c>
      <c r="Y3674" t="s">
        <v>39956</v>
      </c>
    </row>
    <row r="3675" spans="1:25" x14ac:dyDescent="0.3">
      <c r="A3675">
        <v>183700</v>
      </c>
      <c r="B3675" t="s">
        <v>39957</v>
      </c>
      <c r="C3675" t="s">
        <v>39958</v>
      </c>
      <c r="D3675">
        <f>-819.33851807245 -9.7377428242728 -208.05161621371</f>
        <v>-1037.1278771104328</v>
      </c>
      <c r="E3675">
        <f>-829.551224457783 -15.2823974368209 -305.988421139496</f>
        <v>-1150.8220430340998</v>
      </c>
      <c r="F3675">
        <f>-836.991918752375 -18.3753048603944 -394.720052658973</f>
        <v>-1250.0872762717424</v>
      </c>
      <c r="G3675">
        <f>-842.275631289904 -19.4509610341217 -483.653640697997</f>
        <v>-1345.3802330220228</v>
      </c>
      <c r="H3675">
        <f>-847.358659293789 -18.8790877065617 -608.131142186173</f>
        <v>-1474.3688891865236</v>
      </c>
      <c r="I3675">
        <f>-819.631899808874 -11.0367574053589 -686.07190549942</f>
        <v>-1516.7405627136529</v>
      </c>
      <c r="J3675" t="s">
        <v>39959</v>
      </c>
      <c r="K3675" t="s">
        <v>39960</v>
      </c>
      <c r="L3675" t="s">
        <v>39961</v>
      </c>
      <c r="M3675" t="s">
        <v>39962</v>
      </c>
      <c r="N3675">
        <f>-835.472658788814 -45.1004355222466 -553.867942382319</f>
        <v>-1434.4410366933796</v>
      </c>
      <c r="O3675">
        <f>-788.299281939773 -171.219457318464 -526.184387834521</f>
        <v>-1485.703127092758</v>
      </c>
      <c r="P3675">
        <f>-770.739469265471 -199.434477931332 -233.803220003449</f>
        <v>-1203.9771672002521</v>
      </c>
      <c r="Q3675">
        <f>-643.035576228641 -24.6373439745523 -339.579111961284</f>
        <v>-1007.2520321644774</v>
      </c>
      <c r="R3675" t="s">
        <v>39963</v>
      </c>
      <c r="S3675" t="s">
        <v>39964</v>
      </c>
      <c r="T3675" t="s">
        <v>39965</v>
      </c>
      <c r="U3675" t="s">
        <v>39966</v>
      </c>
      <c r="V3675">
        <f>-757.841332611136 -83.6230625563702 -92.6479669759213</f>
        <v>-934.1123621434275</v>
      </c>
      <c r="W3675" t="s">
        <v>39967</v>
      </c>
      <c r="X3675" t="s">
        <v>39968</v>
      </c>
      <c r="Y3675" t="s">
        <v>39969</v>
      </c>
    </row>
    <row r="3676" spans="1:25" x14ac:dyDescent="0.3">
      <c r="A3676">
        <v>183750</v>
      </c>
      <c r="B3676" t="s">
        <v>39970</v>
      </c>
      <c r="C3676" t="s">
        <v>39971</v>
      </c>
      <c r="D3676">
        <f>-819.504987774165 -9.7864880704924 -208.049374435734</f>
        <v>-1037.3408502803914</v>
      </c>
      <c r="E3676">
        <f>-829.666317959242 -15.323818017931 -305.99194100051</f>
        <v>-1150.9820769776829</v>
      </c>
      <c r="F3676">
        <f>-837.056695759781 -18.4095936091674 -394.728070611152</f>
        <v>-1250.1943599801002</v>
      </c>
      <c r="G3676">
        <f>-842.285884425561 -19.4776750838764 -483.664848394995</f>
        <v>-1345.4284079044323</v>
      </c>
      <c r="H3676">
        <f>-847.288540460758 -18.8945569533064 -608.145554970654</f>
        <v>-1474.3286523847182</v>
      </c>
      <c r="I3676">
        <f>-819.53684454842 -11.0303089707859 -686.075262205265</f>
        <v>-1516.642415724471</v>
      </c>
      <c r="J3676" t="s">
        <v>39972</v>
      </c>
      <c r="K3676" t="s">
        <v>39973</v>
      </c>
      <c r="L3676" t="s">
        <v>39974</v>
      </c>
      <c r="M3676" t="s">
        <v>39975</v>
      </c>
      <c r="N3676">
        <f>-835.42172718667 -45.1147032518018 -553.877926433137</f>
        <v>-1434.4143568716086</v>
      </c>
      <c r="O3676">
        <f>-788.185795624773 -171.201825935392 -526.159093727101</f>
        <v>-1485.5467152872661</v>
      </c>
      <c r="P3676">
        <f>-770.655111586174 -199.438046962091 -233.778101056607</f>
        <v>-1203.871259604872</v>
      </c>
      <c r="Q3676">
        <f>-643.266609443153 -24.5945754202887 -339.857253987716</f>
        <v>-1007.7184388511578</v>
      </c>
      <c r="R3676" t="s">
        <v>39976</v>
      </c>
      <c r="S3676" t="s">
        <v>39977</v>
      </c>
      <c r="T3676" t="s">
        <v>39978</v>
      </c>
      <c r="U3676" t="s">
        <v>39979</v>
      </c>
      <c r="V3676">
        <f>-758.074566883641 -83.6018037507185 -92.6481557606872</f>
        <v>-934.32452639504675</v>
      </c>
      <c r="W3676" t="s">
        <v>39980</v>
      </c>
      <c r="X3676" t="s">
        <v>39981</v>
      </c>
      <c r="Y3676" t="s">
        <v>39982</v>
      </c>
    </row>
    <row r="3677" spans="1:25" x14ac:dyDescent="0.3">
      <c r="A3677">
        <v>183800</v>
      </c>
      <c r="B3677" t="s">
        <v>39983</v>
      </c>
      <c r="C3677" t="s">
        <v>39984</v>
      </c>
      <c r="D3677">
        <f>-819.866717676009 -9.77014700450923 -208.051428813158</f>
        <v>-1037.6882934936762</v>
      </c>
      <c r="E3677">
        <f>-829.950732514841 -15.2997247232952 -306.002384368995</f>
        <v>-1151.2528416071311</v>
      </c>
      <c r="F3677">
        <f>-837.259480132371 -18.3846306261094 -394.745419549887</f>
        <v>-1250.3895303083673</v>
      </c>
      <c r="G3677">
        <f>-842.395561825194 -19.458123158636 -483.687517887216</f>
        <v>-1345.5412028710462</v>
      </c>
      <c r="H3677">
        <f>-847.255944897349 -18.889403334271 -608.173943968959</f>
        <v>-1474.319292200579</v>
      </c>
      <c r="I3677">
        <f>-819.42875414604 -11.0099713706356 -686.075137115913</f>
        <v>-1516.5138626325886</v>
      </c>
      <c r="J3677" t="s">
        <v>39985</v>
      </c>
      <c r="K3677" t="s">
        <v>39986</v>
      </c>
      <c r="L3677" t="s">
        <v>39987</v>
      </c>
      <c r="M3677" t="s">
        <v>39988</v>
      </c>
      <c r="N3677">
        <f>-835.440842589727 -45.099504603006 -553.889969823174</f>
        <v>-1434.4303170159071</v>
      </c>
      <c r="O3677">
        <f>-788.248965053312 -171.19339663365 -526.091480926149</f>
        <v>-1485.5338426131109</v>
      </c>
      <c r="P3677">
        <f>-770.672639691271 -199.438313641968 -233.714070049418</f>
        <v>-1203.825023382657</v>
      </c>
      <c r="Q3677">
        <f>-643.314649049094 -24.7590200647755 -340.099955204196</f>
        <v>-1008.1736243180655</v>
      </c>
      <c r="R3677" t="s">
        <v>39989</v>
      </c>
      <c r="S3677" t="s">
        <v>39990</v>
      </c>
      <c r="T3677" t="s">
        <v>39991</v>
      </c>
      <c r="U3677" t="s">
        <v>39992</v>
      </c>
      <c r="V3677">
        <f>-758.444251135834 -83.5452969070828 -92.6591599568981</f>
        <v>-934.64870799981486</v>
      </c>
      <c r="W3677" t="s">
        <v>39993</v>
      </c>
      <c r="X3677" t="s">
        <v>39994</v>
      </c>
      <c r="Y3677" t="s">
        <v>39995</v>
      </c>
    </row>
    <row r="3678" spans="1:25" x14ac:dyDescent="0.3">
      <c r="A3678">
        <v>183850</v>
      </c>
      <c r="B3678" t="s">
        <v>39996</v>
      </c>
      <c r="C3678" t="s">
        <v>39997</v>
      </c>
      <c r="D3678">
        <f>-819.967282526175 -9.78167008572609 -208.059729458839</f>
        <v>-1037.8086820707401</v>
      </c>
      <c r="E3678">
        <f>-830.020263557267 -15.3084877075617 -306.013913872625</f>
        <v>-1151.3426651374537</v>
      </c>
      <c r="F3678">
        <f>-837.294884088726 -18.3925124442787 -394.759751404797</f>
        <v>-1250.4471479378017</v>
      </c>
      <c r="G3678">
        <f>-842.390565263926 -19.4668176105315 -483.704219047471</f>
        <v>-1345.5616019219285</v>
      </c>
      <c r="H3678">
        <f>-847.18824608919 -18.90152718234 -608.193118925534</f>
        <v>-1474.282892197064</v>
      </c>
      <c r="I3678">
        <f>-819.315159778839 -11.0270720277072 -686.078444557654</f>
        <v>-1516.4206763642001</v>
      </c>
      <c r="J3678" t="s">
        <v>39998</v>
      </c>
      <c r="K3678" t="s">
        <v>39999</v>
      </c>
      <c r="L3678" t="s">
        <v>40000</v>
      </c>
      <c r="M3678" t="s">
        <v>40001</v>
      </c>
      <c r="N3678">
        <f>-835.396070907539 -45.1084741797881 -553.902678137375</f>
        <v>-1434.4072232247022</v>
      </c>
      <c r="O3678">
        <f>-788.235945044843 -171.20142940579 -526.102613902976</f>
        <v>-1485.539988353609</v>
      </c>
      <c r="P3678">
        <f>-770.903829555781 -199.548539687377 -233.720528384696</f>
        <v>-1204.1728976278541</v>
      </c>
      <c r="Q3678">
        <f>-643.329812649184 -24.8305548285055 -339.783429088139</f>
        <v>-1007.9437965658284</v>
      </c>
      <c r="R3678" t="s">
        <v>40002</v>
      </c>
      <c r="S3678" t="s">
        <v>40003</v>
      </c>
      <c r="T3678" t="s">
        <v>40004</v>
      </c>
      <c r="U3678" t="s">
        <v>40005</v>
      </c>
      <c r="V3678">
        <f>-758.486419990273 -83.6125974368819 -92.6713161629673</f>
        <v>-934.77033359012216</v>
      </c>
      <c r="W3678" t="s">
        <v>40006</v>
      </c>
      <c r="X3678" t="s">
        <v>40007</v>
      </c>
      <c r="Y3678" t="s">
        <v>40008</v>
      </c>
    </row>
    <row r="3679" spans="1:25" x14ac:dyDescent="0.3">
      <c r="A3679">
        <v>183900</v>
      </c>
      <c r="B3679" t="s">
        <v>40009</v>
      </c>
      <c r="C3679" t="s">
        <v>40010</v>
      </c>
      <c r="D3679">
        <f>-820.135960163526 -9.70917110655205 -208.055483122897</f>
        <v>-1037.9006143929751</v>
      </c>
      <c r="E3679">
        <f>-830.12975893905 -15.2484672303974 -306.015218499584</f>
        <v>-1151.3934446690314</v>
      </c>
      <c r="F3679">
        <f>-837.328724526229 -18.3425943696091 -394.766751872441</f>
        <v>-1250.438070768279</v>
      </c>
      <c r="G3679">
        <f>-842.326971335064 -19.4258125592082 -483.716605787748</f>
        <v>-1345.4693896820202</v>
      </c>
      <c r="H3679">
        <f>-846.965540008285 -18.8720693877215 -608.211638813004</f>
        <v>-1474.0492482090103</v>
      </c>
      <c r="I3679">
        <f>-819.005657093201 -11.0126548817591 -686.06725215115</f>
        <v>-1516.0855641261101</v>
      </c>
      <c r="J3679" t="s">
        <v>40011</v>
      </c>
      <c r="K3679" t="s">
        <v>40012</v>
      </c>
      <c r="L3679" t="s">
        <v>40013</v>
      </c>
      <c r="M3679" t="s">
        <v>40014</v>
      </c>
      <c r="N3679">
        <f>-835.223429853901 -45.0666721749833 -553.904477333205</f>
        <v>-1434.1945793620894</v>
      </c>
      <c r="O3679">
        <f>-788.048253164538 -171.164342186725 -526.101036297755</f>
        <v>-1485.3136316490179</v>
      </c>
      <c r="P3679">
        <f>-771.447440049287 -199.92050928568 -233.716522375655</f>
        <v>-1205.084471710622</v>
      </c>
      <c r="Q3679">
        <f>-643.462093452038 -24.8177106224473 -338.643324370766</f>
        <v>-1006.9231284452512</v>
      </c>
      <c r="R3679" t="s">
        <v>40015</v>
      </c>
      <c r="S3679" t="s">
        <v>40016</v>
      </c>
      <c r="T3679" t="s">
        <v>40017</v>
      </c>
      <c r="U3679" t="s">
        <v>40018</v>
      </c>
      <c r="V3679">
        <f>-758.691380795516 -83.439525013061 -92.6672797736619</f>
        <v>-934.79818558223894</v>
      </c>
      <c r="W3679" t="s">
        <v>40019</v>
      </c>
      <c r="X3679" t="s">
        <v>40020</v>
      </c>
      <c r="Y3679" t="s">
        <v>40021</v>
      </c>
    </row>
    <row r="3680" spans="1:25" x14ac:dyDescent="0.3">
      <c r="A3680">
        <v>183950</v>
      </c>
      <c r="B3680" t="s">
        <v>40022</v>
      </c>
      <c r="C3680" t="s">
        <v>40023</v>
      </c>
      <c r="D3680">
        <f>-820.20854214535 -9.68692728265614 -208.064974978265</f>
        <v>-1037.9604444062711</v>
      </c>
      <c r="E3680">
        <f>-830.183959543173 -15.2300240265508 -306.026237313613</f>
        <v>-1151.4402208833369</v>
      </c>
      <c r="F3680">
        <f>-837.355489896402 -18.3292360901303 -394.779949200089</f>
        <v>-1250.4646751866212</v>
      </c>
      <c r="G3680">
        <f>-842.315882886961 -19.4191948745599 -483.73181653698</f>
        <v>-1345.4668942985008</v>
      </c>
      <c r="H3680">
        <f>-846.890609330915 -18.8762297094941 -608.22930597773</f>
        <v>-1473.996145018139</v>
      </c>
      <c r="I3680">
        <f>-818.883796372235 -11.0120049334769 -686.067616336473</f>
        <v>-1515.9634176421848</v>
      </c>
      <c r="J3680" t="s">
        <v>40024</v>
      </c>
      <c r="K3680" t="s">
        <v>40025</v>
      </c>
      <c r="L3680" t="s">
        <v>40026</v>
      </c>
      <c r="M3680" t="s">
        <v>40027</v>
      </c>
      <c r="N3680">
        <f>-835.165095739632 -45.0620192248916 -553.91420449243</f>
        <v>-1434.1413194569536</v>
      </c>
      <c r="O3680">
        <f>-787.968407353378 -171.147476728674 -526.119144132816</f>
        <v>-1485.235028214868</v>
      </c>
      <c r="P3680">
        <f>-771.710769268809 -199.885054041898 -233.713562511562</f>
        <v>-1205.309385822269</v>
      </c>
      <c r="Q3680">
        <f>-643.305455816545 -24.7016830540035 -337.990630097256</f>
        <v>-1005.9977689678044</v>
      </c>
      <c r="R3680" t="s">
        <v>40028</v>
      </c>
      <c r="S3680" t="s">
        <v>40029</v>
      </c>
      <c r="T3680" t="s">
        <v>40030</v>
      </c>
      <c r="U3680" t="s">
        <v>40031</v>
      </c>
      <c r="V3680">
        <f>-758.75522939052 -83.4357468736235 -92.6663627897553</f>
        <v>-934.85733905389884</v>
      </c>
      <c r="W3680" t="s">
        <v>40032</v>
      </c>
      <c r="X3680" t="s">
        <v>40033</v>
      </c>
      <c r="Y3680" t="s">
        <v>40034</v>
      </c>
    </row>
    <row r="3681" spans="1:25" x14ac:dyDescent="0.3">
      <c r="A3681">
        <v>184000</v>
      </c>
      <c r="B3681" t="s">
        <v>40035</v>
      </c>
      <c r="C3681" t="s">
        <v>40036</v>
      </c>
      <c r="D3681">
        <f>-820.398833518982 -9.62388772677787 -208.069272609785</f>
        <v>-1038.0919938555448</v>
      </c>
      <c r="E3681">
        <f>-830.345501116392 -15.176373092188 -306.032898692535</f>
        <v>-1151.554772901115</v>
      </c>
      <c r="F3681">
        <f>-837.47421915951 -18.279398647483 -394.789968350072</f>
        <v>-1250.543586157065</v>
      </c>
      <c r="G3681">
        <f>-842.375033731628 -19.3685974342218 -483.745157869434</f>
        <v>-1345.4887890352838</v>
      </c>
      <c r="H3681">
        <f>-846.8486785421 -18.8199116754718 -608.246196824243</f>
        <v>-1473.9147870418146</v>
      </c>
      <c r="I3681">
        <f>-818.777801719497 -10.9297345683144 -686.058788895723</f>
        <v>-1515.7663251835343</v>
      </c>
      <c r="J3681" t="s">
        <v>40037</v>
      </c>
      <c r="K3681" t="s">
        <v>40038</v>
      </c>
      <c r="L3681" t="s">
        <v>40039</v>
      </c>
      <c r="M3681" t="s">
        <v>40040</v>
      </c>
      <c r="N3681">
        <f>-835.144899367583 -44.9997323140195 -553.92351727193</f>
        <v>-1434.0681489535325</v>
      </c>
      <c r="O3681">
        <f>-787.839341723501 -171.033534668926 -526.072064967361</f>
        <v>-1484.9449413597881</v>
      </c>
      <c r="P3681">
        <f>-771.976076674232 -199.727383661048 -233.640452732933</f>
        <v>-1205.3439130682129</v>
      </c>
      <c r="Q3681">
        <f>-643.334195232834 -24.5186041640518 -337.582955630715</f>
        <v>-1005.4357550276007</v>
      </c>
      <c r="R3681" t="s">
        <v>40041</v>
      </c>
      <c r="S3681" t="s">
        <v>40042</v>
      </c>
      <c r="T3681" t="s">
        <v>40043</v>
      </c>
      <c r="U3681" t="s">
        <v>40044</v>
      </c>
      <c r="V3681">
        <f>-758.856061677821 -83.3156003240149 -92.6718815600245</f>
        <v>-934.84354356186043</v>
      </c>
      <c r="W3681" t="s">
        <v>40045</v>
      </c>
      <c r="X3681" t="s">
        <v>40046</v>
      </c>
      <c r="Y3681" t="s">
        <v>40047</v>
      </c>
    </row>
    <row r="3682" spans="1:25" x14ac:dyDescent="0.3">
      <c r="A3682">
        <v>184050</v>
      </c>
      <c r="B3682" t="s">
        <v>40048</v>
      </c>
      <c r="C3682" t="s">
        <v>40049</v>
      </c>
      <c r="D3682">
        <f>-820.495882309543 -9.60073652176243 -208.080253127387</f>
        <v>-1038.1768719586926</v>
      </c>
      <c r="E3682">
        <f>-830.42599941495 -15.1533312551362 -306.045676667041</f>
        <v>-1151.625007337127</v>
      </c>
      <c r="F3682">
        <f>-837.533933958909 -18.2523927608131 -394.804546772041</f>
        <v>-1250.590873491763</v>
      </c>
      <c r="G3682">
        <f>-842.407706657597 -19.3335844107451 -483.761243216868</f>
        <v>-1345.50253428521</v>
      </c>
      <c r="H3682">
        <f>-846.837432452516 -18.7696349780049 -608.263822887469</f>
        <v>-1473.87089031799</v>
      </c>
      <c r="I3682">
        <f>-818.747981030081 -10.8468217635375 -686.06637569199</f>
        <v>-1515.6611784856084</v>
      </c>
      <c r="J3682" t="s">
        <v>40050</v>
      </c>
      <c r="K3682" t="s">
        <v>40051</v>
      </c>
      <c r="L3682" t="s">
        <v>40052</v>
      </c>
      <c r="M3682" t="s">
        <v>40053</v>
      </c>
      <c r="N3682">
        <f>-835.139411687932 -44.9511679858419 -553.940655957003</f>
        <v>-1434.0312356307768</v>
      </c>
      <c r="O3682">
        <f>-787.815473170722 -170.973329884086 -526.076445805152</f>
        <v>-1484.86524885996</v>
      </c>
      <c r="P3682">
        <f>-772.064828509832 -199.656962551791 -233.637726665695</f>
        <v>-1205.359517727318</v>
      </c>
      <c r="Q3682">
        <f>-643.350680153638 -24.4989515825664 -337.576139405855</f>
        <v>-1005.4257711420594</v>
      </c>
      <c r="R3682" t="s">
        <v>40054</v>
      </c>
      <c r="S3682" t="s">
        <v>40055</v>
      </c>
      <c r="T3682" t="s">
        <v>40056</v>
      </c>
      <c r="U3682" t="s">
        <v>40057</v>
      </c>
      <c r="V3682">
        <f>-758.911319579994 -83.2490372109551 -92.6787843527911</f>
        <v>-934.83914114374022</v>
      </c>
      <c r="W3682" t="s">
        <v>40058</v>
      </c>
      <c r="X3682" t="s">
        <v>40059</v>
      </c>
      <c r="Y3682" t="s">
        <v>40060</v>
      </c>
    </row>
    <row r="3683" spans="1:25" x14ac:dyDescent="0.3">
      <c r="A3683">
        <v>184100</v>
      </c>
      <c r="B3683" t="s">
        <v>40061</v>
      </c>
      <c r="C3683" t="s">
        <v>40062</v>
      </c>
      <c r="D3683">
        <f>-820.663488296096 -9.49311412849784 -208.096695025388</f>
        <v>-1038.2532974499818</v>
      </c>
      <c r="E3683">
        <f>-830.580078675077 -15.0380667044292 -306.063877414762</f>
        <v>-1151.6820227942681</v>
      </c>
      <c r="F3683">
        <f>-837.673657978832 -18.1252180427448 -394.824150786714</f>
        <v>-1250.6230268082909</v>
      </c>
      <c r="G3683">
        <f>-842.531017501059 -19.189285178956 -483.782205339275</f>
        <v>-1345.50250801929</v>
      </c>
      <c r="H3683">
        <f>-846.935761191276 -18.5958981664053 -608.285521314737</f>
        <v>-1473.8171806724183</v>
      </c>
      <c r="I3683">
        <f>-818.818141376658 -10.6216834248812 -686.072596949398</f>
        <v>-1515.5124217509372</v>
      </c>
      <c r="J3683" t="s">
        <v>40063</v>
      </c>
      <c r="K3683" t="s">
        <v>40064</v>
      </c>
      <c r="L3683" t="s">
        <v>40065</v>
      </c>
      <c r="M3683" t="s">
        <v>40066</v>
      </c>
      <c r="N3683">
        <f>-835.227915388297 -44.7824901124205 -553.96685053619</f>
        <v>-1433.9772560369074</v>
      </c>
      <c r="O3683">
        <f>-787.828387516325 -170.77210509834 -526.082983966736</f>
        <v>-1484.683476581401</v>
      </c>
      <c r="P3683">
        <f>-772.00359055734 -199.478959329648 -233.650687524534</f>
        <v>-1205.133237411522</v>
      </c>
      <c r="Q3683">
        <f>-643.594206960093 -24.2026526207949 -337.766565525422</f>
        <v>-1005.5634251063098</v>
      </c>
      <c r="R3683" t="s">
        <v>40067</v>
      </c>
      <c r="S3683" t="s">
        <v>40068</v>
      </c>
      <c r="T3683" t="s">
        <v>40069</v>
      </c>
      <c r="U3683" t="s">
        <v>40070</v>
      </c>
      <c r="V3683">
        <f>-759.06611717475 -83.0352000787813 -92.6920965954326</f>
        <v>-934.79341384896395</v>
      </c>
      <c r="W3683" t="s">
        <v>40071</v>
      </c>
      <c r="X3683" t="s">
        <v>40072</v>
      </c>
      <c r="Y3683" t="s">
        <v>40073</v>
      </c>
    </row>
    <row r="3684" spans="1:25" x14ac:dyDescent="0.3">
      <c r="A3684">
        <v>184150</v>
      </c>
      <c r="B3684" t="s">
        <v>40074</v>
      </c>
      <c r="C3684" t="s">
        <v>40075</v>
      </c>
      <c r="D3684">
        <f>-820.758617057059 -9.39721156211954 -208.093146379585</f>
        <v>-1038.2489749987635</v>
      </c>
      <c r="E3684">
        <f>-830.675463591649 -14.9358183925897 -306.060719094217</f>
        <v>-1151.6720010784557</v>
      </c>
      <c r="F3684">
        <f>-837.768817831575 -18.013945098965 -394.8213428228</f>
        <v>-1250.60410575334</v>
      </c>
      <c r="G3684">
        <f>-842.625875809784 -19.065562369002 -483.77946747845</f>
        <v>-1345.470905657236</v>
      </c>
      <c r="H3684">
        <f>-847.029463985687 -18.4508198802898 -608.282612077799</f>
        <v>-1473.7628959437757</v>
      </c>
      <c r="I3684">
        <f>-818.897234963064 -10.4600947693134 -686.062781654796</f>
        <v>-1515.4201113871734</v>
      </c>
      <c r="J3684" t="s">
        <v>40076</v>
      </c>
      <c r="K3684" t="s">
        <v>40077</v>
      </c>
      <c r="L3684" t="s">
        <v>40078</v>
      </c>
      <c r="M3684" t="s">
        <v>40079</v>
      </c>
      <c r="N3684">
        <f>-835.312488164019 -44.6430766629437 -553.968764917617</f>
        <v>-1433.9243297445796</v>
      </c>
      <c r="O3684">
        <f>-787.840489762958 -170.596805678949 -526.051285812705</f>
        <v>-1484.4885812546122</v>
      </c>
      <c r="P3684">
        <f>-771.857052030196 -199.261051017217 -233.623373588738</f>
        <v>-1204.741476636151</v>
      </c>
      <c r="Q3684">
        <f>-643.93415723665 -23.7505752278319 -337.943374431909</f>
        <v>-1005.6281068963908</v>
      </c>
      <c r="R3684" t="s">
        <v>40080</v>
      </c>
      <c r="S3684" t="s">
        <v>40081</v>
      </c>
      <c r="T3684" t="s">
        <v>40082</v>
      </c>
      <c r="U3684" t="s">
        <v>40083</v>
      </c>
      <c r="V3684">
        <f>-759.159030511739 -82.891228945147 -92.7011005790565</f>
        <v>-934.75136003594253</v>
      </c>
      <c r="W3684" t="s">
        <v>40084</v>
      </c>
      <c r="X3684" t="s">
        <v>40085</v>
      </c>
      <c r="Y3684" t="s">
        <v>40086</v>
      </c>
    </row>
    <row r="3685" spans="1:25" x14ac:dyDescent="0.3">
      <c r="A3685">
        <v>184200</v>
      </c>
      <c r="B3685" t="s">
        <v>40087</v>
      </c>
      <c r="C3685" t="s">
        <v>40088</v>
      </c>
      <c r="D3685">
        <f>-820.919730805244 -9.27095387610461 -208.082412756877</f>
        <v>-1038.2730974382255</v>
      </c>
      <c r="E3685">
        <f>-830.855048699298 -14.8009951188239 -306.048449510883</f>
        <v>-1151.7044933290049</v>
      </c>
      <c r="F3685">
        <f>-837.961452929044 -17.863112941523 -394.808641509171</f>
        <v>-1250.633207379738</v>
      </c>
      <c r="G3685">
        <f>-842.827668069362 -18.8897621273402 -483.766566992278</f>
        <v>-1345.4839971889801</v>
      </c>
      <c r="H3685">
        <f>-847.240401450163 -18.2313559226875 -608.26911397042</f>
        <v>-1473.7408713432706</v>
      </c>
      <c r="I3685">
        <f>-819.088749130759 -10.2087374713144 -686.039011441137</f>
        <v>-1515.3364980432102</v>
      </c>
      <c r="J3685" t="s">
        <v>40089</v>
      </c>
      <c r="K3685" t="s">
        <v>40090</v>
      </c>
      <c r="L3685" t="s">
        <v>40091</v>
      </c>
      <c r="M3685" t="s">
        <v>40092</v>
      </c>
      <c r="N3685">
        <f>-835.500878681484 -44.4355387136599 -553.966026733638</f>
        <v>-1433.902444128782</v>
      </c>
      <c r="O3685">
        <f>-787.875546397712 -170.320172463667 -526.003909632477</f>
        <v>-1484.1996284938559</v>
      </c>
      <c r="P3685">
        <f>-771.445245836154 -198.90003771311 -233.592449996331</f>
        <v>-1203.9377335455949</v>
      </c>
      <c r="Q3685">
        <f>-644.632409303711 -23.0040532909813 -338.616160721777</f>
        <v>-1006.2526233164695</v>
      </c>
      <c r="R3685" t="s">
        <v>40093</v>
      </c>
      <c r="S3685" t="s">
        <v>40094</v>
      </c>
      <c r="T3685" t="s">
        <v>40095</v>
      </c>
      <c r="U3685" t="s">
        <v>40096</v>
      </c>
      <c r="V3685">
        <f>-759.239093101287 -82.7827499581391 -92.7035170094988</f>
        <v>-934.72536006892494</v>
      </c>
      <c r="W3685" t="s">
        <v>40097</v>
      </c>
      <c r="X3685" t="s">
        <v>40098</v>
      </c>
      <c r="Y3685" t="s">
        <v>40099</v>
      </c>
    </row>
    <row r="3686" spans="1:25" x14ac:dyDescent="0.3">
      <c r="A3686">
        <v>184250</v>
      </c>
      <c r="B3686" t="s">
        <v>40100</v>
      </c>
      <c r="C3686" t="s">
        <v>40101</v>
      </c>
      <c r="D3686">
        <f>-820.953843016431 -9.29427782019229 -208.073564895467</f>
        <v>-1038.3216857320904</v>
      </c>
      <c r="E3686">
        <f>-830.908976699689 -14.8191447923882 -306.037935921599</f>
        <v>-1151.7660574136762</v>
      </c>
      <c r="F3686">
        <f>-838.032342376698 -17.872616669915 -394.797135405674</f>
        <v>-1250.7020944522869</v>
      </c>
      <c r="G3686">
        <f>-842.914824921796 -18.8861174087217 -483.754202542141</f>
        <v>-1345.5551448726587</v>
      </c>
      <c r="H3686">
        <f>-847.349189019071 -18.2044496029034 -608.255950650647</f>
        <v>-1473.8095892726215</v>
      </c>
      <c r="I3686">
        <f>-819.201255339759 -10.171631087579 -686.026089370091</f>
        <v>-1515.3989757974291</v>
      </c>
      <c r="J3686" t="s">
        <v>40102</v>
      </c>
      <c r="K3686" t="s">
        <v>40103</v>
      </c>
      <c r="L3686" t="s">
        <v>40104</v>
      </c>
      <c r="M3686" t="s">
        <v>40105</v>
      </c>
      <c r="N3686">
        <f>-835.591049588985 -44.4153887136019 -553.960068953239</f>
        <v>-1433.9665072558259</v>
      </c>
      <c r="O3686">
        <f>-787.911668417344 -170.290278049318 -526.00020051805</f>
        <v>-1484.2021469847118</v>
      </c>
      <c r="P3686">
        <f>-771.403060677025 -198.826113581807 -233.588886556687</f>
        <v>-1203.8180608155189</v>
      </c>
      <c r="Q3686">
        <f>-644.95519324097 -22.8914316473495 -338.987125873255</f>
        <v>-1006.8337507615745</v>
      </c>
      <c r="R3686" t="s">
        <v>40106</v>
      </c>
      <c r="S3686" t="s">
        <v>40107</v>
      </c>
      <c r="T3686" t="s">
        <v>40108</v>
      </c>
      <c r="U3686" t="s">
        <v>40109</v>
      </c>
      <c r="V3686">
        <f>-759.215316455524 -82.8485486982499 -92.7065902384927</f>
        <v>-934.77045539226663</v>
      </c>
      <c r="W3686" t="s">
        <v>40110</v>
      </c>
      <c r="X3686" t="s">
        <v>40111</v>
      </c>
      <c r="Y3686" t="s">
        <v>40112</v>
      </c>
    </row>
    <row r="3687" spans="1:25" x14ac:dyDescent="0.3">
      <c r="A3687">
        <v>184300</v>
      </c>
      <c r="B3687" t="s">
        <v>40113</v>
      </c>
      <c r="C3687" t="s">
        <v>40114</v>
      </c>
      <c r="D3687">
        <f>-821.049484894035 -9.16551907252824 -208.055649948289</f>
        <v>-1038.2706539148521</v>
      </c>
      <c r="E3687">
        <f>-831.061668008944 -14.6911311097358 -306.014221721219</f>
        <v>-1151.7670208398988</v>
      </c>
      <c r="F3687">
        <f>-838.242059617793 -17.738785075167 -394.768882620421</f>
        <v>-1250.7497273133808</v>
      </c>
      <c r="G3687">
        <f>-843.186380217725 -18.7403049309971 -483.722737468976</f>
        <v>-1345.6494226176981</v>
      </c>
      <c r="H3687">
        <f>-847.712470253303 -18.0353476235671 -608.22111590695</f>
        <v>-1473.9689337838199</v>
      </c>
      <c r="I3687">
        <f>-819.593961461454 -9.99110513105575 -686.000768549718</f>
        <v>-1515.5858351422278</v>
      </c>
      <c r="J3687" t="s">
        <v>40115</v>
      </c>
      <c r="K3687" t="s">
        <v>40116</v>
      </c>
      <c r="L3687" t="s">
        <v>40117</v>
      </c>
      <c r="M3687" t="s">
        <v>40118</v>
      </c>
      <c r="N3687">
        <f>-835.920706724718 -44.2588500937179 -553.938564897793</f>
        <v>-1434.1181217162289</v>
      </c>
      <c r="O3687">
        <f>-788.409546649526 -170.217585344479 -526.074747702822</f>
        <v>-1484.7018796968268</v>
      </c>
      <c r="P3687">
        <f>-771.509460751947 -198.863958261653 -233.696651468325</f>
        <v>-1204.0700704819251</v>
      </c>
      <c r="Q3687">
        <f>-644.708724617638 -23.1015892176658 -338.95859622429</f>
        <v>-1006.7689100595938</v>
      </c>
      <c r="R3687" t="s">
        <v>40119</v>
      </c>
      <c r="S3687" t="s">
        <v>40120</v>
      </c>
      <c r="T3687" t="s">
        <v>40121</v>
      </c>
      <c r="U3687" t="s">
        <v>40122</v>
      </c>
      <c r="V3687">
        <f>-759.284844559945 -82.6250377603506 -92.7041800878593</f>
        <v>-934.61406240815484</v>
      </c>
      <c r="W3687" t="s">
        <v>40123</v>
      </c>
      <c r="X3687" t="s">
        <v>40124</v>
      </c>
      <c r="Y3687" t="s">
        <v>40125</v>
      </c>
    </row>
    <row r="3688" spans="1:25" x14ac:dyDescent="0.3">
      <c r="A3688">
        <v>184350</v>
      </c>
      <c r="B3688" t="s">
        <v>40126</v>
      </c>
      <c r="C3688" t="s">
        <v>40127</v>
      </c>
      <c r="D3688">
        <f>-821.063188627375 -9.11077497782435 -208.05003192862</f>
        <v>-1038.2239955338193</v>
      </c>
      <c r="E3688">
        <f>-831.098843808275 -14.6351569953808 -306.006225201795</f>
        <v>-1151.7402260054509</v>
      </c>
      <c r="F3688">
        <f>-838.303941568175 -17.6781515629414 -394.759036922577</f>
        <v>-1250.7411300536933</v>
      </c>
      <c r="G3688">
        <f>-843.276633086794 -18.6712880531177 -483.711371990393</f>
        <v>-1345.6592931303048</v>
      </c>
      <c r="H3688">
        <f>-847.846043597298 -17.9510708792075 -608.208120505948</f>
        <v>-1474.0052349824537</v>
      </c>
      <c r="I3688">
        <f>-819.750400705793 -9.90085076525952 -685.995306222044</f>
        <v>-1515.6465576930964</v>
      </c>
      <c r="J3688" t="s">
        <v>40128</v>
      </c>
      <c r="K3688" t="s">
        <v>40129</v>
      </c>
      <c r="L3688" t="s">
        <v>40130</v>
      </c>
      <c r="M3688" t="s">
        <v>40131</v>
      </c>
      <c r="N3688">
        <f>-836.043716156962 -44.1843490676849 -553.932542124101</f>
        <v>-1434.1606073487478</v>
      </c>
      <c r="O3688">
        <f>-788.622190207305 -170.185469113815 -526.123449502751</f>
        <v>-1484.931108823871</v>
      </c>
      <c r="P3688">
        <f>-771.795114974608 -198.870836515412 -233.745026863302</f>
        <v>-1204.410978353322</v>
      </c>
      <c r="Q3688">
        <f>-644.41927764965 -23.2997989944945 -338.630927822777</f>
        <v>-1006.3500044669215</v>
      </c>
      <c r="R3688" t="s">
        <v>40132</v>
      </c>
      <c r="S3688" t="s">
        <v>40133</v>
      </c>
      <c r="T3688" t="s">
        <v>40134</v>
      </c>
      <c r="U3688" t="s">
        <v>40135</v>
      </c>
      <c r="V3688">
        <f>-759.320920397628 -82.531167079533 -92.6963529651175</f>
        <v>-934.54844044227855</v>
      </c>
      <c r="W3688" t="s">
        <v>40136</v>
      </c>
      <c r="X3688" t="s">
        <v>40137</v>
      </c>
      <c r="Y3688" t="s">
        <v>40138</v>
      </c>
    </row>
    <row r="3689" spans="1:25" x14ac:dyDescent="0.3">
      <c r="A3689">
        <v>184400</v>
      </c>
      <c r="B3689" t="s">
        <v>40139</v>
      </c>
      <c r="C3689" t="s">
        <v>40140</v>
      </c>
      <c r="D3689">
        <f>-821.131453504419 -9.07247707048691 -208.024878376166</f>
        <v>-1038.2288089510719</v>
      </c>
      <c r="E3689">
        <f>-831.209619340784 -14.5910832961245 -305.977161417127</f>
        <v>-1151.7778640540355</v>
      </c>
      <c r="F3689">
        <f>-838.451902220096 -17.6320921033409 -394.727133919365</f>
        <v>-1250.8111282428019</v>
      </c>
      <c r="G3689">
        <f>-843.460715899868 -18.6268245929805 -483.677434740485</f>
        <v>-1345.7649752333334</v>
      </c>
      <c r="H3689">
        <f>-848.079518215708 -17.9119876717566 -608.172203858895</f>
        <v>-1474.1637097463597</v>
      </c>
      <c r="I3689">
        <f>-820.042945560045 -9.86169101584096 -685.980786165566</f>
        <v>-1515.885422741452</v>
      </c>
      <c r="J3689" t="s">
        <v>40141</v>
      </c>
      <c r="K3689" t="s">
        <v>40142</v>
      </c>
      <c r="L3689" t="s">
        <v>40143</v>
      </c>
      <c r="M3689" t="s">
        <v>40144</v>
      </c>
      <c r="N3689">
        <f>-836.271565225523 -44.1489886564466 -553.89966351385</f>
        <v>-1434.3202173958196</v>
      </c>
      <c r="O3689">
        <f>-788.904725128881 -170.171913360832 -526.10706581301</f>
        <v>-1485.1837043027231</v>
      </c>
      <c r="P3689">
        <f>-772.360497453663 -199.195192111387 -233.745698790551</f>
        <v>-1205.3013883556009</v>
      </c>
      <c r="Q3689">
        <f>-644.544350917975 -23.3837871339065 -337.689454707409</f>
        <v>-1005.6175927592905</v>
      </c>
      <c r="R3689" t="s">
        <v>40145</v>
      </c>
      <c r="S3689" t="s">
        <v>40146</v>
      </c>
      <c r="T3689" t="s">
        <v>40147</v>
      </c>
      <c r="U3689" t="s">
        <v>40148</v>
      </c>
      <c r="V3689">
        <f>-759.426149977279 -82.5712643872544 -92.6909029413814</f>
        <v>-934.68831730591478</v>
      </c>
      <c r="W3689" t="s">
        <v>40149</v>
      </c>
      <c r="X3689" t="s">
        <v>40150</v>
      </c>
      <c r="Y3689" t="s">
        <v>40151</v>
      </c>
    </row>
    <row r="3690" spans="1:25" x14ac:dyDescent="0.3">
      <c r="A3690">
        <v>184450</v>
      </c>
      <c r="B3690" t="s">
        <v>40152</v>
      </c>
      <c r="C3690" t="s">
        <v>40153</v>
      </c>
      <c r="D3690">
        <f>-821.202518638382 -9.09433176348989 -208.004389757163</f>
        <v>-1038.3012401590349</v>
      </c>
      <c r="E3690">
        <f>-831.305612545928 -14.6047224200895 -305.954413954615</f>
        <v>-1151.8647489206326</v>
      </c>
      <c r="F3690">
        <f>-838.572056373266 -17.6347355963369 -394.702711010614</f>
        <v>-1250.909502980217</v>
      </c>
      <c r="G3690">
        <f>-843.606929410515 -18.6149050012548 -483.651723683256</f>
        <v>-1345.8735580950258</v>
      </c>
      <c r="H3690">
        <f>-848.264348915585 -17.8753704821797 -608.144891076086</f>
        <v>-1474.2846104738505</v>
      </c>
      <c r="I3690">
        <f>-820.252969610788 -9.81258799650186 -685.961328371241</f>
        <v>-1516.026885978531</v>
      </c>
      <c r="J3690" t="s">
        <v>40154</v>
      </c>
      <c r="K3690" t="s">
        <v>40155</v>
      </c>
      <c r="L3690" t="s">
        <v>40156</v>
      </c>
      <c r="M3690" t="s">
        <v>40157</v>
      </c>
      <c r="N3690">
        <f>-836.430596779488 -44.1196830380584 -553.881748587862</f>
        <v>-1434.4320284054083</v>
      </c>
      <c r="O3690">
        <f>-788.97433795654 -170.10380572086 -526.0971324391</f>
        <v>-1485.1752761165001</v>
      </c>
      <c r="P3690">
        <f>-772.575138708148 -199.121234058747 -233.727175150535</f>
        <v>-1205.4235479174299</v>
      </c>
      <c r="Q3690">
        <f>-644.834844754244 -23.0208674218404 -337.274091856003</f>
        <v>-1005.1298040320875</v>
      </c>
      <c r="R3690" t="s">
        <v>40158</v>
      </c>
      <c r="S3690" t="s">
        <v>40159</v>
      </c>
      <c r="T3690" t="s">
        <v>40160</v>
      </c>
      <c r="U3690" t="s">
        <v>40161</v>
      </c>
      <c r="V3690">
        <f>-759.523244253013 -82.538242919978 -92.6857505492067</f>
        <v>-934.74723772219761</v>
      </c>
      <c r="W3690" t="s">
        <v>40162</v>
      </c>
      <c r="X3690" t="s">
        <v>40163</v>
      </c>
      <c r="Y3690" t="s">
        <v>40164</v>
      </c>
    </row>
    <row r="3691" spans="1:25" x14ac:dyDescent="0.3">
      <c r="A3691">
        <v>184500</v>
      </c>
      <c r="B3691" t="s">
        <v>40165</v>
      </c>
      <c r="C3691" t="s">
        <v>40166</v>
      </c>
      <c r="D3691">
        <f>-821.350855850455 -9.21617345653203 -207.971673649591</f>
        <v>-1038.5387029565779</v>
      </c>
      <c r="E3691">
        <f>-831.477269165484 -14.6852145835542 -305.921648080087</f>
        <v>-1152.0841318291252</v>
      </c>
      <c r="F3691">
        <f>-838.750392318472 -17.650902555062 -394.671526426422</f>
        <v>-1251.0728212999561</v>
      </c>
      <c r="G3691">
        <f>-843.77729561374 -18.5394144008035 -483.621955514494</f>
        <v>-1345.9386655290375</v>
      </c>
      <c r="H3691">
        <f>-848.407838410398 -17.643321890469 -608.115118907058</f>
        <v>-1474.1662792079251</v>
      </c>
      <c r="I3691">
        <f>-820.428546716515 -9.52439398576053 -685.937303767276</f>
        <v>-1515.8902444695516</v>
      </c>
      <c r="J3691" t="s">
        <v>40167</v>
      </c>
      <c r="K3691" t="s">
        <v>40168</v>
      </c>
      <c r="L3691" t="s">
        <v>40169</v>
      </c>
      <c r="M3691" t="s">
        <v>40170</v>
      </c>
      <c r="N3691">
        <f>-836.565341452846 -43.9480538704718 -553.883062839047</f>
        <v>-1434.396458162365</v>
      </c>
      <c r="O3691">
        <f>-788.931887293251 -169.877411766893 -526.088869901745</f>
        <v>-1484.898168961889</v>
      </c>
      <c r="P3691">
        <f>-772.293024765367 -198.947712954626 -233.737603509538</f>
        <v>-1204.978341229531</v>
      </c>
      <c r="Q3691">
        <f>-645.818352718546 -22.0288562439121 -337.442449504693</f>
        <v>-1005.289658467151</v>
      </c>
      <c r="R3691" t="s">
        <v>40171</v>
      </c>
      <c r="S3691" t="s">
        <v>40172</v>
      </c>
      <c r="T3691" t="s">
        <v>40173</v>
      </c>
      <c r="U3691" t="s">
        <v>40174</v>
      </c>
      <c r="V3691">
        <f>-759.533896924032 -82.6760842790206 -92.6846402015857</f>
        <v>-934.89462140463831</v>
      </c>
      <c r="W3691" t="s">
        <v>40175</v>
      </c>
      <c r="X3691" t="s">
        <v>40176</v>
      </c>
      <c r="Y3691" t="s">
        <v>40177</v>
      </c>
    </row>
    <row r="3692" spans="1:25" x14ac:dyDescent="0.3">
      <c r="A3692">
        <v>184550</v>
      </c>
      <c r="B3692" t="s">
        <v>40178</v>
      </c>
      <c r="C3692" t="s">
        <v>40179</v>
      </c>
      <c r="D3692">
        <f>-821.470862828212 -9.24716670204816 -207.98187415842</f>
        <v>-1038.6999036886803</v>
      </c>
      <c r="E3692">
        <f>-831.599020585075 -14.7078801666833 -305.932235292729</f>
        <v>-1152.2391360444872</v>
      </c>
      <c r="F3692">
        <f>-838.867763122219 -17.6541308898095 -394.682985577094</f>
        <v>-1251.2048795891224</v>
      </c>
      <c r="G3692">
        <f>-843.884068773202 -18.5111120726558 -483.634432525046</f>
        <v>-1346.0296133709039</v>
      </c>
      <c r="H3692">
        <f>-848.492882371851 -17.558525966934 -608.128145967947</f>
        <v>-1474.1795543067319</v>
      </c>
      <c r="I3692">
        <f>-820.523820319648 -9.38549259410456 -685.948117502881</f>
        <v>-1515.8574304166336</v>
      </c>
      <c r="J3692" t="s">
        <v>40180</v>
      </c>
      <c r="K3692" t="s">
        <v>40181</v>
      </c>
      <c r="L3692" t="s">
        <v>40182</v>
      </c>
      <c r="M3692" t="s">
        <v>40183</v>
      </c>
      <c r="N3692">
        <f>-836.64235829561 -43.8812536863886 -553.906438651317</f>
        <v>-1434.4300506333157</v>
      </c>
      <c r="O3692">
        <f>-788.972031702581 -169.812383716306 -526.196940598133</f>
        <v>-1484.9813560170201</v>
      </c>
      <c r="P3692">
        <f>-772.333502855962 -198.862780159146 -233.843582660691</f>
        <v>-1205.0398656757991</v>
      </c>
      <c r="Q3692">
        <f>-645.710848422443 -22.1312887141578 -337.68757896193</f>
        <v>-1005.5297160985308</v>
      </c>
      <c r="R3692" t="s">
        <v>40184</v>
      </c>
      <c r="S3692" t="s">
        <v>40185</v>
      </c>
      <c r="T3692" t="s">
        <v>40186</v>
      </c>
      <c r="U3692" t="s">
        <v>40187</v>
      </c>
      <c r="V3692">
        <f>-759.625859576742 -82.6390897377665 -92.6852622647002</f>
        <v>-934.95021157920871</v>
      </c>
      <c r="W3692" t="s">
        <v>40188</v>
      </c>
      <c r="X3692" t="s">
        <v>40189</v>
      </c>
      <c r="Y3692" t="s">
        <v>40190</v>
      </c>
    </row>
    <row r="3693" spans="1:25" x14ac:dyDescent="0.3">
      <c r="A3693">
        <v>184600</v>
      </c>
      <c r="B3693" t="s">
        <v>40191</v>
      </c>
      <c r="C3693" t="s">
        <v>40192</v>
      </c>
      <c r="D3693">
        <f>-821.687208649547 -9.410995416079 -207.979234303117</f>
        <v>-1039.0774383687431</v>
      </c>
      <c r="E3693">
        <f>-831.860751367994 -14.8912369482712 -305.923867416342</f>
        <v>-1152.675855732607</v>
      </c>
      <c r="F3693">
        <f>-839.177344330972 -17.8526073201383 -394.670255142169</f>
        <v>-1251.7002067932794</v>
      </c>
      <c r="G3693">
        <f>-844.247715961135 -18.7220543417998 -483.618408941686</f>
        <v>-1346.5881792446207</v>
      </c>
      <c r="H3693">
        <f>-848.938753466202 -17.7844698024803 -608.109127418401</f>
        <v>-1474.8323506870834</v>
      </c>
      <c r="I3693">
        <f>-820.994549103719 -9.5161724097029 -685.927990164665</f>
        <v>-1516.4387116780867</v>
      </c>
      <c r="J3693" t="s">
        <v>40193</v>
      </c>
      <c r="K3693" t="s">
        <v>40194</v>
      </c>
      <c r="L3693" t="s">
        <v>40195</v>
      </c>
      <c r="M3693" t="s">
        <v>40196</v>
      </c>
      <c r="N3693">
        <f>-837.040730089008 -44.0962423223552 -553.892523995851</f>
        <v>-1435.0294964072141</v>
      </c>
      <c r="O3693">
        <f>-789.4160901195 -170.073675818807 -526.332170349519</f>
        <v>-1485.821936287826</v>
      </c>
      <c r="P3693">
        <f>-772.321517143502 -199.409351047713 -234.033601374499</f>
        <v>-1205.7644695657141</v>
      </c>
      <c r="Q3693">
        <f>-645.108638177333 -23.1490267552297 -337.957095701796</f>
        <v>-1006.2147606343586</v>
      </c>
      <c r="R3693" t="s">
        <v>40197</v>
      </c>
      <c r="S3693" t="s">
        <v>40198</v>
      </c>
      <c r="T3693" t="s">
        <v>40199</v>
      </c>
      <c r="U3693" t="s">
        <v>40200</v>
      </c>
      <c r="V3693">
        <f>-759.696212442458 -82.8088341310341 -92.7004083721505</f>
        <v>-935.2054549456426</v>
      </c>
      <c r="W3693" t="s">
        <v>40201</v>
      </c>
      <c r="X3693" t="s">
        <v>40202</v>
      </c>
      <c r="Y3693" t="s">
        <v>40203</v>
      </c>
    </row>
    <row r="3694" spans="1:25" x14ac:dyDescent="0.3">
      <c r="A3694">
        <v>184650</v>
      </c>
      <c r="B3694" t="s">
        <v>40204</v>
      </c>
      <c r="C3694" t="s">
        <v>40205</v>
      </c>
      <c r="D3694">
        <f>-821.823020194973 -9.55824391868578 -207.956843216767</f>
        <v>-1039.3381073304258</v>
      </c>
      <c r="E3694">
        <f>-832.037275641841 -15.0766448113018 -305.894968012704</f>
        <v>-1153.0088884658467</v>
      </c>
      <c r="F3694">
        <f>-839.396352902464 -18.0761858896585 -394.636617958623</f>
        <v>-1252.1091567507456</v>
      </c>
      <c r="G3694">
        <f>-844.514777683985 -18.9876497109276 -483.581700395597</f>
        <v>-1347.0841277905097</v>
      </c>
      <c r="H3694">
        <f>-849.278652649323 -18.1121527051118 -608.069946412195</f>
        <v>-1475.46075176663</v>
      </c>
      <c r="I3694">
        <f>-821.341891098459 -9.83153826208218 -685.890193767298</f>
        <v>-1517.063623127839</v>
      </c>
      <c r="J3694" t="s">
        <v>40206</v>
      </c>
      <c r="K3694" t="s">
        <v>40207</v>
      </c>
      <c r="L3694" t="s">
        <v>40208</v>
      </c>
      <c r="M3694" t="s">
        <v>40209</v>
      </c>
      <c r="N3694">
        <f>-837.343143814746 -44.3946761155488 -553.847425084454</f>
        <v>-1435.5852450147488</v>
      </c>
      <c r="O3694">
        <f>-789.656371818429 -170.342826821809 -526.29802129922</f>
        <v>-1486.297219939458</v>
      </c>
      <c r="P3694">
        <f>-772.63065382608 -199.504293374258 -233.977962577274</f>
        <v>-1206.112909777612</v>
      </c>
      <c r="Q3694">
        <f>-645.274990386943 -23.2317024536978 -337.705391053605</f>
        <v>-1006.2120838942459</v>
      </c>
      <c r="R3694" t="s">
        <v>40210</v>
      </c>
      <c r="S3694" t="s">
        <v>40211</v>
      </c>
      <c r="T3694" t="s">
        <v>40212</v>
      </c>
      <c r="U3694" t="s">
        <v>40213</v>
      </c>
      <c r="V3694">
        <f>-759.749823069782 -82.9140022892451 -92.6970062369026</f>
        <v>-935.36083159592965</v>
      </c>
      <c r="W3694" t="s">
        <v>40214</v>
      </c>
      <c r="X3694" t="s">
        <v>40215</v>
      </c>
      <c r="Y3694" t="s">
        <v>40216</v>
      </c>
    </row>
    <row r="3695" spans="1:25" x14ac:dyDescent="0.3">
      <c r="A3695">
        <v>184700</v>
      </c>
      <c r="B3695" t="s">
        <v>40217</v>
      </c>
      <c r="C3695" t="s">
        <v>40218</v>
      </c>
      <c r="D3695">
        <f>-822.223046503814 -9.78984584964587 -207.905322108912</f>
        <v>-1039.9182144623719</v>
      </c>
      <c r="E3695">
        <f>-832.560691850453 -15.3686758682097 -305.827030386648</f>
        <v>-1153.7563981053108</v>
      </c>
      <c r="F3695">
        <f>-840.030412360308 -18.4168085790272 -394.557763258483</f>
        <v>-1253.0049841978182</v>
      </c>
      <c r="G3695">
        <f>-845.259186708441 -19.3702546614034 -483.496010029799</f>
        <v>-1348.1254513996432</v>
      </c>
      <c r="H3695">
        <f>-850.177012156337 -18.5463405326868 -607.978717013379</f>
        <v>-1476.7020697024027</v>
      </c>
      <c r="I3695">
        <f>-822.269132714475 -10.262877986605 -685.809143169926</f>
        <v>-1518.3411538710059</v>
      </c>
      <c r="J3695" t="s">
        <v>40219</v>
      </c>
      <c r="K3695" t="s">
        <v>40220</v>
      </c>
      <c r="L3695" t="s">
        <v>40221</v>
      </c>
      <c r="M3695" t="s">
        <v>40222</v>
      </c>
      <c r="N3695">
        <f>-838.142044664786 -44.7940839789355 -553.761253160356</f>
        <v>-1436.6973818040774</v>
      </c>
      <c r="O3695">
        <f>-790.054045391034 -170.57984592545 -526.134410033908</f>
        <v>-1486.768301350392</v>
      </c>
      <c r="P3695">
        <f>-773.365725811303 -199.289416529511 -233.750425893159</f>
        <v>-1206.4055682339731</v>
      </c>
      <c r="Q3695">
        <f>-646.816482649092 -22.4192645138771 -337.447525011957</f>
        <v>-1006.6832721749261</v>
      </c>
      <c r="R3695" t="s">
        <v>40223</v>
      </c>
      <c r="S3695" t="s">
        <v>40224</v>
      </c>
      <c r="T3695" t="s">
        <v>40225</v>
      </c>
      <c r="U3695" t="s">
        <v>40226</v>
      </c>
      <c r="V3695">
        <f>-759.97959546567 -82.9275411130164 -92.6869363708881</f>
        <v>-935.59407294957452</v>
      </c>
      <c r="W3695" t="s">
        <v>40227</v>
      </c>
      <c r="X3695" t="s">
        <v>40228</v>
      </c>
      <c r="Y3695" t="s">
        <v>40229</v>
      </c>
    </row>
    <row r="3696" spans="1:25" x14ac:dyDescent="0.3">
      <c r="A3696">
        <v>184750</v>
      </c>
      <c r="B3696" t="s">
        <v>40230</v>
      </c>
      <c r="C3696" t="s">
        <v>40231</v>
      </c>
      <c r="D3696">
        <f>-822.382648080613 -9.97357048089157 -207.884385987207</f>
        <v>-1040.2406045487114</v>
      </c>
      <c r="E3696">
        <f>-832.789992537026 -15.5879925315792 -305.796680867227</f>
        <v>-1154.1746659358323</v>
      </c>
      <c r="F3696">
        <f>-840.320769917028 -18.6643888401329 -394.52129139254</f>
        <v>-1253.5064501497009</v>
      </c>
      <c r="G3696">
        <f>-845.609014828063 -19.642034678506 -483.45576971505</f>
        <v>-1348.7068192216188</v>
      </c>
      <c r="H3696">
        <f>-850.607635765625 -18.8476806691563 -607.935420600773</f>
        <v>-1477.3907370355541</v>
      </c>
      <c r="I3696">
        <f>-822.749346052672 -10.5639783655388 -685.783424445361</f>
        <v>-1519.0967488635717</v>
      </c>
      <c r="J3696" t="s">
        <v>40232</v>
      </c>
      <c r="K3696" t="s">
        <v>40233</v>
      </c>
      <c r="L3696" t="s">
        <v>40234</v>
      </c>
      <c r="M3696" t="s">
        <v>40235</v>
      </c>
      <c r="N3696">
        <f>-838.519895696427 -45.0758263002192 -553.720279178382</f>
        <v>-1437.3160011750283</v>
      </c>
      <c r="O3696">
        <f>-790.291209711906 -170.813697924257 -526.095366943499</f>
        <v>-1487.2002745796622</v>
      </c>
      <c r="P3696">
        <f>-773.514045057408 -199.722415753584 -233.736016776978</f>
        <v>-1206.9724775879699</v>
      </c>
      <c r="Q3696">
        <f>-647.59021861438 -22.4813317703442 -337.561192429191</f>
        <v>-1007.6327428139152</v>
      </c>
      <c r="R3696" t="s">
        <v>40236</v>
      </c>
      <c r="S3696" t="s">
        <v>40237</v>
      </c>
      <c r="T3696" t="s">
        <v>40238</v>
      </c>
      <c r="U3696" t="s">
        <v>40239</v>
      </c>
      <c r="V3696">
        <f>-759.978208876283 -83.1379786016104 -92.6959595020699</f>
        <v>-935.81214697996325</v>
      </c>
      <c r="W3696" t="s">
        <v>40240</v>
      </c>
      <c r="X3696" t="s">
        <v>40241</v>
      </c>
      <c r="Y3696" t="s">
        <v>40242</v>
      </c>
    </row>
    <row r="3697" spans="1:25" x14ac:dyDescent="0.3">
      <c r="A3697">
        <v>184800</v>
      </c>
      <c r="B3697" t="s">
        <v>40243</v>
      </c>
      <c r="C3697" t="s">
        <v>40244</v>
      </c>
      <c r="D3697">
        <f>-822.735554461201 -10.4350632105231 -207.857978340524</f>
        <v>-1041.028596012248</v>
      </c>
      <c r="E3697">
        <f>-833.333958240852 -16.0790718509561 -305.747968758722</f>
        <v>-1155.1609988505302</v>
      </c>
      <c r="F3697">
        <f>-841.054053535096 -19.1534920953923 -394.456604337556</f>
        <v>-1254.6641499680443</v>
      </c>
      <c r="G3697">
        <f>-846.547597593893 -20.0997646062897 -483.378688014194</f>
        <v>-1350.0260502143767</v>
      </c>
      <c r="H3697">
        <f>-851.849790619675 -19.2306672665541 -607.84540182872</f>
        <v>-1478.9258597149492</v>
      </c>
      <c r="I3697">
        <f>-824.098178510099 -10.9072325475884 -685.72730239698</f>
        <v>-1520.7327134546674</v>
      </c>
      <c r="J3697" t="s">
        <v>40245</v>
      </c>
      <c r="K3697" t="s">
        <v>40246</v>
      </c>
      <c r="L3697" t="s">
        <v>40247</v>
      </c>
      <c r="M3697" t="s">
        <v>40248</v>
      </c>
      <c r="N3697">
        <f>-839.611799690482 -45.4843883696053 -553.676427784239</f>
        <v>-1438.7726158443263</v>
      </c>
      <c r="O3697">
        <f>-791.266048291134 -171.219875514667 -526.266426814782</f>
        <v>-1488.752350620583</v>
      </c>
      <c r="P3697">
        <f>-773.733996348105 -200.399456592919 -233.978157998859</f>
        <v>-1208.1116109398831</v>
      </c>
      <c r="Q3697">
        <f>-648.550336163791 -22.7895118626889 -338.067736139621</f>
        <v>-1009.4075841661008</v>
      </c>
      <c r="R3697" t="s">
        <v>40249</v>
      </c>
      <c r="S3697" t="s">
        <v>40250</v>
      </c>
      <c r="T3697" t="s">
        <v>40251</v>
      </c>
      <c r="U3697" t="s">
        <v>40252</v>
      </c>
      <c r="V3697">
        <f>-760.046106332444 -83.4703999549971 -92.682478419295</f>
        <v>-936.19898470673604</v>
      </c>
      <c r="W3697" t="s">
        <v>40253</v>
      </c>
      <c r="X3697" t="s">
        <v>40254</v>
      </c>
      <c r="Y3697" t="s">
        <v>40255</v>
      </c>
    </row>
    <row r="3698" spans="1:25" x14ac:dyDescent="0.3">
      <c r="A3698">
        <v>184850</v>
      </c>
      <c r="B3698" t="s">
        <v>40256</v>
      </c>
      <c r="C3698" t="s">
        <v>40257</v>
      </c>
      <c r="D3698">
        <f>-822.96243324377 -10.6530056678116 -207.83434477842</f>
        <v>-1041.4497836900016</v>
      </c>
      <c r="E3698">
        <f>-833.642867601233 -16.3035607514087 -305.715199973766</f>
        <v>-1155.6616283264077</v>
      </c>
      <c r="F3698">
        <f>-841.447029283427 -19.3631678534887 -394.416738983185</f>
        <v>-1255.2269361201006</v>
      </c>
      <c r="G3698">
        <f>-847.034312607554 -20.2738509804594 -483.333483645067</f>
        <v>-1350.6416472330804</v>
      </c>
      <c r="H3698">
        <f>-852.476706817731 -19.3326055050989 -607.793638705365</f>
        <v>-1479.6029510281949</v>
      </c>
      <c r="I3698">
        <f>-824.787466659562 -10.9843165390441 -685.69510393052</f>
        <v>-1521.466887129126</v>
      </c>
      <c r="J3698" t="s">
        <v>40258</v>
      </c>
      <c r="K3698" t="s">
        <v>40259</v>
      </c>
      <c r="L3698" t="s">
        <v>40260</v>
      </c>
      <c r="M3698" t="s">
        <v>40261</v>
      </c>
      <c r="N3698">
        <f>-840.167701477881 -45.6139131779216 -553.654085573337</f>
        <v>-1439.4357002291397</v>
      </c>
      <c r="O3698">
        <f>-791.759694189427 -171.34997814366 -526.342646807535</f>
        <v>-1489.452319140622</v>
      </c>
      <c r="P3698">
        <f>-773.986131780035 -200.619780809578 -234.078086363766</f>
        <v>-1208.6839989533789</v>
      </c>
      <c r="Q3698">
        <f>-648.925455081404 -23.1161701852291 -338.496280768861</f>
        <v>-1010.5379060354942</v>
      </c>
      <c r="R3698" t="s">
        <v>40262</v>
      </c>
      <c r="S3698" t="s">
        <v>40263</v>
      </c>
      <c r="T3698" t="s">
        <v>40264</v>
      </c>
      <c r="U3698" t="s">
        <v>40265</v>
      </c>
      <c r="V3698">
        <f>-760.188902581253 -83.5141915040059 -92.6696386616226</f>
        <v>-936.37273274688152</v>
      </c>
      <c r="W3698" t="s">
        <v>40266</v>
      </c>
      <c r="X3698" t="s">
        <v>40267</v>
      </c>
      <c r="Y3698" t="s">
        <v>40268</v>
      </c>
    </row>
    <row r="3699" spans="1:25" x14ac:dyDescent="0.3">
      <c r="A3699">
        <v>184900</v>
      </c>
      <c r="B3699" t="s">
        <v>40269</v>
      </c>
      <c r="C3699" t="s">
        <v>40270</v>
      </c>
      <c r="D3699">
        <f>-823.369910876528 -11.1813866786215 -207.827489625349</f>
        <v>-1042.3787871804984</v>
      </c>
      <c r="E3699">
        <f>-834.200268379213 -16.8380055108503 -305.691473075848</f>
        <v>-1156.7297469659113</v>
      </c>
      <c r="F3699">
        <f>-842.160155656537 -19.8713072960425 -394.380271042371</f>
        <v>-1256.4117339949505</v>
      </c>
      <c r="G3699">
        <f>-847.922148154142 -20.7231411671041 -483.286360695983</f>
        <v>-1351.931650017229</v>
      </c>
      <c r="H3699">
        <f>-853.62822784827 -19.6661325278765 -607.733774545742</f>
        <v>-1481.0281349218885</v>
      </c>
      <c r="I3699">
        <f>-826.071779512123 -11.2137974467405 -685.671015849966</f>
        <v>-1522.9565928088296</v>
      </c>
      <c r="J3699" t="s">
        <v>40271</v>
      </c>
      <c r="K3699" t="s">
        <v>40272</v>
      </c>
      <c r="L3699" t="s">
        <v>40273</v>
      </c>
      <c r="M3699" t="s">
        <v>40274</v>
      </c>
      <c r="N3699">
        <f>-841.197724999964 -45.9951910301826 -553.645073967916</f>
        <v>-1440.8379899980625</v>
      </c>
      <c r="O3699">
        <f>-792.78628280697 -171.778958850773 -526.589782033805</f>
        <v>-1491.155023691548</v>
      </c>
      <c r="P3699">
        <f>-774.856463011271 -201.169768446917 -234.346910006261</f>
        <v>-1210.373141464449</v>
      </c>
      <c r="Q3699">
        <f>-649.608954034023 -24.0514340813993 -339.194504290948</f>
        <v>-1012.8548924063703</v>
      </c>
      <c r="R3699" t="s">
        <v>40275</v>
      </c>
      <c r="S3699" t="s">
        <v>40276</v>
      </c>
      <c r="T3699" t="s">
        <v>40277</v>
      </c>
      <c r="U3699" t="s">
        <v>40278</v>
      </c>
      <c r="V3699">
        <f>-760.369419540744 -83.9405061117573 -92.660987627484</f>
        <v>-936.97091327998533</v>
      </c>
      <c r="W3699" t="s">
        <v>40279</v>
      </c>
      <c r="X3699" t="s">
        <v>40280</v>
      </c>
      <c r="Y3699" t="s">
        <v>40281</v>
      </c>
    </row>
    <row r="3700" spans="1:25" x14ac:dyDescent="0.3">
      <c r="A3700">
        <v>184950</v>
      </c>
      <c r="B3700" t="s">
        <v>40282</v>
      </c>
      <c r="C3700" t="s">
        <v>40283</v>
      </c>
      <c r="D3700">
        <f>-823.562242557125 -11.4375325449571 -207.811339283491</f>
        <v>-1042.8111143855731</v>
      </c>
      <c r="E3700">
        <f>-834.46239348899 -17.1009518499634 -305.667219811823</f>
        <v>-1157.2305651507763</v>
      </c>
      <c r="F3700">
        <f>-842.496086225181 -20.1312450903292 -394.349358118432</f>
        <v>-1256.9766894339423</v>
      </c>
      <c r="G3700">
        <f>-848.341954144001 -20.9710006649445 -483.25012382924</f>
        <v>-1352.5630786381855</v>
      </c>
      <c r="H3700">
        <f>-854.176054963697 -19.8870222920286 -607.691279070995</f>
        <v>-1481.7543563267207</v>
      </c>
      <c r="I3700">
        <f>-826.67283159536 -11.3916752242826 -685.642861044108</f>
        <v>-1523.7073678637507</v>
      </c>
      <c r="J3700" t="s">
        <v>40284</v>
      </c>
      <c r="K3700" t="s">
        <v>40285</v>
      </c>
      <c r="L3700" t="s">
        <v>40286</v>
      </c>
      <c r="M3700" t="s">
        <v>40287</v>
      </c>
      <c r="N3700">
        <f>-841.691582284523 -46.2283029772931 -553.621271324666</f>
        <v>-1441.541156586482</v>
      </c>
      <c r="O3700">
        <f>-793.253824376233 -172.021512424601 -526.647796725489</f>
        <v>-1491.923133526323</v>
      </c>
      <c r="P3700">
        <f>-775.256907292636 -201.681151102191 -234.436261249597</f>
        <v>-1211.3743196444241</v>
      </c>
      <c r="Q3700">
        <f>-650.207975146241 -24.3776762635694 -339.207761216178</f>
        <v>-1013.7934126259884</v>
      </c>
      <c r="R3700" t="s">
        <v>40288</v>
      </c>
      <c r="S3700" t="s">
        <v>40289</v>
      </c>
      <c r="T3700" t="s">
        <v>40290</v>
      </c>
      <c r="U3700" t="s">
        <v>40291</v>
      </c>
      <c r="V3700">
        <f>-760.5157678121 -84.1351001813244 -92.6569880809285</f>
        <v>-937.30785607435291</v>
      </c>
      <c r="W3700" t="s">
        <v>40292</v>
      </c>
      <c r="X3700" t="s">
        <v>40293</v>
      </c>
      <c r="Y3700" t="s">
        <v>40294</v>
      </c>
    </row>
    <row r="3701" spans="1:25" x14ac:dyDescent="0.3">
      <c r="A3701">
        <v>185000</v>
      </c>
      <c r="B3701" t="s">
        <v>40295</v>
      </c>
      <c r="C3701" t="s">
        <v>40296</v>
      </c>
      <c r="D3701">
        <f>-823.903559007996 -12.0156756243123 -207.767216280328</f>
        <v>-1043.6864509126362</v>
      </c>
      <c r="E3701">
        <f>-834.91080059407 -17.6998507762141 -305.609928875041</f>
        <v>-1158.2205802453252</v>
      </c>
      <c r="F3701">
        <f>-843.048488163759 -20.7365091426364 -394.282291080755</f>
        <v>-1258.0672883871503</v>
      </c>
      <c r="G3701">
        <f>-849.006066931854 -21.5698467865182 -483.175766759754</f>
        <v>-1353.7516804781262</v>
      </c>
      <c r="H3701">
        <f>-855.003339359389 -20.4633300856581 -607.608960424629</f>
        <v>-1483.075629869676</v>
      </c>
      <c r="I3701">
        <f>-827.566015265778 -11.9201836129682 -685.578466863456</f>
        <v>-1525.0646657422021</v>
      </c>
      <c r="J3701" t="s">
        <v>40297</v>
      </c>
      <c r="K3701" t="s">
        <v>40298</v>
      </c>
      <c r="L3701" t="s">
        <v>40299</v>
      </c>
      <c r="M3701" t="s">
        <v>40300</v>
      </c>
      <c r="N3701">
        <f>-842.445062829145 -46.8133569647654 -553.56013395243</f>
        <v>-1442.8185537463403</v>
      </c>
      <c r="O3701">
        <f>-793.904652178048 -172.583212715556 -526.682207916775</f>
        <v>-1493.170072810379</v>
      </c>
      <c r="P3701">
        <f>-775.939495868786 -202.569315198335 -234.502034902276</f>
        <v>-1213.010845969397</v>
      </c>
      <c r="Q3701">
        <f>-651.066987514645 -24.9847613031852 -339.007754836595</f>
        <v>-1015.0595036544253</v>
      </c>
      <c r="R3701" t="s">
        <v>40301</v>
      </c>
      <c r="S3701" t="s">
        <v>40302</v>
      </c>
      <c r="T3701" t="s">
        <v>40303</v>
      </c>
      <c r="U3701" t="s">
        <v>40304</v>
      </c>
      <c r="V3701">
        <f>-760.74877580067 -84.62661452398 -92.6403905077749</f>
        <v>-938.01578083242498</v>
      </c>
      <c r="W3701" t="s">
        <v>40305</v>
      </c>
      <c r="X3701" t="s">
        <v>40306</v>
      </c>
      <c r="Y3701" t="s">
        <v>40307</v>
      </c>
    </row>
    <row r="3702" spans="1:25" x14ac:dyDescent="0.3">
      <c r="A3702">
        <v>185050</v>
      </c>
      <c r="B3702" t="s">
        <v>40308</v>
      </c>
      <c r="C3702" t="s">
        <v>40309</v>
      </c>
      <c r="D3702">
        <f>-824.042315825148 -12.3165049809077 -207.759300205113</f>
        <v>-1044.1181210111686</v>
      </c>
      <c r="E3702">
        <f>-835.100018400286 -18.0124013363818 -305.595564905583</f>
        <v>-1158.7079846422507</v>
      </c>
      <c r="F3702">
        <f>-843.283599527401 -21.0545690471777 -394.263623177016</f>
        <v>-1258.6017917515946</v>
      </c>
      <c r="G3702">
        <f>-849.28701011415 -21.8880743560671 -483.154027111653</f>
        <v>-1354.3291115818702</v>
      </c>
      <c r="H3702">
        <f>-855.348811154619 -20.7759993288971 -607.58400204738</f>
        <v>-1483.708812530896</v>
      </c>
      <c r="I3702">
        <f>-827.932480723017 -12.2210133250335 -685.559661727274</f>
        <v>-1525.7131557753246</v>
      </c>
      <c r="J3702" t="s">
        <v>40310</v>
      </c>
      <c r="K3702" t="s">
        <v>40311</v>
      </c>
      <c r="L3702" t="s">
        <v>40312</v>
      </c>
      <c r="M3702" t="s">
        <v>40313</v>
      </c>
      <c r="N3702">
        <f>-842.756231974348 -47.1258872811864 -553.543097550077</f>
        <v>-1443.4252168056114</v>
      </c>
      <c r="O3702">
        <f>-794.137453395283 -172.883686855075 -526.705713817817</f>
        <v>-1493.726854068175</v>
      </c>
      <c r="P3702">
        <f>-776.245915139222 -202.964722573052 -234.530669731246</f>
        <v>-1213.7413074435199</v>
      </c>
      <c r="Q3702">
        <f>-651.512248017416 -25.2240721663954 -338.936870854909</f>
        <v>-1015.6731910387205</v>
      </c>
      <c r="R3702" t="s">
        <v>40314</v>
      </c>
      <c r="S3702" t="s">
        <v>40315</v>
      </c>
      <c r="T3702" t="s">
        <v>40316</v>
      </c>
      <c r="U3702" t="s">
        <v>40317</v>
      </c>
      <c r="V3702">
        <f>-760.784553422417 -84.9651728869909 -92.6432156891517</f>
        <v>-938.39294199855965</v>
      </c>
      <c r="W3702" t="s">
        <v>40318</v>
      </c>
      <c r="X3702" t="s">
        <v>40319</v>
      </c>
      <c r="Y3702" t="s">
        <v>40320</v>
      </c>
    </row>
    <row r="3703" spans="1:25" x14ac:dyDescent="0.3">
      <c r="A3703">
        <v>185100</v>
      </c>
      <c r="B3703" t="s">
        <v>40321</v>
      </c>
      <c r="C3703" t="s">
        <v>40322</v>
      </c>
      <c r="D3703">
        <f>-824.334853325397 -12.8120239188256 -207.7396694941</f>
        <v>-1044.8865467383227</v>
      </c>
      <c r="E3703">
        <f>-835.490742515174 -18.5242300908749 -305.563919014537</f>
        <v>-1159.5788916205859</v>
      </c>
      <c r="F3703">
        <f>-843.771524435677 -21.5779027913584 -394.222435291426</f>
        <v>-1259.5718625184613</v>
      </c>
      <c r="G3703">
        <f>-849.88075429263 -22.4192665657517 -483.105528723451</f>
        <v>-1355.4055495818327</v>
      </c>
      <c r="H3703">
        <f>-856.099164938897 -21.3139738350374 -607.527910861879</f>
        <v>-1484.9410496358134</v>
      </c>
      <c r="I3703">
        <f>-828.739797274716 -12.7362558983671 -685.520950956571</f>
        <v>-1526.9970041296542</v>
      </c>
      <c r="J3703" t="s">
        <v>40323</v>
      </c>
      <c r="K3703" t="s">
        <v>40324</v>
      </c>
      <c r="L3703" t="s">
        <v>40325</v>
      </c>
      <c r="M3703" t="s">
        <v>40326</v>
      </c>
      <c r="N3703">
        <f>-843.419507278512 -47.653658016621 -553.502394133876</f>
        <v>-1444.575559429009</v>
      </c>
      <c r="O3703">
        <f>-794.66508484013 -173.3718631926 -526.748301756953</f>
        <v>-1494.7852497896829</v>
      </c>
      <c r="P3703">
        <f>-776.653061314592 -203.493419717652 -234.584909022067</f>
        <v>-1214.7313900543111</v>
      </c>
      <c r="Q3703">
        <f>-652.089578289813 -25.7134320971606 -339.126998675893</f>
        <v>-1016.9300090628666</v>
      </c>
      <c r="R3703" t="s">
        <v>40327</v>
      </c>
      <c r="S3703" t="s">
        <v>40328</v>
      </c>
      <c r="T3703" t="s">
        <v>40329</v>
      </c>
      <c r="U3703" t="s">
        <v>40330</v>
      </c>
      <c r="V3703">
        <f>-760.951587165015 -85.3808926738077 -92.6622964711318</f>
        <v>-938.99477630995443</v>
      </c>
      <c r="W3703" t="s">
        <v>40331</v>
      </c>
      <c r="X3703" t="s">
        <v>40332</v>
      </c>
      <c r="Y3703" t="s">
        <v>40333</v>
      </c>
    </row>
    <row r="3704" spans="1:25" x14ac:dyDescent="0.3">
      <c r="A3704">
        <v>185150</v>
      </c>
      <c r="B3704" t="s">
        <v>40334</v>
      </c>
      <c r="C3704" t="s">
        <v>40335</v>
      </c>
      <c r="D3704">
        <f>-824.420008252145 -13.0920959065227 -207.721304113337</f>
        <v>-1045.2334082720047</v>
      </c>
      <c r="E3704">
        <f>-835.621939179713 -18.8139216828986 -305.53967800728</f>
        <v>-1159.9755388698916</v>
      </c>
      <c r="F3704">
        <f>-843.953673210085 -21.873725132697 -394.193209697022</f>
        <v>-1260.0206080398038</v>
      </c>
      <c r="G3704">
        <f>-850.123294248325 -22.7182557899498 -483.072160702293</f>
        <v>-1355.9137107405677</v>
      </c>
      <c r="H3704">
        <f>-856.436127849064 -21.6143828416214 -607.489864815805</f>
        <v>-1485.5403755064904</v>
      </c>
      <c r="I3704">
        <f>-829.108139659112 -13.0171257321849 -685.491693377435</f>
        <v>-1527.6169587687318</v>
      </c>
      <c r="J3704" t="s">
        <v>40336</v>
      </c>
      <c r="K3704" t="s">
        <v>40337</v>
      </c>
      <c r="L3704" t="s">
        <v>40338</v>
      </c>
      <c r="M3704" t="s">
        <v>40339</v>
      </c>
      <c r="N3704">
        <f>-843.701168941609 -47.9480184206121 -553.474247704403</f>
        <v>-1445.1234350666241</v>
      </c>
      <c r="O3704">
        <f>-794.865526051902 -173.646290749774 -526.778094954263</f>
        <v>-1495.2899117559391</v>
      </c>
      <c r="P3704">
        <f>-776.75634913905 -203.696591385341 -234.613360911722</f>
        <v>-1215.066301436113</v>
      </c>
      <c r="Q3704">
        <f>-652.216485476855 -25.9586592830906 -339.25513112152</f>
        <v>-1017.4302758814656</v>
      </c>
      <c r="R3704" t="s">
        <v>40340</v>
      </c>
      <c r="S3704" t="s">
        <v>40341</v>
      </c>
      <c r="T3704" t="s">
        <v>40342</v>
      </c>
      <c r="U3704" t="s">
        <v>40343</v>
      </c>
      <c r="V3704">
        <f>-760.977360270657 -85.6144558893498 -92.6664460433224</f>
        <v>-939.25826220332908</v>
      </c>
      <c r="W3704" t="s">
        <v>40344</v>
      </c>
      <c r="X3704" t="s">
        <v>40345</v>
      </c>
      <c r="Y3704" t="s">
        <v>40346</v>
      </c>
    </row>
    <row r="3705" spans="1:25" x14ac:dyDescent="0.3">
      <c r="A3705">
        <v>185200</v>
      </c>
      <c r="B3705" t="s">
        <v>40347</v>
      </c>
      <c r="C3705" t="s">
        <v>40348</v>
      </c>
      <c r="D3705">
        <f>-824.528097138532 -13.5245267235641 -207.688399092836</f>
        <v>-1045.7410229549321</v>
      </c>
      <c r="E3705">
        <f>-835.783733401741 -19.2803189646859 -305.498569040669</f>
        <v>-1160.5626214070958</v>
      </c>
      <c r="F3705">
        <f>-844.190880259328 -22.3720970457393 -394.143919982728</f>
        <v>-1260.7068972877953</v>
      </c>
      <c r="G3705">
        <f>-850.463237693218 -23.2484752458618 -483.015326944663</f>
        <v>-1356.7270398837427</v>
      </c>
      <c r="H3705">
        <f>-856.948518908359 -22.1884367450712 -607.424469041436</f>
        <v>-1486.5614246948662</v>
      </c>
      <c r="I3705">
        <f>-829.706381174965 -13.547956215933 -685.451599352769</f>
        <v>-1528.7059367436671</v>
      </c>
      <c r="J3705" t="s">
        <v>40349</v>
      </c>
      <c r="K3705" t="s">
        <v>40350</v>
      </c>
      <c r="L3705" t="s">
        <v>40351</v>
      </c>
      <c r="M3705" t="s">
        <v>40352</v>
      </c>
      <c r="N3705">
        <f>-844.093002713652 -48.4853852748173 -553.419580445719</f>
        <v>-1445.9979684341884</v>
      </c>
      <c r="O3705">
        <f>-794.948767659567 -174.08838423433 -526.819864054569</f>
        <v>-1495.8570159484661</v>
      </c>
      <c r="P3705">
        <f>-776.655957100629 -204.475463163312 -234.701464502118</f>
        <v>-1215.8328847660591</v>
      </c>
      <c r="Q3705">
        <f>-652.845013567414 -26.1865902392444 -339.270978805362</f>
        <v>-1018.3025826120204</v>
      </c>
      <c r="R3705" t="s">
        <v>40353</v>
      </c>
      <c r="S3705" t="s">
        <v>40354</v>
      </c>
      <c r="T3705" t="s">
        <v>40355</v>
      </c>
      <c r="U3705" t="s">
        <v>40356</v>
      </c>
      <c r="V3705">
        <f>-761.018162207865 -85.9390406444446 -92.6563634052623</f>
        <v>-939.61356625757185</v>
      </c>
      <c r="W3705" t="s">
        <v>40357</v>
      </c>
      <c r="X3705" t="s">
        <v>40358</v>
      </c>
      <c r="Y3705" t="s">
        <v>40359</v>
      </c>
    </row>
    <row r="3706" spans="1:25" x14ac:dyDescent="0.3">
      <c r="A3706">
        <v>185250</v>
      </c>
      <c r="B3706" t="s">
        <v>40360</v>
      </c>
      <c r="C3706" t="s">
        <v>40361</v>
      </c>
      <c r="D3706">
        <f>-824.571838524525 -13.6332888523236 -207.694356572939</f>
        <v>-1045.8994839497877</v>
      </c>
      <c r="E3706">
        <f>-835.851339165488 -19.4144208443759 -305.50026387434</f>
        <v>-1160.7660238842038</v>
      </c>
      <c r="F3706">
        <f>-844.301613302708 -22.5306746668991 -394.140700168792</f>
        <v>-1260.9729881383992</v>
      </c>
      <c r="G3706">
        <f>-850.639291565029 -23.4327007273662 -483.007121458442</f>
        <v>-1357.0791137508372</v>
      </c>
      <c r="H3706">
        <f>-857.239186159877 -22.4089743132868 -607.410516953258</f>
        <v>-1487.0586774264218</v>
      </c>
      <c r="I3706">
        <f>-830.054092509608 -13.7438043217473 -685.454950444477</f>
        <v>-1529.2528472758324</v>
      </c>
      <c r="J3706" t="s">
        <v>40362</v>
      </c>
      <c r="K3706" t="s">
        <v>40363</v>
      </c>
      <c r="L3706" t="s">
        <v>40364</v>
      </c>
      <c r="M3706" t="s">
        <v>40365</v>
      </c>
      <c r="N3706">
        <f>-844.303801724517 -48.6783679074086 -553.411413270714</f>
        <v>-1446.3935829026395</v>
      </c>
      <c r="O3706">
        <f>-794.962265425458 -174.217955425817 -526.87585369597</f>
        <v>-1496.0560745472449</v>
      </c>
      <c r="P3706">
        <f>-776.800766981014 -204.706516243977 -234.759796325004</f>
        <v>-1216.2670795499951</v>
      </c>
      <c r="Q3706">
        <f>-653.264421929081 -25.991696970842 -338.926182855462</f>
        <v>-1018.182301755385</v>
      </c>
      <c r="R3706" t="s">
        <v>40366</v>
      </c>
      <c r="S3706" t="s">
        <v>40367</v>
      </c>
      <c r="T3706" t="s">
        <v>40368</v>
      </c>
      <c r="U3706" t="s">
        <v>40369</v>
      </c>
      <c r="V3706">
        <f>-761.029170567365 -85.9588542734348 -92.6437656602142</f>
        <v>-939.63179050101394</v>
      </c>
      <c r="W3706" t="s">
        <v>40370</v>
      </c>
      <c r="X3706" t="s">
        <v>40371</v>
      </c>
      <c r="Y3706" t="s">
        <v>40372</v>
      </c>
    </row>
    <row r="3707" spans="1:25" x14ac:dyDescent="0.3">
      <c r="A3707">
        <v>185300</v>
      </c>
      <c r="B3707" t="s">
        <v>40373</v>
      </c>
      <c r="C3707" t="s">
        <v>40374</v>
      </c>
      <c r="D3707">
        <f>-824.593317830627 -13.6515876763565 -207.74362013669</f>
        <v>-1045.9885256436735</v>
      </c>
      <c r="E3707">
        <f>-835.901045840428 -19.4711348402107 -305.543937869939</f>
        <v>-1160.9161185505777</v>
      </c>
      <c r="F3707">
        <f>-844.418985139392 -22.6252602132759 -394.176686726012</f>
        <v>-1261.2209320786799</v>
      </c>
      <c r="G3707">
        <f>-850.867045131926 -23.5671562441339 -483.034856617899</f>
        <v>-1357.4690579939588</v>
      </c>
      <c r="H3707">
        <f>-857.665964785629 -22.600037566096 -607.42796086537</f>
        <v>-1487.693963217095</v>
      </c>
      <c r="I3707">
        <f>-830.591114858552 -13.8989835972338 -685.506561246962</f>
        <v>-1529.9966597027478</v>
      </c>
      <c r="J3707" t="s">
        <v>40375</v>
      </c>
      <c r="K3707" t="s">
        <v>40376</v>
      </c>
      <c r="L3707" t="s">
        <v>40377</v>
      </c>
      <c r="M3707" t="s">
        <v>40378</v>
      </c>
      <c r="N3707">
        <f>-844.594016501906 -48.8252417819733 -553.440205974694</f>
        <v>-1446.8594642585733</v>
      </c>
      <c r="O3707">
        <f>-794.958852979063 -174.271190957941 -527.021412910367</f>
        <v>-1496.2514568473709</v>
      </c>
      <c r="P3707">
        <f>-776.853878474894 -204.760748323718 -234.901889950946</f>
        <v>-1216.5165167495579</v>
      </c>
      <c r="Q3707">
        <f>-653.591669664406 -25.4856949067444 -338.428234963392</f>
        <v>-1017.5055995345424</v>
      </c>
      <c r="R3707" t="s">
        <v>40379</v>
      </c>
      <c r="S3707" t="s">
        <v>40380</v>
      </c>
      <c r="T3707" t="s">
        <v>40381</v>
      </c>
      <c r="U3707" t="s">
        <v>40382</v>
      </c>
      <c r="V3707">
        <f>-760.9555790574 -85.8512405540988 -92.6394951786205</f>
        <v>-939.44631479011923</v>
      </c>
      <c r="W3707" t="s">
        <v>40383</v>
      </c>
      <c r="X3707" t="s">
        <v>40384</v>
      </c>
      <c r="Y3707" t="s">
        <v>40385</v>
      </c>
    </row>
    <row r="3708" spans="1:25" x14ac:dyDescent="0.3">
      <c r="A3708">
        <v>185350</v>
      </c>
      <c r="B3708" t="s">
        <v>40386</v>
      </c>
      <c r="C3708" t="s">
        <v>40387</v>
      </c>
      <c r="D3708">
        <f>-824.539297991643 -13.6979200416149 -207.773455764337</f>
        <v>-1046.010673797595</v>
      </c>
      <c r="E3708">
        <f>-835.829617604778 -19.5341866928445 -305.574951079812</f>
        <v>-1160.9387553774345</v>
      </c>
      <c r="F3708">
        <f>-844.347031521978 -22.7066214103493 -394.206904779042</f>
        <v>-1261.2605577113693</v>
      </c>
      <c r="G3708">
        <f>-850.809801740159 -23.6689737269942 -483.06381691377</f>
        <v>-1357.542592380923</v>
      </c>
      <c r="H3708">
        <f>-857.645676657562 -22.7332407423401 -607.45510802097</f>
        <v>-1487.834025420872</v>
      </c>
      <c r="I3708">
        <f>-830.605362000609 -14.0231501109051 -685.54481819421</f>
        <v>-1530.1733303057242</v>
      </c>
      <c r="J3708" t="s">
        <v>40388</v>
      </c>
      <c r="K3708" t="s">
        <v>40389</v>
      </c>
      <c r="L3708" t="s">
        <v>40390</v>
      </c>
      <c r="M3708" t="s">
        <v>40391</v>
      </c>
      <c r="N3708">
        <f>-844.526459802376 -48.9325543779339 -553.466337966297</f>
        <v>-1446.9253521466071</v>
      </c>
      <c r="O3708">
        <f>-794.772153797085 -174.32890704923 -527.072956505923</f>
        <v>-1496.174017352238</v>
      </c>
      <c r="P3708">
        <f>-776.692843693234 -204.657230747972 -234.935091135573</f>
        <v>-1216.285165576779</v>
      </c>
      <c r="Q3708">
        <f>-653.441599498812 -25.4438514017115 -338.581606394748</f>
        <v>-1017.4670572952716</v>
      </c>
      <c r="R3708" t="s">
        <v>40392</v>
      </c>
      <c r="S3708" t="s">
        <v>40393</v>
      </c>
      <c r="T3708" t="s">
        <v>40394</v>
      </c>
      <c r="U3708" t="s">
        <v>40395</v>
      </c>
      <c r="V3708">
        <f>-760.86936313693 -85.8939515733082 -92.6446418165364</f>
        <v>-939.40795652677457</v>
      </c>
      <c r="W3708" t="s">
        <v>40396</v>
      </c>
      <c r="X3708" t="s">
        <v>40397</v>
      </c>
      <c r="Y3708" t="s">
        <v>40398</v>
      </c>
    </row>
    <row r="3709" spans="1:25" x14ac:dyDescent="0.3">
      <c r="A3709">
        <v>185400</v>
      </c>
      <c r="B3709" t="s">
        <v>40399</v>
      </c>
      <c r="C3709" t="s">
        <v>40400</v>
      </c>
      <c r="D3709">
        <f>-824.473209657633 -13.5550803589126 -207.81896096316</f>
        <v>-1045.8472509797057</v>
      </c>
      <c r="E3709">
        <f>-835.69286233572 -19.4140856284623 -305.627257703058</f>
        <v>-1160.7342056672403</v>
      </c>
      <c r="F3709">
        <f>-844.164806428508 -22.6235969311899 -394.262338732596</f>
        <v>-1261.0507420922938</v>
      </c>
      <c r="G3709">
        <f>-850.601269698106 -23.6380095247459 -483.12048754614</f>
        <v>-1357.3597667689919</v>
      </c>
      <c r="H3709">
        <f>-857.421204694998 -22.7904247456295 -607.513360451571</f>
        <v>-1487.7249898921984</v>
      </c>
      <c r="I3709">
        <f>-830.403495254051 -14.0587932413043 -685.608304754917</f>
        <v>-1530.0705932502724</v>
      </c>
      <c r="J3709" t="s">
        <v>40401</v>
      </c>
      <c r="K3709" t="s">
        <v>40402</v>
      </c>
      <c r="L3709" t="s">
        <v>40403</v>
      </c>
      <c r="M3709" t="s">
        <v>40404</v>
      </c>
      <c r="N3709">
        <f>-844.245868666814 -48.9264872272854 -553.50769118667</f>
        <v>-1446.6800470807693</v>
      </c>
      <c r="O3709">
        <f>-794.196238245311 -174.213252948847 -527.12705999063</f>
        <v>-1495.5365511847879</v>
      </c>
      <c r="P3709">
        <f>-776.080139730672 -204.389141179995 -234.975752029767</f>
        <v>-1215.445032940434</v>
      </c>
      <c r="Q3709">
        <f>-653.112894834606 -25.1838939681579 -338.972823907155</f>
        <v>-1017.2696127099189</v>
      </c>
      <c r="R3709" t="s">
        <v>40405</v>
      </c>
      <c r="S3709" t="s">
        <v>40406</v>
      </c>
      <c r="T3709" t="s">
        <v>40407</v>
      </c>
      <c r="U3709" t="s">
        <v>40408</v>
      </c>
      <c r="V3709">
        <f>-760.858140371648 -85.6305335866859 -92.661300165513</f>
        <v>-939.14997412384696</v>
      </c>
      <c r="W3709" t="s">
        <v>40409</v>
      </c>
      <c r="X3709" t="s">
        <v>40410</v>
      </c>
      <c r="Y3709" t="s">
        <v>40411</v>
      </c>
    </row>
    <row r="3710" spans="1:25" x14ac:dyDescent="0.3">
      <c r="A3710">
        <v>185450</v>
      </c>
      <c r="B3710" t="s">
        <v>40412</v>
      </c>
      <c r="C3710" t="s">
        <v>40413</v>
      </c>
      <c r="D3710">
        <f>-824.397666297266 -13.5210769070466 -207.838680828924</f>
        <v>-1045.7574240332365</v>
      </c>
      <c r="E3710">
        <f>-835.571799503231 -19.4042280025974 -305.650666664634</f>
        <v>-1160.6266941704623</v>
      </c>
      <c r="F3710">
        <f>-844.008272008674 -22.645232050379 -394.287928888195</f>
        <v>-1260.9414329472479</v>
      </c>
      <c r="G3710">
        <f>-850.41554213774 -23.7006572653174 -483.147807110071</f>
        <v>-1357.2640065131284</v>
      </c>
      <c r="H3710">
        <f>-857.201304666805 -22.9197162616624 -607.542935150107</f>
        <v>-1487.6639560785743</v>
      </c>
      <c r="I3710">
        <f>-830.166275426305 -14.1849527044853 -685.631596784455</f>
        <v>-1529.9828249152454</v>
      </c>
      <c r="J3710" t="s">
        <v>40414</v>
      </c>
      <c r="K3710" t="s">
        <v>40415</v>
      </c>
      <c r="L3710" t="s">
        <v>40416</v>
      </c>
      <c r="M3710" t="s">
        <v>40417</v>
      </c>
      <c r="N3710">
        <f>-844.013762465478 -49.0162713362006 -553.520940594117</f>
        <v>-1446.5509743957955</v>
      </c>
      <c r="O3710">
        <f>-793.818605291047 -174.227506162328 -527.088347020897</f>
        <v>-1495.1344584742719</v>
      </c>
      <c r="P3710">
        <f>-775.768998836968 -204.28400758751 -234.920524795752</f>
        <v>-1214.9735312202299</v>
      </c>
      <c r="Q3710">
        <f>-652.858227760553 -25.0731592094503 -338.974895755617</f>
        <v>-1016.9062827256203</v>
      </c>
      <c r="R3710" t="s">
        <v>40418</v>
      </c>
      <c r="S3710" t="s">
        <v>40419</v>
      </c>
      <c r="T3710" t="s">
        <v>40420</v>
      </c>
      <c r="U3710" t="s">
        <v>40421</v>
      </c>
      <c r="V3710">
        <f>-760.733291590645 -85.6121361905768 -92.6700827001857</f>
        <v>-939.01551048140755</v>
      </c>
      <c r="W3710" t="s">
        <v>40422</v>
      </c>
      <c r="X3710" t="s">
        <v>40423</v>
      </c>
      <c r="Y3710" t="s">
        <v>40424</v>
      </c>
    </row>
    <row r="3711" spans="1:25" x14ac:dyDescent="0.3">
      <c r="A3711">
        <v>185500</v>
      </c>
      <c r="B3711" t="s">
        <v>40425</v>
      </c>
      <c r="C3711" t="s">
        <v>40426</v>
      </c>
      <c r="D3711">
        <f>-824.296774362384 -13.2528160767888 -207.863416821296</f>
        <v>-1045.4130072604687</v>
      </c>
      <c r="E3711">
        <f>-835.396426950132 -19.1882930586517 -305.680637601191</f>
        <v>-1160.2653576099747</v>
      </c>
      <c r="F3711">
        <f>-843.758860840615 -22.4894197803426 -394.322684625137</f>
        <v>-1260.5709652460946</v>
      </c>
      <c r="G3711">
        <f>-850.085924690421 -23.6172996290377 -483.18750647284</f>
        <v>-1356.8907307922987</v>
      </c>
      <c r="H3711">
        <f>-856.753098895937 -22.9508625881742 -607.589725502954</f>
        <v>-1487.2936869870653</v>
      </c>
      <c r="I3711">
        <f>-829.656748993187 -14.218916930851 -685.657490984246</f>
        <v>-1529.5331569082841</v>
      </c>
      <c r="J3711" t="s">
        <v>40427</v>
      </c>
      <c r="K3711" t="s">
        <v>40428</v>
      </c>
      <c r="L3711" t="s">
        <v>40429</v>
      </c>
      <c r="M3711" t="s">
        <v>40430</v>
      </c>
      <c r="N3711">
        <f>-843.571847882519 -48.9795150470846 -553.533491871561</f>
        <v>-1446.0848548011645</v>
      </c>
      <c r="O3711">
        <f>-793.095265158161 -174.05676943287 -526.974227517254</f>
        <v>-1494.1262621082851</v>
      </c>
      <c r="P3711">
        <f>-775.440379043709 -204.014369157772 -234.772057135662</f>
        <v>-1214.2268053371429</v>
      </c>
      <c r="Q3711">
        <f>-652.727017970856 -24.5414853770253 -338.607589232011</f>
        <v>-1015.8760925798922</v>
      </c>
      <c r="R3711" t="s">
        <v>40431</v>
      </c>
      <c r="S3711" t="s">
        <v>40432</v>
      </c>
      <c r="T3711" t="s">
        <v>40433</v>
      </c>
      <c r="U3711" t="s">
        <v>40434</v>
      </c>
      <c r="V3711">
        <f>-760.577387801399 -85.2508762293177 -92.6808062645088</f>
        <v>-938.50907029522546</v>
      </c>
      <c r="W3711" t="s">
        <v>40435</v>
      </c>
      <c r="X3711" t="s">
        <v>40436</v>
      </c>
      <c r="Y3711" t="s">
        <v>40437</v>
      </c>
    </row>
    <row r="3712" spans="1:25" x14ac:dyDescent="0.3">
      <c r="A3712">
        <v>185550</v>
      </c>
      <c r="B3712" t="s">
        <v>40438</v>
      </c>
      <c r="C3712" t="s">
        <v>40439</v>
      </c>
      <c r="D3712">
        <f>-824.228167155978 -13.1774046618045 -207.888059339818</f>
        <v>-1045.2936311576004</v>
      </c>
      <c r="E3712">
        <f>-835.290365690801 -19.1388077067143 -305.70803302447</f>
        <v>-1160.1372064219852</v>
      </c>
      <c r="F3712">
        <f>-843.614558252052 -22.4698975498957 -394.352517546733</f>
        <v>-1260.4369733486806</v>
      </c>
      <c r="G3712">
        <f>-849.899234211603 -23.6341713425168 -483.219886974469</f>
        <v>-1356.7532925285886</v>
      </c>
      <c r="H3712">
        <f>-856.503030522077 -23.0253085303607 -607.62572523804</f>
        <v>-1487.1540642904777</v>
      </c>
      <c r="I3712">
        <f>-829.363771540906 -14.3037099966007 -685.679709190249</f>
        <v>-1529.3471907277558</v>
      </c>
      <c r="J3712" t="s">
        <v>40440</v>
      </c>
      <c r="K3712" t="s">
        <v>40441</v>
      </c>
      <c r="L3712" t="s">
        <v>40442</v>
      </c>
      <c r="M3712" t="s">
        <v>40443</v>
      </c>
      <c r="N3712">
        <f>-843.329570104562 -49.0211304352573 -553.551815857509</f>
        <v>-1445.9025163973283</v>
      </c>
      <c r="O3712">
        <f>-792.731622609277 -174.034251976439 -526.93335753694</f>
        <v>-1493.699232122656</v>
      </c>
      <c r="P3712">
        <f>-775.326144418721 -203.940103811878 -234.711028663756</f>
        <v>-1213.9772768943549</v>
      </c>
      <c r="Q3712">
        <f>-652.717404852928 -24.3491779697511 -338.465880214541</f>
        <v>-1015.5324630372201</v>
      </c>
      <c r="R3712" t="s">
        <v>40444</v>
      </c>
      <c r="S3712" t="s">
        <v>40445</v>
      </c>
      <c r="T3712" t="s">
        <v>40446</v>
      </c>
      <c r="U3712" t="s">
        <v>40447</v>
      </c>
      <c r="V3712">
        <f>-760.462253238202 -85.1517449686406 -92.6892653536021</f>
        <v>-938.30326356044475</v>
      </c>
      <c r="W3712" t="s">
        <v>40448</v>
      </c>
      <c r="X3712" t="s">
        <v>40449</v>
      </c>
      <c r="Y3712" t="s">
        <v>40450</v>
      </c>
    </row>
    <row r="3713" spans="1:25" x14ac:dyDescent="0.3">
      <c r="A3713">
        <v>185600</v>
      </c>
      <c r="B3713" t="s">
        <v>40451</v>
      </c>
      <c r="C3713" t="s">
        <v>40452</v>
      </c>
      <c r="D3713">
        <f>-824.083130165316 -13.0493292229567 -207.927898816184</f>
        <v>-1045.0603582044566</v>
      </c>
      <c r="E3713">
        <f>-835.090570602744 -19.0528814409608 -305.751567096842</f>
        <v>-1159.895019140547</v>
      </c>
      <c r="F3713">
        <f>-843.360876544224 -22.4342719715576 -394.399150223591</f>
        <v>-1260.1942987393725</v>
      </c>
      <c r="G3713">
        <f>-849.587745652139 -23.6606463468843 -483.269711539264</f>
        <v>-1356.5181035382873</v>
      </c>
      <c r="H3713">
        <f>-856.107154605551 -23.1508210100696 -607.680601485849</f>
        <v>-1486.9385771014697</v>
      </c>
      <c r="I3713">
        <f>-828.865401949858 -14.4429761494555 -685.70032144786</f>
        <v>-1529.0086995471734</v>
      </c>
      <c r="J3713" t="s">
        <v>40453</v>
      </c>
      <c r="K3713" t="s">
        <v>40454</v>
      </c>
      <c r="L3713" t="s">
        <v>40455</v>
      </c>
      <c r="M3713" t="s">
        <v>40456</v>
      </c>
      <c r="N3713">
        <f>-842.940380298593 -49.0914634209535 -553.578482051125</f>
        <v>-1445.6103257706714</v>
      </c>
      <c r="O3713">
        <f>-792.199545281581 -174.023425633139 -526.838951998617</f>
        <v>-1493.061922913337</v>
      </c>
      <c r="P3713">
        <f>-774.914339178392 -203.727576329745 -234.588998461585</f>
        <v>-1213.230913969722</v>
      </c>
      <c r="Q3713">
        <f>-652.534390930533 -24.1021135949936 -338.554058879986</f>
        <v>-1015.1905634055126</v>
      </c>
      <c r="R3713" t="s">
        <v>40457</v>
      </c>
      <c r="S3713" t="s">
        <v>40458</v>
      </c>
      <c r="T3713" t="s">
        <v>40459</v>
      </c>
      <c r="U3713" t="s">
        <v>40460</v>
      </c>
      <c r="V3713">
        <f>-760.32039290023 -84.9579813777422 -92.7078106364733</f>
        <v>-937.9861849144454</v>
      </c>
      <c r="W3713" t="s">
        <v>40461</v>
      </c>
      <c r="X3713" t="s">
        <v>40462</v>
      </c>
      <c r="Y3713" t="s">
        <v>40463</v>
      </c>
    </row>
    <row r="3714" spans="1:25" x14ac:dyDescent="0.3">
      <c r="A3714">
        <v>185650</v>
      </c>
      <c r="B3714" t="s">
        <v>40464</v>
      </c>
      <c r="C3714" t="s">
        <v>40465</v>
      </c>
      <c r="D3714">
        <f>-824.022148020999 -12.9700152242588 -207.943817485685</f>
        <v>-1044.9359807309427</v>
      </c>
      <c r="E3714">
        <f>-834.985225547105 -18.9735390829524 -305.772335500066</f>
        <v>-1159.7311001301232</v>
      </c>
      <c r="F3714">
        <f>-843.209326460292 -22.3551690596248 -394.424337466315</f>
        <v>-1259.988832986232</v>
      </c>
      <c r="G3714">
        <f>-849.383914438566 -23.5818738722091 -483.298428083808</f>
        <v>-1356.2642163945832</v>
      </c>
      <c r="H3714">
        <f>-855.824186234287 -23.072646539187 -607.713290491896</f>
        <v>-1486.61012326537</v>
      </c>
      <c r="I3714">
        <f>-828.522043528426 -14.3496042249001 -685.710322316637</f>
        <v>-1528.5819700699631</v>
      </c>
      <c r="J3714" t="s">
        <v>40466</v>
      </c>
      <c r="K3714" t="s">
        <v>40467</v>
      </c>
      <c r="L3714" t="s">
        <v>40468</v>
      </c>
      <c r="M3714" t="s">
        <v>40469</v>
      </c>
      <c r="N3714">
        <f>-842.676817738874 -49.0069962746609 -553.603560080877</f>
        <v>-1445.2873740944119</v>
      </c>
      <c r="O3714">
        <f>-791.867224374665 -173.902884687675 -526.796448184369</f>
        <v>-1492.566557246709</v>
      </c>
      <c r="P3714">
        <f>-774.548275151172 -203.528799565421 -234.540420037715</f>
        <v>-1212.6174947543079</v>
      </c>
      <c r="Q3714">
        <f>-652.499052267823 -23.8240189859637 -338.756595008703</f>
        <v>-1015.0796662624897</v>
      </c>
      <c r="R3714" t="s">
        <v>40470</v>
      </c>
      <c r="S3714" t="s">
        <v>40471</v>
      </c>
      <c r="T3714" t="s">
        <v>40472</v>
      </c>
      <c r="U3714" t="s">
        <v>40473</v>
      </c>
      <c r="V3714">
        <f>-760.270378260421 -84.8446129886993 -92.7156247358771</f>
        <v>-937.83061598499739</v>
      </c>
      <c r="W3714" t="s">
        <v>40474</v>
      </c>
      <c r="X3714" t="s">
        <v>40475</v>
      </c>
      <c r="Y3714" t="s">
        <v>40476</v>
      </c>
    </row>
    <row r="3715" spans="1:25" x14ac:dyDescent="0.3">
      <c r="A3715">
        <v>185700</v>
      </c>
      <c r="B3715" t="s">
        <v>40477</v>
      </c>
      <c r="C3715" t="s">
        <v>40478</v>
      </c>
      <c r="D3715">
        <f>-824.007656920521 -12.7028255414143 -207.982980175334</f>
        <v>-1044.6934626372692</v>
      </c>
      <c r="E3715">
        <f>-834.844975644409 -18.6827020352146 -305.826977378114</f>
        <v>-1159.3546550577375</v>
      </c>
      <c r="F3715">
        <f>-842.923629843665 -22.0419962014089 -394.493159560731</f>
        <v>-1259.4587856058049</v>
      </c>
      <c r="G3715">
        <f>-848.921777097581 -23.2449465747459 -483.379737867368</f>
        <v>-1355.546461539695</v>
      </c>
      <c r="H3715">
        <f>-855.083326310358 -22.7013333887912 -607.808722221752</f>
        <v>-1485.5933819209013</v>
      </c>
      <c r="I3715">
        <f>-827.641911517652 -13.9173211444283 -685.749796578021</f>
        <v>-1527.3090292401014</v>
      </c>
      <c r="J3715" t="s">
        <v>40479</v>
      </c>
      <c r="K3715" t="s">
        <v>40480</v>
      </c>
      <c r="L3715" t="s">
        <v>40481</v>
      </c>
      <c r="M3715" t="s">
        <v>40482</v>
      </c>
      <c r="N3715">
        <f>-842.009341551357 -48.6313727773537 -553.679060920385</f>
        <v>-1444.3197752490958</v>
      </c>
      <c r="O3715">
        <f>-790.969215771197 -173.400881097159 -526.750156514155</f>
        <v>-1491.120253382511</v>
      </c>
      <c r="P3715">
        <f>-773.855872172355 -203.071442284512 -234.486587169186</f>
        <v>-1211.4139016260528</v>
      </c>
      <c r="Q3715">
        <f>-652.327569611408 -23.1955877818016 -339.015937328213</f>
        <v>-1014.5390947214225</v>
      </c>
      <c r="R3715" t="s">
        <v>40483</v>
      </c>
      <c r="S3715" t="s">
        <v>40484</v>
      </c>
      <c r="T3715" t="s">
        <v>40485</v>
      </c>
      <c r="U3715" t="s">
        <v>40486</v>
      </c>
      <c r="V3715">
        <f>-760.316204430954 -84.50620538366 -92.7356635692893</f>
        <v>-937.55807338390332</v>
      </c>
      <c r="W3715" t="s">
        <v>40487</v>
      </c>
      <c r="X3715" t="s">
        <v>40488</v>
      </c>
      <c r="Y3715" t="s">
        <v>40489</v>
      </c>
    </row>
    <row r="3716" spans="1:25" x14ac:dyDescent="0.3">
      <c r="A3716">
        <v>185750</v>
      </c>
      <c r="B3716" t="s">
        <v>40490</v>
      </c>
      <c r="C3716" t="s">
        <v>40491</v>
      </c>
      <c r="D3716">
        <f>-823.958457663851 -12.7161357864411 -208.004778640435</f>
        <v>-1044.6793720907272</v>
      </c>
      <c r="E3716">
        <f>-834.705730803627 -18.6724491426364 -305.860072719236</f>
        <v>-1159.2382526654994</v>
      </c>
      <c r="F3716">
        <f>-842.685158953009 -22.0097810835659 -394.536122948081</f>
        <v>-1259.2310629846561</v>
      </c>
      <c r="G3716">
        <f>-848.566839282814 -23.1900679236519 -483.430745237136</f>
        <v>-1355.187652443602</v>
      </c>
      <c r="H3716">
        <f>-854.547372250131 -22.614019587226 -607.868434916633</f>
        <v>-1485.0298267539902</v>
      </c>
      <c r="I3716">
        <f>-827.028329260217 -13.7842348895442 -685.777173578147</f>
        <v>-1526.5897377279082</v>
      </c>
      <c r="J3716" t="s">
        <v>40492</v>
      </c>
      <c r="K3716" t="s">
        <v>40493</v>
      </c>
      <c r="L3716" t="s">
        <v>40494</v>
      </c>
      <c r="M3716" t="s">
        <v>40495</v>
      </c>
      <c r="N3716">
        <f>-841.522964766706 -48.5464049291738 -553.727942586671</f>
        <v>-1443.7973122825508</v>
      </c>
      <c r="O3716">
        <f>-790.418645980566 -173.285962435597 -526.764747155213</f>
        <v>-1490.4693555713759</v>
      </c>
      <c r="P3716">
        <f>-773.561196459147 -202.984794448816 -234.489224641429</f>
        <v>-1211.035215549392</v>
      </c>
      <c r="Q3716">
        <f>-651.936013141937 -23.1627627831535 -338.998653511437</f>
        <v>-1014.0974294365276</v>
      </c>
      <c r="R3716" t="s">
        <v>40496</v>
      </c>
      <c r="S3716" t="s">
        <v>40497</v>
      </c>
      <c r="T3716" t="s">
        <v>40498</v>
      </c>
      <c r="U3716" t="s">
        <v>40499</v>
      </c>
      <c r="V3716">
        <f>-760.254472666083 -84.5805350386888 -92.7438867640359</f>
        <v>-937.57889446880768</v>
      </c>
      <c r="W3716" t="s">
        <v>40500</v>
      </c>
      <c r="X3716" t="s">
        <v>40501</v>
      </c>
      <c r="Y3716" t="s">
        <v>40502</v>
      </c>
    </row>
    <row r="3717" spans="1:25" x14ac:dyDescent="0.3">
      <c r="A3717">
        <v>185800</v>
      </c>
      <c r="B3717" t="s">
        <v>40503</v>
      </c>
      <c r="C3717" t="s">
        <v>40504</v>
      </c>
      <c r="D3717">
        <f>-823.937911902885 -12.6346768405704 -208.043162051332</f>
        <v>-1044.6157507947873</v>
      </c>
      <c r="E3717">
        <f>-834.491788060899 -18.5347558527794 -305.922958979941</f>
        <v>-1158.9495028936194</v>
      </c>
      <c r="F3717">
        <f>-842.266530293898 -21.8144927202059 -394.619296856331</f>
        <v>-1258.7003198704349</v>
      </c>
      <c r="G3717">
        <f>-847.913330557595 -22.9310478881043 -483.530035688312</f>
        <v>-1354.3744141340114</v>
      </c>
      <c r="H3717">
        <f>-853.534003818707 -22.2595271625819 -607.983974442675</f>
        <v>-1483.7775054239639</v>
      </c>
      <c r="I3717">
        <f>-825.841000419496 -13.353913489864 -685.822324741972</f>
        <v>-1525.017238651332</v>
      </c>
      <c r="J3717" t="s">
        <v>40505</v>
      </c>
      <c r="K3717" t="s">
        <v>40506</v>
      </c>
      <c r="L3717" t="s">
        <v>40507</v>
      </c>
      <c r="M3717" t="s">
        <v>40508</v>
      </c>
      <c r="N3717">
        <f>-840.643608935003 -48.2241715213578 -553.826893380939</f>
        <v>-1442.6946738372999</v>
      </c>
      <c r="O3717">
        <f>-789.606963916005 -172.977549400194 -526.814933577548</f>
        <v>-1489.3994468937472</v>
      </c>
      <c r="P3717">
        <f>-773.268530878477 -202.744420139727 -234.516682017656</f>
        <v>-1210.5296330358601</v>
      </c>
      <c r="Q3717">
        <f>-650.826155979574 -23.501226570545 -339.066437277931</f>
        <v>-1013.39381982805</v>
      </c>
      <c r="R3717" t="s">
        <v>40509</v>
      </c>
      <c r="S3717" t="s">
        <v>40510</v>
      </c>
      <c r="T3717" t="s">
        <v>40511</v>
      </c>
      <c r="U3717" t="s">
        <v>40512</v>
      </c>
      <c r="V3717">
        <f>-760.32123809806 -84.4652146537395 -92.7436359524651</f>
        <v>-937.53008870426459</v>
      </c>
      <c r="W3717" t="s">
        <v>40513</v>
      </c>
      <c r="X3717" t="s">
        <v>40514</v>
      </c>
      <c r="Y3717" t="s">
        <v>40515</v>
      </c>
    </row>
    <row r="3718" spans="1:25" x14ac:dyDescent="0.3">
      <c r="A3718">
        <v>185850</v>
      </c>
      <c r="B3718" t="s">
        <v>40516</v>
      </c>
      <c r="C3718" t="s">
        <v>40517</v>
      </c>
      <c r="D3718">
        <f>-823.933295180528 -12.5799005870656 -208.051869268679</f>
        <v>-1044.5650650362727</v>
      </c>
      <c r="E3718">
        <f>-834.399549356676 -18.4631889686802 -305.942102148999</f>
        <v>-1158.8048404743552</v>
      </c>
      <c r="F3718">
        <f>-842.076741370028 -21.7268963194704 -394.647493777647</f>
        <v>-1258.4511314671454</v>
      </c>
      <c r="G3718">
        <f>-847.607223293257 -22.8263873518235 -483.565645981874</f>
        <v>-1353.9992566269545</v>
      </c>
      <c r="H3718">
        <f>-853.045920467536 -22.1309787609384 -608.027504036698</f>
        <v>-1483.2044032651725</v>
      </c>
      <c r="I3718">
        <f>-825.251152896109 -13.2002722589839 -685.826892850727</f>
        <v>-1524.27831800582</v>
      </c>
      <c r="J3718" t="s">
        <v>40518</v>
      </c>
      <c r="K3718" t="s">
        <v>40519</v>
      </c>
      <c r="L3718" t="s">
        <v>40520</v>
      </c>
      <c r="M3718" t="s">
        <v>40521</v>
      </c>
      <c r="N3718">
        <f>-840.233557002192 -48.1056708835872 -553.856699133651</f>
        <v>-1442.1959270194302</v>
      </c>
      <c r="O3718">
        <f>-789.209112251174 -172.844011434379 -526.760619479659</f>
        <v>-1488.8137431652121</v>
      </c>
      <c r="P3718">
        <f>-773.044967774397 -202.726947458887 -234.464562921008</f>
        <v>-1210.2364781542919</v>
      </c>
      <c r="Q3718">
        <f>-650.638685433598 -23.4706871136048 -339.03390244136</f>
        <v>-1013.1432749885628</v>
      </c>
      <c r="R3718" t="s">
        <v>40522</v>
      </c>
      <c r="S3718" t="s">
        <v>40523</v>
      </c>
      <c r="T3718" t="s">
        <v>40524</v>
      </c>
      <c r="U3718" t="s">
        <v>40525</v>
      </c>
      <c r="V3718">
        <f>-760.374881996835 -84.3603739909506 -92.7448707088198</f>
        <v>-937.48012669660545</v>
      </c>
      <c r="W3718" t="s">
        <v>40526</v>
      </c>
      <c r="X3718" t="s">
        <v>40527</v>
      </c>
      <c r="Y3718" t="s">
        <v>40528</v>
      </c>
    </row>
    <row r="3719" spans="1:25" x14ac:dyDescent="0.3">
      <c r="A3719">
        <v>185900</v>
      </c>
      <c r="B3719" t="s">
        <v>40529</v>
      </c>
      <c r="C3719" t="s">
        <v>40530</v>
      </c>
      <c r="D3719">
        <f>-823.966486325202 -12.4713543314767 -208.067898899372</f>
        <v>-1044.5057395560507</v>
      </c>
      <c r="E3719">
        <f>-834.268537729522 -18.3335030687383 -305.976847975258</f>
        <v>-1158.5788887735184</v>
      </c>
      <c r="F3719">
        <f>-841.757833821873 -21.5798832063269 -394.699002641496</f>
        <v>-1258.0367196696959</v>
      </c>
      <c r="G3719">
        <f>-847.061159438961 -22.6645427666758 -483.631196833717</f>
        <v>-1353.3568990393537</v>
      </c>
      <c r="H3719">
        <f>-852.140985636579 -21.9512910131004 -608.108229582109</f>
        <v>-1482.2005062317885</v>
      </c>
      <c r="I3719">
        <f>-824.138142311037 -12.983764035672 -685.828428419324</f>
        <v>-1522.9503347660329</v>
      </c>
      <c r="J3719" t="s">
        <v>40531</v>
      </c>
      <c r="K3719" t="s">
        <v>40532</v>
      </c>
      <c r="L3719" t="s">
        <v>40533</v>
      </c>
      <c r="M3719" t="s">
        <v>40534</v>
      </c>
      <c r="N3719">
        <f>-839.475145235517 -47.9297594143022 -553.904721851843</f>
        <v>-1441.309626501662</v>
      </c>
      <c r="O3719">
        <f>-788.46584916508 -172.63490185175 -526.650209979139</f>
        <v>-1487.7509609959691</v>
      </c>
      <c r="P3719">
        <f>-773.025749151324 -202.288312871202 -234.291693318044</f>
        <v>-1209.6057553405701</v>
      </c>
      <c r="Q3719">
        <f>-650.361405750832 -23.2193010517137 -338.879529815162</f>
        <v>-1012.4602366177078</v>
      </c>
      <c r="R3719" t="s">
        <v>40535</v>
      </c>
      <c r="S3719" t="s">
        <v>40536</v>
      </c>
      <c r="T3719" t="s">
        <v>40537</v>
      </c>
      <c r="U3719" t="s">
        <v>40538</v>
      </c>
      <c r="V3719">
        <f>-760.461506139365 -84.2096834328984 -92.7417960102597</f>
        <v>-937.41298558252311</v>
      </c>
      <c r="W3719" t="s">
        <v>40539</v>
      </c>
      <c r="X3719" t="s">
        <v>40540</v>
      </c>
      <c r="Y3719" t="s">
        <v>40541</v>
      </c>
    </row>
    <row r="3720" spans="1:25" x14ac:dyDescent="0.3">
      <c r="A3720">
        <v>185950</v>
      </c>
      <c r="B3720" t="s">
        <v>40542</v>
      </c>
      <c r="C3720" t="s">
        <v>40543</v>
      </c>
      <c r="D3720">
        <f>-823.949586015009 -12.4947891833185 -208.069383515564</f>
        <v>-1044.5137587138915</v>
      </c>
      <c r="E3720">
        <f>-834.185006951905 -18.3472562326197 -305.985906604077</f>
        <v>-1158.5181697886017</v>
      </c>
      <c r="F3720">
        <f>-841.593711342478 -21.586518548248 -394.714960903028</f>
        <v>-1257.895190793754</v>
      </c>
      <c r="G3720">
        <f>-846.796237168545 -22.6662455564408 -483.653119146379</f>
        <v>-1353.1156018713648</v>
      </c>
      <c r="H3720">
        <f>-851.713721556108 -21.9486117766066 -608.136664582017</f>
        <v>-1481.7989979147317</v>
      </c>
      <c r="I3720">
        <f>-823.607944336937 -12.9803649781384 -685.819791431186</f>
        <v>-1522.4081007462614</v>
      </c>
      <c r="J3720" t="s">
        <v>40544</v>
      </c>
      <c r="K3720" t="s">
        <v>40545</v>
      </c>
      <c r="L3720" t="s">
        <v>40546</v>
      </c>
      <c r="M3720" t="s">
        <v>40547</v>
      </c>
      <c r="N3720">
        <f>-839.117436798379 -47.9285692248249 -553.917616670183</f>
        <v>-1440.9636226933867</v>
      </c>
      <c r="O3720">
        <f>-788.109113554345 -172.625014304102 -526.577511952641</f>
        <v>-1487.3116398110878</v>
      </c>
      <c r="P3720">
        <f>-772.819638752265 -202.356345901012 -234.21903854829</f>
        <v>-1209.395023201567</v>
      </c>
      <c r="Q3720">
        <f>-650.261880207259 -23.187396750737 -338.760505549449</f>
        <v>-1012.209782507445</v>
      </c>
      <c r="R3720" t="s">
        <v>40548</v>
      </c>
      <c r="S3720" t="s">
        <v>40549</v>
      </c>
      <c r="T3720" t="s">
        <v>40550</v>
      </c>
      <c r="U3720" t="s">
        <v>40551</v>
      </c>
      <c r="V3720">
        <f>-760.455640130695 -84.2956286718533 -92.7409414100277</f>
        <v>-937.49221021257597</v>
      </c>
      <c r="W3720" t="s">
        <v>40552</v>
      </c>
      <c r="X3720" t="s">
        <v>40553</v>
      </c>
      <c r="Y3720" t="s">
        <v>40554</v>
      </c>
    </row>
    <row r="3721" spans="1:25" x14ac:dyDescent="0.3">
      <c r="A3721">
        <v>186000</v>
      </c>
      <c r="B3721" t="s">
        <v>40555</v>
      </c>
      <c r="C3721" t="s">
        <v>40556</v>
      </c>
      <c r="D3721">
        <f>-823.993461553876 -12.3662168955962 -208.059381918661</f>
        <v>-1044.4190603681332</v>
      </c>
      <c r="E3721">
        <f>-834.115203071312 -18.1951211892938 -305.989127329106</f>
        <v>-1158.2994515897117</v>
      </c>
      <c r="F3721">
        <f>-841.386783362292 -21.4130660994549 -394.730457815064</f>
        <v>-1257.5303072768111</v>
      </c>
      <c r="G3721">
        <f>-846.417546639058 -22.4718247013666 -483.678795187607</f>
        <v>-1352.5681665280315</v>
      </c>
      <c r="H3721">
        <f>-851.058736107182 -21.725890709535 -608.172563742265</f>
        <v>-1480.9571905589819</v>
      </c>
      <c r="I3721">
        <f>-822.762226879781 -12.7747793038629 -685.788383870268</f>
        <v>-1521.3253900539121</v>
      </c>
      <c r="J3721" t="s">
        <v>40557</v>
      </c>
      <c r="K3721" t="s">
        <v>40558</v>
      </c>
      <c r="L3721" t="s">
        <v>40559</v>
      </c>
      <c r="M3721" t="s">
        <v>40560</v>
      </c>
      <c r="N3721">
        <f>-838.584114063969 -47.7185441960563 -553.931727151803</f>
        <v>-1440.2343854118283</v>
      </c>
      <c r="O3721">
        <f>-787.648815220404 -172.419004919587 -526.501613221263</f>
        <v>-1486.5694333612541</v>
      </c>
      <c r="P3721">
        <f>-772.686312352412 -202.053556322376 -234.116238775761</f>
        <v>-1208.856107450549</v>
      </c>
      <c r="Q3721">
        <f>-649.729792969648 -23.1264622402216 -338.603789405705</f>
        <v>-1011.4600446155746</v>
      </c>
      <c r="R3721" t="s">
        <v>40561</v>
      </c>
      <c r="S3721" t="s">
        <v>40562</v>
      </c>
      <c r="T3721" t="s">
        <v>40563</v>
      </c>
      <c r="U3721" t="s">
        <v>40564</v>
      </c>
      <c r="V3721">
        <f>-760.626014155915 -84.0060664691107 -92.7315493919385</f>
        <v>-937.36363001696418</v>
      </c>
      <c r="W3721" t="s">
        <v>40565</v>
      </c>
      <c r="X3721" t="s">
        <v>40566</v>
      </c>
      <c r="Y3721" t="s">
        <v>40567</v>
      </c>
    </row>
    <row r="3722" spans="1:25" x14ac:dyDescent="0.3">
      <c r="A3722">
        <v>186050</v>
      </c>
      <c r="B3722" t="s">
        <v>40568</v>
      </c>
      <c r="C3722" t="s">
        <v>40569</v>
      </c>
      <c r="D3722">
        <f>-823.938928375123 -12.4143362636264 -208.0626785475</f>
        <v>-1044.4159431862495</v>
      </c>
      <c r="E3722">
        <f>-834.032367553187 -18.2296893787027 -305.995942986896</f>
        <v>-1158.2579999187856</v>
      </c>
      <c r="F3722">
        <f>-841.26651801941 -21.4325462797092 -394.740904593883</f>
        <v>-1257.4399688930021</v>
      </c>
      <c r="G3722">
        <f>-846.2478682636 -22.4736158329083 -483.692255677134</f>
        <v>-1352.4137397736424</v>
      </c>
      <c r="H3722">
        <f>-850.807817853331 -21.7006904892874 -608.188910967247</f>
        <v>-1480.6974193098654</v>
      </c>
      <c r="I3722">
        <f>-822.441544674919 -12.7555090231651 -685.779899840475</f>
        <v>-1520.9769535385601</v>
      </c>
      <c r="J3722" t="s">
        <v>40570</v>
      </c>
      <c r="K3722" t="s">
        <v>40571</v>
      </c>
      <c r="L3722" t="s">
        <v>40572</v>
      </c>
      <c r="M3722" t="s">
        <v>40573</v>
      </c>
      <c r="N3722">
        <f>-838.370797192698 -47.7060120181326 -553.945473787103</f>
        <v>-1440.0222829979334</v>
      </c>
      <c r="O3722">
        <f>-787.468006380826 -172.421374119745 -526.486002865567</f>
        <v>-1486.3753833661381</v>
      </c>
      <c r="P3722">
        <f>-772.540422849064 -202.153243271937 -234.108761902084</f>
        <v>-1208.802428023085</v>
      </c>
      <c r="Q3722">
        <f>-649.49924122349 -23.3102431676311 -338.640836594851</f>
        <v>-1011.4503209859722</v>
      </c>
      <c r="R3722" t="s">
        <v>40574</v>
      </c>
      <c r="S3722" t="s">
        <v>40575</v>
      </c>
      <c r="T3722" t="s">
        <v>40576</v>
      </c>
      <c r="U3722" t="s">
        <v>40577</v>
      </c>
      <c r="V3722">
        <f>-760.534849006413 -84.1278148457915 -92.73622239402</f>
        <v>-937.39888624622449</v>
      </c>
      <c r="W3722" t="s">
        <v>40578</v>
      </c>
      <c r="X3722" t="s">
        <v>40579</v>
      </c>
      <c r="Y3722" t="s">
        <v>40580</v>
      </c>
    </row>
    <row r="3723" spans="1:25" x14ac:dyDescent="0.3">
      <c r="A3723">
        <v>186100</v>
      </c>
      <c r="B3723" t="s">
        <v>40581</v>
      </c>
      <c r="C3723" t="s">
        <v>40582</v>
      </c>
      <c r="D3723">
        <f>-823.815083925596 -12.5493187715124 -208.054547171777</f>
        <v>-1044.4189498688854</v>
      </c>
      <c r="E3723">
        <f>-833.846985965812 -18.3397621148847 -305.995823763687</f>
        <v>-1158.1825718443838</v>
      </c>
      <c r="F3723">
        <f>-841.002845567294 -21.5116555489342 -394.748186731259</f>
        <v>-1257.2626878474871</v>
      </c>
      <c r="G3723">
        <f>-845.882988819824 -22.5142169578073 -483.705602661595</f>
        <v>-1352.1028084392265</v>
      </c>
      <c r="H3723">
        <f>-850.277237550187 -21.6790597555084 -608.207856631376</f>
        <v>-1480.1641539370714</v>
      </c>
      <c r="I3723">
        <f>-821.800572535977 -12.7066343615095 -685.755350758001</f>
        <v>-1520.2625576554874</v>
      </c>
      <c r="J3723" t="s">
        <v>40583</v>
      </c>
      <c r="K3723" t="s">
        <v>40584</v>
      </c>
      <c r="L3723" t="s">
        <v>40585</v>
      </c>
      <c r="M3723" t="s">
        <v>40586</v>
      </c>
      <c r="N3723">
        <f>-837.913808356534 -47.7119855817499 -553.960807557609</f>
        <v>-1439.5866014958929</v>
      </c>
      <c r="O3723">
        <f>-787.087956081184 -172.446698175952 -526.475450129046</f>
        <v>-1486.0101043861819</v>
      </c>
      <c r="P3723">
        <f>-772.369027742583 -202.143610171312 -234.084196385262</f>
        <v>-1208.5968342991569</v>
      </c>
      <c r="Q3723">
        <f>-648.998073853003 -23.5681302554333 -338.685041945318</f>
        <v>-1011.2512460537544</v>
      </c>
      <c r="R3723" t="s">
        <v>40587</v>
      </c>
      <c r="S3723" t="s">
        <v>40588</v>
      </c>
      <c r="T3723" t="s">
        <v>40589</v>
      </c>
      <c r="U3723" t="s">
        <v>40590</v>
      </c>
      <c r="V3723">
        <f>-760.427199130005 -84.2263347284585 -92.7276821859624</f>
        <v>-937.38121604442586</v>
      </c>
      <c r="W3723" t="s">
        <v>40591</v>
      </c>
      <c r="X3723" t="s">
        <v>40592</v>
      </c>
      <c r="Y3723" t="s">
        <v>40593</v>
      </c>
    </row>
    <row r="3724" spans="1:25" x14ac:dyDescent="0.3">
      <c r="A3724">
        <v>186150</v>
      </c>
      <c r="B3724" t="s">
        <v>40594</v>
      </c>
      <c r="C3724" t="s">
        <v>40595</v>
      </c>
      <c r="D3724">
        <f>-823.742282079487 -12.6020837390317 -208.044440091693</f>
        <v>-1044.3888059102119</v>
      </c>
      <c r="E3724">
        <f>-833.739665012244 -18.3711850197335 -305.990498402633</f>
        <v>-1158.1013484346106</v>
      </c>
      <c r="F3724">
        <f>-840.84678266775 -21.5161368451263 -394.747543680799</f>
        <v>-1257.1104631936753</v>
      </c>
      <c r="G3724">
        <f>-845.660474778237 -22.4837656465293 -483.70898962896</f>
        <v>-1351.8532300537263</v>
      </c>
      <c r="H3724">
        <f>-849.943071953118 -21.5926454796522 -608.214800624177</f>
        <v>-1479.7505180569472</v>
      </c>
      <c r="I3724">
        <f>-821.414568731609 -12.5920461264541 -685.739868938396</f>
        <v>-1519.746483796459</v>
      </c>
      <c r="J3724" t="s">
        <v>40596</v>
      </c>
      <c r="K3724" t="s">
        <v>40597</v>
      </c>
      <c r="L3724" t="s">
        <v>40598</v>
      </c>
      <c r="M3724" t="s">
        <v>40599</v>
      </c>
      <c r="N3724">
        <f>-837.627234609284 -47.6496186310119 -553.968556053869</f>
        <v>-1439.2454092941648</v>
      </c>
      <c r="O3724">
        <f>-786.828351853394 -172.397816229513 -526.471175102723</f>
        <v>-1485.69734318563</v>
      </c>
      <c r="P3724">
        <f>-772.172061919616 -202.119131895892 -234.079336131157</f>
        <v>-1208.3705299466651</v>
      </c>
      <c r="Q3724">
        <f>-648.737258204387 -23.5758979731638 -338.659632957961</f>
        <v>-1010.9727891355118</v>
      </c>
      <c r="R3724" t="s">
        <v>40600</v>
      </c>
      <c r="S3724" t="s">
        <v>40601</v>
      </c>
      <c r="T3724" t="s">
        <v>40602</v>
      </c>
      <c r="U3724" t="s">
        <v>40603</v>
      </c>
      <c r="V3724">
        <f>-760.350512509958 -84.2561334296255 -92.7241972929704</f>
        <v>-937.33084323255389</v>
      </c>
      <c r="W3724" t="s">
        <v>40604</v>
      </c>
      <c r="X3724" t="s">
        <v>40605</v>
      </c>
      <c r="Y3724" t="s">
        <v>40606</v>
      </c>
    </row>
    <row r="3725" spans="1:25" x14ac:dyDescent="0.3">
      <c r="A3725">
        <v>186200</v>
      </c>
      <c r="B3725" t="s">
        <v>40607</v>
      </c>
      <c r="C3725" t="s">
        <v>40608</v>
      </c>
      <c r="D3725">
        <f>-823.596451136911 -12.6639608915063 -208.05120193868</f>
        <v>-1044.3116139670974</v>
      </c>
      <c r="E3725">
        <f>-833.518513183194 -18.4002650259285 -306.00680185682</f>
        <v>-1157.9255800659425</v>
      </c>
      <c r="F3725">
        <f>-840.527271677675 -21.5058844563744 -394.773253666036</f>
        <v>-1256.8064098000855</v>
      </c>
      <c r="G3725">
        <f>-845.212299816873 -22.4250440105793 -483.741967048734</f>
        <v>-1351.3793108761863</v>
      </c>
      <c r="H3725">
        <f>-849.282753341081 -21.4565812384526 -608.254268806142</f>
        <v>-1478.9936033856757</v>
      </c>
      <c r="I3725">
        <f>-820.663088058592 -12.4003727562608 -685.739161786202</f>
        <v>-1518.8026226010547</v>
      </c>
      <c r="J3725" t="s">
        <v>40609</v>
      </c>
      <c r="K3725" t="s">
        <v>40610</v>
      </c>
      <c r="L3725" t="s">
        <v>40611</v>
      </c>
      <c r="M3725" t="s">
        <v>40612</v>
      </c>
      <c r="N3725">
        <f>-837.053616779595 -47.5449185242455 -554.003373759673</f>
        <v>-1438.6019090635136</v>
      </c>
      <c r="O3725">
        <f>-786.261191344688 -172.290105645868 -526.493011644416</f>
        <v>-1485.0443086349719</v>
      </c>
      <c r="P3725">
        <f>-771.776501164507 -202.186946982189 -234.110440568418</f>
        <v>-1208.073888715114</v>
      </c>
      <c r="Q3725">
        <f>-648.341906831093 -23.5737349369051 -338.571601233123</f>
        <v>-1010.487243001121</v>
      </c>
      <c r="R3725" t="s">
        <v>40613</v>
      </c>
      <c r="S3725" t="s">
        <v>40614</v>
      </c>
      <c r="T3725" t="s">
        <v>40615</v>
      </c>
      <c r="U3725" t="s">
        <v>40616</v>
      </c>
      <c r="V3725">
        <f>-760.226442567011 -84.2501634407557 -92.7201867544591</f>
        <v>-937.19679276222575</v>
      </c>
      <c r="W3725" t="s">
        <v>40617</v>
      </c>
      <c r="X3725" t="s">
        <v>40618</v>
      </c>
      <c r="Y3725" t="s">
        <v>40619</v>
      </c>
    </row>
    <row r="3726" spans="1:25" x14ac:dyDescent="0.3">
      <c r="A3726">
        <v>186250</v>
      </c>
      <c r="B3726" t="s">
        <v>40620</v>
      </c>
      <c r="C3726" t="s">
        <v>40621</v>
      </c>
      <c r="D3726">
        <f>-823.506108948963 -12.7146330607184 -208.042003213773</f>
        <v>-1044.2627452234542</v>
      </c>
      <c r="E3726">
        <f>-833.406142262634 -18.4405529972437 -306.000581270182</f>
        <v>-1157.8472765300598</v>
      </c>
      <c r="F3726">
        <f>-840.384285190197 -21.5344757810478 -394.769732396924</f>
        <v>-1256.6884933681688</v>
      </c>
      <c r="G3726">
        <f>-845.027947374388 -22.4395638299186 -483.740723449792</f>
        <v>-1351.2082346540985</v>
      </c>
      <c r="H3726">
        <f>-849.029578858302 -21.4495979260073 -608.255099690723</f>
        <v>-1478.7342764750324</v>
      </c>
      <c r="I3726">
        <f>-820.374418220374 -12.3732702262803 -685.724618758761</f>
        <v>-1518.4723072054153</v>
      </c>
      <c r="J3726" t="s">
        <v>40622</v>
      </c>
      <c r="K3726" t="s">
        <v>40623</v>
      </c>
      <c r="L3726" t="s">
        <v>40624</v>
      </c>
      <c r="M3726" t="s">
        <v>40625</v>
      </c>
      <c r="N3726">
        <f>-836.827900859903 -47.5462881434238 -554.002185992368</f>
        <v>-1438.3763749956947</v>
      </c>
      <c r="O3726">
        <f>-786.037607328704 -172.29140991621 -526.500548021863</f>
        <v>-1484.8295652667771</v>
      </c>
      <c r="P3726">
        <f>-771.649801873639 -202.32284750248 -234.127067131328</f>
        <v>-1208.0997165074471</v>
      </c>
      <c r="Q3726">
        <f>-648.233601941985 -23.5984378287728 -338.419246007035</f>
        <v>-1010.2512857777928</v>
      </c>
      <c r="R3726" t="s">
        <v>40626</v>
      </c>
      <c r="S3726" t="s">
        <v>40627</v>
      </c>
      <c r="T3726" t="s">
        <v>40628</v>
      </c>
      <c r="U3726" t="s">
        <v>40629</v>
      </c>
      <c r="V3726">
        <f>-760.105751692681 -84.3215108755054 -92.7190579003142</f>
        <v>-937.14632046850056</v>
      </c>
      <c r="W3726" t="s">
        <v>40630</v>
      </c>
      <c r="X3726" t="s">
        <v>40631</v>
      </c>
      <c r="Y3726" t="s">
        <v>40632</v>
      </c>
    </row>
    <row r="3727" spans="1:25" x14ac:dyDescent="0.3">
      <c r="A3727">
        <v>186300</v>
      </c>
      <c r="B3727" t="s">
        <v>40633</v>
      </c>
      <c r="C3727" t="s">
        <v>40634</v>
      </c>
      <c r="D3727">
        <f>-823.339721751544 -12.7870786995547 -208.011715731398</f>
        <v>-1044.1385161824967</v>
      </c>
      <c r="E3727">
        <f>-833.203236480455 -18.4996199851694 -305.974584425597</f>
        <v>-1157.6774408912213</v>
      </c>
      <c r="F3727">
        <f>-840.131906625672 -21.5762608371149 -394.748329767297</f>
        <v>-1256.4564972300839</v>
      </c>
      <c r="G3727">
        <f>-844.709661462598 -22.459221463411 -483.723019233627</f>
        <v>-1350.8919021596359</v>
      </c>
      <c r="H3727">
        <f>-848.601897959646 -21.4326584062464 -608.240523068854</f>
        <v>-1478.2750794347464</v>
      </c>
      <c r="I3727">
        <f>-819.883596125222 -12.3187069855494 -685.682255091708</f>
        <v>-1517.8845582024794</v>
      </c>
      <c r="J3727" t="s">
        <v>40635</v>
      </c>
      <c r="K3727" t="s">
        <v>40636</v>
      </c>
      <c r="L3727" t="s">
        <v>40637</v>
      </c>
      <c r="M3727" t="s">
        <v>40638</v>
      </c>
      <c r="N3727">
        <f>-836.436810013201 -47.5408066623727 -553.984707114599</f>
        <v>-1437.9623237901728</v>
      </c>
      <c r="O3727">
        <f>-785.652996143417 -172.300061079439 -526.52306186439</f>
        <v>-1484.4761190872459</v>
      </c>
      <c r="P3727">
        <f>-771.464232192715 -202.609831025901 -234.168453632407</f>
        <v>-1208.2425168510231</v>
      </c>
      <c r="Q3727">
        <f>-648.029151547921 -23.5177409867172 -337.805480450441</f>
        <v>-1009.3523729850791</v>
      </c>
      <c r="R3727" t="s">
        <v>40639</v>
      </c>
      <c r="S3727" t="s">
        <v>40640</v>
      </c>
      <c r="T3727" t="s">
        <v>40641</v>
      </c>
      <c r="U3727" t="s">
        <v>40642</v>
      </c>
      <c r="V3727">
        <f>-759.920471130285 -84.3786575744052 -92.7075203478931</f>
        <v>-937.00664905258338</v>
      </c>
      <c r="W3727" t="s">
        <v>40643</v>
      </c>
      <c r="X3727" t="s">
        <v>40644</v>
      </c>
      <c r="Y3727" t="s">
        <v>40645</v>
      </c>
    </row>
    <row r="3728" spans="1:25" x14ac:dyDescent="0.3">
      <c r="A3728">
        <v>186350</v>
      </c>
      <c r="B3728" t="s">
        <v>40646</v>
      </c>
      <c r="C3728" t="s">
        <v>40647</v>
      </c>
      <c r="D3728">
        <f>-823.275101567196 -12.8386069822777 -208.002208222084</f>
        <v>-1044.1159167715577</v>
      </c>
      <c r="E3728">
        <f>-833.132555480103 -18.5421307292668 -305.966241921196</f>
        <v>-1157.6409281305657</v>
      </c>
      <c r="F3728">
        <f>-840.04964893825 -21.608638036312 -394.741250069037</f>
        <v>-1256.3995370435989</v>
      </c>
      <c r="G3728">
        <f>-844.609537011283 -22.4787683163595 -483.716999242625</f>
        <v>-1350.8053045702675</v>
      </c>
      <c r="H3728">
        <f>-848.470382207703 -21.4324130163841 -608.235227871946</f>
        <v>-1478.1380230960331</v>
      </c>
      <c r="I3728">
        <f>-819.72275519185 -12.300364275455 -685.664009008123</f>
        <v>-1517.6871284754279</v>
      </c>
      <c r="J3728" t="s">
        <v>40648</v>
      </c>
      <c r="K3728" t="s">
        <v>40649</v>
      </c>
      <c r="L3728" t="s">
        <v>40650</v>
      </c>
      <c r="M3728" t="s">
        <v>40651</v>
      </c>
      <c r="N3728">
        <f>-836.309350093631 -47.5452882080751 -553.980987519306</f>
        <v>-1437.8356258210122</v>
      </c>
      <c r="O3728">
        <f>-785.530772559073 -172.30715486101 -526.542187767159</f>
        <v>-1484.3801151872419</v>
      </c>
      <c r="P3728">
        <f>-771.523105293918 -202.496934689169 -234.166464523532</f>
        <v>-1208.1865045066188</v>
      </c>
      <c r="Q3728">
        <f>-647.251115010541 -23.7207052296005 -337.34790675985</f>
        <v>-1008.3197269999914</v>
      </c>
      <c r="R3728" t="s">
        <v>40652</v>
      </c>
      <c r="S3728" t="s">
        <v>40653</v>
      </c>
      <c r="T3728" t="s">
        <v>40654</v>
      </c>
      <c r="U3728" t="s">
        <v>40655</v>
      </c>
      <c r="V3728">
        <f>-759.835003503039 -84.4565344168725 -92.7056122147026</f>
        <v>-936.99715013461412</v>
      </c>
      <c r="W3728" t="s">
        <v>40656</v>
      </c>
      <c r="X3728" t="s">
        <v>40657</v>
      </c>
      <c r="Y3728" t="s">
        <v>40658</v>
      </c>
    </row>
    <row r="3729" spans="1:25" x14ac:dyDescent="0.3">
      <c r="A3729">
        <v>186400</v>
      </c>
      <c r="B3729" t="s">
        <v>40659</v>
      </c>
      <c r="C3729" t="s">
        <v>40660</v>
      </c>
      <c r="D3729">
        <f>-823.137197714325 -12.9952426715211 -207.965571304792</f>
        <v>-1044.098011690638</v>
      </c>
      <c r="E3729">
        <f>-832.979138429474 -18.6781214727905 -305.932483779572</f>
        <v>-1157.5897436818366</v>
      </c>
      <c r="F3729">
        <f>-839.865609316442 -21.7159696608214 -394.710727762232</f>
        <v>-1256.2923067394954</v>
      </c>
      <c r="G3729">
        <f>-844.378664706434 -22.5475958715176 -483.689297717517</f>
        <v>-1350.6155582954686</v>
      </c>
      <c r="H3729">
        <f>-848.157195964236 -21.4363871618536 -608.209542191634</f>
        <v>-1477.8031253177237</v>
      </c>
      <c r="I3729">
        <f>-819.358087183476 -12.2525151668619 -685.613041319456</f>
        <v>-1517.223643669794</v>
      </c>
      <c r="J3729" t="s">
        <v>40661</v>
      </c>
      <c r="K3729" t="s">
        <v>40662</v>
      </c>
      <c r="L3729" t="s">
        <v>40663</v>
      </c>
      <c r="M3729" t="s">
        <v>40664</v>
      </c>
      <c r="N3729">
        <f>-836.000463806745 -47.5646036893085 -553.961497035726</f>
        <v>-1437.5265645317795</v>
      </c>
      <c r="O3729">
        <f>-785.07221016999 -172.272607447947 -526.533029865759</f>
        <v>-1483.8778474836959</v>
      </c>
      <c r="P3729">
        <f>-771.116763191404 -202.545346287101 -234.163353377161</f>
        <v>-1207.825462855666</v>
      </c>
      <c r="Q3729">
        <f>-646.71939406782 -23.5468063642443 -336.806743433379</f>
        <v>-1007.0729438654432</v>
      </c>
      <c r="R3729" t="s">
        <v>40665</v>
      </c>
      <c r="S3729" t="s">
        <v>40666</v>
      </c>
      <c r="T3729" t="s">
        <v>40667</v>
      </c>
      <c r="U3729" t="s">
        <v>40668</v>
      </c>
      <c r="V3729">
        <f>-759.648643318659 -84.603363764773 -92.689968137009</f>
        <v>-936.94197522044101</v>
      </c>
      <c r="W3729" t="s">
        <v>40669</v>
      </c>
      <c r="X3729" t="s">
        <v>40670</v>
      </c>
      <c r="Y3729" t="s">
        <v>40671</v>
      </c>
    </row>
    <row r="3730" spans="1:25" x14ac:dyDescent="0.3">
      <c r="A3730">
        <v>186450</v>
      </c>
      <c r="B3730" t="s">
        <v>40672</v>
      </c>
      <c r="C3730" t="s">
        <v>40673</v>
      </c>
      <c r="D3730">
        <f>-823.037158650782 -13.115959720144 -207.961477064085</f>
        <v>-1044.1145954350109</v>
      </c>
      <c r="E3730">
        <f>-832.853188748774 -18.7826775253791 -305.931888706515</f>
        <v>-1157.567754980668</v>
      </c>
      <c r="F3730">
        <f>-839.706577387566 -21.796924961895 -394.71357534761</f>
        <v>-1256.2170776970711</v>
      </c>
      <c r="G3730">
        <f>-844.176995438927 -22.5958239071479 -483.694678464322</f>
        <v>-1350.4674978103967</v>
      </c>
      <c r="H3730">
        <f>-847.885785974345 -21.4294090943549 -608.216508294158</f>
        <v>-1477.531703362858</v>
      </c>
      <c r="I3730">
        <f>-819.065936126984 -12.1959955872012 -685.606302395582</f>
        <v>-1516.8682341097672</v>
      </c>
      <c r="J3730" t="s">
        <v>40674</v>
      </c>
      <c r="K3730" t="s">
        <v>40675</v>
      </c>
      <c r="L3730" t="s">
        <v>40676</v>
      </c>
      <c r="M3730" t="s">
        <v>40677</v>
      </c>
      <c r="N3730">
        <f>-835.735934736012 -47.572043858211 -553.97385759769</f>
        <v>-1437.281836191913</v>
      </c>
      <c r="O3730">
        <f>-784.681169089967 -172.224569880746 -526.549943593399</f>
        <v>-1483.4556825641121</v>
      </c>
      <c r="P3730">
        <f>-770.804214951241 -202.521281040785 -234.179138413957</f>
        <v>-1207.5046344059829</v>
      </c>
      <c r="Q3730">
        <f>-646.677660080471 -23.3482763582804 -336.846037190906</f>
        <v>-1006.8719736296573</v>
      </c>
      <c r="R3730" t="s">
        <v>40678</v>
      </c>
      <c r="S3730" t="s">
        <v>40679</v>
      </c>
      <c r="T3730" t="s">
        <v>40680</v>
      </c>
      <c r="U3730" t="s">
        <v>40681</v>
      </c>
      <c r="V3730">
        <f>-759.456536707417 -84.7716977315101 -92.6850572733946</f>
        <v>-936.91329171232167</v>
      </c>
      <c r="W3730" t="s">
        <v>40682</v>
      </c>
      <c r="X3730" t="s">
        <v>40683</v>
      </c>
      <c r="Y3730" t="s">
        <v>40684</v>
      </c>
    </row>
    <row r="3731" spans="1:25" x14ac:dyDescent="0.3">
      <c r="A3731">
        <v>186500</v>
      </c>
      <c r="B3731" t="s">
        <v>40685</v>
      </c>
      <c r="C3731" t="s">
        <v>40686</v>
      </c>
      <c r="D3731">
        <f>-823.010262062271 -13.085962179503 -207.972557152989</f>
        <v>-1044.0687813947629</v>
      </c>
      <c r="E3731">
        <f>-832.795077997213 -18.7185827699709 -305.948068594069</f>
        <v>-1157.4617293612528</v>
      </c>
      <c r="F3731">
        <f>-839.608731715062 -21.6787356306966 -394.73466350067</f>
        <v>-1256.0221308464286</v>
      </c>
      <c r="G3731">
        <f>-844.027411876442 -22.3999060701506 -483.718983267282</f>
        <v>-1350.1463012138745</v>
      </c>
      <c r="H3731">
        <f>-847.650806338923 -21.0999135815416 -608.241926364848</f>
        <v>-1476.9926462853127</v>
      </c>
      <c r="I3731">
        <f>-818.794924418438 -11.7287807157509 -685.601764281766</f>
        <v>-1516.1254694159547</v>
      </c>
      <c r="J3731" t="s">
        <v>40687</v>
      </c>
      <c r="K3731" t="s">
        <v>40688</v>
      </c>
      <c r="L3731" t="s">
        <v>40689</v>
      </c>
      <c r="M3731" t="s">
        <v>40690</v>
      </c>
      <c r="N3731">
        <f>-835.497476755291 -47.2839304496957 -554.02025740934</f>
        <v>-1436.8016646143269</v>
      </c>
      <c r="O3731">
        <f>-784.187506637678 -171.839107326307 -526.610691918533</f>
        <v>-1482.6373058825179</v>
      </c>
      <c r="P3731">
        <f>-770.114712390852 -202.444365085786 -234.281227893243</f>
        <v>-1206.840305369881</v>
      </c>
      <c r="Q3731">
        <f>-647.505665024385 -22.4559877161621 -337.344717378309</f>
        <v>-1007.3063701188562</v>
      </c>
      <c r="R3731" t="s">
        <v>40691</v>
      </c>
      <c r="S3731" t="s">
        <v>40692</v>
      </c>
      <c r="T3731" t="s">
        <v>40693</v>
      </c>
      <c r="U3731" t="s">
        <v>40694</v>
      </c>
      <c r="V3731">
        <f>-759.339159275108 -84.6083531285701 -92.7002328414002</f>
        <v>-936.64774524507834</v>
      </c>
      <c r="W3731" t="s">
        <v>40695</v>
      </c>
      <c r="X3731" t="s">
        <v>40696</v>
      </c>
      <c r="Y3731" t="s">
        <v>40697</v>
      </c>
    </row>
    <row r="3732" spans="1:25" x14ac:dyDescent="0.3">
      <c r="A3732">
        <v>186550</v>
      </c>
      <c r="B3732" t="s">
        <v>40698</v>
      </c>
      <c r="C3732" t="s">
        <v>40699</v>
      </c>
      <c r="D3732">
        <f>-823.054107411251 -13.0217945793386 -207.98371004599</f>
        <v>-1044.0596120365797</v>
      </c>
      <c r="E3732">
        <f>-832.831680012726 -18.6404225588919 -305.960793626888</f>
        <v>-1157.4328961985059</v>
      </c>
      <c r="F3732">
        <f>-839.63900989762 -21.5781277613701 -394.74852404425</f>
        <v>-1255.9656617032401</v>
      </c>
      <c r="G3732">
        <f>-844.051762006593 -22.266934929203 -483.733352285965</f>
        <v>-1350.0520492217611</v>
      </c>
      <c r="H3732">
        <f>-847.667461761299 -20.911023319848 -608.256096647469</f>
        <v>-1476.8345817286161</v>
      </c>
      <c r="I3732">
        <f>-818.79588122304 -11.4735198312746 -685.602097634581</f>
        <v>-1515.8714986888958</v>
      </c>
      <c r="J3732" t="s">
        <v>40700</v>
      </c>
      <c r="K3732" t="s">
        <v>40701</v>
      </c>
      <c r="L3732" t="s">
        <v>40702</v>
      </c>
      <c r="M3732" t="s">
        <v>40703</v>
      </c>
      <c r="N3732">
        <f>-835.492810506735 -47.1091576489202 -554.045824389936</f>
        <v>-1436.6477925455913</v>
      </c>
      <c r="O3732">
        <f>-784.091879969979 -171.627931501226 -526.658408771396</f>
        <v>-1482.3782202426009</v>
      </c>
      <c r="P3732">
        <f>-769.845556298093 -202.249811773481 -234.339245386289</f>
        <v>-1206.4346134578632</v>
      </c>
      <c r="Q3732">
        <f>-647.483862652392 -22.2206288597558 -337.625154994739</f>
        <v>-1007.3296465068868</v>
      </c>
      <c r="R3732" t="s">
        <v>40704</v>
      </c>
      <c r="S3732" t="s">
        <v>40705</v>
      </c>
      <c r="T3732" t="s">
        <v>40706</v>
      </c>
      <c r="U3732" t="s">
        <v>40707</v>
      </c>
      <c r="V3732">
        <f>-759.317926784497 -84.4517911562373 -92.7115778348767</f>
        <v>-936.48129577561099</v>
      </c>
      <c r="W3732" t="s">
        <v>40708</v>
      </c>
      <c r="X3732" t="s">
        <v>40709</v>
      </c>
      <c r="Y3732" t="s">
        <v>40710</v>
      </c>
    </row>
    <row r="3733" spans="1:25" x14ac:dyDescent="0.3">
      <c r="A3733">
        <v>186600</v>
      </c>
      <c r="B3733" t="s">
        <v>40711</v>
      </c>
      <c r="C3733" t="s">
        <v>40712</v>
      </c>
      <c r="D3733">
        <f>-823.133851747113 -13.0644909215159 -207.992343747439</f>
        <v>-1044.1906864160678</v>
      </c>
      <c r="E3733">
        <f>-832.935600243263 -18.676873949059 -305.967268841789</f>
        <v>-1157.5797430341111</v>
      </c>
      <c r="F3733">
        <f>-839.764724487819 -21.5970478907809 -394.7539326</f>
        <v>-1256.1157049785998</v>
      </c>
      <c r="G3733">
        <f>-844.199154073097 -22.2555102845952 -483.738011072898</f>
        <v>-1350.1926754305903</v>
      </c>
      <c r="H3733">
        <f>-847.845041649151 -20.8436697968682 -608.259111045893</f>
        <v>-1476.9478224919121</v>
      </c>
      <c r="I3733">
        <f>-818.952368323161 -11.2934094122256 -685.583310212101</f>
        <v>-1515.8290879474876</v>
      </c>
      <c r="J3733" t="s">
        <v>40713</v>
      </c>
      <c r="K3733" t="s">
        <v>40714</v>
      </c>
      <c r="L3733" t="s">
        <v>40715</v>
      </c>
      <c r="M3733" t="s">
        <v>40716</v>
      </c>
      <c r="N3733">
        <f>-835.612407981033 -47.0475560923129 -554.064653071579</f>
        <v>-1436.7246171449249</v>
      </c>
      <c r="O3733">
        <f>-784.104031038303 -171.542901078391 -526.761348143996</f>
        <v>-1482.4082802606899</v>
      </c>
      <c r="P3733">
        <f>-769.647001030092 -202.227387656491 -234.459015306918</f>
        <v>-1206.3334039935012</v>
      </c>
      <c r="Q3733">
        <f>-646.917892262616 -22.580812639593 -337.974946876187</f>
        <v>-1007.4736517783959</v>
      </c>
      <c r="R3733" t="s">
        <v>40717</v>
      </c>
      <c r="S3733" t="s">
        <v>40718</v>
      </c>
      <c r="T3733" t="s">
        <v>40719</v>
      </c>
      <c r="U3733" t="s">
        <v>40720</v>
      </c>
      <c r="V3733">
        <f>-759.276382264862 -84.4747560880393 -92.7320178641608</f>
        <v>-936.48315621706206</v>
      </c>
      <c r="W3733" t="s">
        <v>40721</v>
      </c>
      <c r="X3733" t="s">
        <v>40722</v>
      </c>
      <c r="Y3733" t="s">
        <v>40723</v>
      </c>
    </row>
    <row r="3734" spans="1:25" x14ac:dyDescent="0.3">
      <c r="A3734">
        <v>186650</v>
      </c>
      <c r="B3734" t="s">
        <v>40724</v>
      </c>
      <c r="C3734" t="s">
        <v>40725</v>
      </c>
      <c r="D3734">
        <f>-823.147081534553 -13.1205213260812 -207.98648166178</f>
        <v>-1044.2540845224141</v>
      </c>
      <c r="E3734">
        <f>-832.959603771146 -18.7329199227038 -305.960296827896</f>
        <v>-1157.6528205217458</v>
      </c>
      <c r="F3734">
        <f>-839.798827322887 -21.648981895966 -394.746341530023</f>
        <v>-1256.1941507488759</v>
      </c>
      <c r="G3734">
        <f>-844.243875095263 -22.2984399917575 -483.729902248447</f>
        <v>-1350.2722173354675</v>
      </c>
      <c r="H3734">
        <f>-847.9051664325 -20.8694431449744 -608.250394075788</f>
        <v>-1477.0250036532625</v>
      </c>
      <c r="I3734">
        <f>-819.00140684282 -11.2726083325449 -685.564632579171</f>
        <v>-1515.8386477545359</v>
      </c>
      <c r="J3734" t="s">
        <v>40726</v>
      </c>
      <c r="K3734" t="s">
        <v>40727</v>
      </c>
      <c r="L3734" t="s">
        <v>40728</v>
      </c>
      <c r="M3734" t="s">
        <v>40729</v>
      </c>
      <c r="N3734">
        <f>-835.648791637988 -47.0736708994507 -554.061644585884</f>
        <v>-1436.7841071233227</v>
      </c>
      <c r="O3734">
        <f>-784.087073068134 -171.550049715908 -526.775694835621</f>
        <v>-1482.4128176196632</v>
      </c>
      <c r="P3734">
        <f>-769.638364567348 -202.283230052121 -234.47811374144</f>
        <v>-1206.399708360909</v>
      </c>
      <c r="Q3734">
        <f>-646.842587454295 -22.5736976280721 -337.805598653084</f>
        <v>-1007.221883735451</v>
      </c>
      <c r="R3734" t="s">
        <v>40730</v>
      </c>
      <c r="S3734" t="s">
        <v>40731</v>
      </c>
      <c r="T3734" t="s">
        <v>40732</v>
      </c>
      <c r="U3734" t="s">
        <v>40733</v>
      </c>
      <c r="V3734">
        <f>-759.238059718681 -84.5413254673371 -92.7379630825769</f>
        <v>-936.51734826859501</v>
      </c>
      <c r="W3734" t="s">
        <v>40734</v>
      </c>
      <c r="X3734" t="s">
        <v>40735</v>
      </c>
      <c r="Y3734" t="s">
        <v>40736</v>
      </c>
    </row>
    <row r="3735" spans="1:25" x14ac:dyDescent="0.3">
      <c r="A3735">
        <v>186700</v>
      </c>
      <c r="B3735" t="s">
        <v>40737</v>
      </c>
      <c r="C3735" t="s">
        <v>40738</v>
      </c>
      <c r="D3735">
        <f>-823.229609749621 -13.1947092063008 -207.962360027154</f>
        <v>-1044.3866789830759</v>
      </c>
      <c r="E3735">
        <f>-833.066337488347 -18.8159909942551 -305.933401998479</f>
        <v>-1157.8157304810811</v>
      </c>
      <c r="F3735">
        <f>-839.919027034987 -21.7322631857598 -394.71836012767</f>
        <v>-1256.3696503484168</v>
      </c>
      <c r="G3735">
        <f>-844.369895179593 -22.3736680279803 -483.701669703233</f>
        <v>-1350.4452329108062</v>
      </c>
      <c r="H3735">
        <f>-848.031201136277 -20.9239031534566 -608.221934926174</f>
        <v>-1477.1770392159076</v>
      </c>
      <c r="I3735">
        <f>-819.125716714902 -11.2555371462311 -685.526617086011</f>
        <v>-1515.9078709471441</v>
      </c>
      <c r="J3735" t="s">
        <v>40739</v>
      </c>
      <c r="K3735" t="s">
        <v>40740</v>
      </c>
      <c r="L3735" t="s">
        <v>40741</v>
      </c>
      <c r="M3735" t="s">
        <v>40742</v>
      </c>
      <c r="N3735">
        <f>-835.743955971982 -47.1244340273003 -554.038141988474</f>
        <v>-1436.9065319877564</v>
      </c>
      <c r="O3735">
        <f>-784.046202195156 -171.540626260206 -526.754260773571</f>
        <v>-1482.341089228933</v>
      </c>
      <c r="P3735">
        <f>-769.908017759961 -202.295598584901 -234.44370885301</f>
        <v>-1206.6473251978721</v>
      </c>
      <c r="Q3735">
        <f>-646.839728579686 -22.241105417434 -336.842233283234</f>
        <v>-1005.9230672803541</v>
      </c>
      <c r="R3735" t="s">
        <v>40743</v>
      </c>
      <c r="S3735" t="s">
        <v>40744</v>
      </c>
      <c r="T3735" t="s">
        <v>40745</v>
      </c>
      <c r="U3735" t="s">
        <v>40746</v>
      </c>
      <c r="V3735">
        <f>-759.300684275828 -84.4927657022874 -92.7304235843125</f>
        <v>-936.52387356242787</v>
      </c>
      <c r="W3735" t="s">
        <v>40747</v>
      </c>
      <c r="X3735" t="s">
        <v>40748</v>
      </c>
      <c r="Y3735" t="s">
        <v>40749</v>
      </c>
    </row>
    <row r="3736" spans="1:25" x14ac:dyDescent="0.3">
      <c r="A3736">
        <v>186750</v>
      </c>
      <c r="B3736" t="s">
        <v>40750</v>
      </c>
      <c r="C3736" t="s">
        <v>40751</v>
      </c>
      <c r="D3736">
        <f>-823.268594372808 -13.2612523825931 -207.951675928948</f>
        <v>-1044.4815226843491</v>
      </c>
      <c r="E3736">
        <f>-833.115652472762 -18.888896077086 -305.921101993227</f>
        <v>-1157.9256505430749</v>
      </c>
      <c r="F3736">
        <f>-839.972455757731 -21.806793728085 -394.705754515988</f>
        <v>-1256.4850040018041</v>
      </c>
      <c r="G3736">
        <f>-844.42204728446 -22.4451720957034 -483.68918258267</f>
        <v>-1350.5564019628332</v>
      </c>
      <c r="H3736">
        <f>-848.076402523013 -20.9865015543653 -608.209541544442</f>
        <v>-1477.2724456218202</v>
      </c>
      <c r="I3736">
        <f>-819.179565022139 -11.2993138405486 -685.515236306948</f>
        <v>-1515.9941151696357</v>
      </c>
      <c r="J3736" t="s">
        <v>40752</v>
      </c>
      <c r="K3736" t="s">
        <v>40753</v>
      </c>
      <c r="L3736" t="s">
        <v>40754</v>
      </c>
      <c r="M3736" t="s">
        <v>40755</v>
      </c>
      <c r="N3736">
        <f>-835.779715088095 -47.1855384639026 -554.027336825644</f>
        <v>-1436.9925903776416</v>
      </c>
      <c r="O3736">
        <f>-784.013068940199 -171.570336508408 -526.706553862295</f>
        <v>-1482.2899593109018</v>
      </c>
      <c r="P3736">
        <f>-770.014536756751 -202.23307730291 -234.379567250052</f>
        <v>-1206.627181309713</v>
      </c>
      <c r="Q3736">
        <f>-647.001641879215 -22.0143600684901 -336.55535180546</f>
        <v>-1005.5713537531651</v>
      </c>
      <c r="R3736" t="s">
        <v>40756</v>
      </c>
      <c r="S3736" t="s">
        <v>40757</v>
      </c>
      <c r="T3736" t="s">
        <v>40758</v>
      </c>
      <c r="U3736" t="s">
        <v>40759</v>
      </c>
      <c r="V3736">
        <f>-759.30197549395 -84.5568233459373 -92.7192234565111</f>
        <v>-936.57802229639844</v>
      </c>
      <c r="W3736" t="s">
        <v>40760</v>
      </c>
      <c r="X3736" t="s">
        <v>40761</v>
      </c>
      <c r="Y3736" t="s">
        <v>40762</v>
      </c>
    </row>
    <row r="3737" spans="1:25" x14ac:dyDescent="0.3">
      <c r="A3737">
        <v>186800</v>
      </c>
      <c r="B3737" t="s">
        <v>40763</v>
      </c>
      <c r="C3737" t="s">
        <v>40764</v>
      </c>
      <c r="D3737">
        <f>-823.361528411984 -13.2724044166623 -207.944368721502</f>
        <v>-1044.5783015501484</v>
      </c>
      <c r="E3737">
        <f>-833.217433503066 -18.8907152612758 -305.913469123122</f>
        <v>-1158.0216178874639</v>
      </c>
      <c r="F3737">
        <f>-840.072030809793 -21.7847392538188 -394.699025899244</f>
        <v>-1256.5557959628559</v>
      </c>
      <c r="G3737">
        <f>-844.509517771741 -22.3834294780754 -483.68335707997</f>
        <v>-1350.5763043297864</v>
      </c>
      <c r="H3737">
        <f>-848.136558281009 -20.8523544738011 -608.203627872195</f>
        <v>-1477.1925406270052</v>
      </c>
      <c r="I3737">
        <f>-819.266610186296 -11.1102729113782 -685.512411117675</f>
        <v>-1515.8892942153493</v>
      </c>
      <c r="J3737" t="s">
        <v>40765</v>
      </c>
      <c r="K3737" t="s">
        <v>40766</v>
      </c>
      <c r="L3737" t="s">
        <v>40767</v>
      </c>
      <c r="M3737" t="s">
        <v>40768</v>
      </c>
      <c r="N3737">
        <f>-835.820345624688 -47.0696757018055 -554.034732436484</f>
        <v>-1436.9247537629776</v>
      </c>
      <c r="O3737">
        <f>-783.891698164969 -171.384048173816 -526.695060495128</f>
        <v>-1481.970806833913</v>
      </c>
      <c r="P3737">
        <f>-769.747888239968 -202.14635598181 -234.385503517064</f>
        <v>-1206.2797477388419</v>
      </c>
      <c r="Q3737">
        <f>-647.529165856015 -21.7182112924766 -337.143324858459</f>
        <v>-1006.3907020069505</v>
      </c>
      <c r="R3737" t="s">
        <v>40769</v>
      </c>
      <c r="S3737" t="s">
        <v>40770</v>
      </c>
      <c r="T3737" t="s">
        <v>40771</v>
      </c>
      <c r="U3737" t="s">
        <v>40772</v>
      </c>
      <c r="V3737">
        <f>-759.350095567026 -84.4937640921768 -92.7119949301888</f>
        <v>-936.55585458939152</v>
      </c>
      <c r="W3737" t="s">
        <v>40773</v>
      </c>
      <c r="X3737" t="s">
        <v>40774</v>
      </c>
      <c r="Y3737" t="s">
        <v>40775</v>
      </c>
    </row>
    <row r="3738" spans="1:25" x14ac:dyDescent="0.3">
      <c r="A3738">
        <v>186850</v>
      </c>
      <c r="B3738" t="s">
        <v>40776</v>
      </c>
      <c r="C3738" t="s">
        <v>40777</v>
      </c>
      <c r="D3738">
        <f>-823.395951856598 -13.4073140223236 -207.929242678938</f>
        <v>-1044.7325085578595</v>
      </c>
      <c r="E3738">
        <f>-833.266744281265 -19.0242114585062 -305.896879935358</f>
        <v>-1158.1878356751292</v>
      </c>
      <c r="F3738">
        <f>-840.132761709939 -21.9097037292493 -394.681879398786</f>
        <v>-1256.7243448379743</v>
      </c>
      <c r="G3738">
        <f>-844.579754859248 -22.4923290881973 -483.665781863939</f>
        <v>-1350.7378658113844</v>
      </c>
      <c r="H3738">
        <f>-848.218085098726 -20.9304955616483 -608.185431599141</f>
        <v>-1477.3340122595152</v>
      </c>
      <c r="I3738">
        <f>-819.364045069446 -11.1554295961405 -685.495930373358</f>
        <v>-1516.0154050389444</v>
      </c>
      <c r="J3738" t="s">
        <v>40778</v>
      </c>
      <c r="K3738" t="s">
        <v>40779</v>
      </c>
      <c r="L3738" t="s">
        <v>40780</v>
      </c>
      <c r="M3738" t="s">
        <v>40781</v>
      </c>
      <c r="N3738">
        <f>-835.877824191858 -47.1533517663531 -554.02457221747</f>
        <v>-1437.0557481756812</v>
      </c>
      <c r="O3738">
        <f>-783.875474429027 -171.438017285569 -526.697120054212</f>
        <v>-1482.0106117688078</v>
      </c>
      <c r="P3738">
        <f>-769.497875521056 -202.258981598135 -234.40505225013</f>
        <v>-1206.1619093693209</v>
      </c>
      <c r="Q3738">
        <f>-647.843024841888 -21.7120270654043 -337.622210902982</f>
        <v>-1007.1772628102742</v>
      </c>
      <c r="R3738" t="s">
        <v>40782</v>
      </c>
      <c r="S3738" t="s">
        <v>40783</v>
      </c>
      <c r="T3738" t="s">
        <v>40784</v>
      </c>
      <c r="U3738" t="s">
        <v>40785</v>
      </c>
      <c r="V3738">
        <f>-759.286631029657 -84.6578346823489 -92.7130784704945</f>
        <v>-936.65754418250037</v>
      </c>
      <c r="W3738" t="s">
        <v>40786</v>
      </c>
      <c r="X3738" t="s">
        <v>40787</v>
      </c>
      <c r="Y3738" t="s">
        <v>40788</v>
      </c>
    </row>
    <row r="3739" spans="1:25" x14ac:dyDescent="0.3">
      <c r="A3739">
        <v>186900</v>
      </c>
      <c r="B3739" t="s">
        <v>40789</v>
      </c>
      <c r="C3739" t="s">
        <v>40790</v>
      </c>
      <c r="D3739">
        <f>-823.57043285597 -13.6897450332929 -207.915518028927</f>
        <v>-1045.1756959181898</v>
      </c>
      <c r="E3739">
        <f>-833.493328924551 -19.3167632727943 -305.877422148926</f>
        <v>-1158.6875143462712</v>
      </c>
      <c r="F3739">
        <f>-840.42004802816 -22.2035702393243 -394.657702646362</f>
        <v>-1257.2813209138462</v>
      </c>
      <c r="G3739">
        <f>-844.941894993449 -22.7785988950611 -483.637830993132</f>
        <v>-1351.3583248816421</v>
      </c>
      <c r="H3739">
        <f>-848.699900855121 -21.1962383442669 -608.153555713014</f>
        <v>-1478.0496949124019</v>
      </c>
      <c r="I3739">
        <f>-819.891510543903 -11.3589986096176 -685.473262939903</f>
        <v>-1516.7237720934236</v>
      </c>
      <c r="J3739" t="s">
        <v>40791</v>
      </c>
      <c r="K3739" t="s">
        <v>40792</v>
      </c>
      <c r="L3739" t="s">
        <v>40793</v>
      </c>
      <c r="M3739" t="s">
        <v>40794</v>
      </c>
      <c r="N3739">
        <f>-836.262734643707 -47.4090002145994 -554.010013157738</f>
        <v>-1437.6817480160444</v>
      </c>
      <c r="O3739">
        <f>-784.096066980459 -171.62844247698 -526.708710811467</f>
        <v>-1482.4332202689061</v>
      </c>
      <c r="P3739">
        <f>-769.217377279392 -202.183402736427 -234.414010615499</f>
        <v>-1205.8147906313179</v>
      </c>
      <c r="Q3739">
        <f>-647.795603429232 -21.8647936464276 -338.302520328019</f>
        <v>-1007.9629174036786</v>
      </c>
      <c r="R3739" t="s">
        <v>40795</v>
      </c>
      <c r="S3739" t="s">
        <v>40796</v>
      </c>
      <c r="T3739" t="s">
        <v>40797</v>
      </c>
      <c r="U3739" t="s">
        <v>40798</v>
      </c>
      <c r="V3739">
        <f>-759.367918494541 -84.8709657323291 -92.7107776000682</f>
        <v>-936.94966182693827</v>
      </c>
      <c r="W3739" t="s">
        <v>40799</v>
      </c>
      <c r="X3739" t="s">
        <v>40800</v>
      </c>
      <c r="Y3739" t="s">
        <v>40801</v>
      </c>
    </row>
    <row r="3740" spans="1:25" x14ac:dyDescent="0.3">
      <c r="A3740">
        <v>186950</v>
      </c>
      <c r="B3740" t="s">
        <v>40802</v>
      </c>
      <c r="C3740" t="s">
        <v>40803</v>
      </c>
      <c r="D3740">
        <f>-823.72797693577 -13.7689952966848 -207.915287062695</f>
        <v>-1045.4122592951499</v>
      </c>
      <c r="E3740">
        <f>-833.667902906538 -19.4094306984598 -305.874558036917</f>
        <v>-1158.9518916419147</v>
      </c>
      <c r="F3740">
        <f>-840.613073078078 -22.3090382497583 -394.653026049653</f>
        <v>-1257.5751373774892</v>
      </c>
      <c r="G3740">
        <f>-845.156877509098 -22.897061558971 -483.631947738797</f>
        <v>-1351.6858868068659</v>
      </c>
      <c r="H3740">
        <f>-848.949172491087 -21.3328500018206 -608.14688652292</f>
        <v>-1478.4289090158277</v>
      </c>
      <c r="I3740">
        <f>-820.15482178881 -11.485065741562 -685.470514745609</f>
        <v>-1517.110402275981</v>
      </c>
      <c r="J3740" t="s">
        <v>40804</v>
      </c>
      <c r="K3740" t="s">
        <v>40805</v>
      </c>
      <c r="L3740" t="s">
        <v>40806</v>
      </c>
      <c r="M3740" t="s">
        <v>40807</v>
      </c>
      <c r="N3740">
        <f>-836.474841108561 -47.5283550093118 -554.003475533914</f>
        <v>-1438.0066716517867</v>
      </c>
      <c r="O3740">
        <f>-784.216540873935 -171.70736115686 -526.682292503381</f>
        <v>-1482.6061945341758</v>
      </c>
      <c r="P3740">
        <f>-769.250153066195 -202.137398935566 -234.379044591097</f>
        <v>-1205.7665965928581</v>
      </c>
      <c r="Q3740">
        <f>-647.756541078543 -21.8737223947376 -338.278864517686</f>
        <v>-1007.9091279909666</v>
      </c>
      <c r="R3740" t="s">
        <v>40808</v>
      </c>
      <c r="S3740" t="s">
        <v>40809</v>
      </c>
      <c r="T3740" t="s">
        <v>40810</v>
      </c>
      <c r="U3740" t="s">
        <v>40811</v>
      </c>
      <c r="V3740">
        <f>-759.497093887127 -84.8844703289504 -92.709782921066</f>
        <v>-937.09134713714343</v>
      </c>
      <c r="W3740" t="s">
        <v>40812</v>
      </c>
      <c r="X3740" t="s">
        <v>40813</v>
      </c>
      <c r="Y3740" t="s">
        <v>40814</v>
      </c>
    </row>
    <row r="3741" spans="1:25" x14ac:dyDescent="0.3">
      <c r="A3741">
        <v>187000</v>
      </c>
      <c r="B3741" t="s">
        <v>40815</v>
      </c>
      <c r="C3741">
        <f>-805.100070686539 -0.0480305296136976 -94.481306141291</f>
        <v>-899.62940735744371</v>
      </c>
      <c r="D3741">
        <f>-824.001571162306 -14.0026878469703 -207.901854768513</f>
        <v>-1045.9061137777894</v>
      </c>
      <c r="E3741">
        <f>-833.903173808249 -19.6339358023183 -305.865621488385</f>
        <v>-1159.4027310989522</v>
      </c>
      <c r="F3741">
        <f>-840.792501648726 -22.518216509221 -394.648858555904</f>
        <v>-1257.959576713851</v>
      </c>
      <c r="G3741">
        <f>-845.259407361228 -23.0835944890769 -483.631875367522</f>
        <v>-1351.9748772178268</v>
      </c>
      <c r="H3741">
        <f>-848.922767101647 -21.4794930811127 -608.150216188268</f>
        <v>-1478.5524763710278</v>
      </c>
      <c r="I3741">
        <f>-820.150414927512 -11.5794306980974 -685.475329401469</f>
        <v>-1517.2051750270784</v>
      </c>
      <c r="J3741" t="s">
        <v>40816</v>
      </c>
      <c r="K3741" t="s">
        <v>40817</v>
      </c>
      <c r="L3741" t="s">
        <v>40818</v>
      </c>
      <c r="M3741" t="s">
        <v>40819</v>
      </c>
      <c r="N3741">
        <f>-836.459272779522 -47.6728793360852 -554.003423719953</f>
        <v>-1438.1355758355603</v>
      </c>
      <c r="O3741">
        <f>-784.033507692006 -171.771961748763 -526.636039369112</f>
        <v>-1482.441508809881</v>
      </c>
      <c r="P3741">
        <f>-769.444079462561 -202.281472959998 -234.321955773184</f>
        <v>-1206.0475081957431</v>
      </c>
      <c r="Q3741">
        <f>-647.790800368908 -21.9398970817758 -337.899123067627</f>
        <v>-1007.6298205183108</v>
      </c>
      <c r="R3741" t="s">
        <v>40820</v>
      </c>
      <c r="S3741" t="s">
        <v>40821</v>
      </c>
      <c r="T3741" t="s">
        <v>40822</v>
      </c>
      <c r="U3741" t="s">
        <v>40823</v>
      </c>
      <c r="V3741">
        <f>-759.655244406227 -85.1656208819921 -92.7156593275461</f>
        <v>-937.53652461576519</v>
      </c>
      <c r="W3741" t="s">
        <v>40824</v>
      </c>
      <c r="X3741" t="s">
        <v>40825</v>
      </c>
      <c r="Y3741" t="s">
        <v>40826</v>
      </c>
    </row>
    <row r="3742" spans="1:25" x14ac:dyDescent="0.3">
      <c r="A3742">
        <v>187050</v>
      </c>
      <c r="B3742" t="s">
        <v>40827</v>
      </c>
      <c r="C3742">
        <f>-805.256124355752 -0.152623089145436 -94.4872896466402</f>
        <v>-899.89603709153766</v>
      </c>
      <c r="D3742">
        <f>-824.165366457322 -14.1169684120739 -207.9054374487</f>
        <v>-1046.187772318096</v>
      </c>
      <c r="E3742">
        <f>-834.035063707271 -19.7477923221227 -305.8724064538</f>
        <v>-1159.6552624831936</v>
      </c>
      <c r="F3742">
        <f>-840.880211914324 -22.6282206585352 -394.659114029501</f>
        <v>-1258.1675466023603</v>
      </c>
      <c r="G3742">
        <f>-845.287826232245 -23.1862298200645 -483.645115605528</f>
        <v>-1352.1191716578376</v>
      </c>
      <c r="H3742">
        <f>-848.852429399699 -21.5685295058315 -608.166261755839</f>
        <v>-1478.5872206613694</v>
      </c>
      <c r="I3742">
        <f>-820.068236775419 -11.6397794911566 -685.483081082892</f>
        <v>-1517.1910973494676</v>
      </c>
      <c r="J3742" t="s">
        <v>40828</v>
      </c>
      <c r="K3742" t="s">
        <v>40829</v>
      </c>
      <c r="L3742" t="s">
        <v>40830</v>
      </c>
      <c r="M3742" t="s">
        <v>40831</v>
      </c>
      <c r="N3742">
        <f>-836.411135193182 -47.7592608326044 -554.012893677468</f>
        <v>-1438.1832897032543</v>
      </c>
      <c r="O3742">
        <f>-783.905230125496 -171.816415926271 -526.616099879397</f>
        <v>-1482.3377459311641</v>
      </c>
      <c r="P3742">
        <f>-769.537431948738 -202.462202954082 -234.305240382053</f>
        <v>-1206.3048752848729</v>
      </c>
      <c r="Q3742">
        <f>-648.062341404865 -21.9271840191054 -337.754690561527</f>
        <v>-1007.7442159854975</v>
      </c>
      <c r="R3742" t="s">
        <v>40832</v>
      </c>
      <c r="S3742" t="s">
        <v>40833</v>
      </c>
      <c r="T3742" t="s">
        <v>40834</v>
      </c>
      <c r="U3742" t="s">
        <v>40835</v>
      </c>
      <c r="V3742">
        <f>-759.774646655445 -85.2642573583117 -92.7125613458524</f>
        <v>-937.75146535960914</v>
      </c>
      <c r="W3742" t="s">
        <v>40836</v>
      </c>
      <c r="X3742" t="s">
        <v>40837</v>
      </c>
      <c r="Y3742" t="s">
        <v>40838</v>
      </c>
    </row>
    <row r="3743" spans="1:25" x14ac:dyDescent="0.3">
      <c r="A3743">
        <v>187100</v>
      </c>
      <c r="B3743" t="s">
        <v>40839</v>
      </c>
      <c r="C3743">
        <f>-805.548316405556 -0.428645398407525 -94.4613611029935</f>
        <v>-900.43832290695696</v>
      </c>
      <c r="D3743">
        <f>-824.450124892864 -14.4317522494152 -207.875828961123</f>
        <v>-1046.7577061034021</v>
      </c>
      <c r="E3743">
        <f>-834.273272853249 -20.0842948511788 -305.846337935795</f>
        <v>-1160.2039056402227</v>
      </c>
      <c r="F3743">
        <f>-841.059562834515 -22.9807013035688 -394.637155725944</f>
        <v>-1258.6774198640278</v>
      </c>
      <c r="G3743">
        <f>-845.392150195176 -23.5503353063882 -483.626716953439</f>
        <v>-1352.5692024550031</v>
      </c>
      <c r="H3743">
        <f>-848.835246273985 -21.9446355204684 -608.15132717868</f>
        <v>-1478.9312089731334</v>
      </c>
      <c r="I3743">
        <f>-819.996797482605 -11.9727761725439 -685.442504353513</f>
        <v>-1517.4120780086619</v>
      </c>
      <c r="J3743" t="s">
        <v>40840</v>
      </c>
      <c r="K3743" t="s">
        <v>40841</v>
      </c>
      <c r="L3743" t="s">
        <v>40842</v>
      </c>
      <c r="M3743" t="s">
        <v>40843</v>
      </c>
      <c r="N3743">
        <f>-836.394782043492 -48.1076583458673 -553.984555691284</f>
        <v>-1438.4869960806432</v>
      </c>
      <c r="O3743">
        <f>-783.660578504839 -172.047241121259 -526.497443408014</f>
        <v>-1482.2052630341118</v>
      </c>
      <c r="P3743">
        <f>-769.551477638295 -202.611894186498 -234.165474211042</f>
        <v>-1206.3288460358349</v>
      </c>
      <c r="Q3743">
        <f>-648.389318889449 -21.8439161242113 -337.574977375016</f>
        <v>-1007.8082123886763</v>
      </c>
      <c r="R3743" t="s">
        <v>40844</v>
      </c>
      <c r="S3743" t="s">
        <v>40845</v>
      </c>
      <c r="T3743" t="s">
        <v>40846</v>
      </c>
      <c r="U3743" t="s">
        <v>40847</v>
      </c>
      <c r="V3743">
        <f>-759.939666709473 -85.4236756939767 -92.6906852666907</f>
        <v>-938.0540276701405</v>
      </c>
      <c r="W3743" t="s">
        <v>40848</v>
      </c>
      <c r="X3743" t="s">
        <v>40849</v>
      </c>
      <c r="Y3743" t="s">
        <v>40850</v>
      </c>
    </row>
    <row r="3744" spans="1:25" x14ac:dyDescent="0.3">
      <c r="A3744">
        <v>187150</v>
      </c>
      <c r="B3744" t="s">
        <v>40851</v>
      </c>
      <c r="C3744">
        <f>-805.59992445015 -0.746174347523947 -94.4409320843524</f>
        <v>-900.78703088202633</v>
      </c>
      <c r="D3744">
        <f>-824.474199057954 -14.7678063584242 -207.857742521845</f>
        <v>-1047.0997479382231</v>
      </c>
      <c r="E3744">
        <f>-834.266632407129 -20.4323390707495 -305.830620391193</f>
        <v>-1160.5295918690715</v>
      </c>
      <c r="F3744">
        <f>-841.022522532403 -23.3388864239309 -394.623352496345</f>
        <v>-1258.9847614526789</v>
      </c>
      <c r="G3744">
        <f>-845.322158387043 -23.9168680368057 -483.614472253371</f>
        <v>-1352.8534986772197</v>
      </c>
      <c r="H3744">
        <f>-848.716386703148 -22.3210316115078 -608.140549253004</f>
        <v>-1479.1779675676598</v>
      </c>
      <c r="I3744">
        <f>-819.834553823496 -12.3256884033497 -685.412678327811</f>
        <v>-1517.5729205546568</v>
      </c>
      <c r="J3744" t="s">
        <v>40852</v>
      </c>
      <c r="K3744" t="s">
        <v>40853</v>
      </c>
      <c r="L3744" t="s">
        <v>40854</v>
      </c>
      <c r="M3744" t="s">
        <v>40855</v>
      </c>
      <c r="N3744">
        <f>-836.257830562436 -48.4628671597997 -553.967718481627</f>
        <v>-1438.6884162038627</v>
      </c>
      <c r="O3744">
        <f>-783.363590224939 -172.328497559582 -526.451593636252</f>
        <v>-1482.143681420773</v>
      </c>
      <c r="P3744">
        <f>-769.339493869789 -202.850682683944 -234.111093124472</f>
        <v>-1206.301269678205</v>
      </c>
      <c r="Q3744">
        <f>-648.293677060281 -22.0035463344302 -337.51870780344</f>
        <v>-1007.8159311981512</v>
      </c>
      <c r="R3744" t="s">
        <v>40856</v>
      </c>
      <c r="S3744" t="s">
        <v>40857</v>
      </c>
      <c r="T3744" t="s">
        <v>40858</v>
      </c>
      <c r="U3744" t="s">
        <v>40859</v>
      </c>
      <c r="V3744">
        <f>-759.828967435422 -85.7580792562375 -92.6745993629524</f>
        <v>-938.2616460546119</v>
      </c>
      <c r="W3744" t="s">
        <v>40860</v>
      </c>
      <c r="X3744" t="s">
        <v>40861</v>
      </c>
      <c r="Y3744" t="s">
        <v>40862</v>
      </c>
    </row>
    <row r="3745" spans="1:25" x14ac:dyDescent="0.3">
      <c r="A3745">
        <v>187200</v>
      </c>
      <c r="B3745" t="s">
        <v>40863</v>
      </c>
      <c r="C3745">
        <f>-805.685138126691 -1.17145033800603 -94.4076570527604</f>
        <v>-901.26424551745743</v>
      </c>
      <c r="D3745">
        <f>-824.504900845293 -15.262991029766 -207.824910007946</f>
        <v>-1047.592801883005</v>
      </c>
      <c r="E3745">
        <f>-834.235960467056 -20.9686973582063 -305.801493092997</f>
        <v>-1161.0061509182592</v>
      </c>
      <c r="F3745">
        <f>-840.929549956868 -23.9064217647101 -394.597962478162</f>
        <v>-1259.4339341997402</v>
      </c>
      <c r="G3745">
        <f>-845.160324570911 -24.5090929549308 -483.592229683346</f>
        <v>-1353.2616472091877</v>
      </c>
      <c r="H3745">
        <f>-848.451830626778 -22.9401627948303 -608.121361393286</f>
        <v>-1479.5133548148942</v>
      </c>
      <c r="I3745">
        <f>-819.506045814523 -12.8497137879644 -685.35699398023</f>
        <v>-1517.7127535827174</v>
      </c>
      <c r="J3745" t="s">
        <v>40864</v>
      </c>
      <c r="K3745" t="s">
        <v>40865</v>
      </c>
      <c r="L3745" t="s">
        <v>40866</v>
      </c>
      <c r="M3745" t="s">
        <v>40867</v>
      </c>
      <c r="N3745">
        <f>-835.947940056338 -49.0313162264749 -553.934368800521</f>
        <v>-1438.913625083334</v>
      </c>
      <c r="O3745">
        <f>-782.618418540328 -172.71022396667 -526.406855875479</f>
        <v>-1481.7354983824771</v>
      </c>
      <c r="P3745">
        <f>-768.671197064809 -203.268109030765 -234.066585266403</f>
        <v>-1206.0058913619771</v>
      </c>
      <c r="Q3745">
        <f>-648.11672082928 -22.0499983775414 -337.398521408089</f>
        <v>-1007.5652406149104</v>
      </c>
      <c r="R3745" t="s">
        <v>40868</v>
      </c>
      <c r="S3745" t="s">
        <v>40869</v>
      </c>
      <c r="T3745" t="s">
        <v>40870</v>
      </c>
      <c r="U3745" t="s">
        <v>40871</v>
      </c>
      <c r="V3745">
        <f>-759.623786809232 -86.1159112226029 -92.6580662227339</f>
        <v>-938.39776425456876</v>
      </c>
      <c r="W3745" t="s">
        <v>40872</v>
      </c>
      <c r="X3745" t="s">
        <v>40873</v>
      </c>
      <c r="Y3745" t="s">
        <v>40874</v>
      </c>
    </row>
    <row r="3746" spans="1:25" x14ac:dyDescent="0.3">
      <c r="A3746">
        <v>187250</v>
      </c>
      <c r="B3746" t="s">
        <v>40875</v>
      </c>
      <c r="C3746">
        <f>-805.77750866334 -1.19773217999636 -94.3896147849759</f>
        <v>-901.36485562831228</v>
      </c>
      <c r="D3746">
        <f>-824.56109119044 -15.3347760000856 -207.807143315127</f>
        <v>-1047.7030105056526</v>
      </c>
      <c r="E3746">
        <f>-834.270510996375 -21.0632558865022 -305.784537501979</f>
        <v>-1161.1183043848564</v>
      </c>
      <c r="F3746">
        <f>-840.947682255217 -24.016081504773 -394.581700651569</f>
        <v>-1259.5454644115589</v>
      </c>
      <c r="G3746">
        <f>-845.165444539919 -24.6271903626275 -483.576460920032</f>
        <v>-1353.3690958225784</v>
      </c>
      <c r="H3746">
        <f>-848.442171474962 -23.0635589028955 -608.106224058445</f>
        <v>-1479.6119544363025</v>
      </c>
      <c r="I3746">
        <f>-819.486844597664 -12.9039676195939 -685.329216245297</f>
        <v>-1517.7200284625549</v>
      </c>
      <c r="J3746" t="s">
        <v>40876</v>
      </c>
      <c r="K3746" t="s">
        <v>40877</v>
      </c>
      <c r="L3746" t="s">
        <v>40878</v>
      </c>
      <c r="M3746" t="s">
        <v>40879</v>
      </c>
      <c r="N3746">
        <f>-835.894322437919 -49.1303347153155 -553.917697160216</f>
        <v>-1438.9423543134503</v>
      </c>
      <c r="O3746">
        <f>-782.309698689043 -172.697957394084 -526.387030933432</f>
        <v>-1481.3946870165591</v>
      </c>
      <c r="P3746">
        <f>-768.37111462406 -203.291915524262 -234.050098591539</f>
        <v>-1205.7131287398611</v>
      </c>
      <c r="Q3746">
        <f>-648.187130610261 -21.8241145466538 -337.375184308287</f>
        <v>-1007.3864294652018</v>
      </c>
      <c r="R3746" t="s">
        <v>40880</v>
      </c>
      <c r="S3746" t="s">
        <v>40881</v>
      </c>
      <c r="T3746" t="s">
        <v>40882</v>
      </c>
      <c r="U3746" t="s">
        <v>40883</v>
      </c>
      <c r="V3746">
        <f>-759.594631067362 -86.0072600526047 -92.6357128246502</f>
        <v>-938.23760394461692</v>
      </c>
      <c r="W3746" t="s">
        <v>40884</v>
      </c>
      <c r="X3746" t="s">
        <v>40885</v>
      </c>
      <c r="Y3746" t="s">
        <v>40886</v>
      </c>
    </row>
    <row r="3747" spans="1:25" x14ac:dyDescent="0.3">
      <c r="A3747">
        <v>187300</v>
      </c>
      <c r="B3747" t="s">
        <v>40887</v>
      </c>
      <c r="C3747">
        <f>-805.849358197884 -1.40566117603476 -94.4017604355539</f>
        <v>-901.65677980947271</v>
      </c>
      <c r="D3747">
        <f>-824.534501171183 -15.6441661639712 -207.822878691668</f>
        <v>-1048.0015460268223</v>
      </c>
      <c r="E3747">
        <f>-834.21800008746 -21.4396564946424 -305.798931840038</f>
        <v>-1161.4565884221404</v>
      </c>
      <c r="F3747">
        <f>-840.893666122009 -24.4468137889885 -394.594332505135</f>
        <v>-1259.9348124161324</v>
      </c>
      <c r="G3747">
        <f>-845.13299341307 -25.1041423270633 -483.587821820196</f>
        <v>-1353.8249575603293</v>
      </c>
      <c r="H3747">
        <f>-848.463604072516 -23.5957852655047 -608.116674199643</f>
        <v>-1480.1760635376636</v>
      </c>
      <c r="I3747">
        <f>-819.520349874612 -13.2941870477471 -685.325483696422</f>
        <v>-1518.1400206187809</v>
      </c>
      <c r="J3747" t="s">
        <v>40888</v>
      </c>
      <c r="K3747" t="s">
        <v>40889</v>
      </c>
      <c r="L3747" t="s">
        <v>40890</v>
      </c>
      <c r="M3747" t="s">
        <v>40891</v>
      </c>
      <c r="N3747">
        <f>-835.7793804792 -49.5886830285183 -553.924575056591</f>
        <v>-1439.2926385643093</v>
      </c>
      <c r="O3747">
        <f>-781.605416841739 -172.89618303652 -526.404357538794</f>
        <v>-1480.9059574170531</v>
      </c>
      <c r="P3747">
        <f>-767.697121811476 -203.547517846327 -234.071930457603</f>
        <v>-1205.316570115406</v>
      </c>
      <c r="Q3747">
        <f>-648.485046506821 -21.3884131549137 -337.306745009465</f>
        <v>-1007.1802046711997</v>
      </c>
      <c r="R3747" t="s">
        <v>40892</v>
      </c>
      <c r="S3747" t="s">
        <v>40893</v>
      </c>
      <c r="T3747" t="s">
        <v>40894</v>
      </c>
      <c r="U3747" t="s">
        <v>40895</v>
      </c>
      <c r="V3747">
        <f>-759.359899888225 -86.0730089842045 -92.6041282253483</f>
        <v>-938.03703709777778</v>
      </c>
      <c r="W3747" t="s">
        <v>40896</v>
      </c>
      <c r="X3747" t="s">
        <v>40897</v>
      </c>
      <c r="Y3747" t="s">
        <v>40898</v>
      </c>
    </row>
    <row r="3748" spans="1:25" x14ac:dyDescent="0.3">
      <c r="A3748">
        <v>187350</v>
      </c>
      <c r="B3748" t="s">
        <v>40899</v>
      </c>
      <c r="C3748">
        <f>-805.916797709589 -1.51099755968039 -94.4202301301307</f>
        <v>-901.84802539940006</v>
      </c>
      <c r="D3748">
        <f>-824.542553395651 -15.7989386936069 -207.844843574792</f>
        <v>-1048.1863356640499</v>
      </c>
      <c r="E3748">
        <f>-834.219886445389 -21.6352912558327 -305.819137187298</f>
        <v>-1161.6743148885198</v>
      </c>
      <c r="F3748">
        <f>-840.907255184277 -24.679425654507 -394.612370970048</f>
        <v>-1260.1990518088319</v>
      </c>
      <c r="G3748">
        <f>-845.176070851393 -25.3734118705258 -483.604179355629</f>
        <v>-1354.1536620775478</v>
      </c>
      <c r="H3748">
        <f>-848.566331301723 -23.9154565684396 -608.132038447315</f>
        <v>-1480.6138263174776</v>
      </c>
      <c r="I3748">
        <f>-819.648856554748 -13.5495297586669 -685.341884092545</f>
        <v>-1518.54027040596</v>
      </c>
      <c r="J3748" t="s">
        <v>40900</v>
      </c>
      <c r="K3748" t="s">
        <v>40901</v>
      </c>
      <c r="L3748" t="s">
        <v>40902</v>
      </c>
      <c r="M3748" t="s">
        <v>40903</v>
      </c>
      <c r="N3748">
        <f>-835.792392569273 -49.8580474558715 -553.936971405994</f>
        <v>-1439.5874114311387</v>
      </c>
      <c r="O3748">
        <f>-781.284161191937 -173.024231593383 -526.423453364153</f>
        <v>-1480.7318461494729</v>
      </c>
      <c r="P3748">
        <f>-767.363216074721 -203.656040066699 -234.089501366156</f>
        <v>-1205.108757507576</v>
      </c>
      <c r="Q3748">
        <f>-648.59240833175 -21.1649456812274 -337.246503007761</f>
        <v>-1007.0038570207385</v>
      </c>
      <c r="R3748" t="s">
        <v>40904</v>
      </c>
      <c r="S3748" t="s">
        <v>40905</v>
      </c>
      <c r="T3748" t="s">
        <v>40906</v>
      </c>
      <c r="U3748" t="s">
        <v>40907</v>
      </c>
      <c r="V3748">
        <f>-759.241045165269 -86.0925384183812 -92.6005347685134</f>
        <v>-937.93411835216364</v>
      </c>
      <c r="W3748" t="s">
        <v>40908</v>
      </c>
      <c r="X3748" t="s">
        <v>40909</v>
      </c>
      <c r="Y3748" t="s">
        <v>40910</v>
      </c>
    </row>
    <row r="3749" spans="1:25" x14ac:dyDescent="0.3">
      <c r="A3749">
        <v>187400</v>
      </c>
      <c r="B3749" t="s">
        <v>40911</v>
      </c>
      <c r="C3749">
        <f>-805.928975604043 -1.89641330984045 -94.4331214507657</f>
        <v>-902.25851036464917</v>
      </c>
      <c r="D3749">
        <f>-824.473316907934 -16.2794583974553 -207.859113286504</f>
        <v>-1048.6118885918931</v>
      </c>
      <c r="E3749">
        <f>-834.164392849115 -22.1956382345802 -305.827190312416</f>
        <v>-1162.1872213961112</v>
      </c>
      <c r="F3749">
        <f>-840.896661149038 -25.3130419915624 -394.614500722092</f>
        <v>-1260.8242038626922</v>
      </c>
      <c r="G3749">
        <f>-845.243753298587 -26.0788593783479 -483.601942557039</f>
        <v>-1354.9245552339739</v>
      </c>
      <c r="H3749">
        <f>-848.778896168125 -24.7194997420381 -608.126975044</f>
        <v>-1481.6253709541631</v>
      </c>
      <c r="I3749">
        <f>-819.926909020128 -14.2305397574585 -685.344622408709</f>
        <v>-1519.5020711862956</v>
      </c>
      <c r="J3749">
        <f>-858.628618389423 -0.0719500057448386 -552.730251429194</f>
        <v>-1411.4308198243618</v>
      </c>
      <c r="K3749" t="s">
        <v>40912</v>
      </c>
      <c r="L3749" t="s">
        <v>40913</v>
      </c>
      <c r="M3749" t="s">
        <v>40914</v>
      </c>
      <c r="N3749">
        <f>-835.817911628351 -50.563404607789 -553.929001418136</f>
        <v>-1440.3103176542759</v>
      </c>
      <c r="O3749">
        <f>-780.652314256553 -173.440790093203 -526.444526137269</f>
        <v>-1480.5376304870251</v>
      </c>
      <c r="P3749">
        <f>-766.551502293247 -203.989420221869 -234.11045919985</f>
        <v>-1204.6513817149662</v>
      </c>
      <c r="Q3749">
        <f>-648.803568263598 -20.832068513994 -337.259346757256</f>
        <v>-1006.8949835348481</v>
      </c>
      <c r="R3749" t="s">
        <v>40915</v>
      </c>
      <c r="S3749" t="s">
        <v>40916</v>
      </c>
      <c r="T3749" t="s">
        <v>40917</v>
      </c>
      <c r="U3749" t="s">
        <v>40918</v>
      </c>
      <c r="V3749">
        <f>-758.865477970369 -86.2935640066189 -92.6135156044123</f>
        <v>-937.77255758140029</v>
      </c>
      <c r="W3749" t="s">
        <v>40919</v>
      </c>
      <c r="X3749" t="s">
        <v>40920</v>
      </c>
      <c r="Y3749" t="s">
        <v>40921</v>
      </c>
    </row>
    <row r="3750" spans="1:25" x14ac:dyDescent="0.3">
      <c r="A3750">
        <v>187450</v>
      </c>
      <c r="B3750" t="s">
        <v>40922</v>
      </c>
      <c r="C3750">
        <f>-805.838871537905 -2.15903010948227 -94.4455591334751</f>
        <v>-902.44346078086232</v>
      </c>
      <c r="D3750">
        <f>-824.352352980979 -16.5982900080444 -207.869485334856</f>
        <v>-1048.8201283238795</v>
      </c>
      <c r="E3750">
        <f>-834.051582039057 -22.5566088488986 -305.834049503702</f>
        <v>-1162.4422403916576</v>
      </c>
      <c r="F3750">
        <f>-840.804742235183 -25.710194046849 -394.618646999465</f>
        <v>-1261.1335832814971</v>
      </c>
      <c r="G3750">
        <f>-845.186258329029 -26.5095153261709 -483.604068072483</f>
        <v>-1355.2998417276829</v>
      </c>
      <c r="H3750">
        <f>-848.783777507136 -25.1939010380304 -608.127685773451</f>
        <v>-1482.1053643186174</v>
      </c>
      <c r="I3750">
        <f>-819.959821307917 -14.6568875689529 -685.34931437485</f>
        <v>-1519.9660232517199</v>
      </c>
      <c r="J3750">
        <f>-858.660939398782 -0.551888513937229 -552.733533607725</f>
        <v>-1411.9463615204443</v>
      </c>
      <c r="K3750" t="s">
        <v>40923</v>
      </c>
      <c r="L3750" t="s">
        <v>40924</v>
      </c>
      <c r="M3750" t="s">
        <v>40925</v>
      </c>
      <c r="N3750">
        <f>-835.740532597061 -50.9938776096669 -553.928527306822</f>
        <v>-1440.6629375135499</v>
      </c>
      <c r="O3750">
        <f>-780.279896402847 -173.743029615587 -526.456147883448</f>
        <v>-1480.4790739018822</v>
      </c>
      <c r="P3750">
        <f>-766.061281157238 -204.2840897934 -234.127115170961</f>
        <v>-1204.4724861215989</v>
      </c>
      <c r="Q3750">
        <f>-648.792319954262 -20.8601414161483 -337.347758000967</f>
        <v>-1007.0002193713773</v>
      </c>
      <c r="R3750" t="s">
        <v>40926</v>
      </c>
      <c r="S3750" t="s">
        <v>40927</v>
      </c>
      <c r="T3750" t="s">
        <v>40928</v>
      </c>
      <c r="U3750" t="s">
        <v>40929</v>
      </c>
      <c r="V3750">
        <f>-758.592587633537 -86.4823978037738 -92.6208848428175</f>
        <v>-937.69587028012836</v>
      </c>
      <c r="W3750" t="s">
        <v>40930</v>
      </c>
      <c r="X3750" t="s">
        <v>40931</v>
      </c>
      <c r="Y3750" t="s">
        <v>40932</v>
      </c>
    </row>
    <row r="3751" spans="1:25" x14ac:dyDescent="0.3">
      <c r="A3751">
        <v>187500</v>
      </c>
      <c r="B3751" t="s">
        <v>40933</v>
      </c>
      <c r="C3751">
        <f>-805.601128288204 -2.44780941273029 -94.4661824456339</f>
        <v>-902.51512014656817</v>
      </c>
      <c r="D3751">
        <f>-824.099080756431 -16.997476012511 -207.878609137987</f>
        <v>-1048.9751659069291</v>
      </c>
      <c r="E3751">
        <f>-833.853176899003 -23.04451082383 -305.832370398478</f>
        <v>-1162.730058121311</v>
      </c>
      <c r="F3751">
        <f>-840.682523081613 -26.2771811095799 -394.608098784871</f>
        <v>-1261.5678029760638</v>
      </c>
      <c r="G3751">
        <f>-845.167577378918 -27.1527107087184 -483.587675019582</f>
        <v>-1355.9079631072184</v>
      </c>
      <c r="H3751">
        <f>-848.938668485218 -25.9397704960836 -608.107364070265</f>
        <v>-1482.9858030515666</v>
      </c>
      <c r="I3751">
        <f>-820.166652767729 -15.3332745818261 -685.338770636163</f>
        <v>-1520.8386979857182</v>
      </c>
      <c r="J3751">
        <f>-858.825569314243 -1.29169745289346 -552.717418074289</f>
        <v>-1412.8346848414253</v>
      </c>
      <c r="K3751" t="s">
        <v>40934</v>
      </c>
      <c r="L3751" t="s">
        <v>40935</v>
      </c>
      <c r="M3751" t="s">
        <v>40936</v>
      </c>
      <c r="N3751">
        <f>-835.732849275957 -51.65518778295 -553.907275769228</f>
        <v>-1441.2953128281351</v>
      </c>
      <c r="O3751">
        <f>-779.798954466896 -174.194056625783 -526.463897520933</f>
        <v>-1480.4569086136121</v>
      </c>
      <c r="P3751">
        <f>-765.353656874886 -204.707676495947 -234.143211167829</f>
        <v>-1204.204544538662</v>
      </c>
      <c r="Q3751">
        <f>-648.88001108813 -20.8160473521598 -337.432274549279</f>
        <v>-1007.1283329895688</v>
      </c>
      <c r="R3751" t="s">
        <v>40937</v>
      </c>
      <c r="S3751" t="s">
        <v>40938</v>
      </c>
      <c r="T3751" t="s">
        <v>40939</v>
      </c>
      <c r="U3751" t="s">
        <v>40940</v>
      </c>
      <c r="V3751">
        <f>-758.125919665986 -86.5947904975756 -92.6283385670183</f>
        <v>-937.34904873057985</v>
      </c>
      <c r="W3751" t="s">
        <v>40941</v>
      </c>
      <c r="X3751" t="s">
        <v>40942</v>
      </c>
      <c r="Y3751" t="s">
        <v>40943</v>
      </c>
    </row>
    <row r="3752" spans="1:25" x14ac:dyDescent="0.3">
      <c r="A3752">
        <v>187550</v>
      </c>
      <c r="B3752" t="s">
        <v>40944</v>
      </c>
      <c r="C3752">
        <f>-805.39428400163 -2.58801571025288 -94.4731640628298</f>
        <v>-902.45546377471271</v>
      </c>
      <c r="D3752">
        <f>-823.89214919192 -17.1970877957258 -207.877790165608</f>
        <v>-1048.9670271532539</v>
      </c>
      <c r="E3752">
        <f>-833.685758934734 -23.286458296983 -305.825105237059</f>
        <v>-1162.7973224687762</v>
      </c>
      <c r="F3752">
        <f>-840.566602036037 -26.5535777462585 -394.595627408979</f>
        <v>-1261.7158071912745</v>
      </c>
      <c r="G3752">
        <f>-845.119425439092 -27.4590161001436 -483.571494578596</f>
        <v>-1356.1499361178317</v>
      </c>
      <c r="H3752">
        <f>-849.00229003874 -26.2826266398615 -608.087974056817</f>
        <v>-1483.3728907354184</v>
      </c>
      <c r="I3752">
        <f>-820.258977492647 -15.6531894930852 -685.326879484188</f>
        <v>-1521.2390464699201</v>
      </c>
      <c r="J3752">
        <f>-858.875364450587 -1.63486887241697 -552.695448964588</f>
        <v>-1413.205682287592</v>
      </c>
      <c r="K3752" t="s">
        <v>40945</v>
      </c>
      <c r="L3752" t="s">
        <v>40946</v>
      </c>
      <c r="M3752" t="s">
        <v>40947</v>
      </c>
      <c r="N3752">
        <f>-835.711855249164 -51.9656840949638 -553.893342945094</f>
        <v>-1441.5708822892218</v>
      </c>
      <c r="O3752">
        <f>-779.58418170981 -174.418915233931 -526.453450440465</f>
        <v>-1480.4565473842058</v>
      </c>
      <c r="P3752">
        <f>-765.021530121181 -204.8863225024 -234.133716538015</f>
        <v>-1204.041569161596</v>
      </c>
      <c r="Q3752">
        <f>-648.838318471148 -20.7993281338406 -337.40176153859</f>
        <v>-1007.0394081435786</v>
      </c>
      <c r="R3752" t="s">
        <v>40948</v>
      </c>
      <c r="S3752" t="s">
        <v>40949</v>
      </c>
      <c r="T3752" t="s">
        <v>40950</v>
      </c>
      <c r="U3752" t="s">
        <v>40951</v>
      </c>
      <c r="V3752">
        <f>-757.80242927463 -86.6744995523917 -92.6223625139688</f>
        <v>-937.09929134099048</v>
      </c>
      <c r="W3752" t="s">
        <v>40952</v>
      </c>
      <c r="X3752" t="s">
        <v>40953</v>
      </c>
      <c r="Y3752" t="s">
        <v>40954</v>
      </c>
    </row>
    <row r="3753" spans="1:25" x14ac:dyDescent="0.3">
      <c r="A3753">
        <v>187600</v>
      </c>
      <c r="B3753" t="s">
        <v>40955</v>
      </c>
      <c r="C3753">
        <f>-804.886418623513 -2.97725699478747 -94.5003459791612</f>
        <v>-902.36402159746171</v>
      </c>
      <c r="D3753">
        <f>-823.416883340305 -17.653765513641 -207.891068216014</f>
        <v>-1048.9617170699601</v>
      </c>
      <c r="E3753">
        <f>-833.301050282379 -23.8092588841494 -305.824929926931</f>
        <v>-1162.9352390934594</v>
      </c>
      <c r="F3753">
        <f>-840.289763355398 -27.1387095500409 -394.58490742218</f>
        <v>-1262.013380327619</v>
      </c>
      <c r="G3753">
        <f>-844.977208894441 -28.1076388190052 -483.553054433304</f>
        <v>-1356.6379021467501</v>
      </c>
      <c r="H3753">
        <f>-849.076554075357 -27.0206091823627 -608.063331326355</f>
        <v>-1484.1604945840745</v>
      </c>
      <c r="I3753">
        <f>-820.396833411485 -16.4003844712936 -685.327280560564</f>
        <v>-1522.1244984433424</v>
      </c>
      <c r="J3753">
        <f>-858.907038035294 -2.35786983994558 -552.66997219793</f>
        <v>-1413.9348800731696</v>
      </c>
      <c r="K3753" t="s">
        <v>40956</v>
      </c>
      <c r="L3753" t="s">
        <v>40957</v>
      </c>
      <c r="M3753" t="s">
        <v>40958</v>
      </c>
      <c r="N3753">
        <f>-835.638257396637 -52.6400249973659 -553.875176146233</f>
        <v>-1442.153458540236</v>
      </c>
      <c r="O3753">
        <f>-779.190978118098 -174.948388099447 -526.467093369342</f>
        <v>-1480.606459586887</v>
      </c>
      <c r="P3753">
        <f>-764.501034076062 -205.422495848038 -234.154331792817</f>
        <v>-1204.0778617169169</v>
      </c>
      <c r="Q3753">
        <f>-648.709611519263 -21.0373667544618 -337.330682388754</f>
        <v>-1007.0776606624788</v>
      </c>
      <c r="R3753" t="s">
        <v>40959</v>
      </c>
      <c r="S3753" t="s">
        <v>40960</v>
      </c>
      <c r="T3753" t="s">
        <v>40961</v>
      </c>
      <c r="U3753" t="s">
        <v>40962</v>
      </c>
      <c r="V3753">
        <f>-757.232639918924 -87.0335138897907 -92.6156695852643</f>
        <v>-936.88182339397895</v>
      </c>
      <c r="W3753" t="s">
        <v>40963</v>
      </c>
      <c r="X3753" t="s">
        <v>40964</v>
      </c>
      <c r="Y3753" t="s">
        <v>40965</v>
      </c>
    </row>
    <row r="3754" spans="1:25" x14ac:dyDescent="0.3">
      <c r="A3754">
        <v>187650</v>
      </c>
      <c r="B3754" t="s">
        <v>40966</v>
      </c>
      <c r="C3754">
        <f>-804.64991537484 -3.12761808885807 -94.5006019117593</f>
        <v>-902.2781353754574</v>
      </c>
      <c r="D3754">
        <f>-823.216494952705 -17.8309403718329 -207.881893481385</f>
        <v>-1048.929328805923</v>
      </c>
      <c r="E3754">
        <f>-833.144661514088 -24.0139163012927 -305.809637029501</f>
        <v>-1162.9682148448819</v>
      </c>
      <c r="F3754">
        <f>-840.178387205644 -27.3698931084193 -394.56507266858</f>
        <v>-1262.1133529826434</v>
      </c>
      <c r="G3754">
        <f>-844.916357922188 -28.3666264303854 -483.530164540634</f>
        <v>-1356.8131488932074</v>
      </c>
      <c r="H3754">
        <f>-849.092154270518 -27.3197628926059 -608.038255671124</f>
        <v>-1484.450172834248</v>
      </c>
      <c r="I3754">
        <f>-820.446353515129 -16.7252020395383 -685.318353778577</f>
        <v>-1522.4899093332442</v>
      </c>
      <c r="J3754">
        <f>-858.892704061963 -2.64113925105016 -552.646696831043</f>
        <v>-1414.1805401440561</v>
      </c>
      <c r="K3754" t="s">
        <v>40967</v>
      </c>
      <c r="L3754" t="s">
        <v>40968</v>
      </c>
      <c r="M3754" t="s">
        <v>40969</v>
      </c>
      <c r="N3754">
        <f>-835.616464249985 -52.9197262424128 -553.850171448462</f>
        <v>-1442.3863619408598</v>
      </c>
      <c r="O3754">
        <f>-779.099297790259 -175.210062530413 -526.462687045329</f>
        <v>-1480.7720473660011</v>
      </c>
      <c r="P3754">
        <f>-764.288453127201 -205.71933776132 -234.159644940673</f>
        <v>-1204.1674358291939</v>
      </c>
      <c r="Q3754">
        <f>-648.738038321537 -21.2018279308077 -337.36941508041</f>
        <v>-1007.3092813327547</v>
      </c>
      <c r="R3754" t="s">
        <v>40970</v>
      </c>
      <c r="S3754" t="s">
        <v>40971</v>
      </c>
      <c r="T3754" t="s">
        <v>40972</v>
      </c>
      <c r="U3754" t="s">
        <v>40973</v>
      </c>
      <c r="V3754">
        <f>-757.022203692864 -87.1402681950558 -92.6082596152462</f>
        <v>-936.77073150316596</v>
      </c>
      <c r="W3754" t="s">
        <v>40974</v>
      </c>
      <c r="X3754" t="s">
        <v>40975</v>
      </c>
      <c r="Y3754" t="s">
        <v>40976</v>
      </c>
    </row>
    <row r="3755" spans="1:25" x14ac:dyDescent="0.3">
      <c r="A3755">
        <v>187700</v>
      </c>
      <c r="B3755" t="s">
        <v>40977</v>
      </c>
      <c r="C3755">
        <f>-804.125047171881 -3.43119697885481 -94.5082932767136</f>
        <v>-902.06453742744941</v>
      </c>
      <c r="D3755">
        <f>-822.734969642683 -18.149117737378 -207.880566359387</f>
        <v>-1048.764653739448</v>
      </c>
      <c r="E3755">
        <f>-832.75026635053 -24.3685417152481 -305.797289079628</f>
        <v>-1162.916097145406</v>
      </c>
      <c r="F3755">
        <f>-839.884084448228 -27.7656418112115 -394.542969541785</f>
        <v>-1262.1926958012245</v>
      </c>
      <c r="G3755">
        <f>-844.743477565797 -28.8118400381927 -483.501022711518</f>
        <v>-1357.0563403155077</v>
      </c>
      <c r="H3755">
        <f>-849.111892514831 -27.8422117878108 -608.003307953338</f>
        <v>-1484.9574122559798</v>
      </c>
      <c r="I3755">
        <f>-820.544308046687 -17.3391894519455 -685.324622810626</f>
        <v>-1523.2081203092584</v>
      </c>
      <c r="J3755">
        <f>-858.789556930739 -3.11192994251223 -552.61302778317</f>
        <v>-1414.5145146564212</v>
      </c>
      <c r="K3755" t="s">
        <v>40978</v>
      </c>
      <c r="L3755" t="s">
        <v>40979</v>
      </c>
      <c r="M3755" t="s">
        <v>40980</v>
      </c>
      <c r="N3755">
        <f>-835.58958221008 -53.4256705211917 -553.81884402818</f>
        <v>-1442.8340967594518</v>
      </c>
      <c r="O3755">
        <f>-779.173089305096 -175.761356865603 -526.459112753582</f>
        <v>-1481.393558924281</v>
      </c>
      <c r="P3755">
        <f>-764.045865820416 -206.210589032932 -234.166147869919</f>
        <v>-1204.4226027232671</v>
      </c>
      <c r="Q3755">
        <f>-648.622390112907 -21.7618237654576 -337.640313322226</f>
        <v>-1008.0245272005907</v>
      </c>
      <c r="R3755" t="s">
        <v>40981</v>
      </c>
      <c r="S3755" t="s">
        <v>40982</v>
      </c>
      <c r="T3755" t="s">
        <v>40983</v>
      </c>
      <c r="U3755" t="s">
        <v>40984</v>
      </c>
      <c r="V3755">
        <f>-756.620039124509 -87.3572215685377 -92.5937404209507</f>
        <v>-936.57100111399745</v>
      </c>
      <c r="W3755" t="s">
        <v>40985</v>
      </c>
      <c r="X3755" t="s">
        <v>40986</v>
      </c>
      <c r="Y3755" t="s">
        <v>40987</v>
      </c>
    </row>
    <row r="3756" spans="1:25" x14ac:dyDescent="0.3">
      <c r="A3756">
        <v>187750</v>
      </c>
      <c r="B3756" t="s">
        <v>40988</v>
      </c>
      <c r="C3756">
        <f>-803.795858451072 -3.59479539247786 -94.5145803368836</f>
        <v>-901.90523418043347</v>
      </c>
      <c r="D3756">
        <f>-822.403832083266 -18.2962036328545 -207.889279522365</f>
        <v>-1048.5893152384856</v>
      </c>
      <c r="E3756">
        <f>-832.46449768364 -24.5312471656957 -305.800248017274</f>
        <v>-1162.7959928666098</v>
      </c>
      <c r="F3756">
        <f>-839.659193229614 -27.9530808804077 -394.54014293925</f>
        <v>-1262.1524170492717</v>
      </c>
      <c r="G3756">
        <f>-844.599311667273 -29.0347784531316 -483.493286937177</f>
        <v>-1357.1273770575817</v>
      </c>
      <c r="H3756">
        <f>-849.101733808071 -28.1255623116883 -607.991247559924</f>
        <v>-1485.2185436796833</v>
      </c>
      <c r="I3756">
        <f>-820.576135719986 -17.7022917200279 -685.338960595679</f>
        <v>-1523.617388035693</v>
      </c>
      <c r="J3756">
        <f>-858.680894082173 -3.35053726353522 -552.603913293973</f>
        <v>-1414.6353446396813</v>
      </c>
      <c r="K3756" t="s">
        <v>40989</v>
      </c>
      <c r="L3756" t="s">
        <v>40990</v>
      </c>
      <c r="M3756" t="s">
        <v>40991</v>
      </c>
      <c r="N3756">
        <f>-835.560116224812 -53.7007348424921 -553.807782744601</f>
        <v>-1443.0686338119051</v>
      </c>
      <c r="O3756">
        <f>-779.276773704109 -176.105501894397 -526.460039626743</f>
        <v>-1481.842315225249</v>
      </c>
      <c r="P3756">
        <f>-764.05328989522 -206.502718105026 -234.16657653311</f>
        <v>-1204.722584533356</v>
      </c>
      <c r="Q3756">
        <f>-648.477493442384 -22.1997415738281 -337.730720221869</f>
        <v>-1008.4079552380811</v>
      </c>
      <c r="R3756" t="s">
        <v>40992</v>
      </c>
      <c r="S3756" t="s">
        <v>40993</v>
      </c>
      <c r="T3756" t="s">
        <v>40994</v>
      </c>
      <c r="U3756" t="s">
        <v>40995</v>
      </c>
      <c r="V3756">
        <f>-756.451614336309 -87.5181936377327 -92.5782851020141</f>
        <v>-936.54809307605581</v>
      </c>
      <c r="W3756" t="s">
        <v>40996</v>
      </c>
      <c r="X3756" t="s">
        <v>40997</v>
      </c>
      <c r="Y3756" t="s">
        <v>40998</v>
      </c>
    </row>
    <row r="3757" spans="1:25" x14ac:dyDescent="0.3">
      <c r="A3757">
        <v>187800</v>
      </c>
      <c r="B3757" t="s">
        <v>40999</v>
      </c>
      <c r="C3757">
        <f>-802.986320603648 -4.02502024360092 -94.5296768728248</f>
        <v>-901.54101772007368</v>
      </c>
      <c r="D3757">
        <f>-821.521201962257 -18.6031858484439 -207.932297860399</f>
        <v>-1048.0566856710998</v>
      </c>
      <c r="E3757">
        <f>-831.614980176647 -24.8311875703773 -305.840326326077</f>
        <v>-1162.2864940731013</v>
      </c>
      <c r="F3757">
        <f>-838.881713742256 -28.2821569127912 -394.573205180129</f>
        <v>-1261.7370758351763</v>
      </c>
      <c r="G3757">
        <f>-843.936229553634 -29.4292015553981 -483.519168228907</f>
        <v>-1356.8845993379391</v>
      </c>
      <c r="H3757">
        <f>-848.643482067706 -28.6487522262016 -608.010371342073</f>
        <v>-1485.3026056359806</v>
      </c>
      <c r="I3757">
        <f>-820.188542799381 -18.4284738122219 -685.411139570073</f>
        <v>-1524.028156181676</v>
      </c>
      <c r="J3757">
        <f>-858.002564672955 -3.75765002078106 -552.637470632227</f>
        <v>-1414.397685325963</v>
      </c>
      <c r="K3757" t="s">
        <v>41000</v>
      </c>
      <c r="L3757" t="s">
        <v>41001</v>
      </c>
      <c r="M3757" t="s">
        <v>41002</v>
      </c>
      <c r="N3757">
        <f>-835.141573557471 -54.2267563007898 -553.818363361829</f>
        <v>-1443.1866932200899</v>
      </c>
      <c r="O3757">
        <f>-779.411254618067 -176.883937199978 -526.48129987279</f>
        <v>-1482.776491690835</v>
      </c>
      <c r="P3757">
        <f>-763.937195633555 -207.134085015372 -234.185643203284</f>
        <v>-1205.256923852211</v>
      </c>
      <c r="Q3757">
        <f>-647.545827364447 -23.422414521918 -337.886764153929</f>
        <v>-1008.8550060402939</v>
      </c>
      <c r="R3757" t="s">
        <v>41003</v>
      </c>
      <c r="S3757" t="s">
        <v>41004</v>
      </c>
      <c r="T3757" t="s">
        <v>41005</v>
      </c>
      <c r="U3757" t="s">
        <v>41006</v>
      </c>
      <c r="V3757">
        <f>-756.171184881746 -88.0399055387556 -92.5294077477414</f>
        <v>-936.74049816824299</v>
      </c>
      <c r="W3757" t="s">
        <v>41007</v>
      </c>
      <c r="X3757" t="s">
        <v>41008</v>
      </c>
      <c r="Y3757" t="s">
        <v>41009</v>
      </c>
    </row>
    <row r="3758" spans="1:25" x14ac:dyDescent="0.3">
      <c r="A3758">
        <v>187850</v>
      </c>
      <c r="B3758" t="s">
        <v>41010</v>
      </c>
      <c r="C3758">
        <f>-802.648506785845 -4.23838199256556 -94.5074375405004</f>
        <v>-901.394326318911</v>
      </c>
      <c r="D3758">
        <f>-821.129503849649 -18.7269526719049 -207.930378682953</f>
        <v>-1047.786835204507</v>
      </c>
      <c r="E3758">
        <f>-831.209951881833 -24.9268245556445 -305.841514548226</f>
        <v>-1161.9782909857036</v>
      </c>
      <c r="F3758">
        <f>-838.479647649458 -28.3695614738326 -394.574613048398</f>
        <v>-1261.4238221716887</v>
      </c>
      <c r="G3758">
        <f>-843.55215234234 -29.5266206904435 -483.519336499724</f>
        <v>-1356.5981095325074</v>
      </c>
      <c r="H3758">
        <f>-848.301100201962 -28.7787004370816 -608.009143835712</f>
        <v>-1485.0889444747556</v>
      </c>
      <c r="I3758">
        <f>-819.881203581147 -18.6737633779017 -685.438005494486</f>
        <v>-1523.9929724535345</v>
      </c>
      <c r="J3758">
        <f>-857.554535509979 -3.83367264289518 -552.642717320924</f>
        <v>-1414.0309254737981</v>
      </c>
      <c r="K3758" t="s">
        <v>41011</v>
      </c>
      <c r="L3758" t="s">
        <v>41012</v>
      </c>
      <c r="M3758" t="s">
        <v>41013</v>
      </c>
      <c r="N3758">
        <f>-834.868095425896 -54.3819101887841 -553.811791419924</f>
        <v>-1443.0617970346041</v>
      </c>
      <c r="O3758">
        <f>-779.567391813155 -177.231517012303 -526.439012832832</f>
        <v>-1483.2379216582899</v>
      </c>
      <c r="P3758">
        <f>-764.085361933641 -207.291424682717 -234.124331360821</f>
        <v>-1205.5011179771791</v>
      </c>
      <c r="Q3758">
        <f>-646.90866063599 -24.162104140386 -337.971121723372</f>
        <v>-1009.041886499748</v>
      </c>
      <c r="R3758" t="s">
        <v>41014</v>
      </c>
      <c r="S3758" t="s">
        <v>41015</v>
      </c>
      <c r="T3758" t="s">
        <v>41016</v>
      </c>
      <c r="U3758" t="s">
        <v>41017</v>
      </c>
      <c r="V3758">
        <f>-756.193845294007 -88.1746448729591 -92.4938650037958</f>
        <v>-936.86235517076193</v>
      </c>
      <c r="W3758" t="s">
        <v>41018</v>
      </c>
      <c r="X3758" t="s">
        <v>41019</v>
      </c>
      <c r="Y3758" t="s">
        <v>41020</v>
      </c>
    </row>
    <row r="3759" spans="1:25" x14ac:dyDescent="0.3">
      <c r="A3759">
        <v>187900</v>
      </c>
      <c r="B3759" t="s">
        <v>41021</v>
      </c>
      <c r="C3759">
        <f>-802.257669438579 -4.25472057007528 -94.4690128755013</f>
        <v>-900.98140288415561</v>
      </c>
      <c r="D3759">
        <f>-820.691673104325 -18.5670985865829 -207.921967023881</f>
        <v>-1047.180738714789</v>
      </c>
      <c r="E3759">
        <f>-830.734121645459 -24.7093697685887 -305.840724092206</f>
        <v>-1161.2842155062538</v>
      </c>
      <c r="F3759">
        <f>-837.972184092031 -28.1344553121664 -394.576947203127</f>
        <v>-1260.6835866073243</v>
      </c>
      <c r="G3759">
        <f>-843.014715153496 -29.3116525785879 -483.523203842481</f>
        <v>-1355.8495715745648</v>
      </c>
      <c r="H3759">
        <f>-847.723289475278 -28.6326787647315 -608.014815874929</f>
        <v>-1484.3707841149385</v>
      </c>
      <c r="I3759">
        <f>-819.331811014717 -18.8397902683621 -685.49432460068</f>
        <v>-1523.665925883759</v>
      </c>
      <c r="J3759">
        <f>-856.758228769844 -3.55215221164553 -552.673627171957</f>
        <v>-1412.9840081534467</v>
      </c>
      <c r="K3759" t="s">
        <v>41022</v>
      </c>
      <c r="L3759" t="s">
        <v>41023</v>
      </c>
      <c r="M3759" t="s">
        <v>41024</v>
      </c>
      <c r="N3759">
        <f>-834.544323036729 -54.3109660736236 -553.790748189061</f>
        <v>-1442.6460372994136</v>
      </c>
      <c r="O3759">
        <f>-780.35888189636 -177.627899416552 -526.316763732071</f>
        <v>-1484.3035450449829</v>
      </c>
      <c r="P3759">
        <f>-764.996997535726 -207.402920969274 -233.966473892725</f>
        <v>-1206.3663923977249</v>
      </c>
      <c r="Q3759">
        <f>-646.138814398631 -25.6210122771363 -338.268470695318</f>
        <v>-1010.0282973710853</v>
      </c>
      <c r="R3759" t="s">
        <v>41025</v>
      </c>
      <c r="S3759" t="s">
        <v>41026</v>
      </c>
      <c r="T3759" t="s">
        <v>41027</v>
      </c>
      <c r="U3759" t="s">
        <v>41028</v>
      </c>
      <c r="V3759">
        <f>-756.501464431124 -88.0599018910459 -92.4473079116289</f>
        <v>-937.00867423379873</v>
      </c>
      <c r="W3759" t="s">
        <v>41029</v>
      </c>
      <c r="X3759" t="s">
        <v>41030</v>
      </c>
      <c r="Y3759" t="s">
        <v>41031</v>
      </c>
    </row>
    <row r="3760" spans="1:25" x14ac:dyDescent="0.3">
      <c r="A3760">
        <v>187950</v>
      </c>
      <c r="B3760" t="s">
        <v>41032</v>
      </c>
      <c r="C3760">
        <f>-802.172178099941 -4.09561263005617 -94.4747236098131</f>
        <v>-900.74251433981021</v>
      </c>
      <c r="D3760">
        <f>-820.595268880558 -18.3289797437319 -207.939334770638</f>
        <v>-1046.8635833949279</v>
      </c>
      <c r="E3760">
        <f>-830.636943439462 -24.4545628284379 -305.859259364061</f>
        <v>-1160.9507656319611</v>
      </c>
      <c r="F3760">
        <f>-837.878557810625 -27.8840890002148 -394.595005594077</f>
        <v>-1260.3576524049167</v>
      </c>
      <c r="G3760">
        <f>-842.927434734294 -29.0872853369847 -483.540527979742</f>
        <v>-1355.5552480510207</v>
      </c>
      <c r="H3760">
        <f>-847.647611936947 -28.4676940016989 -608.032117638784</f>
        <v>-1484.1474235774299</v>
      </c>
      <c r="I3760">
        <f>-819.263902838895 -18.8817749261725 -685.540146484413</f>
        <v>-1523.6858242494804</v>
      </c>
      <c r="J3760">
        <f>-856.530476794387 -3.29686026724789 -552.707244434761</f>
        <v>-1412.534581496396</v>
      </c>
      <c r="K3760" t="s">
        <v>41033</v>
      </c>
      <c r="L3760" t="s">
        <v>41034</v>
      </c>
      <c r="M3760" t="s">
        <v>41035</v>
      </c>
      <c r="N3760">
        <f>-834.610473003772 -54.1839618216042 -553.791659380456</f>
        <v>-1442.5860942058321</v>
      </c>
      <c r="O3760">
        <f>-781.104909773449 -177.778016911092 -526.253675512558</f>
        <v>-1485.1366021970989</v>
      </c>
      <c r="P3760">
        <f>-765.751624690043 -207.401774129553 -233.88759544744</f>
        <v>-1207.040994267036</v>
      </c>
      <c r="Q3760">
        <f>-645.909137502382 -26.4135132586985 -338.443597926026</f>
        <v>-1010.7662486871064</v>
      </c>
      <c r="R3760" t="s">
        <v>41036</v>
      </c>
      <c r="S3760" t="s">
        <v>41037</v>
      </c>
      <c r="T3760" t="s">
        <v>41038</v>
      </c>
      <c r="U3760" t="s">
        <v>41039</v>
      </c>
      <c r="V3760">
        <f>-756.747607352272 -87.9051460669253 -92.4421184554141</f>
        <v>-937.09487187461139</v>
      </c>
      <c r="W3760" t="s">
        <v>41040</v>
      </c>
      <c r="X3760" t="s">
        <v>41041</v>
      </c>
      <c r="Y3760" t="s">
        <v>41042</v>
      </c>
    </row>
    <row r="3761" spans="1:25" x14ac:dyDescent="0.3">
      <c r="A3761">
        <v>188000</v>
      </c>
      <c r="B3761" t="s">
        <v>41043</v>
      </c>
      <c r="C3761">
        <f>-801.678363207487 -4.05782152060465 -94.4707254105821</f>
        <v>-900.20691013867372</v>
      </c>
      <c r="D3761">
        <f>-820.140654391927 -18.1519941587833 -207.946345171643</f>
        <v>-1046.2389937223534</v>
      </c>
      <c r="E3761">
        <f>-830.254498756841 -24.2872637415728 -305.858135533313</f>
        <v>-1160.3998980317269</v>
      </c>
      <c r="F3761">
        <f>-837.577338855183 -27.7756283984349 -394.584964273706</f>
        <v>-1259.9379315273241</v>
      </c>
      <c r="G3761">
        <f>-842.720567023772 -29.0935223011015 -483.523412322933</f>
        <v>-1355.3375016478064</v>
      </c>
      <c r="H3761">
        <f>-847.584840569773 -28.6949939125241 -608.010434959659</f>
        <v>-1484.2902694419561</v>
      </c>
      <c r="I3761">
        <f>-819.222247097489 -19.647134017232 -685.590850659058</f>
        <v>-1524.460231773779</v>
      </c>
      <c r="J3761">
        <f>-856.059110566035 -3.28003742623082 -552.733045046787</f>
        <v>-1412.0721930390528</v>
      </c>
      <c r="K3761" t="s">
        <v>41044</v>
      </c>
      <c r="L3761" t="s">
        <v>41045</v>
      </c>
      <c r="M3761" t="s">
        <v>41046</v>
      </c>
      <c r="N3761">
        <f>-834.829436721041 -54.4608557807384 -553.726543471636</f>
        <v>-1443.0168359734153</v>
      </c>
      <c r="O3761">
        <f>-782.877382007751 -178.672041325624 -526.014257032315</f>
        <v>-1487.5636803656898</v>
      </c>
      <c r="P3761">
        <f>-767.437867198451 -207.944167539759 -233.617377274359</f>
        <v>-1208.9994120125689</v>
      </c>
      <c r="Q3761">
        <f>-645.555507820368 -28.6308472343267 -338.699702273265</f>
        <v>-1012.8860573279596</v>
      </c>
      <c r="R3761" t="s">
        <v>41047</v>
      </c>
      <c r="S3761" t="s">
        <v>41048</v>
      </c>
      <c r="T3761" t="s">
        <v>41049</v>
      </c>
      <c r="U3761" t="s">
        <v>41050</v>
      </c>
      <c r="V3761">
        <f>-756.833348420322 -88.1532504928402 -92.437586376166</f>
        <v>-937.42418528932819</v>
      </c>
      <c r="W3761" t="s">
        <v>41051</v>
      </c>
      <c r="X3761" t="s">
        <v>41052</v>
      </c>
      <c r="Y3761" t="s">
        <v>41053</v>
      </c>
    </row>
    <row r="3762" spans="1:25" x14ac:dyDescent="0.3">
      <c r="A3762">
        <v>188050</v>
      </c>
      <c r="B3762" t="s">
        <v>41054</v>
      </c>
      <c r="C3762">
        <f>-801.453062574185 -3.89179940470035 -94.4912647113075</f>
        <v>-899.83612669019283</v>
      </c>
      <c r="D3762">
        <f>-819.953684462251 -17.9460216066998 -207.965604022174</f>
        <v>-1045.8653100911247</v>
      </c>
      <c r="E3762">
        <f>-830.124122452115 -24.1156987102977 -305.869445290069</f>
        <v>-1160.1092664524817</v>
      </c>
      <c r="F3762">
        <f>-837.507037300968 -27.662359456019 -394.588964117606</f>
        <v>-1259.7583608745931</v>
      </c>
      <c r="G3762">
        <f>-842.716933804424 -29.0693742271762 -483.522051704705</f>
        <v>-1355.3083597363052</v>
      </c>
      <c r="H3762">
        <f>-847.680507915909 -28.8295060715172 -608.005518902929</f>
        <v>-1484.5155328903552</v>
      </c>
      <c r="I3762">
        <f>-819.327563430144 -20.1148279137333 -685.627680197573</f>
        <v>-1525.0700715414503</v>
      </c>
      <c r="J3762">
        <f>-855.904927912306 -3.25945984452551 -552.76214933538</f>
        <v>-1411.9265370922114</v>
      </c>
      <c r="K3762" t="s">
        <v>41055</v>
      </c>
      <c r="L3762" t="s">
        <v>41056</v>
      </c>
      <c r="M3762" t="s">
        <v>41057</v>
      </c>
      <c r="N3762">
        <f>-835.087682528814 -54.6106217502859 -553.691015728223</f>
        <v>-1443.3893200073228</v>
      </c>
      <c r="O3762">
        <f>-784.054246917341 -179.178478113237 -525.872312055599</f>
        <v>-1489.1050370861769</v>
      </c>
      <c r="P3762">
        <f>-768.607545424415 -208.09942074517 -233.440882273092</f>
        <v>-1210.1478484426771</v>
      </c>
      <c r="Q3762">
        <f>-645.46531610901 -29.8283255567289 -338.827324604466</f>
        <v>-1014.1209662702049</v>
      </c>
      <c r="R3762" t="s">
        <v>41058</v>
      </c>
      <c r="S3762" t="s">
        <v>41059</v>
      </c>
      <c r="T3762" t="s">
        <v>41060</v>
      </c>
      <c r="U3762" t="s">
        <v>41061</v>
      </c>
      <c r="V3762">
        <f>-756.91674241275 -88.0141357409628 -92.4334866879693</f>
        <v>-937.36436484168212</v>
      </c>
      <c r="W3762" t="s">
        <v>41062</v>
      </c>
      <c r="X3762" t="s">
        <v>41063</v>
      </c>
      <c r="Y3762" t="s">
        <v>41064</v>
      </c>
    </row>
    <row r="3763" spans="1:25" x14ac:dyDescent="0.3">
      <c r="A3763">
        <v>188100</v>
      </c>
      <c r="B3763" t="s">
        <v>41065</v>
      </c>
      <c r="C3763">
        <f>-800.846553047137 -3.4838590515792 -94.5604147227942</f>
        <v>-898.89082682151047</v>
      </c>
      <c r="D3763">
        <f>-819.468784530497 -17.4425467162414 -208.026605662679</f>
        <v>-1044.9379369094174</v>
      </c>
      <c r="E3763">
        <f>-829.74491634974 -23.6566794998303 -305.916504877927</f>
        <v>-1159.3181007274973</v>
      </c>
      <c r="F3763">
        <f>-837.222962284911 -27.2938522503332 -394.624503114845</f>
        <v>-1259.1413176500891</v>
      </c>
      <c r="G3763">
        <f>-842.523571049369 -28.8494448619388 -483.549816428349</f>
        <v>-1354.9228323396569</v>
      </c>
      <c r="H3763">
        <f>-847.607001473796 -28.8812863962726 -608.028693755712</f>
        <v>-1484.5169816257805</v>
      </c>
      <c r="I3763">
        <f>-819.301152734694 -20.8753235418446 -685.744192588526</f>
        <v>-1525.9206688650647</v>
      </c>
      <c r="J3763">
        <f>-855.343768754202 -3.01860593440938 -552.850927243588</f>
        <v>-1411.2133019321993</v>
      </c>
      <c r="K3763" t="s">
        <v>41066</v>
      </c>
      <c r="L3763" t="s">
        <v>41067</v>
      </c>
      <c r="M3763" t="s">
        <v>41068</v>
      </c>
      <c r="N3763">
        <f>-835.396323620376 -54.7158917361311 -553.652369670631</f>
        <v>-1443.7645850271381</v>
      </c>
      <c r="O3763">
        <f>-786.367863654664 -180.044180485491 -525.573012273045</f>
        <v>-1491.9850564132</v>
      </c>
      <c r="P3763">
        <f>-771.210263039834 -208.421989632241 -233.073141517015</f>
        <v>-1212.7053941890899</v>
      </c>
      <c r="Q3763">
        <f>-645.222006477935 -32.5307626180518 -339.092534433879</f>
        <v>-1016.8453035298658</v>
      </c>
      <c r="R3763" t="s">
        <v>41069</v>
      </c>
      <c r="S3763" t="s">
        <v>41070</v>
      </c>
      <c r="T3763" t="s">
        <v>41071</v>
      </c>
      <c r="U3763" t="s">
        <v>41072</v>
      </c>
      <c r="V3763">
        <f>-756.804099961049 -88.0531886652622 -92.4484430800242</f>
        <v>-937.30573170633534</v>
      </c>
      <c r="W3763" t="s">
        <v>41073</v>
      </c>
      <c r="X3763" t="s">
        <v>41074</v>
      </c>
      <c r="Y3763" t="s">
        <v>41075</v>
      </c>
    </row>
    <row r="3764" spans="1:25" x14ac:dyDescent="0.3">
      <c r="A3764">
        <v>188150</v>
      </c>
      <c r="B3764" t="s">
        <v>41076</v>
      </c>
      <c r="C3764">
        <f>-800.358738287983 -3.41383716904761 -94.6051941555393</f>
        <v>-898.37776961256986</v>
      </c>
      <c r="D3764">
        <f>-819.044185339112 -17.2914644524492 -208.071032868401</f>
        <v>-1044.4066826599621</v>
      </c>
      <c r="E3764">
        <f>-829.356312788333 -23.4893481042918 -305.958238266873</f>
        <v>-1158.8038991594979</v>
      </c>
      <c r="F3764">
        <f>-836.859552662689 -27.1323395047621 -394.663747945094</f>
        <v>-1258.6556401125449</v>
      </c>
      <c r="G3764">
        <f>-842.176216661016 -28.7181296376832 -483.587640879616</f>
        <v>-1354.4819871783152</v>
      </c>
      <c r="H3764">
        <f>-847.271735479611 -28.8197096876281 -608.065859511337</f>
        <v>-1484.1573046785761</v>
      </c>
      <c r="I3764">
        <f>-818.994683248015 -21.1496951649704 -685.825910592475</f>
        <v>-1525.9702890054605</v>
      </c>
      <c r="J3764">
        <f>-854.782629792365 -2.84200556649898 -552.911011658026</f>
        <v>-1410.5356470168899</v>
      </c>
      <c r="K3764" t="s">
        <v>41077</v>
      </c>
      <c r="L3764" t="s">
        <v>41078</v>
      </c>
      <c r="M3764" t="s">
        <v>41079</v>
      </c>
      <c r="N3764">
        <f>-835.276166446243 -54.708002265201 -553.667268439286</f>
        <v>-1443.6514371507301</v>
      </c>
      <c r="O3764">
        <f>-787.305763131109 -180.426109297477 -525.499515456775</f>
        <v>-1493.2313878853611</v>
      </c>
      <c r="P3764">
        <f>-772.34897930489 -208.676442994621 -232.97716808515</f>
        <v>-1214.0025903846611</v>
      </c>
      <c r="Q3764">
        <f>-644.90158116164 -33.9713710012904 -339.213347132094</f>
        <v>-1018.0862992950244</v>
      </c>
      <c r="R3764" t="s">
        <v>41080</v>
      </c>
      <c r="S3764" t="s">
        <v>41081</v>
      </c>
      <c r="T3764" t="s">
        <v>41082</v>
      </c>
      <c r="U3764" t="s">
        <v>41083</v>
      </c>
      <c r="V3764">
        <f>-756.630265016045 -88.2408540709069 -92.4682631511151</f>
        <v>-937.33938223806706</v>
      </c>
      <c r="W3764" t="s">
        <v>41084</v>
      </c>
      <c r="X3764" t="s">
        <v>41085</v>
      </c>
      <c r="Y3764" t="s">
        <v>41086</v>
      </c>
    </row>
    <row r="3765" spans="1:25" x14ac:dyDescent="0.3">
      <c r="A3765">
        <v>188200</v>
      </c>
      <c r="B3765" t="s">
        <v>41087</v>
      </c>
      <c r="C3765">
        <f>-799.43280566179 -3.44817413695409 -94.6431858975487</f>
        <v>-897.52416569629281</v>
      </c>
      <c r="D3765">
        <f>-818.187884542497 -17.0726626352853 -208.128166004103</f>
        <v>-1043.3887131818854</v>
      </c>
      <c r="E3765">
        <f>-828.537142498897 -23.1615987743053 -306.018321974901</f>
        <v>-1157.7170632481034</v>
      </c>
      <c r="F3765">
        <f>-836.066602271736 -26.7456050554335 -394.723988878329</f>
        <v>-1257.5361962054985</v>
      </c>
      <c r="G3765">
        <f>-841.399551297336 -28.3187407391388 -483.647255153178</f>
        <v>-1353.3655471896527</v>
      </c>
      <c r="H3765">
        <f>-846.506809588672 -28.4530650306638 -608.124997306363</f>
        <v>-1483.0848719256987</v>
      </c>
      <c r="I3765">
        <f>-818.299629653065 -21.3910522439523 -685.96783058113</f>
        <v>-1525.6585124781473</v>
      </c>
      <c r="J3765">
        <f>-853.604870982226 -2.31094184448807 -552.993109393987</f>
        <v>-1408.908922220701</v>
      </c>
      <c r="K3765" t="s">
        <v>41088</v>
      </c>
      <c r="L3765" t="s">
        <v>41089</v>
      </c>
      <c r="M3765" t="s">
        <v>41090</v>
      </c>
      <c r="N3765">
        <f>-834.913683269286 -54.4769088148179 -553.703658812933</f>
        <v>-1443.094250897037</v>
      </c>
      <c r="O3765">
        <f>-788.953170638975 -180.909328626279 -525.443960974442</f>
        <v>-1495.3064602396962</v>
      </c>
      <c r="P3765">
        <f>-774.307699480071 -209.056968923742 -232.895648451989</f>
        <v>-1216.2603168558021</v>
      </c>
      <c r="Q3765">
        <f>-643.918275056638 -36.6416681961398 -339.30250033547</f>
        <v>-1019.8624435882477</v>
      </c>
      <c r="R3765" t="s">
        <v>41091</v>
      </c>
      <c r="S3765" t="s">
        <v>41092</v>
      </c>
      <c r="T3765" t="s">
        <v>41093</v>
      </c>
      <c r="U3765" t="s">
        <v>41094</v>
      </c>
      <c r="V3765">
        <f>-756.643712064999 -88.5043205788835 -92.4771228484377</f>
        <v>-937.62515549232023</v>
      </c>
      <c r="W3765" t="s">
        <v>41095</v>
      </c>
      <c r="X3765" t="s">
        <v>41096</v>
      </c>
      <c r="Y3765" t="s">
        <v>41097</v>
      </c>
    </row>
    <row r="3766" spans="1:25" x14ac:dyDescent="0.3">
      <c r="A3766">
        <v>188250</v>
      </c>
      <c r="B3766" t="s">
        <v>41098</v>
      </c>
      <c r="C3766">
        <f>-798.978751961437 -3.42391381882749 -94.6385065670514</f>
        <v>-897.04117234731586</v>
      </c>
      <c r="D3766">
        <f>-817.786526135244 -16.9357887029441 -208.128182132207</f>
        <v>-1042.8504969703952</v>
      </c>
      <c r="E3766">
        <f>-828.143086402661 -22.9859153781654 -306.02000781609</f>
        <v>-1157.1490095969164</v>
      </c>
      <c r="F3766">
        <f>-835.665479843876 -26.5562825795646 -394.726865500499</f>
        <v>-1256.9486279239395</v>
      </c>
      <c r="G3766">
        <f>-840.976681557753 -28.1401073954664 -483.651119459668</f>
        <v>-1352.7679084128874</v>
      </c>
      <c r="H3766">
        <f>-846.03868316585 -28.3153792754094 -608.130665184158</f>
        <v>-1482.4847276254175</v>
      </c>
      <c r="I3766">
        <f>-817.843751065751 -21.5102972846194 -686.000886784738</f>
        <v>-1525.3549351351085</v>
      </c>
      <c r="J3766">
        <f>-852.987106308541 -2.09479888212627 -553.017039802337</f>
        <v>-1408.0989449930044</v>
      </c>
      <c r="K3766" t="s">
        <v>41099</v>
      </c>
      <c r="L3766" t="s">
        <v>41100</v>
      </c>
      <c r="M3766" t="s">
        <v>41101</v>
      </c>
      <c r="N3766">
        <f>-834.63531064709 -54.3817243619907 -553.689684918278</f>
        <v>-1442.7067199273588</v>
      </c>
      <c r="O3766">
        <f>-789.484126284004 -181.087703985165 -525.373769423021</f>
        <v>-1495.9455996921902</v>
      </c>
      <c r="P3766">
        <f>-774.926556814812 -209.370283557965 -232.834241695759</f>
        <v>-1217.131082068536</v>
      </c>
      <c r="Q3766">
        <f>-643.411247372332 -37.8596026012574 -339.317364527974</f>
        <v>-1020.5882145015635</v>
      </c>
      <c r="R3766" t="s">
        <v>41102</v>
      </c>
      <c r="S3766" t="s">
        <v>41103</v>
      </c>
      <c r="T3766" t="s">
        <v>41104</v>
      </c>
      <c r="U3766" t="s">
        <v>41105</v>
      </c>
      <c r="V3766">
        <f>-756.654530842069 -88.4475175983158 -92.4846681916699</f>
        <v>-937.58671663205473</v>
      </c>
      <c r="W3766" t="s">
        <v>41106</v>
      </c>
      <c r="X3766" t="s">
        <v>41107</v>
      </c>
      <c r="Y3766" t="s">
        <v>41108</v>
      </c>
    </row>
    <row r="3767" spans="1:25" x14ac:dyDescent="0.3">
      <c r="A3767">
        <v>188300</v>
      </c>
      <c r="B3767" t="s">
        <v>41109</v>
      </c>
      <c r="C3767">
        <f>-798.786658742432 -2.82420677279629 -94.6398212429316</f>
        <v>-896.25068675815987</v>
      </c>
      <c r="D3767">
        <f>-817.515003692871 -16.1588864438108 -208.163600024453</f>
        <v>-1041.8374901611348</v>
      </c>
      <c r="E3767">
        <f>-827.749125090642 -22.1397897090787 -306.072512407704</f>
        <v>-1155.9614272074248</v>
      </c>
      <c r="F3767">
        <f>-835.140067230362 -25.6789644236155 -394.791689130022</f>
        <v>-1255.6107207839996</v>
      </c>
      <c r="G3767">
        <f>-840.297503403113 -27.2679557132387 -483.724855348193</f>
        <v>-1351.2903144645447</v>
      </c>
      <c r="H3767">
        <f>-845.119913908337 -27.4911642569252 -608.213802000969</f>
        <v>-1480.8248801662312</v>
      </c>
      <c r="I3767">
        <f>-816.872250693692 -21.1067537756662 -686.100643775018</f>
        <v>-1524.0796482443761</v>
      </c>
      <c r="J3767">
        <f>-851.865684240575 -1.1427470653457 -553.135914451423</f>
        <v>-1406.1443457573437</v>
      </c>
      <c r="K3767" t="s">
        <v>41110</v>
      </c>
      <c r="L3767" t="s">
        <v>41111</v>
      </c>
      <c r="M3767" t="s">
        <v>41112</v>
      </c>
      <c r="N3767">
        <f>-834.130103053997 -53.6428604117357 -553.728918677577</f>
        <v>-1441.5018821433096</v>
      </c>
      <c r="O3767">
        <f>-790.424267931228 -180.859314101986 -525.368731014889</f>
        <v>-1496.652313048103</v>
      </c>
      <c r="P3767">
        <f>-776.065553086451 -209.291939241201 -232.833742334273</f>
        <v>-1218.1912346619251</v>
      </c>
      <c r="Q3767">
        <f>-642.887227045291 -39.1013454220445 -339.368040349145</f>
        <v>-1021.3566128164805</v>
      </c>
      <c r="R3767" t="s">
        <v>41113</v>
      </c>
      <c r="S3767" t="s">
        <v>41114</v>
      </c>
      <c r="T3767" t="s">
        <v>41115</v>
      </c>
      <c r="U3767" t="s">
        <v>41116</v>
      </c>
      <c r="V3767">
        <f>-757.257969853404 -87.8747712310825 -92.4845288653988</f>
        <v>-937.61726994988533</v>
      </c>
      <c r="W3767" t="s">
        <v>41117</v>
      </c>
      <c r="X3767" t="s">
        <v>41118</v>
      </c>
      <c r="Y3767" t="s">
        <v>41119</v>
      </c>
    </row>
    <row r="3768" spans="1:25" x14ac:dyDescent="0.3">
      <c r="A3768">
        <v>188350</v>
      </c>
      <c r="B3768" t="s">
        <v>41120</v>
      </c>
      <c r="C3768">
        <f>-798.634889682136 -2.75479261304281 -94.6567156569173</f>
        <v>-896.04639795209607</v>
      </c>
      <c r="D3768">
        <f>-817.303669703145 -15.9367823226289 -208.208173711169</f>
        <v>-1041.4486257369429</v>
      </c>
      <c r="E3768">
        <f>-827.44391109043 -21.8318790864496 -306.132113532395</f>
        <v>-1155.4079037092747</v>
      </c>
      <c r="F3768">
        <f>-834.734456972863 -25.3096844619179 -394.861916843193</f>
        <v>-1254.9060582779739</v>
      </c>
      <c r="G3768">
        <f>-839.775565954803 -26.8560869546916 -483.802508950385</f>
        <v>-1350.4341618598796</v>
      </c>
      <c r="H3768">
        <f>-844.418955345152 -27.0394522089282 -608.298439345103</f>
        <v>-1479.7568468991831</v>
      </c>
      <c r="I3768">
        <f>-816.131386684014 -20.7974987351267 -686.182098194</f>
        <v>-1523.1109836131409</v>
      </c>
      <c r="J3768">
        <f>-851.120060468359 -0.66734609301443 -553.226478423558</f>
        <v>-1405.0138849849313</v>
      </c>
      <c r="K3768" t="s">
        <v>41121</v>
      </c>
      <c r="L3768" t="s">
        <v>41122</v>
      </c>
      <c r="M3768" t="s">
        <v>41123</v>
      </c>
      <c r="N3768">
        <f>-833.631272563608 -53.2504599877896 -553.801379803265</f>
        <v>-1440.6831123546626</v>
      </c>
      <c r="O3768">
        <f>-790.572512302891 -180.68757947086 -525.400243598636</f>
        <v>-1496.6603353723872</v>
      </c>
      <c r="P3768">
        <f>-776.418518182731 -209.307304962029 -232.873693826999</f>
        <v>-1218.5995169717589</v>
      </c>
      <c r="Q3768">
        <f>-642.436815749787 -39.7780216191043 -339.455107930416</f>
        <v>-1021.6699452993073</v>
      </c>
      <c r="R3768" t="s">
        <v>41124</v>
      </c>
      <c r="S3768" t="s">
        <v>41125</v>
      </c>
      <c r="T3768" t="s">
        <v>41126</v>
      </c>
      <c r="U3768" t="s">
        <v>41127</v>
      </c>
      <c r="V3768">
        <f>-757.518336052869 -87.8839480514858 -92.4766731722938</f>
        <v>-937.87895727664863</v>
      </c>
      <c r="W3768" t="s">
        <v>41128</v>
      </c>
      <c r="X3768" t="s">
        <v>41129</v>
      </c>
      <c r="Y3768" t="s">
        <v>41130</v>
      </c>
    </row>
    <row r="3769" spans="1:25" x14ac:dyDescent="0.3">
      <c r="A3769">
        <v>188400</v>
      </c>
      <c r="B3769" t="s">
        <v>41131</v>
      </c>
      <c r="C3769">
        <f>-798.014810603492 -3.27889666459464 -94.5773123334033</f>
        <v>-895.87101960148993</v>
      </c>
      <c r="D3769">
        <f>-816.574787437885 -16.0905870392437 -208.18907944506</f>
        <v>-1040.8544539221887</v>
      </c>
      <c r="E3769">
        <f>-826.531932078657 -21.7862702416853 -306.143467687695</f>
        <v>-1154.4616700080373</v>
      </c>
      <c r="F3769">
        <f>-833.625873929582 -25.1273378778419 -394.894597386294</f>
        <v>-1253.6478091937179</v>
      </c>
      <c r="G3769">
        <f>-838.440039454062 -26.5820861340353 -483.849266739872</f>
        <v>-1348.8713923279693</v>
      </c>
      <c r="H3769">
        <f>-842.736789146404 -26.6844132630383 -608.35757736838</f>
        <v>-1477.7787797778224</v>
      </c>
      <c r="I3769">
        <f>-814.315948815076 -20.5866652973982 -686.204252163555</f>
        <v>-1521.1068662760292</v>
      </c>
      <c r="J3769">
        <f>-849.451483008542 -0.301841807366372 -553.292361430705</f>
        <v>-1403.0456862466135</v>
      </c>
      <c r="K3769" t="s">
        <v>41132</v>
      </c>
      <c r="L3769" t="s">
        <v>41133</v>
      </c>
      <c r="M3769" t="s">
        <v>41134</v>
      </c>
      <c r="N3769">
        <f>-832.24060544294 -52.9768722077305 -553.843089933437</f>
        <v>-1439.0605675841075</v>
      </c>
      <c r="O3769">
        <f>-789.972523330369 -180.65269523032 -525.41375198347</f>
        <v>-1496.0389705441589</v>
      </c>
      <c r="P3769">
        <f>-776.519517061464 -209.703649115815 -232.89653248209</f>
        <v>-1219.1196986593689</v>
      </c>
      <c r="Q3769">
        <f>-641.579429673516 -40.7064192136083 -339.113209139172</f>
        <v>-1021.3990580262963</v>
      </c>
      <c r="R3769" t="s">
        <v>41135</v>
      </c>
      <c r="S3769" t="s">
        <v>41136</v>
      </c>
      <c r="T3769" t="s">
        <v>41137</v>
      </c>
      <c r="U3769" t="s">
        <v>41138</v>
      </c>
      <c r="V3769">
        <f>-757.696947713056 -88.6417010543097 -92.460852839417</f>
        <v>-938.79950160678277</v>
      </c>
      <c r="W3769" t="s">
        <v>41139</v>
      </c>
      <c r="X3769" t="s">
        <v>41140</v>
      </c>
      <c r="Y3769" t="s">
        <v>41141</v>
      </c>
    </row>
    <row r="3770" spans="1:25" x14ac:dyDescent="0.3">
      <c r="A3770">
        <v>188450</v>
      </c>
      <c r="B3770" t="s">
        <v>41142</v>
      </c>
      <c r="C3770">
        <f>-797.894784826939 -3.34480774349458 -94.5205783440585</f>
        <v>-895.76017091449216</v>
      </c>
      <c r="D3770">
        <f>-816.40086198318 -16.0500552878098 -208.152894170929</f>
        <v>-1040.6038114419187</v>
      </c>
      <c r="E3770">
        <f>-826.284236785745 -21.686568590545 -306.118268908523</f>
        <v>-1154.089074284813</v>
      </c>
      <c r="F3770">
        <f>-833.302005105271 -24.9858905984377 -394.876989199184</f>
        <v>-1253.1648849028925</v>
      </c>
      <c r="G3770">
        <f>-838.031341249169 -26.4103520108854 -483.836828244257</f>
        <v>-1348.2785215043114</v>
      </c>
      <c r="H3770">
        <f>-842.20084371091 -26.4823103271972 -608.349593489295</f>
        <v>-1477.0327475274021</v>
      </c>
      <c r="I3770">
        <f>-813.668514465213 -20.3649378612427 -686.153847677058</f>
        <v>-1520.1873000035137</v>
      </c>
      <c r="J3770">
        <f>-848.956413264388 -0.108278853564116 -553.285184396985</f>
        <v>-1402.349876514937</v>
      </c>
      <c r="K3770" t="s">
        <v>41143</v>
      </c>
      <c r="L3770" t="s">
        <v>41144</v>
      </c>
      <c r="M3770" t="s">
        <v>41145</v>
      </c>
      <c r="N3770">
        <f>-831.775699130747 -52.7929822667875 -553.830102072142</f>
        <v>-1438.3987834696763</v>
      </c>
      <c r="O3770">
        <f>-789.621939625978 -180.508483169922 -525.402398564748</f>
        <v>-1495.5328213606481</v>
      </c>
      <c r="P3770">
        <f>-776.351019908777 -209.649059384076 -232.885792215854</f>
        <v>-1218.8858715087069</v>
      </c>
      <c r="Q3770">
        <f>-641.337650027771 -40.5974601822372 -338.922840718808</f>
        <v>-1020.8579509288163</v>
      </c>
      <c r="R3770" t="s">
        <v>41146</v>
      </c>
      <c r="S3770" t="s">
        <v>41147</v>
      </c>
      <c r="T3770" t="s">
        <v>41148</v>
      </c>
      <c r="U3770" t="s">
        <v>41149</v>
      </c>
      <c r="V3770">
        <f>-757.850118596954 -88.6003539424969 -92.4551660504623</f>
        <v>-938.90563858991311</v>
      </c>
      <c r="W3770" t="s">
        <v>41150</v>
      </c>
      <c r="X3770" t="s">
        <v>41151</v>
      </c>
      <c r="Y3770" t="s">
        <v>41152</v>
      </c>
    </row>
    <row r="3771" spans="1:25" x14ac:dyDescent="0.3">
      <c r="A3771">
        <v>188500</v>
      </c>
      <c r="B3771" t="s">
        <v>41153</v>
      </c>
      <c r="C3771">
        <f>-797.920373258236 -3.07893446731168 -94.4617853035332</f>
        <v>-895.46109302908098</v>
      </c>
      <c r="D3771">
        <f>-816.361077543032 -15.7440143858057 -208.109339754596</f>
        <v>-1040.2144316834338</v>
      </c>
      <c r="E3771">
        <f>-826.145924901644 -21.3298019009578 -306.087459570295</f>
        <v>-1153.5631863728968</v>
      </c>
      <c r="F3771">
        <f>-833.05772425641 -24.5771302965475 -394.856405747994</f>
        <v>-1252.4912603009516</v>
      </c>
      <c r="G3771">
        <f>-837.664071501957 -25.9433693911999 -483.823552020464</f>
        <v>-1347.4309929136209</v>
      </c>
      <c r="H3771">
        <f>-841.644239979042 -25.9272936078448 -608.342516366701</f>
        <v>-1475.9140499535879</v>
      </c>
      <c r="I3771">
        <f>-812.878169633966 -19.6534058009686 -686.048184984092</f>
        <v>-1518.5797604190266</v>
      </c>
      <c r="J3771" t="s">
        <v>41154</v>
      </c>
      <c r="K3771" t="s">
        <v>41155</v>
      </c>
      <c r="L3771" t="s">
        <v>41156</v>
      </c>
      <c r="M3771" t="s">
        <v>41157</v>
      </c>
      <c r="N3771">
        <f>-831.259734891604 -52.2628383493322 -553.827228944025</f>
        <v>-1437.3498021849614</v>
      </c>
      <c r="O3771">
        <f>-788.968606063458 -179.937210846287 -525.410583286393</f>
        <v>-1494.3164001961381</v>
      </c>
      <c r="P3771">
        <f>-775.986127961088 -209.00179124534 -232.873413000823</f>
        <v>-1217.8613322072511</v>
      </c>
      <c r="Q3771">
        <f>-640.922070118761 -39.7763323594938 -338.56789411896</f>
        <v>-1019.2662965972148</v>
      </c>
      <c r="R3771" t="s">
        <v>41158</v>
      </c>
      <c r="S3771" t="s">
        <v>41159</v>
      </c>
      <c r="T3771" t="s">
        <v>41160</v>
      </c>
      <c r="U3771" t="s">
        <v>41161</v>
      </c>
      <c r="V3771">
        <f>-757.755102384562 -88.5238744920009 -92.4248595580192</f>
        <v>-938.70383643458206</v>
      </c>
      <c r="W3771" t="s">
        <v>41162</v>
      </c>
      <c r="X3771" t="s">
        <v>41163</v>
      </c>
      <c r="Y3771" t="s">
        <v>41164</v>
      </c>
    </row>
    <row r="3772" spans="1:25" x14ac:dyDescent="0.3">
      <c r="A3772">
        <v>188550</v>
      </c>
      <c r="B3772" t="s">
        <v>41165</v>
      </c>
      <c r="C3772">
        <f>-797.922668008713 -2.97635066772455 -94.478321340078</f>
        <v>-895.37734001651552</v>
      </c>
      <c r="D3772">
        <f>-816.34932137117 -15.6636700385034 -208.125640579352</f>
        <v>-1040.1386319890255</v>
      </c>
      <c r="E3772">
        <f>-826.107663220377 -21.2516011372231 -306.10622258873</f>
        <v>-1153.4654869463302</v>
      </c>
      <c r="F3772">
        <f>-832.989119122262 -24.4952832192673 -394.877662049217</f>
        <v>-1252.3620643907464</v>
      </c>
      <c r="G3772">
        <f>-837.558692807623 -25.8513920994678 -483.846951487746</f>
        <v>-1347.2570363948369</v>
      </c>
      <c r="H3772">
        <f>-841.480976164729 -25.8144572689766 -608.367714612022</f>
        <v>-1475.6631480457277</v>
      </c>
      <c r="I3772">
        <f>-812.613245223641 -19.4393328808094 -686.027357737374</f>
        <v>-1518.0799358418244</v>
      </c>
      <c r="J3772" t="s">
        <v>41166</v>
      </c>
      <c r="K3772" t="s">
        <v>41167</v>
      </c>
      <c r="L3772" t="s">
        <v>41168</v>
      </c>
      <c r="M3772" t="s">
        <v>41169</v>
      </c>
      <c r="N3772">
        <f>-831.071871548741 -52.1425513823729 -553.853590825301</f>
        <v>-1437.068013756415</v>
      </c>
      <c r="O3772">
        <f>-788.571268662644 -179.755382152335 -525.457007746638</f>
        <v>-1493.7836585616169</v>
      </c>
      <c r="P3772">
        <f>-775.738295719728 -208.83904647818 -232.915369310925</f>
        <v>-1217.4927115088328</v>
      </c>
      <c r="Q3772">
        <f>-640.670273499831 -39.4617241190078 -338.361025640102</f>
        <v>-1018.4930232589409</v>
      </c>
      <c r="R3772" t="s">
        <v>41170</v>
      </c>
      <c r="S3772" t="s">
        <v>41171</v>
      </c>
      <c r="T3772" t="s">
        <v>41172</v>
      </c>
      <c r="U3772" t="s">
        <v>41173</v>
      </c>
      <c r="V3772">
        <f>-757.595597857693 -88.4906791677445 -92.4289830613595</f>
        <v>-938.51526008679696</v>
      </c>
      <c r="W3772" t="s">
        <v>41174</v>
      </c>
      <c r="X3772" t="s">
        <v>41175</v>
      </c>
      <c r="Y3772" t="s">
        <v>41176</v>
      </c>
    </row>
    <row r="3773" spans="1:25" x14ac:dyDescent="0.3">
      <c r="A3773">
        <v>188600</v>
      </c>
      <c r="B3773" t="s">
        <v>41177</v>
      </c>
      <c r="C3773">
        <f>-797.870826359602 -3.0325354657657 -94.4984323875024</f>
        <v>-895.40179421287007</v>
      </c>
      <c r="D3773">
        <f>-816.283055939367 -15.7492890461508 -208.144803988533</f>
        <v>-1040.1771489740509</v>
      </c>
      <c r="E3773">
        <f>-826.017960133268 -21.3405213707758 -306.127590551397</f>
        <v>-1153.4860720554409</v>
      </c>
      <c r="F3773">
        <f>-832.872946775708 -24.5793769424256 -394.901172369639</f>
        <v>-1252.3534960877726</v>
      </c>
      <c r="G3773">
        <f>-837.411470754942 -25.9219423342058 -483.872243931807</f>
        <v>-1347.2056570209547</v>
      </c>
      <c r="H3773">
        <f>-841.284948703575 -25.85725523065 -608.39453466419</f>
        <v>-1475.536738598415</v>
      </c>
      <c r="I3773">
        <f>-812.328291184067 -19.350422063595 -686.010283950337</f>
        <v>-1517.688997197999</v>
      </c>
      <c r="J3773" t="s">
        <v>41178</v>
      </c>
      <c r="K3773" t="s">
        <v>41179</v>
      </c>
      <c r="L3773" t="s">
        <v>41180</v>
      </c>
      <c r="M3773" t="s">
        <v>41181</v>
      </c>
      <c r="N3773">
        <f>-830.835805746373 -52.1771534336517 -553.884209257507</f>
        <v>-1436.8971684375317</v>
      </c>
      <c r="O3773">
        <f>-788.070131419938 -179.710692260331 -525.528025420525</f>
        <v>-1493.3088491007939</v>
      </c>
      <c r="P3773">
        <f>-775.229863027453 -208.904630308734 -232.99763417076</f>
        <v>-1217.132127506947</v>
      </c>
      <c r="Q3773">
        <f>-640.433083829716 -39.1416203598606 -338.169908828956</f>
        <v>-1017.7446130185326</v>
      </c>
      <c r="R3773" t="s">
        <v>41182</v>
      </c>
      <c r="S3773" t="s">
        <v>41183</v>
      </c>
      <c r="T3773" t="s">
        <v>41184</v>
      </c>
      <c r="U3773" t="s">
        <v>41185</v>
      </c>
      <c r="V3773">
        <f>-757.384976187019 -88.5420304433874 -92.4475515849952</f>
        <v>-938.37455821540152</v>
      </c>
      <c r="W3773" t="s">
        <v>41186</v>
      </c>
      <c r="X3773" t="s">
        <v>41187</v>
      </c>
      <c r="Y3773" t="s">
        <v>41188</v>
      </c>
    </row>
    <row r="3774" spans="1:25" x14ac:dyDescent="0.3">
      <c r="A3774">
        <v>188650</v>
      </c>
      <c r="B3774" t="s">
        <v>41189</v>
      </c>
      <c r="C3774">
        <f>-797.794082088642 -3.08972832248332 -94.5256202244477</f>
        <v>-895.40943063557302</v>
      </c>
      <c r="D3774">
        <f>-816.158253303442 -15.8958635415404 -208.169656383453</f>
        <v>-1040.2237732284354</v>
      </c>
      <c r="E3774">
        <f>-825.834228721539 -21.4974853038791 -306.157669507199</f>
        <v>-1153.489383532617</v>
      </c>
      <c r="F3774">
        <f>-832.627348070403 -24.721140749941 -394.936594357344</f>
        <v>-1252.285083177688</v>
      </c>
      <c r="G3774">
        <f>-837.095812976363 -26.0220057689942 -483.911865042328</f>
        <v>-1347.0296837876851</v>
      </c>
      <c r="H3774">
        <f>-840.862710665303 -25.8708405455848 -608.437303089516</f>
        <v>-1475.1708543004038</v>
      </c>
      <c r="I3774">
        <f>-811.795016293202 -19.061017552453 -685.985644262617</f>
        <v>-1516.8416781082719</v>
      </c>
      <c r="J3774" t="s">
        <v>41190</v>
      </c>
      <c r="K3774" t="s">
        <v>41191</v>
      </c>
      <c r="L3774" t="s">
        <v>41192</v>
      </c>
      <c r="M3774" t="s">
        <v>41193</v>
      </c>
      <c r="N3774">
        <f>-830.310571300434 -52.1783493200628 -553.94077575986</f>
        <v>-1436.4296963803567</v>
      </c>
      <c r="O3774">
        <f>-786.85950408381 -179.487156430443 -525.607796207942</f>
        <v>-1491.9544567221951</v>
      </c>
      <c r="P3774">
        <f>-774.067827888976 -208.752367185529 -233.082275421043</f>
        <v>-1215.902470495548</v>
      </c>
      <c r="Q3774">
        <f>-639.995311058027 -38.201275088916 -337.904907962004</f>
        <v>-1016.101494108947</v>
      </c>
      <c r="R3774" t="s">
        <v>41194</v>
      </c>
      <c r="S3774" t="s">
        <v>41195</v>
      </c>
      <c r="T3774" t="s">
        <v>41196</v>
      </c>
      <c r="U3774" t="s">
        <v>41197</v>
      </c>
      <c r="V3774">
        <f>-756.868212758008 -88.6588091464113 -92.4611693995439</f>
        <v>-937.98819130396316</v>
      </c>
      <c r="W3774" t="s">
        <v>41198</v>
      </c>
      <c r="X3774" t="s">
        <v>41199</v>
      </c>
      <c r="Y3774" t="s">
        <v>41200</v>
      </c>
    </row>
    <row r="3775" spans="1:25" x14ac:dyDescent="0.3">
      <c r="A3775">
        <v>188700</v>
      </c>
      <c r="B3775" t="s">
        <v>41201</v>
      </c>
      <c r="C3775">
        <f>-798.041197551046 -2.729779962463 -94.5619992450106</f>
        <v>-895.33297675851964</v>
      </c>
      <c r="D3775">
        <f>-816.353083179842 -15.6189394364342 -208.205163590352</f>
        <v>-1040.1771862066282</v>
      </c>
      <c r="E3775">
        <f>-825.981314872793 -21.2438868488855 -306.196597009652</f>
        <v>-1153.4217987313305</v>
      </c>
      <c r="F3775">
        <f>-832.729528156353 -24.4705391858463 -394.978850545725</f>
        <v>-1252.1789178879244</v>
      </c>
      <c r="G3775">
        <f>-837.151750249303 -25.7544954546929 -483.956516392639</f>
        <v>-1346.8627620966349</v>
      </c>
      <c r="H3775">
        <f>-840.852834712339 -25.5575892357006 -608.484026763028</f>
        <v>-1474.8944507110677</v>
      </c>
      <c r="I3775">
        <f>-811.777306431688 -18.5031473007696 -686.007334983889</f>
        <v>-1516.2877887163465</v>
      </c>
      <c r="J3775" t="s">
        <v>41202</v>
      </c>
      <c r="K3775" t="s">
        <v>41203</v>
      </c>
      <c r="L3775" t="s">
        <v>41204</v>
      </c>
      <c r="M3775" t="s">
        <v>41205</v>
      </c>
      <c r="N3775">
        <f>-830.196933543404 -51.8397485770455 -553.995287217297</f>
        <v>-1436.0319693377464</v>
      </c>
      <c r="O3775">
        <f>-786.134361842045 -178.937097362143 -525.656092762093</f>
        <v>-1490.7275519662808</v>
      </c>
      <c r="P3775">
        <f>-773.079235347156 -208.056931073915 -233.127809549188</f>
        <v>-1214.263975970259</v>
      </c>
      <c r="Q3775">
        <f>-639.818313683063 -36.9998125774089 -338.160226945705</f>
        <v>-1014.978353206177</v>
      </c>
      <c r="R3775" t="s">
        <v>41206</v>
      </c>
      <c r="S3775" t="s">
        <v>41207</v>
      </c>
      <c r="T3775" t="s">
        <v>41208</v>
      </c>
      <c r="U3775" t="s">
        <v>41209</v>
      </c>
      <c r="V3775">
        <f>-756.877047370391 -88.1985919328584 -92.4640316577079</f>
        <v>-937.53967096095732</v>
      </c>
      <c r="W3775" t="s">
        <v>41210</v>
      </c>
      <c r="X3775" t="s">
        <v>41211</v>
      </c>
      <c r="Y3775" t="s">
        <v>41212</v>
      </c>
    </row>
    <row r="3776" spans="1:25" x14ac:dyDescent="0.3">
      <c r="A3776">
        <v>188750</v>
      </c>
      <c r="B3776" t="s">
        <v>41213</v>
      </c>
      <c r="C3776">
        <f>-798.167541449019 -2.60676824986513 -94.5720724922942</f>
        <v>-895.34638219117835</v>
      </c>
      <c r="D3776">
        <f>-816.470324458975 -15.5320564905371 -208.212473661913</f>
        <v>-1040.2148546114252</v>
      </c>
      <c r="E3776">
        <f>-826.098720405887 -21.1767583349592 -306.202808186693</f>
        <v>-1153.4782869275391</v>
      </c>
      <c r="F3776">
        <f>-832.849858841759 -24.4167735552976 -394.984388930897</f>
        <v>-1252.2510213279536</v>
      </c>
      <c r="G3776">
        <f>-837.27858256925 -25.708905799936 -483.961750182125</f>
        <v>-1346.9492385513111</v>
      </c>
      <c r="H3776">
        <f>-840.992522579782 -25.5176074379838 -608.488674447643</f>
        <v>-1474.9988044654087</v>
      </c>
      <c r="I3776">
        <f>-811.941395594212 -18.3775010804541 -686.013465646693</f>
        <v>-1516.3323623213591</v>
      </c>
      <c r="J3776" t="s">
        <v>41214</v>
      </c>
      <c r="K3776" t="s">
        <v>41215</v>
      </c>
      <c r="L3776" t="s">
        <v>41216</v>
      </c>
      <c r="M3776" t="s">
        <v>41217</v>
      </c>
      <c r="N3776">
        <f>-830.278985078034 -51.7793880390134 -554.001591080203</f>
        <v>-1436.0599641972503</v>
      </c>
      <c r="O3776">
        <f>-785.959392934656 -178.779908970188 -525.645028765778</f>
        <v>-1490.3843306706219</v>
      </c>
      <c r="P3776">
        <f>-772.639921964629 -207.845540842298 -233.12327361255</f>
        <v>-1213.6087364194771</v>
      </c>
      <c r="Q3776">
        <f>-639.791329470133 -36.5628272440354 -338.31051323286</f>
        <v>-1014.6646699470283</v>
      </c>
      <c r="R3776" t="s">
        <v>41218</v>
      </c>
      <c r="S3776" t="s">
        <v>41219</v>
      </c>
      <c r="T3776" t="s">
        <v>41220</v>
      </c>
      <c r="U3776" t="s">
        <v>41221</v>
      </c>
      <c r="V3776">
        <f>-756.857905660777 -88.1206533712042 -92.4684969767724</f>
        <v>-937.44705600875352</v>
      </c>
      <c r="W3776" t="s">
        <v>41222</v>
      </c>
      <c r="X3776" t="s">
        <v>41223</v>
      </c>
      <c r="Y3776" t="s">
        <v>41224</v>
      </c>
    </row>
    <row r="3777" spans="1:25" x14ac:dyDescent="0.3">
      <c r="A3777">
        <v>188800</v>
      </c>
      <c r="B3777" t="s">
        <v>41225</v>
      </c>
      <c r="C3777">
        <f>-798.361655979864 -2.37981205015922 -94.5833537198264</f>
        <v>-895.32482174984966</v>
      </c>
      <c r="D3777">
        <f>-816.653526568465 -15.3571085834974 -208.21975093974</f>
        <v>-1040.2303860917025</v>
      </c>
      <c r="E3777">
        <f>-826.30285722797 -21.0329531065688 -306.206150069058</f>
        <v>-1153.5419604035969</v>
      </c>
      <c r="F3777">
        <f>-833.085302166372 -24.2959965049711 -394.984486362723</f>
        <v>-1252.365785034066</v>
      </c>
      <c r="G3777">
        <f>-837.558229402618 -25.6040947211327 -483.959302363357</f>
        <v>-1347.1216264871077</v>
      </c>
      <c r="H3777">
        <f>-841.347631383015 -25.4272128114108 -608.48409313124</f>
        <v>-1475.2589373256658</v>
      </c>
      <c r="I3777">
        <f>-812.37739659795 -18.174953955936 -686.028588993989</f>
        <v>-1516.580939547875</v>
      </c>
      <c r="J3777" t="s">
        <v>41226</v>
      </c>
      <c r="K3777" t="s">
        <v>41227</v>
      </c>
      <c r="L3777" t="s">
        <v>41228</v>
      </c>
      <c r="M3777" t="s">
        <v>41229</v>
      </c>
      <c r="N3777">
        <f>-830.514472714699 -51.6524128542048 -554.002937904228</f>
        <v>-1436.1698234731318</v>
      </c>
      <c r="O3777">
        <f>-785.794252592368 -178.510204049426 -525.630136872723</f>
        <v>-1489.934593514517</v>
      </c>
      <c r="P3777">
        <f>-771.979914002649 -207.395830296815 -233.11357349925</f>
        <v>-1212.489317798714</v>
      </c>
      <c r="Q3777">
        <f>-639.626350493946 -35.8420864993425 -338.482933893563</f>
        <v>-1013.9513708868515</v>
      </c>
      <c r="R3777" t="s">
        <v>41230</v>
      </c>
      <c r="S3777" t="s">
        <v>41231</v>
      </c>
      <c r="T3777" t="s">
        <v>41232</v>
      </c>
      <c r="U3777" t="s">
        <v>41233</v>
      </c>
      <c r="V3777">
        <f>-756.817609927958 -87.935389052914 -92.4923883508544</f>
        <v>-937.24538733172642</v>
      </c>
      <c r="W3777" t="s">
        <v>41234</v>
      </c>
      <c r="X3777" t="s">
        <v>41235</v>
      </c>
      <c r="Y3777" t="s">
        <v>41236</v>
      </c>
    </row>
    <row r="3778" spans="1:25" x14ac:dyDescent="0.3">
      <c r="A3778">
        <v>188850</v>
      </c>
      <c r="B3778" t="s">
        <v>41237</v>
      </c>
      <c r="C3778">
        <f>-798.415638767159 -2.25219113671801 -94.5895923630736</f>
        <v>-895.25742226695058</v>
      </c>
      <c r="D3778">
        <f>-816.701294735854 -15.2599486188101 -208.223386038525</f>
        <v>-1040.1846293931892</v>
      </c>
      <c r="E3778">
        <f>-826.3673509393 -20.9555661712905 -306.207129677512</f>
        <v>-1153.5300467881025</v>
      </c>
      <c r="F3778">
        <f>-833.173655643469 -24.2342247822248 -394.983029238412</f>
        <v>-1252.3909096641059</v>
      </c>
      <c r="G3778">
        <f>-837.67920233296 -25.5549814772914 -483.956029869586</f>
        <v>-1347.1902136798376</v>
      </c>
      <c r="H3778">
        <f>-841.523615625091 -25.3922985830459 -608.479162682328</f>
        <v>-1475.3950768904649</v>
      </c>
      <c r="I3778">
        <f>-812.607286551325 -18.1162781178282 -686.041537461161</f>
        <v>-1516.7651021303143</v>
      </c>
      <c r="J3778" t="s">
        <v>41238</v>
      </c>
      <c r="K3778" t="s">
        <v>41239</v>
      </c>
      <c r="L3778" t="s">
        <v>41240</v>
      </c>
      <c r="M3778" t="s">
        <v>41241</v>
      </c>
      <c r="N3778">
        <f>-830.633640872686 -51.5998166415877 -554.000668768746</f>
        <v>-1436.2341262830196</v>
      </c>
      <c r="O3778">
        <f>-785.753583818795 -178.398103402254 -525.60533763005</f>
        <v>-1489.7570248510992</v>
      </c>
      <c r="P3778">
        <f>-771.759307862991 -207.196768970273 -233.088754116437</f>
        <v>-1212.044830949701</v>
      </c>
      <c r="Q3778">
        <f>-639.582244755667 -35.5481678566737 -338.525127897734</f>
        <v>-1013.6555405100747</v>
      </c>
      <c r="R3778" t="s">
        <v>41242</v>
      </c>
      <c r="S3778" t="s">
        <v>41243</v>
      </c>
      <c r="T3778" t="s">
        <v>41244</v>
      </c>
      <c r="U3778" t="s">
        <v>41245</v>
      </c>
      <c r="V3778">
        <f>-756.774562900833 -87.7730425923597 -92.497916846707</f>
        <v>-937.04552233989966</v>
      </c>
      <c r="W3778" t="s">
        <v>41246</v>
      </c>
      <c r="X3778" t="s">
        <v>41247</v>
      </c>
      <c r="Y3778" t="s">
        <v>41248</v>
      </c>
    </row>
    <row r="3779" spans="1:25" x14ac:dyDescent="0.3">
      <c r="A3779">
        <v>188900</v>
      </c>
      <c r="B3779" t="s">
        <v>41249</v>
      </c>
      <c r="C3779">
        <f>-798.508225166711 -2.00910894050935 -94.6079916165448</f>
        <v>-895.12532572376517</v>
      </c>
      <c r="D3779">
        <f>-816.840847561009 -15.088262377049 -208.225999848178</f>
        <v>-1040.1551097862359</v>
      </c>
      <c r="E3779">
        <f>-826.549271241054 -20.81871763956 -306.203502800008</f>
        <v>-1153.5714916806219</v>
      </c>
      <c r="F3779">
        <f>-833.393860459409 -24.1190385655093 -394.975580881594</f>
        <v>-1252.4884799065123</v>
      </c>
      <c r="G3779">
        <f>-837.938032789734 -25.4508688457086 -483.946472781819</f>
        <v>-1347.3353744172616</v>
      </c>
      <c r="H3779">
        <f>-841.836471773043 -25.2925116047111 -608.467978747691</f>
        <v>-1475.5969621254449</v>
      </c>
      <c r="I3779">
        <f>-813.042273743075 -17.9917240550067 -686.073485968108</f>
        <v>-1517.1074837661897</v>
      </c>
      <c r="J3779" t="s">
        <v>41250</v>
      </c>
      <c r="K3779" t="s">
        <v>41251</v>
      </c>
      <c r="L3779" t="s">
        <v>41252</v>
      </c>
      <c r="M3779" t="s">
        <v>41253</v>
      </c>
      <c r="N3779">
        <f>-830.874600935336 -51.4809881814126 -553.994905529368</f>
        <v>-1436.3504946461167</v>
      </c>
      <c r="O3779">
        <f>-785.786910351472 -178.1954652473 -525.582851013793</f>
        <v>-1489.5652266125649</v>
      </c>
      <c r="P3779">
        <f>-771.53617945807 -206.814240227706 -233.060926480522</f>
        <v>-1211.411346166298</v>
      </c>
      <c r="Q3779">
        <f>-639.729699722032 -34.9485597426146 -338.607555364937</f>
        <v>-1013.2858148295836</v>
      </c>
      <c r="R3779" t="s">
        <v>41254</v>
      </c>
      <c r="S3779" t="s">
        <v>41255</v>
      </c>
      <c r="T3779" t="s">
        <v>41256</v>
      </c>
      <c r="U3779" t="s">
        <v>41257</v>
      </c>
      <c r="V3779">
        <f>-756.697844274436 -87.5939582563055 -92.5000821832703</f>
        <v>-936.79188471401176</v>
      </c>
      <c r="W3779" t="s">
        <v>41258</v>
      </c>
      <c r="X3779" t="s">
        <v>41259</v>
      </c>
      <c r="Y3779" t="s">
        <v>41260</v>
      </c>
    </row>
    <row r="3780" spans="1:25" x14ac:dyDescent="0.3">
      <c r="A3780">
        <v>188950</v>
      </c>
      <c r="B3780" t="s">
        <v>41261</v>
      </c>
      <c r="C3780">
        <f>-798.550051612465 -1.90921090831307 -94.6197818608388</f>
        <v>-895.07904438161688</v>
      </c>
      <c r="D3780">
        <f>-816.928021088125 -15.0336142965352 -208.225265318528</f>
        <v>-1040.1869007031883</v>
      </c>
      <c r="E3780">
        <f>-826.661640182451 -20.7846354334524 -306.199064379707</f>
        <v>-1153.6453399956104</v>
      </c>
      <c r="F3780">
        <f>-833.523372436417 -24.0963177997014 -394.969410815179</f>
        <v>-1252.5891010512973</v>
      </c>
      <c r="G3780">
        <f>-838.079027033 -25.4323150049363 -483.939677591555</f>
        <v>-1347.4510196294914</v>
      </c>
      <c r="H3780">
        <f>-841.987429556851 -25.2719295029401 -608.460762739785</f>
        <v>-1475.7201217995762</v>
      </c>
      <c r="I3780">
        <f>-813.23910462111 -17.9534504211194 -686.081593386353</f>
        <v>-1517.2741484285825</v>
      </c>
      <c r="J3780" t="s">
        <v>41262</v>
      </c>
      <c r="K3780" t="s">
        <v>41263</v>
      </c>
      <c r="L3780" t="s">
        <v>41264</v>
      </c>
      <c r="M3780" t="s">
        <v>41265</v>
      </c>
      <c r="N3780">
        <f>-830.996893770067 -51.4525679638433 -553.989859940834</f>
        <v>-1436.4393216747444</v>
      </c>
      <c r="O3780">
        <f>-785.796999386838 -178.131332212319 -525.57514488221</f>
        <v>-1489.503476481367</v>
      </c>
      <c r="P3780">
        <f>-771.420017795135 -206.765291607648 -233.060804429896</f>
        <v>-1211.2461138326789</v>
      </c>
      <c r="Q3780">
        <f>-639.959575928836 -34.6368351619351 -338.610920421247</f>
        <v>-1013.2073315120181</v>
      </c>
      <c r="R3780" t="s">
        <v>41266</v>
      </c>
      <c r="S3780" t="s">
        <v>41267</v>
      </c>
      <c r="T3780" t="s">
        <v>41268</v>
      </c>
      <c r="U3780" t="s">
        <v>41269</v>
      </c>
      <c r="V3780">
        <f>-756.671203346193 -87.5076012507207 -92.5114906578481</f>
        <v>-936.69029525476174</v>
      </c>
      <c r="W3780" t="s">
        <v>41270</v>
      </c>
      <c r="X3780" t="s">
        <v>41271</v>
      </c>
      <c r="Y3780" t="s">
        <v>41272</v>
      </c>
    </row>
    <row r="3781" spans="1:25" x14ac:dyDescent="0.3">
      <c r="A3781">
        <v>189000</v>
      </c>
      <c r="B3781" t="s">
        <v>41273</v>
      </c>
      <c r="C3781">
        <f>-798.545316818849 -1.90734878288163 -94.6394195691313</f>
        <v>-895.09208517086188</v>
      </c>
      <c r="D3781">
        <f>-817.039765184011 -15.1363983743981 -208.213842089045</f>
        <v>-1040.390005647454</v>
      </c>
      <c r="E3781">
        <f>-826.849151717743 -20.9282574667866 -306.17764328314</f>
        <v>-1153.9550524676697</v>
      </c>
      <c r="F3781">
        <f>-833.768725957551 -24.2580318759358 -394.942961105175</f>
        <v>-1252.9697189386618</v>
      </c>
      <c r="G3781">
        <f>-838.371545829341 -25.5925993174558 -483.910759445467</f>
        <v>-1347.8749045922639</v>
      </c>
      <c r="H3781">
        <f>-842.334728744729 -25.4096542443624 -608.430114616436</f>
        <v>-1476.1744976055274</v>
      </c>
      <c r="I3781">
        <f>-813.658564786118 -18.0196146832589 -686.070819344645</f>
        <v>-1517.7489988140219</v>
      </c>
      <c r="J3781" t="s">
        <v>41274</v>
      </c>
      <c r="K3781" t="s">
        <v>41275</v>
      </c>
      <c r="L3781" t="s">
        <v>41276</v>
      </c>
      <c r="M3781" t="s">
        <v>41277</v>
      </c>
      <c r="N3781">
        <f>-831.268360426152 -51.581846547843 -553.970253921161</f>
        <v>-1436.820460895156</v>
      </c>
      <c r="O3781">
        <f>-785.835063247852 -178.181550018221 -525.562936597495</f>
        <v>-1489.579549863568</v>
      </c>
      <c r="P3781">
        <f>-771.145483047253 -206.769218503704 -233.059549548494</f>
        <v>-1210.9742510994511</v>
      </c>
      <c r="Q3781">
        <f>-640.21651832753 -34.3217609564892 -338.749286938185</f>
        <v>-1013.2875662222043</v>
      </c>
      <c r="R3781" t="s">
        <v>41278</v>
      </c>
      <c r="S3781" t="s">
        <v>41279</v>
      </c>
      <c r="T3781" t="s">
        <v>41280</v>
      </c>
      <c r="U3781" t="s">
        <v>41281</v>
      </c>
      <c r="V3781">
        <f>-756.499198871935 -87.5461000389428 -92.5235254063236</f>
        <v>-936.56882431720146</v>
      </c>
      <c r="W3781" t="s">
        <v>41282</v>
      </c>
      <c r="X3781" t="s">
        <v>41283</v>
      </c>
      <c r="Y3781" t="s">
        <v>41284</v>
      </c>
    </row>
    <row r="3782" spans="1:25" x14ac:dyDescent="0.3">
      <c r="A3782">
        <v>189050</v>
      </c>
      <c r="B3782" t="s">
        <v>41285</v>
      </c>
      <c r="C3782">
        <f>-798.534125175143 -1.89947663986914 -94.6434849723266</f>
        <v>-895.07708678733877</v>
      </c>
      <c r="D3782">
        <f>-817.064153998599 -15.154999557526 -208.209114715008</f>
        <v>-1040.428268271133</v>
      </c>
      <c r="E3782">
        <f>-826.910796489869 -20.9507026121269 -306.168832268475</f>
        <v>-1154.0303313704708</v>
      </c>
      <c r="F3782">
        <f>-833.866663353996 -24.2764337341096 -394.931392286727</f>
        <v>-1253.0744893748326</v>
      </c>
      <c r="G3782">
        <f>-838.50863482233 -25.5983796751916 -483.89739760489</f>
        <v>-1348.0044121024116</v>
      </c>
      <c r="H3782">
        <f>-842.529572714973 -25.3890302306447 -608.414890538102</f>
        <v>-1476.3334934837198</v>
      </c>
      <c r="I3782">
        <f>-813.885834965535 -17.9454354685142 -686.062611759721</f>
        <v>-1517.8938821937702</v>
      </c>
      <c r="J3782" t="s">
        <v>41286</v>
      </c>
      <c r="K3782" t="s">
        <v>41287</v>
      </c>
      <c r="L3782" t="s">
        <v>41288</v>
      </c>
      <c r="M3782" t="s">
        <v>41289</v>
      </c>
      <c r="N3782">
        <f>-831.407421040082 -51.5617012280645 -553.966741858348</f>
        <v>-1436.9358641264944</v>
      </c>
      <c r="O3782">
        <f>-785.828979386795 -178.113542667723 -525.593277602242</f>
        <v>-1489.53579965676</v>
      </c>
      <c r="P3782">
        <f>-770.997581471788 -206.728407552758 -233.099802424985</f>
        <v>-1210.8257914495309</v>
      </c>
      <c r="Q3782">
        <f>-640.289805097508 -34.1587660730579 -338.864211478238</f>
        <v>-1013.3127826488039</v>
      </c>
      <c r="R3782" t="s">
        <v>41290</v>
      </c>
      <c r="S3782" t="s">
        <v>41291</v>
      </c>
      <c r="T3782" t="s">
        <v>41292</v>
      </c>
      <c r="U3782" t="s">
        <v>41293</v>
      </c>
      <c r="V3782">
        <f>-756.448146976223 -87.4700713324155 -92.5244162385911</f>
        <v>-936.44263454722966</v>
      </c>
      <c r="W3782" t="s">
        <v>41294</v>
      </c>
      <c r="X3782" t="s">
        <v>41295</v>
      </c>
      <c r="Y3782" t="s">
        <v>41296</v>
      </c>
    </row>
    <row r="3783" spans="1:25" x14ac:dyDescent="0.3">
      <c r="A3783">
        <v>189100</v>
      </c>
      <c r="B3783" t="s">
        <v>41297</v>
      </c>
      <c r="C3783">
        <f>-798.456721866997 -2.02420351062233 -94.6310488428984</f>
        <v>-895.11197422051771</v>
      </c>
      <c r="D3783">
        <f>-817.032585734026 -15.3373812934894 -208.182428846381</f>
        <v>-1040.5523958738966</v>
      </c>
      <c r="E3783">
        <f>-826.945956222671 -21.1477714560472 -306.134568967092</f>
        <v>-1154.2282966458101</v>
      </c>
      <c r="F3783">
        <f>-833.973019853999 -24.4725253514162 -394.891610521055</f>
        <v>-1253.33715572647</v>
      </c>
      <c r="G3783">
        <f>-838.697601181735 -25.7779291876004 -483.853544720128</f>
        <v>-1348.3290750894635</v>
      </c>
      <c r="H3783">
        <f>-842.845577082293 -25.5284870151397 -608.366722114224</f>
        <v>-1476.7407862116565</v>
      </c>
      <c r="I3783">
        <f>-814.264796480909 -17.9821944483817 -686.027701739911</f>
        <v>-1518.2746926692016</v>
      </c>
      <c r="J3783" t="s">
        <v>41298</v>
      </c>
      <c r="K3783" t="s">
        <v>41299</v>
      </c>
      <c r="L3783" t="s">
        <v>41300</v>
      </c>
      <c r="M3783" t="s">
        <v>41301</v>
      </c>
      <c r="N3783">
        <f>-831.605279632844 -51.6962171373324 -553.940538626485</f>
        <v>-1437.2420353966613</v>
      </c>
      <c r="O3783">
        <f>-785.735433617714 -178.156361223724 -525.614316926377</f>
        <v>-1489.5061117678151</v>
      </c>
      <c r="P3783">
        <f>-770.536240210661 -206.741970988855 -233.136973421923</f>
        <v>-1210.415184621439</v>
      </c>
      <c r="Q3783">
        <f>-640.233359479369 -33.778927397294 -338.758284797068</f>
        <v>-1012.770571673731</v>
      </c>
      <c r="R3783" t="s">
        <v>41302</v>
      </c>
      <c r="S3783" t="s">
        <v>41303</v>
      </c>
      <c r="T3783" t="s">
        <v>41304</v>
      </c>
      <c r="U3783" t="s">
        <v>41305</v>
      </c>
      <c r="V3783">
        <f>-756.270232234491 -87.5665136410025 -92.5147165425458</f>
        <v>-936.35146241803932</v>
      </c>
      <c r="W3783" t="s">
        <v>41306</v>
      </c>
      <c r="X3783" t="s">
        <v>41307</v>
      </c>
      <c r="Y3783" t="s">
        <v>41308</v>
      </c>
    </row>
    <row r="3784" spans="1:25" x14ac:dyDescent="0.3">
      <c r="A3784">
        <v>189150</v>
      </c>
      <c r="B3784" t="s">
        <v>41309</v>
      </c>
      <c r="C3784">
        <f>-798.431061821761 -2.0792554724419 -94.6351833220702</f>
        <v>-895.14550061627313</v>
      </c>
      <c r="D3784">
        <f>-817.030620266253 -15.4205116675118 -208.179368498363</f>
        <v>-1040.6305004321277</v>
      </c>
      <c r="E3784">
        <f>-826.962960988584 -21.2331832998514 -306.129446063612</f>
        <v>-1154.3255903520474</v>
      </c>
      <c r="F3784">
        <f>-834.006408041458 -24.5510112988786 -394.885473310825</f>
        <v>-1253.4428926511616</v>
      </c>
      <c r="G3784">
        <f>-838.746655566577 -25.8404711476123 -483.846638416247</f>
        <v>-1348.4337651304363</v>
      </c>
      <c r="H3784">
        <f>-842.916024046963 -25.5584927658463 -608.359129494287</f>
        <v>-1476.8336463070964</v>
      </c>
      <c r="I3784">
        <f>-814.363327662843 -17.9612500160099 -686.025503202886</f>
        <v>-1518.3500808817389</v>
      </c>
      <c r="J3784" t="s">
        <v>41310</v>
      </c>
      <c r="K3784" t="s">
        <v>41311</v>
      </c>
      <c r="L3784" t="s">
        <v>41312</v>
      </c>
      <c r="M3784" t="s">
        <v>41313</v>
      </c>
      <c r="N3784">
        <f>-831.63463782428 -51.7289413473276 -553.94262370538</f>
        <v>-1437.3062028769878</v>
      </c>
      <c r="O3784">
        <f>-785.621555088314 -178.141543351131 -525.652257680234</f>
        <v>-1489.415356119679</v>
      </c>
      <c r="P3784">
        <f>-770.400653694947 -206.756540587892 -233.178865090688</f>
        <v>-1210.336059373527</v>
      </c>
      <c r="Q3784">
        <f>-640.147659001623 -33.7115988418454 -338.727246124475</f>
        <v>-1012.5865039679434</v>
      </c>
      <c r="R3784" t="s">
        <v>41314</v>
      </c>
      <c r="S3784" t="s">
        <v>41315</v>
      </c>
      <c r="T3784" t="s">
        <v>41316</v>
      </c>
      <c r="U3784" t="s">
        <v>41317</v>
      </c>
      <c r="V3784">
        <f>-756.163848691124 -87.670450362087 -92.5185845080621</f>
        <v>-936.35288356127307</v>
      </c>
      <c r="W3784" t="s">
        <v>41318</v>
      </c>
      <c r="X3784" t="s">
        <v>41319</v>
      </c>
      <c r="Y3784" t="s">
        <v>41320</v>
      </c>
    </row>
    <row r="3785" spans="1:25" x14ac:dyDescent="0.3">
      <c r="A3785">
        <v>189200</v>
      </c>
      <c r="B3785" t="s">
        <v>41321</v>
      </c>
      <c r="C3785">
        <f>-798.362128200414 -2.2053444333676 -94.6444105977678</f>
        <v>-895.21188323154934</v>
      </c>
      <c r="D3785">
        <f>-816.985048218991 -15.5925863319478 -208.179325980685</f>
        <v>-1040.7569605316239</v>
      </c>
      <c r="E3785">
        <f>-826.928518674452 -21.4117293919585 -306.127879214359</f>
        <v>-1154.4681272807695</v>
      </c>
      <c r="F3785">
        <f>-833.978002896064 -24.7230896857834 -394.883731217728</f>
        <v>-1253.5848237995754</v>
      </c>
      <c r="G3785">
        <f>-838.720552267729 -25.9924814594024 -483.845061434611</f>
        <v>-1348.5580951617424</v>
      </c>
      <c r="H3785">
        <f>-842.889395686899 -25.6680105755815 -608.357508564921</f>
        <v>-1476.9149148274014</v>
      </c>
      <c r="I3785">
        <f>-814.379415829654 -17.9786620681421 -686.030502852614</f>
        <v>-1518.38858075041</v>
      </c>
      <c r="J3785" t="s">
        <v>41322</v>
      </c>
      <c r="K3785" t="s">
        <v>41323</v>
      </c>
      <c r="L3785" t="s">
        <v>41324</v>
      </c>
      <c r="M3785" t="s">
        <v>41325</v>
      </c>
      <c r="N3785">
        <f>-831.554109775935 -51.837286842382 -553.951589645837</f>
        <v>-1437.342986264154</v>
      </c>
      <c r="O3785">
        <f>-785.315427918011 -178.179130960074 -525.706022143317</f>
        <v>-1489.2005810214018</v>
      </c>
      <c r="P3785">
        <f>-770.039616339888 -206.859379731922 -233.24187454239</f>
        <v>-1210.1408706141999</v>
      </c>
      <c r="Q3785">
        <f>-639.915818655612 -33.6595582679649 -338.69556475686</f>
        <v>-1012.270941680437</v>
      </c>
      <c r="R3785" t="s">
        <v>41326</v>
      </c>
      <c r="S3785" t="s">
        <v>41327</v>
      </c>
      <c r="T3785" t="s">
        <v>41328</v>
      </c>
      <c r="U3785" t="s">
        <v>41329</v>
      </c>
      <c r="V3785">
        <f>-755.945723025903 -87.9083207858429 -92.5204605081731</f>
        <v>-936.37450431991897</v>
      </c>
      <c r="W3785" t="s">
        <v>41330</v>
      </c>
      <c r="X3785" t="s">
        <v>41331</v>
      </c>
      <c r="Y3785" t="s">
        <v>41332</v>
      </c>
    </row>
    <row r="3786" spans="1:25" x14ac:dyDescent="0.3">
      <c r="A3786">
        <v>189250</v>
      </c>
      <c r="B3786" t="s">
        <v>41333</v>
      </c>
      <c r="C3786">
        <f>-798.331657773688 -2.29452031654432 -94.6420765183118</f>
        <v>-895.26825460854411</v>
      </c>
      <c r="D3786">
        <f>-816.961316611716 -15.6931800865448 -208.174644977343</f>
        <v>-1040.8291416756038</v>
      </c>
      <c r="E3786">
        <f>-826.909701763133 -21.5183177856502 -306.122391412349</f>
        <v>-1154.550410961132</v>
      </c>
      <c r="F3786">
        <f>-833.963269172953 -24.8336140019801 -394.877515929806</f>
        <v>-1253.6743991047392</v>
      </c>
      <c r="G3786">
        <f>-838.709766943406 -26.1051288021872 -483.83877853324</f>
        <v>-1348.653674278833</v>
      </c>
      <c r="H3786">
        <f>-842.88375149832 -25.7815340643447 -608.351024630862</f>
        <v>-1477.0163101935266</v>
      </c>
      <c r="I3786">
        <f>-814.381090512219 -18.0583249443609 -686.023367979747</f>
        <v>-1518.4627834363268</v>
      </c>
      <c r="J3786" t="s">
        <v>41334</v>
      </c>
      <c r="K3786" t="s">
        <v>41335</v>
      </c>
      <c r="L3786" t="s">
        <v>41336</v>
      </c>
      <c r="M3786" t="s">
        <v>41337</v>
      </c>
      <c r="N3786">
        <f>-831.520522983798 -51.9409807572039 -553.946322057223</f>
        <v>-1437.4078257982248</v>
      </c>
      <c r="O3786">
        <f>-785.166001120375 -178.237018387318 -525.692236239372</f>
        <v>-1489.095255747065</v>
      </c>
      <c r="P3786">
        <f>-769.83652806972 -206.895690955957 -233.228779889862</f>
        <v>-1209.960998915539</v>
      </c>
      <c r="Q3786">
        <f>-639.837275714437 -33.6182376327936 -338.708603737949</f>
        <v>-1012.1641170851797</v>
      </c>
      <c r="R3786" t="s">
        <v>41338</v>
      </c>
      <c r="S3786" t="s">
        <v>41339</v>
      </c>
      <c r="T3786" t="s">
        <v>41340</v>
      </c>
      <c r="U3786" t="s">
        <v>41341</v>
      </c>
      <c r="V3786">
        <f>-755.848349417151 -87.9921457901236 -92.5277424163417</f>
        <v>-936.36823762361621</v>
      </c>
      <c r="W3786" t="s">
        <v>41342</v>
      </c>
      <c r="X3786" t="s">
        <v>41343</v>
      </c>
      <c r="Y3786" t="s">
        <v>41344</v>
      </c>
    </row>
    <row r="3787" spans="1:25" x14ac:dyDescent="0.3">
      <c r="A3787">
        <v>189300</v>
      </c>
      <c r="B3787" t="s">
        <v>41345</v>
      </c>
      <c r="C3787">
        <f>-798.19707442037 -2.47151684550681 -94.6211377062161</f>
        <v>-895.28972897209292</v>
      </c>
      <c r="D3787">
        <f>-816.863683840471 -15.9190201562947 -208.141875783002</f>
        <v>-1040.9245797797678</v>
      </c>
      <c r="E3787">
        <f>-826.830455995624 -21.7655950030633 -306.086379322717</f>
        <v>-1154.6824303214044</v>
      </c>
      <c r="F3787">
        <f>-833.895448690109 -25.0924954404645 -394.840332603117</f>
        <v>-1253.8282767336905</v>
      </c>
      <c r="G3787">
        <f>-838.64845917892 -26.3666873964423 -483.801180099584</f>
        <v>-1348.8163266749464</v>
      </c>
      <c r="H3787">
        <f>-842.826723931848 -26.0375105549106 -608.313168545628</f>
        <v>-1477.1774030323866</v>
      </c>
      <c r="I3787">
        <f>-814.308574963594 -18.2549419963391 -685.973817888115</f>
        <v>-1518.537334848048</v>
      </c>
      <c r="J3787">
        <f>-850.578270745806 -0.188733470578654 -553.131002934216</f>
        <v>-1403.8980071506007</v>
      </c>
      <c r="K3787" t="s">
        <v>41346</v>
      </c>
      <c r="L3787" t="s">
        <v>41347</v>
      </c>
      <c r="M3787" t="s">
        <v>41348</v>
      </c>
      <c r="N3787">
        <f>-831.397852492991 -52.1759231633051 -553.912128455061</f>
        <v>-1437.4859041113571</v>
      </c>
      <c r="O3787">
        <f>-784.771089297213 -178.363723732752 -525.627312143118</f>
        <v>-1488.7621251730829</v>
      </c>
      <c r="P3787">
        <f>-769.382669403137 -206.953727096477 -233.160138858626</f>
        <v>-1209.49653535824</v>
      </c>
      <c r="Q3787">
        <f>-639.747355246672 -33.3709956169096 -338.586070215991</f>
        <v>-1011.7044210795725</v>
      </c>
      <c r="R3787" t="s">
        <v>41349</v>
      </c>
      <c r="S3787" t="s">
        <v>41350</v>
      </c>
      <c r="T3787" t="s">
        <v>41351</v>
      </c>
      <c r="U3787" t="s">
        <v>41352</v>
      </c>
      <c r="V3787">
        <f>-755.573316055366 -88.0897245658235 -92.5228136253384</f>
        <v>-936.18585424652792</v>
      </c>
      <c r="W3787" t="s">
        <v>41353</v>
      </c>
      <c r="X3787" t="s">
        <v>41354</v>
      </c>
      <c r="Y3787" t="s">
        <v>41355</v>
      </c>
    </row>
    <row r="3788" spans="1:25" x14ac:dyDescent="0.3">
      <c r="A3788">
        <v>189350</v>
      </c>
      <c r="B3788" t="s">
        <v>41356</v>
      </c>
      <c r="C3788">
        <f>-798.138647632694 -2.56648648564487 -94.6196390529333</f>
        <v>-895.32477317127211</v>
      </c>
      <c r="D3788">
        <f>-816.814347288162 -16.0364320911917 -208.136212737118</f>
        <v>-1040.9869921164718</v>
      </c>
      <c r="E3788">
        <f>-826.780633708759 -21.8936260328621 -306.080107470583</f>
        <v>-1154.7543672122042</v>
      </c>
      <c r="F3788">
        <f>-833.84166052942 -25.226831712602 -394.834167584724</f>
        <v>-1253.902659826746</v>
      </c>
      <c r="G3788">
        <f>-838.587641694796 -26.5033608531699 -483.795325828506</f>
        <v>-1348.886328376472</v>
      </c>
      <c r="H3788">
        <f>-842.753259318785 -26.173210185367 -608.307779969841</f>
        <v>-1477.234249473993</v>
      </c>
      <c r="I3788">
        <f>-814.2162966391 -18.3584953444392 -685.958264261655</f>
        <v>-1518.5330562451943</v>
      </c>
      <c r="J3788">
        <f>-850.549048541818 -0.339101613319372 -553.12493213979</f>
        <v>-1404.0130822949272</v>
      </c>
      <c r="K3788" t="s">
        <v>41357</v>
      </c>
      <c r="L3788" t="s">
        <v>41358</v>
      </c>
      <c r="M3788" t="s">
        <v>41359</v>
      </c>
      <c r="N3788">
        <f>-831.291448603348 -52.2978322718177 -553.907005704757</f>
        <v>-1437.4962865799228</v>
      </c>
      <c r="O3788">
        <f>-784.485319542518 -178.420407894827 -525.617586687552</f>
        <v>-1488.5233141248971</v>
      </c>
      <c r="P3788">
        <f>-769.117680136349 -207.00981360001 -233.149335327976</f>
        <v>-1209.2768290643351</v>
      </c>
      <c r="Q3788">
        <f>-639.670157825755 -33.2783734785921 -338.560850049846</f>
        <v>-1011.5093813541932</v>
      </c>
      <c r="R3788" t="s">
        <v>41360</v>
      </c>
      <c r="S3788" t="s">
        <v>41361</v>
      </c>
      <c r="T3788" t="s">
        <v>41362</v>
      </c>
      <c r="U3788" t="s">
        <v>41363</v>
      </c>
      <c r="V3788">
        <f>-755.398037391033 -88.1738805950293 -92.5292053040722</f>
        <v>-936.10112329013452</v>
      </c>
      <c r="W3788" t="s">
        <v>41364</v>
      </c>
      <c r="X3788" t="s">
        <v>41365</v>
      </c>
      <c r="Y3788" t="s">
        <v>41366</v>
      </c>
    </row>
    <row r="3789" spans="1:25" x14ac:dyDescent="0.3">
      <c r="A3789">
        <v>189400</v>
      </c>
      <c r="B3789" t="s">
        <v>41367</v>
      </c>
      <c r="C3789">
        <f>-798.169687046565 -2.85989415593031 -94.639921030662</f>
        <v>-895.66950223315723</v>
      </c>
      <c r="D3789">
        <f>-816.845783463432 -16.3877879746287 -208.14938478335</f>
        <v>-1041.3829562214107</v>
      </c>
      <c r="E3789">
        <f>-826.815529906973 -22.2755227219311 -306.091313416132</f>
        <v>-1155.1823660450361</v>
      </c>
      <c r="F3789">
        <f>-833.881075818254 -25.6294994346858 -394.844219830647</f>
        <v>-1254.3547950835869</v>
      </c>
      <c r="G3789">
        <f>-838.633679327534 -26.9178577305975 -483.804735716364</f>
        <v>-1349.3562727744954</v>
      </c>
      <c r="H3789">
        <f>-842.811085998322 -26.5945623982132 -608.316854927625</f>
        <v>-1477.7225033241602</v>
      </c>
      <c r="I3789">
        <f>-814.248657324866 -18.6719728526757 -685.947037198035</f>
        <v>-1518.8676673755767</v>
      </c>
      <c r="J3789">
        <f>-850.699005806425 -0.793848180497662 -553.131560951672</f>
        <v>-1404.6244149385948</v>
      </c>
      <c r="K3789" t="s">
        <v>41368</v>
      </c>
      <c r="L3789" t="s">
        <v>41369</v>
      </c>
      <c r="M3789" t="s">
        <v>41370</v>
      </c>
      <c r="N3789">
        <f>-831.24659558337 -52.6797680524638 -553.91892025171</f>
        <v>-1437.8452838875437</v>
      </c>
      <c r="O3789">
        <f>-784.000776377333 -178.628157723194 -525.591203492561</f>
        <v>-1488.2201375930881</v>
      </c>
      <c r="P3789">
        <f>-768.55393942102 -207.191111905487 -233.124532514423</f>
        <v>-1208.8695838409301</v>
      </c>
      <c r="Q3789">
        <f>-639.701293143176 -33.0459112976644 -338.582053657171</f>
        <v>-1011.3292580980115</v>
      </c>
      <c r="R3789" t="s">
        <v>41371</v>
      </c>
      <c r="S3789" t="s">
        <v>41372</v>
      </c>
      <c r="T3789" t="s">
        <v>41373</v>
      </c>
      <c r="U3789" t="s">
        <v>41374</v>
      </c>
      <c r="V3789">
        <f>-755.215506886652 -88.4941979737251 -92.5335673233412</f>
        <v>-936.24327218371832</v>
      </c>
      <c r="W3789" t="s">
        <v>41375</v>
      </c>
      <c r="X3789" t="s">
        <v>41376</v>
      </c>
      <c r="Y3789" t="s">
        <v>41377</v>
      </c>
    </row>
    <row r="3790" spans="1:25" x14ac:dyDescent="0.3">
      <c r="A3790">
        <v>189450</v>
      </c>
      <c r="B3790" t="s">
        <v>41378</v>
      </c>
      <c r="C3790">
        <f>-798.20652737408 -3.07942988329955 -94.6505630206293</f>
        <v>-895.93652027800886</v>
      </c>
      <c r="D3790">
        <f>-816.864194308612 -16.6370908783579 -208.159638609754</f>
        <v>-1041.6609237967239</v>
      </c>
      <c r="E3790">
        <f>-826.829168571281 -22.5411428804443 -306.100969110689</f>
        <v>-1155.4712805624144</v>
      </c>
      <c r="F3790">
        <f>-833.894789008309 -25.9063380341886 -394.853232510708</f>
        <v>-1254.6543595532055</v>
      </c>
      <c r="G3790">
        <f>-838.652166032905 -27.2018075221822 -483.81353017923</f>
        <v>-1349.6675037343173</v>
      </c>
      <c r="H3790">
        <f>-842.841135854629 -26.8832939336585 -608.325250793564</f>
        <v>-1478.0496805818516</v>
      </c>
      <c r="I3790">
        <f>-814.271582781018 -18.8886529522947 -685.945467189175</f>
        <v>-1519.1057029224876</v>
      </c>
      <c r="J3790">
        <f>-850.778415770054 -1.10104191390178 -553.13851443703</f>
        <v>-1405.0179721209859</v>
      </c>
      <c r="K3790" t="s">
        <v>41379</v>
      </c>
      <c r="L3790" t="s">
        <v>41380</v>
      </c>
      <c r="M3790" t="s">
        <v>41381</v>
      </c>
      <c r="N3790">
        <f>-831.217203788317 -52.9459621337762 -553.929210258373</f>
        <v>-1438.0923761804661</v>
      </c>
      <c r="O3790">
        <f>-783.71974006296 -178.799943534939 -525.596952108549</f>
        <v>-1488.1166357064481</v>
      </c>
      <c r="P3790">
        <f>-768.171923310249 -207.290419593396 -233.128492458619</f>
        <v>-1208.590835362264</v>
      </c>
      <c r="Q3790">
        <f>-639.71343807401 -32.8405253506362 -338.563306606085</f>
        <v>-1011.1172700307312</v>
      </c>
      <c r="R3790" t="s">
        <v>41382</v>
      </c>
      <c r="S3790" t="s">
        <v>41383</v>
      </c>
      <c r="T3790" t="s">
        <v>41384</v>
      </c>
      <c r="U3790" t="s">
        <v>41385</v>
      </c>
      <c r="V3790">
        <f>-755.138755449167 -88.6675489606062 -92.5320173286796</f>
        <v>-936.33832173845269</v>
      </c>
      <c r="W3790" t="s">
        <v>41386</v>
      </c>
      <c r="X3790" t="s">
        <v>41387</v>
      </c>
      <c r="Y3790" t="s">
        <v>41388</v>
      </c>
    </row>
    <row r="3791" spans="1:25" x14ac:dyDescent="0.3">
      <c r="A3791">
        <v>189500</v>
      </c>
      <c r="B3791" t="s">
        <v>41389</v>
      </c>
      <c r="C3791">
        <f>-798.350840748133 -3.43929368052932 -94.6339862079108</f>
        <v>-896.42412063657309</v>
      </c>
      <c r="D3791">
        <f>-816.918880918843 -17.0424558854966 -208.152230391228</f>
        <v>-1042.1135671955676</v>
      </c>
      <c r="E3791">
        <f>-826.821497866325 -22.9518531954839 -306.099641298848</f>
        <v>-1155.8729923606568</v>
      </c>
      <c r="F3791">
        <f>-833.835629688809 -26.3094481019662 -394.856333000712</f>
        <v>-1255.0014107914872</v>
      </c>
      <c r="G3791">
        <f>-838.547180414843 -27.5834938540218 -483.819488041361</f>
        <v>-1349.9501623102258</v>
      </c>
      <c r="H3791">
        <f>-842.677906554149 -27.2196988155322 -608.332883080596</f>
        <v>-1478.2304884502773</v>
      </c>
      <c r="I3791">
        <f>-814.094642911281 -19.0780028965023 -685.932732261292</f>
        <v>-1519.1053780690754</v>
      </c>
      <c r="J3791">
        <f>-850.751684038563 -1.49952179192269 -553.136929425089</f>
        <v>-1405.3881352555745</v>
      </c>
      <c r="K3791" t="s">
        <v>41390</v>
      </c>
      <c r="L3791" t="s">
        <v>41391</v>
      </c>
      <c r="M3791" t="s">
        <v>41392</v>
      </c>
      <c r="N3791">
        <f>-830.968772591267 -53.260085294749 -553.944395635155</f>
        <v>-1438.1732535211711</v>
      </c>
      <c r="O3791">
        <f>-782.977917200833 -178.930975864489 -525.631770385033</f>
        <v>-1487.5406634503549</v>
      </c>
      <c r="P3791">
        <f>-767.313302453861 -207.46780517095 -233.1740799557</f>
        <v>-1207.9551875805109</v>
      </c>
      <c r="Q3791">
        <f>-639.59643653773 -32.4612916543663 -338.58752698453</f>
        <v>-1010.6452551766263</v>
      </c>
      <c r="R3791" t="s">
        <v>41393</v>
      </c>
      <c r="S3791" t="s">
        <v>41394</v>
      </c>
      <c r="T3791" t="s">
        <v>41395</v>
      </c>
      <c r="U3791" t="s">
        <v>41396</v>
      </c>
      <c r="V3791">
        <f>-755.109692231996 -88.7682172899431 -92.5214728371051</f>
        <v>-936.39938235904413</v>
      </c>
      <c r="W3791" t="s">
        <v>41397</v>
      </c>
      <c r="X3791" t="s">
        <v>41398</v>
      </c>
      <c r="Y3791" t="s">
        <v>41399</v>
      </c>
    </row>
    <row r="3792" spans="1:25" x14ac:dyDescent="0.3">
      <c r="A3792">
        <v>189550</v>
      </c>
      <c r="B3792" t="s">
        <v>41400</v>
      </c>
      <c r="C3792">
        <f>-798.395386351839 -3.68065449867868 -94.614808132538</f>
        <v>-896.69084898305562</v>
      </c>
      <c r="D3792">
        <f>-816.931804073127 -17.3051129598205 -208.13571447373</f>
        <v>-1042.3726315066774</v>
      </c>
      <c r="E3792">
        <f>-826.799925016491 -23.2158455356396 -306.086375240182</f>
        <v>-1156.1021457923125</v>
      </c>
      <c r="F3792">
        <f>-833.779368771197 -26.5684234043479 -394.846112042331</f>
        <v>-1255.193904217876</v>
      </c>
      <c r="G3792">
        <f>-838.452957892684 -27.8310164514455 -483.811361866007</f>
        <v>-1350.0953362101366</v>
      </c>
      <c r="H3792">
        <f>-842.527465610596 -27.444132857999 -608.326551871908</f>
        <v>-1478.2981503405031</v>
      </c>
      <c r="I3792">
        <f>-813.94100828836 -19.2401375042818 -685.91862556514</f>
        <v>-1519.0997713577817</v>
      </c>
      <c r="J3792">
        <f>-850.676432010445 -1.75362838959268 -553.127857462501</f>
        <v>-1405.5579178625385</v>
      </c>
      <c r="K3792" t="s">
        <v>41401</v>
      </c>
      <c r="L3792" t="s">
        <v>41402</v>
      </c>
      <c r="M3792" t="s">
        <v>41403</v>
      </c>
      <c r="N3792">
        <f>-830.792534975447 -53.4752581754283 -553.939191911556</f>
        <v>-1438.2069850624312</v>
      </c>
      <c r="O3792">
        <f>-782.573990978525 -179.057630452383 -525.638516310163</f>
        <v>-1487.270137741071</v>
      </c>
      <c r="P3792">
        <f>-766.938990964105 -207.569626344686 -233.176854053486</f>
        <v>-1207.685471362277</v>
      </c>
      <c r="Q3792">
        <f>-639.534972369733 -32.3013521193536 -338.534076947598</f>
        <v>-1010.3704014366847</v>
      </c>
      <c r="R3792" t="s">
        <v>41404</v>
      </c>
      <c r="S3792" t="s">
        <v>41405</v>
      </c>
      <c r="T3792" t="s">
        <v>41406</v>
      </c>
      <c r="U3792" t="s">
        <v>41407</v>
      </c>
      <c r="V3792">
        <f>-755.02688477841 -89.0423678059118 -92.5122366541116</f>
        <v>-936.58148923843339</v>
      </c>
      <c r="W3792" t="s">
        <v>41408</v>
      </c>
      <c r="X3792" t="s">
        <v>41409</v>
      </c>
      <c r="Y3792" t="s">
        <v>41410</v>
      </c>
    </row>
    <row r="3793" spans="1:25" x14ac:dyDescent="0.3">
      <c r="A3793">
        <v>189600</v>
      </c>
      <c r="B3793" t="s">
        <v>41411</v>
      </c>
      <c r="C3793">
        <f>-798.546726737812 -3.94993220378228 -94.599952822721</f>
        <v>-897.0966117643153</v>
      </c>
      <c r="D3793">
        <f>-817.06213082444 -17.6183360500295 -208.118993364082</f>
        <v>-1042.7994602385515</v>
      </c>
      <c r="E3793">
        <f>-826.895480722524 -23.5457790281484 -306.072171715493</f>
        <v>-1156.5134314661655</v>
      </c>
      <c r="F3793">
        <f>-833.836274253273 -26.9068401633976 -394.834640312105</f>
        <v>-1255.5777547287757</v>
      </c>
      <c r="G3793">
        <f>-838.464371910761 -28.1692405430745 -483.802217510717</f>
        <v>-1350.4358299645523</v>
      </c>
      <c r="H3793">
        <f>-842.467932711387 -27.7736012508844 -608.31973378027</f>
        <v>-1478.5612677425415</v>
      </c>
      <c r="I3793">
        <f>-813.881050891866 -19.4749533627057 -685.90167050555</f>
        <v>-1519.2576747601217</v>
      </c>
      <c r="J3793">
        <f>-850.725936176077 -2.11686034672402 -553.121536711021</f>
        <v>-1405.9643332338219</v>
      </c>
      <c r="K3793" t="s">
        <v>41412</v>
      </c>
      <c r="L3793" t="s">
        <v>41413</v>
      </c>
      <c r="M3793" t="s">
        <v>41414</v>
      </c>
      <c r="N3793">
        <f>-830.686352938635 -53.7785461286774 -553.930000094724</f>
        <v>-1438.3948991620364</v>
      </c>
      <c r="O3793">
        <f>-782.118438219381 -179.225687583313 -525.621497054092</f>
        <v>-1486.965622856786</v>
      </c>
      <c r="P3793">
        <f>-766.526102221808 -207.734379460203 -233.157202857603</f>
        <v>-1207.4176845396141</v>
      </c>
      <c r="Q3793">
        <f>-639.574605918038 -32.1175316048616 -338.480120916388</f>
        <v>-1010.1722584392876</v>
      </c>
      <c r="R3793" t="s">
        <v>41415</v>
      </c>
      <c r="S3793" t="s">
        <v>41416</v>
      </c>
      <c r="T3793" t="s">
        <v>41417</v>
      </c>
      <c r="U3793" t="s">
        <v>41418</v>
      </c>
      <c r="V3793">
        <f>-754.974429393167 -89.3516665013889 -92.5148272303388</f>
        <v>-936.84092312489474</v>
      </c>
      <c r="W3793" t="s">
        <v>41419</v>
      </c>
      <c r="X3793" t="s">
        <v>41420</v>
      </c>
      <c r="Y3793" t="s">
        <v>41421</v>
      </c>
    </row>
    <row r="3794" spans="1:25" x14ac:dyDescent="0.3">
      <c r="A3794">
        <v>189650</v>
      </c>
      <c r="B3794" t="s">
        <v>41422</v>
      </c>
      <c r="C3794">
        <f>-798.582804986481 -4.08784785899979 -94.5939202503968</f>
        <v>-897.26457309587761</v>
      </c>
      <c r="D3794">
        <f>-817.096072482094 -17.7793143782085 -208.110578630835</f>
        <v>-1042.9859654911374</v>
      </c>
      <c r="E3794">
        <f>-826.922234431086 -23.7204457063758 -306.063673984172</f>
        <v>-1156.7063541216339</v>
      </c>
      <c r="F3794">
        <f>-833.854492731951 -27.0911997750632 -394.826448559299</f>
        <v>-1255.7721410663132</v>
      </c>
      <c r="G3794">
        <f>-838.472114505391 -28.3606457334024 -483.794464175466</f>
        <v>-1350.6272244142594</v>
      </c>
      <c r="H3794">
        <f>-842.45950968822 -27.9714276260886 -608.312510737651</f>
        <v>-1478.7434480519596</v>
      </c>
      <c r="I3794">
        <f>-813.872234430372 -19.6295580955516 -685.889773831854</f>
        <v>-1519.3915663577777</v>
      </c>
      <c r="J3794">
        <f>-850.758501000453 -2.32506758537033 -553.115560379409</f>
        <v>-1406.1991289652324</v>
      </c>
      <c r="K3794" t="s">
        <v>41423</v>
      </c>
      <c r="L3794" t="s">
        <v>41424</v>
      </c>
      <c r="M3794" t="s">
        <v>41425</v>
      </c>
      <c r="N3794">
        <f>-830.65104577827 -53.9604620059093 -553.920928150755</f>
        <v>-1438.5324359349343</v>
      </c>
      <c r="O3794">
        <f>-781.926655821599 -179.348443905808 -525.611028639382</f>
        <v>-1486.8861283667889</v>
      </c>
      <c r="P3794">
        <f>-766.324849425577 -207.86699655892 -233.148168631533</f>
        <v>-1207.34001461603</v>
      </c>
      <c r="Q3794">
        <f>-639.530724875278 -32.1305825414115 -338.461420097749</f>
        <v>-1010.1227275144386</v>
      </c>
      <c r="R3794" t="s">
        <v>41426</v>
      </c>
      <c r="S3794" t="s">
        <v>41427</v>
      </c>
      <c r="T3794" t="s">
        <v>41428</v>
      </c>
      <c r="U3794" t="s">
        <v>41429</v>
      </c>
      <c r="V3794">
        <f>-754.934470839519 -89.5039117310614 -92.5098799442882</f>
        <v>-936.94826251486859</v>
      </c>
      <c r="W3794" t="s">
        <v>41430</v>
      </c>
      <c r="X3794" t="s">
        <v>41431</v>
      </c>
      <c r="Y3794" t="s">
        <v>41432</v>
      </c>
    </row>
    <row r="3795" spans="1:25" x14ac:dyDescent="0.3">
      <c r="A3795">
        <v>189700</v>
      </c>
      <c r="B3795" t="s">
        <v>41433</v>
      </c>
      <c r="C3795">
        <f>-798.645423812969 -4.15385454550324 -94.5940306215266</f>
        <v>-897.39330897999889</v>
      </c>
      <c r="D3795">
        <f>-817.164086740094 -17.8647993620471 -208.107336978485</f>
        <v>-1043.136223080626</v>
      </c>
      <c r="E3795">
        <f>-826.989609565393 -23.8181394947828 -306.059790077047</f>
        <v>-1156.8675391372228</v>
      </c>
      <c r="F3795">
        <f>-833.919291773756 -27.1979759019796 -394.822432947304</f>
        <v>-1255.9397006230395</v>
      </c>
      <c r="G3795">
        <f>-838.532651835998 -28.4742210946799 -483.79055367507</f>
        <v>-1350.7974266057479</v>
      </c>
      <c r="H3795">
        <f>-842.512801189261 -28.0918634975969 -608.308930306627</f>
        <v>-1478.9135949934848</v>
      </c>
      <c r="I3795">
        <f>-813.91631671609 -19.7138280010699 -685.878723222412</f>
        <v>-1519.5088679395719</v>
      </c>
      <c r="J3795">
        <f>-850.842889743979 -2.45313570440953 -553.113150636799</f>
        <v>-1406.4091760851875</v>
      </c>
      <c r="K3795" t="s">
        <v>41434</v>
      </c>
      <c r="L3795" t="s">
        <v>41435</v>
      </c>
      <c r="M3795" t="s">
        <v>41436</v>
      </c>
      <c r="N3795">
        <f>-830.679771640738 -54.0669133946501 -553.916103872962</f>
        <v>-1438.6627889083502</v>
      </c>
      <c r="O3795">
        <f>-781.828647677449 -179.403860332691 -525.59294055843</f>
        <v>-1486.82544856857</v>
      </c>
      <c r="P3795">
        <f>-766.201505933535 -207.921082531618 -233.131242672095</f>
        <v>-1207.253831137248</v>
      </c>
      <c r="Q3795">
        <f>-639.574330264998 -32.055321581877 -338.429355696323</f>
        <v>-1010.059007543198</v>
      </c>
      <c r="R3795" t="s">
        <v>41437</v>
      </c>
      <c r="S3795" t="s">
        <v>41438</v>
      </c>
      <c r="T3795" t="s">
        <v>41439</v>
      </c>
      <c r="U3795" t="s">
        <v>41440</v>
      </c>
      <c r="V3795">
        <f>-755.001272852406 -89.5103797314179 -92.4984685935591</f>
        <v>-937.01012117738298</v>
      </c>
      <c r="W3795" t="s">
        <v>41441</v>
      </c>
      <c r="X3795" t="s">
        <v>41442</v>
      </c>
      <c r="Y3795" t="s">
        <v>41443</v>
      </c>
    </row>
    <row r="3796" spans="1:25" x14ac:dyDescent="0.3">
      <c r="A3796">
        <v>189750</v>
      </c>
      <c r="B3796" t="s">
        <v>41444</v>
      </c>
      <c r="C3796">
        <f>-798.734143498763 -4.30411684830824 -94.5983807867422</f>
        <v>-897.63664113381344</v>
      </c>
      <c r="D3796">
        <f>-817.289973515227 -18.0623157948573 -208.099949087759</f>
        <v>-1043.4522383978433</v>
      </c>
      <c r="E3796">
        <f>-827.134853649453 -24.0542686237475 -306.04809518732</f>
        <v>-1157.2372174605205</v>
      </c>
      <c r="F3796">
        <f>-834.077271228381 -27.4682455392251 -394.808237795407</f>
        <v>-1256.3537545630131</v>
      </c>
      <c r="G3796">
        <f>-838.699369598717 -28.7772843401663 -483.775619164143</f>
        <v>-1351.2522731030263</v>
      </c>
      <c r="H3796">
        <f>-842.686915254898 -28.4392411413305 -608.29387734986</f>
        <v>-1479.4200337460886</v>
      </c>
      <c r="I3796">
        <f>-814.080028543606 -20.0319133448472 -685.856684878839</f>
        <v>-1519.9686267672923</v>
      </c>
      <c r="J3796">
        <f>-851.041897782941 -2.79205505869118 -553.105620446045</f>
        <v>-1406.9395732876771</v>
      </c>
      <c r="K3796" t="s">
        <v>41445</v>
      </c>
      <c r="L3796" t="s">
        <v>41446</v>
      </c>
      <c r="M3796" t="s">
        <v>41447</v>
      </c>
      <c r="N3796">
        <f>-830.822364397099 -54.3839093507366 -553.893363902549</f>
        <v>-1439.0996376503847</v>
      </c>
      <c r="O3796">
        <f>-781.826871119616 -179.657081319206 -525.520354402141</f>
        <v>-1487.0043068409632</v>
      </c>
      <c r="P3796">
        <f>-766.231789499477 -208.09365488106 -233.049119668308</f>
        <v>-1207.3745640488451</v>
      </c>
      <c r="Q3796">
        <f>-639.87255919214 -32.0346043796033 -338.346009714273</f>
        <v>-1010.2531732860162</v>
      </c>
      <c r="R3796" t="s">
        <v>41448</v>
      </c>
      <c r="S3796" t="s">
        <v>41449</v>
      </c>
      <c r="T3796" t="s">
        <v>41450</v>
      </c>
      <c r="U3796" t="s">
        <v>41451</v>
      </c>
      <c r="V3796">
        <f>-755.00679487608 -89.7231632326645 -92.4868498863599</f>
        <v>-937.21680799510443</v>
      </c>
      <c r="W3796" t="s">
        <v>41452</v>
      </c>
      <c r="X3796" t="s">
        <v>41453</v>
      </c>
      <c r="Y3796" t="s">
        <v>41454</v>
      </c>
    </row>
    <row r="3797" spans="1:25" x14ac:dyDescent="0.3">
      <c r="A3797">
        <v>189800</v>
      </c>
      <c r="B3797" t="s">
        <v>41455</v>
      </c>
      <c r="C3797">
        <f>-798.67507940837 -4.42402841911826 -94.5926300800517</f>
        <v>-897.69173790753996</v>
      </c>
      <c r="D3797">
        <f>-817.266068322264 -18.1972617429853 -208.086738124056</f>
        <v>-1043.5500681893054</v>
      </c>
      <c r="E3797">
        <f>-827.13460965448 -24.2060266659623 -306.031325580351</f>
        <v>-1157.3719619007934</v>
      </c>
      <c r="F3797">
        <f>-834.096280669483 -27.6365722237281 -394.789535680404</f>
        <v>-1256.522388573615</v>
      </c>
      <c r="G3797">
        <f>-838.735352476583 -28.9633348844768 -483.755524733163</f>
        <v>-1351.4542120942228</v>
      </c>
      <c r="H3797">
        <f>-842.744934500978 -28.6507558508688 -608.273124364016</f>
        <v>-1479.6688147158629</v>
      </c>
      <c r="I3797">
        <f>-814.140413313033 -20.2543090866347 -685.838149410069</f>
        <v>-1520.2328718097369</v>
      </c>
      <c r="J3797">
        <f>-851.096330748869 -2.99469334014952 -553.088630539371</f>
        <v>-1407.1796546283895</v>
      </c>
      <c r="K3797" t="s">
        <v>41456</v>
      </c>
      <c r="L3797" t="s">
        <v>41457</v>
      </c>
      <c r="M3797" t="s">
        <v>41458</v>
      </c>
      <c r="N3797">
        <f>-830.86456240447 -54.5817235439713 -553.869710593926</f>
        <v>-1439.3159965423674</v>
      </c>
      <c r="O3797">
        <f>-781.843424764593 -179.835970114241 -525.489995225374</f>
        <v>-1487.1693901042081</v>
      </c>
      <c r="P3797">
        <f>-766.305572416792 -208.204735586855 -233.009130335904</f>
        <v>-1207.519438339551</v>
      </c>
      <c r="Q3797">
        <f>-639.940764677097 -32.149956010021 -338.306599733124</f>
        <v>-1010.3973204202421</v>
      </c>
      <c r="R3797" t="s">
        <v>41459</v>
      </c>
      <c r="S3797" t="s">
        <v>41460</v>
      </c>
      <c r="T3797" t="s">
        <v>41461</v>
      </c>
      <c r="U3797" t="s">
        <v>41462</v>
      </c>
      <c r="V3797">
        <f>-754.926482436733 -89.8728544876943 -92.4839859190834</f>
        <v>-937.28332284351063</v>
      </c>
      <c r="W3797" t="s">
        <v>41463</v>
      </c>
      <c r="X3797" t="s">
        <v>41464</v>
      </c>
      <c r="Y3797" t="s">
        <v>41465</v>
      </c>
    </row>
    <row r="3798" spans="1:25" x14ac:dyDescent="0.3">
      <c r="A3798">
        <v>189850</v>
      </c>
      <c r="B3798" t="s">
        <v>41466</v>
      </c>
      <c r="C3798">
        <f>-798.549899403414 -4.57403941905272 -94.5886381055883</f>
        <v>-897.712576928055</v>
      </c>
      <c r="D3798">
        <f>-817.176942255615 -18.3894360433274 -208.071721083509</f>
        <v>-1043.6380993824514</v>
      </c>
      <c r="E3798">
        <f>-827.075829013681 -24.4352383321052 -306.010922959092</f>
        <v>-1157.5219903048783</v>
      </c>
      <c r="F3798">
        <f>-834.064792053747 -27.8995061239091 -394.765645637734</f>
        <v>-1256.72994381539</v>
      </c>
      <c r="G3798">
        <f>-838.731028324279 -29.2600332929242 -483.729739049461</f>
        <v>-1351.7208006666642</v>
      </c>
      <c r="H3798">
        <f>-842.778522929893 -28.9952072749093 -608.246314338127</f>
        <v>-1480.0200445429293</v>
      </c>
      <c r="I3798">
        <f>-814.175254843605 -20.6286246429218 -685.814842888884</f>
        <v>-1520.6187223754107</v>
      </c>
      <c r="J3798">
        <f>-851.111478469617 -3.31719938281231 -553.06910967069</f>
        <v>-1407.4977875231193</v>
      </c>
      <c r="K3798" t="s">
        <v>41467</v>
      </c>
      <c r="L3798" t="s">
        <v>41468</v>
      </c>
      <c r="M3798" t="s">
        <v>41469</v>
      </c>
      <c r="N3798">
        <f>-830.883610414461 -54.906132837807 -553.836444868264</f>
        <v>-1439.6261881205321</v>
      </c>
      <c r="O3798">
        <f>-781.872480068748 -180.163953838433 -525.431367603882</f>
        <v>-1487.467801511063</v>
      </c>
      <c r="P3798">
        <f>-766.373239098353 -208.437067258921 -232.93927049896</f>
        <v>-1207.7495768562339</v>
      </c>
      <c r="Q3798">
        <f>-639.941871619357 -32.4057054872419 -338.195730572563</f>
        <v>-1010.5433076791619</v>
      </c>
      <c r="R3798" t="s">
        <v>41470</v>
      </c>
      <c r="S3798" t="s">
        <v>41471</v>
      </c>
      <c r="T3798" t="s">
        <v>41472</v>
      </c>
      <c r="U3798" t="s">
        <v>41473</v>
      </c>
      <c r="V3798">
        <f>-754.831742136548 -90.0199283871888 -92.4609802860215</f>
        <v>-937.31265080975822</v>
      </c>
      <c r="W3798" t="s">
        <v>41474</v>
      </c>
      <c r="X3798" t="s">
        <v>41475</v>
      </c>
      <c r="Y3798" t="s">
        <v>41476</v>
      </c>
    </row>
    <row r="3799" spans="1:25" x14ac:dyDescent="0.3">
      <c r="A3799">
        <v>189900</v>
      </c>
      <c r="B3799" t="s">
        <v>41477</v>
      </c>
      <c r="C3799">
        <f>-798.408959256582 -4.71713628309931 -94.5991720898365</f>
        <v>-897.72526762951782</v>
      </c>
      <c r="D3799">
        <f>-817.10202629525 -18.5847269131236 -208.064928467721</f>
        <v>-1043.7516816760947</v>
      </c>
      <c r="E3799">
        <f>-827.081840325051 -24.6918632175468 -305.99223001323</f>
        <v>-1157.7659335558278</v>
      </c>
      <c r="F3799">
        <f>-834.153920133307 -28.2182280929658 -394.737889575005</f>
        <v>-1257.1100378012777</v>
      </c>
      <c r="G3799">
        <f>-838.913281835709 -29.6473398850537 -483.696077201951</f>
        <v>-1352.2566989227137</v>
      </c>
      <c r="H3799">
        <f>-843.101635742491 -29.4846817110081 -608.208046541474</f>
        <v>-1480.7943639949731</v>
      </c>
      <c r="I3799">
        <f>-814.542059462608 -21.1895725266165 -685.800427784867</f>
        <v>-1521.5320597740915</v>
      </c>
      <c r="J3799">
        <f>-851.371506299611 -3.76137160550047 -553.042704827886</f>
        <v>-1408.1755827329976</v>
      </c>
      <c r="K3799" t="s">
        <v>41478</v>
      </c>
      <c r="L3799" t="s">
        <v>41479</v>
      </c>
      <c r="M3799" t="s">
        <v>41480</v>
      </c>
      <c r="N3799">
        <f>-831.145545159892 -55.3512428515126 -553.790401514126</f>
        <v>-1440.2871895255305</v>
      </c>
      <c r="O3799">
        <f>-782.133519133509 -180.597337370827 -525.355340888919</f>
        <v>-1488.0861973932551</v>
      </c>
      <c r="P3799">
        <f>-766.735289739965 -208.757085417398 -232.847086862006</f>
        <v>-1208.339462019369</v>
      </c>
      <c r="Q3799">
        <f>-640.270584051159 -32.7779031108748 -338.150599966763</f>
        <v>-1011.1990871287968</v>
      </c>
      <c r="R3799" t="s">
        <v>41481</v>
      </c>
      <c r="S3799" t="s">
        <v>41482</v>
      </c>
      <c r="T3799" t="s">
        <v>41483</v>
      </c>
      <c r="U3799" t="s">
        <v>41484</v>
      </c>
      <c r="V3799">
        <f>-754.699291510802 -90.1064124375976 -92.4556775785692</f>
        <v>-937.26138152696876</v>
      </c>
      <c r="W3799" t="s">
        <v>41485</v>
      </c>
      <c r="X3799" t="s">
        <v>41486</v>
      </c>
      <c r="Y3799" t="s">
        <v>41487</v>
      </c>
    </row>
    <row r="3800" spans="1:25" x14ac:dyDescent="0.3">
      <c r="A3800">
        <v>189950</v>
      </c>
      <c r="B3800" t="s">
        <v>41488</v>
      </c>
      <c r="C3800">
        <f>-798.296139851701 -4.83030562143108 -94.6060329901414</f>
        <v>-897.73247846327354</v>
      </c>
      <c r="D3800">
        <f>-817.014992770709 -18.7159406434139 -208.065377323903</f>
        <v>-1043.7963107380258</v>
      </c>
      <c r="E3800">
        <f>-827.033731798318 -24.8460295892614 -305.987215155231</f>
        <v>-1157.8669765428103</v>
      </c>
      <c r="F3800">
        <f>-834.147963922978 -28.3958060317514 -394.728631021672</f>
        <v>-1257.2724009764013</v>
      </c>
      <c r="G3800">
        <f>-838.956714646511 -29.8509101533784 -483.683725256678</f>
        <v>-1352.4913500565674</v>
      </c>
      <c r="H3800">
        <f>-843.221296675898 -29.7269485860202 -608.193185957449</f>
        <v>-1481.1414312193672</v>
      </c>
      <c r="I3800">
        <f>-814.685978418986 -21.4557354421145 -685.797087413133</f>
        <v>-1521.9388012742334</v>
      </c>
      <c r="J3800">
        <f>-851.461143195661 -3.98789941282007 -553.030499395139</f>
        <v>-1408.4795420036201</v>
      </c>
      <c r="K3800" t="s">
        <v>41489</v>
      </c>
      <c r="L3800" t="s">
        <v>41490</v>
      </c>
      <c r="M3800" t="s">
        <v>41491</v>
      </c>
      <c r="N3800">
        <f>-831.228232292197 -55.5750071555274 -553.774840951802</f>
        <v>-1440.5780803995265</v>
      </c>
      <c r="O3800">
        <f>-782.195026210726 -180.80860617048 -525.322498279233</f>
        <v>-1488.326130660439</v>
      </c>
      <c r="P3800">
        <f>-766.7586871747 -208.904047844471 -232.810059250983</f>
        <v>-1208.4727942701538</v>
      </c>
      <c r="Q3800">
        <f>-640.355122420526 -32.8768458900215 -338.106987872167</f>
        <v>-1011.3389561827145</v>
      </c>
      <c r="R3800" t="s">
        <v>41492</v>
      </c>
      <c r="S3800" t="s">
        <v>41493</v>
      </c>
      <c r="T3800" t="s">
        <v>41494</v>
      </c>
      <c r="U3800" t="s">
        <v>41495</v>
      </c>
      <c r="V3800">
        <f>-754.565522000233 -90.2711033293848 -92.4511386495337</f>
        <v>-937.28776397915158</v>
      </c>
      <c r="W3800" t="s">
        <v>41496</v>
      </c>
      <c r="X3800" t="s">
        <v>41497</v>
      </c>
      <c r="Y3800" t="s">
        <v>41498</v>
      </c>
    </row>
    <row r="3801" spans="1:25" x14ac:dyDescent="0.3">
      <c r="A3801">
        <v>190000</v>
      </c>
      <c r="B3801" t="s">
        <v>41499</v>
      </c>
      <c r="C3801">
        <f>-798.12122870102 -5.07364233674662 -94.614512751954</f>
        <v>-897.80938378972053</v>
      </c>
      <c r="D3801">
        <f>-816.889002153955 -18.9850737783217 -208.062598708825</f>
        <v>-1043.9366746411017</v>
      </c>
      <c r="E3801">
        <f>-826.973537612852 -25.1359646434264 -305.976498020269</f>
        <v>-1158.0860002765476</v>
      </c>
      <c r="F3801">
        <f>-834.156986814114 -28.7038308456247 -394.711510405864</f>
        <v>-1257.5723280656027</v>
      </c>
      <c r="G3801">
        <f>-839.044940700214 -30.1754172795597 -483.661968542462</f>
        <v>-1352.8823265222359</v>
      </c>
      <c r="H3801">
        <f>-843.431289186668 -30.0727742474855 -608.167264894607</f>
        <v>-1481.6713283287604</v>
      </c>
      <c r="I3801">
        <f>-814.940220383463 -21.8128956524672 -685.788525905264</f>
        <v>-1522.5416419411943</v>
      </c>
      <c r="J3801">
        <f>-851.635765178242 -4.33159216375111 -553.000368183152</f>
        <v>-1408.9677255251449</v>
      </c>
      <c r="K3801" t="s">
        <v>41500</v>
      </c>
      <c r="L3801" t="s">
        <v>41501</v>
      </c>
      <c r="M3801" t="s">
        <v>41502</v>
      </c>
      <c r="N3801">
        <f>-831.366467968968 -55.9042970517492 -553.756962533858</f>
        <v>-1441.027727554575</v>
      </c>
      <c r="O3801">
        <f>-782.232146597535 -181.107257624871 -525.337247061091</f>
        <v>-1488.676651283497</v>
      </c>
      <c r="P3801">
        <f>-766.871935735539 -209.198910231227 -232.820407707805</f>
        <v>-1208.8912536745711</v>
      </c>
      <c r="Q3801">
        <f>-640.525944053506 -33.169781529537 -338.183182162466</f>
        <v>-1011.878907745509</v>
      </c>
      <c r="R3801" t="s">
        <v>41503</v>
      </c>
      <c r="S3801" t="s">
        <v>41504</v>
      </c>
      <c r="T3801" t="s">
        <v>41505</v>
      </c>
      <c r="U3801" t="s">
        <v>41506</v>
      </c>
      <c r="V3801">
        <f>-754.313071031049 -90.5934864724582 -92.4566716217496</f>
        <v>-937.36322912525679</v>
      </c>
      <c r="W3801" t="s">
        <v>41507</v>
      </c>
      <c r="X3801" t="s">
        <v>41508</v>
      </c>
      <c r="Y3801" t="s">
        <v>41509</v>
      </c>
    </row>
    <row r="3802" spans="1:25" x14ac:dyDescent="0.3">
      <c r="A3802">
        <v>190050</v>
      </c>
      <c r="B3802" t="s">
        <v>41510</v>
      </c>
      <c r="C3802">
        <f>-798.052536839895 -5.12457083496111 -94.621900977961</f>
        <v>-897.79900865281707</v>
      </c>
      <c r="D3802">
        <f>-816.844576215549 -19.0621151296623 -208.062759036478</f>
        <v>-1043.9694503816893</v>
      </c>
      <c r="E3802">
        <f>-826.962414141863 -25.2275428231867 -305.972329634418</f>
        <v>-1158.1622865994677</v>
      </c>
      <c r="F3802">
        <f>-834.180886353828 -28.8053017359887 -394.704166190057</f>
        <v>-1257.6903542798736</v>
      </c>
      <c r="G3802">
        <f>-839.109011035682 -30.2831622783499 -483.652212226503</f>
        <v>-1353.0443855405349</v>
      </c>
      <c r="H3802">
        <f>-843.556349721127 -30.1858014086949 -608.155370661789</f>
        <v>-1481.8975217916109</v>
      </c>
      <c r="I3802">
        <f>-815.079644498869 -21.9211330446635 -685.781378310823</f>
        <v>-1522.7821558543556</v>
      </c>
      <c r="J3802">
        <f>-851.743391684688 -4.44608205300142 -552.985137632993</f>
        <v>-1409.1746113706824</v>
      </c>
      <c r="K3802" t="s">
        <v>41511</v>
      </c>
      <c r="L3802" t="s">
        <v>41512</v>
      </c>
      <c r="M3802" t="s">
        <v>41513</v>
      </c>
      <c r="N3802">
        <f>-831.455123775763 -56.0112941953787 -553.750275194453</f>
        <v>-1441.2166931655947</v>
      </c>
      <c r="O3802">
        <f>-782.265979570932 -181.195961797949 -525.354181460857</f>
        <v>-1488.8161228297381</v>
      </c>
      <c r="P3802">
        <f>-766.904437455306 -209.330857450921 -232.8415867565</f>
        <v>-1209.0768816627271</v>
      </c>
      <c r="Q3802">
        <f>-640.625057698147 -33.255357593536 -338.20670890121</f>
        <v>-1012.087124192893</v>
      </c>
      <c r="R3802" t="s">
        <v>41514</v>
      </c>
      <c r="S3802" t="s">
        <v>41515</v>
      </c>
      <c r="T3802" t="s">
        <v>41516</v>
      </c>
      <c r="U3802" t="s">
        <v>41517</v>
      </c>
      <c r="V3802">
        <f>-754.235766740717 -90.6530139740026 -92.4645174102139</f>
        <v>-937.35329812493364</v>
      </c>
      <c r="W3802" t="s">
        <v>41518</v>
      </c>
      <c r="X3802" t="s">
        <v>41519</v>
      </c>
      <c r="Y3802" t="s">
        <v>41520</v>
      </c>
    </row>
    <row r="3803" spans="1:25" x14ac:dyDescent="0.3">
      <c r="A3803">
        <v>190100</v>
      </c>
      <c r="B3803" t="s">
        <v>41521</v>
      </c>
      <c r="C3803">
        <f>-797.989190171159 -5.34957508168827 -94.6202710630133</f>
        <v>-897.95903631586054</v>
      </c>
      <c r="D3803">
        <f>-816.799803927664 -19.3263893943472 -208.053229089113</f>
        <v>-1044.1794224111243</v>
      </c>
      <c r="E3803">
        <f>-826.957917239449 -25.5119361163222 -305.957357961726</f>
        <v>-1158.4272113174973</v>
      </c>
      <c r="F3803">
        <f>-834.222175261662 -29.1022887361173 -394.68484358427</f>
        <v>-1258.0093075820494</v>
      </c>
      <c r="G3803">
        <f>-839.205790225333 -30.5869758537478 -483.629806551644</f>
        <v>-1353.4225726307247</v>
      </c>
      <c r="H3803">
        <f>-843.741087033669 -30.4921679309148 -608.129707007804</f>
        <v>-1482.3629619723879</v>
      </c>
      <c r="I3803">
        <f>-815.273927208149 -22.1887133113087 -685.755106163522</f>
        <v>-1523.2177466829796</v>
      </c>
      <c r="J3803">
        <f>-851.918286055802 -4.7628592030253 -552.953332530279</f>
        <v>-1409.6344777891063</v>
      </c>
      <c r="K3803" t="s">
        <v>41522</v>
      </c>
      <c r="L3803" t="s">
        <v>41523</v>
      </c>
      <c r="M3803" t="s">
        <v>41524</v>
      </c>
      <c r="N3803">
        <f>-831.572312353405 -56.3051043446262 -553.73375399095</f>
        <v>-1441.6111706889812</v>
      </c>
      <c r="O3803">
        <f>-782.239622356968 -181.444274650373 -525.37934150991</f>
        <v>-1489.063238517251</v>
      </c>
      <c r="P3803">
        <f>-766.923570017146 -209.689296018616 -232.874809165285</f>
        <v>-1209.4876752010468</v>
      </c>
      <c r="Q3803">
        <f>-640.823459933923 -33.4449794468756 -338.172177089334</f>
        <v>-1012.4406164701326</v>
      </c>
      <c r="R3803" t="s">
        <v>41525</v>
      </c>
      <c r="S3803" t="s">
        <v>41526</v>
      </c>
      <c r="T3803" t="s">
        <v>41527</v>
      </c>
      <c r="U3803" t="s">
        <v>41528</v>
      </c>
      <c r="V3803">
        <f>-754.115244977644 -90.857436144525 -92.4567740170255</f>
        <v>-937.42945513919449</v>
      </c>
      <c r="W3803" t="s">
        <v>41529</v>
      </c>
      <c r="X3803" t="s">
        <v>41530</v>
      </c>
      <c r="Y3803" t="s">
        <v>41531</v>
      </c>
    </row>
    <row r="3804" spans="1:25" x14ac:dyDescent="0.3">
      <c r="A3804">
        <v>190150</v>
      </c>
      <c r="B3804" t="s">
        <v>41532</v>
      </c>
      <c r="C3804">
        <f>-798.01176398921 -5.42789665355417 -94.614149202959</f>
        <v>-898.05380984572309</v>
      </c>
      <c r="D3804">
        <f>-816.825179397652 -19.4174292577441 -208.044988314602</f>
        <v>-1044.287596969998</v>
      </c>
      <c r="E3804">
        <f>-826.995405352721 -25.6100354478081 -305.947421973799</f>
        <v>-1158.5528627743281</v>
      </c>
      <c r="F3804">
        <f>-834.274975635475 -29.204953194017 -394.673528016228</f>
        <v>-1258.15345684572</v>
      </c>
      <c r="G3804">
        <f>-839.278141536662 -30.6918128811494 -483.617388244677</f>
        <v>-1353.5873426624885</v>
      </c>
      <c r="H3804">
        <f>-843.845540437206 -30.5975992490166 -608.116152466192</f>
        <v>-1482.5592921524146</v>
      </c>
      <c r="I3804">
        <f>-815.37519598524 -22.2639275291212 -685.737146776929</f>
        <v>-1523.3762702912902</v>
      </c>
      <c r="J3804">
        <f>-852.033204063795 -4.87778957854107 -552.936736813305</f>
        <v>-1409.8477304556409</v>
      </c>
      <c r="K3804" t="s">
        <v>41533</v>
      </c>
      <c r="L3804" t="s">
        <v>41534</v>
      </c>
      <c r="M3804" t="s">
        <v>41535</v>
      </c>
      <c r="N3804">
        <f>-831.638156989447 -56.4004810359723 -553.723993251894</f>
        <v>-1441.7626312773132</v>
      </c>
      <c r="O3804">
        <f>-782.183888964711 -181.499793676612 -525.396794630793</f>
        <v>-1489.080477272116</v>
      </c>
      <c r="P3804">
        <f>-767.00052516345 -209.820147032905 -232.892628944446</f>
        <v>-1209.7133011408009</v>
      </c>
      <c r="Q3804">
        <f>-641.037457351039 -33.4357635072643 -338.119595260443</f>
        <v>-1012.5928161187463</v>
      </c>
      <c r="R3804" t="s">
        <v>41536</v>
      </c>
      <c r="S3804" t="s">
        <v>41537</v>
      </c>
      <c r="T3804" t="s">
        <v>41538</v>
      </c>
      <c r="U3804" t="s">
        <v>41539</v>
      </c>
      <c r="V3804">
        <f>-754.130924813583 -90.8530567095191 -92.4569439421495</f>
        <v>-937.44092546525155</v>
      </c>
      <c r="W3804" t="s">
        <v>41540</v>
      </c>
      <c r="X3804" t="s">
        <v>41541</v>
      </c>
      <c r="Y3804" t="s">
        <v>41542</v>
      </c>
    </row>
    <row r="3805" spans="1:25" x14ac:dyDescent="0.3">
      <c r="A3805">
        <v>190200</v>
      </c>
      <c r="B3805" t="s">
        <v>41543</v>
      </c>
      <c r="C3805">
        <f>-798.035537999693 -5.50921325087847 -94.6163427899908</f>
        <v>-898.16109404056226</v>
      </c>
      <c r="D3805">
        <f>-816.857195299242 -19.5375203075525 -208.041060093202</f>
        <v>-1044.4357756999966</v>
      </c>
      <c r="E3805">
        <f>-827.056089006121 -25.7585367955721 -305.938621761861</f>
        <v>-1158.7532475635542</v>
      </c>
      <c r="F3805">
        <f>-834.37032095974 -29.3771404155555 -394.660983516571</f>
        <v>-1258.4084448918663</v>
      </c>
      <c r="G3805">
        <f>-839.417953527283 -30.8847149714061 -483.601929005667</f>
        <v>-1353.9045975043559</v>
      </c>
      <c r="H3805">
        <f>-844.057573146495 -30.8152214162121 -608.097932728045</f>
        <v>-1482.9707272907522</v>
      </c>
      <c r="I3805">
        <f>-815.564701250439 -22.4126971069861 -685.703312235678</f>
        <v>-1523.6807105931032</v>
      </c>
      <c r="J3805">
        <f>-852.269227437688 -5.10665184137702 -552.917037842834</f>
        <v>-1410.2929171218989</v>
      </c>
      <c r="K3805" t="s">
        <v>41544</v>
      </c>
      <c r="L3805" t="s">
        <v>41545</v>
      </c>
      <c r="M3805" t="s">
        <v>41546</v>
      </c>
      <c r="N3805">
        <f>-831.762581937961 -56.5850326877935 -553.709886432713</f>
        <v>-1442.0575010584676</v>
      </c>
      <c r="O3805">
        <f>-782.00936070094 -181.571955478003 -525.405163430469</f>
        <v>-1488.9864796094121</v>
      </c>
      <c r="P3805">
        <f>-766.971722143588 -209.921352970513 -232.896418522905</f>
        <v>-1209.789493637006</v>
      </c>
      <c r="Q3805">
        <f>-641.437433655395 -33.1276102791544 -337.948563775966</f>
        <v>-1012.5136077105154</v>
      </c>
      <c r="R3805" t="s">
        <v>41547</v>
      </c>
      <c r="S3805" t="s">
        <v>41548</v>
      </c>
      <c r="T3805" t="s">
        <v>41549</v>
      </c>
      <c r="U3805" t="s">
        <v>41550</v>
      </c>
      <c r="V3805">
        <f>-754.118365679677 -90.8474369490415 -92.4572756178665</f>
        <v>-937.42307824658496</v>
      </c>
      <c r="W3805" t="s">
        <v>41551</v>
      </c>
      <c r="X3805" t="s">
        <v>41552</v>
      </c>
      <c r="Y3805" t="s">
        <v>41553</v>
      </c>
    </row>
    <row r="3806" spans="1:25" x14ac:dyDescent="0.3">
      <c r="A3806">
        <v>190250</v>
      </c>
      <c r="B3806" t="s">
        <v>41554</v>
      </c>
      <c r="C3806">
        <f>-797.995075742998 -5.64211833333093 -94.6165892148717</f>
        <v>-898.25378329120065</v>
      </c>
      <c r="D3806">
        <f>-816.835610277662 -19.6897198877036 -208.035777357688</f>
        <v>-1044.5611075230536</v>
      </c>
      <c r="E3806">
        <f>-827.05891079034 -25.9177786914229 -305.930359375025</f>
        <v>-1158.9070488567877</v>
      </c>
      <c r="F3806">
        <f>-834.398464760947 -29.5390280886425 -394.650427733666</f>
        <v>-1258.5879205832555</v>
      </c>
      <c r="G3806">
        <f>-839.474712775045 -31.0445644380736 -483.589812179432</f>
        <v>-1354.1090893925507</v>
      </c>
      <c r="H3806">
        <f>-844.158601804214 -30.9674911615768 -608.084331875429</f>
        <v>-1483.2104248412197</v>
      </c>
      <c r="I3806">
        <f>-815.656297790945 -22.524518001474 -685.681742642268</f>
        <v>-1523.8625584346869</v>
      </c>
      <c r="J3806">
        <f>-852.383631827621 -5.27550083882329 -552.897555445318</f>
        <v>-1410.5566881117622</v>
      </c>
      <c r="K3806" t="s">
        <v>41555</v>
      </c>
      <c r="L3806" t="s">
        <v>41556</v>
      </c>
      <c r="M3806" t="s">
        <v>41557</v>
      </c>
      <c r="N3806">
        <f>-831.811192454635 -56.7274655403585 -553.703366767695</f>
        <v>-1442.2420247626885</v>
      </c>
      <c r="O3806">
        <f>-781.896532284386 -181.652708631396 -525.412388362227</f>
        <v>-1488.961629278009</v>
      </c>
      <c r="P3806">
        <f>-766.879545958258 -210.028256534356 -232.90497141076</f>
        <v>-1209.8127739033739</v>
      </c>
      <c r="Q3806">
        <f>-641.584951456149 -33.0396302643269 -337.915133816009</f>
        <v>-1012.5397155364849</v>
      </c>
      <c r="R3806" t="s">
        <v>41558</v>
      </c>
      <c r="S3806" t="s">
        <v>41559</v>
      </c>
      <c r="T3806" t="s">
        <v>41560</v>
      </c>
      <c r="U3806" t="s">
        <v>41561</v>
      </c>
      <c r="V3806">
        <f>-753.996825115254 -91.0027544037921 -92.4654894082657</f>
        <v>-937.46506892731179</v>
      </c>
      <c r="W3806" t="s">
        <v>41562</v>
      </c>
      <c r="X3806" t="s">
        <v>41563</v>
      </c>
      <c r="Y3806" t="s">
        <v>41564</v>
      </c>
    </row>
    <row r="3807" spans="1:25" x14ac:dyDescent="0.3">
      <c r="A3807">
        <v>190300</v>
      </c>
      <c r="B3807" t="s">
        <v>41565</v>
      </c>
      <c r="C3807">
        <f>-797.885894969798 -5.85194442796683 -94.6282331465712</f>
        <v>-898.36607254433602</v>
      </c>
      <c r="D3807">
        <f>-816.739024307807 -19.9489365861671 -208.039299860658</f>
        <v>-1044.727260754632</v>
      </c>
      <c r="E3807">
        <f>-826.997923356269 -26.194285513373 -305.929039176683</f>
        <v>-1159.121248046325</v>
      </c>
      <c r="F3807">
        <f>-834.379663440925 -29.8211257626406 -394.645297702002</f>
        <v>-1258.8460869055675</v>
      </c>
      <c r="G3807">
        <f>-839.508967910562 -31.3212024737982 -483.581739693892</f>
        <v>-1354.4119100782523</v>
      </c>
      <c r="H3807">
        <f>-844.277976492558 -31.2234066189037 -608.072935717427</f>
        <v>-1483.5743188288886</v>
      </c>
      <c r="I3807">
        <f>-815.752372721952 -22.6869679721212 -685.65157190692</f>
        <v>-1524.0909126009933</v>
      </c>
      <c r="J3807">
        <f>-852.544351610792 -5.57245861713068 -552.873327255041</f>
        <v>-1410.9901374829637</v>
      </c>
      <c r="K3807" t="s">
        <v>41566</v>
      </c>
      <c r="L3807" t="s">
        <v>41567</v>
      </c>
      <c r="M3807" t="s">
        <v>41568</v>
      </c>
      <c r="N3807">
        <f>-831.81423989855 -56.9605413816139 -553.70771142294</f>
        <v>-1442.4824927031038</v>
      </c>
      <c r="O3807">
        <f>-781.503879664062 -181.741685879906 -525.478673646533</f>
        <v>-1488.7242391905011</v>
      </c>
      <c r="P3807">
        <f>-766.534725199586 -210.241158070081 -232.980977442618</f>
        <v>-1209.7568607122851</v>
      </c>
      <c r="Q3807">
        <f>-641.78267510854 -32.7497944105546 -337.788476351244</f>
        <v>-1012.3209458703386</v>
      </c>
      <c r="R3807" t="s">
        <v>41569</v>
      </c>
      <c r="S3807" t="s">
        <v>41570</v>
      </c>
      <c r="T3807" t="s">
        <v>41571</v>
      </c>
      <c r="U3807" t="s">
        <v>41572</v>
      </c>
      <c r="V3807">
        <f>-753.733372498881 -91.1469081287009 -92.4636007534601</f>
        <v>-937.34388138104202</v>
      </c>
      <c r="W3807" t="s">
        <v>41573</v>
      </c>
      <c r="X3807" t="s">
        <v>41574</v>
      </c>
      <c r="Y3807" t="s">
        <v>41575</v>
      </c>
    </row>
    <row r="3808" spans="1:25" x14ac:dyDescent="0.3">
      <c r="A3808">
        <v>190350</v>
      </c>
      <c r="B3808" t="s">
        <v>41576</v>
      </c>
      <c r="C3808">
        <f>-797.874001076027 -5.97317751472565 -94.6274608082964</f>
        <v>-898.47463939904901</v>
      </c>
      <c r="D3808">
        <f>-816.736798738565 -20.1033063505154 -208.032676773098</f>
        <v>-1044.8727818621783</v>
      </c>
      <c r="E3808">
        <f>-827.002900173401 -26.3604516942823 -305.920898994049</f>
        <v>-1159.2842508617323</v>
      </c>
      <c r="F3808">
        <f>-834.390452976007 -29.9916915276849 -394.636724823874</f>
        <v>-1259.0188693275659</v>
      </c>
      <c r="G3808">
        <f>-839.524882800438 -31.4889769165266 -483.572811503179</f>
        <v>-1354.5866712201437</v>
      </c>
      <c r="H3808">
        <f>-844.301242829527 -31.3801686149893 -608.063775124734</f>
        <v>-1483.7451865692503</v>
      </c>
      <c r="I3808">
        <f>-815.75577441382 -22.7806018108499 -685.628152075374</f>
        <v>-1524.1645283000439</v>
      </c>
      <c r="J3808">
        <f>-852.612149634967 -5.75330891226463 -552.859456761902</f>
        <v>-1411.2249153091336</v>
      </c>
      <c r="K3808" t="s">
        <v>41577</v>
      </c>
      <c r="L3808" t="s">
        <v>41578</v>
      </c>
      <c r="M3808" t="s">
        <v>41579</v>
      </c>
      <c r="N3808">
        <f>-831.786689313809 -57.1027390026225 -553.703370033527</f>
        <v>-1442.5927983499585</v>
      </c>
      <c r="O3808">
        <f>-781.230228657402 -181.791344642 -525.514391990828</f>
        <v>-1488.53596529023</v>
      </c>
      <c r="P3808">
        <f>-766.260996775098 -210.362495878684 -233.023501329484</f>
        <v>-1209.6469939832659</v>
      </c>
      <c r="Q3808">
        <f>-641.800798429236 -32.6023470512869 -337.722532419305</f>
        <v>-1012.1256778998279</v>
      </c>
      <c r="R3808" t="s">
        <v>41580</v>
      </c>
      <c r="S3808" t="s">
        <v>41581</v>
      </c>
      <c r="T3808" t="s">
        <v>41582</v>
      </c>
      <c r="U3808" t="s">
        <v>41583</v>
      </c>
      <c r="V3808">
        <f>-753.638108782626 -91.2223706160962 -92.4677141929557</f>
        <v>-937.32819359167786</v>
      </c>
      <c r="W3808" t="s">
        <v>41584</v>
      </c>
      <c r="X3808" t="s">
        <v>41585</v>
      </c>
      <c r="Y3808" t="s">
        <v>41586</v>
      </c>
    </row>
    <row r="3809" spans="1:25" x14ac:dyDescent="0.3">
      <c r="A3809">
        <v>190400</v>
      </c>
      <c r="B3809" t="s">
        <v>41587</v>
      </c>
      <c r="C3809">
        <f>-797.870744613809 -6.26070349263296 -94.636072460635</f>
        <v>-898.76752056707699</v>
      </c>
      <c r="D3809">
        <f>-816.702698467423 -20.4756639931325 -208.035896734709</f>
        <v>-1045.2142591952645</v>
      </c>
      <c r="E3809">
        <f>-826.958373299474 -26.7707063697219 -305.922702868688</f>
        <v>-1159.6517825378839</v>
      </c>
      <c r="F3809">
        <f>-834.342468923233 -30.4231230717737 -394.637888164492</f>
        <v>-1259.4034801594987</v>
      </c>
      <c r="G3809">
        <f>-839.480136205146 -31.9269393428776 -483.573824466915</f>
        <v>-1354.9809000149387</v>
      </c>
      <c r="H3809">
        <f>-844.267758417368 -31.8109450076124 -608.064203443335</f>
        <v>-1484.1429068683155</v>
      </c>
      <c r="I3809">
        <f>-815.691024287597 -23.0431496383928 -685.598225008858</f>
        <v>-1524.3323989348478</v>
      </c>
      <c r="J3809">
        <f>-852.678800043953 -6.23030690208657 -552.853791576463</f>
        <v>-1411.7628985225024</v>
      </c>
      <c r="K3809" t="s">
        <v>41588</v>
      </c>
      <c r="L3809" t="s">
        <v>41589</v>
      </c>
      <c r="M3809" t="s">
        <v>41590</v>
      </c>
      <c r="N3809">
        <f>-831.643011720415 -57.4936019608591 -553.710455867507</f>
        <v>-1442.8470695487811</v>
      </c>
      <c r="O3809">
        <f>-780.516371735269 -181.969608651911 -525.612569139662</f>
        <v>-1488.0985495268419</v>
      </c>
      <c r="P3809">
        <f>-765.46183794391 -210.689938304862 -233.14093289304</f>
        <v>-1209.2927091418121</v>
      </c>
      <c r="Q3809">
        <f>-641.925194666989 -32.2072883876631 -337.70424899655</f>
        <v>-1011.836732051202</v>
      </c>
      <c r="R3809" t="s">
        <v>41591</v>
      </c>
      <c r="S3809" t="s">
        <v>41592</v>
      </c>
      <c r="T3809" t="s">
        <v>41593</v>
      </c>
      <c r="U3809" t="s">
        <v>41594</v>
      </c>
      <c r="V3809">
        <f>-753.363174950867 -91.3972804779753 -92.4662089820517</f>
        <v>-937.22666441089405</v>
      </c>
      <c r="W3809" t="s">
        <v>41595</v>
      </c>
      <c r="X3809" t="s">
        <v>41596</v>
      </c>
      <c r="Y3809" t="s">
        <v>41597</v>
      </c>
    </row>
    <row r="3810" spans="1:25" x14ac:dyDescent="0.3">
      <c r="A3810">
        <v>190450</v>
      </c>
      <c r="B3810" t="s">
        <v>41598</v>
      </c>
      <c r="C3810">
        <f>-797.865085770462 -6.39296976359651 -94.6415939641828</f>
        <v>-898.89964949824127</v>
      </c>
      <c r="D3810">
        <f>-816.666796974002 -20.6525668666932 -208.040774407654</f>
        <v>-1045.3601382483491</v>
      </c>
      <c r="E3810">
        <f>-826.927399385855 -26.9825031637786 -305.924968167099</f>
        <v>-1159.8348707167324</v>
      </c>
      <c r="F3810">
        <f>-834.327767501041 -30.6659369306392 -394.637483673949</f>
        <v>-1259.6311881056292</v>
      </c>
      <c r="G3810">
        <f>-839.493968263784 -32.1990878349959 -483.571218098027</f>
        <v>-1355.264274196807</v>
      </c>
      <c r="H3810">
        <f>-844.334153809868 -32.1226118136772 -608.059650920083</f>
        <v>-1484.5164165436281</v>
      </c>
      <c r="I3810">
        <f>-815.753175762979 -23.2750009762472 -685.5830624098</f>
        <v>-1524.6112391490262</v>
      </c>
      <c r="J3810">
        <f>-852.769761731851 -6.54414636998922 -552.851870860079</f>
        <v>-1412.1657789619192</v>
      </c>
      <c r="K3810" t="s">
        <v>41599</v>
      </c>
      <c r="L3810" t="s">
        <v>41600</v>
      </c>
      <c r="M3810" t="s">
        <v>41601</v>
      </c>
      <c r="N3810">
        <f>-831.638778684901 -57.7684582856346 -553.704993561178</f>
        <v>-1443.1122305317135</v>
      </c>
      <c r="O3810">
        <f>-780.233142486955 -182.133349025007 -525.631908535438</f>
        <v>-1487.9984000474001</v>
      </c>
      <c r="P3810">
        <f>-765.015827640474 -210.905292545901 -233.173741659819</f>
        <v>-1209.0948618461939</v>
      </c>
      <c r="Q3810">
        <f>-641.963959069884 -32.0593597077602 -337.688056382764</f>
        <v>-1011.7113751604082</v>
      </c>
      <c r="R3810" t="s">
        <v>41602</v>
      </c>
      <c r="S3810" t="s">
        <v>41603</v>
      </c>
      <c r="T3810" t="s">
        <v>41604</v>
      </c>
      <c r="U3810" t="s">
        <v>41605</v>
      </c>
      <c r="V3810">
        <f>-753.241165358383 -91.4537487730231 -92.4600523782551</f>
        <v>-937.15496650966122</v>
      </c>
      <c r="W3810" t="s">
        <v>41606</v>
      </c>
      <c r="X3810" t="s">
        <v>41607</v>
      </c>
      <c r="Y3810" t="s">
        <v>41608</v>
      </c>
    </row>
    <row r="3811" spans="1:25" x14ac:dyDescent="0.3">
      <c r="A3811">
        <v>190500</v>
      </c>
      <c r="B3811" t="s">
        <v>41609</v>
      </c>
      <c r="C3811">
        <f>-797.944108879509 -6.56544778106263 -94.6480009686461</f>
        <v>-899.15755762921776</v>
      </c>
      <c r="D3811">
        <f>-816.701572710511 -20.9196721068972 -208.04256875916</f>
        <v>-1045.6638135765681</v>
      </c>
      <c r="E3811">
        <f>-826.997478131947 -27.3205534822271 -305.918421046983</f>
        <v>-1160.236452661157</v>
      </c>
      <c r="F3811">
        <f>-834.458389432372 -31.0649532925188 -394.623300730906</f>
        <v>-1260.1466434557967</v>
      </c>
      <c r="G3811">
        <f>-839.714171531883 -32.6546561345915 -483.550813867126</f>
        <v>-1355.9196415336005</v>
      </c>
      <c r="H3811">
        <f>-844.710058753069 -32.6516987590405 -608.033110964627</f>
        <v>-1485.3948684767365</v>
      </c>
      <c r="I3811">
        <f>-816.151548188406 -23.676983163158 -685.550165430207</f>
        <v>-1525.3786967817709</v>
      </c>
      <c r="J3811">
        <f>-853.162138614609 -7.07613437545024 -552.826639411476</f>
        <v>-1413.0649124015354</v>
      </c>
      <c r="K3811" t="s">
        <v>41610</v>
      </c>
      <c r="L3811" t="s">
        <v>41611</v>
      </c>
      <c r="M3811" t="s">
        <v>41612</v>
      </c>
      <c r="N3811">
        <f>-831.861166040375 -58.2297997794419 -553.682661540211</f>
        <v>-1443.7736273600281</v>
      </c>
      <c r="O3811">
        <f>-779.958868352803 -182.400869888534 -525.659153448487</f>
        <v>-1488.0188916898242</v>
      </c>
      <c r="P3811">
        <f>-764.44326585068 -211.140459864255 -233.213421116176</f>
        <v>-1208.7971468311109</v>
      </c>
      <c r="Q3811">
        <f>-642.23405264839 -31.6723174825017 -337.64970231449</f>
        <v>-1011.5560724453818</v>
      </c>
      <c r="R3811" t="s">
        <v>41613</v>
      </c>
      <c r="S3811" t="s">
        <v>41614</v>
      </c>
      <c r="T3811" t="s">
        <v>41615</v>
      </c>
      <c r="U3811" t="s">
        <v>41616</v>
      </c>
      <c r="V3811">
        <f>-753.021340061567 -91.5547493733965 -92.4475517035522</f>
        <v>-937.0236411385157</v>
      </c>
      <c r="W3811" t="s">
        <v>41617</v>
      </c>
      <c r="X3811" t="s">
        <v>41618</v>
      </c>
      <c r="Y3811" t="s">
        <v>41619</v>
      </c>
    </row>
    <row r="3812" spans="1:25" x14ac:dyDescent="0.3">
      <c r="A3812">
        <v>190550</v>
      </c>
      <c r="B3812" t="s">
        <v>41620</v>
      </c>
      <c r="C3812">
        <f>-797.889557255524 -6.72666324688475 -94.6611830665993</f>
        <v>-899.27740356900802</v>
      </c>
      <c r="D3812">
        <f>-816.640889544392 -21.121445345753 -208.051615021774</f>
        <v>-1045.8139499119191</v>
      </c>
      <c r="E3812">
        <f>-826.967293347519 -27.5544788959203 -305.922195642521</f>
        <v>-1160.4439678859603</v>
      </c>
      <c r="F3812">
        <f>-834.469829849401 -31.3274176925349 -394.622358334716</f>
        <v>-1260.419605876652</v>
      </c>
      <c r="G3812">
        <f>-839.781525781728 -32.9440687697777 -483.545915844336</f>
        <v>-1356.2715103958417</v>
      </c>
      <c r="H3812">
        <f>-844.870901551588 -32.97738103711 -608.024549522751</f>
        <v>-1485.872832111449</v>
      </c>
      <c r="I3812">
        <f>-816.340203244414 -23.9701906809212 -685.54814490341</f>
        <v>-1525.8585388287452</v>
      </c>
      <c r="J3812">
        <f>-853.316956335448 -7.40069527886681 -552.817582789029</f>
        <v>-1413.5352344033438</v>
      </c>
      <c r="K3812" t="s">
        <v>41621</v>
      </c>
      <c r="L3812" t="s">
        <v>41622</v>
      </c>
      <c r="M3812" t="s">
        <v>41623</v>
      </c>
      <c r="N3812">
        <f>-831.945610671404 -58.524817046979 -553.677762602637</f>
        <v>-1444.1481903210201</v>
      </c>
      <c r="O3812">
        <f>-779.838215118709 -182.615408833859 -525.677314444435</f>
        <v>-1488.1309383970029</v>
      </c>
      <c r="P3812">
        <f>-764.241845472719 -211.315786415833 -233.232062686173</f>
        <v>-1208.789694574725</v>
      </c>
      <c r="Q3812">
        <f>-642.2713280335 -31.6887318626218 -337.674512420357</f>
        <v>-1011.6345723164789</v>
      </c>
      <c r="R3812" t="s">
        <v>41624</v>
      </c>
      <c r="S3812" t="s">
        <v>41625</v>
      </c>
      <c r="T3812" t="s">
        <v>41626</v>
      </c>
      <c r="U3812" t="s">
        <v>41627</v>
      </c>
      <c r="V3812">
        <f>-752.872010876483 -91.6686629132306 -92.4545094574903</f>
        <v>-936.99518324720395</v>
      </c>
      <c r="W3812" t="s">
        <v>41628</v>
      </c>
      <c r="X3812" t="s">
        <v>41629</v>
      </c>
      <c r="Y3812" t="s">
        <v>41630</v>
      </c>
    </row>
    <row r="3813" spans="1:25" x14ac:dyDescent="0.3">
      <c r="A3813">
        <v>190600</v>
      </c>
      <c r="B3813" t="s">
        <v>41631</v>
      </c>
      <c r="C3813">
        <f>-797.694385007174 -7.09660953813136 -94.6481586308405</f>
        <v>-899.43915317614585</v>
      </c>
      <c r="D3813">
        <f>-816.474508102686 -21.5478366673958 -208.026737576257</f>
        <v>-1046.0490823463388</v>
      </c>
      <c r="E3813">
        <f>-826.871486819358 -28.0399650878287 -305.885834266474</f>
        <v>-1160.7972861736607</v>
      </c>
      <c r="F3813">
        <f>-834.45606791438 -31.8709787614994 -394.5764585914</f>
        <v>-1260.9035052672793</v>
      </c>
      <c r="G3813">
        <f>-839.868351501376 -33.5494503621997 -483.492915063844</f>
        <v>-1356.9107169274196</v>
      </c>
      <c r="H3813">
        <f>-845.117885463887 -33.6727938396141 -607.96485418779</f>
        <v>-1486.7555334912911</v>
      </c>
      <c r="I3813">
        <f>-816.665454671502 -24.6764951076875 -685.518315550593</f>
        <v>-1526.8602653297826</v>
      </c>
      <c r="J3813">
        <f>-853.532356737891 -8.07266747666813 -552.763961818831</f>
        <v>-1414.3689860333902</v>
      </c>
      <c r="K3813" t="s">
        <v>41632</v>
      </c>
      <c r="L3813" t="s">
        <v>41633</v>
      </c>
      <c r="M3813" t="s">
        <v>41634</v>
      </c>
      <c r="N3813">
        <f>-832.08319709987 -59.164314181135 -553.617878940887</f>
        <v>-1444.8653902218919</v>
      </c>
      <c r="O3813">
        <f>-779.709691689698 -183.151280489831 -525.648563670654</f>
        <v>-1488.5095358501831</v>
      </c>
      <c r="P3813">
        <f>-763.809314780567 -211.821817606132 -233.216740231264</f>
        <v>-1208.8478726179628</v>
      </c>
      <c r="Q3813">
        <f>-642.320757585625 -31.9216375684723 -337.750427037329</f>
        <v>-1011.9928221914263</v>
      </c>
      <c r="R3813" t="s">
        <v>41635</v>
      </c>
      <c r="S3813" t="s">
        <v>41636</v>
      </c>
      <c r="T3813" t="s">
        <v>41637</v>
      </c>
      <c r="U3813" t="s">
        <v>41638</v>
      </c>
      <c r="V3813">
        <f>-752.583216121319 -91.9848833317193 -92.4405087486501</f>
        <v>-937.00860820168839</v>
      </c>
      <c r="W3813" t="s">
        <v>41639</v>
      </c>
      <c r="X3813" t="s">
        <v>41640</v>
      </c>
      <c r="Y3813" t="s">
        <v>41641</v>
      </c>
    </row>
    <row r="3814" spans="1:25" x14ac:dyDescent="0.3">
      <c r="A3814">
        <v>190650</v>
      </c>
      <c r="B3814" t="s">
        <v>41642</v>
      </c>
      <c r="C3814">
        <f>-797.545629506354 -7.30977361062287 -94.6368509541891</f>
        <v>-899.49225407116592</v>
      </c>
      <c r="D3814">
        <f>-816.342597727092 -21.7705995409303 -208.011369160533</f>
        <v>-1046.1245664285552</v>
      </c>
      <c r="E3814">
        <f>-826.777171926193 -28.2793657912603 -305.865447113938</f>
        <v>-1160.9219848313912</v>
      </c>
      <c r="F3814">
        <f>-834.405073194271 -32.1283886399087 -394.551552276561</f>
        <v>-1261.0850141107408</v>
      </c>
      <c r="G3814">
        <f>-839.8705409527 -33.8278840839748 -483.46441531218</f>
        <v>-1357.1628403488548</v>
      </c>
      <c r="H3814">
        <f>-845.204558096111 -33.9831446014946 -607.932623218923</f>
        <v>-1487.1203259165286</v>
      </c>
      <c r="I3814">
        <f>-816.799582740427 -25.002685943763 -685.505299201589</f>
        <v>-1527.307567885779</v>
      </c>
      <c r="J3814">
        <f>-853.587054085846 -8.37117097477017 -552.732282095421</f>
        <v>-1414.6905071560373</v>
      </c>
      <c r="K3814" t="s">
        <v>41643</v>
      </c>
      <c r="L3814" t="s">
        <v>41644</v>
      </c>
      <c r="M3814" t="s">
        <v>41645</v>
      </c>
      <c r="N3814">
        <f>-832.127493568871 -59.4585412676943 -553.588133220527</f>
        <v>-1445.1741680570922</v>
      </c>
      <c r="O3814">
        <f>-779.696070499216 -183.426968574763 -525.625448474271</f>
        <v>-1488.7484875482501</v>
      </c>
      <c r="P3814">
        <f>-763.609255039166 -211.972263882446 -233.191467697822</f>
        <v>-1208.7729866194341</v>
      </c>
      <c r="Q3814">
        <f>-642.272987426702 -32.0250584259393 -337.821169672879</f>
        <v>-1012.1192155255203</v>
      </c>
      <c r="R3814" t="s">
        <v>41646</v>
      </c>
      <c r="S3814" t="s">
        <v>41647</v>
      </c>
      <c r="T3814" t="s">
        <v>41648</v>
      </c>
      <c r="U3814" t="s">
        <v>41649</v>
      </c>
      <c r="V3814">
        <f>-752.404944012526 -92.2380732432971 -92.432737499424</f>
        <v>-937.07575475524709</v>
      </c>
      <c r="W3814" t="s">
        <v>41650</v>
      </c>
      <c r="X3814" t="s">
        <v>41651</v>
      </c>
      <c r="Y3814" t="s">
        <v>41652</v>
      </c>
    </row>
    <row r="3815" spans="1:25" x14ac:dyDescent="0.3">
      <c r="A3815">
        <v>190700</v>
      </c>
      <c r="B3815" t="s">
        <v>41653</v>
      </c>
      <c r="C3815">
        <f>-797.273117771698 -7.55488976722927 -94.6144869578067</f>
        <v>-899.44249449673396</v>
      </c>
      <c r="D3815">
        <f>-816.102754485268 -22.027390295101 -207.982080491165</f>
        <v>-1046.112225271534</v>
      </c>
      <c r="E3815">
        <f>-826.610132331499 -28.5692316072277 -305.826087105628</f>
        <v>-1161.0054510443547</v>
      </c>
      <c r="F3815">
        <f>-834.322414996143 -32.4570082091132 -394.503410462029</f>
        <v>-1261.2828336672851</v>
      </c>
      <c r="G3815">
        <f>-839.89049591474 -34.2037447940995 -483.408846693397</f>
        <v>-1357.5030874022364</v>
      </c>
      <c r="H3815">
        <f>-845.387661467746 -34.4340690932027 -607.869887861089</f>
        <v>-1487.6916184220377</v>
      </c>
      <c r="I3815">
        <f>-817.09072085252 -25.5273000384036 -685.490627444988</f>
        <v>-1528.1086483359118</v>
      </c>
      <c r="J3815">
        <f>-853.68461142895 -8.78327262020889 -552.674705490882</f>
        <v>-1415.1425895400409</v>
      </c>
      <c r="K3815" t="s">
        <v>41654</v>
      </c>
      <c r="L3815" t="s">
        <v>41655</v>
      </c>
      <c r="M3815" t="s">
        <v>41656</v>
      </c>
      <c r="N3815">
        <f>-832.252633208419 -59.8822460745229 -553.526743759046</f>
        <v>-1445.6616230419877</v>
      </c>
      <c r="O3815">
        <f>-779.802580260498 -183.836850151961 -525.554173319326</f>
        <v>-1489.1936037317851</v>
      </c>
      <c r="P3815">
        <f>-763.423713760701 -212.223348174642 -233.121078557367</f>
        <v>-1208.7681404927102</v>
      </c>
      <c r="Q3815">
        <f>-642.171713497685 -32.367289116087 -338.005001537998</f>
        <v>-1012.54400415177</v>
      </c>
      <c r="R3815" t="s">
        <v>41657</v>
      </c>
      <c r="S3815" t="s">
        <v>41658</v>
      </c>
      <c r="T3815" t="s">
        <v>41659</v>
      </c>
      <c r="U3815" t="s">
        <v>41660</v>
      </c>
      <c r="V3815">
        <f>-752.156676486064 -92.4989964841915 -92.4012597797283</f>
        <v>-937.05693274998384</v>
      </c>
      <c r="W3815" t="s">
        <v>41661</v>
      </c>
      <c r="X3815" t="s">
        <v>41662</v>
      </c>
      <c r="Y3815" t="s">
        <v>41663</v>
      </c>
    </row>
    <row r="3816" spans="1:25" x14ac:dyDescent="0.3">
      <c r="A3816">
        <v>190750</v>
      </c>
      <c r="B3816" t="s">
        <v>41664</v>
      </c>
      <c r="C3816">
        <f>-797.127199974654 -7.64730427425343 -94.6067609750994</f>
        <v>-899.38126522400682</v>
      </c>
      <c r="D3816">
        <f>-815.945154179532 -22.1100899844034 -207.977626779337</f>
        <v>-1046.0328709432724</v>
      </c>
      <c r="E3816">
        <f>-826.467310489763 -28.6584444170917 -305.819614005229</f>
        <v>-1160.9453689120837</v>
      </c>
      <c r="F3816">
        <f>-834.203184378595 -32.557926523385 -394.4942389135</f>
        <v>-1261.25534981548</v>
      </c>
      <c r="G3816">
        <f>-839.805363681489 -34.3222847561283 -483.39719821135</f>
        <v>-1357.5248466489672</v>
      </c>
      <c r="H3816">
        <f>-845.360692458725 -34.5829676785218 -607.855588071935</f>
        <v>-1487.7992482091818</v>
      </c>
      <c r="I3816">
        <f>-817.111526105367 -25.7187323196542 -685.498544919703</f>
        <v>-1528.3288033447243</v>
      </c>
      <c r="J3816">
        <f>-853.621661662948 -8.91435135084998 -552.663319792161</f>
        <v>-1415.1993328059589</v>
      </c>
      <c r="K3816" t="s">
        <v>41665</v>
      </c>
      <c r="L3816" t="s">
        <v>41666</v>
      </c>
      <c r="M3816" t="s">
        <v>41667</v>
      </c>
      <c r="N3816">
        <f>-832.210446946355 -60.0221957542182 -553.511972349391</f>
        <v>-1445.7446150499641</v>
      </c>
      <c r="O3816">
        <f>-779.803545044168 -183.989572933606 -525.532939401493</f>
        <v>-1489.326057379267</v>
      </c>
      <c r="P3816">
        <f>-763.309167677903 -212.30493214228 -233.099264110804</f>
        <v>-1208.713363930987</v>
      </c>
      <c r="Q3816">
        <f>-641.978097415227 -32.5368350273991 -338.042449604383</f>
        <v>-1012.5573820470091</v>
      </c>
      <c r="R3816" t="s">
        <v>41668</v>
      </c>
      <c r="S3816" t="s">
        <v>41669</v>
      </c>
      <c r="T3816" t="s">
        <v>41670</v>
      </c>
      <c r="U3816" t="s">
        <v>41671</v>
      </c>
      <c r="V3816">
        <f>-752.015803906776 -92.5903043533526 -92.3969888642648</f>
        <v>-937.00309712439343</v>
      </c>
      <c r="W3816" t="s">
        <v>41672</v>
      </c>
      <c r="X3816" t="s">
        <v>41673</v>
      </c>
      <c r="Y3816" t="s">
        <v>41674</v>
      </c>
    </row>
    <row r="3817" spans="1:25" x14ac:dyDescent="0.3">
      <c r="A3817">
        <v>190800</v>
      </c>
      <c r="B3817" t="s">
        <v>41675</v>
      </c>
      <c r="C3817">
        <f>-796.813674891543 -7.85190540294457 -94.59415001759</f>
        <v>-899.25973031207752</v>
      </c>
      <c r="D3817">
        <f>-815.639279538346 -22.2822553917856 -207.967861765983</f>
        <v>-1045.8893966961145</v>
      </c>
      <c r="E3817">
        <f>-826.155807758998 -28.8181724199917 -305.811326725044</f>
        <v>-1160.7853069040336</v>
      </c>
      <c r="F3817">
        <f>-833.88183578812 -32.7120032571893 -394.487044537813</f>
        <v>-1261.0808835831224</v>
      </c>
      <c r="G3817">
        <f>-839.469584960885 -34.4770214062362 -483.390980674809</f>
        <v>-1357.3375870419302</v>
      </c>
      <c r="H3817">
        <f>-845.000051376902 -34.745155680328 -607.850423927477</f>
        <v>-1487.595630984707</v>
      </c>
      <c r="I3817">
        <f>-816.810785758981 -25.9652265773973 -685.524784310504</f>
        <v>-1528.3007966468822</v>
      </c>
      <c r="J3817">
        <f>-853.245678800538 -9.06215566253354 -552.662463937628</f>
        <v>-1414.9702984006994</v>
      </c>
      <c r="K3817" t="s">
        <v>41676</v>
      </c>
      <c r="L3817" t="s">
        <v>41677</v>
      </c>
      <c r="M3817" t="s">
        <v>41678</v>
      </c>
      <c r="N3817">
        <f>-831.886970026516 -60.1921046702655 -553.501411315323</f>
        <v>-1445.5804860121045</v>
      </c>
      <c r="O3817">
        <f>-779.597223145483 -184.204936827371 -525.498359125701</f>
        <v>-1489.300519098555</v>
      </c>
      <c r="P3817">
        <f>-763.026197360322 -212.457812627875 -233.063144964242</f>
        <v>-1208.5471549524391</v>
      </c>
      <c r="Q3817">
        <f>-641.384462204246 -32.9488298154074 -338.090155879622</f>
        <v>-1012.4234478992754</v>
      </c>
      <c r="R3817" t="s">
        <v>41679</v>
      </c>
      <c r="S3817" t="s">
        <v>41680</v>
      </c>
      <c r="T3817" t="s">
        <v>41681</v>
      </c>
      <c r="U3817" t="s">
        <v>41682</v>
      </c>
      <c r="V3817">
        <f>-751.800074833741 -92.7820358051671 -92.3846348307716</f>
        <v>-936.96674546967961</v>
      </c>
      <c r="W3817" t="s">
        <v>41683</v>
      </c>
      <c r="X3817" t="s">
        <v>41684</v>
      </c>
      <c r="Y3817" t="s">
        <v>41685</v>
      </c>
    </row>
    <row r="3818" spans="1:25" x14ac:dyDescent="0.3">
      <c r="A3818">
        <v>190850</v>
      </c>
      <c r="B3818" t="s">
        <v>41686</v>
      </c>
      <c r="C3818">
        <f>-796.591200299952 -7.95930987141855 -94.5915433477152</f>
        <v>-899.14205351908572</v>
      </c>
      <c r="D3818">
        <f>-815.426978488176 -22.3877235439222 -207.963786156091</f>
        <v>-1045.7784881881892</v>
      </c>
      <c r="E3818">
        <f>-825.927653220993 -28.9183689753418 -305.809277759387</f>
        <v>-1160.6552999557216</v>
      </c>
      <c r="F3818">
        <f>-833.629759233942 -32.8061091785744 -394.487324145279</f>
        <v>-1260.9231925577953</v>
      </c>
      <c r="G3818">
        <f>-839.183612194934 -34.5641235965422 -483.393593125764</f>
        <v>-1357.1413289172401</v>
      </c>
      <c r="H3818">
        <f>-844.655867509018 -34.8215602460011 -607.855575933609</f>
        <v>-1487.3330036886282</v>
      </c>
      <c r="I3818">
        <f>-816.472491817061 -26.0763543548946 -685.535847163843</f>
        <v>-1528.0846933357986</v>
      </c>
      <c r="J3818">
        <f>-852.913280058846 -9.13742120727306 -552.669919933743</f>
        <v>-1414.7206211998621</v>
      </c>
      <c r="K3818" t="s">
        <v>41687</v>
      </c>
      <c r="L3818" t="s">
        <v>41688</v>
      </c>
      <c r="M3818" t="s">
        <v>41689</v>
      </c>
      <c r="N3818">
        <f>-831.582354253595 -60.279015005804 -553.501991897267</f>
        <v>-1445.3633611566661</v>
      </c>
      <c r="O3818">
        <f>-779.360490806929 -184.317506058452 -525.493864222161</f>
        <v>-1489.1718610875419</v>
      </c>
      <c r="P3818">
        <f>-762.817352751566 -212.566209641807 -233.056677816876</f>
        <v>-1208.4402402102492</v>
      </c>
      <c r="Q3818">
        <f>-641.07070731879 -33.1445126337424 -338.111370486325</f>
        <v>-1012.3265904388574</v>
      </c>
      <c r="R3818" t="s">
        <v>41690</v>
      </c>
      <c r="S3818" t="s">
        <v>41691</v>
      </c>
      <c r="T3818" t="s">
        <v>41692</v>
      </c>
      <c r="U3818" t="s">
        <v>41693</v>
      </c>
      <c r="V3818">
        <f>-751.584163776032 -92.9213662098692 -92.3913437401138</f>
        <v>-936.89687372601509</v>
      </c>
      <c r="W3818" t="s">
        <v>41694</v>
      </c>
      <c r="X3818" t="s">
        <v>41695</v>
      </c>
      <c r="Y3818" t="s">
        <v>41696</v>
      </c>
    </row>
    <row r="3819" spans="1:25" x14ac:dyDescent="0.3">
      <c r="A3819">
        <v>190900</v>
      </c>
      <c r="B3819" t="s">
        <v>41697</v>
      </c>
      <c r="C3819">
        <f>-796.158203883211 -8.15691653652993 -94.5813228665753</f>
        <v>-898.89644328631618</v>
      </c>
      <c r="D3819">
        <f>-814.981152402031 -22.5640746634972 -207.958442667277</f>
        <v>-1045.5036697328051</v>
      </c>
      <c r="E3819">
        <f>-825.430583096488 -29.0734969241144 -305.81076367165</f>
        <v>-1160.3148436922525</v>
      </c>
      <c r="F3819">
        <f>-833.069847829853 -32.9410762239831 -394.495285675737</f>
        <v>-1260.5062097295731</v>
      </c>
      <c r="G3819">
        <f>-838.543947444548 -34.6786004233682 -483.406674364729</f>
        <v>-1356.6292222326451</v>
      </c>
      <c r="H3819">
        <f>-843.887396694059 -34.9079293285133 -607.874455053707</f>
        <v>-1486.6697810762794</v>
      </c>
      <c r="I3819">
        <f>-815.673687363403 -26.2084568888213 -685.54904942869</f>
        <v>-1527.4311936809142</v>
      </c>
      <c r="J3819">
        <f>-852.177176620698 -9.22609160047591 -552.692621304885</f>
        <v>-1414.095889526059</v>
      </c>
      <c r="K3819" t="s">
        <v>41698</v>
      </c>
      <c r="L3819" t="s">
        <v>41699</v>
      </c>
      <c r="M3819" t="s">
        <v>41700</v>
      </c>
      <c r="N3819">
        <f>-830.89476963185 -60.3879573868533 -553.51199543703</f>
        <v>-1444.7947224557333</v>
      </c>
      <c r="O3819">
        <f>-778.769320019758 -184.466824924558 -525.483507412556</f>
        <v>-1488.7196523568721</v>
      </c>
      <c r="P3819">
        <f>-762.302374937633 -212.741846381268 -233.044482332403</f>
        <v>-1208.0887036513041</v>
      </c>
      <c r="Q3819">
        <f>-640.395341679967 -33.4083570260218 -338.063894579255</f>
        <v>-1011.8675932852439</v>
      </c>
      <c r="R3819" t="s">
        <v>41701</v>
      </c>
      <c r="S3819" t="s">
        <v>41702</v>
      </c>
      <c r="T3819" t="s">
        <v>41703</v>
      </c>
      <c r="U3819" t="s">
        <v>41704</v>
      </c>
      <c r="V3819">
        <f>-751.210962782003 -93.0966156534653 -92.3741425861931</f>
        <v>-936.68172102166136</v>
      </c>
      <c r="W3819" t="s">
        <v>41705</v>
      </c>
      <c r="X3819" t="s">
        <v>41706</v>
      </c>
      <c r="Y3819" t="s">
        <v>41707</v>
      </c>
    </row>
    <row r="3820" spans="1:25" x14ac:dyDescent="0.3">
      <c r="A3820">
        <v>190950</v>
      </c>
      <c r="B3820" t="s">
        <v>41708</v>
      </c>
      <c r="C3820">
        <f>-795.967294055058 -8.29093424214534 -94.5773911918033</f>
        <v>-898.8356194890066</v>
      </c>
      <c r="D3820">
        <f>-814.773563701973 -22.6716849659367 -207.960503521837</f>
        <v>-1045.4057521897466</v>
      </c>
      <c r="E3820">
        <f>-825.190337734302 -29.1575410186695 -305.817962006552</f>
        <v>-1160.1658407595235</v>
      </c>
      <c r="F3820">
        <f>-832.792602661201 -33.0031949514325 -394.50651138308</f>
        <v>-1260.3023089957137</v>
      </c>
      <c r="G3820">
        <f>-838.22276117105 -34.7182913776401 -483.421082625097</f>
        <v>-1356.362135173787</v>
      </c>
      <c r="H3820">
        <f>-843.496970102617 -34.9156438680004 -607.891818995003</f>
        <v>-1486.3044329656204</v>
      </c>
      <c r="I3820">
        <f>-815.253711084237 -26.2170643697573 -685.555694719411</f>
        <v>-1527.0264701734054</v>
      </c>
      <c r="J3820">
        <f>-851.815288168125 -9.24702939912299 -552.708176519274</f>
        <v>-1413.7704940865219</v>
      </c>
      <c r="K3820" t="s">
        <v>41709</v>
      </c>
      <c r="L3820" t="s">
        <v>41710</v>
      </c>
      <c r="M3820" t="s">
        <v>41711</v>
      </c>
      <c r="N3820">
        <f>-830.536680132369 -60.4105635112209 -553.528721171814</f>
        <v>-1444.475964815404</v>
      </c>
      <c r="O3820">
        <f>-778.439359776525 -184.49899684428 -525.488631320694</f>
        <v>-1488.426987941499</v>
      </c>
      <c r="P3820">
        <f>-762.028983386828 -212.78971568457 -233.047979469344</f>
        <v>-1207.866678540742</v>
      </c>
      <c r="Q3820">
        <f>-639.985313509002 -33.5410398797028 -338.053234652598</f>
        <v>-1011.5795880413028</v>
      </c>
      <c r="R3820" t="s">
        <v>41712</v>
      </c>
      <c r="S3820" t="s">
        <v>41713</v>
      </c>
      <c r="T3820" t="s">
        <v>41714</v>
      </c>
      <c r="U3820" t="s">
        <v>41715</v>
      </c>
      <c r="V3820">
        <f>-751.05425975856 -93.1959581885366 -92.3668076093206</f>
        <v>-936.61702555641716</v>
      </c>
      <c r="W3820" t="s">
        <v>41716</v>
      </c>
      <c r="X3820" t="s">
        <v>41717</v>
      </c>
      <c r="Y3820" t="s">
        <v>41718</v>
      </c>
    </row>
    <row r="3821" spans="1:25" x14ac:dyDescent="0.3">
      <c r="A3821">
        <v>191000</v>
      </c>
      <c r="B3821" t="s">
        <v>41719</v>
      </c>
      <c r="C3821">
        <f>-795.646245926803 -8.48075620704481 -94.5639988168232</f>
        <v>-898.69100095067097</v>
      </c>
      <c r="D3821">
        <f>-814.398405094039 -22.8296221399521 -207.960104587229</f>
        <v>-1045.1881318212202</v>
      </c>
      <c r="E3821">
        <f>-824.730947633896 -29.2763036844419 -305.829160078359</f>
        <v>-1159.8364113966968</v>
      </c>
      <c r="F3821">
        <f>-832.242114867367 -33.0822455730327 -394.527115882647</f>
        <v>-1259.8514763230467</v>
      </c>
      <c r="G3821">
        <f>-837.566051310864 -34.753097526157 -483.449044696611</f>
        <v>-1355.768193533632</v>
      </c>
      <c r="H3821">
        <f>-842.676351999779 -34.8839418599514 -607.926643313171</f>
        <v>-1485.4869371729014</v>
      </c>
      <c r="I3821">
        <f>-814.366094405144 -26.1405667301585 -685.561209143588</f>
        <v>-1526.0678702788905</v>
      </c>
      <c r="J3821">
        <f>-851.079899722855 -9.24993344510153 -552.739910978681</f>
        <v>-1413.0697441466375</v>
      </c>
      <c r="K3821" t="s">
        <v>41720</v>
      </c>
      <c r="L3821" t="s">
        <v>41721</v>
      </c>
      <c r="M3821" t="s">
        <v>41722</v>
      </c>
      <c r="N3821">
        <f>-829.775188537412 -60.4026622010931 -553.560654073312</f>
        <v>-1443.7385048118172</v>
      </c>
      <c r="O3821">
        <f>-777.660232923817 -184.475772030815 -525.497851377524</f>
        <v>-1487.633856332156</v>
      </c>
      <c r="P3821">
        <f>-761.404423513955 -212.82349641827 -233.054072376205</f>
        <v>-1207.2819923084298</v>
      </c>
      <c r="Q3821">
        <f>-639.324604977289 -33.573917475318 -338.015894426648</f>
        <v>-1010.914416879255</v>
      </c>
      <c r="R3821" t="s">
        <v>41723</v>
      </c>
      <c r="S3821" t="s">
        <v>41724</v>
      </c>
      <c r="T3821" t="s">
        <v>41725</v>
      </c>
      <c r="U3821" t="s">
        <v>41726</v>
      </c>
      <c r="V3821">
        <f>-750.737655428247 -93.3633657406104 -92.3638870879226</f>
        <v>-936.46490825678006</v>
      </c>
      <c r="W3821" t="s">
        <v>41727</v>
      </c>
      <c r="X3821" t="s">
        <v>41728</v>
      </c>
      <c r="Y3821" t="s">
        <v>41729</v>
      </c>
    </row>
    <row r="3822" spans="1:25" x14ac:dyDescent="0.3">
      <c r="A3822">
        <v>191050</v>
      </c>
      <c r="B3822" t="s">
        <v>41730</v>
      </c>
      <c r="C3822">
        <f>-795.496922434266 -8.52647661182277 -94.5618691747962</f>
        <v>-898.58526822088504</v>
      </c>
      <c r="D3822">
        <f>-814.218109956371 -22.8635066682966 -207.964599900976</f>
        <v>-1045.0462165256436</v>
      </c>
      <c r="E3822">
        <f>-824.500138607393 -29.2893108425726 -305.840206475877</f>
        <v>-1159.6296559258426</v>
      </c>
      <c r="F3822">
        <f>-831.95584474924 -33.0726165619044 -394.543951718361</f>
        <v>-1259.5724130295052</v>
      </c>
      <c r="G3822">
        <f>-837.214536007926 -34.716461269868 -483.470285841223</f>
        <v>-1355.4012831190171</v>
      </c>
      <c r="H3822">
        <f>-842.223561086772 -34.805454341204 -607.952078416914</f>
        <v>-1484.98109384489</v>
      </c>
      <c r="I3822">
        <f>-813.871157630789 -26.0221851973681 -685.56673167707</f>
        <v>-1525.4600745052271</v>
      </c>
      <c r="J3822">
        <f>-850.689091055174 -9.19721400507296 -552.762673394576</f>
        <v>-1412.648978454823</v>
      </c>
      <c r="K3822" t="s">
        <v>41731</v>
      </c>
      <c r="L3822" t="s">
        <v>41732</v>
      </c>
      <c r="M3822" t="s">
        <v>41733</v>
      </c>
      <c r="N3822">
        <f>-829.349635677876 -60.3354826630565 -553.584861359165</f>
        <v>-1443.2699797000973</v>
      </c>
      <c r="O3822">
        <f>-777.166768460467 -184.380171516012 -525.511929916802</f>
        <v>-1487.0588698932811</v>
      </c>
      <c r="P3822">
        <f>-761.014744290389 -212.790389982146 -233.068374754479</f>
        <v>-1206.8735090270141</v>
      </c>
      <c r="Q3822">
        <f>-638.97176773758 -33.4963666580022 -337.997127708339</f>
        <v>-1010.4652621039212</v>
      </c>
      <c r="R3822" t="s">
        <v>41734</v>
      </c>
      <c r="S3822" t="s">
        <v>41735</v>
      </c>
      <c r="T3822" t="s">
        <v>41736</v>
      </c>
      <c r="U3822" t="s">
        <v>41737</v>
      </c>
      <c r="V3822">
        <f>-750.606196480307 -93.313475101784 -92.363528381588</f>
        <v>-936.28319996367895</v>
      </c>
      <c r="W3822" t="s">
        <v>41738</v>
      </c>
      <c r="X3822" t="s">
        <v>41739</v>
      </c>
      <c r="Y3822" t="s">
        <v>41740</v>
      </c>
    </row>
    <row r="3823" spans="1:25" x14ac:dyDescent="0.3">
      <c r="A3823">
        <v>191100</v>
      </c>
      <c r="B3823" t="s">
        <v>41741</v>
      </c>
      <c r="C3823">
        <f>-795.11594014503 -8.68698001718235 -94.5523253186018</f>
        <v>-898.35524548081412</v>
      </c>
      <c r="D3823">
        <f>-813.766832765849 -22.9982158639987 -207.96999358893</f>
        <v>-1044.7350422187776</v>
      </c>
      <c r="E3823">
        <f>-823.944786403838 -29.385260189689 -305.858980059728</f>
        <v>-1159.189026653255</v>
      </c>
      <c r="F3823">
        <f>-831.289007138182 -33.1267098612891 -394.573751735224</f>
        <v>-1258.989468734695</v>
      </c>
      <c r="G3823">
        <f>-836.41913376705 -34.7221109280074 -483.508448826719</f>
        <v>-1354.6496935217765</v>
      </c>
      <c r="H3823">
        <f>-841.230704852724 -34.7359648926411 -607.998119977827</f>
        <v>-1483.9647897231921</v>
      </c>
      <c r="I3823">
        <f>-812.777079003464 -25.8584869729334 -685.564850333587</f>
        <v>-1524.2004163099843</v>
      </c>
      <c r="J3823">
        <f>-849.826422669128 -9.17894416275226 -552.805114746513</f>
        <v>-1411.8104815783931</v>
      </c>
      <c r="K3823" t="s">
        <v>41742</v>
      </c>
      <c r="L3823" t="s">
        <v>41743</v>
      </c>
      <c r="M3823" t="s">
        <v>41744</v>
      </c>
      <c r="N3823">
        <f>-828.400262924666 -60.2809143405568 -553.627553067915</f>
        <v>-1442.3087303331376</v>
      </c>
      <c r="O3823">
        <f>-776.053404413575 -184.253273103289 -525.541102465762</f>
        <v>-1485.847779982626</v>
      </c>
      <c r="P3823">
        <f>-760.099778886534 -212.767863368323 -233.096986041569</f>
        <v>-1205.9646282964259</v>
      </c>
      <c r="Q3823">
        <f>-638.219995639799 -33.232290456679 -337.802097492047</f>
        <v>-1009.254383588525</v>
      </c>
      <c r="R3823" t="s">
        <v>41745</v>
      </c>
      <c r="S3823" t="s">
        <v>41746</v>
      </c>
      <c r="T3823" t="s">
        <v>41747</v>
      </c>
      <c r="U3823" t="s">
        <v>41748</v>
      </c>
      <c r="V3823">
        <f>-750.139818060439 -93.4743317233315 -92.3484071740197</f>
        <v>-935.96255695779018</v>
      </c>
      <c r="W3823" t="s">
        <v>41749</v>
      </c>
      <c r="X3823" t="s">
        <v>41750</v>
      </c>
      <c r="Y3823" t="s">
        <v>41751</v>
      </c>
    </row>
    <row r="3824" spans="1:25" x14ac:dyDescent="0.3">
      <c r="A3824">
        <v>191150</v>
      </c>
      <c r="B3824" t="s">
        <v>41752</v>
      </c>
      <c r="C3824">
        <f>-794.891676440444 -8.76995902384738 -94.5435352993017</f>
        <v>-898.20517076359306</v>
      </c>
      <c r="D3824">
        <f>-813.512692656564 -23.0737147817417 -207.967011924227</f>
        <v>-1044.5534193625326</v>
      </c>
      <c r="E3824">
        <f>-823.637260586471 -29.4389705017793 -305.863038616025</f>
        <v>-1158.9392697042754</v>
      </c>
      <c r="F3824">
        <f>-830.921938481521 -33.1550533030786 -394.583686837382</f>
        <v>-1258.6606786219816</v>
      </c>
      <c r="G3824">
        <f>-835.981240359032 -34.7189148160337 -483.522972664161</f>
        <v>-1354.2231278392267</v>
      </c>
      <c r="H3824">
        <f>-840.682211447809 -34.682543318183 -608.016879299665</f>
        <v>-1483.381634065657</v>
      </c>
      <c r="I3824">
        <f>-812.170928245634 -25.7502530926367 -685.55629496476</f>
        <v>-1523.4774763030307</v>
      </c>
      <c r="J3824">
        <f>-849.352847107412 -9.15859655354325 -552.82020448235</f>
        <v>-1411.3316481433053</v>
      </c>
      <c r="K3824" t="s">
        <v>41753</v>
      </c>
      <c r="L3824" t="s">
        <v>41754</v>
      </c>
      <c r="M3824" t="s">
        <v>41755</v>
      </c>
      <c r="N3824">
        <f>-827.874277828302 -60.2385513346354 -553.646233378851</f>
        <v>-1441.7590625417884</v>
      </c>
      <c r="O3824">
        <f>-775.448498299098 -184.173217076783 -525.549165446978</f>
        <v>-1485.1708808228591</v>
      </c>
      <c r="P3824">
        <f>-759.630797485491 -212.766554769726 -233.105219222665</f>
        <v>-1205.5025714778819</v>
      </c>
      <c r="Q3824">
        <f>-637.810938165535 -33.1475452733223 -337.737087139539</f>
        <v>-1008.6955705783964</v>
      </c>
      <c r="R3824" t="s">
        <v>41756</v>
      </c>
      <c r="S3824" t="s">
        <v>41757</v>
      </c>
      <c r="T3824" t="s">
        <v>41758</v>
      </c>
      <c r="U3824" t="s">
        <v>41759</v>
      </c>
      <c r="V3824">
        <f>-749.876367295099 -93.5328285111761 -92.3472044460912</f>
        <v>-935.75640025236635</v>
      </c>
      <c r="W3824" t="s">
        <v>41760</v>
      </c>
      <c r="X3824" t="s">
        <v>41761</v>
      </c>
      <c r="Y3824" t="s">
        <v>41762</v>
      </c>
    </row>
    <row r="3825" spans="1:25" x14ac:dyDescent="0.3">
      <c r="A3825">
        <v>191200</v>
      </c>
      <c r="B3825" t="s">
        <v>41763</v>
      </c>
      <c r="C3825">
        <f>-794.413979700128 -8.90780231288682 -94.5373742540626</f>
        <v>-897.85915626707742</v>
      </c>
      <c r="D3825">
        <f>-812.939258550098 -23.1867013496585 -207.979647998172</f>
        <v>-1044.1056078979284</v>
      </c>
      <c r="E3825">
        <f>-822.912151464618 -29.488717284599 -305.895347435495</f>
        <v>-1158.296216184712</v>
      </c>
      <c r="F3825">
        <f>-830.031712333454 -33.1313499091875 -394.632477560673</f>
        <v>-1257.7955398033146</v>
      </c>
      <c r="G3825">
        <f>-834.898058069451 -34.6049537825666 -483.584008032939</f>
        <v>-1353.0870198849566</v>
      </c>
      <c r="H3825">
        <f>-839.300284053069 -34.4246941726906 -608.088811660551</f>
        <v>-1481.8137898863106</v>
      </c>
      <c r="I3825">
        <f>-810.62939065066 -25.3761966553061 -685.555757451036</f>
        <v>-1521.5613447570022</v>
      </c>
      <c r="J3825">
        <f>-848.154500385916 -8.98609835606317 -552.881805756933</f>
        <v>-1410.0224044989122</v>
      </c>
      <c r="K3825" t="s">
        <v>41764</v>
      </c>
      <c r="L3825" t="s">
        <v>41765</v>
      </c>
      <c r="M3825" t="s">
        <v>41766</v>
      </c>
      <c r="N3825">
        <f>-826.571548794791 -60.021867646973 -553.718914115828</f>
        <v>-1440.3123305575921</v>
      </c>
      <c r="O3825">
        <f>-773.98454914903 -183.886719241928 -525.618187627677</f>
        <v>-1483.4894560186349</v>
      </c>
      <c r="P3825">
        <f>-758.538810404081 -212.671190258069 -233.173194777778</f>
        <v>-1204.3831954399279</v>
      </c>
      <c r="Q3825">
        <f>-636.799284451799 -32.8688232750214 -337.583018106507</f>
        <v>-1007.2511258333275</v>
      </c>
      <c r="R3825" t="s">
        <v>41767</v>
      </c>
      <c r="S3825" t="s">
        <v>41768</v>
      </c>
      <c r="T3825" t="s">
        <v>41769</v>
      </c>
      <c r="U3825" t="s">
        <v>41770</v>
      </c>
      <c r="V3825">
        <f>-749.332668199266 -93.6442358632751 -92.3408794268166</f>
        <v>-935.31778348935768</v>
      </c>
      <c r="W3825" t="s">
        <v>41771</v>
      </c>
      <c r="X3825" t="s">
        <v>41772</v>
      </c>
      <c r="Y3825" t="s">
        <v>41773</v>
      </c>
    </row>
    <row r="3826" spans="1:25" x14ac:dyDescent="0.3">
      <c r="A3826">
        <v>191250</v>
      </c>
      <c r="B3826" t="s">
        <v>41774</v>
      </c>
      <c r="C3826">
        <f>-794.181207840867 -8.89406222898629 -94.5420556898157</f>
        <v>-897.61732575966903</v>
      </c>
      <c r="D3826">
        <f>-812.640253958018 -23.1513291363874 -207.99780161868</f>
        <v>-1043.7893847130854</v>
      </c>
      <c r="E3826">
        <f>-822.524407331748 -29.4254722819708 -305.924368779107</f>
        <v>-1157.8742483928258</v>
      </c>
      <c r="F3826">
        <f>-829.55091937768 -33.0394005894771 -394.670093880639</f>
        <v>-1257.2604138477959</v>
      </c>
      <c r="G3826">
        <f>-834.31160633616 -34.4806920455067 -483.627937867374</f>
        <v>-1352.4202362490407</v>
      </c>
      <c r="H3826">
        <f>-838.55308169173 -34.2512920856436 -608.138091970994</f>
        <v>-1480.9424657483676</v>
      </c>
      <c r="I3826">
        <f>-809.791121600887 -25.1591847716406 -685.566154519645</f>
        <v>-1520.5164608921727</v>
      </c>
      <c r="J3826">
        <f>-847.49868742916 -8.84301121943918 -552.931917705337</f>
        <v>-1409.2736163539362</v>
      </c>
      <c r="K3826" t="s">
        <v>41775</v>
      </c>
      <c r="L3826" t="s">
        <v>41776</v>
      </c>
      <c r="M3826" t="s">
        <v>41777</v>
      </c>
      <c r="N3826">
        <f>-825.874616052506 -59.8614324716547 -553.762578076597</f>
        <v>-1439.4986266007577</v>
      </c>
      <c r="O3826">
        <f>-773.22394145041 -183.698747880827 -525.653630282904</f>
        <v>-1482.5763196141411</v>
      </c>
      <c r="P3826">
        <f>-757.954968689942 -212.619439224562 -233.212819642183</f>
        <v>-1203.787227556687</v>
      </c>
      <c r="Q3826">
        <f>-636.256058142943 -32.7126054850946 -337.49023002531</f>
        <v>-1006.4588936533476</v>
      </c>
      <c r="R3826" t="s">
        <v>41778</v>
      </c>
      <c r="S3826" t="s">
        <v>41779</v>
      </c>
      <c r="T3826" t="s">
        <v>41780</v>
      </c>
      <c r="U3826" t="s">
        <v>41781</v>
      </c>
      <c r="V3826">
        <f>-749.090139063912 -93.6012653344199 -92.3342139980313</f>
        <v>-935.02561839636326</v>
      </c>
      <c r="W3826" t="s">
        <v>41782</v>
      </c>
      <c r="X3826" t="s">
        <v>41783</v>
      </c>
      <c r="Y3826" t="s">
        <v>41784</v>
      </c>
    </row>
    <row r="3827" spans="1:25" x14ac:dyDescent="0.3">
      <c r="A3827">
        <v>191300</v>
      </c>
      <c r="B3827" t="s">
        <v>41785</v>
      </c>
      <c r="C3827">
        <f>-793.657202982781 -8.85039026562731 -94.7536228108312</f>
        <v>-897.26121605923947</v>
      </c>
      <c r="D3827">
        <f>-811.598449847522 -22.7795479121994 -208.333094546644</f>
        <v>-1042.7110923063653</v>
      </c>
      <c r="E3827">
        <f>-821.135481615207 -28.9400543529996 -306.301322793232</f>
        <v>-1156.3768587614386</v>
      </c>
      <c r="F3827">
        <f>-827.891185548468 -32.5159949842027 -395.069533899429</f>
        <v>-1255.4767144320997</v>
      </c>
      <c r="G3827">
        <f>-832.425730082885 -33.9834059423981 -484.038796387876</f>
        <v>-1350.4479324131592</v>
      </c>
      <c r="H3827">
        <f>-836.39977081299 -33.8565532118716 -608.557868995904</f>
        <v>-1478.8141930207657</v>
      </c>
      <c r="I3827">
        <f>-807.446867649539 -24.7830102846056 -685.91700895854</f>
        <v>-1518.1468868926845</v>
      </c>
      <c r="J3827">
        <f>-845.437444276483 -8.39177736936904 -553.39298677179</f>
        <v>-1407.2222084176419</v>
      </c>
      <c r="K3827" t="s">
        <v>41786</v>
      </c>
      <c r="L3827" t="s">
        <v>41787</v>
      </c>
      <c r="M3827" t="s">
        <v>41788</v>
      </c>
      <c r="N3827">
        <f>-823.864465648311 -59.4331822626746 -554.133452501049</f>
        <v>-1437.4311004120345</v>
      </c>
      <c r="O3827">
        <f>-771.286402425228 -183.278187700165 -525.915115603414</f>
        <v>-1480.4797057288069</v>
      </c>
      <c r="P3827">
        <f>-756.249319971119 -212.121883973468 -233.454641832549</f>
        <v>-1201.825845777136</v>
      </c>
      <c r="Q3827">
        <f>-634.354657478063 -32.2463149913478 -337.557178735899</f>
        <v>-1004.1581512053099</v>
      </c>
      <c r="R3827" t="s">
        <v>41789</v>
      </c>
      <c r="S3827" t="s">
        <v>41790</v>
      </c>
      <c r="T3827" t="s">
        <v>41791</v>
      </c>
      <c r="U3827" t="s">
        <v>41792</v>
      </c>
      <c r="V3827">
        <f>-748.842664522671 -93.5053253883104 -92.3788643872216</f>
        <v>-934.72685429820308</v>
      </c>
      <c r="W3827" t="s">
        <v>41793</v>
      </c>
      <c r="X3827" t="s">
        <v>41794</v>
      </c>
      <c r="Y3827" t="s">
        <v>41795</v>
      </c>
    </row>
    <row r="3828" spans="1:25" x14ac:dyDescent="0.3">
      <c r="A3828">
        <v>191350</v>
      </c>
      <c r="B3828" t="s">
        <v>41796</v>
      </c>
      <c r="C3828">
        <f>-793.237253784468 -9.5122286264882 -94.8024785794313</f>
        <v>-897.55196099038744</v>
      </c>
      <c r="D3828">
        <f>-810.732071476334 -23.0956383899365 -208.493349655004</f>
        <v>-1042.3210595212745</v>
      </c>
      <c r="E3828">
        <f>-820.003990663613 -29.1170948961058 -306.495617811096</f>
        <v>-1155.6167033708148</v>
      </c>
      <c r="F3828">
        <f>-826.570854936001 -32.6271212210156 -395.280711419241</f>
        <v>-1254.4786875762575</v>
      </c>
      <c r="G3828">
        <f>-830.968701024102 -34.0887071148918 -484.256969772717</f>
        <v>-1349.3143779117108</v>
      </c>
      <c r="H3828">
        <f>-834.807971172658 -34.01564914753 -608.780415799393</f>
        <v>-1477.604036119581</v>
      </c>
      <c r="I3828">
        <f>-805.789709221691 -25.014608375028 -686.123330803728</f>
        <v>-1516.9276484004472</v>
      </c>
      <c r="J3828">
        <f>-843.835805657357 -8.49764937651935 -553.638436208814</f>
        <v>-1405.9718912426904</v>
      </c>
      <c r="K3828" t="s">
        <v>41797</v>
      </c>
      <c r="L3828" t="s">
        <v>41798</v>
      </c>
      <c r="M3828" t="s">
        <v>41799</v>
      </c>
      <c r="N3828">
        <f>-822.401164401462 -59.5980023706863 -554.329132541456</f>
        <v>-1436.3282993136045</v>
      </c>
      <c r="O3828">
        <f>-770.162428660745 -183.552535385667 -525.967608129973</f>
        <v>-1479.6825721763848</v>
      </c>
      <c r="P3828">
        <f>-755.184642468201 -212.245314792767 -233.489319810224</f>
        <v>-1200.919277071192</v>
      </c>
      <c r="Q3828">
        <f>-633.044190742805 -32.5813199152562 -337.669077627922</f>
        <v>-1003.2945882859832</v>
      </c>
      <c r="R3828" t="s">
        <v>41800</v>
      </c>
      <c r="S3828" t="s">
        <v>41801</v>
      </c>
      <c r="T3828" t="s">
        <v>41802</v>
      </c>
      <c r="U3828" t="s">
        <v>41803</v>
      </c>
      <c r="V3828">
        <f>-748.81535976471 -94.2368805564674 -92.4096102589034</f>
        <v>-935.46185058008086</v>
      </c>
      <c r="W3828" t="s">
        <v>41804</v>
      </c>
      <c r="X3828" t="s">
        <v>41805</v>
      </c>
      <c r="Y3828" t="s">
        <v>41806</v>
      </c>
    </row>
    <row r="3829" spans="1:25" x14ac:dyDescent="0.3">
      <c r="A3829">
        <v>191400</v>
      </c>
      <c r="B3829" t="s">
        <v>41807</v>
      </c>
      <c r="C3829">
        <f>-793.050974854776 -10.3436237660685 -94.476152032213</f>
        <v>-897.87075065305748</v>
      </c>
      <c r="D3829">
        <f>-809.848470866787 -23.2751814394492 -208.348177280716</f>
        <v>-1041.4718295869523</v>
      </c>
      <c r="E3829">
        <f>-818.536710347921 -28.9515322501854 -306.424350292292</f>
        <v>-1153.9125928903984</v>
      </c>
      <c r="F3829">
        <f>-824.586277021754 -32.2315052448901 -395.255006098126</f>
        <v>-1252.0727883647701</v>
      </c>
      <c r="G3829">
        <f>-828.47713926961 -33.5475965339451 -484.25705227132</f>
        <v>-1346.2817880748751</v>
      </c>
      <c r="H3829">
        <f>-831.620091388496 -33.3602601086607 -608.799921752799</f>
        <v>-1473.7802732499558</v>
      </c>
      <c r="I3829">
        <f>-802.471744196675 -24.6715262843818 -686.129739301064</f>
        <v>-1513.2730097821209</v>
      </c>
      <c r="J3829">
        <f>-840.740120220875 -7.80327114447505 -553.691227192632</f>
        <v>-1402.2346185579822</v>
      </c>
      <c r="K3829" t="s">
        <v>41808</v>
      </c>
      <c r="L3829" t="s">
        <v>41809</v>
      </c>
      <c r="M3829" t="s">
        <v>41810</v>
      </c>
      <c r="N3829">
        <f>-819.73403361025 -59.0822322316423 -554.298443437194</f>
        <v>-1433.1147092790861</v>
      </c>
      <c r="O3829">
        <f>-768.619907978186 -183.457115061737 -525.734756425855</f>
        <v>-1477.811779465778</v>
      </c>
      <c r="P3829">
        <f>-754.497890218133 -212.480656314685 -233.246348112813</f>
        <v>-1200.2248946456309</v>
      </c>
      <c r="Q3829">
        <f>-631.00220818476 -33.9279265603593 -337.738712116743</f>
        <v>-1002.6688468618622</v>
      </c>
      <c r="R3829" t="s">
        <v>41811</v>
      </c>
      <c r="S3829" t="s">
        <v>41812</v>
      </c>
      <c r="T3829" t="s">
        <v>41813</v>
      </c>
      <c r="U3829" t="s">
        <v>41814</v>
      </c>
      <c r="V3829">
        <f>-750.097456166536 -94.3471171725038 -92.3479464982034</f>
        <v>-936.79251983724316</v>
      </c>
      <c r="W3829" t="s">
        <v>41815</v>
      </c>
      <c r="X3829" t="s">
        <v>41816</v>
      </c>
      <c r="Y3829" t="s">
        <v>41817</v>
      </c>
    </row>
    <row r="3830" spans="1:25" x14ac:dyDescent="0.3">
      <c r="A3830">
        <v>191450</v>
      </c>
      <c r="B3830" t="s">
        <v>41818</v>
      </c>
      <c r="C3830">
        <f>-793.391183516369 -10.3374501289791 -94.2928726629967</f>
        <v>-898.02150630834478</v>
      </c>
      <c r="D3830">
        <f>-810.070051593452 -23.027101356691 -208.209525803903</f>
        <v>-1041.3066787540461</v>
      </c>
      <c r="E3830">
        <f>-818.524095444048 -28.5444195005964 -306.315358616767</f>
        <v>-1153.3838735614115</v>
      </c>
      <c r="F3830">
        <f>-824.309460990269 -31.6998057747187 -395.168184375768</f>
        <v>-1251.1774511407557</v>
      </c>
      <c r="G3830">
        <f>-827.883212807913 -32.9131187191356 -484.185042031471</f>
        <v>-1344.9813735585196</v>
      </c>
      <c r="H3830">
        <f>-830.526947373298 -32.6065234954506 -608.739103195612</f>
        <v>-1471.8725740643604</v>
      </c>
      <c r="I3830">
        <f>-801.228544130447 -24.08634300221 -686.030951344672</f>
        <v>-1511.3458384773289</v>
      </c>
      <c r="J3830">
        <f>-839.742570896789 -7.05130213037341 -553.645352342762</f>
        <v>-1400.4392253699243</v>
      </c>
      <c r="K3830" t="s">
        <v>41819</v>
      </c>
      <c r="L3830" t="s">
        <v>41820</v>
      </c>
      <c r="M3830" t="s">
        <v>41821</v>
      </c>
      <c r="N3830">
        <f>-818.984526790043 -58.4316193106388 -554.212470106629</f>
        <v>-1431.6286162073106</v>
      </c>
      <c r="O3830">
        <f>-768.570749514383 -183.071911383738 -525.56150644757</f>
        <v>-1477.2041673456911</v>
      </c>
      <c r="P3830">
        <f>-755.196812592572 -212.448814989457 -233.073275791747</f>
        <v>-1200.7189033737759</v>
      </c>
      <c r="Q3830">
        <f>-630.876740564099 -34.4565280867776 -337.543987850344</f>
        <v>-1002.8772565012206</v>
      </c>
      <c r="R3830" t="s">
        <v>41822</v>
      </c>
      <c r="S3830" t="s">
        <v>41823</v>
      </c>
      <c r="T3830" t="s">
        <v>41824</v>
      </c>
      <c r="U3830" t="s">
        <v>41825</v>
      </c>
      <c r="V3830">
        <f>-750.868118159659 -94.3084000046559 -92.2876910137861</f>
        <v>-937.4642091781011</v>
      </c>
      <c r="W3830" t="s">
        <v>41826</v>
      </c>
      <c r="X3830" t="s">
        <v>41827</v>
      </c>
      <c r="Y3830" t="s">
        <v>41828</v>
      </c>
    </row>
    <row r="3831" spans="1:25" x14ac:dyDescent="0.3">
      <c r="A3831">
        <v>191500</v>
      </c>
      <c r="B3831" t="s">
        <v>41829</v>
      </c>
      <c r="C3831">
        <f>-794.048961740034 -9.86598482171689 -94.1567118969434</f>
        <v>-898.07165845869429</v>
      </c>
      <c r="D3831">
        <f>-810.631196246763 -22.2874049383383 -208.117072858271</f>
        <v>-1041.0356740433724</v>
      </c>
      <c r="E3831">
        <f>-818.748029217765 -27.6048682569722 -306.262415429465</f>
        <v>-1152.6153129042023</v>
      </c>
      <c r="F3831">
        <f>-824.125617022435 -30.5928966383963 -395.146526732197</f>
        <v>-1249.8650403930283</v>
      </c>
      <c r="G3831">
        <f>-827.185596344083 -31.6592572738343 -484.184435578341</f>
        <v>-1343.0292891962583</v>
      </c>
      <c r="H3831">
        <f>-828.998753879904 -31.1722451985333 -608.752863276009</f>
        <v>-1468.9238623544463</v>
      </c>
      <c r="I3831">
        <f>-799.289338299512 -22.9591419679043 -685.92096512259</f>
        <v>-1508.1694453900063</v>
      </c>
      <c r="J3831">
        <f>-838.284713664025 -5.57871704673221 -553.688746048559</f>
        <v>-1397.5521767593164</v>
      </c>
      <c r="K3831" t="s">
        <v>41830</v>
      </c>
      <c r="L3831" t="s">
        <v>41831</v>
      </c>
      <c r="M3831" t="s">
        <v>41832</v>
      </c>
      <c r="N3831">
        <f>-818.117075851466 -57.1943939680414 -554.184036510765</f>
        <v>-1429.4955063302723</v>
      </c>
      <c r="O3831">
        <f>-769.330255168193 -182.426444236035 -525.297687534368</f>
        <v>-1477.0543869385961</v>
      </c>
      <c r="P3831">
        <f>-757.771810666767 -212.088629000286 -232.760925156702</f>
        <v>-1202.6213648237549</v>
      </c>
      <c r="Q3831">
        <f>-630.954156009959 -35.6262204493787 -336.824114978734</f>
        <v>-1003.4044914380717</v>
      </c>
      <c r="R3831" t="s">
        <v>41833</v>
      </c>
      <c r="S3831" t="s">
        <v>41834</v>
      </c>
      <c r="T3831" t="s">
        <v>41835</v>
      </c>
      <c r="U3831" t="s">
        <v>41836</v>
      </c>
      <c r="V3831">
        <f>-751.737648326187 -94.2372545966282 -92.2326531599182</f>
        <v>-938.20755608273339</v>
      </c>
      <c r="W3831" t="s">
        <v>41837</v>
      </c>
      <c r="X3831" t="s">
        <v>41838</v>
      </c>
      <c r="Y3831" t="s">
        <v>41839</v>
      </c>
    </row>
    <row r="3832" spans="1:25" x14ac:dyDescent="0.3">
      <c r="A3832">
        <v>191550</v>
      </c>
      <c r="B3832" t="s">
        <v>41840</v>
      </c>
      <c r="C3832">
        <f>-794.085570094976 -9.64417669954742 -94.1587704563603</f>
        <v>-897.88851725088375</v>
      </c>
      <c r="D3832">
        <f>-810.651180194498 -22.0055531493761 -208.128020259024</f>
        <v>-1040.784753602898</v>
      </c>
      <c r="E3832">
        <f>-818.678100520192 -27.2809683779574 -306.283029239811</f>
        <v>-1152.2420981379603</v>
      </c>
      <c r="F3832">
        <f>-823.942681031915 -30.2360069785423 -395.175071361048</f>
        <v>-1249.3537593715052</v>
      </c>
      <c r="G3832">
        <f>-826.855522727403 -31.2782485403382 -484.218099454695</f>
        <v>-1342.3518707224362</v>
      </c>
      <c r="H3832">
        <f>-828.42652634189 -30.7689614653848 -608.789667697056</f>
        <v>-1467.9851555043308</v>
      </c>
      <c r="I3832">
        <f>-798.519664299153 -22.7236805813614 -685.89923695692</f>
        <v>-1507.1425818374344</v>
      </c>
      <c r="J3832">
        <f>-837.640770821898 -5.11622063509799 -553.741231283572</f>
        <v>-1396.4982227405681</v>
      </c>
      <c r="K3832" t="s">
        <v>41841</v>
      </c>
      <c r="L3832" t="s">
        <v>41842</v>
      </c>
      <c r="M3832" t="s">
        <v>41843</v>
      </c>
      <c r="N3832">
        <f>-817.829735619809 -56.8700996832928 -554.20260453593</f>
        <v>-1428.9024398390318</v>
      </c>
      <c r="O3832">
        <f>-769.928642215892 -182.42275803723 -525.22054288123</f>
        <v>-1477.5719431343518</v>
      </c>
      <c r="P3832">
        <f>-759.176747899115 -212.213698214605 -232.666138726312</f>
        <v>-1204.056584840032</v>
      </c>
      <c r="Q3832">
        <f>-631.019909955166 -36.5856026975875 -336.499908163446</f>
        <v>-1004.1054208161995</v>
      </c>
      <c r="R3832" t="s">
        <v>41844</v>
      </c>
      <c r="S3832" t="s">
        <v>41845</v>
      </c>
      <c r="T3832" t="s">
        <v>41846</v>
      </c>
      <c r="U3832" t="s">
        <v>41847</v>
      </c>
      <c r="V3832">
        <f>-751.963915850652 -94.0878447652506 -92.2042634564467</f>
        <v>-938.25602407234931</v>
      </c>
      <c r="W3832" t="s">
        <v>41848</v>
      </c>
      <c r="X3832" t="s">
        <v>41849</v>
      </c>
      <c r="Y3832" t="s">
        <v>41850</v>
      </c>
    </row>
    <row r="3833" spans="1:25" x14ac:dyDescent="0.3">
      <c r="A3833">
        <v>191600</v>
      </c>
      <c r="B3833" t="s">
        <v>41851</v>
      </c>
      <c r="C3833">
        <f>-793.740009099881 -9.13727044454777 -94.186518806083</f>
        <v>-897.06379835051177</v>
      </c>
      <c r="D3833">
        <f>-810.336508745116 -21.4994232580107 -208.15124922623</f>
        <v>-1039.9871812293568</v>
      </c>
      <c r="E3833">
        <f>-818.311879614108 -26.7702938661012 -306.310736221403</f>
        <v>-1151.3929097016121</v>
      </c>
      <c r="F3833">
        <f>-823.494644475613 -29.7218481498451 -395.207554961564</f>
        <v>-1248.424047587022</v>
      </c>
      <c r="G3833">
        <f>-826.286045451512 -30.7693820314003 -484.254452935535</f>
        <v>-1341.3098804184474</v>
      </c>
      <c r="H3833">
        <f>-827.64229670748 -30.2811429894905 -608.828734988264</f>
        <v>-1466.7521746852344</v>
      </c>
      <c r="I3833">
        <f>-797.465905041254 -22.5882002636542 -685.869111125304</f>
        <v>-1505.9232164302123</v>
      </c>
      <c r="J3833">
        <f>-836.572817791845 -4.47722821420052 -553.804044099543</f>
        <v>-1394.8540901055885</v>
      </c>
      <c r="K3833" t="s">
        <v>41852</v>
      </c>
      <c r="L3833" t="s">
        <v>41853</v>
      </c>
      <c r="M3833" t="s">
        <v>41854</v>
      </c>
      <c r="N3833">
        <f>-817.518135919727 -56.5147268558809 -554.215448073353</f>
        <v>-1428.248310848961</v>
      </c>
      <c r="O3833">
        <f>-771.45842791937 -182.739779844854 -525.158738267925</f>
        <v>-1479.3569460321489</v>
      </c>
      <c r="P3833">
        <f>-761.803334549823 -212.794611317713 -232.593044637056</f>
        <v>-1207.190990504592</v>
      </c>
      <c r="Q3833">
        <f>-630.858443587493 -39.0830794773815 -336.171995112762</f>
        <v>-1006.1135181776365</v>
      </c>
      <c r="R3833" t="s">
        <v>41855</v>
      </c>
      <c r="S3833" t="s">
        <v>41856</v>
      </c>
      <c r="T3833" t="s">
        <v>41857</v>
      </c>
      <c r="U3833" t="s">
        <v>41858</v>
      </c>
      <c r="V3833">
        <f>-751.985484451944 -93.7412289664439 -92.1808763477433</f>
        <v>-937.9075897661312</v>
      </c>
      <c r="W3833" t="s">
        <v>41859</v>
      </c>
      <c r="X3833" t="s">
        <v>41860</v>
      </c>
      <c r="Y3833" t="s">
        <v>41861</v>
      </c>
    </row>
    <row r="3834" spans="1:25" x14ac:dyDescent="0.3">
      <c r="A3834">
        <v>191650</v>
      </c>
      <c r="B3834" t="s">
        <v>41862</v>
      </c>
      <c r="C3834">
        <f>-793.54312254133 -8.68354940801305 -94.2248790960491</f>
        <v>-896.45155104539219</v>
      </c>
      <c r="D3834">
        <f>-810.223846200117 -21.033473283926 -208.178534555722</f>
        <v>-1039.435854039765</v>
      </c>
      <c r="E3834">
        <f>-818.236517228068 -26.3124772857184 -306.334564738224</f>
        <v>-1150.8835592520104</v>
      </c>
      <c r="F3834">
        <f>-823.438340325096 -29.2792705941852 -395.229856793519</f>
        <v>-1247.9474677128001</v>
      </c>
      <c r="G3834">
        <f>-826.232253771671 -30.353125500287 -484.276268783551</f>
        <v>-1340.861648055509</v>
      </c>
      <c r="H3834">
        <f>-827.573804592575 -29.9153654618722 -608.850931832474</f>
        <v>-1466.3401018869213</v>
      </c>
      <c r="I3834">
        <f>-797.33913392015 -22.4004662218517 -685.886065600232</f>
        <v>-1505.6256657422337</v>
      </c>
      <c r="J3834">
        <f>-836.335801677659 -4.0256475885999 -553.839478022964</f>
        <v>-1394.2009272892228</v>
      </c>
      <c r="K3834" t="s">
        <v>41863</v>
      </c>
      <c r="L3834" t="s">
        <v>41864</v>
      </c>
      <c r="M3834" t="s">
        <v>41865</v>
      </c>
      <c r="N3834">
        <f>-817.631097621679 -56.1902947891947 -554.224186079397</f>
        <v>-1428.0455784902706</v>
      </c>
      <c r="O3834">
        <f>-772.420409640671 -182.715422866806 -525.124252675089</f>
        <v>-1480.2600851825659</v>
      </c>
      <c r="P3834">
        <f>-763.081685624827 -212.773145161229 -232.548655554837</f>
        <v>-1208.4034863408929</v>
      </c>
      <c r="Q3834">
        <f>-630.780552444813 -40.1459897725404 -336.21694592288</f>
        <v>-1007.1434881402333</v>
      </c>
      <c r="R3834" t="s">
        <v>41866</v>
      </c>
      <c r="S3834" t="s">
        <v>41867</v>
      </c>
      <c r="T3834" t="s">
        <v>41868</v>
      </c>
      <c r="U3834" t="s">
        <v>41869</v>
      </c>
      <c r="V3834">
        <f>-751.982785669431 -93.3234233849623 -92.200822517824</f>
        <v>-937.50703157221733</v>
      </c>
      <c r="W3834" t="s">
        <v>41870</v>
      </c>
      <c r="X3834" t="s">
        <v>41871</v>
      </c>
      <c r="Y3834" t="s">
        <v>41872</v>
      </c>
    </row>
    <row r="3835" spans="1:25" x14ac:dyDescent="0.3">
      <c r="A3835">
        <v>191700</v>
      </c>
      <c r="B3835" t="s">
        <v>41873</v>
      </c>
      <c r="C3835">
        <f>-793.013218007147 -7.64769487207332 -94.3199988565279</f>
        <v>-894.98091173574824</v>
      </c>
      <c r="D3835">
        <f>-809.840373346168 -19.9100734432454 -208.261633398571</f>
        <v>-1038.0120801879843</v>
      </c>
      <c r="E3835">
        <f>-817.943311221309 -25.1579375470769 -306.411848554806</f>
        <v>-1149.5130973231919</v>
      </c>
      <c r="F3835">
        <f>-823.21372604467 -28.1117638328838 -395.303716406008</f>
        <v>-1246.6292062835619</v>
      </c>
      <c r="G3835">
        <f>-826.060622294432 -29.1931351114645 -484.348337916605</f>
        <v>-1339.6020953225016</v>
      </c>
      <c r="H3835">
        <f>-827.459374709508 -28.7892220286049 -608.922375181974</f>
        <v>-1465.1709719200867</v>
      </c>
      <c r="I3835">
        <f>-797.216056767808 -21.604577122004 -685.985792311474</f>
        <v>-1504.8064262012861</v>
      </c>
      <c r="J3835">
        <f>-835.881034078298 -2.77361544374594 -553.917089793969</f>
        <v>-1392.571739316013</v>
      </c>
      <c r="K3835" t="s">
        <v>41874</v>
      </c>
      <c r="L3835" t="s">
        <v>41875</v>
      </c>
      <c r="M3835" t="s">
        <v>41876</v>
      </c>
      <c r="N3835">
        <f>-817.806594074839 -55.1602135820383 -554.289873556639</f>
        <v>-1427.2566812135165</v>
      </c>
      <c r="O3835">
        <f>-774.142206588236 -182.220521342732 -525.180757531188</f>
        <v>-1481.543485462156</v>
      </c>
      <c r="P3835">
        <f>-764.852893677944 -212.185017327446 -232.593980333114</f>
        <v>-1209.6318913385039</v>
      </c>
      <c r="Q3835">
        <f>-630.312943041589 -41.5274600159178 -336.641367687938</f>
        <v>-1008.4817707454448</v>
      </c>
      <c r="R3835" t="s">
        <v>41877</v>
      </c>
      <c r="S3835" t="s">
        <v>41878</v>
      </c>
      <c r="T3835" t="s">
        <v>41879</v>
      </c>
      <c r="U3835" t="s">
        <v>41880</v>
      </c>
      <c r="V3835">
        <f>-752.0273311677 -92.4678182843267 -92.2549137362762</f>
        <v>-936.75006318830287</v>
      </c>
      <c r="W3835" t="s">
        <v>41881</v>
      </c>
      <c r="X3835" t="s">
        <v>41882</v>
      </c>
      <c r="Y3835" t="s">
        <v>41883</v>
      </c>
    </row>
    <row r="3836" spans="1:25" x14ac:dyDescent="0.3">
      <c r="A3836">
        <v>191750</v>
      </c>
      <c r="B3836" t="s">
        <v>41884</v>
      </c>
      <c r="C3836">
        <f>-792.768342952384 -7.20215250578644 -94.3809736646422</f>
        <v>-894.35146912281266</v>
      </c>
      <c r="D3836">
        <f>-809.6582025552 -19.3940719267873 -208.320915416011</f>
        <v>-1037.3731898979984</v>
      </c>
      <c r="E3836">
        <f>-817.809614563098 -24.6173908818428 -306.468325430889</f>
        <v>-1148.8953308758298</v>
      </c>
      <c r="F3836">
        <f>-823.122635810939 -27.5613263567118 -395.357846334073</f>
        <v>-1246.0418085017236</v>
      </c>
      <c r="G3836">
        <f>-826.010626159758 -28.6471535082792 -484.401289680742</f>
        <v>-1339.0590693487793</v>
      </c>
      <c r="H3836">
        <f>-827.465052341666 -28.2645363220349 -608.974694404203</f>
        <v>-1464.7042830679038</v>
      </c>
      <c r="I3836">
        <f>-797.243627299149 -21.243236995954 -686.061582763104</f>
        <v>-1504.5484470582069</v>
      </c>
      <c r="J3836">
        <f>-835.722520277138 -2.19171517796553 -553.971655759292</f>
        <v>-1391.8858912143955</v>
      </c>
      <c r="K3836" t="s">
        <v>41885</v>
      </c>
      <c r="L3836" t="s">
        <v>41886</v>
      </c>
      <c r="M3836" t="s">
        <v>41887</v>
      </c>
      <c r="N3836">
        <f>-817.927619525171 -54.6738856326144 -554.340646915044</f>
        <v>-1426.9421520728295</v>
      </c>
      <c r="O3836">
        <f>-774.927324246039 -181.953625482049 -525.210055546914</f>
        <v>-1482.0910052750019</v>
      </c>
      <c r="P3836">
        <f>-765.65873741688 -211.880187865163 -232.618715105915</f>
        <v>-1210.1576403879581</v>
      </c>
      <c r="Q3836">
        <f>-630.255630801312 -41.9797450365184 -336.785422036296</f>
        <v>-1009.0207978741264</v>
      </c>
      <c r="R3836" t="s">
        <v>41888</v>
      </c>
      <c r="S3836" t="s">
        <v>41889</v>
      </c>
      <c r="T3836" t="s">
        <v>41890</v>
      </c>
      <c r="U3836" t="s">
        <v>41891</v>
      </c>
      <c r="V3836">
        <f>-752.10787884854 -92.1840758965678 -92.2890825436205</f>
        <v>-936.58103728872834</v>
      </c>
      <c r="W3836" t="s">
        <v>41892</v>
      </c>
      <c r="X3836" t="s">
        <v>41893</v>
      </c>
      <c r="Y3836" t="s">
        <v>41894</v>
      </c>
    </row>
    <row r="3837" spans="1:25" x14ac:dyDescent="0.3">
      <c r="A3837">
        <v>191800</v>
      </c>
      <c r="B3837" t="s">
        <v>41895</v>
      </c>
      <c r="C3837">
        <f>-792.346090286581 -6.58013028088749 -94.4268577963376</f>
        <v>-893.35307836380605</v>
      </c>
      <c r="D3837">
        <f>-809.34426632761 -18.5766945641719 -208.371510278213</f>
        <v>-1036.2924711699948</v>
      </c>
      <c r="E3837">
        <f>-817.546817687432 -23.7156521861796 -306.519192803669</f>
        <v>-1147.7816626772806</v>
      </c>
      <c r="F3837">
        <f>-822.892315253585 -26.6124388356498 -395.408241186021</f>
        <v>-1244.9129952752558</v>
      </c>
      <c r="G3837">
        <f>-825.798338501049 -27.6842378932981 -484.451152512916</f>
        <v>-1337.9337289072632</v>
      </c>
      <c r="H3837">
        <f>-827.26345809172 -27.3173006914983 -609.024656067247</f>
        <v>-1463.6054148504654</v>
      </c>
      <c r="I3837">
        <f>-797.079607777435 -20.5986158030234 -686.15318262315</f>
        <v>-1503.8314062036084</v>
      </c>
      <c r="J3837">
        <f>-835.27045323707 -1.15560265452382 -554.026674548139</f>
        <v>-1390.4527304397329</v>
      </c>
      <c r="K3837" t="s">
        <v>41896</v>
      </c>
      <c r="L3837" t="s">
        <v>41897</v>
      </c>
      <c r="M3837" t="s">
        <v>41898</v>
      </c>
      <c r="N3837">
        <f>-817.967119801529 -53.8018931316922 -554.385234533055</f>
        <v>-1426.154247466276</v>
      </c>
      <c r="O3837">
        <f>-776.20907479087 -181.473707062282 -525.195921952329</f>
        <v>-1482.8787038054809</v>
      </c>
      <c r="P3837">
        <f>-767.204927890052 -211.333771250197 -232.589389460427</f>
        <v>-1211.1280886006759</v>
      </c>
      <c r="Q3837">
        <f>-630.35967128574 -42.6283737146541 -336.813969341668</f>
        <v>-1009.8020143420621</v>
      </c>
      <c r="R3837" t="s">
        <v>41899</v>
      </c>
      <c r="S3837" t="s">
        <v>41900</v>
      </c>
      <c r="T3837" t="s">
        <v>41901</v>
      </c>
      <c r="U3837" t="s">
        <v>41902</v>
      </c>
      <c r="V3837">
        <f>-752.377081838195 -91.7797009068289 -92.3747078774582</f>
        <v>-936.53149062248212</v>
      </c>
      <c r="W3837" t="s">
        <v>41903</v>
      </c>
      <c r="X3837" t="s">
        <v>41904</v>
      </c>
      <c r="Y3837" t="s">
        <v>41905</v>
      </c>
    </row>
    <row r="3838" spans="1:25" x14ac:dyDescent="0.3">
      <c r="A3838">
        <v>191850</v>
      </c>
      <c r="B3838" t="s">
        <v>41906</v>
      </c>
      <c r="C3838">
        <f>-792.139121499581 -6.38134974301943 -94.4306952423464</f>
        <v>-892.95116648494684</v>
      </c>
      <c r="D3838">
        <f>-809.204157896942 -18.3018736633255 -208.373340506196</f>
        <v>-1035.8793720664635</v>
      </c>
      <c r="E3838">
        <f>-817.421571177612 -23.4030765346272 -306.521669758398</f>
        <v>-1147.3463174706371</v>
      </c>
      <c r="F3838">
        <f>-822.764799503339 -26.275868704611 -395.411627554157</f>
        <v>-1244.452295762107</v>
      </c>
      <c r="G3838">
        <f>-825.652459276897 -27.3345999352473 -484.45549956086</f>
        <v>-1337.4425587730043</v>
      </c>
      <c r="H3838">
        <f>-827.075388579746 -26.9616201050123 -609.029403050763</f>
        <v>-1463.0664117355213</v>
      </c>
      <c r="I3838">
        <f>-796.887410259456 -20.3579009970783 -686.166263585295</f>
        <v>-1503.4115748418294</v>
      </c>
      <c r="J3838">
        <f>-835.010285700254 -0.772868307439467 -554.033745989299</f>
        <v>-1389.8168999969926</v>
      </c>
      <c r="K3838" t="s">
        <v>41907</v>
      </c>
      <c r="L3838" t="s">
        <v>41908</v>
      </c>
      <c r="M3838" t="s">
        <v>41909</v>
      </c>
      <c r="N3838">
        <f>-817.888127955989 -53.4784280234236 -554.387216338913</f>
        <v>-1425.7537723183257</v>
      </c>
      <c r="O3838">
        <f>-776.614627874736 -181.300572783044 -525.151033700451</f>
        <v>-1483.066234358231</v>
      </c>
      <c r="P3838">
        <f>-767.854376430906 -211.176344802469 -232.538894325013</f>
        <v>-1211.569615558388</v>
      </c>
      <c r="Q3838">
        <f>-630.34103023116 -43.0499661735633 -336.819601348796</f>
        <v>-1010.2105977535193</v>
      </c>
      <c r="R3838" t="s">
        <v>41910</v>
      </c>
      <c r="S3838" t="s">
        <v>41911</v>
      </c>
      <c r="T3838" t="s">
        <v>41912</v>
      </c>
      <c r="U3838" t="s">
        <v>41913</v>
      </c>
      <c r="V3838">
        <f>-752.423511075848 -91.7399392165554 -92.3991644235558</f>
        <v>-936.56261471595917</v>
      </c>
      <c r="W3838" t="s">
        <v>41914</v>
      </c>
      <c r="X3838" t="s">
        <v>41915</v>
      </c>
      <c r="Y3838" t="s">
        <v>41916</v>
      </c>
    </row>
    <row r="3839" spans="1:25" x14ac:dyDescent="0.3">
      <c r="A3839">
        <v>191900</v>
      </c>
      <c r="B3839" t="s">
        <v>41917</v>
      </c>
      <c r="C3839">
        <f>-791.89875659931 -6.32603686408834 -94.4034236062267</f>
        <v>-892.62821706962507</v>
      </c>
      <c r="D3839">
        <f>-809.103059840379 -18.1501354130223 -208.335003816259</f>
        <v>-1035.5881990696603</v>
      </c>
      <c r="E3839">
        <f>-817.393598877846 -23.2462894844905 -306.477602234264</f>
        <v>-1147.1174905966004</v>
      </c>
      <c r="F3839">
        <f>-822.786651255988 -26.1435824724977 -395.363754761145</f>
        <v>-1244.2939884896307</v>
      </c>
      <c r="G3839">
        <f>-825.708783904688 -27.2569474887346 -484.405699374624</f>
        <v>-1337.3714307680466</v>
      </c>
      <c r="H3839">
        <f>-827.16423479614 -26.9916910283705 -608.979624330301</f>
        <v>-1463.1355501548114</v>
      </c>
      <c r="I3839">
        <f>-796.896118376655 -20.4827958723379 -686.093022719615</f>
        <v>-1503.4719369686077</v>
      </c>
      <c r="J3839">
        <f>-835.014389472276 -0.732755037845209 -554.005380549786</f>
        <v>-1389.7525250599072</v>
      </c>
      <c r="K3839" t="s">
        <v>41918</v>
      </c>
      <c r="L3839" t="s">
        <v>41919</v>
      </c>
      <c r="M3839" t="s">
        <v>41920</v>
      </c>
      <c r="N3839">
        <f>-818.033121259305 -53.484080436495 -554.316156280842</f>
        <v>-1425.833357976642</v>
      </c>
      <c r="O3839">
        <f>-777.157563306776 -181.42298865734 -525.020576879462</f>
        <v>-1483.601128843578</v>
      </c>
      <c r="P3839">
        <f>-768.502524808598 -211.211921731508 -232.396373453478</f>
        <v>-1212.1108199935841</v>
      </c>
      <c r="Q3839">
        <f>-630.372581487228 -43.7238157206367 -336.889286062487</f>
        <v>-1010.9856832703517</v>
      </c>
      <c r="R3839" t="s">
        <v>41921</v>
      </c>
      <c r="S3839" t="s">
        <v>41922</v>
      </c>
      <c r="T3839" t="s">
        <v>41923</v>
      </c>
      <c r="U3839" t="s">
        <v>41924</v>
      </c>
      <c r="V3839">
        <f>-752.501197476398 -91.9492685979883 -92.4008698062933</f>
        <v>-936.85133588067958</v>
      </c>
      <c r="W3839" t="s">
        <v>41925</v>
      </c>
      <c r="X3839" t="s">
        <v>41926</v>
      </c>
      <c r="Y3839" t="s">
        <v>41927</v>
      </c>
    </row>
    <row r="3840" spans="1:25" x14ac:dyDescent="0.3">
      <c r="A3840">
        <v>191950</v>
      </c>
      <c r="B3840" t="s">
        <v>41928</v>
      </c>
      <c r="C3840">
        <f>-791.895146911911 -6.38484300457685 -94.3983265340484</f>
        <v>-892.67831645053616</v>
      </c>
      <c r="D3840">
        <f>-809.141055445763 -18.207525382662 -208.32384463981</f>
        <v>-1035.6724254682349</v>
      </c>
      <c r="E3840">
        <f>-817.475306179799 -23.3235056978644 -306.461621493732</f>
        <v>-1147.2604333713955</v>
      </c>
      <c r="F3840">
        <f>-822.911986348108 -26.2462808902828 -395.344405669012</f>
        <v>-1244.5026729074029</v>
      </c>
      <c r="G3840">
        <f>-825.882090078768 -27.3924095368725 -484.384362946053</f>
        <v>-1337.6588625616935</v>
      </c>
      <c r="H3840">
        <f>-827.40994322173 -27.1800035112637 -608.957277958444</f>
        <v>-1463.5472246914378</v>
      </c>
      <c r="I3840">
        <f>-797.094630545145 -20.6485195857892 -686.050395610472</f>
        <v>-1503.7935457414064</v>
      </c>
      <c r="J3840">
        <f>-835.235056361141 -0.899842824335792 -553.989803303987</f>
        <v>-1390.1247024894637</v>
      </c>
      <c r="K3840" t="s">
        <v>41929</v>
      </c>
      <c r="L3840" t="s">
        <v>41930</v>
      </c>
      <c r="M3840" t="s">
        <v>41931</v>
      </c>
      <c r="N3840">
        <f>-818.240264511078 -53.6469547048413 -554.288081061725</f>
        <v>-1426.1753002776443</v>
      </c>
      <c r="O3840">
        <f>-777.339751736643 -181.574014974043 -524.978756776954</f>
        <v>-1483.8925234876401</v>
      </c>
      <c r="P3840">
        <f>-768.432381248161 -211.203228825117 -232.345765671127</f>
        <v>-1211.9813757444051</v>
      </c>
      <c r="Q3840">
        <f>-630.535275294661 -43.7189315565954 -337.151663652256</f>
        <v>-1011.4058705035125</v>
      </c>
      <c r="R3840" t="s">
        <v>41932</v>
      </c>
      <c r="S3840" t="s">
        <v>41933</v>
      </c>
      <c r="T3840" t="s">
        <v>41934</v>
      </c>
      <c r="U3840" t="s">
        <v>41935</v>
      </c>
      <c r="V3840">
        <f>-752.551765069389 -92.0281009743105 -92.4091521304965</f>
        <v>-936.98901817419608</v>
      </c>
      <c r="W3840" t="s">
        <v>41936</v>
      </c>
      <c r="X3840" t="s">
        <v>41937</v>
      </c>
      <c r="Y3840" t="s">
        <v>41938</v>
      </c>
    </row>
    <row r="3841" spans="1:25" x14ac:dyDescent="0.3">
      <c r="A3841">
        <v>192000</v>
      </c>
      <c r="B3841" t="s">
        <v>41939</v>
      </c>
      <c r="C3841">
        <f>-792.070784646994 -6.43311712506784 -94.3841076027946</f>
        <v>-892.88800937485644</v>
      </c>
      <c r="D3841">
        <f>-809.354575252934 -18.3225578015874 -208.296958895489</f>
        <v>-1035.9740919500105</v>
      </c>
      <c r="E3841">
        <f>-817.750595485554 -23.5014116965308 -306.426155240771</f>
        <v>-1147.6781624228556</v>
      </c>
      <c r="F3841">
        <f>-823.254801773689 -26.4837138851358 -395.302683077461</f>
        <v>-1245.0411987362859</v>
      </c>
      <c r="G3841">
        <f>-826.304647492332 -27.690797504333 -484.339099013267</f>
        <v>-1338.334544009932</v>
      </c>
      <c r="H3841">
        <f>-827.956800568633 -27.5650733452412 -608.910686190793</f>
        <v>-1464.4325601046671</v>
      </c>
      <c r="I3841">
        <f>-797.612633455275 -20.9573506251152 -685.986024629765</f>
        <v>-1504.5560087101553</v>
      </c>
      <c r="J3841">
        <f>-835.778842299405 -1.26359834340201 -553.95300277536</f>
        <v>-1390.995443418167</v>
      </c>
      <c r="K3841" t="s">
        <v>41940</v>
      </c>
      <c r="L3841" t="s">
        <v>41941</v>
      </c>
      <c r="M3841" t="s">
        <v>41942</v>
      </c>
      <c r="N3841">
        <f>-818.68075633956 -53.977367301488 -554.232855983009</f>
        <v>-1426.8909796240571</v>
      </c>
      <c r="O3841">
        <f>-777.507467784323 -181.815927605816 -524.885618089288</f>
        <v>-1484.2090134794271</v>
      </c>
      <c r="P3841">
        <f>-768.042786858634 -211.225263157545 -232.248022847225</f>
        <v>-1211.5160728634041</v>
      </c>
      <c r="Q3841">
        <f>-630.910827881161 -43.5101475494248 -337.686733043652</f>
        <v>-1012.1077084742378</v>
      </c>
      <c r="R3841" t="s">
        <v>41943</v>
      </c>
      <c r="S3841" t="s">
        <v>41944</v>
      </c>
      <c r="T3841" t="s">
        <v>41945</v>
      </c>
      <c r="U3841" t="s">
        <v>41946</v>
      </c>
      <c r="V3841">
        <f>-752.689834154912 -92.0242643101882 -92.3782745477386</f>
        <v>-937.09237301283872</v>
      </c>
      <c r="W3841" t="s">
        <v>41947</v>
      </c>
      <c r="X3841" t="s">
        <v>41948</v>
      </c>
      <c r="Y3841" t="s">
        <v>41949</v>
      </c>
    </row>
    <row r="3842" spans="1:25" x14ac:dyDescent="0.3">
      <c r="A3842">
        <v>192050</v>
      </c>
      <c r="B3842" t="s">
        <v>41950</v>
      </c>
      <c r="C3842">
        <f>-792.295416901443 -6.28549910893207 -94.3870096742374</f>
        <v>-892.96792568461251</v>
      </c>
      <c r="D3842">
        <f>-809.589675494191 -18.2142948581823 -208.294197014191</f>
        <v>-1036.0981673665642</v>
      </c>
      <c r="E3842">
        <f>-817.999716379043 -23.4216404681852 -306.420619542406</f>
        <v>-1147.8419763896341</v>
      </c>
      <c r="F3842">
        <f>-823.5184509403 -26.4281800817589 -395.295559311538</f>
        <v>-1245.2421903335969</v>
      </c>
      <c r="G3842">
        <f>-826.58470471178 -27.6575299342128 -484.331102703715</f>
        <v>-1338.5733373497078</v>
      </c>
      <c r="H3842">
        <f>-828.261656066424 -27.5605237913537 -608.902344109341</f>
        <v>-1464.7245239671188</v>
      </c>
      <c r="I3842">
        <f>-797.937131381768 -20.915539215114 -685.982059996703</f>
        <v>-1504.8347305935849</v>
      </c>
      <c r="J3842">
        <f>-836.107256129194 -1.25748494861909 -553.948518568224</f>
        <v>-1391.3132596460371</v>
      </c>
      <c r="K3842" t="s">
        <v>41951</v>
      </c>
      <c r="L3842" t="s">
        <v>41952</v>
      </c>
      <c r="M3842" t="s">
        <v>41953</v>
      </c>
      <c r="N3842">
        <f>-818.940239778673 -53.9488977776912 -554.220696376255</f>
        <v>-1427.109833932619</v>
      </c>
      <c r="O3842">
        <f>-777.577025999721 -181.720845569064 -524.859239765973</f>
        <v>-1484.1571113347582</v>
      </c>
      <c r="P3842">
        <f>-767.998438150045 -211.058635488375 -232.218207714133</f>
        <v>-1211.2752813525531</v>
      </c>
      <c r="Q3842">
        <f>-631.165293413278 -43.2086915736991 -337.830596171875</f>
        <v>-1012.2045811588521</v>
      </c>
      <c r="R3842" t="s">
        <v>41954</v>
      </c>
      <c r="S3842" t="s">
        <v>41955</v>
      </c>
      <c r="T3842" t="s">
        <v>41956</v>
      </c>
      <c r="U3842" t="s">
        <v>41957</v>
      </c>
      <c r="V3842">
        <f>-752.795700190015 -91.9622998195077 -92.3675353348349</f>
        <v>-937.12553534435767</v>
      </c>
      <c r="W3842" t="s">
        <v>41958</v>
      </c>
      <c r="X3842" t="s">
        <v>41959</v>
      </c>
      <c r="Y3842" t="s">
        <v>41960</v>
      </c>
    </row>
    <row r="3843" spans="1:25" x14ac:dyDescent="0.3">
      <c r="A3843">
        <v>192100</v>
      </c>
      <c r="B3843" t="s">
        <v>41961</v>
      </c>
      <c r="C3843">
        <f>-792.635857384204 -6.07456322192752 -94.4007896849226</f>
        <v>-893.11121029105414</v>
      </c>
      <c r="D3843">
        <f>-809.974345970876 -18.1261246782724 -208.28828407365</f>
        <v>-1036.3887547227985</v>
      </c>
      <c r="E3843">
        <f>-818.455922407969 -23.4322418941215 -306.403320137983</f>
        <v>-1148.2914844400734</v>
      </c>
      <c r="F3843">
        <f>-824.052199019998 -26.5261704971751 -395.270362508519</f>
        <v>-1245.8487320256922</v>
      </c>
      <c r="G3843">
        <f>-827.209008208474 -27.8399461339018 -484.301535918284</f>
        <v>-1339.3504902606596</v>
      </c>
      <c r="H3843">
        <f>-829.026064502622 -27.8581338505912 -608.870812088058</f>
        <v>-1465.7550104412712</v>
      </c>
      <c r="I3843">
        <f>-798.811014983888 -21.1966418814995 -685.99219047123</f>
        <v>-1505.9998473366174</v>
      </c>
      <c r="J3843">
        <f>-836.868317497633 -1.52328662742252 -553.931808666678</f>
        <v>-1392.3234127917335</v>
      </c>
      <c r="K3843" t="s">
        <v>41962</v>
      </c>
      <c r="L3843" t="s">
        <v>41963</v>
      </c>
      <c r="M3843" t="s">
        <v>41964</v>
      </c>
      <c r="N3843">
        <f>-819.584648363879 -54.1768532036292 -554.176241972153</f>
        <v>-1427.9377435396611</v>
      </c>
      <c r="O3843">
        <f>-777.866530308737 -181.825376151897 -524.793911865868</f>
        <v>-1484.4858183265019</v>
      </c>
      <c r="P3843">
        <f>-768.17498589341 -210.973329346221 -232.137635803947</f>
        <v>-1211.2859510435781</v>
      </c>
      <c r="Q3843">
        <f>-631.763944823553 -42.714503433747 -337.645312436966</f>
        <v>-1012.1237606942659</v>
      </c>
      <c r="R3843" t="s">
        <v>41965</v>
      </c>
      <c r="S3843" t="s">
        <v>41966</v>
      </c>
      <c r="T3843" t="s">
        <v>41967</v>
      </c>
      <c r="U3843" t="s">
        <v>41968</v>
      </c>
      <c r="V3843">
        <f>-752.925048541655 -91.8459352210025 -92.3405037089102</f>
        <v>-937.11148747156767</v>
      </c>
      <c r="W3843" t="s">
        <v>41969</v>
      </c>
      <c r="X3843" t="s">
        <v>41970</v>
      </c>
      <c r="Y3843" t="s">
        <v>41971</v>
      </c>
    </row>
    <row r="3844" spans="1:25" x14ac:dyDescent="0.3">
      <c r="A3844">
        <v>192150</v>
      </c>
      <c r="B3844" t="s">
        <v>41972</v>
      </c>
      <c r="C3844">
        <f>-792.721763658373 -5.8902223930877 -94.3994779065334</f>
        <v>-893.01146395799412</v>
      </c>
      <c r="D3844">
        <f>-810.076626887864 -18.0052438127825 -208.277764419656</f>
        <v>-1036.3596351203025</v>
      </c>
      <c r="E3844">
        <f>-818.607645080102 -23.3593616844103 -306.385869086282</f>
        <v>-1148.3528758507941</v>
      </c>
      <c r="F3844">
        <f>-824.262569768298 -26.4940811092927 -395.247789273931</f>
        <v>-1246.0044401515217</v>
      </c>
      <c r="G3844">
        <f>-827.491847632845 -27.8458759998766 -484.275868858051</f>
        <v>-1339.6135924907726</v>
      </c>
      <c r="H3844">
        <f>-829.424944379402 -27.9133929273466 -608.843307124245</f>
        <v>-1466.1816444309936</v>
      </c>
      <c r="I3844">
        <f>-799.291576740182 -21.2525223059015 -685.996637801853</f>
        <v>-1506.5407368479364</v>
      </c>
      <c r="J3844">
        <f>-837.236093475435 -1.56356309437251 -553.907100301536</f>
        <v>-1392.7067568713437</v>
      </c>
      <c r="K3844" t="s">
        <v>41973</v>
      </c>
      <c r="L3844" t="s">
        <v>41974</v>
      </c>
      <c r="M3844" t="s">
        <v>41975</v>
      </c>
      <c r="N3844">
        <f>-819.912444916318 -54.2038514752786 -554.147512222844</f>
        <v>-1428.2638086144407</v>
      </c>
      <c r="O3844">
        <f>-778.059508556488 -181.814921813144 -524.773739651093</f>
        <v>-1484.648170020725</v>
      </c>
      <c r="P3844">
        <f>-768.248360536938 -210.871487366263 -232.112388780734</f>
        <v>-1211.2322366839348</v>
      </c>
      <c r="Q3844">
        <f>-632.051795876549 -42.4084285427523 -337.5712501931</f>
        <v>-1012.0314746124013</v>
      </c>
      <c r="R3844" t="s">
        <v>41976</v>
      </c>
      <c r="S3844" t="s">
        <v>41977</v>
      </c>
      <c r="T3844" t="s">
        <v>41978</v>
      </c>
      <c r="U3844" t="s">
        <v>41979</v>
      </c>
      <c r="V3844">
        <f>-752.933875415256 -91.7080106089463 -92.3308554797206</f>
        <v>-936.97274150392298</v>
      </c>
      <c r="W3844" t="s">
        <v>41980</v>
      </c>
      <c r="X3844" t="s">
        <v>41981</v>
      </c>
      <c r="Y3844" t="s">
        <v>41982</v>
      </c>
    </row>
    <row r="3845" spans="1:25" x14ac:dyDescent="0.3">
      <c r="A3845">
        <v>192200</v>
      </c>
      <c r="B3845" t="s">
        <v>41983</v>
      </c>
      <c r="C3845">
        <f>-792.511497451406 -5.45196236957486 -94.4112927844877</f>
        <v>-892.37475260546853</v>
      </c>
      <c r="D3845">
        <f>-810.001353755326 -17.6814969613592 -208.256653104552</f>
        <v>-1035.9395038212372</v>
      </c>
      <c r="E3845">
        <f>-818.696107918557 -23.1070931625068 -306.346539544609</f>
        <v>-1148.1497406256728</v>
      </c>
      <c r="F3845">
        <f>-824.517669066094 -26.2955458761467 -395.195827140878</f>
        <v>-1246.0090420831186</v>
      </c>
      <c r="G3845">
        <f>-827.93233690512 -27.6893666163874 -484.216158433564</f>
        <v>-1339.8378619550713</v>
      </c>
      <c r="H3845">
        <f>-830.143680746549 -27.8031218100559 -608.779098698501</f>
        <v>-1466.7259012551058</v>
      </c>
      <c r="I3845">
        <f>-800.194431225145 -21.1606840318887 -686.005696686443</f>
        <v>-1507.3608119434766</v>
      </c>
      <c r="J3845">
        <f>-837.847492112697 -1.43800137928679 -553.835164227035</f>
        <v>-1393.1206577190187</v>
      </c>
      <c r="K3845" t="s">
        <v>41984</v>
      </c>
      <c r="L3845" t="s">
        <v>41985</v>
      </c>
      <c r="M3845" t="s">
        <v>41986</v>
      </c>
      <c r="N3845">
        <f>-820.493653594784 -54.0681056477308 -554.095084669702</f>
        <v>-1428.6568439122168</v>
      </c>
      <c r="O3845">
        <f>-778.535194801675 -181.65137624487 -524.759155603985</f>
        <v>-1484.9457266505301</v>
      </c>
      <c r="P3845">
        <f>-768.291677394192 -210.666013216445 -232.108438209138</f>
        <v>-1211.066128819775</v>
      </c>
      <c r="Q3845">
        <f>-632.341642715809 -42.0616884226718 -337.659634431633</f>
        <v>-1012.0629655701138</v>
      </c>
      <c r="R3845" t="s">
        <v>41987</v>
      </c>
      <c r="S3845" t="s">
        <v>41988</v>
      </c>
      <c r="T3845" t="s">
        <v>41989</v>
      </c>
      <c r="U3845" t="s">
        <v>41990</v>
      </c>
      <c r="V3845">
        <f>-752.615375565734 -91.3117788473111 -92.3066337889078</f>
        <v>-936.23378820195285</v>
      </c>
      <c r="W3845" t="s">
        <v>41991</v>
      </c>
      <c r="X3845" t="s">
        <v>41992</v>
      </c>
      <c r="Y3845" t="s">
        <v>41993</v>
      </c>
    </row>
    <row r="3846" spans="1:25" x14ac:dyDescent="0.3">
      <c r="A3846">
        <v>192250</v>
      </c>
      <c r="B3846" t="s">
        <v>41994</v>
      </c>
      <c r="C3846">
        <f>-792.327181473258 -5.28925772448679 -94.4192615980739</f>
        <v>-892.03570079581868</v>
      </c>
      <c r="D3846">
        <f>-809.909591022314 -17.5583715476448 -208.246126466284</f>
        <v>-1035.7140890362427</v>
      </c>
      <c r="E3846">
        <f>-818.707851212174 -23.021323002311 -306.324642080048</f>
        <v>-1148.0538162945329</v>
      </c>
      <c r="F3846">
        <f>-824.632793903827 -26.2444057002851 -395.16580643972</f>
        <v>-1246.0430060438321</v>
      </c>
      <c r="G3846">
        <f>-828.160686320729 -27.6737326574046 -484.181314599803</f>
        <v>-1340.0157335779365</v>
      </c>
      <c r="H3846">
        <f>-830.540627626477 -27.8376317666102 -608.740927143587</f>
        <v>-1467.1191865366741</v>
      </c>
      <c r="I3846">
        <f>-800.676040917361 -21.226503207753 -686.003022627827</f>
        <v>-1507.905566752941</v>
      </c>
      <c r="J3846">
        <f>-838.168874136582 -1.44986716651283 -553.797253541885</f>
        <v>-1393.4159948449797</v>
      </c>
      <c r="K3846" t="s">
        <v>41995</v>
      </c>
      <c r="L3846" t="s">
        <v>41996</v>
      </c>
      <c r="M3846" t="s">
        <v>41997</v>
      </c>
      <c r="N3846">
        <f>-820.817888029004 -54.0811975494746 -554.05948800528</f>
        <v>-1428.9585735837586</v>
      </c>
      <c r="O3846">
        <f>-778.834009460384 -181.65467667924 -524.750099881936</f>
        <v>-1485.2387860215599</v>
      </c>
      <c r="P3846">
        <f>-768.36035957521 -210.602378927024 -232.100871773148</f>
        <v>-1211.063610275382</v>
      </c>
      <c r="Q3846">
        <f>-632.457491549994 -42.0062265929116 -337.725728324285</f>
        <v>-1012.1894464671906</v>
      </c>
      <c r="R3846" t="s">
        <v>41998</v>
      </c>
      <c r="S3846" t="s">
        <v>41999</v>
      </c>
      <c r="T3846" t="s">
        <v>42000</v>
      </c>
      <c r="U3846" t="s">
        <v>42001</v>
      </c>
      <c r="V3846">
        <f>-752.37547476582 -91.3009030185293 -92.3155263829793</f>
        <v>-935.99190416732858</v>
      </c>
      <c r="W3846" t="s">
        <v>42002</v>
      </c>
      <c r="X3846" t="s">
        <v>42003</v>
      </c>
      <c r="Y3846" t="s">
        <v>42004</v>
      </c>
    </row>
    <row r="3847" spans="1:25" x14ac:dyDescent="0.3">
      <c r="A3847">
        <v>192300</v>
      </c>
      <c r="B3847" t="s">
        <v>42005</v>
      </c>
      <c r="C3847">
        <f>-791.806309650704 -5.30639667185119 -94.4037493856812</f>
        <v>-891.51645570823632</v>
      </c>
      <c r="D3847">
        <f>-809.573084582448 -17.6817169256551 -208.190484231967</f>
        <v>-1035.4452857400702</v>
      </c>
      <c r="E3847">
        <f>-818.561525585758 -23.2219195335927 -306.247395201409</f>
        <v>-1148.0308403207596</v>
      </c>
      <c r="F3847">
        <f>-824.67130574992 -26.5088435276409 -395.073700229658</f>
        <v>-1246.253849507219</v>
      </c>
      <c r="G3847">
        <f>-828.397231331335 -27.9949502306549 -484.080169414093</f>
        <v>-1340.4723509760829</v>
      </c>
      <c r="H3847">
        <f>-831.067666307143 -28.2308403263355 -608.63398298786</f>
        <v>-1467.9324896213384</v>
      </c>
      <c r="I3847">
        <f>-801.34225794637 -21.6529739408713 -685.952593442363</f>
        <v>-1508.9478253296043</v>
      </c>
      <c r="J3847">
        <f>-838.577986461443 -1.81479479696986 -553.687545193469</f>
        <v>-1394.0803264518818</v>
      </c>
      <c r="K3847" t="s">
        <v>42006</v>
      </c>
      <c r="L3847" t="s">
        <v>42007</v>
      </c>
      <c r="M3847" t="s">
        <v>42008</v>
      </c>
      <c r="N3847">
        <f>-821.207009166459 -54.439189530136 -553.960299824594</f>
        <v>-1429.606498521189</v>
      </c>
      <c r="O3847">
        <f>-779.139026053177 -182.005494815612 -524.706563550292</f>
        <v>-1485.851084419081</v>
      </c>
      <c r="P3847">
        <f>-768.230304855981 -210.887535553821 -232.066809984713</f>
        <v>-1211.1846503945151</v>
      </c>
      <c r="Q3847">
        <f>-632.505858918134 -42.1976000587938 -337.771293392392</f>
        <v>-1012.4747523693197</v>
      </c>
      <c r="R3847" t="s">
        <v>42009</v>
      </c>
      <c r="S3847" t="s">
        <v>42010</v>
      </c>
      <c r="T3847" t="s">
        <v>42011</v>
      </c>
      <c r="U3847" t="s">
        <v>42012</v>
      </c>
      <c r="V3847">
        <f>-751.680091889862 -91.4489050448011 -92.3164183809655</f>
        <v>-935.44541531562857</v>
      </c>
      <c r="W3847" t="s">
        <v>42013</v>
      </c>
      <c r="X3847" t="s">
        <v>42014</v>
      </c>
      <c r="Y3847" t="s">
        <v>42015</v>
      </c>
    </row>
    <row r="3848" spans="1:25" x14ac:dyDescent="0.3">
      <c r="A3848">
        <v>192350</v>
      </c>
      <c r="B3848" t="s">
        <v>42016</v>
      </c>
      <c r="C3848">
        <f>-791.543858310049 -5.19011507172013 -94.4028686644892</f>
        <v>-891.13684204625838</v>
      </c>
      <c r="D3848">
        <f>-809.441963149204 -17.6573559529722 -208.15888411622</f>
        <v>-1035.2582032183961</v>
      </c>
      <c r="E3848">
        <f>-818.537727390986 -23.2411709136152 -306.203527221127</f>
        <v>-1147.9824255257281</v>
      </c>
      <c r="F3848">
        <f>-824.741997007835 -26.5535031745351 -395.022367028136</f>
        <v>-1246.3178672105062</v>
      </c>
      <c r="G3848">
        <f>-828.559022658691 -28.051243426401 -484.024758043869</f>
        <v>-1340.635024128961</v>
      </c>
      <c r="H3848">
        <f>-831.353207179411 -28.2886649154673 -608.575798472081</f>
        <v>-1468.2176705669594</v>
      </c>
      <c r="I3848">
        <f>-801.68681842728 -21.6958200024751 -685.91568235192</f>
        <v>-1509.2983207816751</v>
      </c>
      <c r="J3848">
        <f>-838.826472574508 -1.87764101622497 -553.621858011492</f>
        <v>-1394.3259716022249</v>
      </c>
      <c r="K3848" t="s">
        <v>42017</v>
      </c>
      <c r="L3848" t="s">
        <v>42018</v>
      </c>
      <c r="M3848" t="s">
        <v>42019</v>
      </c>
      <c r="N3848">
        <f>-821.420814775201 -54.4906636007164 -553.912107816497</f>
        <v>-1429.8235861924145</v>
      </c>
      <c r="O3848">
        <f>-779.259706016976 -182.033077179708 -524.695686469966</f>
        <v>-1485.98846966665</v>
      </c>
      <c r="P3848">
        <f>-768.220458324286 -210.961509997929 -232.065348167496</f>
        <v>-1211.247316489711</v>
      </c>
      <c r="Q3848">
        <f>-632.586962933778 -42.1921358408292 -337.759795767169</f>
        <v>-1012.5388945417762</v>
      </c>
      <c r="R3848" t="s">
        <v>42020</v>
      </c>
      <c r="S3848" t="s">
        <v>42021</v>
      </c>
      <c r="T3848" t="s">
        <v>42022</v>
      </c>
      <c r="U3848" t="s">
        <v>42023</v>
      </c>
      <c r="V3848">
        <f>-751.419503927153 -91.1976293443233 -92.3006852411354</f>
        <v>-934.91781851261169</v>
      </c>
      <c r="W3848" t="s">
        <v>42024</v>
      </c>
      <c r="X3848" t="s">
        <v>42025</v>
      </c>
      <c r="Y3848" t="s">
        <v>42026</v>
      </c>
    </row>
    <row r="3849" spans="1:25" x14ac:dyDescent="0.3">
      <c r="A3849">
        <v>192400</v>
      </c>
      <c r="B3849" t="s">
        <v>42027</v>
      </c>
      <c r="C3849">
        <f>-791.191706484788 -4.96203417948914 -94.411211549977</f>
        <v>-890.56495221425416</v>
      </c>
      <c r="D3849">
        <f>-809.283424704698 -17.6117420879964 -208.116542732938</f>
        <v>-1035.0117095256323</v>
      </c>
      <c r="E3849">
        <f>-818.573239468267 -23.2867323299872 -306.137639883714</f>
        <v>-1147.9976116819682</v>
      </c>
      <c r="F3849">
        <f>-824.962157056912 -26.656916638465 -394.941284467063</f>
        <v>-1246.56035816244</v>
      </c>
      <c r="G3849">
        <f>-828.973245695526 -28.1865934091377 -483.934526444859</f>
        <v>-1341.0943655495225</v>
      </c>
      <c r="H3849">
        <f>-832.047420939598 -28.4413437373614 -608.478903521376</f>
        <v>-1468.9676681983356</v>
      </c>
      <c r="I3849">
        <f>-802.468517276028 -21.759463643295 -685.844783855551</f>
        <v>-1510.072764774874</v>
      </c>
      <c r="J3849">
        <f>-839.45942522114 -2.04355753517711 -553.510530420446</f>
        <v>-1395.0135131767631</v>
      </c>
      <c r="K3849" t="s">
        <v>42028</v>
      </c>
      <c r="L3849" t="s">
        <v>42029</v>
      </c>
      <c r="M3849" t="s">
        <v>42030</v>
      </c>
      <c r="N3849">
        <f>-821.929732632807 -54.6149462188735 -553.835698524389</f>
        <v>-1430.3803773760696</v>
      </c>
      <c r="O3849">
        <f>-779.437524668106 -182.070515266464 -524.733155222093</f>
        <v>-1486.241195156663</v>
      </c>
      <c r="P3849">
        <f>-768.029076043405 -211.096747061928 -232.1267701542</f>
        <v>-1211.2525932595329</v>
      </c>
      <c r="Q3849">
        <f>-632.850321482092 -41.8967813271233 -337.715162397585</f>
        <v>-1012.4622652068003</v>
      </c>
      <c r="R3849" t="s">
        <v>42031</v>
      </c>
      <c r="S3849" t="s">
        <v>42032</v>
      </c>
      <c r="T3849" t="s">
        <v>42033</v>
      </c>
      <c r="U3849" t="s">
        <v>42034</v>
      </c>
      <c r="V3849">
        <f>-750.668571252649 -90.8489254275582 -92.2771569100836</f>
        <v>-933.79465359029086</v>
      </c>
      <c r="W3849" t="s">
        <v>42035</v>
      </c>
      <c r="X3849" t="s">
        <v>42036</v>
      </c>
      <c r="Y3849" t="s">
        <v>42037</v>
      </c>
    </row>
    <row r="3850" spans="1:25" x14ac:dyDescent="0.3">
      <c r="A3850">
        <v>192450</v>
      </c>
      <c r="B3850" t="s">
        <v>42038</v>
      </c>
      <c r="C3850">
        <f>-790.955393903943 -4.98539574100187 -94.3878645758259</f>
        <v>-890.32865422077077</v>
      </c>
      <c r="D3850">
        <f>-809.064223883631 -17.6964620531271 -208.083524705563</f>
        <v>-1034.8442106423211</v>
      </c>
      <c r="E3850">
        <f>-818.410851345765 -23.4134352048086 -306.096968900263</f>
        <v>-1147.9212554508365</v>
      </c>
      <c r="F3850">
        <f>-824.867636492208 -26.8170016782788 -394.894250380412</f>
        <v>-1246.5788885508987</v>
      </c>
      <c r="G3850">
        <f>-828.963303995592 -28.375038720121 -483.883233720357</f>
        <v>-1341.2215764360699</v>
      </c>
      <c r="H3850">
        <f>-832.17325784639 -28.6636867474808 -608.424115917751</f>
        <v>-1469.261060511622</v>
      </c>
      <c r="I3850">
        <f>-802.631358356338 -21.9243114658079 -685.799148224541</f>
        <v>-1510.3548180466869</v>
      </c>
      <c r="J3850">
        <f>-839.568565878239 -2.2651855521076 -553.453777875406</f>
        <v>-1395.2875293057527</v>
      </c>
      <c r="K3850" t="s">
        <v>42039</v>
      </c>
      <c r="L3850" t="s">
        <v>42040</v>
      </c>
      <c r="M3850" t="s">
        <v>42041</v>
      </c>
      <c r="N3850">
        <f>-821.95298518261 -54.8080657856245 -553.786064149413</f>
        <v>-1430.5471151176475</v>
      </c>
      <c r="O3850">
        <f>-779.237913169065 -182.193900663664 -524.727343540213</f>
        <v>-1486.159157372942</v>
      </c>
      <c r="P3850">
        <f>-767.617241182727 -211.236121315909 -232.130793926145</f>
        <v>-1210.9841564247811</v>
      </c>
      <c r="Q3850">
        <f>-632.771479548541 -41.7331985282424 -337.659353994008</f>
        <v>-1012.1640320707913</v>
      </c>
      <c r="R3850" t="s">
        <v>42042</v>
      </c>
      <c r="S3850" t="s">
        <v>42043</v>
      </c>
      <c r="T3850" t="s">
        <v>42044</v>
      </c>
      <c r="U3850" t="s">
        <v>42045</v>
      </c>
      <c r="V3850">
        <f>-750.196245696555 -90.9084584184903 -92.249627670523</f>
        <v>-933.35433178556832</v>
      </c>
      <c r="W3850" t="s">
        <v>42046</v>
      </c>
      <c r="X3850" t="s">
        <v>42047</v>
      </c>
      <c r="Y3850" t="s">
        <v>42048</v>
      </c>
    </row>
    <row r="3851" spans="1:25" x14ac:dyDescent="0.3">
      <c r="A3851">
        <v>192500</v>
      </c>
      <c r="B3851" t="s">
        <v>42049</v>
      </c>
      <c r="C3851">
        <f>-790.514671629713 -5.23363492045496 -94.3942110001864</f>
        <v>-890.14251755035434</v>
      </c>
      <c r="D3851">
        <f>-808.670976520445 -18.0755247151442 -208.067607733724</f>
        <v>-1034.8141089693131</v>
      </c>
      <c r="E3851">
        <f>-818.114643386901 -23.8830181875494 -306.066409924457</f>
        <v>-1148.0640714989074</v>
      </c>
      <c r="F3851">
        <f>-824.680682473644 -27.3609723410138 -394.852804043761</f>
        <v>-1246.8944588584188</v>
      </c>
      <c r="G3851">
        <f>-828.90741849207 -28.984287577239 -483.834514309584</f>
        <v>-1341.726220378893</v>
      </c>
      <c r="H3851">
        <f>-832.323506523872 -29.3538313526576 -608.369762077453</f>
        <v>-1470.0470999539825</v>
      </c>
      <c r="I3851">
        <f>-802.837134148158 -22.5064807593685 -685.756364168004</f>
        <v>-1511.0999790755304</v>
      </c>
      <c r="J3851">
        <f>-839.720209803898 -2.95084198458585 -553.40168410874</f>
        <v>-1396.072735897224</v>
      </c>
      <c r="K3851" t="s">
        <v>42050</v>
      </c>
      <c r="L3851" t="s">
        <v>42051</v>
      </c>
      <c r="M3851" t="s">
        <v>42052</v>
      </c>
      <c r="N3851">
        <f>-821.920294717188 -55.4315787930545 -553.734108947406</f>
        <v>-1431.0859824576485</v>
      </c>
      <c r="O3851">
        <f>-778.698845995049 -182.654701207754 -524.670052530157</f>
        <v>-1486.0235997329601</v>
      </c>
      <c r="P3851">
        <f>-766.750472987452 -211.496402090952 -232.066756493371</f>
        <v>-1210.313631571775</v>
      </c>
      <c r="Q3851">
        <f>-632.740462403221 -41.3982611795018 -337.702214188594</f>
        <v>-1011.8409377713168</v>
      </c>
      <c r="R3851" t="s">
        <v>42053</v>
      </c>
      <c r="S3851" t="s">
        <v>42054</v>
      </c>
      <c r="T3851" t="s">
        <v>42055</v>
      </c>
      <c r="U3851" t="s">
        <v>42056</v>
      </c>
      <c r="V3851">
        <f>-749.60538739133 -91.2646447052425 -92.202137297491</f>
        <v>-933.07216939406362</v>
      </c>
      <c r="W3851" t="s">
        <v>42057</v>
      </c>
      <c r="X3851" t="s">
        <v>42058</v>
      </c>
      <c r="Y3851" t="s">
        <v>42059</v>
      </c>
    </row>
    <row r="3852" spans="1:25" x14ac:dyDescent="0.3">
      <c r="A3852">
        <v>192550</v>
      </c>
      <c r="B3852" t="s">
        <v>42060</v>
      </c>
      <c r="C3852">
        <f>-790.457995003283 -5.24826874276005 -94.4145278954586</f>
        <v>-890.12079164150168</v>
      </c>
      <c r="D3852">
        <f>-808.601642757616 -18.1196772773169 -208.086791015022</f>
        <v>-1034.808111049955</v>
      </c>
      <c r="E3852">
        <f>-818.066453442066 -23.9529419817538 -306.081903813657</f>
        <v>-1148.1012992374767</v>
      </c>
      <c r="F3852">
        <f>-824.664783928224 -27.4543933202051 -394.865007618189</f>
        <v>-1246.9841848666181</v>
      </c>
      <c r="G3852">
        <f>-828.93737296706 -29.1001143333524 -483.844079966687</f>
        <v>-1341.8815672670994</v>
      </c>
      <c r="H3852">
        <f>-832.431668989544 -29.5000163393997 -608.376953472467</f>
        <v>-1470.3086388014108</v>
      </c>
      <c r="I3852">
        <f>-802.958511007486 -22.6024843267951 -685.76419667738</f>
        <v>-1511.3251920116611</v>
      </c>
      <c r="J3852">
        <f>-839.841209588336 -3.09985239844514 -553.409335410366</f>
        <v>-1396.3503973971472</v>
      </c>
      <c r="K3852" t="s">
        <v>42061</v>
      </c>
      <c r="L3852" t="s">
        <v>42062</v>
      </c>
      <c r="M3852" t="s">
        <v>42063</v>
      </c>
      <c r="N3852">
        <f>-821.946706542151 -55.5483137447061 -553.743165316631</f>
        <v>-1431.2381856034881</v>
      </c>
      <c r="O3852">
        <f>-778.481507943893 -182.682618927673 -524.664747211488</f>
        <v>-1485.828874083054</v>
      </c>
      <c r="P3852">
        <f>-766.447262606709 -211.401750969353 -232.053148747156</f>
        <v>-1209.9021623232179</v>
      </c>
      <c r="Q3852">
        <f>-632.860462029857 -40.9903774582697 -337.719585656072</f>
        <v>-1011.5704251441987</v>
      </c>
      <c r="R3852" t="s">
        <v>42064</v>
      </c>
      <c r="S3852" t="s">
        <v>42065</v>
      </c>
      <c r="T3852" t="s">
        <v>42066</v>
      </c>
      <c r="U3852" t="s">
        <v>42067</v>
      </c>
      <c r="V3852">
        <f>-749.43966617562 -91.1454719872357 -92.2163354288862</f>
        <v>-932.80147359174191</v>
      </c>
      <c r="W3852" t="s">
        <v>42068</v>
      </c>
      <c r="X3852" t="s">
        <v>42069</v>
      </c>
      <c r="Y3852" t="s">
        <v>42070</v>
      </c>
    </row>
    <row r="3853" spans="1:25" x14ac:dyDescent="0.3">
      <c r="A3853">
        <v>192600</v>
      </c>
      <c r="B3853" t="s">
        <v>42071</v>
      </c>
      <c r="C3853">
        <f>-790.454909746728 -5.11124135746331 -94.4415618065534</f>
        <v>-890.00771291074477</v>
      </c>
      <c r="D3853">
        <f>-808.638671430999 -18.054809696554 -208.099054455754</f>
        <v>-1034.792535583307</v>
      </c>
      <c r="E3853">
        <f>-818.140710078854 -23.9457054562031 -306.087183175226</f>
        <v>-1148.1735987102832</v>
      </c>
      <c r="F3853">
        <f>-824.773834789553 -27.4978112159558 -394.865757517358</f>
        <v>-1247.1374035228669</v>
      </c>
      <c r="G3853">
        <f>-829.083429749309 -29.1916262515911 -483.842118343672</f>
        <v>-1342.117174344572</v>
      </c>
      <c r="H3853">
        <f>-832.632162964274 -29.6547101427664 -608.373257805934</f>
        <v>-1470.6601309129744</v>
      </c>
      <c r="I3853">
        <f>-803.149103446249 -22.7003524389424 -685.751726655937</f>
        <v>-1511.6011825411283</v>
      </c>
      <c r="J3853">
        <f>-840.105220987532 -3.25648123661153 -553.413147541781</f>
        <v>-1396.7748497659245</v>
      </c>
      <c r="K3853" t="s">
        <v>42072</v>
      </c>
      <c r="L3853" t="s">
        <v>42073</v>
      </c>
      <c r="M3853" t="s">
        <v>42074</v>
      </c>
      <c r="N3853">
        <f>-822.035910311072 -55.6452059817525 -553.733284440693</f>
        <v>-1431.4144007335176</v>
      </c>
      <c r="O3853">
        <f>-778.139252813624 -182.624813906217 -524.635232015705</f>
        <v>-1485.3992987355459</v>
      </c>
      <c r="P3853">
        <f>-766.022045823124 -211.298624639744 -232.022385040564</f>
        <v>-1209.343055503432</v>
      </c>
      <c r="Q3853">
        <f>-633.003932386228 -40.3845366539952 -337.594229995468</f>
        <v>-1010.9826990356912</v>
      </c>
      <c r="R3853" t="s">
        <v>42075</v>
      </c>
      <c r="S3853" t="s">
        <v>42076</v>
      </c>
      <c r="T3853" t="s">
        <v>42077</v>
      </c>
      <c r="U3853" t="s">
        <v>42078</v>
      </c>
      <c r="V3853">
        <f>-749.306975917258 -91.0292063669654 -92.2249098863394</f>
        <v>-932.5610921705628</v>
      </c>
      <c r="W3853" t="s">
        <v>42079</v>
      </c>
      <c r="X3853" t="s">
        <v>42080</v>
      </c>
      <c r="Y3853" t="s">
        <v>42081</v>
      </c>
    </row>
    <row r="3854" spans="1:25" x14ac:dyDescent="0.3">
      <c r="A3854">
        <v>192650</v>
      </c>
      <c r="B3854" t="s">
        <v>42082</v>
      </c>
      <c r="C3854">
        <f>-790.437086821211 -5.12942288221689 -94.44229054783</f>
        <v>-890.00880025125787</v>
      </c>
      <c r="D3854">
        <f>-808.628684231698 -18.0807306291917 -208.097671015655</f>
        <v>-1034.8070858765448</v>
      </c>
      <c r="E3854">
        <f>-818.135634358009 -23.9949376234908 -306.083959406774</f>
        <v>-1148.2145313882738</v>
      </c>
      <c r="F3854">
        <f>-824.773155352604 -27.5747678361738 -394.860970229806</f>
        <v>-1247.2088934185838</v>
      </c>
      <c r="G3854">
        <f>-829.087165919642 -29.3023090744621 -483.83647561397</f>
        <v>-1342.2259506080741</v>
      </c>
      <c r="H3854">
        <f>-832.642792914775 -29.8187492503268 -608.367293457379</f>
        <v>-1470.8288356224807</v>
      </c>
      <c r="I3854">
        <f>-803.126646500752 -22.863098351791 -685.732899182023</f>
        <v>-1511.722644034566</v>
      </c>
      <c r="J3854">
        <f>-840.13999365203 -3.40652338128325 -553.417311044523</f>
        <v>-1396.9638280778363</v>
      </c>
      <c r="K3854" t="s">
        <v>42083</v>
      </c>
      <c r="L3854" t="s">
        <v>42084</v>
      </c>
      <c r="M3854" t="s">
        <v>42085</v>
      </c>
      <c r="N3854">
        <f>-822.016181743102 -55.7763475864798 -553.717576784597</f>
        <v>-1431.5101061141788</v>
      </c>
      <c r="O3854">
        <f>-778.001299675974 -182.710317054062 -524.603754395326</f>
        <v>-1485.3153711253619</v>
      </c>
      <c r="P3854">
        <f>-765.866979885907 -211.334214140916 -231.98698137164</f>
        <v>-1209.188175398463</v>
      </c>
      <c r="Q3854">
        <f>-633.056396850586 -40.2458489309915 -337.537868561073</f>
        <v>-1010.8401143426506</v>
      </c>
      <c r="R3854" t="s">
        <v>42086</v>
      </c>
      <c r="S3854" t="s">
        <v>42087</v>
      </c>
      <c r="T3854" t="s">
        <v>42088</v>
      </c>
      <c r="U3854" t="s">
        <v>42089</v>
      </c>
      <c r="V3854">
        <f>-749.183560350144 -91.0744786919422 -92.233920739934</f>
        <v>-932.49195978202022</v>
      </c>
      <c r="W3854" t="s">
        <v>42090</v>
      </c>
      <c r="X3854" t="s">
        <v>42091</v>
      </c>
      <c r="Y3854" t="s">
        <v>42092</v>
      </c>
    </row>
    <row r="3855" spans="1:25" x14ac:dyDescent="0.3">
      <c r="A3855">
        <v>192700</v>
      </c>
      <c r="B3855" t="s">
        <v>42093</v>
      </c>
      <c r="C3855">
        <f>-790.429190722348 -5.09024410848133 -94.456901734344</f>
        <v>-889.97633656517337</v>
      </c>
      <c r="D3855">
        <f>-808.637397543939 -18.1138790112066 -208.101322390954</f>
        <v>-1034.8525989460995</v>
      </c>
      <c r="E3855">
        <f>-818.159421307843 -24.0970305298722 -306.081857730186</f>
        <v>-1148.3383095679012</v>
      </c>
      <c r="F3855">
        <f>-824.810859107153 -27.7420961519063 -394.855323551327</f>
        <v>-1247.4082788103863</v>
      </c>
      <c r="G3855">
        <f>-829.139551700476 -29.5372136448889 -483.828666223566</f>
        <v>-1342.5054315689308</v>
      </c>
      <c r="H3855">
        <f>-832.716462714224 -30.1508127162238 -608.35844556722</f>
        <v>-1471.2257209976678</v>
      </c>
      <c r="I3855">
        <f>-803.134351309086 -23.220363572106 -685.701060447655</f>
        <v>-1512.0557753288469</v>
      </c>
      <c r="J3855">
        <f>-840.223927384884 -3.70247017700763 -553.427191187395</f>
        <v>-1397.3535887492867</v>
      </c>
      <c r="K3855" t="s">
        <v>42094</v>
      </c>
      <c r="L3855" t="s">
        <v>42095</v>
      </c>
      <c r="M3855" t="s">
        <v>42096</v>
      </c>
      <c r="N3855">
        <f>-822.061159490444 -56.059161646368 -553.691018223668</f>
        <v>-1431.8113393604799</v>
      </c>
      <c r="O3855">
        <f>-777.959590150883 -182.947297903512 -524.469914575498</f>
        <v>-1485.3768026298931</v>
      </c>
      <c r="P3855">
        <f>-765.879310168102 -211.312107640987 -231.825566697336</f>
        <v>-1209.0169845064249</v>
      </c>
      <c r="Q3855">
        <f>-633.235081415671 -40.15442697509 -337.473132655053</f>
        <v>-1010.8626410458139</v>
      </c>
      <c r="R3855" t="s">
        <v>42097</v>
      </c>
      <c r="S3855" t="s">
        <v>42098</v>
      </c>
      <c r="T3855" t="s">
        <v>42099</v>
      </c>
      <c r="U3855" t="s">
        <v>42100</v>
      </c>
      <c r="V3855">
        <f>-749.217870407858 -91.0243521648393 -92.2280808649778</f>
        <v>-932.47030343767506</v>
      </c>
      <c r="W3855" t="s">
        <v>42101</v>
      </c>
      <c r="X3855" t="s">
        <v>42102</v>
      </c>
      <c r="Y3855" t="s">
        <v>42103</v>
      </c>
    </row>
    <row r="3856" spans="1:25" x14ac:dyDescent="0.3">
      <c r="A3856">
        <v>192750</v>
      </c>
      <c r="B3856" t="s">
        <v>42104</v>
      </c>
      <c r="C3856">
        <f>-790.487073342968 -5.07464651915393 -94.4721209435779</f>
        <v>-890.03384080569981</v>
      </c>
      <c r="D3856">
        <f>-808.674661546164 -18.1004536397579 -208.119652660384</f>
        <v>-1034.894767846306</v>
      </c>
      <c r="E3856">
        <f>-818.196130931617 -24.1008104510815 -306.099176446012</f>
        <v>-1148.3961178287104</v>
      </c>
      <c r="F3856">
        <f>-824.854356303744 -27.7676952273366 -394.871139351864</f>
        <v>-1247.4931908829446</v>
      </c>
      <c r="G3856">
        <f>-829.197054574899 -29.590615242591 -483.843436091221</f>
        <v>-1342.6311059087109</v>
      </c>
      <c r="H3856">
        <f>-832.801556103712 -30.2489830203797 -608.372135900209</f>
        <v>-1471.4226750243006</v>
      </c>
      <c r="I3856">
        <f>-803.19038801456 -23.3418083850781 -685.705667780701</f>
        <v>-1512.2378641803391</v>
      </c>
      <c r="J3856">
        <f>-840.298473148402 -3.78161392070183 -553.448678886982</f>
        <v>-1397.5287659560859</v>
      </c>
      <c r="K3856" t="s">
        <v>42105</v>
      </c>
      <c r="L3856" t="s">
        <v>42106</v>
      </c>
      <c r="M3856" t="s">
        <v>42107</v>
      </c>
      <c r="N3856">
        <f>-822.132233214756 -56.1368981935158 -553.697633315136</f>
        <v>-1431.9667647234078</v>
      </c>
      <c r="O3856">
        <f>-778.041438068624 -183.011836521871 -524.420882953184</f>
        <v>-1485.474157543679</v>
      </c>
      <c r="P3856">
        <f>-765.999976737581 -211.267963743441 -231.764514088841</f>
        <v>-1209.0324545698631</v>
      </c>
      <c r="Q3856">
        <f>-633.320915789658 -40.1633457118583 -337.454276474811</f>
        <v>-1010.9385379763273</v>
      </c>
      <c r="R3856" t="s">
        <v>42108</v>
      </c>
      <c r="S3856" t="s">
        <v>42109</v>
      </c>
      <c r="T3856" t="s">
        <v>42110</v>
      </c>
      <c r="U3856" t="s">
        <v>42111</v>
      </c>
      <c r="V3856">
        <f>-749.238172152727 -91.0563007315174 -92.2265915366496</f>
        <v>-932.52106442089394</v>
      </c>
      <c r="W3856" t="s">
        <v>42112</v>
      </c>
      <c r="X3856" t="s">
        <v>42113</v>
      </c>
      <c r="Y3856" t="s">
        <v>42114</v>
      </c>
    </row>
    <row r="3857" spans="1:25" x14ac:dyDescent="0.3">
      <c r="A3857">
        <v>192800</v>
      </c>
      <c r="B3857" t="s">
        <v>42115</v>
      </c>
      <c r="C3857">
        <f>-790.498420447368 -4.90582628522861 -94.503458664046</f>
        <v>-889.90770539664254</v>
      </c>
      <c r="D3857">
        <f>-808.686307756258 -17.9626812505239 -208.147411816288</f>
        <v>-1034.7964008230699</v>
      </c>
      <c r="E3857">
        <f>-818.192824948723 -23.9994489062467 -306.126202656062</f>
        <v>-1148.3184765110318</v>
      </c>
      <c r="F3857">
        <f>-824.831970309475 -27.7029593510408 -394.898060332574</f>
        <v>-1247.4329899930899</v>
      </c>
      <c r="G3857">
        <f>-829.150417862876 -29.5659105782065 -483.870715926539</f>
        <v>-1342.5870443676215</v>
      </c>
      <c r="H3857">
        <f>-832.715486835151 -30.2837775855101 -608.400196367423</f>
        <v>-1471.3994607880841</v>
      </c>
      <c r="I3857">
        <f>-803.017070676744 -23.4130151224626 -685.703632184332</f>
        <v>-1512.1337179835386</v>
      </c>
      <c r="J3857">
        <f>-840.239341351763 -3.79343815484822 -553.491509312324</f>
        <v>-1397.524288818935</v>
      </c>
      <c r="K3857" t="s">
        <v>42116</v>
      </c>
      <c r="L3857" t="s">
        <v>42117</v>
      </c>
      <c r="M3857" t="s">
        <v>42118</v>
      </c>
      <c r="N3857">
        <f>-822.053855258018 -56.1423398347686 -553.710258047839</f>
        <v>-1431.9064531406257</v>
      </c>
      <c r="O3857">
        <f>-777.994325265077 -183.007226732928 -524.343223973161</f>
        <v>-1485.344775971166</v>
      </c>
      <c r="P3857">
        <f>-766.144140335385 -211.139729519664 -231.667183650576</f>
        <v>-1208.9510535056249</v>
      </c>
      <c r="Q3857">
        <f>-633.1920039326 -40.1957901120461 -337.27386192878</f>
        <v>-1010.661655973426</v>
      </c>
      <c r="R3857" t="s">
        <v>42119</v>
      </c>
      <c r="S3857" t="s">
        <v>42120</v>
      </c>
      <c r="T3857" t="s">
        <v>42121</v>
      </c>
      <c r="U3857" t="s">
        <v>42122</v>
      </c>
      <c r="V3857">
        <f>-749.260452474676 -90.9101316540598 -92.2220504472078</f>
        <v>-932.39263457594359</v>
      </c>
      <c r="W3857" t="s">
        <v>42123</v>
      </c>
      <c r="X3857" t="s">
        <v>42124</v>
      </c>
      <c r="Y3857" t="s">
        <v>42125</v>
      </c>
    </row>
    <row r="3858" spans="1:25" x14ac:dyDescent="0.3">
      <c r="A3858">
        <v>192850</v>
      </c>
      <c r="B3858" t="s">
        <v>42126</v>
      </c>
      <c r="C3858">
        <f>-790.448207134404 -4.9247667034299 -94.5103711976024</f>
        <v>-889.88334503543626</v>
      </c>
      <c r="D3858">
        <f>-808.61957147515 -17.9739556937475 -208.157776832184</f>
        <v>-1034.7513040010815</v>
      </c>
      <c r="E3858">
        <f>-818.086317747842 -24.0131471432892 -306.140341819527</f>
        <v>-1148.2398067106583</v>
      </c>
      <c r="F3858">
        <f>-824.679502781107 -27.722235144226 -394.915379839608</f>
        <v>-1247.317117764941</v>
      </c>
      <c r="G3858">
        <f>-828.942266184314 -29.5945907957075 -483.890484680045</f>
        <v>-1342.4273416600665</v>
      </c>
      <c r="H3858">
        <f>-832.41959971206 -30.3292950433033 -608.422253237224</f>
        <v>-1471.1711479925873</v>
      </c>
      <c r="I3858">
        <f>-802.63339789467 -23.4392518108643 -685.690251399148</f>
        <v>-1511.7629011046824</v>
      </c>
      <c r="J3858">
        <f>-839.988425219463 -3.83369421944531 -553.522264262615</f>
        <v>-1397.3443837015234</v>
      </c>
      <c r="K3858" t="s">
        <v>42127</v>
      </c>
      <c r="L3858" t="s">
        <v>42128</v>
      </c>
      <c r="M3858" t="s">
        <v>42129</v>
      </c>
      <c r="N3858">
        <f>-821.790459849824 -56.1783126779957 -553.721638088951</f>
        <v>-1431.6904106167706</v>
      </c>
      <c r="O3858">
        <f>-777.740292572497 -183.03238207742 -524.302736125402</f>
        <v>-1485.0754107753191</v>
      </c>
      <c r="P3858">
        <f>-765.936424647555 -211.149889859503 -231.623244172128</f>
        <v>-1208.7095586791861</v>
      </c>
      <c r="Q3858">
        <f>-632.946744947256 -40.2295644225594 -337.220761163216</f>
        <v>-1010.3970705330314</v>
      </c>
      <c r="R3858" t="s">
        <v>42130</v>
      </c>
      <c r="S3858" t="s">
        <v>42131</v>
      </c>
      <c r="T3858" t="s">
        <v>42132</v>
      </c>
      <c r="U3858" t="s">
        <v>42133</v>
      </c>
      <c r="V3858">
        <f>-749.201870677315 -91.0261270638035 -92.2236482690951</f>
        <v>-932.45164601021361</v>
      </c>
      <c r="W3858" t="s">
        <v>42134</v>
      </c>
      <c r="X3858" t="s">
        <v>42135</v>
      </c>
      <c r="Y3858" t="s">
        <v>42136</v>
      </c>
    </row>
    <row r="3859" spans="1:25" x14ac:dyDescent="0.3">
      <c r="A3859">
        <v>192900</v>
      </c>
      <c r="B3859" t="s">
        <v>42137</v>
      </c>
      <c r="C3859">
        <f>-790.307625405045 -4.82012165583433 -94.5332940049683</f>
        <v>-889.6610410658476</v>
      </c>
      <c r="D3859">
        <f>-808.427607418073 -17.8780197049859 -208.187841700864</f>
        <v>-1034.493468823923</v>
      </c>
      <c r="E3859">
        <f>-817.792143483275 -23.9387496067709 -306.178950517278</f>
        <v>-1147.9098436073239</v>
      </c>
      <c r="F3859">
        <f>-824.27020609809 -27.6732528867833 -394.961422735288</f>
        <v>-1246.9048817201613</v>
      </c>
      <c r="G3859">
        <f>-828.395185737846 -29.5771443492824 -483.942282759524</f>
        <v>-1341.9146128466523</v>
      </c>
      <c r="H3859">
        <f>-831.656548120969 -30.3624244566302 -608.479630128669</f>
        <v>-1470.4986027062682</v>
      </c>
      <c r="I3859">
        <f>-801.696572901165 -23.4292624485322 -685.67655704689</f>
        <v>-1510.8023923965873</v>
      </c>
      <c r="J3859">
        <f>-839.327881789258 -3.84706988602557 -553.603543533438</f>
        <v>-1396.7784952087216</v>
      </c>
      <c r="K3859" t="s">
        <v>42138</v>
      </c>
      <c r="L3859" t="s">
        <v>42139</v>
      </c>
      <c r="M3859" t="s">
        <v>42140</v>
      </c>
      <c r="N3859">
        <f>-821.114875287829 -56.1866226616423 -553.750417794572</f>
        <v>-1431.0519157440433</v>
      </c>
      <c r="O3859">
        <f>-777.04717555873 -182.998864855257 -524.179690017133</f>
        <v>-1484.2257304311202</v>
      </c>
      <c r="P3859">
        <f>-765.361608746288 -210.997064615145 -231.483948619261</f>
        <v>-1207.8426219806938</v>
      </c>
      <c r="Q3859">
        <f>-632.440416035482 -40.1169316424698 -337.232772665591</f>
        <v>-1009.7901203435429</v>
      </c>
      <c r="R3859" t="s">
        <v>42141</v>
      </c>
      <c r="S3859" t="s">
        <v>42142</v>
      </c>
      <c r="T3859" t="s">
        <v>42143</v>
      </c>
      <c r="U3859" t="s">
        <v>42144</v>
      </c>
      <c r="V3859">
        <f>-749.098174591835 -90.877358310526 -92.2287652707598</f>
        <v>-932.20429817312083</v>
      </c>
      <c r="W3859" t="s">
        <v>42145</v>
      </c>
      <c r="X3859" t="s">
        <v>42146</v>
      </c>
      <c r="Y3859" t="s">
        <v>42147</v>
      </c>
    </row>
    <row r="3860" spans="1:25" x14ac:dyDescent="0.3">
      <c r="A3860">
        <v>192950</v>
      </c>
      <c r="B3860" t="s">
        <v>42148</v>
      </c>
      <c r="C3860">
        <f>-790.242154018489 -4.7583078093885 -94.5472928767384</f>
        <v>-889.54775470461595</v>
      </c>
      <c r="D3860">
        <f>-808.356902239299 -17.8272852762864 -208.201447528374</f>
        <v>-1034.3856350439594</v>
      </c>
      <c r="E3860">
        <f>-817.673867974185 -23.8940117314221 -306.196637985312</f>
        <v>-1147.7645176909191</v>
      </c>
      <c r="F3860">
        <f>-824.091085921901 -27.6332966826787 -394.983318796564</f>
        <v>-1246.7077014011438</v>
      </c>
      <c r="G3860">
        <f>-828.137783236315 -29.5415470621194 -483.967785237833</f>
        <v>-1341.6471155362674</v>
      </c>
      <c r="H3860">
        <f>-831.27085586034 -30.3328419559664 -608.508368904603</f>
        <v>-1470.1120667209093</v>
      </c>
      <c r="I3860">
        <f>-801.227115280831 -23.3838970741608 -685.671098471168</f>
        <v>-1510.2821108261596</v>
      </c>
      <c r="J3860">
        <f>-839.008174837371 -3.81819044914687 -553.641200122363</f>
        <v>-1396.467565408881</v>
      </c>
      <c r="K3860" t="s">
        <v>42149</v>
      </c>
      <c r="L3860" t="s">
        <v>42150</v>
      </c>
      <c r="M3860" t="s">
        <v>42151</v>
      </c>
      <c r="N3860">
        <f>-820.776180230008 -56.1511030307161 -553.767273911657</f>
        <v>-1430.6945571723809</v>
      </c>
      <c r="O3860">
        <f>-776.674161489065 -182.935201941203 -524.134775981428</f>
        <v>-1483.7441394116959</v>
      </c>
      <c r="P3860">
        <f>-765.148810814144 -210.86224495446 -231.426009740777</f>
        <v>-1207.437065509381</v>
      </c>
      <c r="Q3860">
        <f>-632.256611187091 -39.9902069136378 -337.224572625002</f>
        <v>-1009.4713907257309</v>
      </c>
      <c r="R3860" t="s">
        <v>42152</v>
      </c>
      <c r="S3860" t="s">
        <v>42153</v>
      </c>
      <c r="T3860" t="s">
        <v>42154</v>
      </c>
      <c r="U3860" t="s">
        <v>42155</v>
      </c>
      <c r="V3860">
        <f>-749.01558399427 -90.8789048909071 -92.2241603848812</f>
        <v>-932.1186492700582</v>
      </c>
      <c r="W3860" t="s">
        <v>42156</v>
      </c>
      <c r="X3860" t="s">
        <v>42157</v>
      </c>
      <c r="Y3860" t="s">
        <v>42158</v>
      </c>
    </row>
    <row r="3861" spans="1:25" x14ac:dyDescent="0.3">
      <c r="A3861">
        <v>193000</v>
      </c>
      <c r="B3861" t="s">
        <v>42159</v>
      </c>
      <c r="C3861">
        <f>-790.100596811924 -4.86198982903306 -94.5586884447679</f>
        <v>-889.52127508572494</v>
      </c>
      <c r="D3861">
        <f>-808.182555926272 -17.9357281237369 -208.217599132115</f>
        <v>-1034.335883182124</v>
      </c>
      <c r="E3861">
        <f>-817.44093021148 -24.0014863045262 -306.218281629744</f>
        <v>-1147.6606981457503</v>
      </c>
      <c r="F3861">
        <f>-823.79297194775 -27.7385643492821 -395.009737358062</f>
        <v>-1246.5412736550941</v>
      </c>
      <c r="G3861">
        <f>-827.761661722166 -29.6432316381636 -483.997872315455</f>
        <v>-1341.4027656757846</v>
      </c>
      <c r="H3861">
        <f>-830.772800051214 -30.4286908552499 -608.541392956663</f>
        <v>-1469.7428838631267</v>
      </c>
      <c r="I3861">
        <f>-800.651185494914 -23.4664908982713 -685.672834313038</f>
        <v>-1509.7905107062234</v>
      </c>
      <c r="J3861">
        <f>-838.577048233923 -3.92124764812752 -553.680262212651</f>
        <v>-1396.1785580947017</v>
      </c>
      <c r="K3861" t="s">
        <v>42160</v>
      </c>
      <c r="L3861" t="s">
        <v>42161</v>
      </c>
      <c r="M3861" t="s">
        <v>42162</v>
      </c>
      <c r="N3861">
        <f>-820.318472361781 -56.2450077981817 -553.791726878792</f>
        <v>-1430.3552070387548</v>
      </c>
      <c r="O3861">
        <f>-776.167512386186 -183.005337368912 -524.136838744586</f>
        <v>-1483.3096884996839</v>
      </c>
      <c r="P3861">
        <f>-764.79622661859 -210.893847219557 -231.418375983788</f>
        <v>-1207.108449821935</v>
      </c>
      <c r="Q3861">
        <f>-631.960951923052 -39.9379801477482 -337.152606750662</f>
        <v>-1009.0515388214623</v>
      </c>
      <c r="R3861" t="s">
        <v>42163</v>
      </c>
      <c r="S3861" t="s">
        <v>42164</v>
      </c>
      <c r="T3861" t="s">
        <v>42165</v>
      </c>
      <c r="U3861" t="s">
        <v>42166</v>
      </c>
      <c r="V3861">
        <f>-748.759926584749 -91.068916130029 -92.232853616664</f>
        <v>-932.06169633144202</v>
      </c>
      <c r="W3861" t="s">
        <v>42167</v>
      </c>
      <c r="X3861" t="s">
        <v>42168</v>
      </c>
      <c r="Y3861" t="s">
        <v>42169</v>
      </c>
    </row>
    <row r="3862" spans="1:25" x14ac:dyDescent="0.3">
      <c r="A3862">
        <v>193050</v>
      </c>
      <c r="B3862" t="s">
        <v>42159</v>
      </c>
      <c r="C3862">
        <f>-790.100596811924 -4.86198982903306 -94.5586884447679</f>
        <v>-889.52127508572494</v>
      </c>
      <c r="D3862">
        <f>-808.182555926272 -17.9357281237369 -208.217599132115</f>
        <v>-1034.335883182124</v>
      </c>
      <c r="E3862">
        <f>-817.44093021148 -24.0014863045262 -306.218281629744</f>
        <v>-1147.6606981457503</v>
      </c>
      <c r="F3862">
        <f>-823.79297194775 -27.7385643492821 -395.009737358062</f>
        <v>-1246.5412736550941</v>
      </c>
      <c r="G3862">
        <f>-827.761661722166 -29.6432316381636 -483.997872315455</f>
        <v>-1341.4027656757846</v>
      </c>
      <c r="H3862">
        <f>-830.772800051214 -30.4286908552499 -608.541392956663</f>
        <v>-1469.7428838631267</v>
      </c>
      <c r="I3862">
        <f>-800.651185494914 -23.4664908982713 -685.672834313038</f>
        <v>-1509.7905107062234</v>
      </c>
      <c r="J3862">
        <f>-838.577048233923 -3.92124764812752 -553.680262212651</f>
        <v>-1396.1785580947017</v>
      </c>
      <c r="K3862" t="s">
        <v>42160</v>
      </c>
      <c r="L3862" t="s">
        <v>42161</v>
      </c>
      <c r="M3862" t="s">
        <v>42162</v>
      </c>
      <c r="N3862">
        <f>-820.318472361781 -56.2450077981817 -553.791726878792</f>
        <v>-1430.3552070387548</v>
      </c>
      <c r="O3862">
        <f>-776.167512386186 -183.005337368912 -524.136838744586</f>
        <v>-1483.3096884996839</v>
      </c>
      <c r="P3862">
        <f>-764.79622661859 -210.893847219557 -231.418375983788</f>
        <v>-1207.108449821935</v>
      </c>
      <c r="Q3862">
        <f>-631.960951923052 -39.9379801477482 -337.152606750662</f>
        <v>-1009.0515388214623</v>
      </c>
      <c r="R3862" t="s">
        <v>42163</v>
      </c>
      <c r="S3862" t="s">
        <v>42164</v>
      </c>
      <c r="T3862" t="s">
        <v>42165</v>
      </c>
      <c r="U3862" t="s">
        <v>42166</v>
      </c>
      <c r="V3862">
        <f>-748.759926584749 -91.068916130029 -92.232853616664</f>
        <v>-932.06169633144202</v>
      </c>
      <c r="W3862" t="s">
        <v>42167</v>
      </c>
      <c r="X3862" t="s">
        <v>42168</v>
      </c>
      <c r="Y3862" t="s">
        <v>42169</v>
      </c>
    </row>
    <row r="3863" spans="1:25" x14ac:dyDescent="0.3">
      <c r="A3863">
        <v>193100</v>
      </c>
      <c r="B3863" t="s">
        <v>42170</v>
      </c>
      <c r="C3863">
        <f>-789.931505292187 -4.96645085498039 -94.5611915294111</f>
        <v>-889.45914767657848</v>
      </c>
      <c r="D3863">
        <f>-807.968321817683 -18.0398679834564 -208.22730778443</f>
        <v>-1034.2354975855694</v>
      </c>
      <c r="E3863">
        <f>-817.166222679266 -24.0942131612994 -306.234413968256</f>
        <v>-1147.4948498088213</v>
      </c>
      <c r="F3863">
        <f>-823.454330952938 -27.8169796535126 -395.031018871199</f>
        <v>-1246.3023294776497</v>
      </c>
      <c r="G3863">
        <f>-827.350039857501 -29.7034351026359 -484.022759458134</f>
        <v>-1341.0762344182708</v>
      </c>
      <c r="H3863">
        <f>-830.249711072736 -30.4594106697152 -608.569062080261</f>
        <v>-1469.2781838227122</v>
      </c>
      <c r="I3863">
        <f>-800.060424239666 -23.481163217818 -685.672592357649</f>
        <v>-1509.2141798151329</v>
      </c>
      <c r="J3863">
        <f>-838.120614687939 -3.97100479067149 -553.708192015947</f>
        <v>-1395.7998114945576</v>
      </c>
      <c r="K3863" t="s">
        <v>42171</v>
      </c>
      <c r="L3863" t="s">
        <v>42172</v>
      </c>
      <c r="M3863" t="s">
        <v>42173</v>
      </c>
      <c r="N3863">
        <f>-819.826936218414 -56.2825176467546 -553.816539353312</f>
        <v>-1429.9259932184805</v>
      </c>
      <c r="O3863">
        <f>-775.601075147318 -183.020376604812 -524.166894086048</f>
        <v>-1482.788345838178</v>
      </c>
      <c r="P3863">
        <f>-764.352641121969 -210.999817021149 -231.452304163483</f>
        <v>-1206.8047623066009</v>
      </c>
      <c r="Q3863">
        <f>-631.537090502882 -39.9432712070025 -337.048406085535</f>
        <v>-1008.5287677954195</v>
      </c>
      <c r="R3863" t="s">
        <v>42174</v>
      </c>
      <c r="S3863" t="s">
        <v>42175</v>
      </c>
      <c r="T3863" t="s">
        <v>42176</v>
      </c>
      <c r="U3863" t="s">
        <v>42177</v>
      </c>
      <c r="V3863">
        <f>-748.604099274934 -91.054666723236 -92.2354697585706</f>
        <v>-931.89423575674061</v>
      </c>
      <c r="W3863" t="s">
        <v>42178</v>
      </c>
      <c r="X3863" t="s">
        <v>42179</v>
      </c>
      <c r="Y3863" t="s">
        <v>42180</v>
      </c>
    </row>
    <row r="3864" spans="1:25" x14ac:dyDescent="0.3">
      <c r="A3864">
        <v>193150</v>
      </c>
      <c r="B3864" t="s">
        <v>42170</v>
      </c>
      <c r="C3864">
        <f>-789.931505292187 -4.96645085498039 -94.5611915294111</f>
        <v>-889.45914767657848</v>
      </c>
      <c r="D3864">
        <f>-807.968321817683 -18.0398679834564 -208.22730778443</f>
        <v>-1034.2354975855694</v>
      </c>
      <c r="E3864">
        <f>-817.166222679266 -24.0942131612994 -306.234413968256</f>
        <v>-1147.4948498088213</v>
      </c>
      <c r="F3864">
        <f>-823.454330952938 -27.8169796535126 -395.031018871199</f>
        <v>-1246.3023294776497</v>
      </c>
      <c r="G3864">
        <f>-827.350039857501 -29.7034351026359 -484.022759458134</f>
        <v>-1341.0762344182708</v>
      </c>
      <c r="H3864">
        <f>-830.249711072736 -30.4594106697152 -608.569062080261</f>
        <v>-1469.2781838227122</v>
      </c>
      <c r="I3864">
        <f>-800.060424239666 -23.481163217818 -685.672592357649</f>
        <v>-1509.2141798151329</v>
      </c>
      <c r="J3864">
        <f>-838.120614687939 -3.97100479067149 -553.708192015947</f>
        <v>-1395.7998114945576</v>
      </c>
      <c r="K3864" t="s">
        <v>42171</v>
      </c>
      <c r="L3864" t="s">
        <v>42172</v>
      </c>
      <c r="M3864" t="s">
        <v>42173</v>
      </c>
      <c r="N3864">
        <f>-819.826936218414 -56.2825176467546 -553.816539353312</f>
        <v>-1429.9259932184805</v>
      </c>
      <c r="O3864">
        <f>-775.601075147318 -183.020376604812 -524.166894086048</f>
        <v>-1482.788345838178</v>
      </c>
      <c r="P3864">
        <f>-764.352641121969 -210.999817021149 -231.452304163483</f>
        <v>-1206.8047623066009</v>
      </c>
      <c r="Q3864">
        <f>-631.537090502882 -39.9432712070025 -337.048406085535</f>
        <v>-1008.5287677954195</v>
      </c>
      <c r="R3864" t="s">
        <v>42174</v>
      </c>
      <c r="S3864" t="s">
        <v>42175</v>
      </c>
      <c r="T3864" t="s">
        <v>42176</v>
      </c>
      <c r="U3864" t="s">
        <v>42177</v>
      </c>
      <c r="V3864">
        <f>-748.604099274934 -91.054666723236 -92.2354697585706</f>
        <v>-931.89423575674061</v>
      </c>
      <c r="W3864" t="s">
        <v>42178</v>
      </c>
      <c r="X3864" t="s">
        <v>42179</v>
      </c>
      <c r="Y3864" t="s">
        <v>42180</v>
      </c>
    </row>
    <row r="3865" spans="1:25" x14ac:dyDescent="0.3">
      <c r="A3865">
        <v>193200</v>
      </c>
      <c r="B3865" t="s">
        <v>42181</v>
      </c>
      <c r="C3865">
        <f>-789.568699871985 -4.78188845908653 -94.5193609260042</f>
        <v>-888.86994925707575</v>
      </c>
      <c r="D3865">
        <f>-807.595362399341 -17.7763759214922 -208.196067153055</f>
        <v>-1033.5678054738883</v>
      </c>
      <c r="E3865">
        <f>-816.70221200912 -23.6502027450993 -306.222735498397</f>
        <v>-1146.5751502526164</v>
      </c>
      <c r="F3865">
        <f>-822.875080713898 -27.1632721700914 -395.035939376529</f>
        <v>-1245.0742922605184</v>
      </c>
      <c r="G3865">
        <f>-826.622976513159 -28.7921424133206 -484.039010962085</f>
        <v>-1339.4541298885645</v>
      </c>
      <c r="H3865">
        <f>-829.281964513444 -29.1364517951556 -608.592777028356</f>
        <v>-1467.0111933369556</v>
      </c>
      <c r="I3865">
        <f>-798.989580828607 -21.8893115805452 -685.630843893784</f>
        <v>-1506.5097363029363</v>
      </c>
      <c r="J3865">
        <f>-837.352893670651 -2.8625355186698 -553.657735563475</f>
        <v>-1393.8731647527957</v>
      </c>
      <c r="K3865" t="s">
        <v>42182</v>
      </c>
      <c r="L3865" t="s">
        <v>42183</v>
      </c>
      <c r="M3865" t="s">
        <v>42184</v>
      </c>
      <c r="N3865">
        <f>-818.870815866824 -55.1073474810859 -553.907838363462</f>
        <v>-1427.886001711372</v>
      </c>
      <c r="O3865">
        <f>-774.230605427478 -181.76887430803 -524.534658613665</f>
        <v>-1480.5341383491732</v>
      </c>
      <c r="P3865">
        <f>-762.903759358345 -210.522314210489 -231.898237421304</f>
        <v>-1205.324310990138</v>
      </c>
      <c r="Q3865">
        <f>-630.646357341383 -38.7105392006745 -336.967527531871</f>
        <v>-1006.3244240739284</v>
      </c>
      <c r="R3865" t="s">
        <v>42185</v>
      </c>
      <c r="S3865" t="s">
        <v>42186</v>
      </c>
      <c r="T3865" t="s">
        <v>42187</v>
      </c>
      <c r="U3865" t="s">
        <v>42188</v>
      </c>
      <c r="V3865">
        <f>-748.353021110233 -90.8767692153003 -92.2113206695024</f>
        <v>-931.44111099503573</v>
      </c>
      <c r="W3865" t="s">
        <v>42189</v>
      </c>
      <c r="X3865" t="s">
        <v>42190</v>
      </c>
      <c r="Y3865" t="s">
        <v>42191</v>
      </c>
    </row>
    <row r="3866" spans="1:25" x14ac:dyDescent="0.3">
      <c r="A3866">
        <v>193250</v>
      </c>
      <c r="B3866" t="s">
        <v>42192</v>
      </c>
      <c r="C3866">
        <f>-789.453135343387 -4.95280354278043 -94.4599687606653</f>
        <v>-888.86590764683274</v>
      </c>
      <c r="D3866">
        <f>-807.466480237994 -17.9106966312636 -208.143165296934</f>
        <v>-1033.5203421661915</v>
      </c>
      <c r="E3866">
        <f>-816.568009997722 -23.6854881918698 -306.176102635143</f>
        <v>-1146.4296008247347</v>
      </c>
      <c r="F3866">
        <f>-822.737970495212 -27.081731399436 -394.994092836445</f>
        <v>-1244.8137947310929</v>
      </c>
      <c r="G3866">
        <f>-826.484528141092 -28.5655986549796 -483.999651392929</f>
        <v>-1339.0497781890006</v>
      </c>
      <c r="H3866">
        <f>-829.142974878091 -28.6778821628925 -608.553846846127</f>
        <v>-1466.3747038871106</v>
      </c>
      <c r="I3866">
        <f>-798.877523151447 -21.2802957046965 -685.588291946746</f>
        <v>-1505.7461108028897</v>
      </c>
      <c r="J3866">
        <f>-837.22178252628 -2.50909051752569 -553.569901466051</f>
        <v>-1393.3007745098566</v>
      </c>
      <c r="K3866" t="s">
        <v>42193</v>
      </c>
      <c r="L3866" t="s">
        <v>42194</v>
      </c>
      <c r="M3866" t="s">
        <v>42195</v>
      </c>
      <c r="N3866">
        <f>-818.72444119307 -54.7478392024722 -553.917575288628</f>
        <v>-1427.38985568417</v>
      </c>
      <c r="O3866">
        <f>-774.068954227817 -181.442830740475 -524.725551412102</f>
        <v>-1480.237336380394</v>
      </c>
      <c r="P3866">
        <f>-762.765323983449 -210.448513912988 -232.113073019534</f>
        <v>-1205.326910915971</v>
      </c>
      <c r="Q3866">
        <f>-630.316151177741 -38.5996967295741 -336.879872576753</f>
        <v>-1005.7957204840681</v>
      </c>
      <c r="R3866" t="s">
        <v>42196</v>
      </c>
      <c r="S3866" t="s">
        <v>42197</v>
      </c>
      <c r="T3866" t="s">
        <v>42198</v>
      </c>
      <c r="U3866" t="s">
        <v>42199</v>
      </c>
      <c r="V3866">
        <f>-748.159209968468 -91.153282897919 -92.1967419535666</f>
        <v>-931.50923481995358</v>
      </c>
      <c r="W3866" t="s">
        <v>42200</v>
      </c>
      <c r="X3866" t="s">
        <v>42201</v>
      </c>
      <c r="Y3866" t="s">
        <v>42202</v>
      </c>
    </row>
    <row r="3867" spans="1:25" x14ac:dyDescent="0.3">
      <c r="A3867">
        <v>193300</v>
      </c>
      <c r="B3867" t="s">
        <v>42203</v>
      </c>
      <c r="C3867">
        <f>-789.348579877705 -4.99183982560317 -94.4437311464195</f>
        <v>-888.78415084972767</v>
      </c>
      <c r="D3867">
        <f>-807.388033259059 -17.9453633573723 -208.123067528976</f>
        <v>-1033.4564641454074</v>
      </c>
      <c r="E3867">
        <f>-816.504332793662 -23.6765555582053 -306.157286218183</f>
        <v>-1146.3381745700503</v>
      </c>
      <c r="F3867">
        <f>-822.68394807138 -27.0170875529864 -394.976787815824</f>
        <v>-1244.6778234401904</v>
      </c>
      <c r="G3867">
        <f>-826.436223611276 -28.4291815709998 -483.983287812256</f>
        <v>-1338.8486929945318</v>
      </c>
      <c r="H3867">
        <f>-829.09830198485 -28.4240288172762 -608.537413078749</f>
        <v>-1466.059743880875</v>
      </c>
      <c r="I3867">
        <f>-798.857975571946 -20.9483557164388 -685.574108317489</f>
        <v>-1505.3804396058738</v>
      </c>
      <c r="J3867">
        <f>-837.178255065345 -2.30808126828583 -553.528434488569</f>
        <v>-1393.0147708221998</v>
      </c>
      <c r="K3867" t="s">
        <v>42204</v>
      </c>
      <c r="L3867" t="s">
        <v>42205</v>
      </c>
      <c r="M3867" t="s">
        <v>42206</v>
      </c>
      <c r="N3867">
        <f>-818.675446701222 -54.5446426048019 -553.926080472456</f>
        <v>-1427.1461697784798</v>
      </c>
      <c r="O3867">
        <f>-774.015486092264 -181.265153771729 -524.845019142625</f>
        <v>-1480.125659006618</v>
      </c>
      <c r="P3867">
        <f>-762.74139831077 -210.503250820372 -232.254547299836</f>
        <v>-1205.4991964309781</v>
      </c>
      <c r="Q3867">
        <f>-630.181647351353 -38.6582100777355 -336.887542555691</f>
        <v>-1005.7273999847796</v>
      </c>
      <c r="R3867" t="s">
        <v>42207</v>
      </c>
      <c r="S3867" t="s">
        <v>42208</v>
      </c>
      <c r="T3867" t="s">
        <v>42209</v>
      </c>
      <c r="U3867" t="s">
        <v>42210</v>
      </c>
      <c r="V3867">
        <f>-748.039659217431 -91.1713627786113 -92.193269295058</f>
        <v>-931.40429129110032</v>
      </c>
      <c r="W3867" t="s">
        <v>42211</v>
      </c>
      <c r="X3867" t="s">
        <v>42212</v>
      </c>
      <c r="Y3867" t="s">
        <v>42213</v>
      </c>
    </row>
    <row r="3868" spans="1:25" x14ac:dyDescent="0.3">
      <c r="A3868">
        <v>193350</v>
      </c>
      <c r="B3868" t="s">
        <v>42214</v>
      </c>
      <c r="C3868">
        <f>-789.315964855426 -5.01788354329324 -94.4255412942171</f>
        <v>-888.75938969293634</v>
      </c>
      <c r="D3868">
        <f>-807.356068640066 -17.9426536344181 -208.108122689355</f>
        <v>-1033.4068449638391</v>
      </c>
      <c r="E3868">
        <f>-816.454092366096 -23.5617868522877 -306.150480652923</f>
        <v>-1146.1663598713067</v>
      </c>
      <c r="F3868">
        <f>-822.608431239065 -26.7659272511482 -394.976638713879</f>
        <v>-1244.3509972040922</v>
      </c>
      <c r="G3868">
        <f>-826.326353094606 -28.0065630527877 -483.987302975113</f>
        <v>-1338.3202191225066</v>
      </c>
      <c r="H3868">
        <f>-828.93004674207 -27.7249189493689 -608.542276337449</f>
        <v>-1465.197242028888</v>
      </c>
      <c r="I3868">
        <f>-798.721464238324 -20.0134098617518 -685.568346997373</f>
        <v>-1504.3032210974488</v>
      </c>
      <c r="J3868">
        <f>-837.047242090037 -1.7351541383639 -553.479066098126</f>
        <v>-1392.261462326527</v>
      </c>
      <c r="K3868" t="s">
        <v>42215</v>
      </c>
      <c r="L3868" t="s">
        <v>42216</v>
      </c>
      <c r="M3868" t="s">
        <v>42217</v>
      </c>
      <c r="N3868">
        <f>-818.52133383481 -53.9625103074292 -553.984408119695</f>
        <v>-1426.4682522619341</v>
      </c>
      <c r="O3868">
        <f>-773.806205450237 -180.715760878452 -525.137963442363</f>
        <v>-1479.659929771052</v>
      </c>
      <c r="P3868">
        <f>-762.373790613605 -210.431477207702 -232.601477328864</f>
        <v>-1205.406745150171</v>
      </c>
      <c r="Q3868">
        <f>-629.912243798606 -38.3430840456713 -336.958775359157</f>
        <v>-1005.2141032034343</v>
      </c>
      <c r="R3868" t="s">
        <v>42218</v>
      </c>
      <c r="S3868" t="s">
        <v>42219</v>
      </c>
      <c r="T3868" t="s">
        <v>42220</v>
      </c>
      <c r="U3868" t="s">
        <v>42221</v>
      </c>
      <c r="V3868">
        <f>-748.052656998408 -91.3540791024781 -92.1887211551064</f>
        <v>-931.59545725599241</v>
      </c>
      <c r="W3868" t="s">
        <v>42222</v>
      </c>
      <c r="X3868" t="s">
        <v>42223</v>
      </c>
      <c r="Y3868" t="s">
        <v>42224</v>
      </c>
    </row>
    <row r="3869" spans="1:25" x14ac:dyDescent="0.3">
      <c r="A3869">
        <v>193400</v>
      </c>
      <c r="B3869" t="s">
        <v>42225</v>
      </c>
      <c r="C3869">
        <f>-789.324588576109 -4.9273945586915 -94.4079611010126</f>
        <v>-888.6599442358131</v>
      </c>
      <c r="D3869">
        <f>-807.381334499715 -17.8363221482448 -208.089675732607</f>
        <v>-1033.3073323805668</v>
      </c>
      <c r="E3869">
        <f>-816.480098673105 -23.4314174745721 -306.133449909207</f>
        <v>-1146.044966056884</v>
      </c>
      <c r="F3869">
        <f>-822.630003599433 -26.6095368068281 -394.960886859554</f>
        <v>-1244.2004272658153</v>
      </c>
      <c r="G3869">
        <f>-826.338177948175 -27.8191044001219 -483.972161441744</f>
        <v>-1338.129443790041</v>
      </c>
      <c r="H3869">
        <f>-828.922928065654 -27.4892182301771 -608.527630440556</f>
        <v>-1464.9397767363871</v>
      </c>
      <c r="I3869">
        <f>-798.724607454602 -19.7268009633563 -685.552386044656</f>
        <v>-1504.0037944626142</v>
      </c>
      <c r="J3869">
        <f>-837.054992505095 -1.52300928785098 -553.455383812234</f>
        <v>-1392.03338560518</v>
      </c>
      <c r="K3869" t="s">
        <v>42226</v>
      </c>
      <c r="L3869" t="s">
        <v>42227</v>
      </c>
      <c r="M3869" t="s">
        <v>42228</v>
      </c>
      <c r="N3869">
        <f>-818.516048122393 -53.7458029204398 -553.978520273416</f>
        <v>-1426.2403713162489</v>
      </c>
      <c r="O3869">
        <f>-773.787350121331 -180.498048532977 -525.169595176544</f>
        <v>-1479.4549938308519</v>
      </c>
      <c r="P3869">
        <f>-762.330318707556 -210.320839952934 -232.64516175896</f>
        <v>-1205.29632041945</v>
      </c>
      <c r="Q3869">
        <f>-629.90011331919 -38.2026177320445 -336.992929248338</f>
        <v>-1005.0956602995725</v>
      </c>
      <c r="R3869" t="s">
        <v>42229</v>
      </c>
      <c r="S3869" t="s">
        <v>42230</v>
      </c>
      <c r="T3869" t="s">
        <v>42231</v>
      </c>
      <c r="U3869" t="s">
        <v>42232</v>
      </c>
      <c r="V3869">
        <f>-748.119172542022 -91.180217880379 -92.1842267624022</f>
        <v>-931.48361718480328</v>
      </c>
      <c r="W3869" t="s">
        <v>42233</v>
      </c>
      <c r="X3869" t="s">
        <v>42234</v>
      </c>
      <c r="Y3869" t="s">
        <v>42235</v>
      </c>
    </row>
    <row r="3870" spans="1:25" x14ac:dyDescent="0.3">
      <c r="A3870">
        <v>193450</v>
      </c>
      <c r="B3870" t="s">
        <v>42236</v>
      </c>
      <c r="C3870">
        <f>-789.322036466868 -4.7456905788556 -94.3729604683001</f>
        <v>-888.44068751402369</v>
      </c>
      <c r="D3870">
        <f>-807.415848203102 -17.6278407024272 -208.051773274103</f>
        <v>-1033.0954621796322</v>
      </c>
      <c r="E3870">
        <f>-816.546382192545 -23.1909266465957 -306.094363486111</f>
        <v>-1145.8316723252517</v>
      </c>
      <c r="F3870">
        <f>-822.725535403993 -26.3355051913647 -394.920986327712</f>
        <v>-1243.9820269230697</v>
      </c>
      <c r="G3870">
        <f>-826.463605428868 -27.5067622761746 -483.931662800283</f>
        <v>-1337.9020305053257</v>
      </c>
      <c r="H3870">
        <f>-829.09119515921 -27.1175453394687 -608.485861460178</f>
        <v>-1464.6946019588568</v>
      </c>
      <c r="I3870">
        <f>-798.899030421381 -19.3054899427641 -685.50819266666</f>
        <v>-1503.7127130308049</v>
      </c>
      <c r="J3870">
        <f>-837.209606284269 -1.17954617901205 -553.398497148085</f>
        <v>-1391.7876496113659</v>
      </c>
      <c r="K3870" t="s">
        <v>42237</v>
      </c>
      <c r="L3870" t="s">
        <v>42238</v>
      </c>
      <c r="M3870" t="s">
        <v>42239</v>
      </c>
      <c r="N3870">
        <f>-818.660109115891 -53.39794648257 -553.952899252677</f>
        <v>-1426.010954851138</v>
      </c>
      <c r="O3870">
        <f>-773.91894550006 -180.165312178012 -525.204398113216</f>
        <v>-1479.288655791288</v>
      </c>
      <c r="P3870">
        <f>-762.443047559802 -210.072406735327 -232.689195674028</f>
        <v>-1205.2046499691571</v>
      </c>
      <c r="Q3870">
        <f>-629.98321001472 -37.9150503237249 -336.934855588979</f>
        <v>-1004.8331159274239</v>
      </c>
      <c r="R3870" t="s">
        <v>42240</v>
      </c>
      <c r="S3870" t="s">
        <v>42241</v>
      </c>
      <c r="T3870" t="s">
        <v>42242</v>
      </c>
      <c r="U3870" t="s">
        <v>42243</v>
      </c>
      <c r="V3870">
        <f>-748.143937985394 -90.9955965933353 -92.1725346740482</f>
        <v>-931.31206925277752</v>
      </c>
      <c r="W3870" t="s">
        <v>42244</v>
      </c>
      <c r="X3870" t="s">
        <v>42245</v>
      </c>
      <c r="Y3870" t="s">
        <v>42246</v>
      </c>
    </row>
    <row r="3871" spans="1:25" x14ac:dyDescent="0.3">
      <c r="A3871">
        <v>193500</v>
      </c>
      <c r="B3871" t="s">
        <v>42236</v>
      </c>
      <c r="C3871">
        <f>-789.322036466868 -4.7456905788556 -94.3729604683001</f>
        <v>-888.44068751402369</v>
      </c>
      <c r="D3871">
        <f>-807.415848203102 -17.6278407024272 -208.051773274103</f>
        <v>-1033.0954621796322</v>
      </c>
      <c r="E3871">
        <f>-816.546382192545 -23.1909266465957 -306.094363486111</f>
        <v>-1145.8316723252517</v>
      </c>
      <c r="F3871">
        <f>-822.725535403993 -26.3355051913647 -394.920986327712</f>
        <v>-1243.9820269230697</v>
      </c>
      <c r="G3871">
        <f>-826.463605428868 -27.5067622761746 -483.931662800283</f>
        <v>-1337.9020305053257</v>
      </c>
      <c r="H3871">
        <f>-829.09119515921 -27.1175453394687 -608.485861460178</f>
        <v>-1464.6946019588568</v>
      </c>
      <c r="I3871">
        <f>-798.899030421381 -19.3054899427641 -685.50819266666</f>
        <v>-1503.7127130308049</v>
      </c>
      <c r="J3871">
        <f>-837.209606284269 -1.17954617901205 -553.398497148085</f>
        <v>-1391.7876496113659</v>
      </c>
      <c r="K3871" t="s">
        <v>42237</v>
      </c>
      <c r="L3871" t="s">
        <v>42238</v>
      </c>
      <c r="M3871" t="s">
        <v>42239</v>
      </c>
      <c r="N3871">
        <f>-818.660109115891 -53.39794648257 -553.952899252677</f>
        <v>-1426.010954851138</v>
      </c>
      <c r="O3871">
        <f>-773.91894550006 -180.165312178012 -525.204398113216</f>
        <v>-1479.288655791288</v>
      </c>
      <c r="P3871">
        <f>-762.443047559802 -210.072406735327 -232.689195674028</f>
        <v>-1205.2046499691571</v>
      </c>
      <c r="Q3871">
        <f>-629.98321001472 -37.9150503237249 -336.934855588979</f>
        <v>-1004.8331159274239</v>
      </c>
      <c r="R3871" t="s">
        <v>42240</v>
      </c>
      <c r="S3871" t="s">
        <v>42241</v>
      </c>
      <c r="T3871" t="s">
        <v>42242</v>
      </c>
      <c r="U3871" t="s">
        <v>42243</v>
      </c>
      <c r="V3871">
        <f>-748.143937985394 -90.9955965933353 -92.1725346740482</f>
        <v>-931.31206925277752</v>
      </c>
      <c r="W3871" t="s">
        <v>42244</v>
      </c>
      <c r="X3871" t="s">
        <v>42245</v>
      </c>
      <c r="Y3871" t="s">
        <v>42246</v>
      </c>
    </row>
    <row r="3872" spans="1:25" x14ac:dyDescent="0.3">
      <c r="A3872">
        <v>193550</v>
      </c>
      <c r="B3872" t="s">
        <v>42247</v>
      </c>
      <c r="C3872">
        <f>-789.171462337779 -4.64702735678202 -94.3542393583862</f>
        <v>-888.17272905294715</v>
      </c>
      <c r="D3872">
        <f>-807.23517978359 -17.4686034122255 -208.044868248087</f>
        <v>-1032.7486514439024</v>
      </c>
      <c r="E3872">
        <f>-816.317253231685 -22.9905046485369 -306.094189179427</f>
        <v>-1145.4019470596488</v>
      </c>
      <c r="F3872">
        <f>-822.44388497808 -26.1019874426795 -394.925654452419</f>
        <v>-1243.4715268731784</v>
      </c>
      <c r="G3872">
        <f>-826.121081182641 -27.2445285613683 -483.939159027317</f>
        <v>-1337.3047687713263</v>
      </c>
      <c r="H3872">
        <f>-828.654761616046 -26.8194925040364 -608.49519209266</f>
        <v>-1463.9694462127422</v>
      </c>
      <c r="I3872">
        <f>-798.433223355767 -19.0038989609161 -685.505562672802</f>
        <v>-1502.9426849894851</v>
      </c>
      <c r="J3872">
        <f>-836.809502027732 -0.895440419068336 -553.406584409798</f>
        <v>-1391.1115268565984</v>
      </c>
      <c r="K3872" t="s">
        <v>42248</v>
      </c>
      <c r="L3872" t="s">
        <v>42249</v>
      </c>
      <c r="M3872" t="s">
        <v>42250</v>
      </c>
      <c r="N3872">
        <f>-818.270183181919 -53.1175785296635 -553.961761422032</f>
        <v>-1425.3495231336146</v>
      </c>
      <c r="O3872">
        <f>-773.619182484389 -179.914358688387 -525.216233839585</f>
        <v>-1478.7497750123609</v>
      </c>
      <c r="P3872">
        <f>-762.188243307552 -210.033320335989 -232.721168141418</f>
        <v>-1204.9427317849591</v>
      </c>
      <c r="Q3872">
        <f>-629.650302906928 -37.9092123699359 -336.922072293138</f>
        <v>-1004.4815875700019</v>
      </c>
      <c r="R3872" t="s">
        <v>42251</v>
      </c>
      <c r="S3872" t="s">
        <v>42252</v>
      </c>
      <c r="T3872" t="s">
        <v>42253</v>
      </c>
      <c r="U3872" t="s">
        <v>42254</v>
      </c>
      <c r="V3872">
        <f>-748.035207643052 -91.0040143034831 -92.1765561209733</f>
        <v>-931.21577806750838</v>
      </c>
      <c r="W3872" t="s">
        <v>42255</v>
      </c>
      <c r="X3872" t="s">
        <v>42256</v>
      </c>
      <c r="Y3872" t="s">
        <v>42257</v>
      </c>
    </row>
    <row r="3873" spans="1:25" x14ac:dyDescent="0.3">
      <c r="A3873">
        <v>193600</v>
      </c>
      <c r="B3873" t="s">
        <v>42258</v>
      </c>
      <c r="C3873">
        <f>-789.025262031393 -4.65534334543941 -94.3433835784455</f>
        <v>-888.0239889552779</v>
      </c>
      <c r="D3873">
        <f>-807.075684111227 -17.4582177364123 -208.038110300237</f>
        <v>-1032.5720121478762</v>
      </c>
      <c r="E3873">
        <f>-816.125239259072 -22.9625062857283 -306.091441089356</f>
        <v>-1145.1791866341564</v>
      </c>
      <c r="F3873">
        <f>-822.213969924949 -26.0574333603054 -394.926101055636</f>
        <v>-1243.1975043408904</v>
      </c>
      <c r="G3873">
        <f>-825.844734106162 -27.1831853542808 -483.941760121304</f>
        <v>-1336.9696795817467</v>
      </c>
      <c r="H3873">
        <f>-828.304518772116 -26.7346457240583 -608.499116344686</f>
        <v>-1463.5382808408604</v>
      </c>
      <c r="I3873">
        <f>-798.058317897074 -18.9048247549285 -685.498477904712</f>
        <v>-1502.4616205567145</v>
      </c>
      <c r="J3873">
        <f>-836.484955735418 -0.818547811964208 -553.41076057443</f>
        <v>-1390.7142641218122</v>
      </c>
      <c r="K3873" t="s">
        <v>42259</v>
      </c>
      <c r="L3873" t="s">
        <v>42260</v>
      </c>
      <c r="M3873" t="s">
        <v>42261</v>
      </c>
      <c r="N3873">
        <f>-817.959178530392 -53.0454045857019 -553.964493947065</f>
        <v>-1424.9690770631589</v>
      </c>
      <c r="O3873">
        <f>-773.373398809708 -179.85963974188 -525.189137049677</f>
        <v>-1478.4221756012648</v>
      </c>
      <c r="P3873">
        <f>-762.066418477942 -209.992260948003 -232.690506092574</f>
        <v>-1204.749185518519</v>
      </c>
      <c r="Q3873">
        <f>-629.388627676584 -37.9694856161559 -336.880994189108</f>
        <v>-1004.2391074818479</v>
      </c>
      <c r="R3873" t="s">
        <v>42262</v>
      </c>
      <c r="S3873" t="s">
        <v>42263</v>
      </c>
      <c r="T3873" t="s">
        <v>42264</v>
      </c>
      <c r="U3873" t="s">
        <v>42265</v>
      </c>
      <c r="V3873">
        <f>-747.897225401772 -91.0106866840219 -92.1817644902825</f>
        <v>-931.08967657607639</v>
      </c>
      <c r="W3873" t="s">
        <v>42266</v>
      </c>
      <c r="X3873" t="s">
        <v>42267</v>
      </c>
      <c r="Y3873" t="s">
        <v>42268</v>
      </c>
    </row>
    <row r="3874" spans="1:25" x14ac:dyDescent="0.3">
      <c r="A3874">
        <v>193650</v>
      </c>
      <c r="B3874" t="s">
        <v>42269</v>
      </c>
      <c r="C3874">
        <f>-788.745286477476 -4.59875653842823 -94.3284012593188</f>
        <v>-887.67244427522303</v>
      </c>
      <c r="D3874">
        <f>-806.79749782283 -17.372238874598 -208.026104426685</f>
        <v>-1032.195841124113</v>
      </c>
      <c r="E3874">
        <f>-815.807441008449 -22.836137354361 -306.08547080149</f>
        <v>-1144.7290491643</v>
      </c>
      <c r="F3874">
        <f>-821.843773447024 -25.8884429099776 -394.925079256799</f>
        <v>-1242.6572956138007</v>
      </c>
      <c r="G3874">
        <f>-825.405175443963 -26.9658654730144 -483.944097474922</f>
        <v>-1336.3151383918994</v>
      </c>
      <c r="H3874">
        <f>-827.750360423404 -26.4442836999408 -608.503575780643</f>
        <v>-1462.6982199039878</v>
      </c>
      <c r="I3874">
        <f>-797.464696554009 -18.5740342784482 -685.48318843352</f>
        <v>-1501.5219192659772</v>
      </c>
      <c r="J3874">
        <f>-835.970301191677 -0.556567593117506 -553.407526453675</f>
        <v>-1389.9343952384695</v>
      </c>
      <c r="K3874" t="s">
        <v>42270</v>
      </c>
      <c r="L3874" t="s">
        <v>42271</v>
      </c>
      <c r="M3874" t="s">
        <v>42272</v>
      </c>
      <c r="N3874">
        <f>-817.466452763606 -52.7911661736757 -553.974599781477</f>
        <v>-1424.2322187187588</v>
      </c>
      <c r="O3874">
        <f>-773.001956692424 -179.642212452499 -525.159895567407</f>
        <v>-1477.8040647123298</v>
      </c>
      <c r="P3874">
        <f>-761.992305206406 -209.769301655659 -232.649544077718</f>
        <v>-1204.4111509397828</v>
      </c>
      <c r="Q3874">
        <f>-628.953176175636 -37.9501171754769 -336.714999387261</f>
        <v>-1003.6182927383738</v>
      </c>
      <c r="R3874" t="s">
        <v>42273</v>
      </c>
      <c r="S3874" t="s">
        <v>42274</v>
      </c>
      <c r="T3874" t="s">
        <v>42275</v>
      </c>
      <c r="U3874" t="s">
        <v>42276</v>
      </c>
      <c r="V3874">
        <f>-747.654653674655 -91.0607779368268 -92.1725843439566</f>
        <v>-930.88801595543839</v>
      </c>
      <c r="W3874" t="s">
        <v>42277</v>
      </c>
      <c r="X3874" t="s">
        <v>42278</v>
      </c>
      <c r="Y3874" t="s">
        <v>42279</v>
      </c>
    </row>
    <row r="3875" spans="1:25" x14ac:dyDescent="0.3">
      <c r="A3875">
        <v>193700</v>
      </c>
      <c r="B3875" t="s">
        <v>42280</v>
      </c>
      <c r="C3875">
        <f>-788.406515389764 -4.62732492844566 -94.3634888507873</f>
        <v>-887.39732916899698</v>
      </c>
      <c r="D3875">
        <f>-806.376688301873 -17.2858648238403 -208.087146715471</f>
        <v>-1031.7496998411841</v>
      </c>
      <c r="E3875">
        <f>-815.27090496673 -22.6718069356875 -306.161256992289</f>
        <v>-1144.1039688947064</v>
      </c>
      <c r="F3875">
        <f>-821.185366374551 -25.6613067799617 -395.011300033656</f>
        <v>-1241.8579731881687</v>
      </c>
      <c r="G3875">
        <f>-824.607865809423 -26.6841921744035 -484.036381043193</f>
        <v>-1335.3284390270194</v>
      </c>
      <c r="H3875">
        <f>-826.741119620273 -26.0950827904892 -608.599415095281</f>
        <v>-1461.4356175060432</v>
      </c>
      <c r="I3875">
        <f>-796.384305960099 -18.2143155934073 -685.549881377891</f>
        <v>-1500.1485029313972</v>
      </c>
      <c r="J3875">
        <f>-835.01084250946 -0.221722800283032 -553.504085959741</f>
        <v>-1388.7366512694839</v>
      </c>
      <c r="K3875" t="s">
        <v>42281</v>
      </c>
      <c r="L3875" t="s">
        <v>42282</v>
      </c>
      <c r="M3875" t="s">
        <v>42283</v>
      </c>
      <c r="N3875">
        <f>-816.593929425658 -52.4869516687252 -554.066640711179</f>
        <v>-1423.1475218055621</v>
      </c>
      <c r="O3875">
        <f>-772.347627886992 -179.419441345965 -525.269814786797</f>
        <v>-1477.0368840197539</v>
      </c>
      <c r="P3875">
        <f>-761.401339683282 -209.76813875275 -232.77994094812</f>
        <v>-1203.949419384152</v>
      </c>
      <c r="Q3875">
        <f>-628.140270958564 -38.0599340352021 -336.744633236264</f>
        <v>-1002.9448382300301</v>
      </c>
      <c r="R3875" t="s">
        <v>42284</v>
      </c>
      <c r="S3875" t="s">
        <v>42285</v>
      </c>
      <c r="T3875" t="s">
        <v>42286</v>
      </c>
      <c r="U3875" t="s">
        <v>42287</v>
      </c>
      <c r="V3875">
        <f>-747.609823172361 -91.0747093524246 -92.1736885551001</f>
        <v>-930.85822107988565</v>
      </c>
      <c r="W3875" t="s">
        <v>42288</v>
      </c>
      <c r="X3875" t="s">
        <v>42289</v>
      </c>
      <c r="Y3875" t="s">
        <v>42290</v>
      </c>
    </row>
    <row r="3876" spans="1:25" x14ac:dyDescent="0.3">
      <c r="A3876">
        <v>193750</v>
      </c>
      <c r="B3876" t="s">
        <v>42291</v>
      </c>
      <c r="C3876">
        <f>-788.234746011994 -4.71208228998512 -94.411101548801</f>
        <v>-887.35792985078012</v>
      </c>
      <c r="D3876">
        <f>-806.06951141973 -17.2235027148345 -208.17234478597</f>
        <v>-1031.4653589205345</v>
      </c>
      <c r="E3876">
        <f>-814.847264333966 -22.5382097547536 -306.260816281453</f>
        <v>-1143.6462903701727</v>
      </c>
      <c r="F3876">
        <f>-820.657859548696 -25.48344671053 -395.119234654704</f>
        <v>-1241.2605409139301</v>
      </c>
      <c r="G3876">
        <f>-823.978163474248 -26.4831824115251 -484.148451763835</f>
        <v>-1334.6097976496083</v>
      </c>
      <c r="H3876">
        <f>-825.971221079671 -25.8835495639319 -608.71358699095</f>
        <v>-1460.5683576345527</v>
      </c>
      <c r="I3876">
        <f>-795.572846774298 -18.0180890841939 -685.649370465293</f>
        <v>-1499.2403063237848</v>
      </c>
      <c r="J3876" t="s">
        <v>42292</v>
      </c>
      <c r="K3876" t="s">
        <v>42293</v>
      </c>
      <c r="L3876" t="s">
        <v>42294</v>
      </c>
      <c r="M3876" t="s">
        <v>42295</v>
      </c>
      <c r="N3876">
        <f>-815.933149381531 -52.2969558128445 -554.171097990282</f>
        <v>-1422.4012031846576</v>
      </c>
      <c r="O3876">
        <f>-771.907803454621 -179.303818643733 -525.37524329582</f>
        <v>-1476.5868653941739</v>
      </c>
      <c r="P3876">
        <f>-760.903056636166 -209.781559336567 -232.900878552283</f>
        <v>-1203.585494525016</v>
      </c>
      <c r="Q3876">
        <f>-627.468840976225 -38.2097848254498 -336.868779185837</f>
        <v>-1002.5474049875118</v>
      </c>
      <c r="R3876" t="s">
        <v>42296</v>
      </c>
      <c r="S3876" t="s">
        <v>42297</v>
      </c>
      <c r="T3876" t="s">
        <v>42298</v>
      </c>
      <c r="U3876" t="s">
        <v>42299</v>
      </c>
      <c r="V3876">
        <f>-747.731745045159 -91.0685107958424 -92.214420108346</f>
        <v>-931.01467594934729</v>
      </c>
      <c r="W3876" t="s">
        <v>42300</v>
      </c>
      <c r="X3876" t="s">
        <v>42301</v>
      </c>
      <c r="Y3876" t="s">
        <v>42302</v>
      </c>
    </row>
    <row r="3877" spans="1:25" x14ac:dyDescent="0.3">
      <c r="A3877">
        <v>193800</v>
      </c>
      <c r="B3877" t="s">
        <v>42303</v>
      </c>
      <c r="C3877">
        <f>-788.211784991704 -4.89255005122095 -94.333945189738</f>
        <v>-887.43828023266292</v>
      </c>
      <c r="D3877">
        <f>-805.903990825625 -17.1467708413193 -208.145302231172</f>
        <v>-1031.1960638981163</v>
      </c>
      <c r="E3877">
        <f>-814.472444689989 -22.3198465444502 -306.259939513951</f>
        <v>-1143.0522307483902</v>
      </c>
      <c r="F3877">
        <f>-820.061941178704 -25.166684839347 -395.135694441754</f>
        <v>-1240.3643204598052</v>
      </c>
      <c r="G3877">
        <f>-823.129486965022 -26.0988384357211 -484.174904650665</f>
        <v>-1333.4032300514082</v>
      </c>
      <c r="H3877">
        <f>-824.73694629432 -25.4375250517285 -608.745367084088</f>
        <v>-1458.9198384301365</v>
      </c>
      <c r="I3877">
        <f>-794.239686814534 -17.6499400525947 -685.649715826331</f>
        <v>-1497.5393426934597</v>
      </c>
      <c r="J3877" t="s">
        <v>42304</v>
      </c>
      <c r="K3877" t="s">
        <v>42305</v>
      </c>
      <c r="L3877" t="s">
        <v>42306</v>
      </c>
      <c r="M3877" t="s">
        <v>42307</v>
      </c>
      <c r="N3877">
        <f>-814.984483524384 -51.918524935592 -554.183672857649</f>
        <v>-1421.0866813176249</v>
      </c>
      <c r="O3877">
        <f>-771.563784772997 -179.112142505218 -525.32425503706</f>
        <v>-1476.000182315275</v>
      </c>
      <c r="P3877">
        <f>-761.024814442919 -209.875059079994 -232.862696577359</f>
        <v>-1203.7625701002721</v>
      </c>
      <c r="Q3877">
        <f>-626.74802489246 -38.9786896537819 -336.857845898566</f>
        <v>-1002.5845604448078</v>
      </c>
      <c r="R3877" t="s">
        <v>42308</v>
      </c>
      <c r="S3877" t="s">
        <v>42309</v>
      </c>
      <c r="T3877" t="s">
        <v>42310</v>
      </c>
      <c r="U3877" t="s">
        <v>42311</v>
      </c>
      <c r="V3877">
        <f>-748.606121626386 -91.0496093169043 -92.2154848449801</f>
        <v>-931.87121578827032</v>
      </c>
      <c r="W3877" t="s">
        <v>42312</v>
      </c>
      <c r="X3877" t="s">
        <v>42313</v>
      </c>
      <c r="Y3877" t="s">
        <v>42314</v>
      </c>
    </row>
    <row r="3878" spans="1:25" x14ac:dyDescent="0.3">
      <c r="A3878">
        <v>193850</v>
      </c>
      <c r="B3878" t="s">
        <v>42315</v>
      </c>
      <c r="C3878">
        <f>-788.429761865218 -4.8305773280922 -94.260091975631</f>
        <v>-887.52043116894117</v>
      </c>
      <c r="D3878">
        <f>-806.13339547627 -17.003788788214 -208.078464380309</f>
        <v>-1031.215648644793</v>
      </c>
      <c r="E3878">
        <f>-814.617706301974 -22.1264102143045 -306.203016044216</f>
        <v>-1142.9471325604945</v>
      </c>
      <c r="F3878">
        <f>-820.093855428924 -24.9346569453517 -395.087094787576</f>
        <v>-1240.1156071618516</v>
      </c>
      <c r="G3878">
        <f>-823.010734843904 -25.8368985994393 -484.131566782645</f>
        <v>-1332.9792002259883</v>
      </c>
      <c r="H3878">
        <f>-824.368455789485 -25.1440385050462 -608.704805855492</f>
        <v>-1458.2173001500232</v>
      </c>
      <c r="I3878">
        <f>-793.768946229454 -17.4174622635101 -685.574705944113</f>
        <v>-1496.7611144370771</v>
      </c>
      <c r="J3878" t="s">
        <v>42316</v>
      </c>
      <c r="K3878" t="s">
        <v>42317</v>
      </c>
      <c r="L3878" t="s">
        <v>42318</v>
      </c>
      <c r="M3878" t="s">
        <v>42319</v>
      </c>
      <c r="N3878">
        <f>-814.788851879969 -51.6606867545302 -554.129847836328</f>
        <v>-1420.5793864708271</v>
      </c>
      <c r="O3878">
        <f>-771.731208052598 -178.967340359353 -525.228837749407</f>
        <v>-1475.9273861613581</v>
      </c>
      <c r="P3878">
        <f>-761.583031226172 -209.874141637684 -232.768682988721</f>
        <v>-1204.2258558525771</v>
      </c>
      <c r="Q3878">
        <f>-626.694731410703 -39.377838639856 -336.6293048242</f>
        <v>-1002.7018748747589</v>
      </c>
      <c r="R3878" t="s">
        <v>42320</v>
      </c>
      <c r="S3878" t="s">
        <v>42321</v>
      </c>
      <c r="T3878" t="s">
        <v>42322</v>
      </c>
      <c r="U3878" t="s">
        <v>42323</v>
      </c>
      <c r="V3878">
        <f>-748.935834252302 -90.9761842559849 -92.228298759944</f>
        <v>-932.14031726823089</v>
      </c>
      <c r="W3878" t="s">
        <v>42324</v>
      </c>
      <c r="X3878" t="s">
        <v>42325</v>
      </c>
      <c r="Y3878" t="s">
        <v>42326</v>
      </c>
    </row>
    <row r="3879" spans="1:25" x14ac:dyDescent="0.3">
      <c r="A3879">
        <v>193900</v>
      </c>
      <c r="B3879" t="s">
        <v>42327</v>
      </c>
      <c r="C3879">
        <f>-788.754408549987 -4.66118958568859 -94.1997343400242</f>
        <v>-887.6153324756998</v>
      </c>
      <c r="D3879">
        <f>-806.565956055827 -16.7810594616776 -208.006963289164</f>
        <v>-1031.3539788066687</v>
      </c>
      <c r="E3879">
        <f>-814.981805090575 -21.8826593111633 -306.13845233912</f>
        <v>-1143.0029167408584</v>
      </c>
      <c r="F3879">
        <f>-820.332395375684 -24.6814767212832 -395.030447501557</f>
        <v>-1240.044319598524</v>
      </c>
      <c r="G3879">
        <f>-823.059088114501 -25.5870471489748 -484.080872922143</f>
        <v>-1332.7270081856188</v>
      </c>
      <c r="H3879">
        <f>-824.083228847796 -24.9131894868419 -608.657362448058</f>
        <v>-1457.653780782696</v>
      </c>
      <c r="I3879">
        <f>-793.194523597855 -17.3376300404809 -685.426772583776</f>
        <v>-1495.958926222112</v>
      </c>
      <c r="J3879" t="s">
        <v>42328</v>
      </c>
      <c r="K3879" t="s">
        <v>42329</v>
      </c>
      <c r="L3879" t="s">
        <v>42330</v>
      </c>
      <c r="M3879" t="s">
        <v>42331</v>
      </c>
      <c r="N3879">
        <f>-814.792599653813 -51.4701038349735 -554.052263690703</f>
        <v>-1420.3149671794895</v>
      </c>
      <c r="O3879">
        <f>-772.415438794509 -178.997413440958 -525.083602076599</f>
        <v>-1476.4964543120659</v>
      </c>
      <c r="P3879">
        <f>-763.161853958649 -209.976257356739 -232.601303457035</f>
        <v>-1205.7394147724231</v>
      </c>
      <c r="Q3879">
        <f>-627.056812410554 -40.2297627407088 -336.102243586606</f>
        <v>-1003.3888187378689</v>
      </c>
      <c r="R3879" t="s">
        <v>42332</v>
      </c>
      <c r="S3879" t="s">
        <v>42333</v>
      </c>
      <c r="T3879" t="s">
        <v>42334</v>
      </c>
      <c r="U3879" t="s">
        <v>42335</v>
      </c>
      <c r="V3879">
        <f>-749.542304504521 -91.0192574538163 -92.1784427318768</f>
        <v>-932.74000469021405</v>
      </c>
      <c r="W3879" t="s">
        <v>42336</v>
      </c>
      <c r="X3879" t="s">
        <v>42337</v>
      </c>
      <c r="Y3879" t="s">
        <v>42338</v>
      </c>
    </row>
    <row r="3880" spans="1:25" x14ac:dyDescent="0.3">
      <c r="A3880">
        <v>193950</v>
      </c>
      <c r="B3880" t="s">
        <v>42339</v>
      </c>
      <c r="C3880">
        <f>-788.691101357878 -4.64456754631829 -94.1765109158332</f>
        <v>-887.51217982002947</v>
      </c>
      <c r="D3880">
        <f>-806.58012295457 -16.7651299448191 -207.971546782325</f>
        <v>-1031.3167996817142</v>
      </c>
      <c r="E3880">
        <f>-815.024122350071 -21.8812695605125 -306.099864523712</f>
        <v>-1143.0052564342955</v>
      </c>
      <c r="F3880">
        <f>-820.384747163571 -24.6986785286258 -394.990688650406</f>
        <v>-1240.0741143426028</v>
      </c>
      <c r="G3880">
        <f>-823.105339220184 -25.6297646288883 -484.041070893549</f>
        <v>-1332.7761747426212</v>
      </c>
      <c r="H3880">
        <f>-824.104091094893 -25.0001133184139 -608.617979300317</f>
        <v>-1457.722183713624</v>
      </c>
      <c r="I3880">
        <f>-793.082579332861 -17.5048994217725 -685.341562692555</f>
        <v>-1495.9290414471884</v>
      </c>
      <c r="J3880" t="s">
        <v>42340</v>
      </c>
      <c r="K3880" t="s">
        <v>42341</v>
      </c>
      <c r="L3880" t="s">
        <v>42342</v>
      </c>
      <c r="M3880" t="s">
        <v>42343</v>
      </c>
      <c r="N3880">
        <f>-814.909795856418 -51.5660441941388 -554.000863782396</f>
        <v>-1420.4767038329528</v>
      </c>
      <c r="O3880">
        <f>-772.872644234487 -179.210085419118 -525.023458602838</f>
        <v>-1477.1061882564429</v>
      </c>
      <c r="P3880">
        <f>-763.897786322455 -210.297016455819 -232.543932392</f>
        <v>-1206.7387351702739</v>
      </c>
      <c r="Q3880">
        <f>-627.371485549337 -40.8194987047998 -335.93072270435</f>
        <v>-1004.1217069584868</v>
      </c>
      <c r="R3880" t="s">
        <v>42344</v>
      </c>
      <c r="S3880" t="s">
        <v>42345</v>
      </c>
      <c r="T3880" t="s">
        <v>42346</v>
      </c>
      <c r="U3880" t="s">
        <v>42347</v>
      </c>
      <c r="V3880">
        <f>-749.692172037809 -91.0065237972154 -92.1351519614286</f>
        <v>-932.83384779645303</v>
      </c>
      <c r="W3880" t="s">
        <v>42348</v>
      </c>
      <c r="X3880" t="s">
        <v>42349</v>
      </c>
      <c r="Y3880" t="s">
        <v>42350</v>
      </c>
    </row>
    <row r="3881" spans="1:25" x14ac:dyDescent="0.3">
      <c r="A3881">
        <v>194000</v>
      </c>
      <c r="B3881" t="s">
        <v>42351</v>
      </c>
      <c r="C3881">
        <f>-788.329712525165 -4.6549065573422 -94.1204038000242</f>
        <v>-887.10502288253133</v>
      </c>
      <c r="D3881">
        <f>-806.348359202125 -16.7973941375526 -207.892597644111</f>
        <v>-1031.0383509837886</v>
      </c>
      <c r="E3881">
        <f>-814.920415689814 -21.9540472260639 -306.007632135726</f>
        <v>-1142.882095051604</v>
      </c>
      <c r="F3881">
        <f>-820.403037848669 -24.8161007640576 -394.889560246594</f>
        <v>-1240.1086988593206</v>
      </c>
      <c r="G3881">
        <f>-823.25046589932 -25.8034546990752 -483.935480896338</f>
        <v>-1332.9894014947333</v>
      </c>
      <c r="H3881">
        <f>-824.430430650592 -25.2655358807183 -608.511270933994</f>
        <v>-1458.2072374653044</v>
      </c>
      <c r="I3881">
        <f>-793.24718744374 -17.915426352783 -685.183325777245</f>
        <v>-1496.3459395737682</v>
      </c>
      <c r="J3881" t="s">
        <v>42352</v>
      </c>
      <c r="K3881" t="s">
        <v>42353</v>
      </c>
      <c r="L3881" t="s">
        <v>42354</v>
      </c>
      <c r="M3881" t="s">
        <v>42355</v>
      </c>
      <c r="N3881">
        <f>-815.341459417382 -51.8520286220788 -553.886552101212</f>
        <v>-1421.0800401406727</v>
      </c>
      <c r="O3881">
        <f>-774.065901174766 -179.750064499497 -524.974812404713</f>
        <v>-1478.790778078976</v>
      </c>
      <c r="P3881">
        <f>-765.054332527722 -210.97253209601 -232.510732117143</f>
        <v>-1208.537596740875</v>
      </c>
      <c r="Q3881">
        <f>-627.706279047062 -42.1622854095208 -335.900783360262</f>
        <v>-1005.7693478168449</v>
      </c>
      <c r="R3881" t="s">
        <v>42356</v>
      </c>
      <c r="S3881" t="s">
        <v>42357</v>
      </c>
      <c r="T3881" t="s">
        <v>42358</v>
      </c>
      <c r="U3881" t="s">
        <v>42359</v>
      </c>
      <c r="V3881">
        <f>-749.600457066358 -91.1422670779403 -92.032655105659</f>
        <v>-932.77537924995738</v>
      </c>
      <c r="W3881" t="s">
        <v>42360</v>
      </c>
      <c r="X3881" t="s">
        <v>42361</v>
      </c>
      <c r="Y3881" t="s">
        <v>42362</v>
      </c>
    </row>
    <row r="3882" spans="1:25" x14ac:dyDescent="0.3">
      <c r="A3882">
        <v>194050</v>
      </c>
      <c r="B3882" t="s">
        <v>42363</v>
      </c>
      <c r="C3882">
        <f>-788.182128814324 -4.59340767804042 -94.085887013618</f>
        <v>-886.86142350598243</v>
      </c>
      <c r="D3882">
        <f>-806.295185332188 -16.7631198789245 -207.840188678582</f>
        <v>-1030.8984938896945</v>
      </c>
      <c r="E3882">
        <f>-814.955214497865 -21.9491682253265 -305.946055612589</f>
        <v>-1142.8504383357804</v>
      </c>
      <c r="F3882">
        <f>-820.519926041257 -24.8405580747008 -394.82183334838</f>
        <v>-1240.1823174643378</v>
      </c>
      <c r="G3882">
        <f>-823.450788106498 -25.8613294817039 -483.864633718333</f>
        <v>-1333.1767513065349</v>
      </c>
      <c r="H3882">
        <f>-824.748399857987 -25.3752961751236 -608.439444759967</f>
        <v>-1458.5631407930778</v>
      </c>
      <c r="I3882">
        <f>-793.552349942001 -18.0981388869118 -685.113342886339</f>
        <v>-1496.7638317152519</v>
      </c>
      <c r="J3882" t="s">
        <v>42364</v>
      </c>
      <c r="K3882" t="s">
        <v>42365</v>
      </c>
      <c r="L3882" t="s">
        <v>42366</v>
      </c>
      <c r="M3882" t="s">
        <v>42367</v>
      </c>
      <c r="N3882">
        <f>-815.698169155432 -51.9681915592262 -553.811505398123</f>
        <v>-1421.4778661127812</v>
      </c>
      <c r="O3882">
        <f>-774.779752521907 -179.991297250614 -524.93677095644</f>
        <v>-1479.707820728961</v>
      </c>
      <c r="P3882">
        <f>-765.64567272301 -211.177212761615 -232.47273222068</f>
        <v>-1209.2956177053049</v>
      </c>
      <c r="Q3882">
        <f>-627.83376525733 -42.8150739355069 -335.976304877081</f>
        <v>-1006.625144069918</v>
      </c>
      <c r="R3882" t="s">
        <v>42368</v>
      </c>
      <c r="S3882" t="s">
        <v>42369</v>
      </c>
      <c r="T3882" t="s">
        <v>42370</v>
      </c>
      <c r="U3882" t="s">
        <v>42371</v>
      </c>
      <c r="V3882">
        <f>-749.576326646782 -91.1032977746095 -91.9802011744796</f>
        <v>-932.6598255958711</v>
      </c>
      <c r="W3882" t="s">
        <v>42372</v>
      </c>
      <c r="X3882" t="s">
        <v>42373</v>
      </c>
      <c r="Y3882" t="s">
        <v>42374</v>
      </c>
    </row>
    <row r="3883" spans="1:25" x14ac:dyDescent="0.3">
      <c r="A3883">
        <v>194100</v>
      </c>
      <c r="B3883" t="s">
        <v>42375</v>
      </c>
      <c r="C3883">
        <f>-787.990182496914 -4.20940192048943 -94.0491251706951</f>
        <v>-886.24870958809856</v>
      </c>
      <c r="D3883">
        <f>-806.300503733804 -16.4072986986032 -207.768782742828</f>
        <v>-1030.4765851752352</v>
      </c>
      <c r="E3883">
        <f>-815.18743615273 -21.5902011947369 -305.854579795827</f>
        <v>-1142.6322171432939</v>
      </c>
      <c r="F3883">
        <f>-820.978736733162 -24.4671250382244 -394.716439675714</f>
        <v>-1240.1623014471004</v>
      </c>
      <c r="G3883">
        <f>-824.1558254377 -25.4650226659192 -483.750950313504</f>
        <v>-1333.371798417123</v>
      </c>
      <c r="H3883">
        <f>-825.816870468719 -24.9392501347209 -608.321363086957</f>
        <v>-1459.077483690397</v>
      </c>
      <c r="I3883">
        <f>-794.696718947587 -17.7539937806359 -685.034595210131</f>
        <v>-1497.4853079383538</v>
      </c>
      <c r="J3883" t="s">
        <v>42376</v>
      </c>
      <c r="K3883" t="s">
        <v>42377</v>
      </c>
      <c r="L3883" t="s">
        <v>42378</v>
      </c>
      <c r="M3883" t="s">
        <v>42379</v>
      </c>
      <c r="N3883">
        <f>-816.775086641353 -51.6030408057006 -553.726463852545</f>
        <v>-1422.1045912995987</v>
      </c>
      <c r="O3883">
        <f>-776.539251363601 -179.883552839576 -524.999612417517</f>
        <v>-1481.4224166206941</v>
      </c>
      <c r="P3883">
        <f>-767.099071795229 -210.896462508357 -232.526789876269</f>
        <v>-1210.5223241798549</v>
      </c>
      <c r="Q3883">
        <f>-628.465164368785 -43.318434540028 -336.204887937349</f>
        <v>-1007.988486846162</v>
      </c>
      <c r="R3883" t="s">
        <v>42380</v>
      </c>
      <c r="S3883" t="s">
        <v>42381</v>
      </c>
      <c r="T3883" t="s">
        <v>42382</v>
      </c>
      <c r="U3883" t="s">
        <v>42383</v>
      </c>
      <c r="V3883">
        <f>-749.494049775928 -90.9716851993477 -91.9377831656874</f>
        <v>-932.40351814096312</v>
      </c>
      <c r="W3883" t="s">
        <v>42384</v>
      </c>
      <c r="X3883" t="s">
        <v>42385</v>
      </c>
      <c r="Y3883" t="s">
        <v>42386</v>
      </c>
    </row>
    <row r="3884" spans="1:25" x14ac:dyDescent="0.3">
      <c r="A3884">
        <v>194150</v>
      </c>
      <c r="B3884" t="s">
        <v>42387</v>
      </c>
      <c r="C3884">
        <f>-787.783196937164 -4.21585207229009 -94.0160637862066</f>
        <v>-886.01511279566068</v>
      </c>
      <c r="D3884">
        <f>-806.185861446065 -16.4491746509432 -207.717029184983</f>
        <v>-1030.3520652819911</v>
      </c>
      <c r="E3884">
        <f>-815.191187921274 -21.6127677695956 -305.792929401519</f>
        <v>-1142.5968850923887</v>
      </c>
      <c r="F3884">
        <f>-821.104045540311 -24.4515944238162 -394.648050741107</f>
        <v>-1240.2036907052343</v>
      </c>
      <c r="G3884">
        <f>-824.416023804848 -25.3920363724262 -483.678395355043</f>
        <v>-1333.4864555323172</v>
      </c>
      <c r="H3884">
        <f>-826.278465452368 -24.7660639822775 -608.245438742658</f>
        <v>-1459.2899681773035</v>
      </c>
      <c r="I3884">
        <f>-795.221262748212 -17.6158994874363 -684.987626071998</f>
        <v>-1497.8247883076463</v>
      </c>
      <c r="J3884" t="s">
        <v>42388</v>
      </c>
      <c r="K3884" t="s">
        <v>42389</v>
      </c>
      <c r="L3884" t="s">
        <v>42390</v>
      </c>
      <c r="M3884" t="s">
        <v>42391</v>
      </c>
      <c r="N3884">
        <f>-817.233277719161 -51.5002885847811 -553.685593349118</f>
        <v>-1422.41915965306</v>
      </c>
      <c r="O3884">
        <f>-777.335353082879 -179.914847487011 -525.120336054375</f>
        <v>-1482.370536624265</v>
      </c>
      <c r="P3884">
        <f>-767.62905185396 -211.152760072899 -232.680154399486</f>
        <v>-1211.4619663263452</v>
      </c>
      <c r="Q3884">
        <f>-628.737794467165 -43.8073509474262 -336.389423471144</f>
        <v>-1008.9345688857353</v>
      </c>
      <c r="R3884" t="s">
        <v>42392</v>
      </c>
      <c r="S3884" t="s">
        <v>42393</v>
      </c>
      <c r="T3884" t="s">
        <v>42394</v>
      </c>
      <c r="U3884" t="s">
        <v>42395</v>
      </c>
      <c r="V3884">
        <f>-749.321863909577 -91.0646300546779 -91.9048764300444</f>
        <v>-932.29137039429929</v>
      </c>
      <c r="W3884" t="s">
        <v>42396</v>
      </c>
      <c r="X3884" t="s">
        <v>42397</v>
      </c>
      <c r="Y3884" t="s">
        <v>42398</v>
      </c>
    </row>
    <row r="3885" spans="1:25" x14ac:dyDescent="0.3">
      <c r="A3885">
        <v>194200</v>
      </c>
      <c r="B3885" t="s">
        <v>42399</v>
      </c>
      <c r="C3885">
        <f>-787.249728250907 -4.43655024471263 -93.955824808218</f>
        <v>-885.64210330383764</v>
      </c>
      <c r="D3885">
        <f>-805.884650347837 -16.780685678006 -207.607054665522</f>
        <v>-1030.272390691365</v>
      </c>
      <c r="E3885">
        <f>-815.15134491725 -21.9222162222925 -305.659821071018</f>
        <v>-1142.7333822105604</v>
      </c>
      <c r="F3885">
        <f>-821.322565210848 -24.6936714953249 -394.49937312462</f>
        <v>-1240.515609830793</v>
      </c>
      <c r="G3885">
        <f>-824.912199092349 -25.5213429925971 -483.520080752981</f>
        <v>-1333.953622837927</v>
      </c>
      <c r="H3885">
        <f>-827.181233126659 -24.6915706749273 -608.079113812101</f>
        <v>-1459.9519176136873</v>
      </c>
      <c r="I3885">
        <f>-796.280595837954 -17.5911157123489 -684.889147345192</f>
        <v>-1498.7608588954949</v>
      </c>
      <c r="J3885" t="s">
        <v>42400</v>
      </c>
      <c r="K3885" t="s">
        <v>42401</v>
      </c>
      <c r="L3885" t="s">
        <v>42402</v>
      </c>
      <c r="M3885" t="s">
        <v>42403</v>
      </c>
      <c r="N3885">
        <f>-818.115220280731 -51.563287182334 -553.590437038784</f>
        <v>-1423.2689445018491</v>
      </c>
      <c r="O3885">
        <f>-778.84997141309 -180.241249796973 -525.35573264417</f>
        <v>-1484.446953854233</v>
      </c>
      <c r="P3885">
        <f>-768.492788935172 -212.125201514878 -233.007683420661</f>
        <v>-1213.6256738707111</v>
      </c>
      <c r="Q3885">
        <f>-629.088952036247 -45.1961088135319 -336.700141675682</f>
        <v>-1010.9852025254609</v>
      </c>
      <c r="R3885" t="s">
        <v>42404</v>
      </c>
      <c r="S3885" t="s">
        <v>42405</v>
      </c>
      <c r="T3885" t="s">
        <v>42406</v>
      </c>
      <c r="U3885" t="s">
        <v>42407</v>
      </c>
      <c r="V3885">
        <f>-749.091213382552 -91.2092753406565 -91.7910723682313</f>
        <v>-932.09156109143987</v>
      </c>
      <c r="W3885" t="s">
        <v>42408</v>
      </c>
      <c r="X3885" t="s">
        <v>42409</v>
      </c>
      <c r="Y3885" t="s">
        <v>42410</v>
      </c>
    </row>
    <row r="3886" spans="1:25" x14ac:dyDescent="0.3">
      <c r="A3886">
        <v>194250</v>
      </c>
      <c r="B3886" t="s">
        <v>42411</v>
      </c>
      <c r="C3886">
        <f>-786.905947956549 -4.6504626908561 -93.926755099005</f>
        <v>-885.48316574641012</v>
      </c>
      <c r="D3886">
        <f>-805.659062097933 -16.9943494027139 -207.558527369617</f>
        <v>-1030.2119388702638</v>
      </c>
      <c r="E3886">
        <f>-815.040781106521 -22.1298060226657 -305.600702850169</f>
        <v>-1142.7712899793555</v>
      </c>
      <c r="F3886">
        <f>-821.320861910936 -24.8929399668693 -394.432866573685</f>
        <v>-1240.6466684514903</v>
      </c>
      <c r="G3886">
        <f>-825.023345847179 -25.7114313699158 -483.448999779576</f>
        <v>-1334.1837769966708</v>
      </c>
      <c r="H3886">
        <f>-827.453814157467 -24.8679460123756 -608.004925951256</f>
        <v>-1460.3266861210986</v>
      </c>
      <c r="I3886">
        <f>-796.629071334319 -17.82216792999 -684.850437274563</f>
        <v>-1499.301676538872</v>
      </c>
      <c r="J3886" t="s">
        <v>42412</v>
      </c>
      <c r="K3886" t="s">
        <v>42413</v>
      </c>
      <c r="L3886" t="s">
        <v>42414</v>
      </c>
      <c r="M3886" t="s">
        <v>42415</v>
      </c>
      <c r="N3886">
        <f>-818.402195137709 -51.7714802569359 -553.52950903869</f>
        <v>-1423.7031844333349</v>
      </c>
      <c r="O3886">
        <f>-779.513363702097 -180.576630157782 -525.379468400617</f>
        <v>-1485.4694622604961</v>
      </c>
      <c r="P3886">
        <f>-768.859655549455 -212.501296188485 -233.046529107637</f>
        <v>-1214.4074808455771</v>
      </c>
      <c r="Q3886">
        <f>-629.067897675965 -45.9658854309653 -336.849840152281</f>
        <v>-1011.8836232592113</v>
      </c>
      <c r="R3886" t="s">
        <v>42416</v>
      </c>
      <c r="S3886" t="s">
        <v>42417</v>
      </c>
      <c r="T3886" t="s">
        <v>42418</v>
      </c>
      <c r="U3886" t="s">
        <v>42419</v>
      </c>
      <c r="V3886">
        <f>-748.854877811909 -91.5146213511199 -91.7598648853699</f>
        <v>-932.12936404839877</v>
      </c>
      <c r="W3886" t="s">
        <v>42420</v>
      </c>
      <c r="X3886" t="s">
        <v>42421</v>
      </c>
      <c r="Y3886" t="s">
        <v>42422</v>
      </c>
    </row>
    <row r="3887" spans="1:25" x14ac:dyDescent="0.3">
      <c r="A3887">
        <v>194300</v>
      </c>
      <c r="B3887" t="s">
        <v>42423</v>
      </c>
      <c r="C3887">
        <f>-786.182417940963 -4.87793803894397 -93.8688377298894</f>
        <v>-884.92919370979632</v>
      </c>
      <c r="D3887">
        <f>-805.140525703414 -17.2032763183133 -207.468547232804</f>
        <v>-1029.8123492545315</v>
      </c>
      <c r="E3887">
        <f>-814.671142863577 -22.3134060189209 -305.497829809947</f>
        <v>-1142.4823786924449</v>
      </c>
      <c r="F3887">
        <f>-821.073994670795 -25.0495046892736 -394.322087260362</f>
        <v>-1240.4455866204305</v>
      </c>
      <c r="G3887">
        <f>-824.885667973696 -25.840078673484 -483.333742652115</f>
        <v>-1334.0594892992949</v>
      </c>
      <c r="H3887">
        <f>-827.453037137846 -24.9585510792476 -607.886791312755</f>
        <v>-1460.2983795298487</v>
      </c>
      <c r="I3887">
        <f>-796.784674660231 -18.1043306432732 -684.811965125946</f>
        <v>-1499.7009704294501</v>
      </c>
      <c r="J3887" t="s">
        <v>42424</v>
      </c>
      <c r="K3887" t="s">
        <v>42425</v>
      </c>
      <c r="L3887" t="s">
        <v>42426</v>
      </c>
      <c r="M3887" t="s">
        <v>42427</v>
      </c>
      <c r="N3887">
        <f>-818.533159617522 -51.93571585999 -553.425988700996</f>
        <v>-1423.8948641785078</v>
      </c>
      <c r="O3887">
        <f>-780.611518249875 -181.048597652402 -525.302083628933</f>
        <v>-1486.96219953121</v>
      </c>
      <c r="P3887">
        <f>-769.781402982844 -212.874345633837 -232.964894224134</f>
        <v>-1215.620642840815</v>
      </c>
      <c r="Q3887">
        <f>-628.905225393581 -47.5307318481268 -337.206225599313</f>
        <v>-1013.6421828410207</v>
      </c>
      <c r="R3887" t="s">
        <v>42428</v>
      </c>
      <c r="S3887" t="s">
        <v>42429</v>
      </c>
      <c r="T3887" t="s">
        <v>42430</v>
      </c>
      <c r="U3887" t="s">
        <v>42431</v>
      </c>
      <c r="V3887">
        <f>-748.415347850256 -91.8900758052528 -91.7093043318083</f>
        <v>-932.01472798731709</v>
      </c>
      <c r="W3887" t="s">
        <v>42432</v>
      </c>
      <c r="X3887" t="s">
        <v>42433</v>
      </c>
      <c r="Y3887" t="s">
        <v>42434</v>
      </c>
    </row>
    <row r="3888" spans="1:25" x14ac:dyDescent="0.3">
      <c r="A3888">
        <v>194350</v>
      </c>
      <c r="B3888" t="s">
        <v>42435</v>
      </c>
      <c r="C3888">
        <f>-785.784558560446 -4.6873476235603 -93.8235530002519</f>
        <v>-884.29545918425822</v>
      </c>
      <c r="D3888">
        <f>-804.877360603631 -16.9576116732176 -207.406765959945</f>
        <v>-1029.2417382367935</v>
      </c>
      <c r="E3888">
        <f>-814.461394828696 -22.0214807279272 -305.432989894843</f>
        <v>-1141.9158654514663</v>
      </c>
      <c r="F3888">
        <f>-820.887191596184 -24.7162310526978 -394.256966271193</f>
        <v>-1239.8603889200749</v>
      </c>
      <c r="G3888">
        <f>-824.694844786511 -25.4687900063059 -483.269201441811</f>
        <v>-1333.4328362346278</v>
      </c>
      <c r="H3888">
        <f>-827.227878314988 -24.5394243137312 -607.822540628554</f>
        <v>-1459.5898432572731</v>
      </c>
      <c r="I3888">
        <f>-796.620161799113 -17.8971633361953 -684.790515198452</f>
        <v>-1499.3078403337604</v>
      </c>
      <c r="J3888" t="s">
        <v>42436</v>
      </c>
      <c r="K3888" t="s">
        <v>42437</v>
      </c>
      <c r="L3888" t="s">
        <v>42438</v>
      </c>
      <c r="M3888" t="s">
        <v>42439</v>
      </c>
      <c r="N3888">
        <f>-818.490017120036 -51.5858603643313 -553.366515872193</f>
        <v>-1423.4423933565604</v>
      </c>
      <c r="O3888">
        <f>-781.414186376255 -180.93117001855 -525.204816198364</f>
        <v>-1487.550172593169</v>
      </c>
      <c r="P3888">
        <f>-770.732997141546 -212.636493708938 -232.849112677331</f>
        <v>-1216.218603527815</v>
      </c>
      <c r="Q3888">
        <f>-628.842663746267 -48.3240958936724 -337.345191412156</f>
        <v>-1014.5119510520954</v>
      </c>
      <c r="R3888" t="s">
        <v>42440</v>
      </c>
      <c r="S3888" t="s">
        <v>42441</v>
      </c>
      <c r="T3888" t="s">
        <v>42442</v>
      </c>
      <c r="U3888" t="s">
        <v>42443</v>
      </c>
      <c r="V3888">
        <f>-748.270783200902 -91.8627726871275 -91.6721367216802</f>
        <v>-931.80569260970969</v>
      </c>
      <c r="W3888" t="s">
        <v>42444</v>
      </c>
      <c r="X3888" t="s">
        <v>42445</v>
      </c>
      <c r="Y3888" t="s">
        <v>42446</v>
      </c>
    </row>
    <row r="3889" spans="1:25" x14ac:dyDescent="0.3">
      <c r="A3889">
        <v>194400</v>
      </c>
      <c r="B3889" t="s">
        <v>42447</v>
      </c>
      <c r="C3889">
        <f>-785.670503063745 -4.39321891363738 -93.824822039199</f>
        <v>-883.88854401658136</v>
      </c>
      <c r="D3889">
        <f>-804.869868194751 -16.6391281104166 -207.392687860204</f>
        <v>-1028.9016841653715</v>
      </c>
      <c r="E3889">
        <f>-814.422612753798 -21.6615781127475 -305.424192974229</f>
        <v>-1141.5083838407745</v>
      </c>
      <c r="F3889">
        <f>-820.769224170183 -24.3116908178019 -394.255080514872</f>
        <v>-1239.3359955028568</v>
      </c>
      <c r="G3889">
        <f>-824.444417432368 -25.0177707348785 -483.273201000829</f>
        <v>-1332.7353891680755</v>
      </c>
      <c r="H3889">
        <f>-826.735061106321 -24.0240256096422 -607.830716838493</f>
        <v>-1458.5898035544562</v>
      </c>
      <c r="I3889">
        <f>-796.068596052062 -17.6225264565994 -684.795721968583</f>
        <v>-1498.4868444772446</v>
      </c>
      <c r="J3889" t="s">
        <v>42448</v>
      </c>
      <c r="K3889" t="s">
        <v>42449</v>
      </c>
      <c r="L3889" t="s">
        <v>42450</v>
      </c>
      <c r="M3889" t="s">
        <v>42451</v>
      </c>
      <c r="N3889">
        <f>-818.308849803692 -51.1567049060161 -553.368539019103</f>
        <v>-1422.8340937288112</v>
      </c>
      <c r="O3889">
        <f>-782.273216866432 -180.779813444306 -525.152836447774</f>
        <v>-1488.205866758512</v>
      </c>
      <c r="P3889">
        <f>-771.815990382888 -212.393671520289 -232.778955331061</f>
        <v>-1216.9886172342381</v>
      </c>
      <c r="Q3889">
        <f>-628.822061004522 -49.1152065654152 -337.39135457974</f>
        <v>-1015.3286221496771</v>
      </c>
      <c r="R3889" t="s">
        <v>42452</v>
      </c>
      <c r="S3889" t="s">
        <v>42453</v>
      </c>
      <c r="T3889" t="s">
        <v>42454</v>
      </c>
      <c r="U3889" t="s">
        <v>42455</v>
      </c>
      <c r="V3889">
        <f>-748.458849298178 -91.6565516198319 -91.6486069287298</f>
        <v>-931.76400784673979</v>
      </c>
      <c r="W3889" t="s">
        <v>42456</v>
      </c>
      <c r="X3889" t="s">
        <v>42457</v>
      </c>
      <c r="Y3889" t="s">
        <v>42458</v>
      </c>
    </row>
    <row r="3890" spans="1:25" x14ac:dyDescent="0.3">
      <c r="A3890">
        <v>194450</v>
      </c>
      <c r="B3890" t="s">
        <v>42459</v>
      </c>
      <c r="C3890">
        <f>-785.733417931096 -4.05298689693291 -93.8383825028804</f>
        <v>-883.62478733090938</v>
      </c>
      <c r="D3890">
        <f>-805.019024954625 -16.2804791251579 -207.393421199827</f>
        <v>-1028.6929252796099</v>
      </c>
      <c r="E3890">
        <f>-814.520791626888 -21.2842455605526 -305.430951330646</f>
        <v>-1141.2359885180865</v>
      </c>
      <c r="F3890">
        <f>-820.769670898852 -23.9180484019812 -394.269317469273</f>
        <v>-1238.9570367701062</v>
      </c>
      <c r="G3890">
        <f>-824.293976019293 -24.6125626443747 -483.29360361046</f>
        <v>-1332.2001422741278</v>
      </c>
      <c r="H3890">
        <f>-826.317307287481 -23.6101146486305 -607.855663035128</f>
        <v>-1457.7830849712395</v>
      </c>
      <c r="I3890">
        <f>-795.566384117599 -17.3980621223636 -684.802622255606</f>
        <v>-1497.7670684955688</v>
      </c>
      <c r="J3890" t="s">
        <v>42460</v>
      </c>
      <c r="K3890" t="s">
        <v>42461</v>
      </c>
      <c r="L3890" t="s">
        <v>42462</v>
      </c>
      <c r="M3890" t="s">
        <v>42463</v>
      </c>
      <c r="N3890">
        <f>-818.154543288071 -50.7868940432979 -553.375505720016</f>
        <v>-1422.3169430513849</v>
      </c>
      <c r="O3890">
        <f>-782.872911858093 -180.600409424721 -525.080180113976</f>
        <v>-1488.5535013967899</v>
      </c>
      <c r="P3890">
        <f>-772.825380635574 -212.193700069235 -232.689919521085</f>
        <v>-1217.709000225894</v>
      </c>
      <c r="Q3890">
        <f>-628.967977761255 -49.7534891810272 -337.423211897431</f>
        <v>-1016.1446788397133</v>
      </c>
      <c r="R3890" t="s">
        <v>42464</v>
      </c>
      <c r="S3890" t="s">
        <v>42465</v>
      </c>
      <c r="T3890" t="s">
        <v>42466</v>
      </c>
      <c r="U3890" t="s">
        <v>42467</v>
      </c>
      <c r="V3890">
        <f>-748.729411464255 -91.3734270135606 -91.6465532369552</f>
        <v>-931.74939171477081</v>
      </c>
      <c r="W3890" t="s">
        <v>42468</v>
      </c>
      <c r="X3890" t="s">
        <v>42469</v>
      </c>
      <c r="Y3890" t="s">
        <v>42470</v>
      </c>
    </row>
    <row r="3891" spans="1:25" x14ac:dyDescent="0.3">
      <c r="A3891">
        <v>194500</v>
      </c>
      <c r="B3891" t="s">
        <v>42471</v>
      </c>
      <c r="C3891">
        <f>-785.956162272631 -3.44453168849623 -93.8967079940262</f>
        <v>-883.29740195515342</v>
      </c>
      <c r="D3891">
        <f>-805.446533013115 -15.5751392713607 -207.427224649858</f>
        <v>-1028.4488969343338</v>
      </c>
      <c r="E3891">
        <f>-814.845461813686 -20.543987703425 -305.476409304799</f>
        <v>-1140.86585882191</v>
      </c>
      <c r="F3891">
        <f>-820.888566720158 -23.1685563134422 -394.329277645151</f>
        <v>-1238.3864006787512</v>
      </c>
      <c r="G3891">
        <f>-824.092043710386 -23.8846199671723 -483.36559224074</f>
        <v>-1331.3422559182982</v>
      </c>
      <c r="H3891">
        <f>-825.545121498252 -22.9494413713148 -607.936161048686</f>
        <v>-1456.4307239182529</v>
      </c>
      <c r="I3891">
        <f>-794.529414281571 -17.1425023159718 -684.808318802855</f>
        <v>-1496.4802354003978</v>
      </c>
      <c r="J3891" t="s">
        <v>42472</v>
      </c>
      <c r="K3891" t="s">
        <v>42473</v>
      </c>
      <c r="L3891" t="s">
        <v>42474</v>
      </c>
      <c r="M3891" t="s">
        <v>42475</v>
      </c>
      <c r="N3891">
        <f>-817.94433802209 -50.1798343078056 -553.401335915938</f>
        <v>-1421.5255082458336</v>
      </c>
      <c r="O3891">
        <f>-784.298006101545 -180.370317020121 -524.831958315658</f>
        <v>-1489.5002814373238</v>
      </c>
      <c r="P3891">
        <f>-775.420147636533 -211.645846087939 -232.369730109349</f>
        <v>-1219.4357238338212</v>
      </c>
      <c r="Q3891">
        <f>-629.454774825884 -51.3168740606712 -337.439390122414</f>
        <v>-1018.2110390089692</v>
      </c>
      <c r="R3891" t="s">
        <v>42476</v>
      </c>
      <c r="S3891" t="s">
        <v>42477</v>
      </c>
      <c r="T3891" t="s">
        <v>42478</v>
      </c>
      <c r="U3891" t="s">
        <v>42479</v>
      </c>
      <c r="V3891">
        <f>-749.465262158417 -90.9424346146307 -91.6897648588672</f>
        <v>-932.09746163191483</v>
      </c>
      <c r="W3891" t="s">
        <v>42480</v>
      </c>
      <c r="X3891" t="s">
        <v>42481</v>
      </c>
      <c r="Y3891" t="s">
        <v>42482</v>
      </c>
    </row>
    <row r="3892" spans="1:25" x14ac:dyDescent="0.3">
      <c r="A3892">
        <v>194550</v>
      </c>
      <c r="B3892" t="s">
        <v>42483</v>
      </c>
      <c r="C3892">
        <f>-786.145751980267 -3.0678725428088 -93.925241836901</f>
        <v>-883.13886635997687</v>
      </c>
      <c r="D3892">
        <f>-805.705420356115 -15.1258828483178 -207.451627158271</f>
        <v>-1028.2829303627038</v>
      </c>
      <c r="E3892">
        <f>-815.041065876112 -20.0726414191374 -305.507960871932</f>
        <v>-1140.6216681671815</v>
      </c>
      <c r="F3892">
        <f>-820.978017869342 -22.6943623347111 -394.36802904923</f>
        <v>-1238.0404092532831</v>
      </c>
      <c r="G3892">
        <f>-824.025296195271 -23.4286172005275 -483.409724069275</f>
        <v>-1330.8636374650735</v>
      </c>
      <c r="H3892">
        <f>-825.207690337561 -22.543018760196 -607.983409265243</f>
        <v>-1455.7341183630001</v>
      </c>
      <c r="I3892">
        <f>-794.013895084952 -16.9356953005258 -684.798392024555</f>
        <v>-1495.7479824100328</v>
      </c>
      <c r="J3892" t="s">
        <v>42484</v>
      </c>
      <c r="K3892" t="s">
        <v>42485</v>
      </c>
      <c r="L3892" t="s">
        <v>42486</v>
      </c>
      <c r="M3892" t="s">
        <v>42487</v>
      </c>
      <c r="N3892">
        <f>-817.8782155082 -49.7908503116087 -553.420351046761</f>
        <v>-1421.0894168665695</v>
      </c>
      <c r="O3892">
        <f>-785.065488724852 -180.169157531598 -524.712917295598</f>
        <v>-1489.947563552048</v>
      </c>
      <c r="P3892">
        <f>-776.815831511341 -211.280996188784 -232.214651412648</f>
        <v>-1220.311479112773</v>
      </c>
      <c r="Q3892">
        <f>-629.864559111144 -51.9439152596509 -337.418805189619</f>
        <v>-1019.2272795604139</v>
      </c>
      <c r="R3892" t="s">
        <v>42488</v>
      </c>
      <c r="S3892" t="s">
        <v>42489</v>
      </c>
      <c r="T3892" t="s">
        <v>42490</v>
      </c>
      <c r="U3892" t="s">
        <v>42491</v>
      </c>
      <c r="V3892">
        <f>-750.018083349448 -90.5611405878134 -91.71830430015</f>
        <v>-932.29752823741137</v>
      </c>
      <c r="W3892" t="s">
        <v>42492</v>
      </c>
      <c r="X3892" t="s">
        <v>42493</v>
      </c>
      <c r="Y3892" t="s">
        <v>42494</v>
      </c>
    </row>
    <row r="3893" spans="1:25" x14ac:dyDescent="0.3">
      <c r="A3893">
        <v>194600</v>
      </c>
      <c r="B3893" t="s">
        <v>42495</v>
      </c>
      <c r="C3893">
        <f>-786.746351478286 -2.02003303160245 -93.9787079399937</f>
        <v>-882.74509244988212</v>
      </c>
      <c r="D3893">
        <f>-806.453533673016 -13.8640556656228 -207.502108145154</f>
        <v>-1027.8196974837929</v>
      </c>
      <c r="E3893">
        <f>-815.683407579024 -18.7413112188945 -305.57189845981</f>
        <v>-1139.9966172577283</v>
      </c>
      <c r="F3893">
        <f>-821.433971664518 -21.3454555130986 -394.444773272491</f>
        <v>-1237.2242004501077</v>
      </c>
      <c r="G3893">
        <f>-824.203851882366 -22.1133136625758 -483.495218758748</f>
        <v>-1329.8123843036899</v>
      </c>
      <c r="H3893">
        <f>-824.90384439968 -21.3311048154428 -608.073339621547</f>
        <v>-1454.3082888366698</v>
      </c>
      <c r="I3893">
        <f>-793.336958411763 -16.0972614163984 -684.762118689353</f>
        <v>-1494.1963385175145</v>
      </c>
      <c r="J3893" t="s">
        <v>42496</v>
      </c>
      <c r="K3893" t="s">
        <v>42497</v>
      </c>
      <c r="L3893" t="s">
        <v>42498</v>
      </c>
      <c r="M3893" t="s">
        <v>42499</v>
      </c>
      <c r="N3893">
        <f>-818.060591818474 -48.6017899641988 -553.45840077974</f>
        <v>-1420.1207825624128</v>
      </c>
      <c r="O3893">
        <f>-786.709348384413 -179.277762487998 -524.519013082791</f>
        <v>-1490.5061239552019</v>
      </c>
      <c r="P3893">
        <f>-779.604503540326 -210.336464217514 -231.985096335812</f>
        <v>-1221.926064093652</v>
      </c>
      <c r="Q3893">
        <f>-630.957437839911 -52.6017847437009 -337.22136093275</f>
        <v>-1020.780583516362</v>
      </c>
      <c r="R3893" t="s">
        <v>42500</v>
      </c>
      <c r="S3893" t="s">
        <v>42501</v>
      </c>
      <c r="T3893" t="s">
        <v>42502</v>
      </c>
      <c r="U3893" t="s">
        <v>42503</v>
      </c>
      <c r="V3893">
        <f>-751.401485259407 -89.7220799732444 -91.8155616355803</f>
        <v>-932.9391268682316</v>
      </c>
      <c r="W3893" t="s">
        <v>42504</v>
      </c>
      <c r="X3893" t="s">
        <v>42505</v>
      </c>
      <c r="Y3893" t="s">
        <v>42506</v>
      </c>
    </row>
    <row r="3894" spans="1:25" x14ac:dyDescent="0.3">
      <c r="A3894">
        <v>194650</v>
      </c>
      <c r="B3894" t="s">
        <v>42507</v>
      </c>
      <c r="C3894">
        <f>-787.09201449091 -1.58946120832934 -94.0042650430767</f>
        <v>-882.68574074231594</v>
      </c>
      <c r="D3894">
        <f>-806.869320939016 -13.3106678685679 -207.52809096078</f>
        <v>-1027.7080797683639</v>
      </c>
      <c r="E3894">
        <f>-816.069381436483 -18.1615920491938 -305.602009459951</f>
        <v>-1139.8329829456279</v>
      </c>
      <c r="F3894">
        <f>-821.759004767734 -20.7725856458253 -394.47867920448</f>
        <v>-1237.0102696180393</v>
      </c>
      <c r="G3894">
        <f>-824.434158062378 -21.5803791035548 -483.531704137606</f>
        <v>-1329.5462413035389</v>
      </c>
      <c r="H3894">
        <f>-824.967095393453 -20.8899862087767 -608.111221631914</f>
        <v>-1453.9683032341436</v>
      </c>
      <c r="I3894">
        <f>-793.203261244227 -15.8286811975656 -684.730217086692</f>
        <v>-1493.7621595284845</v>
      </c>
      <c r="J3894" t="s">
        <v>42508</v>
      </c>
      <c r="K3894" t="s">
        <v>42509</v>
      </c>
      <c r="L3894" t="s">
        <v>42510</v>
      </c>
      <c r="M3894" t="s">
        <v>42511</v>
      </c>
      <c r="N3894">
        <f>-818.314575301464 -48.1488015640019 -553.466693471681</f>
        <v>-1419.9300703371468</v>
      </c>
      <c r="O3894">
        <f>-787.565402851686 -178.945544334811 -524.426345523327</f>
        <v>-1490.9372927098239</v>
      </c>
      <c r="P3894">
        <f>-780.908732154237 -209.996702386448 -231.880984596514</f>
        <v>-1222.7864191371989</v>
      </c>
      <c r="Q3894">
        <f>-631.508354075755 -52.9405571159781 -337.065305792991</f>
        <v>-1021.5142169847242</v>
      </c>
      <c r="R3894" t="s">
        <v>42512</v>
      </c>
      <c r="S3894" t="s">
        <v>42513</v>
      </c>
      <c r="T3894" t="s">
        <v>42514</v>
      </c>
      <c r="U3894" t="s">
        <v>42515</v>
      </c>
      <c r="V3894">
        <f>-752.081949186545 -89.4908895735243 -91.8613291528345</f>
        <v>-933.43416791290383</v>
      </c>
      <c r="W3894" t="s">
        <v>42516</v>
      </c>
      <c r="X3894" t="s">
        <v>42517</v>
      </c>
      <c r="Y3894" t="s">
        <v>42518</v>
      </c>
    </row>
    <row r="3895" spans="1:25" x14ac:dyDescent="0.3">
      <c r="A3895">
        <v>194700</v>
      </c>
      <c r="B3895" t="s">
        <v>42519</v>
      </c>
      <c r="C3895">
        <f>-787.818894117703 -0.908835393031723 -94.0383672317924</f>
        <v>-882.76609674252722</v>
      </c>
      <c r="D3895">
        <f>-807.681727231934 -12.4371926739884 -207.567089224836</f>
        <v>-1027.6860091307585</v>
      </c>
      <c r="E3895">
        <f>-816.833219549237 -17.2376611136892 -305.648090712044</f>
        <v>-1139.7189713749704</v>
      </c>
      <c r="F3895">
        <f>-822.433395692197 -19.8468022974632 -394.530496988935</f>
        <v>-1236.8106949785952</v>
      </c>
      <c r="G3895">
        <f>-824.974127423738 -20.6996902481208 -483.586995907509</f>
        <v>-1329.2608135793678</v>
      </c>
      <c r="H3895">
        <f>-825.273348076599 -20.1222597926562 -608.167768220176</f>
        <v>-1453.5633760894311</v>
      </c>
      <c r="I3895">
        <f>-793.110289569517 -15.2642297861526 -684.633128049807</f>
        <v>-1493.0076474054767</v>
      </c>
      <c r="J3895" t="s">
        <v>42520</v>
      </c>
      <c r="K3895" t="s">
        <v>42521</v>
      </c>
      <c r="L3895" t="s">
        <v>42522</v>
      </c>
      <c r="M3895" t="s">
        <v>42523</v>
      </c>
      <c r="N3895">
        <f>-818.891595340301 -47.3709421884749 -553.486046659688</f>
        <v>-1419.7485841884641</v>
      </c>
      <c r="O3895">
        <f>-789.048253752834 -178.350943230814 -524.318059308127</f>
        <v>-1491.7172562917749</v>
      </c>
      <c r="P3895">
        <f>-782.921023769151 -209.254279730122 -231.745711125667</f>
        <v>-1223.92101462494</v>
      </c>
      <c r="Q3895">
        <f>-632.275048193036 -53.3558058437241 -336.875774194107</f>
        <v>-1022.5066282308671</v>
      </c>
      <c r="R3895" t="s">
        <v>42524</v>
      </c>
      <c r="S3895" t="s">
        <v>42525</v>
      </c>
      <c r="T3895" t="s">
        <v>42526</v>
      </c>
      <c r="U3895" t="s">
        <v>42527</v>
      </c>
      <c r="V3895">
        <f>-753.404242817196 -88.9878491175308 -91.9342526861041</f>
        <v>-934.32634462083081</v>
      </c>
      <c r="W3895" t="s">
        <v>42528</v>
      </c>
      <c r="X3895" t="s">
        <v>42529</v>
      </c>
      <c r="Y3895" t="s">
        <v>42530</v>
      </c>
    </row>
    <row r="3896" spans="1:25" x14ac:dyDescent="0.3">
      <c r="A3896">
        <v>194750</v>
      </c>
      <c r="B3896" t="s">
        <v>42531</v>
      </c>
      <c r="C3896">
        <f>-788.081652478387 -0.833171044898336 -94.0362867267452</f>
        <v>-882.95111025003052</v>
      </c>
      <c r="D3896">
        <f>-807.970949620229 -12.3191348874263 -207.56463019381</f>
        <v>-1027.8547147014654</v>
      </c>
      <c r="E3896">
        <f>-817.077832654534 -17.1105354493654 -305.650221973537</f>
        <v>-1139.8385900774365</v>
      </c>
      <c r="F3896">
        <f>-822.611086300402 -19.7231030298092 -394.536715759886</f>
        <v>-1236.8709050900973</v>
      </c>
      <c r="G3896">
        <f>-825.058094741452 -20.5925758081992 -483.595596005727</f>
        <v>-1329.246266555378</v>
      </c>
      <c r="H3896">
        <f>-825.198648394144 -20.0530474808572 -608.17695528394</f>
        <v>-1453.4286511589412</v>
      </c>
      <c r="I3896">
        <f>-792.832694572514 -15.2222235087015 -684.558448743124</f>
        <v>-1492.6133668243397</v>
      </c>
      <c r="J3896" t="s">
        <v>42532</v>
      </c>
      <c r="K3896" t="s">
        <v>42533</v>
      </c>
      <c r="L3896" t="s">
        <v>42534</v>
      </c>
      <c r="M3896" t="s">
        <v>42535</v>
      </c>
      <c r="N3896">
        <f>-818.949879521171 -47.2995741007214 -553.478910173532</f>
        <v>-1419.7283637954245</v>
      </c>
      <c r="O3896">
        <f>-789.453781966672 -178.351943474201 -524.281994301252</f>
        <v>-1492.087719742125</v>
      </c>
      <c r="P3896">
        <f>-783.42458910932 -209.205576339571 -231.702302225248</f>
        <v>-1224.332467674139</v>
      </c>
      <c r="Q3896">
        <f>-632.350625150341 -53.7495437807264 -336.873173647336</f>
        <v>-1022.9733425784034</v>
      </c>
      <c r="R3896" t="s">
        <v>42536</v>
      </c>
      <c r="S3896" t="s">
        <v>42537</v>
      </c>
      <c r="T3896" t="s">
        <v>42538</v>
      </c>
      <c r="U3896" t="s">
        <v>42539</v>
      </c>
      <c r="V3896">
        <f>-753.862073166061 -88.9048242403301 -91.9444125579367</f>
        <v>-934.71130996432782</v>
      </c>
      <c r="W3896" t="s">
        <v>42540</v>
      </c>
      <c r="X3896" t="s">
        <v>42541</v>
      </c>
      <c r="Y3896" t="s">
        <v>42542</v>
      </c>
    </row>
    <row r="3897" spans="1:25" x14ac:dyDescent="0.3">
      <c r="A3897">
        <v>194800</v>
      </c>
      <c r="B3897" t="s">
        <v>42543</v>
      </c>
      <c r="C3897">
        <f>-788.519538136321 -0.676846589270554 -94.0161272788409</f>
        <v>-883.21251200443248</v>
      </c>
      <c r="D3897">
        <f>-808.499116143711 -12.1775500400104 -207.527271992447</f>
        <v>-1028.2039381761683</v>
      </c>
      <c r="E3897">
        <f>-817.523402368215 -17.0015398286507 -305.618864131639</f>
        <v>-1140.1438063285048</v>
      </c>
      <c r="F3897">
        <f>-822.915590282675 -19.6562468373882 -394.512679460409</f>
        <v>-1237.0845165804722</v>
      </c>
      <c r="G3897">
        <f>-825.153818849369 -20.5859165388526 -483.576530184853</f>
        <v>-1329.3162655730748</v>
      </c>
      <c r="H3897">
        <f>-824.930702731502 -20.153442237591 -608.158086887621</f>
        <v>-1453.2422318567142</v>
      </c>
      <c r="I3897">
        <f>-792.190317532742 -15.3372242757894 -684.380887176553</f>
        <v>-1491.9084289850844</v>
      </c>
      <c r="J3897" t="s">
        <v>42544</v>
      </c>
      <c r="K3897" t="s">
        <v>42545</v>
      </c>
      <c r="L3897" t="s">
        <v>42546</v>
      </c>
      <c r="M3897" t="s">
        <v>42547</v>
      </c>
      <c r="N3897">
        <f>-818.982342129231 -47.3849122689802 -553.419000498732</f>
        <v>-1419.7862548969433</v>
      </c>
      <c r="O3897">
        <f>-790.090190345781 -178.569734443807 -524.186629313084</f>
        <v>-1492.8465541026721</v>
      </c>
      <c r="P3897">
        <f>-784.097164521482 -209.332242439775 -231.59665736383</f>
        <v>-1225.026064325087</v>
      </c>
      <c r="Q3897">
        <f>-632.612138666161 -54.4485271515842 -337.020347054439</f>
        <v>-1024.0810128721841</v>
      </c>
      <c r="R3897" t="s">
        <v>42548</v>
      </c>
      <c r="S3897" t="s">
        <v>42549</v>
      </c>
      <c r="T3897" t="s">
        <v>42550</v>
      </c>
      <c r="U3897" t="s">
        <v>42551</v>
      </c>
      <c r="V3897">
        <f>-754.455146966067 -88.8438994596528 -91.9209611472502</f>
        <v>-935.22000757296996</v>
      </c>
      <c r="W3897" t="s">
        <v>42552</v>
      </c>
      <c r="X3897" t="s">
        <v>42553</v>
      </c>
      <c r="Y3897" t="s">
        <v>42554</v>
      </c>
    </row>
    <row r="3898" spans="1:25" x14ac:dyDescent="0.3">
      <c r="A3898">
        <v>194850</v>
      </c>
      <c r="B3898" t="s">
        <v>42555</v>
      </c>
      <c r="C3898">
        <f>-788.728223092524 -0.517563775750659 -94.009547043943</f>
        <v>-883.25533391221768</v>
      </c>
      <c r="D3898">
        <f>-808.783542488671 -12.0700015409082 -207.501998296601</f>
        <v>-1028.3555423261801</v>
      </c>
      <c r="E3898">
        <f>-817.791144863062 -16.9387387682414 -305.592836664825</f>
        <v>-1140.3227202961284</v>
      </c>
      <c r="F3898">
        <f>-823.133742164468 -19.6377703428259 -394.488402382523</f>
        <v>-1237.2599148898169</v>
      </c>
      <c r="G3898">
        <f>-825.286593248031 -20.6188980148843 -483.553735842965</f>
        <v>-1329.4592271058802</v>
      </c>
      <c r="H3898">
        <f>-824.905957879397 -20.2686217215837 -608.135246770513</f>
        <v>-1453.3098263714937</v>
      </c>
      <c r="I3898">
        <f>-792.030896959656 -15.4579862879284 -684.300304290162</f>
        <v>-1491.7891875377463</v>
      </c>
      <c r="J3898" t="s">
        <v>42556</v>
      </c>
      <c r="K3898" t="s">
        <v>42557</v>
      </c>
      <c r="L3898" t="s">
        <v>42558</v>
      </c>
      <c r="M3898" t="s">
        <v>42559</v>
      </c>
      <c r="N3898">
        <f>-819.109333739173 -47.4822210709472 -553.371012523824</f>
        <v>-1419.9625673339442</v>
      </c>
      <c r="O3898">
        <f>-790.603987893508 -178.742019881627 -524.097026085313</f>
        <v>-1493.4430338604479</v>
      </c>
      <c r="P3898">
        <f>-784.499517327818 -209.304378238956 -231.488343625306</f>
        <v>-1225.2922391920799</v>
      </c>
      <c r="Q3898">
        <f>-632.814378803612 -54.7398060946987 -337.09279596241</f>
        <v>-1024.6469808607208</v>
      </c>
      <c r="R3898" t="s">
        <v>42560</v>
      </c>
      <c r="S3898" t="s">
        <v>42561</v>
      </c>
      <c r="T3898" t="s">
        <v>42562</v>
      </c>
      <c r="U3898" t="s">
        <v>42563</v>
      </c>
      <c r="V3898">
        <f>-754.573945224117 -88.8139795849337 -91.8827188214383</f>
        <v>-935.27064363048896</v>
      </c>
      <c r="W3898" t="s">
        <v>42564</v>
      </c>
      <c r="X3898" t="s">
        <v>42565</v>
      </c>
      <c r="Y3898" t="s">
        <v>42566</v>
      </c>
    </row>
    <row r="3899" spans="1:25" x14ac:dyDescent="0.3">
      <c r="A3899">
        <v>194900</v>
      </c>
      <c r="B3899" t="s">
        <v>42567</v>
      </c>
      <c r="C3899">
        <f>-788.774276492244 -0.513583806063025 -93.9922125237308</f>
        <v>-883.28007282203782</v>
      </c>
      <c r="D3899">
        <f>-808.934554612502 -12.1567968533125 -207.456848715315</f>
        <v>-1028.5482001811295</v>
      </c>
      <c r="E3899">
        <f>-817.935241101099 -17.1300900808951 -305.543054856987</f>
        <v>-1140.6083860389811</v>
      </c>
      <c r="F3899">
        <f>-823.230491967406 -19.9395379836806 -394.437946013728</f>
        <v>-1237.6079759648146</v>
      </c>
      <c r="G3899">
        <f>-825.293442833076 -21.0516942607705 -483.503955200201</f>
        <v>-1329.8490922940475</v>
      </c>
      <c r="H3899">
        <f>-824.741505269027 -20.9102731747385 -608.085253604193</f>
        <v>-1453.7370320479586</v>
      </c>
      <c r="I3899">
        <f>-791.688113319807 -16.1506909950861 -684.176244919727</f>
        <v>-1492.0150492346202</v>
      </c>
      <c r="J3899" t="s">
        <v>42568</v>
      </c>
      <c r="K3899" t="s">
        <v>42569</v>
      </c>
      <c r="L3899" t="s">
        <v>42570</v>
      </c>
      <c r="M3899" t="s">
        <v>42571</v>
      </c>
      <c r="N3899">
        <f>-819.1602345575 -48.062475845467 -553.268197819305</f>
        <v>-1420.4909082222721</v>
      </c>
      <c r="O3899">
        <f>-791.401208628074 -179.435730055834 -523.806161365646</f>
        <v>-1494.6431000495541</v>
      </c>
      <c r="P3899">
        <f>-785.253995144882 -209.828455273859 -231.180510054074</f>
        <v>-1226.2629604728149</v>
      </c>
      <c r="Q3899">
        <f>-633.17393532247 -56.0029404782593 -337.294736035171</f>
        <v>-1026.4716118359004</v>
      </c>
      <c r="R3899" t="s">
        <v>42572</v>
      </c>
      <c r="S3899" t="s">
        <v>42573</v>
      </c>
      <c r="T3899" t="s">
        <v>42574</v>
      </c>
      <c r="U3899" t="s">
        <v>42575</v>
      </c>
      <c r="V3899">
        <f>-754.507488474869 -89.0291971571415 -91.8123430493563</f>
        <v>-935.3490286813668</v>
      </c>
      <c r="W3899" t="s">
        <v>42576</v>
      </c>
      <c r="X3899" t="s">
        <v>42577</v>
      </c>
      <c r="Y3899" t="s">
        <v>42578</v>
      </c>
    </row>
    <row r="3900" spans="1:25" x14ac:dyDescent="0.3">
      <c r="A3900">
        <v>194950</v>
      </c>
      <c r="B3900" t="s">
        <v>42579</v>
      </c>
      <c r="C3900">
        <f>-788.747639522702 -0.448626145021763 -93.9632673969353</f>
        <v>-883.15953306465906</v>
      </c>
      <c r="D3900">
        <f>-808.930460654088 -12.1082533772108 -207.422255561033</f>
        <v>-1028.4609695923318</v>
      </c>
      <c r="E3900">
        <f>-817.932346552014 -17.1287248944698 -305.505924073444</f>
        <v>-1140.5669955199278</v>
      </c>
      <c r="F3900">
        <f>-823.221511175668 -19.9950410661513 -394.399395256321</f>
        <v>-1237.6159474981403</v>
      </c>
      <c r="G3900">
        <f>-825.271312790503 -21.1796037754959 -483.464707215197</f>
        <v>-1329.9156237811958</v>
      </c>
      <c r="H3900">
        <f>-824.69333367787 -21.1561567651543 -608.045990466443</f>
        <v>-1453.8954809094671</v>
      </c>
      <c r="I3900">
        <f>-791.586553726539 -16.4362541148289 -684.116252561124</f>
        <v>-1492.1390604024919</v>
      </c>
      <c r="J3900" t="s">
        <v>42580</v>
      </c>
      <c r="K3900" t="s">
        <v>42581</v>
      </c>
      <c r="L3900" t="s">
        <v>42582</v>
      </c>
      <c r="M3900" t="s">
        <v>42583</v>
      </c>
      <c r="N3900">
        <f>-819.165830390198 -48.2655291111756 -553.202199091511</f>
        <v>-1420.6335585928846</v>
      </c>
      <c r="O3900">
        <f>-791.645540413533 -179.65841848545 -523.614536086092</f>
        <v>-1494.9184949850751</v>
      </c>
      <c r="P3900">
        <f>-785.555042605764 -209.826466739078 -230.964530544537</f>
        <v>-1226.346039889379</v>
      </c>
      <c r="Q3900">
        <f>-633.274136270257 -56.313785749613 -337.243570926346</f>
        <v>-1026.831492946216</v>
      </c>
      <c r="R3900" t="s">
        <v>42584</v>
      </c>
      <c r="S3900" t="s">
        <v>42585</v>
      </c>
      <c r="T3900" t="s">
        <v>42586</v>
      </c>
      <c r="U3900" t="s">
        <v>42587</v>
      </c>
      <c r="V3900">
        <f>-754.523254462571 -88.9227929349375 -91.7912363789409</f>
        <v>-935.23728377644943</v>
      </c>
      <c r="W3900" t="s">
        <v>42588</v>
      </c>
      <c r="X3900" t="s">
        <v>42589</v>
      </c>
      <c r="Y3900" t="s">
        <v>42590</v>
      </c>
    </row>
    <row r="3901" spans="1:25" x14ac:dyDescent="0.3">
      <c r="A3901">
        <v>195000</v>
      </c>
      <c r="B3901" t="s">
        <v>42591</v>
      </c>
      <c r="C3901" t="s">
        <v>42592</v>
      </c>
      <c r="D3901">
        <f>-809.296477411384 -11.6005419814894 -207.362480340494</f>
        <v>-1028.2594997333674</v>
      </c>
      <c r="E3901">
        <f>-818.327935612566 -16.6990673047421 -305.439422441705</f>
        <v>-1140.4664253590131</v>
      </c>
      <c r="F3901">
        <f>-823.63486300045 -19.6630166548582 -394.328667696598</f>
        <v>-1237.6265473519061</v>
      </c>
      <c r="G3901">
        <f>-825.694061008394 -20.9725393360138 -483.392066947401</f>
        <v>-1330.0586672918089</v>
      </c>
      <c r="H3901">
        <f>-825.121379411511 -21.1522112097957 -607.97309375641</f>
        <v>-1454.2466843777167</v>
      </c>
      <c r="I3901">
        <f>-791.940322622915 -16.5177722160649 -684.016251969546</f>
        <v>-1492.474346808526</v>
      </c>
      <c r="J3901" t="s">
        <v>42593</v>
      </c>
      <c r="K3901" t="s">
        <v>42594</v>
      </c>
      <c r="L3901" t="s">
        <v>42595</v>
      </c>
      <c r="M3901" t="s">
        <v>42596</v>
      </c>
      <c r="N3901">
        <f>-819.614724741267 -48.1770500107585 -553.085552681849</f>
        <v>-1420.8773274338746</v>
      </c>
      <c r="O3901">
        <f>-792.27959556724 -179.558446238014 -523.255035367097</f>
        <v>-1495.0930771723511</v>
      </c>
      <c r="P3901">
        <f>-786.222243001988 -209.206516577447 -230.551320718225</f>
        <v>-1225.9800802976599</v>
      </c>
      <c r="Q3901">
        <f>-633.70887610722 -56.1249718664188 -337.118627837372</f>
        <v>-1026.9524758110108</v>
      </c>
      <c r="R3901" t="s">
        <v>42597</v>
      </c>
      <c r="S3901" t="s">
        <v>42598</v>
      </c>
      <c r="T3901" t="s">
        <v>42599</v>
      </c>
      <c r="U3901" t="s">
        <v>42600</v>
      </c>
      <c r="V3901">
        <f>-754.902755392774 -88.4411131997989 -91.7641375881269</f>
        <v>-935.10800618069982</v>
      </c>
      <c r="W3901" t="s">
        <v>42601</v>
      </c>
      <c r="X3901" t="s">
        <v>42602</v>
      </c>
      <c r="Y3901" t="s">
        <v>42603</v>
      </c>
    </row>
    <row r="3902" spans="1:25" x14ac:dyDescent="0.3">
      <c r="A3902">
        <v>195050</v>
      </c>
      <c r="B3902" t="s">
        <v>42604</v>
      </c>
      <c r="C3902" t="s">
        <v>42605</v>
      </c>
      <c r="D3902">
        <f>-809.589734834483 -11.3862283348487 -207.352577821779</f>
        <v>-1028.3285409911107</v>
      </c>
      <c r="E3902">
        <f>-818.648767389722 -16.5085686129041 -305.425653589061</f>
        <v>-1140.5829895916872</v>
      </c>
      <c r="F3902">
        <f>-823.982817602562 -19.5023560948873 -394.312245241276</f>
        <v>-1237.7974189387253</v>
      </c>
      <c r="G3902">
        <f>-826.071970692646 -20.849760142803 -483.374406106421</f>
        <v>-1330.2961369418699</v>
      </c>
      <c r="H3902">
        <f>-825.54458354035 -21.0901468341003 -607.955666923825</f>
        <v>-1454.5903972982753</v>
      </c>
      <c r="I3902">
        <f>-792.329945461944 -16.485444667815 -683.985954862576</f>
        <v>-1492.8013449923351</v>
      </c>
      <c r="J3902" t="s">
        <v>42606</v>
      </c>
      <c r="K3902" t="s">
        <v>42607</v>
      </c>
      <c r="L3902" t="s">
        <v>42608</v>
      </c>
      <c r="M3902" t="s">
        <v>42609</v>
      </c>
      <c r="N3902">
        <f>-820.009803187839 -48.0865269498096 -553.056852166807</f>
        <v>-1421.1531823044556</v>
      </c>
      <c r="O3902">
        <f>-792.649826705222 -179.445782842321 -523.157733768986</f>
        <v>-1495.2533433165299</v>
      </c>
      <c r="P3902">
        <f>-786.535196506625 -208.997246140926 -230.445427730877</f>
        <v>-1225.977870378428</v>
      </c>
      <c r="Q3902">
        <f>-634.061868169507 -55.9494821696571 -337.118519285641</f>
        <v>-1027.129869624805</v>
      </c>
      <c r="R3902" t="s">
        <v>42610</v>
      </c>
      <c r="S3902" t="s">
        <v>42611</v>
      </c>
      <c r="T3902" t="s">
        <v>42612</v>
      </c>
      <c r="U3902" t="s">
        <v>42613</v>
      </c>
      <c r="V3902">
        <f>-755.201438305038 -88.2772308553378 -91.7555023354729</f>
        <v>-935.23417149584873</v>
      </c>
      <c r="W3902" t="s">
        <v>42614</v>
      </c>
      <c r="X3902" t="s">
        <v>42615</v>
      </c>
      <c r="Y3902" t="s">
        <v>42616</v>
      </c>
    </row>
    <row r="3903" spans="1:25" x14ac:dyDescent="0.3">
      <c r="A3903">
        <v>195100</v>
      </c>
      <c r="B3903" t="s">
        <v>42617</v>
      </c>
      <c r="C3903" t="s">
        <v>42618</v>
      </c>
      <c r="D3903">
        <f>-810.145129881727 -11.4873299313811 -207.326304306926</f>
        <v>-1028.9587641200342</v>
      </c>
      <c r="E3903">
        <f>-819.287564993709 -16.6706203750439 -305.388624433755</f>
        <v>-1141.3468098025078</v>
      </c>
      <c r="F3903">
        <f>-824.6934245229 -19.7278791156277 -394.268713793722</f>
        <v>-1238.6900174322498</v>
      </c>
      <c r="G3903">
        <f>-826.851366761318 -21.1464756353525 -483.32807702285</f>
        <v>-1331.3259194195205</v>
      </c>
      <c r="H3903">
        <f>-826.417028027738 -21.4943113274603 -607.909328126168</f>
        <v>-1455.8206674813664</v>
      </c>
      <c r="I3903">
        <f>-793.147940160067 -16.9063018224442 -683.917041482545</f>
        <v>-1493.9712834650563</v>
      </c>
      <c r="J3903" t="s">
        <v>42619</v>
      </c>
      <c r="K3903" t="s">
        <v>42620</v>
      </c>
      <c r="L3903" t="s">
        <v>42621</v>
      </c>
      <c r="M3903" t="s">
        <v>42622</v>
      </c>
      <c r="N3903">
        <f>-820.813729388467 -48.4375104972502 -552.991480136677</f>
        <v>-1422.2427200223942</v>
      </c>
      <c r="O3903">
        <f>-793.304146305819 -179.74748943768 -523.034769396273</f>
        <v>-1496.0864051397721</v>
      </c>
      <c r="P3903">
        <f>-786.7125937318 -209.239007700894 -230.326662946959</f>
        <v>-1226.2782643796531</v>
      </c>
      <c r="Q3903">
        <f>-634.748729403397 -55.8668345410422 -337.260503377424</f>
        <v>-1027.876067321863</v>
      </c>
      <c r="R3903" t="s">
        <v>42623</v>
      </c>
      <c r="S3903" t="s">
        <v>42624</v>
      </c>
      <c r="T3903" t="s">
        <v>42625</v>
      </c>
      <c r="U3903" t="s">
        <v>42626</v>
      </c>
      <c r="V3903">
        <f>-755.589190675304 -88.4180060426809 -91.7572714811199</f>
        <v>-935.76446819910484</v>
      </c>
      <c r="W3903" t="s">
        <v>42627</v>
      </c>
      <c r="X3903" t="s">
        <v>42628</v>
      </c>
      <c r="Y3903" t="s">
        <v>42629</v>
      </c>
    </row>
    <row r="3904" spans="1:25" x14ac:dyDescent="0.3">
      <c r="A3904">
        <v>195150</v>
      </c>
      <c r="B3904" t="s">
        <v>42630</v>
      </c>
      <c r="C3904" t="s">
        <v>42631</v>
      </c>
      <c r="D3904">
        <f>-810.355909330029 -11.7113019937935 -207.307118077755</f>
        <v>-1029.3743294015776</v>
      </c>
      <c r="E3904">
        <f>-819.53626450495 -16.9251412857946 -305.36419070862</f>
        <v>-1141.8255964993646</v>
      </c>
      <c r="F3904">
        <f>-824.973392011872 -20.0122762876063 -394.241358512012</f>
        <v>-1239.2270268114903</v>
      </c>
      <c r="G3904">
        <f>-827.15971247042 -21.463164277206 -483.299430554354</f>
        <v>-1331.92230730198</v>
      </c>
      <c r="H3904">
        <f>-826.76203938825 -21.8585607441321 -607.880805209755</f>
        <v>-1456.5014053421369</v>
      </c>
      <c r="I3904">
        <f>-793.472257891048 -17.2549252006158 -683.878260271162</f>
        <v>-1494.605443362826</v>
      </c>
      <c r="J3904" t="s">
        <v>42632</v>
      </c>
      <c r="K3904" t="s">
        <v>42633</v>
      </c>
      <c r="L3904" t="s">
        <v>42634</v>
      </c>
      <c r="M3904" t="s">
        <v>42635</v>
      </c>
      <c r="N3904">
        <f>-821.124604271672 -48.7768972434751 -552.95424940641</f>
        <v>-1422.855750921557</v>
      </c>
      <c r="O3904">
        <f>-793.511339934352 -180.064593471925 -522.986432871427</f>
        <v>-1496.5623662777041</v>
      </c>
      <c r="P3904">
        <f>-786.662032803257 -209.499922602638 -230.27868585113</f>
        <v>-1226.4406412570249</v>
      </c>
      <c r="Q3904">
        <f>-635.010271839306 -55.960871747777 -337.41596824359</f>
        <v>-1028.3871118306729</v>
      </c>
      <c r="R3904" t="s">
        <v>42636</v>
      </c>
      <c r="S3904" t="s">
        <v>42637</v>
      </c>
      <c r="T3904" t="s">
        <v>42638</v>
      </c>
      <c r="U3904" t="s">
        <v>42639</v>
      </c>
      <c r="V3904">
        <f>-755.639728190108 -88.7338732178579 -91.7598904948952</f>
        <v>-936.13349190286112</v>
      </c>
      <c r="W3904" t="s">
        <v>42640</v>
      </c>
      <c r="X3904" t="s">
        <v>42641</v>
      </c>
      <c r="Y3904" t="s">
        <v>42642</v>
      </c>
    </row>
    <row r="3905" spans="1:25" x14ac:dyDescent="0.3">
      <c r="A3905">
        <v>195200</v>
      </c>
      <c r="B3905" t="s">
        <v>42643</v>
      </c>
      <c r="C3905">
        <f>-790.348990427382 -0.177839004319139 -93.9304171940772</f>
        <v>-884.45724662577834</v>
      </c>
      <c r="D3905">
        <f>-810.891630607609 -11.999207608025 -207.307883548045</f>
        <v>-1030.198721763679</v>
      </c>
      <c r="E3905">
        <f>-820.148070724383 -17.2807308002289 -305.354291848741</f>
        <v>-1142.783093373353</v>
      </c>
      <c r="F3905">
        <f>-825.64783229293 -20.4331058330783 -394.225356967556</f>
        <v>-1240.3062950935644</v>
      </c>
      <c r="G3905">
        <f>-827.890574972486 -21.9531054449035 -483.280992121956</f>
        <v>-1333.1246725393455</v>
      </c>
      <c r="H3905">
        <f>-827.564814304497 -22.4502298794855 -607.862013459131</f>
        <v>-1457.8770576431134</v>
      </c>
      <c r="I3905">
        <f>-794.252828157296 -17.7924616419523 -683.846659803209</f>
        <v>-1495.8919496024573</v>
      </c>
      <c r="J3905" t="s">
        <v>42644</v>
      </c>
      <c r="K3905" t="s">
        <v>42645</v>
      </c>
      <c r="L3905" t="s">
        <v>42646</v>
      </c>
      <c r="M3905" t="s">
        <v>42647</v>
      </c>
      <c r="N3905">
        <f>-821.879305859452 -49.3202625006134 -552.916690596222</f>
        <v>-1424.1162589562873</v>
      </c>
      <c r="O3905">
        <f>-794.102202133771 -180.570049362853 -522.907873815008</f>
        <v>-1497.5801253116319</v>
      </c>
      <c r="P3905">
        <f>-786.873056819654 -209.777811604216 -230.186454504359</f>
        <v>-1226.837322928229</v>
      </c>
      <c r="Q3905">
        <f>-635.716405775321 -56.0306647211499 -337.72424456688</f>
        <v>-1029.4713150633511</v>
      </c>
      <c r="R3905" t="s">
        <v>42648</v>
      </c>
      <c r="S3905" t="s">
        <v>42649</v>
      </c>
      <c r="T3905" t="s">
        <v>42650</v>
      </c>
      <c r="U3905" t="s">
        <v>42651</v>
      </c>
      <c r="V3905">
        <f>-755.971153138914 -88.9947692420968 -91.7589849093393</f>
        <v>-936.72490729035019</v>
      </c>
      <c r="W3905" t="s">
        <v>42652</v>
      </c>
      <c r="X3905" t="s">
        <v>42653</v>
      </c>
      <c r="Y3905" t="s">
        <v>42654</v>
      </c>
    </row>
    <row r="3906" spans="1:25" x14ac:dyDescent="0.3">
      <c r="A3906">
        <v>195250</v>
      </c>
      <c r="B3906" t="s">
        <v>42655</v>
      </c>
      <c r="C3906">
        <f>-790.658118509507 -0.222822434007185 -93.9329347243776</f>
        <v>-884.81387566789169</v>
      </c>
      <c r="D3906">
        <f>-811.242383716363 -12.0621108647701 -207.301056083484</f>
        <v>-1030.6055506646171</v>
      </c>
      <c r="E3906">
        <f>-820.533192404782 -17.3730377584095 -305.342613304009</f>
        <v>-1143.2488434672005</v>
      </c>
      <c r="F3906">
        <f>-826.063712025311 -20.5576149882361 -394.210595721933</f>
        <v>-1240.83192273548</v>
      </c>
      <c r="G3906">
        <f>-828.336834999802 -22.1158477162423 -483.264724683389</f>
        <v>-1333.7174073994333</v>
      </c>
      <c r="H3906">
        <f>-828.05359108759 -22.6726334787566 -607.845736262822</f>
        <v>-1458.5719608291686</v>
      </c>
      <c r="I3906">
        <f>-794.740395316483 -17.9798861851609 -683.827491174191</f>
        <v>-1496.5477726758349</v>
      </c>
      <c r="J3906" t="s">
        <v>42656</v>
      </c>
      <c r="K3906" t="s">
        <v>42657</v>
      </c>
      <c r="L3906" t="s">
        <v>42658</v>
      </c>
      <c r="M3906" t="s">
        <v>42659</v>
      </c>
      <c r="N3906">
        <f>-822.346100039186 -49.5155644767412 -552.889380658804</f>
        <v>-1424.7510451747312</v>
      </c>
      <c r="O3906">
        <f>-794.537868274172 -180.750515900269 -522.845359386582</f>
        <v>-1498.133743561023</v>
      </c>
      <c r="P3906">
        <f>-787.160555743546 -209.836500260994 -230.115473635073</f>
        <v>-1227.1125296396128</v>
      </c>
      <c r="Q3906">
        <f>-636.102747755516 -56.088387572857 -337.790586148669</f>
        <v>-1029.9817214770419</v>
      </c>
      <c r="R3906" t="s">
        <v>42660</v>
      </c>
      <c r="S3906" t="s">
        <v>42661</v>
      </c>
      <c r="T3906" t="s">
        <v>42662</v>
      </c>
      <c r="U3906" t="s">
        <v>42663</v>
      </c>
      <c r="V3906">
        <f>-756.310453748837 -89.0096326405959 -91.7589841722847</f>
        <v>-937.07907056171757</v>
      </c>
      <c r="W3906" t="s">
        <v>42664</v>
      </c>
      <c r="X3906" t="s">
        <v>42665</v>
      </c>
      <c r="Y3906" t="s">
        <v>42666</v>
      </c>
    </row>
    <row r="3907" spans="1:25" x14ac:dyDescent="0.3">
      <c r="A3907">
        <v>195300</v>
      </c>
      <c r="B3907" t="s">
        <v>42667</v>
      </c>
      <c r="C3907">
        <f>-791.449649844831 -0.202755335945994 -93.9306304049633</f>
        <v>-885.58303558574028</v>
      </c>
      <c r="D3907">
        <f>-812.187416061761 -12.0948889848823 -207.265279225383</f>
        <v>-1031.5475842720264</v>
      </c>
      <c r="E3907">
        <f>-821.642889818914 -17.4879710317146 -305.286492392146</f>
        <v>-1144.4173532427744</v>
      </c>
      <c r="F3907">
        <f>-827.336477289676 -20.7608897225662 -394.140999871715</f>
        <v>-1242.2383668839573</v>
      </c>
      <c r="G3907">
        <f>-829.786971952382 -22.4206847485871 -483.188650927612</f>
        <v>-1335.3963076285811</v>
      </c>
      <c r="H3907">
        <f>-829.76708447506 -23.1332696197376 -607.769119258344</f>
        <v>-1460.6694733531415</v>
      </c>
      <c r="I3907">
        <f>-796.456065616926 -18.3617324841011 -683.746979022444</f>
        <v>-1498.5647771234712</v>
      </c>
      <c r="J3907" t="s">
        <v>42668</v>
      </c>
      <c r="K3907" t="s">
        <v>42669</v>
      </c>
      <c r="L3907" t="s">
        <v>42670</v>
      </c>
      <c r="M3907" t="s">
        <v>42671</v>
      </c>
      <c r="N3907">
        <f>-823.944769758733 -49.9078297336097 -552.791565107194</f>
        <v>-1426.6441645995365</v>
      </c>
      <c r="O3907">
        <f>-795.991448855695 -181.101903602351 -522.711703383009</f>
        <v>-1499.805055841055</v>
      </c>
      <c r="P3907">
        <f>-788.273360975724 -209.980403273114 -229.970077754002</f>
        <v>-1228.22384200284</v>
      </c>
      <c r="Q3907">
        <f>-637.369887602351 -56.2534135013635 -337.891341507394</f>
        <v>-1031.5146426111085</v>
      </c>
      <c r="R3907" t="s">
        <v>42672</v>
      </c>
      <c r="S3907" t="s">
        <v>42673</v>
      </c>
      <c r="T3907" t="s">
        <v>42674</v>
      </c>
      <c r="U3907" t="s">
        <v>42675</v>
      </c>
      <c r="V3907">
        <f>-757.150136492428 -89.023314519354 -91.7575945087168</f>
        <v>-937.93104552049886</v>
      </c>
      <c r="W3907" t="s">
        <v>42676</v>
      </c>
      <c r="X3907" t="s">
        <v>42677</v>
      </c>
      <c r="Y3907" t="s">
        <v>42678</v>
      </c>
    </row>
    <row r="3908" spans="1:25" x14ac:dyDescent="0.3">
      <c r="A3908">
        <v>195350</v>
      </c>
      <c r="B3908" t="s">
        <v>42679</v>
      </c>
      <c r="C3908">
        <f>-791.926277033534 -0.210992004193713 -93.936500489533</f>
        <v>-886.07376952726077</v>
      </c>
      <c r="D3908">
        <f>-812.755121259358 -12.1549755445151 -207.248984780167</f>
        <v>-1032.15908158404</v>
      </c>
      <c r="E3908">
        <f>-822.333614557698 -17.6094979277607 -305.254869314528</f>
        <v>-1145.1979817999866</v>
      </c>
      <c r="F3908">
        <f>-828.156673729037 -20.9438535011461 -394.098710037923</f>
        <v>-1243.1992372681061</v>
      </c>
      <c r="G3908">
        <f>-830.7552611297 -22.6710969181722 -483.140883795029</f>
        <v>-1336.5672418429012</v>
      </c>
      <c r="H3908">
        <f>-830.961711437146 -23.48325497122 -607.72066483279</f>
        <v>-1462.165631241156</v>
      </c>
      <c r="I3908">
        <f>-797.644465142639 -18.6600202364073 -683.6924290196</f>
        <v>-1499.9969143986464</v>
      </c>
      <c r="J3908" t="s">
        <v>42680</v>
      </c>
      <c r="K3908" t="s">
        <v>42681</v>
      </c>
      <c r="L3908" t="s">
        <v>42682</v>
      </c>
      <c r="M3908" t="s">
        <v>42683</v>
      </c>
      <c r="N3908">
        <f>-825.041106905669 -50.2140644784275 -552.732218394328</f>
        <v>-1427.9873897784246</v>
      </c>
      <c r="O3908">
        <f>-796.990678240102 -181.387294502824 -522.664567019192</f>
        <v>-1501.0425397621179</v>
      </c>
      <c r="P3908">
        <f>-788.957308830898 -210.182340110446 -229.92316638472</f>
        <v>-1229.0628153260641</v>
      </c>
      <c r="Q3908">
        <f>-638.249906029493 -56.3407077278562 -337.955227914746</f>
        <v>-1032.5458416720951</v>
      </c>
      <c r="R3908" t="s">
        <v>42684</v>
      </c>
      <c r="S3908" t="s">
        <v>42685</v>
      </c>
      <c r="T3908" t="s">
        <v>42686</v>
      </c>
      <c r="U3908" t="s">
        <v>42687</v>
      </c>
      <c r="V3908">
        <f>-757.591248366155 -89.053023838347 -91.7629595800643</f>
        <v>-938.40723178456631</v>
      </c>
      <c r="W3908" t="s">
        <v>42688</v>
      </c>
      <c r="X3908" t="s">
        <v>42689</v>
      </c>
      <c r="Y3908" t="s">
        <v>42690</v>
      </c>
    </row>
    <row r="3909" spans="1:25" x14ac:dyDescent="0.3">
      <c r="A3909">
        <v>195400</v>
      </c>
      <c r="B3909" t="s">
        <v>42691</v>
      </c>
      <c r="C3909">
        <f>-792.893406655209 -0.428255813513488 -93.9589209070356</f>
        <v>-887.28058337575806</v>
      </c>
      <c r="D3909">
        <f>-813.908522526106 -12.5144478132954 -207.221899177262</f>
        <v>-1033.6448695166634</v>
      </c>
      <c r="E3909">
        <f>-823.760201989967 -18.082481272578 -305.194329513259</f>
        <v>-1147.037012775804</v>
      </c>
      <c r="F3909">
        <f>-829.875438107099 -21.5153468477306 -394.014804061183</f>
        <v>-1245.4055890160125</v>
      </c>
      <c r="G3909">
        <f>-832.810944927765 -23.3356573693088 -483.044643581179</f>
        <v>-1339.1912458782529</v>
      </c>
      <c r="H3909">
        <f>-833.534761906323 -24.2715847293177 -607.621530055403</f>
        <v>-1465.4278766910438</v>
      </c>
      <c r="I3909">
        <f>-800.207009342959 -19.2785184039001 -683.577769611186</f>
        <v>-1503.063297358045</v>
      </c>
      <c r="J3909" t="s">
        <v>42692</v>
      </c>
      <c r="K3909" t="s">
        <v>42693</v>
      </c>
      <c r="L3909" t="s">
        <v>42694</v>
      </c>
      <c r="M3909" t="s">
        <v>42695</v>
      </c>
      <c r="N3909">
        <f>-827.387109040553 -50.948095963522 -552.631835209709</f>
        <v>-1430.967040213784</v>
      </c>
      <c r="O3909">
        <f>-799.174999802896 -182.096458027456 -522.594387943593</f>
        <v>-1503.865845773945</v>
      </c>
      <c r="P3909">
        <f>-790.438835520911 -210.63010508834 -229.847516034601</f>
        <v>-1230.9164566438519</v>
      </c>
      <c r="Q3909">
        <f>-640.279145081213 -56.5453867516438 -338.294862725758</f>
        <v>-1035.1193945586147</v>
      </c>
      <c r="R3909" t="s">
        <v>42696</v>
      </c>
      <c r="S3909" t="s">
        <v>42697</v>
      </c>
      <c r="T3909" t="s">
        <v>42698</v>
      </c>
      <c r="U3909" t="s">
        <v>42699</v>
      </c>
      <c r="V3909">
        <f>-758.482376086346 -89.4075318422033 -91.7374011502384</f>
        <v>-939.62730907878768</v>
      </c>
      <c r="W3909" t="s">
        <v>42700</v>
      </c>
      <c r="X3909" t="s">
        <v>42701</v>
      </c>
      <c r="Y3909" t="s">
        <v>42702</v>
      </c>
    </row>
    <row r="3910" spans="1:25" x14ac:dyDescent="0.3">
      <c r="A3910">
        <v>195450</v>
      </c>
      <c r="B3910" t="s">
        <v>42703</v>
      </c>
      <c r="C3910">
        <f>-793.441829819134 -0.515291931714501 -93.989987524772</f>
        <v>-887.94710927562051</v>
      </c>
      <c r="D3910">
        <f>-814.526849371038 -12.658084631126 -207.234052065933</f>
        <v>-1034.418986068097</v>
      </c>
      <c r="E3910">
        <f>-824.495356050472 -18.2688919135276 -305.192192379002</f>
        <v>-1147.9564403430015</v>
      </c>
      <c r="F3910">
        <f>-830.738595295006 -21.7374601973188 -394.002313170845</f>
        <v>-1246.4783686631699</v>
      </c>
      <c r="G3910">
        <f>-833.824670413134 -23.5898693258614 -483.02635222568</f>
        <v>-1340.4408919646753</v>
      </c>
      <c r="H3910">
        <f>-834.782185962845 -24.5663375273357 -607.601413870506</f>
        <v>-1466.9499373606868</v>
      </c>
      <c r="I3910">
        <f>-801.417572247326 -19.4658992720751 -683.534316233681</f>
        <v>-1504.4177877530822</v>
      </c>
      <c r="J3910" t="s">
        <v>42704</v>
      </c>
      <c r="K3910" t="s">
        <v>42705</v>
      </c>
      <c r="L3910" t="s">
        <v>42706</v>
      </c>
      <c r="M3910" t="s">
        <v>42707</v>
      </c>
      <c r="N3910">
        <f>-828.526759494037 -51.2240461542132 -552.614599922116</f>
        <v>-1432.3654055703662</v>
      </c>
      <c r="O3910">
        <f>-800.243003547709 -182.354876386704 -522.555281385078</f>
        <v>-1505.1531613194911</v>
      </c>
      <c r="P3910">
        <f>-791.194552723885 -210.723440830642 -229.801725508051</f>
        <v>-1231.719719062578</v>
      </c>
      <c r="Q3910">
        <f>-641.295650759625 -56.553133350875 -338.487877514948</f>
        <v>-1036.336661625448</v>
      </c>
      <c r="R3910" t="s">
        <v>42708</v>
      </c>
      <c r="S3910" t="s">
        <v>42709</v>
      </c>
      <c r="T3910" t="s">
        <v>42710</v>
      </c>
      <c r="U3910" t="s">
        <v>42711</v>
      </c>
      <c r="V3910">
        <f>-759.052195724222 -89.4680827491229 -91.7290243514053</f>
        <v>-940.2493028247502</v>
      </c>
      <c r="W3910" t="s">
        <v>42712</v>
      </c>
      <c r="X3910" t="s">
        <v>42713</v>
      </c>
      <c r="Y3910" t="s">
        <v>42714</v>
      </c>
    </row>
    <row r="3911" spans="1:25" x14ac:dyDescent="0.3">
      <c r="A3911">
        <v>195500</v>
      </c>
      <c r="B3911" t="s">
        <v>42715</v>
      </c>
      <c r="C3911">
        <f>-794.4697777293 -0.70445942846095 -93.9940466029657</f>
        <v>-889.16828376072658</v>
      </c>
      <c r="D3911">
        <f>-815.644797878523 -12.9048412684897 -207.215111067078</f>
        <v>-1035.7647502140908</v>
      </c>
      <c r="E3911">
        <f>-825.748100651761 -18.5213271007797 -305.158994695237</f>
        <v>-1149.4284224477776</v>
      </c>
      <c r="F3911">
        <f>-832.136878131434 -21.9746031129771 -393.959393910874</f>
        <v>-1248.070875155285</v>
      </c>
      <c r="G3911">
        <f>-835.392028730111 -23.7891661105766 -482.978204594473</f>
        <v>-1342.1593994351606</v>
      </c>
      <c r="H3911">
        <f>-836.610914845916 -24.6870738342507 -607.55154929047</f>
        <v>-1468.8495379706367</v>
      </c>
      <c r="I3911">
        <f>-803.131578555004 -19.3029442249976 -683.414379768576</f>
        <v>-1505.8489025485778</v>
      </c>
      <c r="J3911" t="s">
        <v>42716</v>
      </c>
      <c r="K3911" t="s">
        <v>42717</v>
      </c>
      <c r="L3911" t="s">
        <v>42718</v>
      </c>
      <c r="M3911" t="s">
        <v>42719</v>
      </c>
      <c r="N3911">
        <f>-830.177747865657 -51.3659680724572 -552.59559816746</f>
        <v>-1434.1393141055742</v>
      </c>
      <c r="O3911">
        <f>-801.773666632826 -182.458521422499 -522.48374901043</f>
        <v>-1506.715937065755</v>
      </c>
      <c r="P3911">
        <f>-792.302640544004 -210.530973161415 -229.715166834426</f>
        <v>-1232.548780539845</v>
      </c>
      <c r="Q3911">
        <f>-642.580056788359 -56.3772419107671 -338.667583711529</f>
        <v>-1037.6248824106551</v>
      </c>
      <c r="R3911" t="s">
        <v>42720</v>
      </c>
      <c r="S3911" t="s">
        <v>42721</v>
      </c>
      <c r="T3911" t="s">
        <v>42722</v>
      </c>
      <c r="U3911" t="s">
        <v>42723</v>
      </c>
      <c r="V3911">
        <f>-760.086407701914 -89.7221979492992 -91.7416033386942</f>
        <v>-941.55020898990745</v>
      </c>
      <c r="W3911" t="s">
        <v>42724</v>
      </c>
      <c r="X3911" t="s">
        <v>42725</v>
      </c>
      <c r="Y3911" t="s">
        <v>42726</v>
      </c>
    </row>
    <row r="3912" spans="1:25" x14ac:dyDescent="0.3">
      <c r="A3912">
        <v>195550</v>
      </c>
      <c r="B3912" t="s">
        <v>42727</v>
      </c>
      <c r="C3912">
        <f>-794.899165274572 -0.786742932911693 -93.9857088778277</f>
        <v>-889.67161708531148</v>
      </c>
      <c r="D3912">
        <f>-816.139219376585 -13.0167869632064 -207.191192115479</f>
        <v>-1036.3471984552702</v>
      </c>
      <c r="E3912">
        <f>-826.266961679176 -18.6033684797712 -305.134463071598</f>
        <v>-1150.0047932305451</v>
      </c>
      <c r="F3912">
        <f>-832.664828008955 -22.0067999075909 -393.93612806007</f>
        <v>-1248.6077559766159</v>
      </c>
      <c r="G3912">
        <f>-835.916149763662 -23.7473439872206 -482.956635135805</f>
        <v>-1342.6201288866876</v>
      </c>
      <c r="H3912">
        <f>-837.115445528029 -24.5159409007572 -607.531010962873</f>
        <v>-1469.1623973916592</v>
      </c>
      <c r="I3912">
        <f>-803.572463942667 -18.9677318531269 -683.353886428516</f>
        <v>-1505.8940822243098</v>
      </c>
      <c r="J3912" t="s">
        <v>42728</v>
      </c>
      <c r="K3912" t="s">
        <v>42729</v>
      </c>
      <c r="L3912" t="s">
        <v>42730</v>
      </c>
      <c r="M3912" t="s">
        <v>42731</v>
      </c>
      <c r="N3912">
        <f>-830.654724713904 -51.2439007774802 -552.602071237053</f>
        <v>-1434.5006967284371</v>
      </c>
      <c r="O3912">
        <f>-802.209253627519 -182.32606616676 -522.493265929928</f>
        <v>-1507.028585724207</v>
      </c>
      <c r="P3912">
        <f>-792.637242972716 -210.432872543386 -229.73140571076</f>
        <v>-1232.801521226862</v>
      </c>
      <c r="Q3912">
        <f>-642.961575603562 -56.2716208533612 -338.737837049678</f>
        <v>-1037.9710335066011</v>
      </c>
      <c r="R3912" t="s">
        <v>42732</v>
      </c>
      <c r="S3912" t="s">
        <v>42733</v>
      </c>
      <c r="T3912" t="s">
        <v>42734</v>
      </c>
      <c r="U3912" t="s">
        <v>42735</v>
      </c>
      <c r="V3912">
        <f>-760.537381035766 -89.8361336788372 -91.7355262678366</f>
        <v>-942.10904098243975</v>
      </c>
      <c r="W3912" t="s">
        <v>42736</v>
      </c>
      <c r="X3912" t="s">
        <v>42737</v>
      </c>
      <c r="Y3912" t="s">
        <v>42738</v>
      </c>
    </row>
    <row r="3913" spans="1:25" x14ac:dyDescent="0.3">
      <c r="A3913">
        <v>195600</v>
      </c>
      <c r="B3913" t="s">
        <v>42739</v>
      </c>
      <c r="C3913">
        <f>-795.675583481923 -0.952658631320674 -93.9908163363989</f>
        <v>-890.61905844964258</v>
      </c>
      <c r="D3913">
        <f>-817.136755686211 -13.2384525468519 -207.148725116496</f>
        <v>-1037.523933349559</v>
      </c>
      <c r="E3913">
        <f>-827.275595162015 -18.7810150691521 -305.093293816467</f>
        <v>-1151.149904047634</v>
      </c>
      <c r="F3913">
        <f>-833.611352526094 -22.1065239069176 -393.902208018732</f>
        <v>-1249.6200844517437</v>
      </c>
      <c r="G3913">
        <f>-836.72792513898 -23.731290966839 -482.92976121153</f>
        <v>-1343.3889773173489</v>
      </c>
      <c r="H3913">
        <f>-837.663247203493 -24.2980068032455 -607.50753735485</f>
        <v>-1469.4687913615885</v>
      </c>
      <c r="I3913">
        <f>-803.945851474483 -18.4603846586358 -683.231288010505</f>
        <v>-1505.6375241436238</v>
      </c>
      <c r="J3913" t="s">
        <v>42740</v>
      </c>
      <c r="K3913" t="s">
        <v>42741</v>
      </c>
      <c r="L3913" t="s">
        <v>42742</v>
      </c>
      <c r="M3913" t="s">
        <v>42743</v>
      </c>
      <c r="N3913">
        <f>-831.276464463823 -51.1055836802136 -552.608769871827</f>
        <v>-1434.9908180158636</v>
      </c>
      <c r="O3913">
        <f>-802.84331618584 -182.184872786506 -522.50644633654</f>
        <v>-1507.534635308886</v>
      </c>
      <c r="P3913">
        <f>-793.359319193492 -210.560704314423 -229.767565573517</f>
        <v>-1233.687589081432</v>
      </c>
      <c r="Q3913">
        <f>-643.613890652683 -56.5113178041019 -338.836382599349</f>
        <v>-1038.9615910561338</v>
      </c>
      <c r="R3913" t="s">
        <v>42744</v>
      </c>
      <c r="S3913" t="s">
        <v>42745</v>
      </c>
      <c r="T3913" t="s">
        <v>42746</v>
      </c>
      <c r="U3913" t="s">
        <v>42747</v>
      </c>
      <c r="V3913">
        <f>-761.444187432547 -90.1362152387047 -91.7136199130325</f>
        <v>-943.29402258428422</v>
      </c>
      <c r="W3913" t="s">
        <v>42748</v>
      </c>
      <c r="X3913" t="s">
        <v>42749</v>
      </c>
      <c r="Y3913" t="s">
        <v>42750</v>
      </c>
    </row>
    <row r="3914" spans="1:25" x14ac:dyDescent="0.3">
      <c r="A3914">
        <v>195650</v>
      </c>
      <c r="B3914" t="s">
        <v>42751</v>
      </c>
      <c r="C3914">
        <f>-795.96048532749 -1.03762463378803 -93.9820247525826</f>
        <v>-890.98013471386059</v>
      </c>
      <c r="D3914">
        <f>-817.539220471722 -13.3284668361753 -207.116947544346</f>
        <v>-1037.9846348522433</v>
      </c>
      <c r="E3914">
        <f>-827.690663817706 -18.8502751469043 -305.061460308793</f>
        <v>-1151.6023992734033</v>
      </c>
      <c r="F3914">
        <f>-834.002430883629 -22.1466231940915 -393.873146482406</f>
        <v>-1250.0222005601265</v>
      </c>
      <c r="G3914">
        <f>-837.059628901055 -23.7321391139396 -482.903366034267</f>
        <v>-1343.6951340492617</v>
      </c>
      <c r="H3914">
        <f>-837.874903828355 -24.2332179056907 -607.482296383297</f>
        <v>-1469.5904181173428</v>
      </c>
      <c r="I3914">
        <f>-804.058587267157 -18.2811873168 -683.153038678642</f>
        <v>-1505.4928132625992</v>
      </c>
      <c r="J3914" t="s">
        <v>42752</v>
      </c>
      <c r="K3914" t="s">
        <v>42753</v>
      </c>
      <c r="L3914" t="s">
        <v>42754</v>
      </c>
      <c r="M3914" t="s">
        <v>42755</v>
      </c>
      <c r="N3914">
        <f>-831.532906337771 -51.0678846950476 -552.59156588543</f>
        <v>-1435.1923569182486</v>
      </c>
      <c r="O3914">
        <f>-803.137256906991 -182.155577308944 -522.477219319608</f>
        <v>-1507.770053535543</v>
      </c>
      <c r="P3914">
        <f>-793.738970964208 -210.573445106918 -229.739693372862</f>
        <v>-1234.052109443988</v>
      </c>
      <c r="Q3914">
        <f>-643.908285623366 -56.6410339220886 -338.856162327638</f>
        <v>-1039.4054818730926</v>
      </c>
      <c r="R3914" t="s">
        <v>42756</v>
      </c>
      <c r="S3914" t="s">
        <v>42757</v>
      </c>
      <c r="T3914" t="s">
        <v>42758</v>
      </c>
      <c r="U3914" t="s">
        <v>42759</v>
      </c>
      <c r="V3914">
        <f>-761.788215505445 -90.2710366775249 -91.7084484664775</f>
        <v>-943.76770064944742</v>
      </c>
      <c r="W3914" t="s">
        <v>42760</v>
      </c>
      <c r="X3914" t="s">
        <v>42761</v>
      </c>
      <c r="Y3914" t="s">
        <v>42762</v>
      </c>
    </row>
    <row r="3915" spans="1:25" x14ac:dyDescent="0.3">
      <c r="A3915">
        <v>195700</v>
      </c>
      <c r="B3915" t="s">
        <v>42763</v>
      </c>
      <c r="C3915">
        <f>-796.429493900616 -1.28761229095676 -93.9649707412781</f>
        <v>-891.6820769328508</v>
      </c>
      <c r="D3915">
        <f>-818.223492777841 -13.599363733327 -207.056367617107</f>
        <v>-1038.8792241282749</v>
      </c>
      <c r="E3915">
        <f>-828.442536905665 -19.1027835353259 -304.994812987302</f>
        <v>-1152.5401334282928</v>
      </c>
      <c r="F3915">
        <f>-834.768107801979 -22.367250001045 -393.806795120625</f>
        <v>-1250.942152923649</v>
      </c>
      <c r="G3915">
        <f>-837.792148091477 -23.9060461861625 -482.838947274074</f>
        <v>-1344.5371415517134</v>
      </c>
      <c r="H3915">
        <f>-838.511630611875 -24.3264963167644 -607.418794649163</f>
        <v>-1470.2569215778026</v>
      </c>
      <c r="I3915">
        <f>-804.541752133399 -18.2423398756375 -683.010157827869</f>
        <v>-1505.7942498369055</v>
      </c>
      <c r="J3915" t="s">
        <v>42764</v>
      </c>
      <c r="K3915" t="s">
        <v>42765</v>
      </c>
      <c r="L3915" t="s">
        <v>42766</v>
      </c>
      <c r="M3915" t="s">
        <v>42767</v>
      </c>
      <c r="N3915">
        <f>-832.20965968843 -51.1962706203603 -552.540592392121</f>
        <v>-1435.9465227009114</v>
      </c>
      <c r="O3915">
        <f>-803.911336282326 -182.303426911263 -522.41760479717</f>
        <v>-1508.6323679907591</v>
      </c>
      <c r="P3915">
        <f>-794.712612108943 -210.763252018228 -229.677701730196</f>
        <v>-1235.1535658573671</v>
      </c>
      <c r="Q3915">
        <f>-644.785731339342 -56.8538925382104 -338.694581437577</f>
        <v>-1040.3342053151293</v>
      </c>
      <c r="R3915" t="s">
        <v>42768</v>
      </c>
      <c r="S3915" t="s">
        <v>42769</v>
      </c>
      <c r="T3915" t="s">
        <v>42770</v>
      </c>
      <c r="U3915" t="s">
        <v>42771</v>
      </c>
      <c r="V3915">
        <f>-762.336489764328 -90.684963120059 -91.7008116115626</f>
        <v>-944.72226449594962</v>
      </c>
      <c r="W3915" t="s">
        <v>42772</v>
      </c>
      <c r="X3915" t="s">
        <v>42773</v>
      </c>
      <c r="Y3915" t="s">
        <v>42774</v>
      </c>
    </row>
    <row r="3916" spans="1:25" x14ac:dyDescent="0.3">
      <c r="A3916">
        <v>195750</v>
      </c>
      <c r="B3916" t="s">
        <v>42775</v>
      </c>
      <c r="C3916">
        <f>-796.60673593082 -1.47147444157076 -93.9577711474176</f>
        <v>-892.03598151980839</v>
      </c>
      <c r="D3916">
        <f>-818.481619728373 -13.7831589588391 -207.03357540626</f>
        <v>-1039.298354093472</v>
      </c>
      <c r="E3916">
        <f>-828.722035708929 -19.2662454130386 -304.970915104715</f>
        <v>-1152.9591962266827</v>
      </c>
      <c r="F3916">
        <f>-835.047496223737 -22.5044813506197 -393.783907983602</f>
        <v>-1251.3358855579586</v>
      </c>
      <c r="G3916">
        <f>-838.051621308906 -24.0096065349239 -482.817333644796</f>
        <v>-1344.878561488626</v>
      </c>
      <c r="H3916">
        <f>-838.721914720001 -24.3752917773986 -607.397548755619</f>
        <v>-1470.4947552530186</v>
      </c>
      <c r="I3916">
        <f>-804.680437356195 -18.2447903423622 -682.952836283834</f>
        <v>-1505.8780639823913</v>
      </c>
      <c r="J3916" t="s">
        <v>42776</v>
      </c>
      <c r="K3916" t="s">
        <v>42777</v>
      </c>
      <c r="L3916" t="s">
        <v>42778</v>
      </c>
      <c r="M3916" t="s">
        <v>42779</v>
      </c>
      <c r="N3916">
        <f>-832.448073221952 -51.2707905123364 -552.528731900868</f>
        <v>-1436.2475956351564</v>
      </c>
      <c r="O3916">
        <f>-804.202463261435 -182.401280353964 -522.440353635117</f>
        <v>-1509.0440972505162</v>
      </c>
      <c r="P3916">
        <f>-795.139998961089 -211.032423228015 -229.71288876834</f>
        <v>-1235.8853109574438</v>
      </c>
      <c r="Q3916">
        <f>-645.036485125831 -57.1601731321995 -338.539178153225</f>
        <v>-1040.7358364112554</v>
      </c>
      <c r="R3916" t="s">
        <v>42780</v>
      </c>
      <c r="S3916" t="s">
        <v>42781</v>
      </c>
      <c r="T3916" t="s">
        <v>42782</v>
      </c>
      <c r="U3916" t="s">
        <v>42783</v>
      </c>
      <c r="V3916">
        <f>-762.535570256816 -90.9413401709153 -91.7013418962733</f>
        <v>-945.17825232400457</v>
      </c>
      <c r="W3916" t="s">
        <v>42784</v>
      </c>
      <c r="X3916" t="s">
        <v>42785</v>
      </c>
      <c r="Y3916" t="s">
        <v>42786</v>
      </c>
    </row>
    <row r="3917" spans="1:25" x14ac:dyDescent="0.3">
      <c r="A3917">
        <v>195800</v>
      </c>
      <c r="B3917" t="s">
        <v>42787</v>
      </c>
      <c r="C3917">
        <f>-796.971320020119 -1.70118917183618 -93.9458994332331</f>
        <v>-892.61840862518829</v>
      </c>
      <c r="D3917">
        <f>-819.04499727139 -14.0139364223699 -206.982964310915</f>
        <v>-1040.0418980046747</v>
      </c>
      <c r="E3917">
        <f>-829.367522626299 -19.4695449928422 -304.913218453675</f>
        <v>-1153.7502860728162</v>
      </c>
      <c r="F3917">
        <f>-835.730901159693 -22.6719868908388 -393.724782745212</f>
        <v>-1252.1276707957436</v>
      </c>
      <c r="G3917">
        <f>-838.736177527778 -24.1315538534991 -482.75891381099</f>
        <v>-1345.626645192267</v>
      </c>
      <c r="H3917">
        <f>-839.36938884682 -24.4242959082235 -607.339517380759</f>
        <v>-1471.1332021358025</v>
      </c>
      <c r="I3917">
        <f>-805.2920942397 -18.2163485425756 -682.872411216137</f>
        <v>-1506.3808539984125</v>
      </c>
      <c r="J3917" t="s">
        <v>42788</v>
      </c>
      <c r="K3917" t="s">
        <v>42789</v>
      </c>
      <c r="L3917" t="s">
        <v>42790</v>
      </c>
      <c r="M3917" t="s">
        <v>42791</v>
      </c>
      <c r="N3917">
        <f>-833.134735844 -51.3567799388841 -552.484434021943</f>
        <v>-1436.975949804827</v>
      </c>
      <c r="O3917">
        <f>-805.04526477351 -182.531705777406 -522.465145232867</f>
        <v>-1510.0421157837832</v>
      </c>
      <c r="P3917">
        <f>-796.106495922488 -211.47270437364 -229.764403124569</f>
        <v>-1237.343603420697</v>
      </c>
      <c r="Q3917">
        <f>-645.889338694367 -57.5541832234248 -338.367925208501</f>
        <v>-1041.8114471262929</v>
      </c>
      <c r="R3917" t="s">
        <v>42792</v>
      </c>
      <c r="S3917" t="s">
        <v>42793</v>
      </c>
      <c r="T3917" t="s">
        <v>42794</v>
      </c>
      <c r="U3917" t="s">
        <v>42795</v>
      </c>
      <c r="V3917">
        <f>-762.963836239437 -91.3205012195408 -91.7157303091732</f>
        <v>-946.00006776815098</v>
      </c>
      <c r="W3917" t="s">
        <v>42796</v>
      </c>
      <c r="X3917" t="s">
        <v>42797</v>
      </c>
      <c r="Y3917" t="s">
        <v>42798</v>
      </c>
    </row>
    <row r="3918" spans="1:25" x14ac:dyDescent="0.3">
      <c r="A3918">
        <v>195850</v>
      </c>
      <c r="B3918" t="s">
        <v>42799</v>
      </c>
      <c r="C3918">
        <f>-797.28507442114 -1.63120467004978 -93.9598589728745</f>
        <v>-892.87613806406432</v>
      </c>
      <c r="D3918">
        <f>-819.411765337427 -13.9278433500219 -206.98813379788</f>
        <v>-1040.3277424853291</v>
      </c>
      <c r="E3918">
        <f>-829.756317083263 -19.3724979313588 -304.916786064548</f>
        <v>-1154.0456010791697</v>
      </c>
      <c r="F3918">
        <f>-836.130148752319 -22.5666741427187 -393.727942518943</f>
        <v>-1252.4247654139808</v>
      </c>
      <c r="G3918">
        <f>-839.136275801814 -24.0195114752541 -482.762208144927</f>
        <v>-1345.9179954219951</v>
      </c>
      <c r="H3918">
        <f>-839.760795067762 -24.3048464959677 -607.342929715154</f>
        <v>-1471.4085712788847</v>
      </c>
      <c r="I3918">
        <f>-805.635338741055 -18.0635971589877 -682.851317378923</f>
        <v>-1506.5502532789656</v>
      </c>
      <c r="J3918" t="s">
        <v>42800</v>
      </c>
      <c r="K3918" t="s">
        <v>42801</v>
      </c>
      <c r="L3918" t="s">
        <v>42802</v>
      </c>
      <c r="M3918" t="s">
        <v>42803</v>
      </c>
      <c r="N3918">
        <f>-833.541747542139 -51.2432937485568 -552.488866023089</f>
        <v>-1437.2739073137848</v>
      </c>
      <c r="O3918">
        <f>-805.505040611683 -182.43149481886 -522.463499649341</f>
        <v>-1510.4000350798838</v>
      </c>
      <c r="P3918">
        <f>-796.63081896515 -211.259827342854 -229.749812601678</f>
        <v>-1237.6404589096819</v>
      </c>
      <c r="Q3918">
        <f>-646.314387912067 -57.4890126068108 -338.425284603408</f>
        <v>-1042.2286851222857</v>
      </c>
      <c r="R3918" t="s">
        <v>42804</v>
      </c>
      <c r="S3918" t="s">
        <v>42805</v>
      </c>
      <c r="T3918" t="s">
        <v>42806</v>
      </c>
      <c r="U3918" t="s">
        <v>42807</v>
      </c>
      <c r="V3918">
        <f>-763.384565176637 -91.1817838217354 -91.7372210359507</f>
        <v>-946.30357003432312</v>
      </c>
      <c r="W3918" t="s">
        <v>42808</v>
      </c>
      <c r="X3918" t="s">
        <v>42809</v>
      </c>
      <c r="Y3918" t="s">
        <v>42810</v>
      </c>
    </row>
    <row r="3919" spans="1:25" x14ac:dyDescent="0.3">
      <c r="A3919">
        <v>195900</v>
      </c>
      <c r="B3919" t="s">
        <v>42811</v>
      </c>
      <c r="C3919">
        <f>-797.876878236271 -1.64784769504263 -93.9531298734338</f>
        <v>-893.47785580474738</v>
      </c>
      <c r="D3919">
        <f>-820.083014597573 -13.8915888216811 -206.971672795407</f>
        <v>-1040.9462762146611</v>
      </c>
      <c r="E3919">
        <f>-830.443836497836 -19.2889408761798 -304.901155663937</f>
        <v>-1154.6339330379528</v>
      </c>
      <c r="F3919">
        <f>-836.81186473273 -22.4388205819607 -393.714329367131</f>
        <v>-1252.9650146818217</v>
      </c>
      <c r="G3919">
        <f>-839.791755485366 -23.8466309207895 -482.750122238037</f>
        <v>-1346.3885086441926</v>
      </c>
      <c r="H3919">
        <f>-840.358479454301 -24.068080511365 -607.331246193459</f>
        <v>-1471.757806159125</v>
      </c>
      <c r="I3919">
        <f>-806.195956285431 -17.7710531733119 -682.818343221557</f>
        <v>-1506.7853526802999</v>
      </c>
      <c r="J3919" t="s">
        <v>42812</v>
      </c>
      <c r="K3919" t="s">
        <v>42813</v>
      </c>
      <c r="L3919" t="s">
        <v>42814</v>
      </c>
      <c r="M3919" t="s">
        <v>42815</v>
      </c>
      <c r="N3919">
        <f>-834.178591916021 -51.0375815168483 -552.488129447702</f>
        <v>-1437.7043028805713</v>
      </c>
      <c r="O3919">
        <f>-806.224321009256 -182.257605468029 -522.502479999558</f>
        <v>-1510.9844064768431</v>
      </c>
      <c r="P3919">
        <f>-797.327256504915 -211.12249701231 -229.792974992175</f>
        <v>-1238.2427285094</v>
      </c>
      <c r="Q3919">
        <f>-647.006847156317 -57.3918833002193 -338.519898145721</f>
        <v>-1042.9186286022573</v>
      </c>
      <c r="R3919" t="s">
        <v>42816</v>
      </c>
      <c r="S3919" t="s">
        <v>42817</v>
      </c>
      <c r="T3919" t="s">
        <v>42818</v>
      </c>
      <c r="U3919" t="s">
        <v>42819</v>
      </c>
      <c r="V3919">
        <f>-764.081187666948 -91.3565463169615 -91.7703755565285</f>
        <v>-947.20810954043804</v>
      </c>
      <c r="W3919" t="s">
        <v>42820</v>
      </c>
      <c r="X3919" t="s">
        <v>42821</v>
      </c>
      <c r="Y3919" t="s">
        <v>42822</v>
      </c>
    </row>
    <row r="3920" spans="1:25" x14ac:dyDescent="0.3">
      <c r="A3920">
        <v>195950</v>
      </c>
      <c r="B3920" t="s">
        <v>42823</v>
      </c>
      <c r="C3920">
        <f>-798.129159268816 -1.63793902358043 -93.9501156839119</f>
        <v>-893.71721397630836</v>
      </c>
      <c r="D3920">
        <f>-820.401901121885 -13.861359343058 -206.957847005428</f>
        <v>-1041.221107470371</v>
      </c>
      <c r="E3920">
        <f>-830.775284790536 -19.2289289847452 -304.887617989053</f>
        <v>-1154.8918317643343</v>
      </c>
      <c r="F3920">
        <f>-837.137059966021 -22.3468424083151 -393.702279281783</f>
        <v>-1253.1861816561191</v>
      </c>
      <c r="G3920">
        <f>-840.092696168244 -23.7175237395709 -482.739459524363</f>
        <v>-1346.5496794321778</v>
      </c>
      <c r="H3920">
        <f>-840.606951503161 -23.8821913614929 -607.320870689313</f>
        <v>-1471.8100135539669</v>
      </c>
      <c r="I3920">
        <f>-806.431368568261 -17.5539278386948 -682.799412109511</f>
        <v>-1506.7847085164667</v>
      </c>
      <c r="J3920" t="s">
        <v>42824</v>
      </c>
      <c r="K3920" t="s">
        <v>42825</v>
      </c>
      <c r="L3920" t="s">
        <v>42826</v>
      </c>
      <c r="M3920" t="s">
        <v>42827</v>
      </c>
      <c r="N3920">
        <f>-834.452574907875 -50.8772298912945 -552.487479767246</f>
        <v>-1437.8172845664155</v>
      </c>
      <c r="O3920">
        <f>-806.534683456289 -182.104437776092 -522.5377711897</f>
        <v>-1511.176892422081</v>
      </c>
      <c r="P3920">
        <f>-797.566944432177 -211.19794025503 -229.853012132034</f>
        <v>-1238.6178968192412</v>
      </c>
      <c r="Q3920">
        <f>-647.289479945776 -57.3809905159013 -338.517252498252</f>
        <v>-1043.1877229599293</v>
      </c>
      <c r="R3920" t="s">
        <v>42828</v>
      </c>
      <c r="S3920" t="s">
        <v>42829</v>
      </c>
      <c r="T3920" t="s">
        <v>42830</v>
      </c>
      <c r="U3920" t="s">
        <v>42831</v>
      </c>
      <c r="V3920">
        <f>-764.383886033807 -91.418884228593 -91.7856452986636</f>
        <v>-947.58841556106358</v>
      </c>
      <c r="W3920" t="s">
        <v>42832</v>
      </c>
      <c r="X3920" t="s">
        <v>42833</v>
      </c>
      <c r="Y3920" t="s">
        <v>42834</v>
      </c>
    </row>
    <row r="3921" spans="1:25" x14ac:dyDescent="0.3">
      <c r="A3921">
        <v>196000</v>
      </c>
      <c r="B3921" t="s">
        <v>42835</v>
      </c>
      <c r="C3921">
        <f>-798.721045087933 -1.50811882835842 -93.9471424812475</f>
        <v>-894.17630639753895</v>
      </c>
      <c r="D3921">
        <f>-821.100158168124 -13.7016312857281 -206.937103125037</f>
        <v>-1041.7388925788891</v>
      </c>
      <c r="E3921">
        <f>-831.483966485119 -19.039097101348 -304.867366927596</f>
        <v>-1155.3904305140632</v>
      </c>
      <c r="F3921">
        <f>-837.822788435432 -22.1280705525983 -393.684636381953</f>
        <v>-1253.6354953699833</v>
      </c>
      <c r="G3921">
        <f>-840.72325008147 -23.4685760062894 -482.724236857782</f>
        <v>-1346.9160629455414</v>
      </c>
      <c r="H3921">
        <f>-841.126362901764 -23.590138191609 -607.306063213727</f>
        <v>-1472.0225643070999</v>
      </c>
      <c r="I3921">
        <f>-806.971331904649 -17.2190080754685 -682.79018675625</f>
        <v>-1506.9805267363677</v>
      </c>
      <c r="J3921" t="s">
        <v>42836</v>
      </c>
      <c r="K3921" t="s">
        <v>42837</v>
      </c>
      <c r="L3921" t="s">
        <v>42838</v>
      </c>
      <c r="M3921" t="s">
        <v>42839</v>
      </c>
      <c r="N3921">
        <f>-835.03172094151 -50.6065066331395 -552.476417725447</f>
        <v>-1438.1146453000965</v>
      </c>
      <c r="O3921">
        <f>-807.162219182807 -181.851603028874 -522.557692688093</f>
        <v>-1511.571514899774</v>
      </c>
      <c r="P3921">
        <f>-798.249424021301 -211.089860420255 -229.885807142582</f>
        <v>-1239.225091584138</v>
      </c>
      <c r="Q3921">
        <f>-647.930939377455 -57.2375958571803 -338.443235192664</f>
        <v>-1043.6117704272992</v>
      </c>
      <c r="R3921" t="s">
        <v>42840</v>
      </c>
      <c r="S3921" t="s">
        <v>42841</v>
      </c>
      <c r="T3921" t="s">
        <v>42842</v>
      </c>
      <c r="U3921" t="s">
        <v>42843</v>
      </c>
      <c r="V3921">
        <f>-765.063032440295 -91.4083605377431 -91.8100661601432</f>
        <v>-948.28145913818128</v>
      </c>
      <c r="W3921" t="s">
        <v>42844</v>
      </c>
      <c r="X3921" t="s">
        <v>42845</v>
      </c>
      <c r="Y3921" t="s">
        <v>42846</v>
      </c>
    </row>
    <row r="3922" spans="1:25" x14ac:dyDescent="0.3">
      <c r="A3922">
        <v>196050</v>
      </c>
      <c r="B3922" t="s">
        <v>42847</v>
      </c>
      <c r="C3922">
        <f>-798.968239405729 -1.62707723888275 -93.9362728579029</f>
        <v>-894.53158950251463</v>
      </c>
      <c r="D3922">
        <f>-821.380164801814 -13.8162829715461 -206.920121576578</f>
        <v>-1042.1165693499381</v>
      </c>
      <c r="E3922">
        <f>-831.772065114666 -19.1534566281912 -304.849621032348</f>
        <v>-1155.7751427752053</v>
      </c>
      <c r="F3922">
        <f>-838.109814315981 -22.2437936140134 -393.666894684325</f>
        <v>-1254.0205026143194</v>
      </c>
      <c r="G3922">
        <f>-841.001126018626 -23.587651003206 -482.706733053721</f>
        <v>-1347.295510075553</v>
      </c>
      <c r="H3922">
        <f>-841.38269412621 -23.7162122295488 -607.288652648672</f>
        <v>-1472.3875590044308</v>
      </c>
      <c r="I3922">
        <f>-807.231252391497 -17.3281684782971 -682.77306367263</f>
        <v>-1507.332484542424</v>
      </c>
      <c r="J3922" t="s">
        <v>42848</v>
      </c>
      <c r="K3922" t="s">
        <v>42849</v>
      </c>
      <c r="L3922" t="s">
        <v>42850</v>
      </c>
      <c r="M3922" t="s">
        <v>42851</v>
      </c>
      <c r="N3922">
        <f>-835.30479175313 -50.7311035841617 -552.456381216961</f>
        <v>-1438.4922765542526</v>
      </c>
      <c r="O3922">
        <f>-807.463731200251 -181.980263602696 -522.51872472215</f>
        <v>-1511.9627195250969</v>
      </c>
      <c r="P3922">
        <f>-798.556880082936 -211.124003631987 -229.837087281995</f>
        <v>-1239.5179709969179</v>
      </c>
      <c r="Q3922">
        <f>-648.216948953012 -57.2856926139733 -338.384660871293</f>
        <v>-1043.8873024382783</v>
      </c>
      <c r="R3922" t="s">
        <v>42852</v>
      </c>
      <c r="S3922" t="s">
        <v>42853</v>
      </c>
      <c r="T3922" t="s">
        <v>42854</v>
      </c>
      <c r="U3922" t="s">
        <v>42855</v>
      </c>
      <c r="V3922">
        <f>-765.307415673242 -91.6171168393673 -91.8032727468875</f>
        <v>-948.72780525949679</v>
      </c>
      <c r="W3922" t="s">
        <v>42856</v>
      </c>
      <c r="X3922" t="s">
        <v>42857</v>
      </c>
      <c r="Y3922" t="s">
        <v>42858</v>
      </c>
    </row>
    <row r="3923" spans="1:25" x14ac:dyDescent="0.3">
      <c r="A3923">
        <v>196100</v>
      </c>
      <c r="B3923" t="s">
        <v>42859</v>
      </c>
      <c r="C3923">
        <f>-799.36563847407 -1.73278776349889 -93.9081378212308</f>
        <v>-895.00656405879965</v>
      </c>
      <c r="D3923">
        <f>-821.82232162768 -13.9443238737408 -206.880652781582</f>
        <v>-1042.6472982830028</v>
      </c>
      <c r="E3923">
        <f>-832.232363985375 -19.2991618672338 -304.807254366489</f>
        <v>-1156.3387802190978</v>
      </c>
      <c r="F3923">
        <f>-838.578620323305 -22.4047026631222 -393.623493055985</f>
        <v>-1254.6068160424122</v>
      </c>
      <c r="G3923">
        <f>-841.470326981268 -23.7631989684714 -482.662960256409</f>
        <v>-1347.8964862061484</v>
      </c>
      <c r="H3923">
        <f>-841.844097844787 -23.9118103608305 -607.244785018755</f>
        <v>-1473.0006932243725</v>
      </c>
      <c r="I3923">
        <f>-807.689210153428 -17.5248956060634 -682.727822717779</f>
        <v>-1507.9419284772703</v>
      </c>
      <c r="J3923" t="s">
        <v>42860</v>
      </c>
      <c r="K3923" t="s">
        <v>42861</v>
      </c>
      <c r="L3923" t="s">
        <v>42862</v>
      </c>
      <c r="M3923" t="s">
        <v>42863</v>
      </c>
      <c r="N3923">
        <f>-835.784377475081 -50.9211197014421 -552.407982553801</f>
        <v>-1439.1134797303241</v>
      </c>
      <c r="O3923">
        <f>-808.026038035001 -182.186778007807 -522.454325978057</f>
        <v>-1512.667142020865</v>
      </c>
      <c r="P3923">
        <f>-798.905910362551 -211.316306179851 -229.77792208801</f>
        <v>-1240.000138630412</v>
      </c>
      <c r="Q3923">
        <f>-648.557548173127 -57.5689530839499 -338.442329882297</f>
        <v>-1044.5688311393737</v>
      </c>
      <c r="R3923" t="s">
        <v>42864</v>
      </c>
      <c r="S3923" t="s">
        <v>42865</v>
      </c>
      <c r="T3923" t="s">
        <v>42866</v>
      </c>
      <c r="U3923" t="s">
        <v>42867</v>
      </c>
      <c r="V3923">
        <f>-765.817875306075 -91.667284162823 -91.7798738954298</f>
        <v>-949.26503336432779</v>
      </c>
      <c r="W3923" t="s">
        <v>42868</v>
      </c>
      <c r="X3923" t="s">
        <v>42869</v>
      </c>
      <c r="Y3923" t="s">
        <v>42870</v>
      </c>
    </row>
    <row r="3924" spans="1:25" x14ac:dyDescent="0.3">
      <c r="A3924">
        <v>196150</v>
      </c>
      <c r="B3924" t="s">
        <v>42871</v>
      </c>
      <c r="C3924">
        <f>-799.535008309188 -1.72212169741624 -93.8960654906182</f>
        <v>-895.15319549722244</v>
      </c>
      <c r="D3924">
        <f>-822.022970493571 -13.9475366117454 -206.860856342155</f>
        <v>-1042.8313634474714</v>
      </c>
      <c r="E3924">
        <f>-832.436644971421 -19.3115676999325 -304.786617863411</f>
        <v>-1156.5348305347645</v>
      </c>
      <c r="F3924">
        <f>-838.776934227313 -22.4240630544468 -393.603017462581</f>
        <v>-1254.8040147443407</v>
      </c>
      <c r="G3924">
        <f>-841.653204840789 -23.7888442566748 -482.642992789628</f>
        <v>-1348.0850418870918</v>
      </c>
      <c r="H3924">
        <f>-841.995549631084 -23.9452485543395 -607.224870146761</f>
        <v>-1473.1656683321844</v>
      </c>
      <c r="I3924">
        <f>-807.816973121619 -17.5834748352593 -682.699324800211</f>
        <v>-1508.0997727570893</v>
      </c>
      <c r="J3924" t="s">
        <v>42872</v>
      </c>
      <c r="K3924" t="s">
        <v>42873</v>
      </c>
      <c r="L3924" t="s">
        <v>42874</v>
      </c>
      <c r="M3924" t="s">
        <v>42875</v>
      </c>
      <c r="N3924">
        <f>-835.95454221251 -50.9522916171353 -552.384658963084</f>
        <v>-1439.2914927927293</v>
      </c>
      <c r="O3924">
        <f>-808.239716573437 -182.222306020914 -522.420334159529</f>
        <v>-1512.8823567538802</v>
      </c>
      <c r="P3924">
        <f>-799.056634215263 -211.328632760329 -229.743519750338</f>
        <v>-1240.12878672593</v>
      </c>
      <c r="Q3924">
        <f>-648.747883651522 -57.5905572271331 -338.476204553344</f>
        <v>-1044.814645431999</v>
      </c>
      <c r="R3924" t="s">
        <v>42876</v>
      </c>
      <c r="S3924" t="s">
        <v>42877</v>
      </c>
      <c r="T3924" t="s">
        <v>42878</v>
      </c>
      <c r="U3924" t="s">
        <v>42879</v>
      </c>
      <c r="V3924">
        <f>-766.043563081919 -91.6847024891963 -91.7607495526049</f>
        <v>-949.48901512372026</v>
      </c>
      <c r="W3924" t="s">
        <v>42880</v>
      </c>
      <c r="X3924" t="s">
        <v>42881</v>
      </c>
      <c r="Y3924" t="s">
        <v>42882</v>
      </c>
    </row>
    <row r="3925" spans="1:25" x14ac:dyDescent="0.3">
      <c r="A3925">
        <v>196200</v>
      </c>
      <c r="B3925" t="s">
        <v>42883</v>
      </c>
      <c r="C3925">
        <f>-799.890469120828 -1.55481545609291 -93.9026963150933</f>
        <v>-895.34798089201422</v>
      </c>
      <c r="D3925">
        <f>-822.461161142976 -13.7945999923752 -206.849400575976</f>
        <v>-1043.1051617113271</v>
      </c>
      <c r="E3925">
        <f>-832.90024291549 -19.1984591766807 -304.770247482658</f>
        <v>-1156.8689495748288</v>
      </c>
      <c r="F3925">
        <f>-839.24571677792 -22.3578293282553 -393.584710695773</f>
        <v>-1255.1882568019485</v>
      </c>
      <c r="G3925">
        <f>-842.109894096831 -23.7803405602742 -482.623943637392</f>
        <v>-1348.5141782944972</v>
      </c>
      <c r="H3925">
        <f>-842.41758728573 -24.0294810629216 -607.205989723545</f>
        <v>-1473.6530580721965</v>
      </c>
      <c r="I3925">
        <f>-808.199324219484 -17.7836492620515 -682.672036399514</f>
        <v>-1508.6550098810494</v>
      </c>
      <c r="J3925" t="s">
        <v>42884</v>
      </c>
      <c r="K3925" t="s">
        <v>42885</v>
      </c>
      <c r="L3925" t="s">
        <v>42886</v>
      </c>
      <c r="M3925" t="s">
        <v>42887</v>
      </c>
      <c r="N3925">
        <f>-836.414154402523 -51.0003477488636 -552.343967034827</f>
        <v>-1439.7584691862135</v>
      </c>
      <c r="O3925">
        <f>-808.831161519974 -182.277960811074 -522.296043320344</f>
        <v>-1513.4051656513921</v>
      </c>
      <c r="P3925">
        <f>-799.512980081494 -211.181233853133 -229.603492915836</f>
        <v>-1240.2977068504629</v>
      </c>
      <c r="Q3925">
        <f>-649.138108298249 -57.5858817985448 -338.445944455403</f>
        <v>-1045.1699345521968</v>
      </c>
      <c r="R3925" t="s">
        <v>42888</v>
      </c>
      <c r="S3925" t="s">
        <v>42889</v>
      </c>
      <c r="T3925" t="s">
        <v>42890</v>
      </c>
      <c r="U3925" t="s">
        <v>42891</v>
      </c>
      <c r="V3925">
        <f>-766.536309483483 -91.5429645145505 -91.7396610388483</f>
        <v>-949.81893503688184</v>
      </c>
      <c r="W3925" t="s">
        <v>42892</v>
      </c>
      <c r="X3925" t="s">
        <v>42893</v>
      </c>
      <c r="Y3925" t="s">
        <v>42894</v>
      </c>
    </row>
    <row r="3926" spans="1:25" x14ac:dyDescent="0.3">
      <c r="A3926">
        <v>196250</v>
      </c>
      <c r="B3926" t="s">
        <v>42895</v>
      </c>
      <c r="C3926">
        <f>-799.979077580014 -1.55590679907004 -93.8854615498808</f>
        <v>-895.4204459289648</v>
      </c>
      <c r="D3926">
        <f>-822.611880759222 -13.8027526583805 -206.819010077888</f>
        <v>-1043.2336434954905</v>
      </c>
      <c r="E3926">
        <f>-833.041698161838 -19.219736545419 -304.740104663981</f>
        <v>-1157.0015393712379</v>
      </c>
      <c r="F3926">
        <f>-839.353746270781 -22.3940637196824 -393.556348171138</f>
        <v>-1255.3041581616014</v>
      </c>
      <c r="G3926">
        <f>-842.159639764309 -23.8349248172187 -482.597291914569</f>
        <v>-1348.5918564960966</v>
      </c>
      <c r="H3926">
        <f>-842.360099849104 -24.1135462322222 -607.179432949306</f>
        <v>-1473.6530790306324</v>
      </c>
      <c r="I3926">
        <f>-808.117438991499 -17.9246770942539 -682.639076864646</f>
        <v>-1508.6811929503988</v>
      </c>
      <c r="J3926" t="s">
        <v>42896</v>
      </c>
      <c r="K3926" t="s">
        <v>42897</v>
      </c>
      <c r="L3926" t="s">
        <v>42898</v>
      </c>
      <c r="M3926" t="s">
        <v>42899</v>
      </c>
      <c r="N3926">
        <f>-836.413901632537 -51.0736502162396 -552.305776406858</f>
        <v>-1439.7933282556346</v>
      </c>
      <c r="O3926">
        <f>-808.900266387633 -182.353281658052 -522.209684138002</f>
        <v>-1513.4632321836871</v>
      </c>
      <c r="P3926">
        <f>-799.631763698273 -211.193144598911 -229.509248402331</f>
        <v>-1240.334156699515</v>
      </c>
      <c r="Q3926">
        <f>-649.167380698309 -57.7333681589041 -338.419572891304</f>
        <v>-1045.320321748517</v>
      </c>
      <c r="R3926" t="s">
        <v>42900</v>
      </c>
      <c r="S3926" t="s">
        <v>42901</v>
      </c>
      <c r="T3926" t="s">
        <v>42902</v>
      </c>
      <c r="U3926" t="s">
        <v>42903</v>
      </c>
      <c r="V3926">
        <f>-766.675239930036 -91.6258531350217 -91.7343102348956</f>
        <v>-950.03540329995326</v>
      </c>
      <c r="W3926" t="s">
        <v>42904</v>
      </c>
      <c r="X3926" t="s">
        <v>42905</v>
      </c>
      <c r="Y3926" t="s">
        <v>42906</v>
      </c>
    </row>
    <row r="3927" spans="1:25" x14ac:dyDescent="0.3">
      <c r="A3927">
        <v>196300</v>
      </c>
      <c r="B3927" t="s">
        <v>42907</v>
      </c>
      <c r="C3927">
        <f>-800.149992637203 -1.424223304424 -93.875067716314</f>
        <v>-895.44928365794101</v>
      </c>
      <c r="D3927">
        <f>-822.951554221474 -13.6977773998542 -206.771827563391</f>
        <v>-1043.4211591847193</v>
      </c>
      <c r="E3927">
        <f>-833.399508575329 -19.1393736868199 -304.689488295575</f>
        <v>-1157.228370557724</v>
      </c>
      <c r="F3927">
        <f>-839.677725359504 -22.3363552719104 -393.507338358204</f>
        <v>-1255.5214189896185</v>
      </c>
      <c r="G3927">
        <f>-842.399202038768 -23.8014403551183 -482.55051829232</f>
        <v>-1348.7511606862063</v>
      </c>
      <c r="H3927">
        <f>-842.429380114487 -24.1154777308839 -607.132613212215</f>
        <v>-1473.677471057586</v>
      </c>
      <c r="I3927">
        <f>-808.157707492891 -18.0263166718589 -682.587293522642</f>
        <v>-1508.7713176873917</v>
      </c>
      <c r="J3927" t="s">
        <v>42908</v>
      </c>
      <c r="K3927" t="s">
        <v>42909</v>
      </c>
      <c r="L3927" t="s">
        <v>42910</v>
      </c>
      <c r="M3927" t="s">
        <v>42911</v>
      </c>
      <c r="N3927">
        <f>-836.568264544724 -51.06212429396 -552.243360993628</f>
        <v>-1439.8737498323121</v>
      </c>
      <c r="O3927">
        <f>-809.156858543723 -182.348272106482 -522.066685553551</f>
        <v>-1513.571816203756</v>
      </c>
      <c r="P3927">
        <f>-799.975337183001 -211.061559344882 -229.351027821983</f>
        <v>-1240.3879243498659</v>
      </c>
      <c r="Q3927">
        <f>-649.339313430877 -57.7704763222175 -338.261643330707</f>
        <v>-1045.3714330838015</v>
      </c>
      <c r="R3927" t="s">
        <v>42912</v>
      </c>
      <c r="S3927" t="s">
        <v>42913</v>
      </c>
      <c r="T3927" t="s">
        <v>42914</v>
      </c>
      <c r="U3927" t="s">
        <v>42915</v>
      </c>
      <c r="V3927">
        <f>-766.982433820647 -91.5778061389744 -91.7245046895868</f>
        <v>-950.28474464920816</v>
      </c>
      <c r="W3927" t="s">
        <v>42916</v>
      </c>
      <c r="X3927" t="s">
        <v>42917</v>
      </c>
      <c r="Y3927" t="s">
        <v>42918</v>
      </c>
    </row>
    <row r="3928" spans="1:25" x14ac:dyDescent="0.3">
      <c r="A3928">
        <v>196350</v>
      </c>
      <c r="B3928" t="s">
        <v>42919</v>
      </c>
      <c r="C3928">
        <f>-800.266814737536 -1.30673410995723 -93.8839948692113</f>
        <v>-895.45754371670455</v>
      </c>
      <c r="D3928">
        <f>-823.154377591042 -13.5911626899854 -206.76208932251</f>
        <v>-1043.5076296035375</v>
      </c>
      <c r="E3928">
        <f>-833.633560266347 -19.0468541688524 -304.675748960631</f>
        <v>-1157.3561633958304</v>
      </c>
      <c r="F3928">
        <f>-839.923065158027 -22.2581248045556 -393.492244855739</f>
        <v>-1255.6734348183215</v>
      </c>
      <c r="G3928">
        <f>-842.639298803934 -23.7395485698901 -482.535331312308</f>
        <v>-1348.9141786861321</v>
      </c>
      <c r="H3928">
        <f>-842.644548038748 -24.0782330718787 -607.117451254646</f>
        <v>-1473.8402323652726</v>
      </c>
      <c r="I3928">
        <f>-808.401611269676 -18.046989542315 -682.589751278483</f>
        <v>-1509.0383520904741</v>
      </c>
      <c r="J3928" t="s">
        <v>42920</v>
      </c>
      <c r="K3928" t="s">
        <v>42921</v>
      </c>
      <c r="L3928" t="s">
        <v>42922</v>
      </c>
      <c r="M3928" t="s">
        <v>42923</v>
      </c>
      <c r="N3928">
        <f>-836.796748758216 -51.0145742431469 -552.221631888991</f>
        <v>-1440.0329548903539</v>
      </c>
      <c r="O3928">
        <f>-809.424332211276 -182.298458415025 -522.020190538663</f>
        <v>-1513.742981164964</v>
      </c>
      <c r="P3928">
        <f>-800.26023854372 -211.045261038184 -229.307381996335</f>
        <v>-1240.612881578239</v>
      </c>
      <c r="Q3928">
        <f>-649.539358866379 -57.7902356651019 -338.151172161029</f>
        <v>-1045.4807666925099</v>
      </c>
      <c r="R3928" t="s">
        <v>42924</v>
      </c>
      <c r="S3928" t="s">
        <v>42925</v>
      </c>
      <c r="T3928" t="s">
        <v>42926</v>
      </c>
      <c r="U3928" t="s">
        <v>42927</v>
      </c>
      <c r="V3928">
        <f>-767.225541783058 -91.3810050770651 -91.7206309711451</f>
        <v>-950.32717783126816</v>
      </c>
      <c r="W3928" t="s">
        <v>42928</v>
      </c>
      <c r="X3928" t="s">
        <v>42929</v>
      </c>
      <c r="Y3928" t="s">
        <v>42930</v>
      </c>
    </row>
    <row r="3929" spans="1:25" x14ac:dyDescent="0.3">
      <c r="A3929">
        <v>196400</v>
      </c>
      <c r="B3929" t="s">
        <v>42931</v>
      </c>
      <c r="C3929">
        <f>-800.407871862859 -1.11913000647201 -93.8666015420587</f>
        <v>-895.39360341138968</v>
      </c>
      <c r="D3929">
        <f>-823.439522747567 -13.4051413615423 -206.715247422047</f>
        <v>-1043.5599115311563</v>
      </c>
      <c r="E3929">
        <f>-833.984496513963 -18.8507702065303 -304.622333104542</f>
        <v>-1157.4575998250352</v>
      </c>
      <c r="F3929">
        <f>-840.310431751046 -22.0481206408519 -393.436796225462</f>
        <v>-1255.7953486173601</v>
      </c>
      <c r="G3929">
        <f>-843.03960832644 -23.5106144077429 -482.479770365866</f>
        <v>-1349.0299931000488</v>
      </c>
      <c r="H3929">
        <f>-843.038636810633 -23.8182747738094 -607.062009776173</f>
        <v>-1473.9189213606155</v>
      </c>
      <c r="I3929">
        <f>-808.91689007274 -17.8558972264045 -682.594616137368</f>
        <v>-1509.3674034365126</v>
      </c>
      <c r="J3929" t="s">
        <v>42932</v>
      </c>
      <c r="K3929" t="s">
        <v>42933</v>
      </c>
      <c r="L3929" t="s">
        <v>42934</v>
      </c>
      <c r="M3929" t="s">
        <v>42935</v>
      </c>
      <c r="N3929">
        <f>-837.200761107194 -50.7698567542132 -552.17255810156</f>
        <v>-1440.1431759629672</v>
      </c>
      <c r="O3929">
        <f>-809.851021922456 -182.071634004295 -522.007519335394</f>
        <v>-1513.930175262145</v>
      </c>
      <c r="P3929">
        <f>-800.66238337113 -210.90859325473 -229.304241653055</f>
        <v>-1240.8752182789149</v>
      </c>
      <c r="Q3929">
        <f>-649.906629499978 -57.6340026879526 -338.072387364496</f>
        <v>-1045.6130195524265</v>
      </c>
      <c r="R3929" t="s">
        <v>42936</v>
      </c>
      <c r="S3929" t="s">
        <v>42937</v>
      </c>
      <c r="T3929" t="s">
        <v>42938</v>
      </c>
      <c r="U3929" t="s">
        <v>42939</v>
      </c>
      <c r="V3929">
        <f>-767.434295818976 -91.207270706431 -91.7295515805447</f>
        <v>-950.37111810595172</v>
      </c>
      <c r="W3929" t="s">
        <v>42940</v>
      </c>
      <c r="X3929" t="s">
        <v>42941</v>
      </c>
      <c r="Y3929" t="s">
        <v>42942</v>
      </c>
    </row>
    <row r="3930" spans="1:25" x14ac:dyDescent="0.3">
      <c r="A3930">
        <v>196450</v>
      </c>
      <c r="B3930" t="s">
        <v>42943</v>
      </c>
      <c r="C3930">
        <f>-800.380107615252 -1.17720058445093 -93.8629162620234</f>
        <v>-895.42022446172632</v>
      </c>
      <c r="D3930">
        <f>-823.487335246376 -13.4631265133228 -206.696155457436</f>
        <v>-1043.6466172171347</v>
      </c>
      <c r="E3930">
        <f>-834.06107842014 -18.8938738713787 -304.601010800379</f>
        <v>-1157.5559630918976</v>
      </c>
      <c r="F3930">
        <f>-840.398050343232 -22.0717181587343 -393.415320097907</f>
        <v>-1255.8850885998731</v>
      </c>
      <c r="G3930">
        <f>-843.12357616193 -23.509011603823 -482.458792637958</f>
        <v>-1349.0913804037109</v>
      </c>
      <c r="H3930">
        <f>-843.101638890452 -23.775173207149 -607.041067183916</f>
        <v>-1473.9178792815169</v>
      </c>
      <c r="I3930">
        <f>-808.996035537762 -17.8077821471088 -682.58056271565</f>
        <v>-1509.384380400521</v>
      </c>
      <c r="J3930" t="s">
        <v>42944</v>
      </c>
      <c r="K3930" t="s">
        <v>42945</v>
      </c>
      <c r="L3930" t="s">
        <v>42946</v>
      </c>
      <c r="M3930" t="s">
        <v>42947</v>
      </c>
      <c r="N3930">
        <f>-837.274905618944 -50.7453105546493 -552.159570231084</f>
        <v>-1440.1797864046773</v>
      </c>
      <c r="O3930">
        <f>-809.93996755526 -182.055406847135 -522.032909161726</f>
        <v>-1514.028283564121</v>
      </c>
      <c r="P3930">
        <f>-800.642604963351 -210.969844685805 -229.34082491168</f>
        <v>-1240.953274560836</v>
      </c>
      <c r="Q3930">
        <f>-649.907525277516 -57.6687516890437 -338.099975974032</f>
        <v>-1045.6762529405917</v>
      </c>
      <c r="R3930" t="s">
        <v>42948</v>
      </c>
      <c r="S3930" t="s">
        <v>42949</v>
      </c>
      <c r="T3930" t="s">
        <v>42950</v>
      </c>
      <c r="U3930" t="s">
        <v>42951</v>
      </c>
      <c r="V3930">
        <f>-767.386544047582 -91.3710956117867 -91.727648452378</f>
        <v>-950.48528811174674</v>
      </c>
      <c r="W3930" t="s">
        <v>42952</v>
      </c>
      <c r="X3930" t="s">
        <v>42953</v>
      </c>
      <c r="Y3930" t="s">
        <v>42954</v>
      </c>
    </row>
    <row r="3931" spans="1:25" x14ac:dyDescent="0.3">
      <c r="A3931">
        <v>196500</v>
      </c>
      <c r="B3931" t="s">
        <v>42955</v>
      </c>
      <c r="C3931">
        <f>-800.381804520897 -1.06564899688442 -93.8281927537506</f>
        <v>-895.27564627153208</v>
      </c>
      <c r="D3931">
        <f>-823.598163602371 -13.3488617623043 -206.63923550501</f>
        <v>-1043.5862608696852</v>
      </c>
      <c r="E3931">
        <f>-834.246602814902 -18.7430119074725 -304.537975680171</f>
        <v>-1157.5275904025455</v>
      </c>
      <c r="F3931">
        <f>-840.64310245785 -21.8737623712914 -393.349766240678</f>
        <v>-1255.8666310698193</v>
      </c>
      <c r="G3931">
        <f>-843.419394227595 -23.2498830699019 -482.392591710805</f>
        <v>-1349.061869008302</v>
      </c>
      <c r="H3931">
        <f>-843.459106713406 -23.4162214018011 -606.975148967759</f>
        <v>-1473.8504770829659</v>
      </c>
      <c r="I3931">
        <f>-809.312439852932 -17.3698327105358 -682.489784019086</f>
        <v>-1509.1720565825538</v>
      </c>
      <c r="J3931" t="s">
        <v>42956</v>
      </c>
      <c r="K3931" t="s">
        <v>42957</v>
      </c>
      <c r="L3931" t="s">
        <v>42958</v>
      </c>
      <c r="M3931" t="s">
        <v>42959</v>
      </c>
      <c r="N3931">
        <f>-837.60758214988 -50.4310373550638 -552.118230356029</f>
        <v>-1440.1568498609729</v>
      </c>
      <c r="O3931">
        <f>-810.243115179396 -181.774730928735 -522.145484814059</f>
        <v>-1514.1633309221902</v>
      </c>
      <c r="P3931">
        <f>-800.586234267889 -210.965655222427 -229.492324474986</f>
        <v>-1241.0442139653021</v>
      </c>
      <c r="Q3931">
        <f>-649.974884889916 -57.5218530253711 -338.221679005477</f>
        <v>-1045.718416920764</v>
      </c>
      <c r="R3931" t="s">
        <v>42960</v>
      </c>
      <c r="S3931" t="s">
        <v>42961</v>
      </c>
      <c r="T3931" t="s">
        <v>42962</v>
      </c>
      <c r="U3931" t="s">
        <v>42963</v>
      </c>
      <c r="V3931">
        <f>-767.452669582103 -91.298400893106 -91.7148332942988</f>
        <v>-950.4659037695078</v>
      </c>
      <c r="W3931" t="s">
        <v>42964</v>
      </c>
      <c r="X3931" t="s">
        <v>42965</v>
      </c>
      <c r="Y3931" t="s">
        <v>42966</v>
      </c>
    </row>
    <row r="3932" spans="1:25" x14ac:dyDescent="0.3">
      <c r="A3932">
        <v>196550</v>
      </c>
      <c r="B3932" t="s">
        <v>42967</v>
      </c>
      <c r="C3932">
        <f>-800.393940309577 -0.963129727778096 -93.8058962796208</f>
        <v>-895.16296631697594</v>
      </c>
      <c r="D3932">
        <f>-823.665333711154 -13.2516134748196 -206.605051735692</f>
        <v>-1043.5219989216655</v>
      </c>
      <c r="E3932">
        <f>-834.372587667184 -18.6231647683949 -304.498623030964</f>
        <v>-1157.4943754665428</v>
      </c>
      <c r="F3932">
        <f>-840.826094255015 -21.7223685319134 -393.307481215826</f>
        <v>-1255.8559440027543</v>
      </c>
      <c r="G3932">
        <f>-843.663083850624 -23.0560443415795 -482.348977564521</f>
        <v>-1349.0681057567247</v>
      </c>
      <c r="H3932">
        <f>-843.791148340705 -23.1517315560091 -606.931516325839</f>
        <v>-1473.8743962225531</v>
      </c>
      <c r="I3932">
        <f>-809.623112217224 -17.0301177515448 -682.430529490557</f>
        <v>-1509.0837594593258</v>
      </c>
      <c r="J3932" t="s">
        <v>42968</v>
      </c>
      <c r="K3932" t="s">
        <v>42969</v>
      </c>
      <c r="L3932" t="s">
        <v>42970</v>
      </c>
      <c r="M3932" t="s">
        <v>42971</v>
      </c>
      <c r="N3932">
        <f>-837.899975584645 -50.1974547585603 -552.094166685729</f>
        <v>-1440.1915970289342</v>
      </c>
      <c r="O3932">
        <f>-810.52551775498 -181.558467908609 -522.208096062916</f>
        <v>-1514.2920817265049</v>
      </c>
      <c r="P3932">
        <f>-800.665453140545 -210.879226572943 -229.574749473327</f>
        <v>-1241.1194291868151</v>
      </c>
      <c r="Q3932">
        <f>-650.127827680107 -57.3344776670971 -338.263672456853</f>
        <v>-1045.725977804057</v>
      </c>
      <c r="R3932" t="s">
        <v>42972</v>
      </c>
      <c r="S3932" t="s">
        <v>42973</v>
      </c>
      <c r="T3932" t="s">
        <v>42974</v>
      </c>
      <c r="U3932" t="s">
        <v>42975</v>
      </c>
      <c r="V3932">
        <f>-767.421931512112 -91.2203264396795 -91.7125595385672</f>
        <v>-950.35481749035876</v>
      </c>
      <c r="W3932" t="s">
        <v>42976</v>
      </c>
      <c r="X3932" t="s">
        <v>42977</v>
      </c>
      <c r="Y3932" t="s">
        <v>42978</v>
      </c>
    </row>
    <row r="3933" spans="1:25" x14ac:dyDescent="0.3">
      <c r="A3933">
        <v>196600</v>
      </c>
      <c r="B3933" t="s">
        <v>42979</v>
      </c>
      <c r="C3933">
        <f>-800.281035872422 -0.901901597188044 -93.7884882776751</f>
        <v>-894.97142574728514</v>
      </c>
      <c r="D3933">
        <f>-823.618611441928 -13.2065960048435 -206.572228586169</f>
        <v>-1043.3974360329405</v>
      </c>
      <c r="E3933">
        <f>-834.388143457975 -18.544743087954 -304.460895948503</f>
        <v>-1157.3937824944319</v>
      </c>
      <c r="F3933">
        <f>-840.899305499574 -21.59505260437 -393.267100407958</f>
        <v>-1255.761458511902</v>
      </c>
      <c r="G3933">
        <f>-843.794740323625 -22.8608118170607 -482.307723804853</f>
        <v>-1348.9632759455387</v>
      </c>
      <c r="H3933">
        <f>-844.004730064288 -22.8416305356998 -606.890081907134</f>
        <v>-1473.7364425071219</v>
      </c>
      <c r="I3933">
        <f>-809.774057492758 -16.5328641234337 -682.345391734221</f>
        <v>-1508.6523133504127</v>
      </c>
      <c r="J3933" t="s">
        <v>42980</v>
      </c>
      <c r="K3933" t="s">
        <v>42981</v>
      </c>
      <c r="L3933" t="s">
        <v>42982</v>
      </c>
      <c r="M3933" t="s">
        <v>42983</v>
      </c>
      <c r="N3933">
        <f>-838.066012667777 -49.9352532528943 -552.081692471809</f>
        <v>-1440.0829583924804</v>
      </c>
      <c r="O3933">
        <f>-810.62527457976 -181.305221598453 -522.32332146087</f>
        <v>-1514.2538176390831</v>
      </c>
      <c r="P3933">
        <f>-800.601104315775 -210.900390842017 -229.723220886188</f>
        <v>-1241.2247160439802</v>
      </c>
      <c r="Q3933">
        <f>-650.207113148291 -57.1284780834147 -338.289878437657</f>
        <v>-1045.6254696693627</v>
      </c>
      <c r="R3933" t="s">
        <v>42984</v>
      </c>
      <c r="S3933" t="s">
        <v>42985</v>
      </c>
      <c r="T3933" t="s">
        <v>42986</v>
      </c>
      <c r="U3933" t="s">
        <v>42987</v>
      </c>
      <c r="V3933">
        <f>-767.253755978854 -91.2669405505927 -91.7052632111966</f>
        <v>-950.22595974064325</v>
      </c>
      <c r="W3933" t="s">
        <v>42988</v>
      </c>
      <c r="X3933" t="s">
        <v>42989</v>
      </c>
      <c r="Y3933" t="s">
        <v>42990</v>
      </c>
    </row>
    <row r="3934" spans="1:25" x14ac:dyDescent="0.3">
      <c r="A3934">
        <v>196650</v>
      </c>
      <c r="B3934" t="s">
        <v>42991</v>
      </c>
      <c r="C3934">
        <f>-800.123163882543 -0.971044690117196 -93.783825190387</f>
        <v>-894.87803376304726</v>
      </c>
      <c r="D3934">
        <f>-823.497271081119 -13.2847369174794 -206.559043919906</f>
        <v>-1043.3410519185045</v>
      </c>
      <c r="E3934">
        <f>-834.293096214553 -18.6163444532444 -304.445119462926</f>
        <v>-1157.3545601307235</v>
      </c>
      <c r="F3934">
        <f>-840.825554209447 -21.6551131356446 -393.250128439247</f>
        <v>-1255.7307957843386</v>
      </c>
      <c r="G3934">
        <f>-843.73982058264 -22.9034172499591 -482.290519932599</f>
        <v>-1348.9337577651982</v>
      </c>
      <c r="H3934">
        <f>-843.973460126303 -22.853385919972 -606.872926951059</f>
        <v>-1473.6997729973341</v>
      </c>
      <c r="I3934">
        <f>-809.716366100904 -16.4582788183993 -682.308786442795</f>
        <v>-1508.4834313620984</v>
      </c>
      <c r="J3934" t="s">
        <v>42992</v>
      </c>
      <c r="K3934" t="s">
        <v>42993</v>
      </c>
      <c r="L3934" t="s">
        <v>42994</v>
      </c>
      <c r="M3934" t="s">
        <v>42995</v>
      </c>
      <c r="N3934">
        <f>-838.013604827828 -49.9583424255728 -552.072208132027</f>
        <v>-1440.0441553854278</v>
      </c>
      <c r="O3934">
        <f>-810.5374916854 -181.33352612505 -522.356731851259</f>
        <v>-1514.2277496617089</v>
      </c>
      <c r="P3934">
        <f>-800.472516413024 -210.979693174745 -229.763165556006</f>
        <v>-1241.215375143775</v>
      </c>
      <c r="Q3934">
        <f>-650.093512306754 -57.1315448375382 -338.242456979734</f>
        <v>-1045.4675141240261</v>
      </c>
      <c r="R3934" t="s">
        <v>42996</v>
      </c>
      <c r="S3934" t="s">
        <v>42997</v>
      </c>
      <c r="T3934" t="s">
        <v>42998</v>
      </c>
      <c r="U3934" t="s">
        <v>42999</v>
      </c>
      <c r="V3934">
        <f>-767.090632645266 -91.3853792778597 -91.704650721741</f>
        <v>-950.18066264486674</v>
      </c>
      <c r="W3934" t="s">
        <v>43000</v>
      </c>
      <c r="X3934" t="s">
        <v>43001</v>
      </c>
      <c r="Y3934" t="s">
        <v>43002</v>
      </c>
    </row>
    <row r="3935" spans="1:25" x14ac:dyDescent="0.3">
      <c r="A3935">
        <v>196700</v>
      </c>
      <c r="B3935" t="s">
        <v>43003</v>
      </c>
      <c r="C3935">
        <f>-799.915947385344 -0.8539778981567 -93.7732140009061</f>
        <v>-894.54313928440683</v>
      </c>
      <c r="D3935">
        <f>-823.311280606292 -13.1793437300885 -206.542702087503</f>
        <v>-1043.0333264238834</v>
      </c>
      <c r="E3935">
        <f>-834.15700651227 -18.4903693811323 -304.424359712904</f>
        <v>-1157.0717356063062</v>
      </c>
      <c r="F3935">
        <f>-840.747075077201 -21.4976955217587 -393.226168316363</f>
        <v>-1255.4709389153227</v>
      </c>
      <c r="G3935">
        <f>-843.731081182099 -22.7011783002376 -482.264850574829</f>
        <v>-1348.6971100571657</v>
      </c>
      <c r="H3935">
        <f>-844.074733169133 -22.5736104884177 -606.846894677464</f>
        <v>-1473.4952383350146</v>
      </c>
      <c r="I3935">
        <f>-809.829336453436 -16.0437880248537 -682.276592729748</f>
        <v>-1508.1497172080376</v>
      </c>
      <c r="J3935" t="s">
        <v>43004</v>
      </c>
      <c r="K3935" t="s">
        <v>43005</v>
      </c>
      <c r="L3935" t="s">
        <v>43006</v>
      </c>
      <c r="M3935" t="s">
        <v>43007</v>
      </c>
      <c r="N3935">
        <f>-838.0447504586 -49.7079116372216 -552.068436351283</f>
        <v>-1439.8210984471048</v>
      </c>
      <c r="O3935">
        <f>-810.478452317765 -181.082107233092 -522.42186894327</f>
        <v>-1513.9824284941269</v>
      </c>
      <c r="P3935">
        <f>-800.376814403785 -210.839984480374 -229.840907472421</f>
        <v>-1241.0577063565802</v>
      </c>
      <c r="Q3935">
        <f>-649.989557168484 -56.9020380961206 -338.1811936674</f>
        <v>-1045.0727889320046</v>
      </c>
      <c r="R3935" t="s">
        <v>43008</v>
      </c>
      <c r="S3935" t="s">
        <v>43009</v>
      </c>
      <c r="T3935" t="s">
        <v>43010</v>
      </c>
      <c r="U3935" t="s">
        <v>43011</v>
      </c>
      <c r="V3935">
        <f>-766.843167593824 -91.2042746749389 -91.703851365742</f>
        <v>-949.75129363450492</v>
      </c>
      <c r="W3935" t="s">
        <v>43012</v>
      </c>
      <c r="X3935" t="s">
        <v>43013</v>
      </c>
      <c r="Y3935" t="s">
        <v>43014</v>
      </c>
    </row>
    <row r="3936" spans="1:25" x14ac:dyDescent="0.3">
      <c r="A3936">
        <v>196750</v>
      </c>
      <c r="B3936" t="s">
        <v>43015</v>
      </c>
      <c r="C3936">
        <f>-799.803700895726 -0.839440412809836 -93.7626460528528</f>
        <v>-894.40578736138866</v>
      </c>
      <c r="D3936">
        <f>-823.204305811426 -13.1722325677363 -206.530241375943</f>
        <v>-1042.9067797551054</v>
      </c>
      <c r="E3936">
        <f>-834.056256252667 -18.473976528868 -304.411663724866</f>
        <v>-1156.941896506401</v>
      </c>
      <c r="F3936">
        <f>-840.652394520922 -21.4665376380697 -393.213620684846</f>
        <v>-1255.3325528438377</v>
      </c>
      <c r="G3936">
        <f>-843.643007550685 -22.6485257492277 -482.252352450927</f>
        <v>-1348.5438857508398</v>
      </c>
      <c r="H3936">
        <f>-843.996197102699 -22.4838959092747 -606.834357147505</f>
        <v>-1473.3144501594788</v>
      </c>
      <c r="I3936">
        <f>-809.74406973423 -15.9038197212153 -682.25672014637</f>
        <v>-1507.9046096018153</v>
      </c>
      <c r="J3936" t="s">
        <v>43016</v>
      </c>
      <c r="K3936" t="s">
        <v>43017</v>
      </c>
      <c r="L3936" t="s">
        <v>43018</v>
      </c>
      <c r="M3936" t="s">
        <v>43019</v>
      </c>
      <c r="N3936">
        <f>-837.946481877264 -49.6311146304024 -552.06445911552</f>
        <v>-1439.6420556231865</v>
      </c>
      <c r="O3936">
        <f>-810.335255914465 -180.998581664656 -522.447360979122</f>
        <v>-1513.781198558243</v>
      </c>
      <c r="P3936">
        <f>-800.226434465443 -210.836738180399 -229.874831760866</f>
        <v>-1240.9380044067082</v>
      </c>
      <c r="Q3936">
        <f>-649.850731376743 -56.8336456041168 -338.138841732874</f>
        <v>-1044.8232187137339</v>
      </c>
      <c r="R3936" t="s">
        <v>43020</v>
      </c>
      <c r="S3936" t="s">
        <v>43021</v>
      </c>
      <c r="T3936" t="s">
        <v>43022</v>
      </c>
      <c r="U3936" t="s">
        <v>43023</v>
      </c>
      <c r="V3936">
        <f>-766.715282572955 -91.238088541489 -91.7030959926205</f>
        <v>-949.65646710706449</v>
      </c>
      <c r="W3936" t="s">
        <v>43024</v>
      </c>
      <c r="X3936" t="s">
        <v>43025</v>
      </c>
      <c r="Y3936" t="s">
        <v>43026</v>
      </c>
    </row>
    <row r="3937" spans="1:25" x14ac:dyDescent="0.3">
      <c r="A3937">
        <v>196800</v>
      </c>
      <c r="B3937" t="s">
        <v>43027</v>
      </c>
      <c r="C3937">
        <f>-799.576954020164 -0.846658269098725 -93.7406418348854</f>
        <v>-894.1642541241481</v>
      </c>
      <c r="D3937">
        <f>-822.988751206372 -13.1737044025635 -206.506581262032</f>
        <v>-1042.6690368709674</v>
      </c>
      <c r="E3937">
        <f>-833.832059866765 -18.4614860947165 -304.389746056436</f>
        <v>-1156.6832920179177</v>
      </c>
      <c r="F3937">
        <f>-840.412970151867 -21.4376410813215 -393.19336871652</f>
        <v>-1255.0439799497085</v>
      </c>
      <c r="G3937">
        <f>-843.381286654325 -22.5989424961604 -482.233140224144</f>
        <v>-1348.2133693746293</v>
      </c>
      <c r="H3937">
        <f>-843.696011376319 -22.4008325070652 -606.815107040727</f>
        <v>-1472.9119509241111</v>
      </c>
      <c r="I3937">
        <f>-809.381922033509 -15.7491105623478 -682.202897110586</f>
        <v>-1507.3339297064429</v>
      </c>
      <c r="J3937" t="s">
        <v>43028</v>
      </c>
      <c r="K3937" t="s">
        <v>43029</v>
      </c>
      <c r="L3937" t="s">
        <v>43030</v>
      </c>
      <c r="M3937" t="s">
        <v>43031</v>
      </c>
      <c r="N3937">
        <f>-837.637503608044 -49.5571484492082 -552.050792310899</f>
        <v>-1439.2454443681513</v>
      </c>
      <c r="O3937">
        <f>-809.900176738653 -180.909941538893 -522.473158125351</f>
        <v>-1513.2832764028972</v>
      </c>
      <c r="P3937">
        <f>-799.730208419377 -210.866779308642 -229.914896541553</f>
        <v>-1240.511884269572</v>
      </c>
      <c r="Q3937">
        <f>-649.525378194676 -56.6103964552871 -338.055349652706</f>
        <v>-1044.1911243026691</v>
      </c>
      <c r="R3937" t="s">
        <v>43032</v>
      </c>
      <c r="S3937" t="s">
        <v>43033</v>
      </c>
      <c r="T3937" t="s">
        <v>43034</v>
      </c>
      <c r="U3937" t="s">
        <v>43035</v>
      </c>
      <c r="V3937">
        <f>-766.481343603023 -91.283382829854 -91.698985090678</f>
        <v>-949.46371152355493</v>
      </c>
      <c r="W3937" t="s">
        <v>43036</v>
      </c>
      <c r="X3937" t="s">
        <v>43037</v>
      </c>
      <c r="Y3937" t="s">
        <v>43038</v>
      </c>
    </row>
    <row r="3938" spans="1:25" x14ac:dyDescent="0.3">
      <c r="A3938">
        <v>196850</v>
      </c>
      <c r="B3938" t="s">
        <v>43039</v>
      </c>
      <c r="C3938">
        <f>-799.38329524945 -0.767776703443587 -93.718972407617</f>
        <v>-893.87004436051063</v>
      </c>
      <c r="D3938">
        <f>-822.806952955704 -13.1086687556981 -206.480921588637</f>
        <v>-1042.396543300039</v>
      </c>
      <c r="E3938">
        <f>-833.661868161907 -18.4025433476947 -304.36243244999</f>
        <v>-1156.4268439595917</v>
      </c>
      <c r="F3938">
        <f>-840.254405867371 -21.3815106393572 -393.165091439967</f>
        <v>-1254.8010079466953</v>
      </c>
      <c r="G3938">
        <f>-843.235272114005 -22.5418348974752 -482.204448282966</f>
        <v>-1347.9815552944463</v>
      </c>
      <c r="H3938">
        <f>-843.569122528429 -22.3378715552012 -606.78637841834</f>
        <v>-1472.6933725019703</v>
      </c>
      <c r="I3938">
        <f>-809.240376854135 -15.6260354957737 -682.162219482857</f>
        <v>-1507.0286318327658</v>
      </c>
      <c r="J3938" t="s">
        <v>43040</v>
      </c>
      <c r="K3938" t="s">
        <v>43041</v>
      </c>
      <c r="L3938" t="s">
        <v>43042</v>
      </c>
      <c r="M3938" t="s">
        <v>43043</v>
      </c>
      <c r="N3938">
        <f>-837.473177454058 -49.4905452767268 -552.024316023567</f>
        <v>-1438.9880387543519</v>
      </c>
      <c r="O3938">
        <f>-809.617800500422 -180.817784488092 -522.440556504084</f>
        <v>-1512.876141492598</v>
      </c>
      <c r="P3938">
        <f>-799.346494665152 -210.774585282138 -229.885836807014</f>
        <v>-1240.006916754304</v>
      </c>
      <c r="Q3938">
        <f>-649.289355894034 -56.3192215222447 -337.947302109319</f>
        <v>-1043.5558795255977</v>
      </c>
      <c r="R3938" t="s">
        <v>43044</v>
      </c>
      <c r="S3938" t="s">
        <v>43045</v>
      </c>
      <c r="T3938" t="s">
        <v>43046</v>
      </c>
      <c r="U3938" t="s">
        <v>43047</v>
      </c>
      <c r="V3938">
        <f>-766.282088620748 -91.1785496840535 -91.6926843021801</f>
        <v>-949.15332260698153</v>
      </c>
      <c r="W3938" t="s">
        <v>43048</v>
      </c>
      <c r="X3938" t="s">
        <v>43049</v>
      </c>
      <c r="Y3938" t="s">
        <v>43050</v>
      </c>
    </row>
    <row r="3939" spans="1:25" x14ac:dyDescent="0.3">
      <c r="A3939">
        <v>196900</v>
      </c>
      <c r="B3939" t="s">
        <v>43051</v>
      </c>
      <c r="C3939">
        <f>-799.267768642714 -0.515030806269351 -93.7232534926679</f>
        <v>-893.50605294165132</v>
      </c>
      <c r="D3939">
        <f>-822.669024218881 -12.8775289917708 -206.48759617654</f>
        <v>-1042.0341493871917</v>
      </c>
      <c r="E3939">
        <f>-833.536193251278 -18.1832143285847 -304.367046539727</f>
        <v>-1156.0864541195897</v>
      </c>
      <c r="F3939">
        <f>-840.152498719457 -21.1691388310005 -393.167727735003</f>
        <v>-1254.4893652854605</v>
      </c>
      <c r="G3939">
        <f>-843.170504418061 -22.3319119917103 -482.205727050348</f>
        <v>-1347.7081434601193</v>
      </c>
      <c r="H3939">
        <f>-843.57003800081 -22.1258679763464 -606.787612107647</f>
        <v>-1472.4835180848033</v>
      </c>
      <c r="I3939">
        <f>-809.239473454069 -15.3538203856158 -682.157167030274</f>
        <v>-1506.7504608699587</v>
      </c>
      <c r="J3939" t="s">
        <v>43052</v>
      </c>
      <c r="K3939" t="s">
        <v>43053</v>
      </c>
      <c r="L3939" t="s">
        <v>43054</v>
      </c>
      <c r="M3939" t="s">
        <v>43055</v>
      </c>
      <c r="N3939">
        <f>-837.409273279357 -49.2715370791169 -552.029207481851</f>
        <v>-1438.7100178403248</v>
      </c>
      <c r="O3939">
        <f>-809.426149747615 -180.568802996013 -522.42632940819</f>
        <v>-1512.4212821518181</v>
      </c>
      <c r="P3939">
        <f>-799.213622554741 -210.484593492623 -229.865181020495</f>
        <v>-1239.5633970678589</v>
      </c>
      <c r="Q3939">
        <f>-649.307944431189 -55.8712089077442 -337.910794172582</f>
        <v>-1043.0899475115152</v>
      </c>
      <c r="R3939" t="s">
        <v>43056</v>
      </c>
      <c r="S3939" t="s">
        <v>43057</v>
      </c>
      <c r="T3939" t="s">
        <v>43058</v>
      </c>
      <c r="U3939" t="s">
        <v>43059</v>
      </c>
      <c r="V3939">
        <f>-766.141085996371 -90.8818222831612 -91.6774253840554</f>
        <v>-948.70033366358757</v>
      </c>
      <c r="W3939" t="s">
        <v>43060</v>
      </c>
      <c r="X3939" t="s">
        <v>43061</v>
      </c>
      <c r="Y3939" t="s">
        <v>43062</v>
      </c>
    </row>
    <row r="3940" spans="1:25" x14ac:dyDescent="0.3">
      <c r="A3940">
        <v>196950</v>
      </c>
      <c r="B3940" t="s">
        <v>43063</v>
      </c>
      <c r="C3940">
        <f>-799.210440842826 -0.428723204735888 -93.7357330365654</f>
        <v>-893.37489708412727</v>
      </c>
      <c r="D3940">
        <f>-822.578513998064 -12.7832383667267 -206.507722409408</f>
        <v>-1041.8694747741986</v>
      </c>
      <c r="E3940">
        <f>-833.449034626338 -18.0854407742786 -304.387140685515</f>
        <v>-1155.9216160861315</v>
      </c>
      <c r="F3940">
        <f>-840.08157084833 -21.0695656156086 -393.186565584755</f>
        <v>-1254.3377020486935</v>
      </c>
      <c r="G3940">
        <f>-843.128836535718 -22.2307945792352 -482.223702361961</f>
        <v>-1347.5833334769143</v>
      </c>
      <c r="H3940">
        <f>-843.583173956575 -22.0227447719421 -606.805309758147</f>
        <v>-1472.4112284866642</v>
      </c>
      <c r="I3940">
        <f>-809.28820481227 -15.2333037222777 -682.189562509064</f>
        <v>-1506.7110710436118</v>
      </c>
      <c r="J3940" t="s">
        <v>43064</v>
      </c>
      <c r="K3940" t="s">
        <v>43065</v>
      </c>
      <c r="L3940" t="s">
        <v>43066</v>
      </c>
      <c r="M3940" t="s">
        <v>43067</v>
      </c>
      <c r="N3940">
        <f>-837.38632513999 -49.1666036266765 -552.050165090798</f>
        <v>-1438.6030938574645</v>
      </c>
      <c r="O3940">
        <f>-809.413813660069 -180.46163185714 -522.426810941372</f>
        <v>-1512.3022564585808</v>
      </c>
      <c r="P3940">
        <f>-799.168848660558 -210.428446132647 -229.872148190596</f>
        <v>-1239.4694429838009</v>
      </c>
      <c r="Q3940">
        <f>-649.30048251344 -55.7703379741357 -337.905575617277</f>
        <v>-1042.9763961048527</v>
      </c>
      <c r="R3940" t="s">
        <v>43068</v>
      </c>
      <c r="S3940" t="s">
        <v>43069</v>
      </c>
      <c r="T3940" t="s">
        <v>43070</v>
      </c>
      <c r="U3940" t="s">
        <v>43071</v>
      </c>
      <c r="V3940">
        <f>-766.069143833813 -90.8108851159732 -91.6807545957141</f>
        <v>-948.56078354550027</v>
      </c>
      <c r="W3940" t="s">
        <v>43072</v>
      </c>
      <c r="X3940" t="s">
        <v>43073</v>
      </c>
      <c r="Y3940" t="s">
        <v>43074</v>
      </c>
    </row>
    <row r="3941" spans="1:25" x14ac:dyDescent="0.3">
      <c r="A3941">
        <v>197000</v>
      </c>
      <c r="B3941" t="s">
        <v>43075</v>
      </c>
      <c r="C3941">
        <f>-799.08239736692 -0.255350252785547 -93.764355138402</f>
        <v>-893.10210275810755</v>
      </c>
      <c r="D3941">
        <f>-822.354394699154 -12.582429546798 -206.559187307283</f>
        <v>-1041.4960115532351</v>
      </c>
      <c r="E3941">
        <f>-833.163954297683 -17.8852051732624 -304.445364603419</f>
        <v>-1155.4945240743643</v>
      </c>
      <c r="F3941">
        <f>-839.750539436731 -20.8784500509287 -393.2480052246</f>
        <v>-1253.8769947122596</v>
      </c>
      <c r="G3941">
        <f>-842.762204041648 -22.0573422652728 -482.286076974123</f>
        <v>-1347.1056232810438</v>
      </c>
      <c r="H3941">
        <f>-843.177293412367 -21.8819022845387 -606.867770992019</f>
        <v>-1471.9269666889247</v>
      </c>
      <c r="I3941">
        <f>-808.888678669436 -15.0908240037925 -682.254774020636</f>
        <v>-1506.2342766938646</v>
      </c>
      <c r="J3941" t="s">
        <v>43076</v>
      </c>
      <c r="K3941" t="s">
        <v>43077</v>
      </c>
      <c r="L3941" t="s">
        <v>43078</v>
      </c>
      <c r="M3941" t="s">
        <v>43079</v>
      </c>
      <c r="N3941">
        <f>-836.976093816225 -49.0065636340031 -552.103594693613</f>
        <v>-1438.0862521438412</v>
      </c>
      <c r="O3941">
        <f>-809.025170173325 -180.284556417905 -522.403783222461</f>
        <v>-1511.713509813691</v>
      </c>
      <c r="P3941">
        <f>-798.946869724308 -210.205622344903 -229.838671102743</f>
        <v>-1238.991163171954</v>
      </c>
      <c r="Q3941">
        <f>-648.888306956863 -55.6818272245079 -337.800079818151</f>
        <v>-1042.3702139995219</v>
      </c>
      <c r="R3941" t="s">
        <v>43080</v>
      </c>
      <c r="S3941" t="s">
        <v>43081</v>
      </c>
      <c r="T3941" t="s">
        <v>43082</v>
      </c>
      <c r="U3941" t="s">
        <v>43083</v>
      </c>
      <c r="V3941">
        <f>-765.958940098386 -90.5451953826525 -91.70856336599</f>
        <v>-948.21269884702861</v>
      </c>
      <c r="W3941" t="s">
        <v>43084</v>
      </c>
      <c r="X3941" t="s">
        <v>43085</v>
      </c>
      <c r="Y3941" t="s">
        <v>43086</v>
      </c>
    </row>
    <row r="3942" spans="1:25" x14ac:dyDescent="0.3">
      <c r="A3942">
        <v>197050</v>
      </c>
      <c r="B3942" t="s">
        <v>43087</v>
      </c>
      <c r="C3942" t="s">
        <v>43088</v>
      </c>
      <c r="D3942">
        <f>-822.367730927074 -12.2718170929088 -206.572535281063</f>
        <v>-1041.2120833010458</v>
      </c>
      <c r="E3942">
        <f>-833.15820618581 -17.5899992343748 -304.459858592429</f>
        <v>-1155.2080640126137</v>
      </c>
      <c r="F3942">
        <f>-839.726786014653 -20.6048452095383 -393.263089757961</f>
        <v>-1253.5947209821525</v>
      </c>
      <c r="G3942">
        <f>-842.719653916677 -21.8124270395249 -482.301362296369</f>
        <v>-1346.8334432525708</v>
      </c>
      <c r="H3942">
        <f>-843.108370541435 -21.6845019734089 -606.883184442941</f>
        <v>-1471.676056957785</v>
      </c>
      <c r="I3942">
        <f>-808.787096136591 -14.9059052168523 -682.256606602814</f>
        <v>-1505.9496079562573</v>
      </c>
      <c r="J3942" t="s">
        <v>43089</v>
      </c>
      <c r="K3942" t="s">
        <v>43090</v>
      </c>
      <c r="L3942" t="s">
        <v>43091</v>
      </c>
      <c r="M3942" t="s">
        <v>43092</v>
      </c>
      <c r="N3942">
        <f>-836.912571086194 -48.7869132356215 -552.107511051541</f>
        <v>-1437.8069953733566</v>
      </c>
      <c r="O3942">
        <f>-808.96138871744 -180.046924459466 -522.343025032763</f>
        <v>-1511.3513382096689</v>
      </c>
      <c r="P3942">
        <f>-798.958881167302 -209.876141264908 -229.765777369749</f>
        <v>-1238.6007998019591</v>
      </c>
      <c r="Q3942">
        <f>-648.775113053957 -55.4325821060889 -337.668023029366</f>
        <v>-1041.8757181894121</v>
      </c>
      <c r="R3942" t="s">
        <v>43093</v>
      </c>
      <c r="S3942" t="s">
        <v>43094</v>
      </c>
      <c r="T3942" t="s">
        <v>43095</v>
      </c>
      <c r="U3942" t="s">
        <v>43096</v>
      </c>
      <c r="V3942">
        <f>-766.0042289876 -90.1726670050394 -91.7287819403351</f>
        <v>-947.90567793297453</v>
      </c>
      <c r="W3942" t="s">
        <v>43097</v>
      </c>
      <c r="X3942" t="s">
        <v>43098</v>
      </c>
      <c r="Y3942" t="s">
        <v>43099</v>
      </c>
    </row>
    <row r="3943" spans="1:25" x14ac:dyDescent="0.3">
      <c r="A3943">
        <v>197100</v>
      </c>
      <c r="B3943" t="s">
        <v>43100</v>
      </c>
      <c r="C3943" t="s">
        <v>43101</v>
      </c>
      <c r="D3943">
        <f>-822.350828900262 -12.1799523207644 -206.573657965402</f>
        <v>-1041.1044391864284</v>
      </c>
      <c r="E3943">
        <f>-833.182543559845 -17.5731166672879 -304.4524559989</f>
        <v>-1155.2081162260329</v>
      </c>
      <c r="F3943">
        <f>-839.791207115891 -20.6778033988114 -393.249527524133</f>
        <v>-1253.7185380388355</v>
      </c>
      <c r="G3943">
        <f>-842.827089917285 -21.9976028338556 -482.284901528641</f>
        <v>-1347.1095942797815</v>
      </c>
      <c r="H3943">
        <f>-843.279790287544 -22.0499657407056 -606.866562298596</f>
        <v>-1472.1963183268456</v>
      </c>
      <c r="I3943">
        <f>-808.917848467608 -15.3274767322014 -682.22635147502</f>
        <v>-1506.4716766748293</v>
      </c>
      <c r="J3943" t="s">
        <v>43102</v>
      </c>
      <c r="K3943" t="s">
        <v>43103</v>
      </c>
      <c r="L3943" t="s">
        <v>43104</v>
      </c>
      <c r="M3943" t="s">
        <v>43105</v>
      </c>
      <c r="N3943">
        <f>-837.053276979874 -49.0724199269746 -552.054938264345</f>
        <v>-1438.1806351711934</v>
      </c>
      <c r="O3943">
        <f>-809.144798283134 -180.320916390518 -522.181966116544</f>
        <v>-1511.6476807901959</v>
      </c>
      <c r="P3943">
        <f>-799.182765037775 -209.909420560702 -229.579001761405</f>
        <v>-1238.671187359882</v>
      </c>
      <c r="Q3943">
        <f>-648.974615331895 -55.575909171689 -337.604770734451</f>
        <v>-1042.155295238035</v>
      </c>
      <c r="R3943" t="s">
        <v>43106</v>
      </c>
      <c r="S3943" t="s">
        <v>43107</v>
      </c>
      <c r="T3943" t="s">
        <v>43108</v>
      </c>
      <c r="U3943" t="s">
        <v>43109</v>
      </c>
      <c r="V3943">
        <f>-765.875732186276 -90.1743553080078 -91.7444102980157</f>
        <v>-947.79449779229947</v>
      </c>
      <c r="W3943" t="s">
        <v>43110</v>
      </c>
      <c r="X3943" t="s">
        <v>43111</v>
      </c>
      <c r="Y3943" t="s">
        <v>43112</v>
      </c>
    </row>
    <row r="3944" spans="1:25" x14ac:dyDescent="0.3">
      <c r="A3944">
        <v>197150</v>
      </c>
      <c r="B3944" t="s">
        <v>43113</v>
      </c>
      <c r="C3944" t="s">
        <v>43114</v>
      </c>
      <c r="D3944">
        <f>-822.381869373189 -12.2192924775709 -206.572956947009</f>
        <v>-1041.1741187977689</v>
      </c>
      <c r="E3944">
        <f>-833.266901274436 -17.6515602377679 -304.443561372261</f>
        <v>-1155.3620228844647</v>
      </c>
      <c r="F3944">
        <f>-839.936591300231 -20.8016111264749 -393.234582875475</f>
        <v>-1253.9727853021809</v>
      </c>
      <c r="G3944">
        <f>-843.046977712019 -22.1767250124444 -482.266491915913</f>
        <v>-1347.4901946403766</v>
      </c>
      <c r="H3944">
        <f>-843.617367626657 -22.3167684324724 -606.84764236101</f>
        <v>-1472.7817784201393</v>
      </c>
      <c r="I3944">
        <f>-809.257592856509 -15.6292704065525 -682.211511035745</f>
        <v>-1507.0983742988064</v>
      </c>
      <c r="J3944" t="s">
        <v>43115</v>
      </c>
      <c r="K3944" t="s">
        <v>43116</v>
      </c>
      <c r="L3944" t="s">
        <v>43117</v>
      </c>
      <c r="M3944" t="s">
        <v>43118</v>
      </c>
      <c r="N3944">
        <f>-837.344958914358 -49.3020081195655 -552.022769144548</f>
        <v>-1438.6697361784713</v>
      </c>
      <c r="O3944">
        <f>-809.454097143719 -180.550472143837 -522.108007159018</f>
        <v>-1512.1125764465742</v>
      </c>
      <c r="P3944">
        <f>-799.439442896972 -210.036666952014 -229.49655008778</f>
        <v>-1238.9726599367659</v>
      </c>
      <c r="Q3944">
        <f>-649.304427684453 -55.6889283728335 -337.603560608968</f>
        <v>-1042.5969166662544</v>
      </c>
      <c r="R3944" t="s">
        <v>43119</v>
      </c>
      <c r="S3944" t="s">
        <v>43120</v>
      </c>
      <c r="T3944" t="s">
        <v>43121</v>
      </c>
      <c r="U3944" t="s">
        <v>43122</v>
      </c>
      <c r="V3944">
        <f>-765.908523539822 -90.1737779771721 -91.740896048139</f>
        <v>-947.82319756513311</v>
      </c>
      <c r="W3944" t="s">
        <v>43123</v>
      </c>
      <c r="X3944" t="s">
        <v>43124</v>
      </c>
      <c r="Y3944" t="s">
        <v>43125</v>
      </c>
    </row>
    <row r="3945" spans="1:25" x14ac:dyDescent="0.3">
      <c r="A3945">
        <v>197200</v>
      </c>
      <c r="B3945" t="s">
        <v>43126</v>
      </c>
      <c r="C3945" t="s">
        <v>43127</v>
      </c>
      <c r="D3945">
        <f>-822.61024639883 -12.1272102440798 -206.60167990486</f>
        <v>-1041.3391365477698</v>
      </c>
      <c r="E3945">
        <f>-833.662454880945 -17.6443179803571 -304.448854627621</f>
        <v>-1155.755627488923</v>
      </c>
      <c r="F3945">
        <f>-840.540493361822 -20.8909991155419 -393.220462468924</f>
        <v>-1254.6519549462878</v>
      </c>
      <c r="G3945">
        <f>-843.916797205392 -22.3817722388076 -482.240744922354</f>
        <v>-1348.5393143665535</v>
      </c>
      <c r="H3945">
        <f>-844.919586636468 -22.7021245236558 -606.81887897535</f>
        <v>-1474.4405901354739</v>
      </c>
      <c r="I3945">
        <f>-810.65919836506 -16.1246747174068 -682.237556717782</f>
        <v>-1509.0214298002488</v>
      </c>
      <c r="J3945" t="s">
        <v>43128</v>
      </c>
      <c r="K3945" t="s">
        <v>43129</v>
      </c>
      <c r="L3945" t="s">
        <v>43130</v>
      </c>
      <c r="M3945" t="s">
        <v>43131</v>
      </c>
      <c r="N3945">
        <f>-838.471508720288 -49.6113162055707 -551.976953438498</f>
        <v>-1440.0597783643566</v>
      </c>
      <c r="O3945">
        <f>-810.558875552333 -180.833592216201 -522.000057304132</f>
        <v>-1513.3925250726661</v>
      </c>
      <c r="P3945">
        <f>-800.404775991882 -210.057498756108 -229.367131282822</f>
        <v>-1239.8294060308119</v>
      </c>
      <c r="Q3945">
        <f>-650.262236641279 -55.7931628651735 -337.582576077723</f>
        <v>-1043.6379755841754</v>
      </c>
      <c r="R3945" t="s">
        <v>43132</v>
      </c>
      <c r="S3945" t="s">
        <v>43133</v>
      </c>
      <c r="T3945" t="s">
        <v>43134</v>
      </c>
      <c r="U3945" t="s">
        <v>43135</v>
      </c>
      <c r="V3945">
        <f>-766.12192142991 -90.0434151852636 -91.7465796046763</f>
        <v>-947.9119162198499</v>
      </c>
      <c r="W3945" t="s">
        <v>43136</v>
      </c>
      <c r="X3945" t="s">
        <v>43137</v>
      </c>
      <c r="Y3945" t="s">
        <v>43138</v>
      </c>
    </row>
    <row r="3946" spans="1:25" x14ac:dyDescent="0.3">
      <c r="A3946">
        <v>197250</v>
      </c>
      <c r="B3946" t="s">
        <v>43139</v>
      </c>
      <c r="C3946" t="s">
        <v>43140</v>
      </c>
      <c r="D3946">
        <f>-822.82275685059 -11.9886410805891 -206.625249983803</f>
        <v>-1041.4366479149821</v>
      </c>
      <c r="E3946">
        <f>-833.930036691771 -17.537494699927 -304.464349418667</f>
        <v>-1155.9318808103649</v>
      </c>
      <c r="F3946">
        <f>-840.878941507356 -20.8220063589022 -393.229014234337</f>
        <v>-1254.9299621005953</v>
      </c>
      <c r="G3946">
        <f>-844.347191194725 -22.3588313931025 -482.244959643224</f>
        <v>-1348.9509822310515</v>
      </c>
      <c r="H3946">
        <f>-845.500949617133 -22.7522976112466 -606.821653926175</f>
        <v>-1475.0749011545545</v>
      </c>
      <c r="I3946">
        <f>-811.299606944825 -16.2140772954817 -682.270666246922</f>
        <v>-1509.7843504872287</v>
      </c>
      <c r="J3946" t="s">
        <v>43141</v>
      </c>
      <c r="K3946" t="s">
        <v>43142</v>
      </c>
      <c r="L3946" t="s">
        <v>43143</v>
      </c>
      <c r="M3946" t="s">
        <v>43144</v>
      </c>
      <c r="N3946">
        <f>-838.985878820744 -49.6291997158168 -551.971861242207</f>
        <v>-1440.5869397787678</v>
      </c>
      <c r="O3946">
        <f>-811.059491708284 -180.847424213376 -521.966832038787</f>
        <v>-1513.873747960447</v>
      </c>
      <c r="P3946">
        <f>-800.782197800222 -209.884272212121 -229.319562825079</f>
        <v>-1239.986032837422</v>
      </c>
      <c r="Q3946">
        <f>-650.688457855144 -55.6116347554612 -337.590930252001</f>
        <v>-1043.8910228626062</v>
      </c>
      <c r="R3946" t="s">
        <v>43145</v>
      </c>
      <c r="S3946" t="s">
        <v>43146</v>
      </c>
      <c r="T3946" t="s">
        <v>43147</v>
      </c>
      <c r="U3946" t="s">
        <v>43148</v>
      </c>
      <c r="V3946">
        <f>-766.309592430445 -89.8629622326858 -91.7519413107185</f>
        <v>-947.92449597384939</v>
      </c>
      <c r="W3946" t="s">
        <v>43149</v>
      </c>
      <c r="X3946" t="s">
        <v>43150</v>
      </c>
      <c r="Y3946" t="s">
        <v>43151</v>
      </c>
    </row>
    <row r="3947" spans="1:25" x14ac:dyDescent="0.3">
      <c r="A3947">
        <v>197300</v>
      </c>
      <c r="B3947" t="s">
        <v>43152</v>
      </c>
      <c r="C3947" t="s">
        <v>43153</v>
      </c>
      <c r="D3947">
        <f>-823.110740819808 -11.9900087448045 -206.63091509168</f>
        <v>-1041.7316646562927</v>
      </c>
      <c r="E3947">
        <f>-834.32371393495 -17.6298880442744 -304.452736355958</f>
        <v>-1156.4063383351822</v>
      </c>
      <c r="F3947">
        <f>-841.4098741015 -21.0156484466834 -393.202680373362</f>
        <v>-1255.6282029215454</v>
      </c>
      <c r="G3947">
        <f>-845.057957813896 -22.6723629862686 -482.209415168095</f>
        <v>-1349.9397359682596</v>
      </c>
      <c r="H3947">
        <f>-846.507802934706 -23.2520771419579 -606.782213028761</f>
        <v>-1476.542093105425</v>
      </c>
      <c r="I3947">
        <f>-812.442264571969 -16.8080822603295 -682.300665164902</f>
        <v>-1511.5510119972005</v>
      </c>
      <c r="J3947" t="s">
        <v>43154</v>
      </c>
      <c r="K3947" t="s">
        <v>43155</v>
      </c>
      <c r="L3947" t="s">
        <v>43156</v>
      </c>
      <c r="M3947" t="s">
        <v>43157</v>
      </c>
      <c r="N3947">
        <f>-839.863910891861 -50.0472292535967 -551.907883361932</f>
        <v>-1441.8190235073898</v>
      </c>
      <c r="O3947">
        <f>-811.841326082636 -181.225999578619 -521.826172599603</f>
        <v>-1514.893498260858</v>
      </c>
      <c r="P3947">
        <f>-801.376893658718 -210.072636378605 -229.166627162292</f>
        <v>-1240.6161571996149</v>
      </c>
      <c r="Q3947">
        <f>-651.489616888148 -55.6991404222346 -337.580226366775</f>
        <v>-1044.7689836771576</v>
      </c>
      <c r="R3947" t="s">
        <v>43158</v>
      </c>
      <c r="S3947" t="s">
        <v>43159</v>
      </c>
      <c r="T3947" t="s">
        <v>43160</v>
      </c>
      <c r="U3947" t="s">
        <v>43161</v>
      </c>
      <c r="V3947">
        <f>-766.570242088907 -89.7874889834936 -91.7559167005967</f>
        <v>-948.1136477729973</v>
      </c>
      <c r="W3947" t="s">
        <v>43162</v>
      </c>
      <c r="X3947" t="s">
        <v>43163</v>
      </c>
      <c r="Y3947" t="s">
        <v>43164</v>
      </c>
    </row>
    <row r="3948" spans="1:25" x14ac:dyDescent="0.3">
      <c r="A3948">
        <v>197350</v>
      </c>
      <c r="B3948" t="s">
        <v>43165</v>
      </c>
      <c r="C3948" t="s">
        <v>43166</v>
      </c>
      <c r="D3948">
        <f>-823.152984260266 -12.1350990880089 -206.633105714006</f>
        <v>-1041.921189062281</v>
      </c>
      <c r="E3948">
        <f>-834.421009593103 -17.8231867905135 -304.445839566993</f>
        <v>-1156.6900359506096</v>
      </c>
      <c r="F3948">
        <f>-841.582053491996 -21.2637717660728 -393.187674412881</f>
        <v>-1256.0334996709498</v>
      </c>
      <c r="G3948">
        <f>-845.330301317137 -22.9856564880786 -482.189073914858</f>
        <v>-1350.5050317200735</v>
      </c>
      <c r="H3948">
        <f>-846.946652903374 -23.6668644318538 -606.759196272718</f>
        <v>-1477.3727136079458</v>
      </c>
      <c r="I3948">
        <f>-812.944081618251 -17.2741763913698 -682.310361292862</f>
        <v>-1512.5286193024826</v>
      </c>
      <c r="J3948" t="s">
        <v>43167</v>
      </c>
      <c r="K3948" t="s">
        <v>43168</v>
      </c>
      <c r="L3948" t="s">
        <v>43169</v>
      </c>
      <c r="M3948" t="s">
        <v>43170</v>
      </c>
      <c r="N3948">
        <f>-840.224097769433 -50.4162657288024 -551.872115530079</f>
        <v>-1442.5124790283144</v>
      </c>
      <c r="O3948">
        <f>-812.134102492091 -181.564917750398 -521.737292177792</f>
        <v>-1515.436312420281</v>
      </c>
      <c r="P3948">
        <f>-801.587069108391 -210.233013954607 -229.063121165363</f>
        <v>-1240.8832042283611</v>
      </c>
      <c r="Q3948">
        <f>-651.841571648038 -55.7727684616068 -337.549025409616</f>
        <v>-1045.1633655192609</v>
      </c>
      <c r="R3948" t="s">
        <v>43171</v>
      </c>
      <c r="S3948" t="s">
        <v>43172</v>
      </c>
      <c r="T3948" t="s">
        <v>43173</v>
      </c>
      <c r="U3948" t="s">
        <v>43174</v>
      </c>
      <c r="V3948">
        <f>-766.584395614531 -89.9940569704429 -91.753678252138</f>
        <v>-948.33213083711189</v>
      </c>
      <c r="W3948" t="s">
        <v>43175</v>
      </c>
      <c r="X3948" t="s">
        <v>43176</v>
      </c>
      <c r="Y3948" t="s">
        <v>43177</v>
      </c>
    </row>
    <row r="3949" spans="1:25" x14ac:dyDescent="0.3">
      <c r="A3949">
        <v>197400</v>
      </c>
      <c r="B3949" t="s">
        <v>43178</v>
      </c>
      <c r="C3949" t="s">
        <v>43179</v>
      </c>
      <c r="D3949">
        <f>-823.269623759567 -12.4002594927499 -206.632820107342</f>
        <v>-1042.3027033596591</v>
      </c>
      <c r="E3949">
        <f>-834.637723620464 -18.1993683005931 -304.427617446718</f>
        <v>-1157.2647093677751</v>
      </c>
      <c r="F3949">
        <f>-841.928770716383 -21.7722081549571 -393.153617068589</f>
        <v>-1256.8545959399291</v>
      </c>
      <c r="G3949">
        <f>-845.847689077799 -23.6572282619918 -482.144337337106</f>
        <v>-1351.6492546768968</v>
      </c>
      <c r="H3949">
        <f>-847.746038596324 -24.5978136911315 -606.708781590801</f>
        <v>-1479.0526338782565</v>
      </c>
      <c r="I3949">
        <f>-813.859093581738 -18.3376729193733 -682.323046918545</f>
        <v>-1514.5198134196562</v>
      </c>
      <c r="J3949" t="s">
        <v>43180</v>
      </c>
      <c r="K3949" t="s">
        <v>43181</v>
      </c>
      <c r="L3949" t="s">
        <v>43182</v>
      </c>
      <c r="M3949" t="s">
        <v>43183</v>
      </c>
      <c r="N3949">
        <f>-840.881261722369 -51.2288126398901 -551.781788057883</f>
        <v>-1443.8918624201419</v>
      </c>
      <c r="O3949">
        <f>-812.602615659104 -182.300914643683 -521.485715756915</f>
        <v>-1516.3892460597021</v>
      </c>
      <c r="P3949">
        <f>-801.927512028469 -210.44153489035 -228.76511812379</f>
        <v>-1241.1341650426089</v>
      </c>
      <c r="Q3949">
        <f>-652.392956988869 -55.9146725490951 -337.447121055715</f>
        <v>-1045.7547505936791</v>
      </c>
      <c r="R3949" t="s">
        <v>43184</v>
      </c>
      <c r="S3949" t="s">
        <v>43185</v>
      </c>
      <c r="T3949" t="s">
        <v>43186</v>
      </c>
      <c r="U3949" t="s">
        <v>43187</v>
      </c>
      <c r="V3949">
        <f>-766.705386790914 -90.2065783651094 -91.751715454846</f>
        <v>-948.66368061086939</v>
      </c>
      <c r="W3949" t="s">
        <v>43188</v>
      </c>
      <c r="X3949" t="s">
        <v>43189</v>
      </c>
      <c r="Y3949" t="s">
        <v>43190</v>
      </c>
    </row>
    <row r="3950" spans="1:25" x14ac:dyDescent="0.3">
      <c r="A3950">
        <v>197450</v>
      </c>
      <c r="B3950" t="s">
        <v>43191</v>
      </c>
      <c r="C3950">
        <f>-799.933618149498 -0.021934662748663 -93.8849109650357</f>
        <v>-893.84046377728237</v>
      </c>
      <c r="D3950">
        <f>-823.300122474352 -12.5557676849178 -206.637488238837</f>
        <v>-1042.4933783981066</v>
      </c>
      <c r="E3950">
        <f>-834.724699498644 -18.4191438970706 -304.42177889085</f>
        <v>-1157.5656222865646</v>
      </c>
      <c r="F3950">
        <f>-842.089724106708 -22.0680483019244 -393.138571586267</f>
        <v>-1257.2963439948994</v>
      </c>
      <c r="G3950">
        <f>-846.105899730939 -24.0464778033086 -482.122880028446</f>
        <v>-1352.2752575626935</v>
      </c>
      <c r="H3950">
        <f>-848.165212220679 -25.1350430717521 -606.683585474501</f>
        <v>-1479.9838407669322</v>
      </c>
      <c r="I3950">
        <f>-814.338919481777 -18.9531431632306 -682.33145322615</f>
        <v>-1515.6235158711575</v>
      </c>
      <c r="J3950" t="s">
        <v>43192</v>
      </c>
      <c r="K3950" t="s">
        <v>43193</v>
      </c>
      <c r="L3950" t="s">
        <v>43194</v>
      </c>
      <c r="M3950" t="s">
        <v>43195</v>
      </c>
      <c r="N3950">
        <f>-841.22573496103 -51.6998177188276 -551.733938984672</f>
        <v>-1444.6594916645295</v>
      </c>
      <c r="O3950">
        <f>-812.876837863773 -182.734742862282 -521.32760052041</f>
        <v>-1516.9391812464651</v>
      </c>
      <c r="P3950">
        <f>-802.059649525653 -210.59675869575 -228.585535752649</f>
        <v>-1241.241943974052</v>
      </c>
      <c r="Q3950">
        <f>-652.646491476226 -56.0559257203373 -337.414409376892</f>
        <v>-1046.1168265734552</v>
      </c>
      <c r="R3950" t="s">
        <v>43196</v>
      </c>
      <c r="S3950" t="s">
        <v>43197</v>
      </c>
      <c r="T3950" t="s">
        <v>43198</v>
      </c>
      <c r="U3950" t="s">
        <v>43199</v>
      </c>
      <c r="V3950">
        <f>-766.714394182323 -90.3618975164588 -91.7425996034549</f>
        <v>-948.81889130223669</v>
      </c>
      <c r="W3950" t="s">
        <v>43200</v>
      </c>
      <c r="X3950" t="s">
        <v>43201</v>
      </c>
      <c r="Y3950" t="s">
        <v>43202</v>
      </c>
    </row>
    <row r="3951" spans="1:25" x14ac:dyDescent="0.3">
      <c r="A3951">
        <v>197500</v>
      </c>
      <c r="B3951" t="s">
        <v>43203</v>
      </c>
      <c r="C3951">
        <f>-800.032525340612 -0.115730344228496 -93.9048842769025</f>
        <v>-894.053139961743</v>
      </c>
      <c r="D3951">
        <f>-823.399049674792 -12.7055844092042 -206.651144917293</f>
        <v>-1042.7557790012893</v>
      </c>
      <c r="E3951">
        <f>-834.924541509315 -18.6628776094901 -304.417887243403</f>
        <v>-1158.0053063622081</v>
      </c>
      <c r="F3951">
        <f>-842.42241845907 -22.4138306219504 -393.119360379212</f>
        <v>-1257.9556094602324</v>
      </c>
      <c r="G3951">
        <f>-846.614108286322 -24.5096248363416 -482.0928380709</f>
        <v>-1353.2165711935636</v>
      </c>
      <c r="H3951">
        <f>-848.963773597067 -25.7772690744266 -606.646845750759</f>
        <v>-1481.3878884222527</v>
      </c>
      <c r="I3951">
        <f>-815.26787017555 -19.7127319409617 -682.36231152359</f>
        <v>-1517.3429136401019</v>
      </c>
      <c r="J3951" t="s">
        <v>43204</v>
      </c>
      <c r="K3951" t="s">
        <v>43205</v>
      </c>
      <c r="L3951" t="s">
        <v>43206</v>
      </c>
      <c r="M3951" t="s">
        <v>43207</v>
      </c>
      <c r="N3951">
        <f>-841.879866100972 -52.2595609474749 -551.675669206864</f>
        <v>-1445.8150962553109</v>
      </c>
      <c r="O3951">
        <f>-813.3991619626 -183.236327177165 -521.128860985296</f>
        <v>-1517.7643501250609</v>
      </c>
      <c r="P3951">
        <f>-802.376743529519 -210.574499285168 -228.345054162142</f>
        <v>-1241.2962969768291</v>
      </c>
      <c r="Q3951">
        <f>-653.116382790008 -56.0473603407412 -337.402720012021</f>
        <v>-1046.5664631427701</v>
      </c>
      <c r="R3951" t="s">
        <v>43208</v>
      </c>
      <c r="S3951" t="s">
        <v>43209</v>
      </c>
      <c r="T3951" t="s">
        <v>43210</v>
      </c>
      <c r="U3951" t="s">
        <v>43211</v>
      </c>
      <c r="V3951">
        <f>-766.838348234384 -90.3948101947781 -91.722680950188</f>
        <v>-948.95583937934998</v>
      </c>
      <c r="W3951" t="s">
        <v>43212</v>
      </c>
      <c r="X3951" t="s">
        <v>43213</v>
      </c>
      <c r="Y3951" t="s">
        <v>43214</v>
      </c>
    </row>
    <row r="3952" spans="1:25" x14ac:dyDescent="0.3">
      <c r="A3952">
        <v>197550</v>
      </c>
      <c r="B3952" t="s">
        <v>43215</v>
      </c>
      <c r="C3952">
        <f>-800.072080073136 -0.12856955746156 -93.9056934167007</f>
        <v>-894.10634304729831</v>
      </c>
      <c r="D3952">
        <f>-823.43146304398 -12.7231019339436 -206.653005744816</f>
        <v>-1042.8075707227395</v>
      </c>
      <c r="E3952">
        <f>-834.987986475985 -18.6983815669014 -304.414925770158</f>
        <v>-1158.1012938130443</v>
      </c>
      <c r="F3952">
        <f>-842.529838969024 -22.4697720726215 -393.111797562795</f>
        <v>-1258.1114086044404</v>
      </c>
      <c r="G3952">
        <f>-846.781382617638 -24.5900118579109 -482.081853956267</f>
        <v>-1353.4532484318158</v>
      </c>
      <c r="H3952">
        <f>-849.23174588372 -25.8950423717781 -606.633385216929</f>
        <v>-1481.7601734724271</v>
      </c>
      <c r="I3952">
        <f>-815.591643558046 -19.8838129460855 -682.378099990594</f>
        <v>-1517.8535564947256</v>
      </c>
      <c r="J3952" t="s">
        <v>43216</v>
      </c>
      <c r="K3952" t="s">
        <v>43217</v>
      </c>
      <c r="L3952" t="s">
        <v>43218</v>
      </c>
      <c r="M3952" t="s">
        <v>43219</v>
      </c>
      <c r="N3952">
        <f>-842.089059595018 -52.357624430868 -551.660467369283</f>
        <v>-1446.1071513951688</v>
      </c>
      <c r="O3952">
        <f>-813.521110569085 -183.305530976759 -521.088699656631</f>
        <v>-1517.9153412024748</v>
      </c>
      <c r="P3952">
        <f>-802.426678611059 -210.61824645356 -228.305220450488</f>
        <v>-1241.350145515107</v>
      </c>
      <c r="Q3952">
        <f>-653.281613163508 -55.9825577657542 -337.366761325645</f>
        <v>-1046.6309322549073</v>
      </c>
      <c r="R3952" t="s">
        <v>43220</v>
      </c>
      <c r="S3952" t="s">
        <v>43221</v>
      </c>
      <c r="T3952" t="s">
        <v>43222</v>
      </c>
      <c r="U3952" t="s">
        <v>43223</v>
      </c>
      <c r="V3952">
        <f>-766.907881791596 -90.334978201852 -91.7163970258813</f>
        <v>-948.95925701932924</v>
      </c>
      <c r="W3952" t="s">
        <v>43224</v>
      </c>
      <c r="X3952" t="s">
        <v>43225</v>
      </c>
      <c r="Y3952" t="s">
        <v>43226</v>
      </c>
    </row>
    <row r="3953" spans="1:25" x14ac:dyDescent="0.3">
      <c r="A3953">
        <v>197600</v>
      </c>
      <c r="B3953" t="s">
        <v>43227</v>
      </c>
      <c r="C3953">
        <f>-800.163269808027 -0.345409772631228 -93.897946559983</f>
        <v>-894.40662614064127</v>
      </c>
      <c r="D3953">
        <f>-823.529946089671 -12.9295349916194 -206.644769378784</f>
        <v>-1043.1042504600744</v>
      </c>
      <c r="E3953">
        <f>-835.149828807779 -18.8958887466363 -304.399806127597</f>
        <v>-1158.4455236820122</v>
      </c>
      <c r="F3953">
        <f>-842.772745085853 -22.6571780849135 -393.090182145296</f>
        <v>-1258.5201053160627</v>
      </c>
      <c r="G3953">
        <f>-847.12972136726 -24.763976250063 -482.05553860803</f>
        <v>-1353.9492362253532</v>
      </c>
      <c r="H3953">
        <f>-849.753344604819 -26.0449324438384 -606.603802703849</f>
        <v>-1482.4020797525063</v>
      </c>
      <c r="I3953">
        <f>-816.214913944983 -20.099992179837 -682.398694617681</f>
        <v>-1518.7136007425011</v>
      </c>
      <c r="J3953" t="s">
        <v>43228</v>
      </c>
      <c r="K3953" t="s">
        <v>43229</v>
      </c>
      <c r="L3953" t="s">
        <v>43230</v>
      </c>
      <c r="M3953" t="s">
        <v>43231</v>
      </c>
      <c r="N3953">
        <f>-842.49708377637 -52.5096639200751 -551.646774713783</f>
        <v>-1446.6535224102281</v>
      </c>
      <c r="O3953">
        <f>-813.767608912656 -183.426680084672 -521.118426107942</f>
        <v>-1518.3127151052699</v>
      </c>
      <c r="P3953">
        <f>-802.463604795617 -210.861707749665 -228.354434425901</f>
        <v>-1241.679746971183</v>
      </c>
      <c r="Q3953">
        <f>-653.502371767944 -55.8814965568539 -337.177754136753</f>
        <v>-1046.561622461551</v>
      </c>
      <c r="R3953" t="s">
        <v>43232</v>
      </c>
      <c r="S3953" t="s">
        <v>43233</v>
      </c>
      <c r="T3953" t="s">
        <v>43234</v>
      </c>
      <c r="U3953" t="s">
        <v>43235</v>
      </c>
      <c r="V3953">
        <f>-767.031352087649 -90.6673815170625 -91.7167359001467</f>
        <v>-949.41546950485815</v>
      </c>
      <c r="W3953" t="s">
        <v>43236</v>
      </c>
      <c r="X3953" t="s">
        <v>43237</v>
      </c>
      <c r="Y3953" t="s">
        <v>43238</v>
      </c>
    </row>
    <row r="3954" spans="1:25" x14ac:dyDescent="0.3">
      <c r="A3954">
        <v>197650</v>
      </c>
      <c r="B3954" t="s">
        <v>43239</v>
      </c>
      <c r="C3954">
        <f>-800.257316826429 -0.365593600324246 -93.8912352443799</f>
        <v>-894.51414567113318</v>
      </c>
      <c r="D3954">
        <f>-823.6209679803 -12.9381033840252 -206.640157863282</f>
        <v>-1043.1992292276072</v>
      </c>
      <c r="E3954">
        <f>-835.259109811042 -18.8945500245177 -304.393576636369</f>
        <v>-1158.5472364719287</v>
      </c>
      <c r="F3954">
        <f>-842.907063896474 -22.6462882273586 -393.082089123707</f>
        <v>-1258.6354412475396</v>
      </c>
      <c r="G3954">
        <f>-847.298167920776 -24.7421557376756 -482.04603119526</f>
        <v>-1354.0863548537116</v>
      </c>
      <c r="H3954">
        <f>-849.978784142862 -26.0063892676781 -606.593200776655</f>
        <v>-1482.5783741871951</v>
      </c>
      <c r="I3954">
        <f>-816.474083865311 -20.0910529290509 -682.405373812095</f>
        <v>-1518.9705106064569</v>
      </c>
      <c r="J3954" t="s">
        <v>43240</v>
      </c>
      <c r="K3954" t="s">
        <v>43241</v>
      </c>
      <c r="L3954" t="s">
        <v>43242</v>
      </c>
      <c r="M3954" t="s">
        <v>43243</v>
      </c>
      <c r="N3954">
        <f>-842.68045468504 -52.474654556544 -551.643543377429</f>
        <v>-1446.798652619013</v>
      </c>
      <c r="O3954">
        <f>-813.858950118662 -183.383241547566 -521.168466205162</f>
        <v>-1518.41065787139</v>
      </c>
      <c r="P3954">
        <f>-802.526976329803 -210.883947138733 -228.411790285001</f>
        <v>-1241.8227137535371</v>
      </c>
      <c r="Q3954">
        <f>-653.673382746914 -55.7346301608942 -337.141519740978</f>
        <v>-1046.5495326487862</v>
      </c>
      <c r="R3954" t="s">
        <v>43244</v>
      </c>
      <c r="S3954" t="s">
        <v>43245</v>
      </c>
      <c r="T3954" t="s">
        <v>43246</v>
      </c>
      <c r="U3954" t="s">
        <v>43247</v>
      </c>
      <c r="V3954">
        <f>-767.173115563564 -90.5788361742007 -91.7222522388573</f>
        <v>-949.47420397662199</v>
      </c>
      <c r="W3954" t="s">
        <v>43248</v>
      </c>
      <c r="X3954" t="s">
        <v>43249</v>
      </c>
      <c r="Y3954" t="s">
        <v>43250</v>
      </c>
    </row>
    <row r="3955" spans="1:25" x14ac:dyDescent="0.3">
      <c r="A3955">
        <v>197700</v>
      </c>
      <c r="B3955" t="s">
        <v>43251</v>
      </c>
      <c r="C3955">
        <f>-800.372163949191 -0.629272000291849 -93.8645962258928</f>
        <v>-894.86603217537561</v>
      </c>
      <c r="D3955">
        <f>-823.72961007902 -13.1854820035664 -206.616393928776</f>
        <v>-1043.5314860113624</v>
      </c>
      <c r="E3955">
        <f>-835.360057552024 -19.1014894631267 -304.37326803232</f>
        <v>-1158.8348150474708</v>
      </c>
      <c r="F3955">
        <f>-842.999798683374 -22.8061861994593 -393.064559879406</f>
        <v>-1258.8705447622392</v>
      </c>
      <c r="G3955">
        <f>-847.381326719605 -24.8432878721922 -482.030271163521</f>
        <v>-1354.2548857553181</v>
      </c>
      <c r="H3955">
        <f>-850.047258198198 -26.0130563365415 -606.5787937931</f>
        <v>-1482.6391083278395</v>
      </c>
      <c r="I3955">
        <f>-816.556890753047 -20.1061770569688 -682.397956961376</f>
        <v>-1519.0610247713919</v>
      </c>
      <c r="J3955" t="s">
        <v>43252</v>
      </c>
      <c r="K3955" t="s">
        <v>43253</v>
      </c>
      <c r="L3955" t="s">
        <v>43254</v>
      </c>
      <c r="M3955" t="s">
        <v>43255</v>
      </c>
      <c r="N3955">
        <f>-842.731629762883 -52.5178011244174 -551.648888028023</f>
        <v>-1446.8983189153232</v>
      </c>
      <c r="O3955">
        <f>-813.814580430982 -183.432444985481 -521.263994550365</f>
        <v>-1518.5110199668279</v>
      </c>
      <c r="P3955">
        <f>-802.456858677615 -211.126462082831 -228.526347044128</f>
        <v>-1242.109667804574</v>
      </c>
      <c r="Q3955">
        <f>-653.849116419691 -55.6892395787072 -337.181327740354</f>
        <v>-1046.7196837387521</v>
      </c>
      <c r="R3955" t="s">
        <v>43256</v>
      </c>
      <c r="S3955" t="s">
        <v>43257</v>
      </c>
      <c r="T3955" t="s">
        <v>43258</v>
      </c>
      <c r="U3955" t="s">
        <v>43259</v>
      </c>
      <c r="V3955">
        <f>-767.243356215019 -90.8460108547636 -91.7020348660882</f>
        <v>-949.79140193587079</v>
      </c>
      <c r="W3955" t="s">
        <v>43260</v>
      </c>
      <c r="X3955" t="s">
        <v>43261</v>
      </c>
      <c r="Y3955" t="s">
        <v>43262</v>
      </c>
    </row>
    <row r="3956" spans="1:25" x14ac:dyDescent="0.3">
      <c r="A3956">
        <v>197750</v>
      </c>
      <c r="B3956" t="s">
        <v>43263</v>
      </c>
      <c r="C3956">
        <f>-800.337988067715 -0.709827515069719 -93.8517890338649</f>
        <v>-894.89960461664953</v>
      </c>
      <c r="D3956">
        <f>-823.695230986623 -13.2527696030991 -206.605200638705</f>
        <v>-1043.553201228427</v>
      </c>
      <c r="E3956">
        <f>-835.313976626415 -19.150126580357 -304.364527287817</f>
        <v>-1158.8286304945889</v>
      </c>
      <c r="F3956">
        <f>-842.938440850572 -22.8348907901768 -393.058061356473</f>
        <v>-1258.8313929972219</v>
      </c>
      <c r="G3956">
        <f>-847.299907553419 -24.8494405151685 -482.025146357295</f>
        <v>-1354.1744944258824</v>
      </c>
      <c r="H3956">
        <f>-849.932772041808 -25.9848028056506 -606.574809092028</f>
        <v>-1482.4923839394864</v>
      </c>
      <c r="I3956">
        <f>-816.419741491484 -20.0634068615686 -682.382656070998</f>
        <v>-1518.8658044240506</v>
      </c>
      <c r="J3956" t="s">
        <v>43264</v>
      </c>
      <c r="K3956" t="s">
        <v>43265</v>
      </c>
      <c r="L3956" t="s">
        <v>43266</v>
      </c>
      <c r="M3956" t="s">
        <v>43267</v>
      </c>
      <c r="N3956">
        <f>-842.624677187744 -52.5029766561149 -551.650299128675</f>
        <v>-1446.777952972534</v>
      </c>
      <c r="O3956">
        <f>-813.664697250971 -183.409468083494 -521.300460228085</f>
        <v>-1518.3746255625501</v>
      </c>
      <c r="P3956">
        <f>-802.337987270644 -211.171192027745 -228.56826235769</f>
        <v>-1242.0774416560789</v>
      </c>
      <c r="Q3956">
        <f>-653.779951697447 -55.629695381141 -337.141823821095</f>
        <v>-1046.551470899683</v>
      </c>
      <c r="R3956" t="s">
        <v>43268</v>
      </c>
      <c r="S3956" t="s">
        <v>43269</v>
      </c>
      <c r="T3956" t="s">
        <v>43270</v>
      </c>
      <c r="U3956" t="s">
        <v>43271</v>
      </c>
      <c r="V3956">
        <f>-767.176470092767 -90.844399520708 -91.7171182097909</f>
        <v>-949.73798782326583</v>
      </c>
      <c r="W3956" t="s">
        <v>43272</v>
      </c>
      <c r="X3956" t="s">
        <v>43273</v>
      </c>
      <c r="Y3956" t="s">
        <v>43274</v>
      </c>
    </row>
    <row r="3957" spans="1:25" x14ac:dyDescent="0.3">
      <c r="A3957">
        <v>197800</v>
      </c>
      <c r="B3957" t="s">
        <v>43275</v>
      </c>
      <c r="C3957">
        <f>-800.297901236227 -0.807109001702202 -93.8246070527601</f>
        <v>-894.92961729068929</v>
      </c>
      <c r="D3957">
        <f>-823.648229455115 -13.3345036058943 -206.581144536516</f>
        <v>-1043.5638775975253</v>
      </c>
      <c r="E3957">
        <f>-835.246795667961 -19.1977860876068 -304.344940486296</f>
        <v>-1158.7895222418638</v>
      </c>
      <c r="F3957">
        <f>-842.846808527675 -22.8438934999933 -393.042105361379</f>
        <v>-1258.7328073890474</v>
      </c>
      <c r="G3957">
        <f>-847.177347427701 -24.8119455213634 -482.01189489252</f>
        <v>-1354.0011878415844</v>
      </c>
      <c r="H3957">
        <f>-849.760153714634 -25.8740258542243 -606.56314086071</f>
        <v>-1482.1973204295682</v>
      </c>
      <c r="I3957">
        <f>-816.190465129683 -19.8826965698242 -682.34046411457</f>
        <v>-1518.4136258140772</v>
      </c>
      <c r="J3957" t="s">
        <v>43276</v>
      </c>
      <c r="K3957" t="s">
        <v>43277</v>
      </c>
      <c r="L3957" t="s">
        <v>43278</v>
      </c>
      <c r="M3957" t="s">
        <v>43279</v>
      </c>
      <c r="N3957">
        <f>-842.458018953463 -52.4208742391384 -551.651773461539</f>
        <v>-1446.5306666541405</v>
      </c>
      <c r="O3957">
        <f>-813.433169421668 -183.329784955126 -521.350204502188</f>
        <v>-1518.1131588789822</v>
      </c>
      <c r="P3957">
        <f>-802.155782461173 -211.312795851451 -228.637150009463</f>
        <v>-1242.1057283220871</v>
      </c>
      <c r="Q3957">
        <f>-653.633709370489 -55.6738895656539 -337.120074788477</f>
        <v>-1046.4276737246198</v>
      </c>
      <c r="R3957" t="s">
        <v>43280</v>
      </c>
      <c r="S3957" t="s">
        <v>43281</v>
      </c>
      <c r="T3957" t="s">
        <v>43282</v>
      </c>
      <c r="U3957" t="s">
        <v>43283</v>
      </c>
      <c r="V3957">
        <f>-767.163356061436 -90.9277232644389 -91.7183524967309</f>
        <v>-949.8094318226058</v>
      </c>
      <c r="W3957" t="s">
        <v>43284</v>
      </c>
      <c r="X3957" t="s">
        <v>43285</v>
      </c>
      <c r="Y3957" t="s">
        <v>43286</v>
      </c>
    </row>
    <row r="3958" spans="1:25" x14ac:dyDescent="0.3">
      <c r="A3958">
        <v>197850</v>
      </c>
      <c r="B3958" t="s">
        <v>43287</v>
      </c>
      <c r="C3958">
        <f>-800.238884962972 -0.958013278520184 -93.8080181292505</f>
        <v>-895.00491637074265</v>
      </c>
      <c r="D3958">
        <f>-823.597177241698 -13.4825412888986 -206.56330876904</f>
        <v>-1043.6430272996365</v>
      </c>
      <c r="E3958">
        <f>-835.191228627762 -19.3309235446138 -304.328603674736</f>
        <v>-1158.8507558471119</v>
      </c>
      <c r="F3958">
        <f>-842.782439778815 -22.9586655798723 -393.027135348527</f>
        <v>-1258.7682407072143</v>
      </c>
      <c r="G3958">
        <f>-847.099424792735 -24.9030622620871 -481.998098146252</f>
        <v>-1354.000585201074</v>
      </c>
      <c r="H3958">
        <f>-849.658180683973 -25.9267768111251 -606.550265820245</f>
        <v>-1482.1352233153432</v>
      </c>
      <c r="I3958">
        <f>-816.05603619589 -19.8883311832958 -682.309346943063</f>
        <v>-1518.2537143222489</v>
      </c>
      <c r="J3958" t="s">
        <v>43288</v>
      </c>
      <c r="K3958" t="s">
        <v>43289</v>
      </c>
      <c r="L3958" t="s">
        <v>43290</v>
      </c>
      <c r="M3958" t="s">
        <v>43291</v>
      </c>
      <c r="N3958">
        <f>-842.356877259497 -52.4883171702305 -551.645841578129</f>
        <v>-1446.4910360078566</v>
      </c>
      <c r="O3958">
        <f>-813.289898308142 -183.395831368058 -521.386342962016</f>
        <v>-1518.072072638216</v>
      </c>
      <c r="P3958">
        <f>-801.994821825872 -211.432504591345 -228.679072170628</f>
        <v>-1242.106398587845</v>
      </c>
      <c r="Q3958">
        <f>-653.48905800689 -55.7752462134249 -337.158209643556</f>
        <v>-1046.4225138638708</v>
      </c>
      <c r="R3958" t="s">
        <v>43292</v>
      </c>
      <c r="S3958" t="s">
        <v>43293</v>
      </c>
      <c r="T3958" t="s">
        <v>43294</v>
      </c>
      <c r="U3958" t="s">
        <v>43295</v>
      </c>
      <c r="V3958">
        <f>-767.105806134075 -91.0957883790149 -91.7150998724958</f>
        <v>-949.91669438558574</v>
      </c>
      <c r="W3958" t="s">
        <v>43296</v>
      </c>
      <c r="X3958" t="s">
        <v>43297</v>
      </c>
      <c r="Y3958" t="s">
        <v>43298</v>
      </c>
    </row>
    <row r="3959" spans="1:25" x14ac:dyDescent="0.3">
      <c r="A3959">
        <v>197900</v>
      </c>
      <c r="B3959" t="s">
        <v>43299</v>
      </c>
      <c r="C3959">
        <f>-800.094595253581 -1.33623124587439 -93.7974123232719</f>
        <v>-895.22823882272735</v>
      </c>
      <c r="D3959">
        <f>-823.485129543613 -13.8669359189068 -206.545377593909</f>
        <v>-1043.8974430564288</v>
      </c>
      <c r="E3959">
        <f>-835.089650097571 -19.6915511678803 -304.310642523693</f>
        <v>-1159.0918437891444</v>
      </c>
      <c r="F3959">
        <f>-842.682655955897 -23.2868068166365 -393.010515456152</f>
        <v>-1258.9799782286855</v>
      </c>
      <c r="G3959">
        <f>-846.993638391662 -25.1876217862412 -481.982629743474</f>
        <v>-1354.1638899213772</v>
      </c>
      <c r="H3959">
        <f>-849.535548730583 -26.138636184465 -606.535572458902</f>
        <v>-1482.20975737395</v>
      </c>
      <c r="I3959">
        <f>-815.876987470069 -20.0051699898361 -682.262290237701</f>
        <v>-1518.1444476976062</v>
      </c>
      <c r="J3959" t="s">
        <v>43300</v>
      </c>
      <c r="K3959" t="s">
        <v>43301</v>
      </c>
      <c r="L3959" t="s">
        <v>43302</v>
      </c>
      <c r="M3959" t="s">
        <v>43303</v>
      </c>
      <c r="N3959">
        <f>-842.227873831826 -52.7290063174847 -551.646184060671</f>
        <v>-1446.6030642099818</v>
      </c>
      <c r="O3959">
        <f>-813.07558219442 -183.64434938148 -521.482088679915</f>
        <v>-1518.2020202558151</v>
      </c>
      <c r="P3959">
        <f>-801.560999812115 -211.958286815775 -228.810052243256</f>
        <v>-1242.3293388711461</v>
      </c>
      <c r="Q3959">
        <f>-653.245376706137 -56.083294597761 -337.236667186222</f>
        <v>-1046.56533849012</v>
      </c>
      <c r="R3959" t="s">
        <v>43304</v>
      </c>
      <c r="S3959" t="s">
        <v>43305</v>
      </c>
      <c r="T3959" t="s">
        <v>43306</v>
      </c>
      <c r="U3959" t="s">
        <v>43307</v>
      </c>
      <c r="V3959">
        <f>-766.939468198014 -91.464495277634 -91.7081846579008</f>
        <v>-950.11214813354877</v>
      </c>
      <c r="W3959" t="s">
        <v>43308</v>
      </c>
      <c r="X3959" t="s">
        <v>43309</v>
      </c>
      <c r="Y3959" t="s">
        <v>43310</v>
      </c>
    </row>
    <row r="3960" spans="1:25" x14ac:dyDescent="0.3">
      <c r="A3960">
        <v>197950</v>
      </c>
      <c r="B3960" t="s">
        <v>43311</v>
      </c>
      <c r="C3960">
        <f>-800.045538469056 -1.52371611892636 -93.7956491998433</f>
        <v>-895.36490378782571</v>
      </c>
      <c r="D3960">
        <f>-823.444282498087 -14.0559296196923 -206.541702412963</f>
        <v>-1044.0419145307424</v>
      </c>
      <c r="E3960">
        <f>-835.049756322451 -19.8583305924817 -304.308209419579</f>
        <v>-1159.2162963345118</v>
      </c>
      <c r="F3960">
        <f>-842.640936607673 -23.423486468585 -393.009369668607</f>
        <v>-1259.0737927448649</v>
      </c>
      <c r="G3960">
        <f>-846.947330693613 -25.2843568519374 -481.98261941976</f>
        <v>-1354.2143069653105</v>
      </c>
      <c r="H3960">
        <f>-849.479542376122 -26.1690097803485 -606.536299248644</f>
        <v>-1482.1848514051144</v>
      </c>
      <c r="I3960">
        <f>-815.80964320916 -19.9761490922974 -682.25301158026</f>
        <v>-1518.0388038817173</v>
      </c>
      <c r="J3960" t="s">
        <v>43312</v>
      </c>
      <c r="K3960" t="s">
        <v>43313</v>
      </c>
      <c r="L3960" t="s">
        <v>43314</v>
      </c>
      <c r="M3960" t="s">
        <v>43315</v>
      </c>
      <c r="N3960">
        <f>-842.165780927314 -52.7863396363973 -551.660638397659</f>
        <v>-1446.6127589613702</v>
      </c>
      <c r="O3960">
        <f>-812.96264131741 -183.699823319882 -521.562388090006</f>
        <v>-1518.2248527272982</v>
      </c>
      <c r="P3960">
        <f>-801.392805545506 -212.118604828533 -228.902674071372</f>
        <v>-1242.4140844454109</v>
      </c>
      <c r="Q3960">
        <f>-653.141459510137 -56.1681323678691 -337.308725762207</f>
        <v>-1046.6183176402133</v>
      </c>
      <c r="R3960" t="s">
        <v>43316</v>
      </c>
      <c r="S3960" t="s">
        <v>43317</v>
      </c>
      <c r="T3960" t="s">
        <v>43318</v>
      </c>
      <c r="U3960" t="s">
        <v>43319</v>
      </c>
      <c r="V3960">
        <f>-766.859231825974 -91.6671267530451 -91.7076910797897</f>
        <v>-950.23404965880877</v>
      </c>
      <c r="W3960" t="s">
        <v>43320</v>
      </c>
      <c r="X3960" t="s">
        <v>43321</v>
      </c>
      <c r="Y3960" t="s">
        <v>43322</v>
      </c>
    </row>
    <row r="3961" spans="1:25" x14ac:dyDescent="0.3">
      <c r="A3961">
        <v>198000</v>
      </c>
      <c r="B3961" t="s">
        <v>43323</v>
      </c>
      <c r="C3961">
        <f>-800.147564262919 -1.70668940266592 -93.8042340215636</f>
        <v>-895.65848768714852</v>
      </c>
      <c r="D3961">
        <f>-823.531783137042 -14.2371755974582 -206.553402751299</f>
        <v>-1044.3223614857991</v>
      </c>
      <c r="E3961">
        <f>-835.089096668726 -20.012690944106 -304.327258362941</f>
        <v>-1159.4290459757731</v>
      </c>
      <c r="F3961">
        <f>-842.622116893982 -23.5441624034236 -393.034816433236</f>
        <v>-1259.2010957306416</v>
      </c>
      <c r="G3961">
        <f>-846.85500704239 -25.3618129006168 -482.012422773979</f>
        <v>-1354.2292427169857</v>
      </c>
      <c r="H3961">
        <f>-849.268909177251 -26.1761965757651 -606.568897530388</f>
        <v>-1482.014003283404</v>
      </c>
      <c r="I3961">
        <f>-815.581213246977 -19.879690615056 -682.269212949467</f>
        <v>-1517.7301168115</v>
      </c>
      <c r="J3961" t="s">
        <v>43324</v>
      </c>
      <c r="K3961" t="s">
        <v>43325</v>
      </c>
      <c r="L3961" t="s">
        <v>43326</v>
      </c>
      <c r="M3961" t="s">
        <v>43327</v>
      </c>
      <c r="N3961">
        <f>-841.993725629193 -52.8212287208961 -551.701597796392</f>
        <v>-1446.516552146481</v>
      </c>
      <c r="O3961">
        <f>-812.727427596484 -183.738775954961 -521.68438422907</f>
        <v>-1518.150587780515</v>
      </c>
      <c r="P3961">
        <f>-801.111040676149 -212.29608408206 -229.040020444741</f>
        <v>-1242.44714520295</v>
      </c>
      <c r="Q3961">
        <f>-652.935000345379 -56.2851972653822 -337.46226533988</f>
        <v>-1046.6824629506411</v>
      </c>
      <c r="R3961" t="s">
        <v>43328</v>
      </c>
      <c r="S3961" t="s">
        <v>43329</v>
      </c>
      <c r="T3961" t="s">
        <v>43330</v>
      </c>
      <c r="U3961" t="s">
        <v>43331</v>
      </c>
      <c r="V3961">
        <f>-766.927437105035 -91.8592254614933 -91.7116756596637</f>
        <v>-950.498338226192</v>
      </c>
      <c r="W3961" t="s">
        <v>43332</v>
      </c>
      <c r="X3961" t="s">
        <v>43333</v>
      </c>
      <c r="Y3961" t="s">
        <v>43334</v>
      </c>
    </row>
    <row r="3962" spans="1:25" x14ac:dyDescent="0.3">
      <c r="A3962">
        <v>198050</v>
      </c>
      <c r="B3962" t="s">
        <v>43335</v>
      </c>
      <c r="C3962">
        <f>-800.275903623066 -1.68224098126825 -93.8110983080229</f>
        <v>-895.76924291235719</v>
      </c>
      <c r="D3962">
        <f>-823.643908040499 -14.2150637069378 -206.563464556699</f>
        <v>-1044.4224363041358</v>
      </c>
      <c r="E3962">
        <f>-835.174124067633 -19.9857954036468 -304.34070524381</f>
        <v>-1159.5006247150898</v>
      </c>
      <c r="F3962">
        <f>-842.676634779061 -23.510581590923 -393.051203130635</f>
        <v>-1259.2384195006191</v>
      </c>
      <c r="G3962">
        <f>-846.873675853038 -25.3190541589397 -482.030652723909</f>
        <v>-1354.2233827358866</v>
      </c>
      <c r="H3962">
        <f>-849.231201083765 -26.1188870518774 -606.588353015409</f>
        <v>-1481.9384411510514</v>
      </c>
      <c r="I3962">
        <f>-815.546844813104 -19.7785375548658 -682.286323164696</f>
        <v>-1517.6117055326658</v>
      </c>
      <c r="J3962" t="s">
        <v>43336</v>
      </c>
      <c r="K3962" t="s">
        <v>43337</v>
      </c>
      <c r="L3962" t="s">
        <v>43338</v>
      </c>
      <c r="M3962" t="s">
        <v>43339</v>
      </c>
      <c r="N3962">
        <f>-841.977384704916 -52.7696265391901 -551.721022598836</f>
        <v>-1446.4680338429421</v>
      </c>
      <c r="O3962">
        <f>-812.668022804101 -183.68336732797 -521.714814662809</f>
        <v>-1518.0662047948799</v>
      </c>
      <c r="P3962">
        <f>-801.102222950781 -212.260065856068 -229.070409139308</f>
        <v>-1242.4326979461568</v>
      </c>
      <c r="Q3962">
        <f>-652.941801067236 -56.2145197628086 -337.463875280784</f>
        <v>-1046.6201961108286</v>
      </c>
      <c r="R3962" t="s">
        <v>43340</v>
      </c>
      <c r="S3962" t="s">
        <v>43341</v>
      </c>
      <c r="T3962" t="s">
        <v>43342</v>
      </c>
      <c r="U3962" t="s">
        <v>43343</v>
      </c>
      <c r="V3962">
        <f>-767.03602335174 -91.8131848093425 -91.7194518299943</f>
        <v>-950.56865999107686</v>
      </c>
      <c r="W3962" t="s">
        <v>43344</v>
      </c>
      <c r="X3962" t="s">
        <v>43345</v>
      </c>
      <c r="Y3962" t="s">
        <v>43346</v>
      </c>
    </row>
    <row r="3963" spans="1:25" x14ac:dyDescent="0.3">
      <c r="A3963">
        <v>198100</v>
      </c>
      <c r="B3963" t="s">
        <v>43347</v>
      </c>
      <c r="C3963">
        <f>-800.384487874568 -1.6902574013709 -93.8218923267719</f>
        <v>-895.89663760271083</v>
      </c>
      <c r="D3963">
        <f>-823.741743256654 -14.2223592888963 -206.576484488029</f>
        <v>-1044.5405870335794</v>
      </c>
      <c r="E3963">
        <f>-835.248992994873 -19.9873723559504 -304.35698872061</f>
        <v>-1159.5933540714334</v>
      </c>
      <c r="F3963">
        <f>-842.725119736023 -23.5051364362478 -393.069801765493</f>
        <v>-1259.3000579377638</v>
      </c>
      <c r="G3963">
        <f>-846.889866912219 -25.305097110707 -482.05107630637</f>
        <v>-1354.246040329296</v>
      </c>
      <c r="H3963">
        <f>-849.196215375172 -26.091373211141 -606.609673980662</f>
        <v>-1481.8972625669749</v>
      </c>
      <c r="I3963">
        <f>-815.504122654817 -19.7135108933853 -682.301132818418</f>
        <v>-1517.5187663666202</v>
      </c>
      <c r="J3963" t="s">
        <v>43348</v>
      </c>
      <c r="K3963" t="s">
        <v>43349</v>
      </c>
      <c r="L3963" t="s">
        <v>43350</v>
      </c>
      <c r="M3963" t="s">
        <v>43351</v>
      </c>
      <c r="N3963">
        <f>-841.958552956357 -52.7465760747292 -551.742403230761</f>
        <v>-1446.4475322618473</v>
      </c>
      <c r="O3963">
        <f>-812.623294723293 -183.65474108665 -521.742978808281</f>
        <v>-1518.0210146182239</v>
      </c>
      <c r="P3963">
        <f>-801.131197755874 -212.216273459946 -229.094046720495</f>
        <v>-1242.441517936315</v>
      </c>
      <c r="Q3963">
        <f>-652.924908536983 -56.1754992807228 -337.431818305054</f>
        <v>-1046.5322261227598</v>
      </c>
      <c r="R3963" t="s">
        <v>43352</v>
      </c>
      <c r="S3963" t="s">
        <v>43353</v>
      </c>
      <c r="T3963" t="s">
        <v>43354</v>
      </c>
      <c r="U3963" t="s">
        <v>43355</v>
      </c>
      <c r="V3963">
        <f>-767.115819320795 -91.8342796197244 -91.7311768726571</f>
        <v>-950.68127581317651</v>
      </c>
      <c r="W3963" t="s">
        <v>43356</v>
      </c>
      <c r="X3963" t="s">
        <v>43357</v>
      </c>
      <c r="Y3963" t="s">
        <v>43358</v>
      </c>
    </row>
    <row r="3964" spans="1:25" x14ac:dyDescent="0.3">
      <c r="A3964">
        <v>198150</v>
      </c>
      <c r="B3964" t="s">
        <v>43359</v>
      </c>
      <c r="C3964">
        <f>-800.511642568689 -1.98061806740589 -93.8359578345803</f>
        <v>-896.32821847067521</v>
      </c>
      <c r="D3964">
        <f>-823.850684160836 -14.5231404197141 -206.593192395714</f>
        <v>-1044.9670169762639</v>
      </c>
      <c r="E3964">
        <f>-835.317679888279 -20.2892655210642 -304.378374947319</f>
        <v>-1159.9853203566622</v>
      </c>
      <c r="F3964">
        <f>-842.74724777039 -23.8055549358983 -393.095172316035</f>
        <v>-1259.6479750223234</v>
      </c>
      <c r="G3964">
        <f>-846.855439892715 -25.6013827792226 -482.079012646885</f>
        <v>-1354.5358353188226</v>
      </c>
      <c r="H3964">
        <f>-849.072014432112 -26.3789988117358 -606.63949248212</f>
        <v>-1482.0905057259679</v>
      </c>
      <c r="I3964">
        <f>-815.361375154605 -19.9577038962238 -682.318975378336</f>
        <v>-1517.6380544291646</v>
      </c>
      <c r="J3964" t="s">
        <v>43360</v>
      </c>
      <c r="K3964" t="s">
        <v>43361</v>
      </c>
      <c r="L3964" t="s">
        <v>43362</v>
      </c>
      <c r="M3964" t="s">
        <v>43363</v>
      </c>
      <c r="N3964">
        <f>-841.850159455899 -53.032489481405 -551.769267556234</f>
        <v>-1446.651916493538</v>
      </c>
      <c r="O3964">
        <f>-812.398300449061 -183.915658677177 -521.770006954053</f>
        <v>-1518.083966080291</v>
      </c>
      <c r="P3964">
        <f>-801.000222076923 -212.496643463972 -229.119269645632</f>
        <v>-1242.6161351865269</v>
      </c>
      <c r="Q3964">
        <f>-652.86948413611 -56.3556680439334 -337.416038907561</f>
        <v>-1046.6411910876045</v>
      </c>
      <c r="R3964" t="s">
        <v>43364</v>
      </c>
      <c r="S3964" t="s">
        <v>43365</v>
      </c>
      <c r="T3964" t="s">
        <v>43366</v>
      </c>
      <c r="U3964" t="s">
        <v>43367</v>
      </c>
      <c r="V3964">
        <f>-767.162483884913 -92.1406815291811 -91.7455251327408</f>
        <v>-951.04869054683479</v>
      </c>
      <c r="W3964" t="s">
        <v>43368</v>
      </c>
      <c r="X3964" t="s">
        <v>43369</v>
      </c>
      <c r="Y3964" t="s">
        <v>43370</v>
      </c>
    </row>
    <row r="3965" spans="1:25" x14ac:dyDescent="0.3">
      <c r="A3965">
        <v>198200</v>
      </c>
      <c r="B3965" t="s">
        <v>43371</v>
      </c>
      <c r="C3965">
        <f>-800.60829303042 -2.22576217826008 -93.8554308725223</f>
        <v>-896.6894860812024</v>
      </c>
      <c r="D3965">
        <f>-823.924765854185 -14.783435701876 -206.615649973188</f>
        <v>-1045.3238515292489</v>
      </c>
      <c r="E3965">
        <f>-835.353937276211 -20.5542748513353 -304.404849286144</f>
        <v>-1160.3130614136903</v>
      </c>
      <c r="F3965">
        <f>-842.741702046916 -24.0726523579897 -393.125133463994</f>
        <v>-1259.9394878688997</v>
      </c>
      <c r="G3965">
        <f>-846.800059242776 -25.8678809868356 -482.11134068468</f>
        <v>-1354.7792809142916</v>
      </c>
      <c r="H3965">
        <f>-848.938746433097 -26.6428298771273 -606.673141033929</f>
        <v>-1482.2547173441533</v>
      </c>
      <c r="I3965">
        <f>-815.202602576445 -20.1913710958465 -682.338612301571</f>
        <v>-1517.7325859738626</v>
      </c>
      <c r="J3965" t="s">
        <v>43372</v>
      </c>
      <c r="K3965" t="s">
        <v>43373</v>
      </c>
      <c r="L3965" t="s">
        <v>43374</v>
      </c>
      <c r="M3965" t="s">
        <v>43375</v>
      </c>
      <c r="N3965">
        <f>-841.72553112903 -53.2915502666617 -551.799309597093</f>
        <v>-1446.8163909927848</v>
      </c>
      <c r="O3965">
        <f>-812.140037183898 -184.147820264145 -521.813927880922</f>
        <v>-1518.101785328965</v>
      </c>
      <c r="P3965">
        <f>-800.715275283663 -212.783689487056 -229.169625255813</f>
        <v>-1242.668590026532</v>
      </c>
      <c r="Q3965">
        <f>-652.840397831751 -56.3979268777211 -337.462696826469</f>
        <v>-1046.7010215359412</v>
      </c>
      <c r="R3965" t="s">
        <v>43376</v>
      </c>
      <c r="S3965" t="s">
        <v>43377</v>
      </c>
      <c r="T3965" t="s">
        <v>43378</v>
      </c>
      <c r="U3965" t="s">
        <v>43379</v>
      </c>
      <c r="V3965">
        <f>-767.216720856235 -92.3115066763178 -91.7674392250187</f>
        <v>-951.29566675757155</v>
      </c>
      <c r="W3965" t="s">
        <v>43380</v>
      </c>
      <c r="X3965" t="s">
        <v>43381</v>
      </c>
      <c r="Y3965" t="s">
        <v>43382</v>
      </c>
    </row>
    <row r="3966" spans="1:25" x14ac:dyDescent="0.3">
      <c r="A3966">
        <v>198250</v>
      </c>
      <c r="B3966" t="s">
        <v>43383</v>
      </c>
      <c r="C3966">
        <f>-800.64596210311 -2.30311121694058 -93.8607179515217</f>
        <v>-896.80979127157229</v>
      </c>
      <c r="D3966">
        <f>-823.94439073805 -14.8707106155473 -206.62346341865</f>
        <v>-1045.4385647722472</v>
      </c>
      <c r="E3966">
        <f>-835.353619703585 -20.6492957861803 -304.414514465758</f>
        <v>-1160.4174299555234</v>
      </c>
      <c r="F3966">
        <f>-842.721169647944 -24.174802109879 -393.136186237717</f>
        <v>-1260.03215799554</v>
      </c>
      <c r="G3966">
        <f>-846.75728693845 -25.9774309304562 -482.123356464302</f>
        <v>-1354.8580743332082</v>
      </c>
      <c r="H3966">
        <f>-848.862833154326 -26.762412355547 -606.685581200417</f>
        <v>-1482.31082671029</v>
      </c>
      <c r="I3966">
        <f>-815.116513220306 -20.2997730557649 -682.345694109777</f>
        <v>-1517.7619803858479</v>
      </c>
      <c r="J3966" t="s">
        <v>43384</v>
      </c>
      <c r="K3966" t="s">
        <v>43385</v>
      </c>
      <c r="L3966" t="s">
        <v>43386</v>
      </c>
      <c r="M3966" t="s">
        <v>43387</v>
      </c>
      <c r="N3966">
        <f>-841.651305107917 -53.4036847056369 -551.808207194927</f>
        <v>-1446.8631970084809</v>
      </c>
      <c r="O3966">
        <f>-812.002284937927 -184.241181803045 -521.808642530552</f>
        <v>-1518.0521092715239</v>
      </c>
      <c r="P3966">
        <f>-800.602172759279 -212.855936522071 -229.161306049198</f>
        <v>-1242.619415330548</v>
      </c>
      <c r="Q3966">
        <f>-652.781088051379 -56.4298574866514 -337.469487912766</f>
        <v>-1046.6804334507965</v>
      </c>
      <c r="R3966" t="s">
        <v>43388</v>
      </c>
      <c r="S3966" t="s">
        <v>43389</v>
      </c>
      <c r="T3966" t="s">
        <v>43390</v>
      </c>
      <c r="U3966" t="s">
        <v>43391</v>
      </c>
      <c r="V3966">
        <f>-767.187183827304 -92.3794397162666 -91.7758543323686</f>
        <v>-951.34247787593915</v>
      </c>
      <c r="W3966" t="s">
        <v>43392</v>
      </c>
      <c r="X3966" t="s">
        <v>43393</v>
      </c>
      <c r="Y3966" t="s">
        <v>43394</v>
      </c>
    </row>
    <row r="3967" spans="1:25" x14ac:dyDescent="0.3">
      <c r="A3967">
        <v>198300</v>
      </c>
      <c r="B3967" t="s">
        <v>43395</v>
      </c>
      <c r="C3967">
        <f>-800.623643925997 -2.59123669907444 -93.8741962822033</f>
        <v>-897.08907690727483</v>
      </c>
      <c r="D3967">
        <f>-823.884807915259 -15.176530634039 -206.642760242699</f>
        <v>-1045.704098791997</v>
      </c>
      <c r="E3967">
        <f>-835.248588039297 -20.9725563994209 -304.43802815058</f>
        <v>-1160.6591725892979</v>
      </c>
      <c r="F3967">
        <f>-842.569430753011 -24.5152592731904 -393.162989262946</f>
        <v>-1260.2476792891475</v>
      </c>
      <c r="G3967">
        <f>-846.553504824725 -26.336732611675 -482.151884515838</f>
        <v>-1355.0421219522379</v>
      </c>
      <c r="H3967">
        <f>-848.580601485852 -27.1497120740755 -606.715433893069</f>
        <v>-1482.4457474529963</v>
      </c>
      <c r="I3967">
        <f>-814.816825202305 -20.6672490077917 -682.365888770469</f>
        <v>-1517.8499629805658</v>
      </c>
      <c r="J3967" t="s">
        <v>43396</v>
      </c>
      <c r="K3967" t="s">
        <v>43397</v>
      </c>
      <c r="L3967" t="s">
        <v>43398</v>
      </c>
      <c r="M3967" t="s">
        <v>43399</v>
      </c>
      <c r="N3967">
        <f>-841.379914787279 -53.7731809543434 -551.827730287486</f>
        <v>-1446.9808260291084</v>
      </c>
      <c r="O3967">
        <f>-811.621923994413 -184.580124599748 -521.804739718659</f>
        <v>-1518.0067883128199</v>
      </c>
      <c r="P3967">
        <f>-800.261378304588 -213.148314962728 -229.151414910315</f>
        <v>-1242.561108177631</v>
      </c>
      <c r="Q3967">
        <f>-652.502898108673 -56.6496872146536 -337.44024221157</f>
        <v>-1046.5928275348965</v>
      </c>
      <c r="R3967" t="s">
        <v>43400</v>
      </c>
      <c r="S3967" t="s">
        <v>43401</v>
      </c>
      <c r="T3967" t="s">
        <v>43402</v>
      </c>
      <c r="U3967" t="s">
        <v>43403</v>
      </c>
      <c r="V3967">
        <f>-767.071308462923 -92.6381006552701 -91.7818360487304</f>
        <v>-951.49124516692348</v>
      </c>
      <c r="W3967" t="s">
        <v>43404</v>
      </c>
      <c r="X3967" t="s">
        <v>43405</v>
      </c>
      <c r="Y3967" t="s">
        <v>43406</v>
      </c>
    </row>
    <row r="3968" spans="1:25" x14ac:dyDescent="0.3">
      <c r="A3968">
        <v>198350</v>
      </c>
      <c r="B3968" t="s">
        <v>43407</v>
      </c>
      <c r="C3968">
        <f>-800.701436993931 -2.50760502009985 -93.8746803544013</f>
        <v>-897.08372236843218</v>
      </c>
      <c r="D3968">
        <f>-823.95799302059 -15.1124947239853 -206.642010593875</f>
        <v>-1045.7124983384504</v>
      </c>
      <c r="E3968">
        <f>-835.308725685465 -20.9172182548743 -304.438377348789</f>
        <v>-1160.6643212891283</v>
      </c>
      <c r="F3968">
        <f>-842.614009515679 -24.4654852721781 -393.164235018734</f>
        <v>-1260.2437298065911</v>
      </c>
      <c r="G3968">
        <f>-846.57832098153 -26.2897944326883 -482.154118140877</f>
        <v>-1355.0222335550952</v>
      </c>
      <c r="H3968">
        <f>-848.573330928126 -27.1043579349287 -606.718016950608</f>
        <v>-1482.3957058136625</v>
      </c>
      <c r="I3968">
        <f>-814.80337752635 -20.6065231860571 -682.364542225653</f>
        <v>-1517.77444293806</v>
      </c>
      <c r="J3968" t="s">
        <v>43408</v>
      </c>
      <c r="K3968" t="s">
        <v>43409</v>
      </c>
      <c r="L3968" t="s">
        <v>43410</v>
      </c>
      <c r="M3968" t="s">
        <v>43411</v>
      </c>
      <c r="N3968">
        <f>-841.37501510497 -53.7244361063972 -551.828358376903</f>
        <v>-1446.9278095882701</v>
      </c>
      <c r="O3968">
        <f>-811.568638556601 -184.52274468577 -521.797617015806</f>
        <v>-1517.889000258177</v>
      </c>
      <c r="P3968">
        <f>-800.212926811901 -213.070030157444 -229.14219000879</f>
        <v>-1242.425146978135</v>
      </c>
      <c r="Q3968">
        <f>-652.441545116714 -56.5932405878398 -337.444863654403</f>
        <v>-1046.4796493589567</v>
      </c>
      <c r="R3968" t="s">
        <v>43412</v>
      </c>
      <c r="S3968" t="s">
        <v>43413</v>
      </c>
      <c r="T3968" t="s">
        <v>43414</v>
      </c>
      <c r="U3968" t="s">
        <v>43415</v>
      </c>
      <c r="V3968">
        <f>-767.214669501673 -92.2920981630026 -91.7809359119275</f>
        <v>-951.28770357660312</v>
      </c>
      <c r="W3968" t="s">
        <v>43416</v>
      </c>
      <c r="X3968" t="s">
        <v>43417</v>
      </c>
      <c r="Y3968" t="s">
        <v>43418</v>
      </c>
    </row>
    <row r="3969" spans="1:25" x14ac:dyDescent="0.3">
      <c r="A3969">
        <v>198400</v>
      </c>
      <c r="B3969" t="s">
        <v>43419</v>
      </c>
      <c r="C3969">
        <f>-800.81723647997 -2.5196321693204 -93.8656975399437</f>
        <v>-897.20256618923406</v>
      </c>
      <c r="D3969">
        <f>-824.050152319157 -15.1527293665201 -206.63475357408</f>
        <v>-1045.837635259757</v>
      </c>
      <c r="E3969">
        <f>-835.359355399446 -20.9728580299611 -304.43500556902</f>
        <v>-1160.7672189984271</v>
      </c>
      <c r="F3969">
        <f>-842.617940231778 -24.5322186779313 -393.164301277431</f>
        <v>-1260.3144601871402</v>
      </c>
      <c r="G3969">
        <f>-846.526542812319 -26.3648311882787 -482.156539208853</f>
        <v>-1355.0479132094506</v>
      </c>
      <c r="H3969">
        <f>-848.434360957168 -27.1883791895541 -606.721677029808</f>
        <v>-1482.34441717653</v>
      </c>
      <c r="I3969">
        <f>-814.635585818808 -20.6618732242575 -682.35280397321</f>
        <v>-1517.6502630162754</v>
      </c>
      <c r="J3969" t="s">
        <v>43420</v>
      </c>
      <c r="K3969" t="s">
        <v>43421</v>
      </c>
      <c r="L3969" t="s">
        <v>43422</v>
      </c>
      <c r="M3969" t="s">
        <v>43423</v>
      </c>
      <c r="N3969">
        <f>-841.25316964863 -53.7993012889571 -551.825412363923</f>
        <v>-1446.8778833015099</v>
      </c>
      <c r="O3969">
        <f>-811.368699471372 -184.570429485974 -521.763119509512</f>
        <v>-1517.7022484668578</v>
      </c>
      <c r="P3969">
        <f>-800.013138279765 -213.11642432037 -229.107474386785</f>
        <v>-1242.23703698692</v>
      </c>
      <c r="Q3969">
        <f>-652.373373937342 -56.5536253169727 -337.465440364044</f>
        <v>-1046.3924396183586</v>
      </c>
      <c r="R3969" t="s">
        <v>43424</v>
      </c>
      <c r="S3969" t="s">
        <v>43425</v>
      </c>
      <c r="T3969" t="s">
        <v>43426</v>
      </c>
      <c r="U3969" t="s">
        <v>43427</v>
      </c>
      <c r="V3969">
        <f>-767.212865666274 -92.356703420294 -91.7771003434699</f>
        <v>-951.34666943003788</v>
      </c>
      <c r="W3969" t="s">
        <v>43428</v>
      </c>
      <c r="X3969" t="s">
        <v>43429</v>
      </c>
      <c r="Y3969" t="s">
        <v>43430</v>
      </c>
    </row>
    <row r="3970" spans="1:25" x14ac:dyDescent="0.3">
      <c r="A3970">
        <v>198450</v>
      </c>
      <c r="B3970" t="s">
        <v>43431</v>
      </c>
      <c r="C3970">
        <f>-800.825360082341 -2.63533924767694 -93.863994099306</f>
        <v>-897.32469342932393</v>
      </c>
      <c r="D3970">
        <f>-824.058841516357 -15.2852307698092 -206.631093119132</f>
        <v>-1045.9751654052982</v>
      </c>
      <c r="E3970">
        <f>-835.342648378844 -21.111146092009 -304.433801792004</f>
        <v>-1160.887596262857</v>
      </c>
      <c r="F3970">
        <f>-842.567831582033 -24.6725407455865 -393.165803336655</f>
        <v>-1260.4061756642745</v>
      </c>
      <c r="G3970">
        <f>-846.432506485499 -26.5044326794832 -482.159960344368</f>
        <v>-1355.0968995093501</v>
      </c>
      <c r="H3970">
        <f>-848.267476482577 -27.3239946799283 -606.726274793399</f>
        <v>-1482.3177459559042</v>
      </c>
      <c r="I3970">
        <f>-814.445598111889 -20.7855437950013 -682.346038144661</f>
        <v>-1517.5771800515513</v>
      </c>
      <c r="J3970" t="s">
        <v>43432</v>
      </c>
      <c r="K3970" t="s">
        <v>43433</v>
      </c>
      <c r="L3970" t="s">
        <v>43434</v>
      </c>
      <c r="M3970" t="s">
        <v>43435</v>
      </c>
      <c r="N3970">
        <f>-841.107418989262 -53.9341991728879 -551.826845554789</f>
        <v>-1446.868463716939</v>
      </c>
      <c r="O3970">
        <f>-811.192230574739 -184.69250793425 -521.741869334158</f>
        <v>-1517.626607843147</v>
      </c>
      <c r="P3970">
        <f>-799.882725112318 -213.206559252183 -229.081240562394</f>
        <v>-1242.170524926895</v>
      </c>
      <c r="Q3970">
        <f>-652.279411618741 -56.6214741964706 -337.456681901023</f>
        <v>-1046.3575677162346</v>
      </c>
      <c r="R3970" t="s">
        <v>43436</v>
      </c>
      <c r="S3970" t="s">
        <v>43437</v>
      </c>
      <c r="T3970" t="s">
        <v>43438</v>
      </c>
      <c r="U3970" t="s">
        <v>43439</v>
      </c>
      <c r="V3970">
        <f>-767.173212134128 -92.4939337787566 -91.7629177243797</f>
        <v>-951.43006363726431</v>
      </c>
      <c r="W3970" t="s">
        <v>43440</v>
      </c>
      <c r="X3970" t="s">
        <v>43441</v>
      </c>
      <c r="Y3970" t="s">
        <v>43442</v>
      </c>
    </row>
    <row r="3971" spans="1:25" x14ac:dyDescent="0.3">
      <c r="A3971">
        <v>198500</v>
      </c>
      <c r="B3971" t="s">
        <v>43443</v>
      </c>
      <c r="C3971">
        <f>-800.89178739441 -2.79572389944519 -93.8804222259736</f>
        <v>-897.56793351982878</v>
      </c>
      <c r="D3971">
        <f>-824.01849704392 -15.4285417477877 -206.671401179915</f>
        <v>-1046.1184399716226</v>
      </c>
      <c r="E3971">
        <f>-835.165128303417 -21.2626508402655 -304.489455022445</f>
        <v>-1160.9172341661274</v>
      </c>
      <c r="F3971">
        <f>-842.248094001363 -24.8419857410652 -393.232097096266</f>
        <v>-1260.3221768386943</v>
      </c>
      <c r="G3971">
        <f>-845.952695906441 -26.701930306325 -482.232384436379</f>
        <v>-1354.8870106491449</v>
      </c>
      <c r="H3971">
        <f>-847.545648988521 -27.572124420507 -606.801765355437</f>
        <v>-1481.919538764465</v>
      </c>
      <c r="I3971">
        <f>-813.643090944488 -21.0379450855282 -682.385756511497</f>
        <v>-1517.0667925415132</v>
      </c>
      <c r="J3971">
        <f>-853.220834413043 -0.223944189409167 -552.091756922524</f>
        <v>-1405.5365355249762</v>
      </c>
      <c r="K3971" t="s">
        <v>43444</v>
      </c>
      <c r="L3971" t="s">
        <v>43445</v>
      </c>
      <c r="M3971" t="s">
        <v>43446</v>
      </c>
      <c r="N3971">
        <f>-840.468506958758 -54.1544068427984 -551.878127875707</f>
        <v>-1446.5010416772634</v>
      </c>
      <c r="O3971">
        <f>-810.498610621741 -184.878508159205 -521.703285046282</f>
        <v>-1517.0804038272281</v>
      </c>
      <c r="P3971">
        <f>-799.349813137647 -213.353652608363 -229.032736751992</f>
        <v>-1241.7362024980018</v>
      </c>
      <c r="Q3971">
        <f>-651.79502721183 -56.7167567882605 -337.399316732224</f>
        <v>-1045.9111007323145</v>
      </c>
      <c r="R3971" t="s">
        <v>43447</v>
      </c>
      <c r="S3971" t="s">
        <v>43448</v>
      </c>
      <c r="T3971" t="s">
        <v>43449</v>
      </c>
      <c r="U3971" t="s">
        <v>43450</v>
      </c>
      <c r="V3971">
        <f>-767.223995659791 -92.6195585855276 -91.7793359649382</f>
        <v>-951.62289021025674</v>
      </c>
      <c r="W3971" t="s">
        <v>43451</v>
      </c>
      <c r="X3971" t="s">
        <v>43452</v>
      </c>
      <c r="Y3971" t="s">
        <v>43453</v>
      </c>
    </row>
    <row r="3972" spans="1:25" x14ac:dyDescent="0.3">
      <c r="A3972">
        <v>198550</v>
      </c>
      <c r="B3972" t="s">
        <v>43454</v>
      </c>
      <c r="C3972">
        <f>-800.873839528735 -2.82074790446472 -93.8860588110201</f>
        <v>-897.58064624421979</v>
      </c>
      <c r="D3972">
        <f>-823.966193948844 -15.4521858768994 -206.684136603304</f>
        <v>-1046.1025164290475</v>
      </c>
      <c r="E3972">
        <f>-835.052195403876 -21.2845487991424 -304.509238875757</f>
        <v>-1160.8459830787754</v>
      </c>
      <c r="F3972">
        <f>-842.067765590304 -24.8625897769018 -393.257322032345</f>
        <v>-1260.1876773995509</v>
      </c>
      <c r="G3972">
        <f>-845.692565321915 -26.7215402394415 -482.260910851141</f>
        <v>-1354.6750164124976</v>
      </c>
      <c r="H3972">
        <f>-847.160947345031 -27.5911617632594 -606.831726222246</f>
        <v>-1481.5838353305362</v>
      </c>
      <c r="I3972">
        <f>-813.215876409046 -21.0590125272226 -682.396871252579</f>
        <v>-1516.6717601888477</v>
      </c>
      <c r="J3972">
        <f>-852.901183603761 -0.245692071774783 -552.127198175814</f>
        <v>-1405.2740738513498</v>
      </c>
      <c r="K3972" t="s">
        <v>43455</v>
      </c>
      <c r="L3972" t="s">
        <v>43456</v>
      </c>
      <c r="M3972" t="s">
        <v>43457</v>
      </c>
      <c r="N3972">
        <f>-840.128425018455 -54.1712215750729 -551.901330088448</f>
        <v>-1446.200976681976</v>
      </c>
      <c r="O3972">
        <f>-810.123382502119 -184.881621853138 -521.694572188705</f>
        <v>-1516.6995765439619</v>
      </c>
      <c r="P3972">
        <f>-799.150095231475 -213.370335588953 -229.018659506584</f>
        <v>-1241.539090327012</v>
      </c>
      <c r="Q3972">
        <f>-651.561864029359 -56.7414587326575 -337.351390756791</f>
        <v>-1045.6547135188075</v>
      </c>
      <c r="R3972" t="s">
        <v>43458</v>
      </c>
      <c r="S3972" t="s">
        <v>43459</v>
      </c>
      <c r="T3972" t="s">
        <v>43460</v>
      </c>
      <c r="U3972" t="s">
        <v>43461</v>
      </c>
      <c r="V3972">
        <f>-767.211737964075 -92.6113741952452 -91.7774593644907</f>
        <v>-951.60057152381091</v>
      </c>
      <c r="W3972" t="s">
        <v>43462</v>
      </c>
      <c r="X3972" t="s">
        <v>43463</v>
      </c>
      <c r="Y3972" t="s">
        <v>43464</v>
      </c>
    </row>
    <row r="3973" spans="1:25" x14ac:dyDescent="0.3">
      <c r="A3973">
        <v>198600</v>
      </c>
      <c r="B3973" t="s">
        <v>43465</v>
      </c>
      <c r="C3973">
        <f>-800.732068810763 -2.9354362499962 -93.9027523936928</f>
        <v>-897.57025745445208</v>
      </c>
      <c r="D3973">
        <f>-823.763731795619 -15.5491893558599 -206.715112013089</f>
        <v>-1046.0280331645679</v>
      </c>
      <c r="E3973">
        <f>-834.762647628273 -21.363176708451 -304.551158912019</f>
        <v>-1160.676983248743</v>
      </c>
      <c r="F3973">
        <f>-841.685006392676 -24.9241026015766 -393.307193264358</f>
        <v>-1259.9163022586106</v>
      </c>
      <c r="G3973">
        <f>-845.202252253956 -26.7658818544583 -482.315570374977</f>
        <v>-1354.2837044833914</v>
      </c>
      <c r="H3973">
        <f>-846.505251012481 -27.6114043246769 -606.88847661793</f>
        <v>-1481.005131955088</v>
      </c>
      <c r="I3973">
        <f>-812.471706637323 -21.0848043607957 -682.414302978615</f>
        <v>-1515.9708139767336</v>
      </c>
      <c r="J3973">
        <f>-852.327359042856 -0.278752559269606 -552.186150825928</f>
        <v>-1404.7922624280536</v>
      </c>
      <c r="K3973" t="s">
        <v>43466</v>
      </c>
      <c r="L3973" t="s">
        <v>43467</v>
      </c>
      <c r="M3973" t="s">
        <v>43468</v>
      </c>
      <c r="N3973">
        <f>-839.536343099427 -54.1999477482417 -551.954062180041</f>
        <v>-1445.6903530277095</v>
      </c>
      <c r="O3973">
        <f>-809.530326571979 -184.909558185701 -521.744303067441</f>
        <v>-1516.1841878251212</v>
      </c>
      <c r="P3973">
        <f>-798.855657414909 -213.502293858119 -229.067512457704</f>
        <v>-1241.425463730732</v>
      </c>
      <c r="Q3973">
        <f>-651.192589042402 -56.7858417350986 -337.171264052682</f>
        <v>-1045.1496948301826</v>
      </c>
      <c r="R3973" t="s">
        <v>43469</v>
      </c>
      <c r="S3973" t="s">
        <v>43470</v>
      </c>
      <c r="T3973" t="s">
        <v>43471</v>
      </c>
      <c r="U3973" t="s">
        <v>43472</v>
      </c>
      <c r="V3973">
        <f>-767.052807389745 -92.7426874401397 -91.7990506792252</f>
        <v>-951.59454550910982</v>
      </c>
      <c r="W3973" t="s">
        <v>43473</v>
      </c>
      <c r="X3973" t="s">
        <v>43474</v>
      </c>
      <c r="Y3973" t="s">
        <v>43475</v>
      </c>
    </row>
    <row r="3974" spans="1:25" x14ac:dyDescent="0.3">
      <c r="A3974">
        <v>198650</v>
      </c>
      <c r="B3974" t="s">
        <v>43476</v>
      </c>
      <c r="C3974">
        <f>-800.646708021978 -2.98000903256252 -93.9121611325776</f>
        <v>-897.53887818711814</v>
      </c>
      <c r="D3974">
        <f>-823.657704843759 -15.5870665719067 -206.729499401333</f>
        <v>-1045.9742708169988</v>
      </c>
      <c r="E3974">
        <f>-834.623361142822 -21.3885942569364 -304.569944986631</f>
        <v>-1160.5819003863894</v>
      </c>
      <c r="F3974">
        <f>-841.509415152753 -24.9358748546761 -393.329535927427</f>
        <v>-1259.7748259348562</v>
      </c>
      <c r="G3974">
        <f>-844.983723756204 -26.7620142968156 -482.339795174594</f>
        <v>-1354.0855332276135</v>
      </c>
      <c r="H3974">
        <f>-846.219705244522 -27.5836487743097 -606.913549246055</f>
        <v>-1480.7169032648867</v>
      </c>
      <c r="I3974">
        <f>-812.146649688253 -21.0577052877511 -682.42155775736</f>
        <v>-1515.6259127333642</v>
      </c>
      <c r="J3974">
        <f>-852.073595260199 -0.261953871703554 -552.209112344528</f>
        <v>-1404.5446614764305</v>
      </c>
      <c r="K3974" t="s">
        <v>43477</v>
      </c>
      <c r="L3974" t="s">
        <v>43478</v>
      </c>
      <c r="M3974" t="s">
        <v>43479</v>
      </c>
      <c r="N3974">
        <f>-839.277910356233 -54.1820991643598 -551.980389184118</f>
        <v>-1445.4403987047108</v>
      </c>
      <c r="O3974">
        <f>-809.27608313265 -184.893108745357 -521.783278552361</f>
        <v>-1515.9524704303681</v>
      </c>
      <c r="P3974">
        <f>-798.705857140819 -213.61376020216 -229.115354921198</f>
        <v>-1241.4349722641768</v>
      </c>
      <c r="Q3974">
        <f>-651.008374563049 -56.8561308506828 -337.112328667085</f>
        <v>-1044.9768340808168</v>
      </c>
      <c r="R3974" t="s">
        <v>43480</v>
      </c>
      <c r="S3974" t="s">
        <v>43481</v>
      </c>
      <c r="T3974" t="s">
        <v>43482</v>
      </c>
      <c r="U3974" t="s">
        <v>43483</v>
      </c>
      <c r="V3974">
        <f>-766.985192258915 -92.760863347122 -91.7941885512178</f>
        <v>-951.54024415725485</v>
      </c>
      <c r="W3974" t="s">
        <v>43484</v>
      </c>
      <c r="X3974" t="s">
        <v>43485</v>
      </c>
      <c r="Y3974" t="s">
        <v>43486</v>
      </c>
    </row>
    <row r="3975" spans="1:25" x14ac:dyDescent="0.3">
      <c r="A3975">
        <v>198700</v>
      </c>
      <c r="B3975" t="s">
        <v>43487</v>
      </c>
      <c r="C3975">
        <f>-800.327294475892 -3.14681178272417 -93.9025113917925</f>
        <v>-897.37661765040866</v>
      </c>
      <c r="D3975">
        <f>-823.310798367301 -15.7174998207022 -206.729639966832</f>
        <v>-1045.7579381548353</v>
      </c>
      <c r="E3975">
        <f>-834.244466666272 -21.4712966306693 -304.576400486417</f>
        <v>-1160.2921637833583</v>
      </c>
      <c r="F3975">
        <f>-841.098123156852 -24.9688524925862 -393.340414447116</f>
        <v>-1259.4073900965541</v>
      </c>
      <c r="G3975">
        <f>-844.536423661628 -26.738694628639 -482.353306248025</f>
        <v>-1353.6284245382919</v>
      </c>
      <c r="H3975">
        <f>-845.718356332744 -27.4746478272234 -606.92798605932</f>
        <v>-1480.1209902192873</v>
      </c>
      <c r="I3975">
        <f>-811.614531017285 -20.9242118217455 -682.420195753017</f>
        <v>-1514.9589385920476</v>
      </c>
      <c r="J3975">
        <f>-851.596186409653 -0.190694195703372 -552.207373908214</f>
        <v>-1403.9942545135705</v>
      </c>
      <c r="K3975" t="s">
        <v>43488</v>
      </c>
      <c r="L3975" t="s">
        <v>43489</v>
      </c>
      <c r="M3975" t="s">
        <v>43490</v>
      </c>
      <c r="N3975">
        <f>-838.800306607366 -54.1109005526419 -552.010178806329</f>
        <v>-1444.9213859663369</v>
      </c>
      <c r="O3975">
        <f>-808.817598821201 -184.851106589527 -521.915296966882</f>
        <v>-1515.58400237761</v>
      </c>
      <c r="P3975">
        <f>-798.43145882237 -213.7945842245 -229.262503272017</f>
        <v>-1241.4885463188871</v>
      </c>
      <c r="Q3975">
        <f>-650.649276160015 -56.960416745369 -337.032283092652</f>
        <v>-1044.6419759980361</v>
      </c>
      <c r="R3975" t="s">
        <v>43491</v>
      </c>
      <c r="S3975" t="s">
        <v>43492</v>
      </c>
      <c r="T3975" t="s">
        <v>43493</v>
      </c>
      <c r="U3975" t="s">
        <v>43494</v>
      </c>
      <c r="V3975">
        <f>-766.68652996512 -92.9661359471463 -91.8048060943158</f>
        <v>-951.45747200658218</v>
      </c>
      <c r="W3975" t="s">
        <v>43495</v>
      </c>
      <c r="X3975" t="s">
        <v>43496</v>
      </c>
      <c r="Y3975" t="s">
        <v>43497</v>
      </c>
    </row>
    <row r="3976" spans="1:25" x14ac:dyDescent="0.3">
      <c r="A3976">
        <v>198750</v>
      </c>
      <c r="B3976" t="s">
        <v>43498</v>
      </c>
      <c r="C3976">
        <f>-800.196901465025 -3.1589439830359 -93.8997460564685</f>
        <v>-897.25559150452943</v>
      </c>
      <c r="D3976">
        <f>-823.182189591798 -15.7196024609518 -206.727606944814</f>
        <v>-1045.6293989975638</v>
      </c>
      <c r="E3976">
        <f>-834.13142652591 -21.4447756902123 -304.574400041305</f>
        <v>-1160.1506022574272</v>
      </c>
      <c r="F3976">
        <f>-841.00432197619 -24.9081377654004 -393.338209947376</f>
        <v>-1259.2506696889664</v>
      </c>
      <c r="G3976">
        <f>-844.467066813546 -26.6350186486402 -482.350929838219</f>
        <v>-1353.4530153004052</v>
      </c>
      <c r="H3976">
        <f>-845.688395611492 -27.3018462716905 -606.925676196708</f>
        <v>-1479.9159180798904</v>
      </c>
      <c r="I3976">
        <f>-811.599011638908 -20.7129895375974 -682.420885013199</f>
        <v>-1514.7328861897045</v>
      </c>
      <c r="J3976">
        <f>-851.549129844641 -0.0483176064926738 -552.188057676259</f>
        <v>-1403.7855051273928</v>
      </c>
      <c r="K3976" t="s">
        <v>43499</v>
      </c>
      <c r="L3976" t="s">
        <v>43500</v>
      </c>
      <c r="M3976" t="s">
        <v>43501</v>
      </c>
      <c r="N3976">
        <f>-838.752711189168 -53.9685308913261 -552.024847596302</f>
        <v>-1444.7460896767961</v>
      </c>
      <c r="O3976">
        <f>-808.757166432119 -184.727642751191 -522.002284025676</f>
        <v>-1515.4870932089862</v>
      </c>
      <c r="P3976">
        <f>-798.382172461227 -213.792666311633 -229.361284120367</f>
        <v>-1241.536122893227</v>
      </c>
      <c r="Q3976">
        <f>-650.564688473161 -56.9079822396582 -337.009150258569</f>
        <v>-1044.4818209713881</v>
      </c>
      <c r="R3976" t="s">
        <v>43502</v>
      </c>
      <c r="S3976" t="s">
        <v>43503</v>
      </c>
      <c r="T3976" t="s">
        <v>43504</v>
      </c>
      <c r="U3976" t="s">
        <v>43505</v>
      </c>
      <c r="V3976">
        <f>-766.573295286549 -93.009860206531 -91.8034801390861</f>
        <v>-951.38663563216608</v>
      </c>
      <c r="W3976" t="s">
        <v>43506</v>
      </c>
      <c r="X3976" t="s">
        <v>43507</v>
      </c>
      <c r="Y3976" t="s">
        <v>43508</v>
      </c>
    </row>
    <row r="3977" spans="1:25" x14ac:dyDescent="0.3">
      <c r="A3977">
        <v>198800</v>
      </c>
      <c r="B3977" t="s">
        <v>43509</v>
      </c>
      <c r="C3977">
        <f>-800.069466831613 -3.01729482858696 -93.8837704904432</f>
        <v>-896.97053215064318</v>
      </c>
      <c r="D3977">
        <f>-823.090465829136 -15.5420297724684 -206.708267086779</f>
        <v>-1045.3407626883834</v>
      </c>
      <c r="E3977">
        <f>-834.161957908014 -21.1700722138939 -304.547050404346</f>
        <v>-1159.8790805262538</v>
      </c>
      <c r="F3977">
        <f>-841.182159867116 -24.5161975702483 -393.303809997618</f>
        <v>-1259.0021674349823</v>
      </c>
      <c r="G3977">
        <f>-844.828589949359 -26.094938870375 -482.312017348521</f>
        <v>-1353.235546168255</v>
      </c>
      <c r="H3977">
        <f>-846.344747947655 -26.520503440285 -606.884550668212</f>
        <v>-1479.749802056152</v>
      </c>
      <c r="I3977">
        <f>-812.37937648375 -19.8006243098621 -682.424198298325</f>
        <v>-1514.6041990919371</v>
      </c>
      <c r="J3977" t="s">
        <v>43510</v>
      </c>
      <c r="K3977" t="s">
        <v>43511</v>
      </c>
      <c r="L3977" t="s">
        <v>43512</v>
      </c>
      <c r="M3977" t="s">
        <v>43513</v>
      </c>
      <c r="N3977">
        <f>-839.264515405644 -53.2900401342916 -552.052362098358</f>
        <v>-1444.6069176382937</v>
      </c>
      <c r="O3977">
        <f>-809.194954465653 -184.070082899653 -522.208059098283</f>
        <v>-1515.4730964635892</v>
      </c>
      <c r="P3977">
        <f>-798.827209773761 -213.554985186877 -229.608849254796</f>
        <v>-1241.9910442154339</v>
      </c>
      <c r="Q3977">
        <f>-650.969053987453 -56.4463193238446 -336.873357834664</f>
        <v>-1044.2887311459615</v>
      </c>
      <c r="R3977" t="s">
        <v>43514</v>
      </c>
      <c r="S3977" t="s">
        <v>43515</v>
      </c>
      <c r="T3977" t="s">
        <v>43516</v>
      </c>
      <c r="U3977" t="s">
        <v>43517</v>
      </c>
      <c r="V3977">
        <f>-766.518935920161 -92.6820728799406 -91.8048289210954</f>
        <v>-951.00583772119694</v>
      </c>
      <c r="W3977" t="s">
        <v>43518</v>
      </c>
      <c r="X3977" t="s">
        <v>43519</v>
      </c>
      <c r="Y3977" t="s">
        <v>43520</v>
      </c>
    </row>
    <row r="3978" spans="1:25" x14ac:dyDescent="0.3">
      <c r="A3978">
        <v>198850</v>
      </c>
      <c r="B3978" t="s">
        <v>43521</v>
      </c>
      <c r="C3978">
        <f>-800.095279644775 -2.85726514648945 -93.8867752044872</f>
        <v>-896.83931999575168</v>
      </c>
      <c r="D3978">
        <f>-823.160079505009 -15.370611772033 -206.703665883798</f>
        <v>-1045.2343571608401</v>
      </c>
      <c r="E3978">
        <f>-834.321715502382 -20.9556161528042 -304.534485307766</f>
        <v>-1159.811816962952</v>
      </c>
      <c r="F3978">
        <f>-841.444609909414 -24.2472815978097 -393.285198442993</f>
        <v>-1258.9770899502166</v>
      </c>
      <c r="G3978">
        <f>-845.215224625779 -25.7550905731318 -482.289331915565</f>
        <v>-1353.2596471144759</v>
      </c>
      <c r="H3978">
        <f>-846.927051634316 -26.0631314931084 -606.859851985109</f>
        <v>-1479.8500351125333</v>
      </c>
      <c r="I3978">
        <f>-813.050662883578 -19.2844491923784 -682.434113657973</f>
        <v>-1514.7692257339293</v>
      </c>
      <c r="J3978" t="s">
        <v>43522</v>
      </c>
      <c r="K3978" t="s">
        <v>43523</v>
      </c>
      <c r="L3978" t="s">
        <v>43524</v>
      </c>
      <c r="M3978" t="s">
        <v>43525</v>
      </c>
      <c r="N3978">
        <f>-839.739650852122 -52.8793054249574 -552.064235983564</f>
        <v>-1444.6831922606434</v>
      </c>
      <c r="O3978">
        <f>-809.586607473255 -183.653523199013 -522.31768266597</f>
        <v>-1515.5578133382378</v>
      </c>
      <c r="P3978">
        <f>-799.150889297227 -213.486077183132 -229.755979713085</f>
        <v>-1242.392946193444</v>
      </c>
      <c r="Q3978">
        <f>-651.362489677834 -56.1618149241937 -336.80045558947</f>
        <v>-1044.3247601914977</v>
      </c>
      <c r="R3978" t="s">
        <v>43526</v>
      </c>
      <c r="S3978" t="s">
        <v>43527</v>
      </c>
      <c r="T3978" t="s">
        <v>43528</v>
      </c>
      <c r="U3978" t="s">
        <v>43529</v>
      </c>
      <c r="V3978">
        <f>-766.603558857383 -92.5151124188034 -91.8113849207745</f>
        <v>-950.93005619696078</v>
      </c>
      <c r="W3978" t="s">
        <v>43530</v>
      </c>
      <c r="X3978" t="s">
        <v>43531</v>
      </c>
      <c r="Y3978" t="s">
        <v>43532</v>
      </c>
    </row>
    <row r="3979" spans="1:25" x14ac:dyDescent="0.3">
      <c r="A3979">
        <v>198900</v>
      </c>
      <c r="B3979" t="s">
        <v>43533</v>
      </c>
      <c r="C3979">
        <f>-800.199435881415 -2.59346167665444 -93.8715540313174</f>
        <v>-896.66445158938677</v>
      </c>
      <c r="D3979">
        <f>-823.308020584987 -15.1374359886863 -206.676087124602</f>
        <v>-1045.1215436982754</v>
      </c>
      <c r="E3979">
        <f>-834.629773453309 -20.7244909397789 -304.488554768621</f>
        <v>-1159.8428191617088</v>
      </c>
      <c r="F3979">
        <f>-841.946614820371 -24.0067728256249 -393.223556402653</f>
        <v>-1259.1769440486489</v>
      </c>
      <c r="G3979">
        <f>-845.960361083914 -25.4926989368194 -482.217651385444</f>
        <v>-1353.6707114061774</v>
      </c>
      <c r="H3979">
        <f>-848.062955939088 -25.7559329738544 -606.782208675028</f>
        <v>-1480.6010975879703</v>
      </c>
      <c r="I3979">
        <f>-814.388186493142 -18.9609328047377 -682.44500274748</f>
        <v>-1515.7941220453597</v>
      </c>
      <c r="J3979" t="s">
        <v>43534</v>
      </c>
      <c r="K3979" t="s">
        <v>43535</v>
      </c>
      <c r="L3979" t="s">
        <v>43536</v>
      </c>
      <c r="M3979" t="s">
        <v>43537</v>
      </c>
      <c r="N3979">
        <f>-840.692667489463 -52.5891607844522 -552.019324573032</f>
        <v>-1445.3011528469474</v>
      </c>
      <c r="O3979">
        <f>-810.345967943903 -183.35494095814 -522.432837054667</f>
        <v>-1516.1337459567098</v>
      </c>
      <c r="P3979">
        <f>-799.62623492466 -213.52023514592 -229.915576586321</f>
        <v>-1243.062046656901</v>
      </c>
      <c r="Q3979">
        <f>-652.138888496316 -55.7207795255584 -336.675351705732</f>
        <v>-1044.5350197276064</v>
      </c>
      <c r="R3979" t="s">
        <v>43538</v>
      </c>
      <c r="S3979" t="s">
        <v>43539</v>
      </c>
      <c r="T3979" t="s">
        <v>43540</v>
      </c>
      <c r="U3979" t="s">
        <v>43541</v>
      </c>
      <c r="V3979">
        <f>-766.627492208497 -92.2331839455975 -91.8270834379697</f>
        <v>-950.68775959206414</v>
      </c>
      <c r="W3979" t="s">
        <v>43542</v>
      </c>
      <c r="X3979" t="s">
        <v>43543</v>
      </c>
      <c r="Y3979" t="s">
        <v>43544</v>
      </c>
    </row>
    <row r="3980" spans="1:25" x14ac:dyDescent="0.3">
      <c r="A3980">
        <v>198950</v>
      </c>
      <c r="B3980" t="s">
        <v>43545</v>
      </c>
      <c r="C3980">
        <f>-800.298944688051 -2.54563451665604 -93.8792633684543</f>
        <v>-896.72384257316139</v>
      </c>
      <c r="D3980">
        <f>-823.392739942943 -15.1174848776429 -206.683754907025</f>
        <v>-1045.1939797276109</v>
      </c>
      <c r="E3980">
        <f>-834.765513083412 -20.7207569817722 -304.489278814536</f>
        <v>-1159.9755488797202</v>
      </c>
      <c r="F3980">
        <f>-842.15371630367 -24.0148650325937 -393.218077113241</f>
        <v>-1259.3866584495047</v>
      </c>
      <c r="G3980">
        <f>-846.263543844587 -25.5088977304695 -482.20751724787</f>
        <v>-1353.9799588229266</v>
      </c>
      <c r="H3980">
        <f>-848.526842432014 -25.7800551081571 -606.769198072174</f>
        <v>-1481.0760956123449</v>
      </c>
      <c r="I3980">
        <f>-814.931496830944 -18.9750345697873 -682.466482389049</f>
        <v>-1516.3730137897803</v>
      </c>
      <c r="J3980" t="s">
        <v>43546</v>
      </c>
      <c r="K3980" t="s">
        <v>43547</v>
      </c>
      <c r="L3980" t="s">
        <v>43548</v>
      </c>
      <c r="M3980" t="s">
        <v>43549</v>
      </c>
      <c r="N3980">
        <f>-841.086390800862 -52.6097820885723 -552.014227079692</f>
        <v>-1445.7103999691262</v>
      </c>
      <c r="O3980">
        <f>-810.624801133777 -183.372506991741 -522.481067699989</f>
        <v>-1516.4783758255071</v>
      </c>
      <c r="P3980">
        <f>-799.736857157934 -213.552736099354 -229.9716417872</f>
        <v>-1243.2612350444879</v>
      </c>
      <c r="Q3980">
        <f>-652.44260203264 -55.5293915337049 -336.666967781842</f>
        <v>-1044.638961348187</v>
      </c>
      <c r="R3980" t="s">
        <v>43550</v>
      </c>
      <c r="S3980" t="s">
        <v>43551</v>
      </c>
      <c r="T3980" t="s">
        <v>43552</v>
      </c>
      <c r="U3980" t="s">
        <v>43553</v>
      </c>
      <c r="V3980">
        <f>-766.692238342895 -92.1728323737734 -91.8257445473528</f>
        <v>-950.69081526402124</v>
      </c>
      <c r="W3980" t="s">
        <v>43554</v>
      </c>
      <c r="X3980" t="s">
        <v>43555</v>
      </c>
      <c r="Y3980" t="s">
        <v>43556</v>
      </c>
    </row>
    <row r="3981" spans="1:25" x14ac:dyDescent="0.3">
      <c r="A3981">
        <v>199000</v>
      </c>
      <c r="B3981" t="s">
        <v>43557</v>
      </c>
      <c r="C3981">
        <f>-800.483939993564 -2.53333732399142 -93.9014454042836</f>
        <v>-896.918722721839</v>
      </c>
      <c r="D3981">
        <f>-823.514880277945 -15.1276246674702 -206.716260377391</f>
        <v>-1045.3587653228062</v>
      </c>
      <c r="E3981">
        <f>-834.93109022143 -20.7063033544762 -304.518178889401</f>
        <v>-1160.1555724653072</v>
      </c>
      <c r="F3981">
        <f>-842.396475994466 -23.9609859593556 -393.241943809201</f>
        <v>-1259.5994057630226</v>
      </c>
      <c r="G3981">
        <f>-846.621399102828 -25.3979246441329 -482.226923292816</f>
        <v>-1354.246247039777</v>
      </c>
      <c r="H3981">
        <f>-849.084023588058 -25.5695267143201 -606.785046990088</f>
        <v>-1481.4385972924661</v>
      </c>
      <c r="I3981">
        <f>-815.58061370406 -18.6623338100153 -682.513746742816</f>
        <v>-1516.7566942568915</v>
      </c>
      <c r="J3981" t="s">
        <v>43558</v>
      </c>
      <c r="K3981" t="s">
        <v>43559</v>
      </c>
      <c r="L3981" t="s">
        <v>43560</v>
      </c>
      <c r="M3981" t="s">
        <v>43561</v>
      </c>
      <c r="N3981">
        <f>-841.537143021106 -52.4386018040104 -552.063868328688</f>
        <v>-1446.0396131538046</v>
      </c>
      <c r="O3981">
        <f>-810.865928521946 -183.186289029404 -522.688439326458</f>
        <v>-1516.7406568778079</v>
      </c>
      <c r="P3981">
        <f>-799.920682031492 -213.466394863911 -230.191406515959</f>
        <v>-1243.578483411362</v>
      </c>
      <c r="Q3981">
        <f>-652.964894094326 -55.0700162379925 -336.800318118685</f>
        <v>-1044.8352284510036</v>
      </c>
      <c r="R3981" t="s">
        <v>43562</v>
      </c>
      <c r="S3981" t="s">
        <v>43563</v>
      </c>
      <c r="T3981" t="s">
        <v>43564</v>
      </c>
      <c r="U3981" t="s">
        <v>43565</v>
      </c>
      <c r="V3981">
        <f>-766.836580966195 -92.1167797224005 -91.8309884517407</f>
        <v>-950.78434914033619</v>
      </c>
      <c r="W3981" t="s">
        <v>43566</v>
      </c>
      <c r="X3981" t="s">
        <v>43567</v>
      </c>
      <c r="Y3981" t="s">
        <v>43568</v>
      </c>
    </row>
    <row r="3982" spans="1:25" x14ac:dyDescent="0.3">
      <c r="A3982">
        <v>199050</v>
      </c>
      <c r="B3982" t="s">
        <v>43569</v>
      </c>
      <c r="C3982">
        <f>-800.523325330347 -2.50483023807328 -93.9189700965301</f>
        <v>-896.94712566495036</v>
      </c>
      <c r="D3982">
        <f>-823.501315901009 -15.111209325474 -206.743159671937</f>
        <v>-1045.3556848984199</v>
      </c>
      <c r="E3982">
        <f>-834.896499707332 -20.6564372503528 -304.5494396629</f>
        <v>-1160.1023766205849</v>
      </c>
      <c r="F3982">
        <f>-842.351818458908 -23.8632540515382 -393.275824489732</f>
        <v>-1259.4908970001782</v>
      </c>
      <c r="G3982">
        <f>-846.57506919675 -25.2343033248678 -482.26198219144</f>
        <v>-1354.0713547130576</v>
      </c>
      <c r="H3982">
        <f>-849.043720039281 -25.2953856821084 -606.820027538627</f>
        <v>-1481.1591332600165</v>
      </c>
      <c r="I3982">
        <f>-815.548399844545 -18.3056289920075 -682.544839848478</f>
        <v>-1516.3988686850305</v>
      </c>
      <c r="J3982" t="s">
        <v>43570</v>
      </c>
      <c r="K3982" t="s">
        <v>43571</v>
      </c>
      <c r="L3982" t="s">
        <v>43572</v>
      </c>
      <c r="M3982" t="s">
        <v>43573</v>
      </c>
      <c r="N3982">
        <f>-841.477299340341 -52.2089210014339 -552.123493423137</f>
        <v>-1445.809713764912</v>
      </c>
      <c r="O3982">
        <f>-810.739307049496 -182.961088577514 -522.84791117327</f>
        <v>-1516.54830680028</v>
      </c>
      <c r="P3982">
        <f>-799.77522686568 -213.427014237511 -230.370947693809</f>
        <v>-1243.5731887970001</v>
      </c>
      <c r="Q3982">
        <f>-652.983792252268 -54.8148296993793 -336.885183008969</f>
        <v>-1044.6838049606163</v>
      </c>
      <c r="R3982" t="s">
        <v>43574</v>
      </c>
      <c r="S3982" t="s">
        <v>43575</v>
      </c>
      <c r="T3982" t="s">
        <v>43576</v>
      </c>
      <c r="U3982" t="s">
        <v>43577</v>
      </c>
      <c r="V3982">
        <f>-766.784529124745 -92.1124863149262 -91.8402429532296</f>
        <v>-950.73725839290069</v>
      </c>
      <c r="W3982" t="s">
        <v>43578</v>
      </c>
      <c r="X3982" t="s">
        <v>43579</v>
      </c>
      <c r="Y3982" t="s">
        <v>43580</v>
      </c>
    </row>
    <row r="3983" spans="1:25" x14ac:dyDescent="0.3">
      <c r="A3983">
        <v>199100</v>
      </c>
      <c r="B3983" t="s">
        <v>43581</v>
      </c>
      <c r="C3983">
        <f>-800.538863721473 -2.242140252637 -93.9212356447491</f>
        <v>-896.70223961885915</v>
      </c>
      <c r="D3983">
        <f>-823.417107887623 -14.8311528921913 -206.767722824588</f>
        <v>-1045.0159836044024</v>
      </c>
      <c r="E3983">
        <f>-834.705878778063 -20.2790284277439 -304.591704943463</f>
        <v>-1159.57661214927</v>
      </c>
      <c r="F3983">
        <f>-842.054979604922 -23.3656612949269 -393.331333025613</f>
        <v>-1258.7519739254619</v>
      </c>
      <c r="G3983">
        <f>-846.161284451524 -24.5840947981183 -482.324936251028</f>
        <v>-1353.0703155006704</v>
      </c>
      <c r="H3983">
        <f>-848.454866785247 -24.3979148925691 -606.886338100101</f>
        <v>-1479.739119777917</v>
      </c>
      <c r="I3983">
        <f>-814.889226269339 -17.2533413360602 -682.565460005179</f>
        <v>-1514.7080276105783</v>
      </c>
      <c r="J3983" t="s">
        <v>43582</v>
      </c>
      <c r="K3983" t="s">
        <v>43583</v>
      </c>
      <c r="L3983" t="s">
        <v>43584</v>
      </c>
      <c r="M3983" t="s">
        <v>43585</v>
      </c>
      <c r="N3983">
        <f>-840.940072441568 -51.4139188718432 -552.233149197598</f>
        <v>-1444.5871405110092</v>
      </c>
      <c r="O3983">
        <f>-810.110759658421 -182.187202273571 -523.135205847858</f>
        <v>-1515.43316777985</v>
      </c>
      <c r="P3983">
        <f>-799.33211719976 -213.011880294411 -230.688822712181</f>
        <v>-1243.032820206352</v>
      </c>
      <c r="Q3983">
        <f>-652.639379856981 -54.1231010440958 -336.926811095712</f>
        <v>-1043.6892919967888</v>
      </c>
      <c r="R3983" t="s">
        <v>43586</v>
      </c>
      <c r="S3983" t="s">
        <v>43587</v>
      </c>
      <c r="T3983" t="s">
        <v>43588</v>
      </c>
      <c r="U3983" t="s">
        <v>43589</v>
      </c>
      <c r="V3983">
        <f>-766.771057991702 -91.8101670455977 -91.8526757420847</f>
        <v>-950.43390077938443</v>
      </c>
      <c r="W3983" t="s">
        <v>43590</v>
      </c>
      <c r="X3983" t="s">
        <v>43591</v>
      </c>
      <c r="Y3983" t="s">
        <v>43592</v>
      </c>
    </row>
    <row r="3984" spans="1:25" x14ac:dyDescent="0.3">
      <c r="A3984">
        <v>199150</v>
      </c>
      <c r="B3984" t="s">
        <v>43593</v>
      </c>
      <c r="C3984">
        <f>-800.492177930405 -2.15848208388024 -93.9255201483777</f>
        <v>-896.57618016266292</v>
      </c>
      <c r="D3984">
        <f>-823.352307676977 -14.7568132228564 -206.774612066674</f>
        <v>-1044.8837329665075</v>
      </c>
      <c r="E3984">
        <f>-834.605138453163 -20.1535076244979 -304.605620169572</f>
        <v>-1159.364266247233</v>
      </c>
      <c r="F3984">
        <f>-841.912520305504 -23.1703517456997 -393.351097698947</f>
        <v>-1258.4339697501507</v>
      </c>
      <c r="G3984">
        <f>-845.966935679975 -24.295930979283 -482.348536486515</f>
        <v>-1352.611403145773</v>
      </c>
      <c r="H3984">
        <f>-848.176986366018 -23.9562267300612 -606.910862492068</f>
        <v>-1479.0440755881473</v>
      </c>
      <c r="I3984">
        <f>-814.574198003567 -16.7422766007614 -682.566951483415</f>
        <v>-1513.8834260877434</v>
      </c>
      <c r="J3984" t="s">
        <v>43594</v>
      </c>
      <c r="K3984" t="s">
        <v>43595</v>
      </c>
      <c r="L3984" t="s">
        <v>43596</v>
      </c>
      <c r="M3984" t="s">
        <v>43597</v>
      </c>
      <c r="N3984">
        <f>-840.695502067946 -51.0387623710188 -552.286163845969</f>
        <v>-1444.0204282849338</v>
      </c>
      <c r="O3984">
        <f>-809.877425236886 -181.82279555542 -523.260018885538</f>
        <v>-1514.9602396778441</v>
      </c>
      <c r="P3984">
        <f>-799.273385944954 -212.792829569986 -230.822557757839</f>
        <v>-1242.888773272779</v>
      </c>
      <c r="Q3984">
        <f>-652.527301436089 -53.8287985419738 -336.873889039967</f>
        <v>-1043.2299890180298</v>
      </c>
      <c r="R3984" t="s">
        <v>43598</v>
      </c>
      <c r="S3984" t="s">
        <v>43599</v>
      </c>
      <c r="T3984" t="s">
        <v>43600</v>
      </c>
      <c r="U3984" t="s">
        <v>43601</v>
      </c>
      <c r="V3984">
        <f>-766.683272870088 -91.7692710830243 -91.8489830290057</f>
        <v>-950.30152698211793</v>
      </c>
      <c r="W3984" t="s">
        <v>43602</v>
      </c>
      <c r="X3984" t="s">
        <v>43603</v>
      </c>
      <c r="Y3984" t="s">
        <v>43604</v>
      </c>
    </row>
    <row r="3985" spans="1:25" x14ac:dyDescent="0.3">
      <c r="A3985">
        <v>199200</v>
      </c>
      <c r="B3985" t="s">
        <v>43605</v>
      </c>
      <c r="C3985">
        <f>-800.351723737575 -2.05796569922654 -93.9427173762149</f>
        <v>-896.35240681301639</v>
      </c>
      <c r="D3985">
        <f>-823.180502813238 -14.6453456954848 -206.799342254775</f>
        <v>-1044.6251907634978</v>
      </c>
      <c r="E3985">
        <f>-834.355244926998 -19.9605422050618 -304.643865556017</f>
        <v>-1158.9596526880769</v>
      </c>
      <c r="F3985">
        <f>-841.569879032751 -22.875577327037 -393.400200912666</f>
        <v>-1257.845657272454</v>
      </c>
      <c r="G3985">
        <f>-845.508390896871 -23.871951988617 -482.404355100393</f>
        <v>-1351.7846979858809</v>
      </c>
      <c r="H3985">
        <f>-847.531639706595 -23.3236556355905 -606.969259214539</f>
        <v>-1477.8245545567245</v>
      </c>
      <c r="I3985">
        <f>-813.850432400494 -16.0183538441727 -682.581690352645</f>
        <v>-1512.4504765973115</v>
      </c>
      <c r="J3985" t="s">
        <v>43606</v>
      </c>
      <c r="K3985" t="s">
        <v>43607</v>
      </c>
      <c r="L3985" t="s">
        <v>43608</v>
      </c>
      <c r="M3985" t="s">
        <v>43609</v>
      </c>
      <c r="N3985">
        <f>-840.143441016818 -50.5003188703957 -552.378467590017</f>
        <v>-1443.0222274772307</v>
      </c>
      <c r="O3985">
        <f>-809.403929337558 -181.335755015522 -523.476001819761</f>
        <v>-1514.2156861728411</v>
      </c>
      <c r="P3985">
        <f>-799.200747184071 -212.539115598928 -231.049138660646</f>
        <v>-1242.789001443645</v>
      </c>
      <c r="Q3985">
        <f>-652.176226949514 -53.5833623830224 -336.726592620961</f>
        <v>-1042.4861819534974</v>
      </c>
      <c r="R3985" t="s">
        <v>43610</v>
      </c>
      <c r="S3985" t="s">
        <v>43611</v>
      </c>
      <c r="T3985" t="s">
        <v>43612</v>
      </c>
      <c r="U3985" t="s">
        <v>43613</v>
      </c>
      <c r="V3985">
        <f>-766.575873284902 -91.6814981122152 -91.8485862390564</f>
        <v>-950.10595763617357</v>
      </c>
      <c r="W3985" t="s">
        <v>43614</v>
      </c>
      <c r="X3985" t="s">
        <v>43615</v>
      </c>
      <c r="Y3985" t="s">
        <v>43616</v>
      </c>
    </row>
    <row r="3986" spans="1:25" x14ac:dyDescent="0.3">
      <c r="A3986">
        <v>199250</v>
      </c>
      <c r="B3986" t="s">
        <v>43617</v>
      </c>
      <c r="C3986">
        <f>-800.265562935501 -1.98898011692199 -93.9329336712553</f>
        <v>-896.18747672367829</v>
      </c>
      <c r="D3986">
        <f>-823.092668712726 -14.5660502012397 -206.791151608886</f>
        <v>-1044.4498705228516</v>
      </c>
      <c r="E3986">
        <f>-834.223925793232 -19.8411946717392 -304.642570665402</f>
        <v>-1158.7076911303732</v>
      </c>
      <c r="F3986">
        <f>-841.381641032164 -22.7079874159626 -393.405249321433</f>
        <v>-1257.4948777695597</v>
      </c>
      <c r="G3986">
        <f>-845.245033853245 -23.6450379328071 -482.413232225765</f>
        <v>-1351.3033040118171</v>
      </c>
      <c r="H3986">
        <f>-847.144083364184 -23.0023682739595 -606.979648423364</f>
        <v>-1477.1261000615075</v>
      </c>
      <c r="I3986">
        <f>-813.423690183954 -15.6524307205627 -682.570346601064</f>
        <v>-1511.6464675055809</v>
      </c>
      <c r="J3986" t="s">
        <v>43618</v>
      </c>
      <c r="K3986" t="s">
        <v>43619</v>
      </c>
      <c r="L3986" t="s">
        <v>43620</v>
      </c>
      <c r="M3986" t="s">
        <v>43621</v>
      </c>
      <c r="N3986">
        <f>-839.825448988698 -50.2241085004108 -552.402064439141</f>
        <v>-1442.4516219282498</v>
      </c>
      <c r="O3986">
        <f>-809.15877468016 -181.082155807668 -523.530101380893</f>
        <v>-1513.7710318687209</v>
      </c>
      <c r="P3986">
        <f>-799.082249182206 -212.377758182001 -231.108656633231</f>
        <v>-1242.5686639974381</v>
      </c>
      <c r="Q3986">
        <f>-651.978371826908 -53.4580446389754 -336.72996766965</f>
        <v>-1042.1663841355335</v>
      </c>
      <c r="R3986" t="s">
        <v>43622</v>
      </c>
      <c r="S3986" t="s">
        <v>43623</v>
      </c>
      <c r="T3986" t="s">
        <v>43624</v>
      </c>
      <c r="U3986" t="s">
        <v>43625</v>
      </c>
      <c r="V3986">
        <f>-766.493009170991 -91.6588951642045 -91.8426255552619</f>
        <v>-949.99452989045733</v>
      </c>
      <c r="W3986" t="s">
        <v>43626</v>
      </c>
      <c r="X3986" t="s">
        <v>43627</v>
      </c>
      <c r="Y3986" t="s">
        <v>43628</v>
      </c>
    </row>
    <row r="3987" spans="1:25" x14ac:dyDescent="0.3">
      <c r="A3987">
        <v>199300</v>
      </c>
      <c r="B3987" t="s">
        <v>43629</v>
      </c>
      <c r="C3987">
        <f>-800.210161527865 -1.79576976904536 -93.9306670002209</f>
        <v>-895.93659829713124</v>
      </c>
      <c r="D3987">
        <f>-823.015182348882 -14.3298806244547 -206.798036240108</f>
        <v>-1044.1430992134447</v>
      </c>
      <c r="E3987">
        <f>-834.071394996861 -19.5621195198423 -304.660333643327</f>
        <v>-1158.2938481600304</v>
      </c>
      <c r="F3987">
        <f>-841.138511123943 -22.3880705737008 -393.431573614487</f>
        <v>-1256.9581553121307</v>
      </c>
      <c r="G3987">
        <f>-844.888686735589 -23.2827888213851 -482.444912576428</f>
        <v>-1350.6163881334021</v>
      </c>
      <c r="H3987">
        <f>-846.605292405388 -22.5801939973514 -607.013668567585</f>
        <v>-1476.1991549703243</v>
      </c>
      <c r="I3987">
        <f>-812.808409346642 -15.1852790824339 -682.565618444643</f>
        <v>-1510.5593068737189</v>
      </c>
      <c r="J3987" t="s">
        <v>43630</v>
      </c>
      <c r="K3987" t="s">
        <v>43631</v>
      </c>
      <c r="L3987" t="s">
        <v>43632</v>
      </c>
      <c r="M3987" t="s">
        <v>43633</v>
      </c>
      <c r="N3987">
        <f>-839.39892440007 -49.8360376801993 -552.437926959974</f>
        <v>-1441.6728890402433</v>
      </c>
      <c r="O3987">
        <f>-808.86747507225 -180.721985420578 -523.563978766917</f>
        <v>-1513.153439259745</v>
      </c>
      <c r="P3987">
        <f>-799.004265458023 -211.976131999826 -231.130960652151</f>
        <v>-1242.1113581100001</v>
      </c>
      <c r="Q3987">
        <f>-651.706783940158 -53.2188894058608 -336.726724394714</f>
        <v>-1041.6523977407328</v>
      </c>
      <c r="R3987" t="s">
        <v>43634</v>
      </c>
      <c r="S3987" t="s">
        <v>43635</v>
      </c>
      <c r="T3987" t="s">
        <v>43636</v>
      </c>
      <c r="U3987" t="s">
        <v>43637</v>
      </c>
      <c r="V3987">
        <f>-766.546823677671 -91.4053432301214 -91.8408258473398</f>
        <v>-949.79299275513222</v>
      </c>
      <c r="W3987" t="s">
        <v>43638</v>
      </c>
      <c r="X3987" t="s">
        <v>43639</v>
      </c>
      <c r="Y3987" t="s">
        <v>43640</v>
      </c>
    </row>
    <row r="3988" spans="1:25" x14ac:dyDescent="0.3">
      <c r="A3988">
        <v>199350</v>
      </c>
      <c r="B3988" t="s">
        <v>43641</v>
      </c>
      <c r="C3988">
        <f>-800.167464595924 -1.64395840565453 -93.9279843025747</f>
        <v>-895.73940730415325</v>
      </c>
      <c r="D3988">
        <f>-822.978112286109 -14.1653923972817 -206.795649667664</f>
        <v>-1043.9391543510546</v>
      </c>
      <c r="E3988">
        <f>-834.014507236494 -19.3847628574567 -304.660908595822</f>
        <v>-1158.0601786897728</v>
      </c>
      <c r="F3988">
        <f>-841.053917278649 -22.1982251137861 -393.434643376985</f>
        <v>-1256.6867857694201</v>
      </c>
      <c r="G3988">
        <f>-844.766274165015 -23.0800140257365 -482.449741633738</f>
        <v>-1350.2960298244896</v>
      </c>
      <c r="H3988">
        <f>-846.419815946365 -22.3591937384581 -607.01919125876</f>
        <v>-1475.7982009435832</v>
      </c>
      <c r="I3988">
        <f>-812.587027731618 -14.9595281901006 -682.554673275234</f>
        <v>-1510.1012291969528</v>
      </c>
      <c r="J3988" t="s">
        <v>43642</v>
      </c>
      <c r="K3988" t="s">
        <v>43643</v>
      </c>
      <c r="L3988" t="s">
        <v>43644</v>
      </c>
      <c r="M3988" t="s">
        <v>43645</v>
      </c>
      <c r="N3988">
        <f>-839.253681222076 -49.6260187975181 -552.443730619467</f>
        <v>-1441.3234306390611</v>
      </c>
      <c r="O3988">
        <f>-808.784152753757 -180.53095365769 -523.581572617305</f>
        <v>-1512.896679028752</v>
      </c>
      <c r="P3988">
        <f>-799.045472981439 -211.830178226384 -231.149089544674</f>
        <v>-1242.0247407524971</v>
      </c>
      <c r="Q3988">
        <f>-651.62742364422 -53.1431699892391 -336.682351273564</f>
        <v>-1041.4529449070233</v>
      </c>
      <c r="R3988" t="s">
        <v>43646</v>
      </c>
      <c r="S3988" t="s">
        <v>43647</v>
      </c>
      <c r="T3988" t="s">
        <v>43648</v>
      </c>
      <c r="U3988" t="s">
        <v>43649</v>
      </c>
      <c r="V3988">
        <f>-766.521817087921 -91.2210261231995 -91.8505366581121</f>
        <v>-949.59337986923265</v>
      </c>
      <c r="W3988" t="s">
        <v>43650</v>
      </c>
      <c r="X3988" t="s">
        <v>43651</v>
      </c>
      <c r="Y3988" t="s">
        <v>43652</v>
      </c>
    </row>
    <row r="3989" spans="1:25" x14ac:dyDescent="0.3">
      <c r="A3989">
        <v>199400</v>
      </c>
      <c r="B3989" t="s">
        <v>43653</v>
      </c>
      <c r="C3989">
        <f>-799.980643397203 -1.50101553103218 -93.9282884473893</f>
        <v>-895.40994737562448</v>
      </c>
      <c r="D3989">
        <f>-822.810715460306 -13.9961688728342 -206.794878105542</f>
        <v>-1043.6017624386823</v>
      </c>
      <c r="E3989">
        <f>-833.83858688689 -19.1943796225203 -304.662295414737</f>
        <v>-1157.6952619241472</v>
      </c>
      <c r="F3989">
        <f>-840.85986585512 -21.9892984582357 -393.437971694515</f>
        <v>-1256.2871360078707</v>
      </c>
      <c r="G3989">
        <f>-844.544315523567 -22.8535645694053 -482.454350687738</f>
        <v>-1349.8522307807102</v>
      </c>
      <c r="H3989">
        <f>-846.14824331229 -22.109014180995 -607.024402716595</f>
        <v>-1475.2816602098801</v>
      </c>
      <c r="I3989">
        <f>-812.242387354933 -14.7232395227363 -682.528621156327</f>
        <v>-1509.4942480339964</v>
      </c>
      <c r="J3989" t="s">
        <v>43654</v>
      </c>
      <c r="K3989" t="s">
        <v>43655</v>
      </c>
      <c r="L3989" t="s">
        <v>43656</v>
      </c>
      <c r="M3989" t="s">
        <v>43657</v>
      </c>
      <c r="N3989">
        <f>-839.016040793535 -49.3890643848573 -552.451221162862</f>
        <v>-1440.8563263412543</v>
      </c>
      <c r="O3989">
        <f>-808.625820421609 -180.32280531059 -523.642525139603</f>
        <v>-1512.5911508718018</v>
      </c>
      <c r="P3989">
        <f>-799.042577068667 -211.71292298476 -231.214732128824</f>
        <v>-1241.970232182251</v>
      </c>
      <c r="Q3989">
        <f>-651.468859758729 -53.0589155068794 -336.579619140216</f>
        <v>-1041.1073944058244</v>
      </c>
      <c r="R3989" t="s">
        <v>43658</v>
      </c>
      <c r="S3989" t="s">
        <v>43659</v>
      </c>
      <c r="T3989" t="s">
        <v>43660</v>
      </c>
      <c r="U3989" t="s">
        <v>43661</v>
      </c>
      <c r="V3989">
        <f>-766.392112373339 -91.0735219340867 -91.8623962905916</f>
        <v>-949.32803059801734</v>
      </c>
      <c r="W3989" t="s">
        <v>43662</v>
      </c>
      <c r="X3989" t="s">
        <v>43663</v>
      </c>
      <c r="Y3989" t="s">
        <v>43664</v>
      </c>
    </row>
    <row r="3990" spans="1:25" x14ac:dyDescent="0.3">
      <c r="A3990">
        <v>199450</v>
      </c>
      <c r="B3990" t="s">
        <v>43665</v>
      </c>
      <c r="C3990">
        <f>-799.922037535576 -1.53335023823479 -93.9322349054333</f>
        <v>-895.38762267924415</v>
      </c>
      <c r="D3990">
        <f>-822.769153255991 -14.0204295816914 -206.796349040358</f>
        <v>-1043.5859318780404</v>
      </c>
      <c r="E3990">
        <f>-833.803070694849 -19.2200937983318 -304.662908698763</f>
        <v>-1157.6860731919437</v>
      </c>
      <c r="F3990">
        <f>-840.826871339202 -22.0195984763798 -393.438262733233</f>
        <v>-1256.2847325488146</v>
      </c>
      <c r="G3990">
        <f>-844.510370811825 -22.891575660889 -482.454608865494</f>
        <v>-1349.856555338208</v>
      </c>
      <c r="H3990">
        <f>-846.109589939946 -22.1618980490427 -607.024951073962</f>
        <v>-1475.2964390629509</v>
      </c>
      <c r="I3990">
        <f>-812.166104139168 -14.7831298210342 -682.51271926441</f>
        <v>-1509.4619532246122</v>
      </c>
      <c r="J3990" t="s">
        <v>43666</v>
      </c>
      <c r="K3990" t="s">
        <v>43667</v>
      </c>
      <c r="L3990" t="s">
        <v>43668</v>
      </c>
      <c r="M3990" t="s">
        <v>43669</v>
      </c>
      <c r="N3990">
        <f>-838.981911944491 -49.4361536353573 -552.448087446801</f>
        <v>-1440.8661530266493</v>
      </c>
      <c r="O3990">
        <f>-808.590961490526 -180.367977887649 -523.647649862297</f>
        <v>-1512.606589240472</v>
      </c>
      <c r="P3990">
        <f>-799.003972278638 -211.788841393209 -231.223146964601</f>
        <v>-1242.015960636448</v>
      </c>
      <c r="Q3990">
        <f>-651.407932772307 -53.1597144484655 -336.594437819261</f>
        <v>-1041.1620850400336</v>
      </c>
      <c r="R3990" t="s">
        <v>43670</v>
      </c>
      <c r="S3990" t="s">
        <v>43671</v>
      </c>
      <c r="T3990" t="s">
        <v>43672</v>
      </c>
      <c r="U3990" t="s">
        <v>43673</v>
      </c>
      <c r="V3990">
        <f>-766.346629975872 -91.1406185793602 -91.8694340883505</f>
        <v>-949.35668264358276</v>
      </c>
      <c r="W3990" t="s">
        <v>43674</v>
      </c>
      <c r="X3990" t="s">
        <v>43675</v>
      </c>
      <c r="Y3990" t="s">
        <v>43676</v>
      </c>
    </row>
    <row r="3991" spans="1:25" x14ac:dyDescent="0.3">
      <c r="A3991">
        <v>199500</v>
      </c>
      <c r="B3991" t="s">
        <v>43677</v>
      </c>
      <c r="C3991">
        <f>-799.89057610235 -1.47018999044508 -93.932432503786</f>
        <v>-895.29319859658108</v>
      </c>
      <c r="D3991">
        <f>-822.751843973265 -13.9660708750503 -206.792782733464</f>
        <v>-1043.5106975817791</v>
      </c>
      <c r="E3991">
        <f>-833.775982711987 -19.1839961455819 -304.659482653586</f>
        <v>-1157.6194615111549</v>
      </c>
      <c r="F3991">
        <f>-840.7823243693 -22.0047281581362 -393.435539448061</f>
        <v>-1256.2225919754972</v>
      </c>
      <c r="G3991">
        <f>-844.440089495983 -22.9026070973896 -482.452641207812</f>
        <v>-1349.7953378011846</v>
      </c>
      <c r="H3991">
        <f>-845.994684447543 -22.2138371908084 -607.023666229439</f>
        <v>-1475.2321878677903</v>
      </c>
      <c r="I3991">
        <f>-812.026918626833 -14.8152956834729 -682.498714700095</f>
        <v>-1509.3409290104009</v>
      </c>
      <c r="J3991" t="s">
        <v>43678</v>
      </c>
      <c r="K3991" t="s">
        <v>43679</v>
      </c>
      <c r="L3991" t="s">
        <v>43680</v>
      </c>
      <c r="M3991" t="s">
        <v>43681</v>
      </c>
      <c r="N3991">
        <f>-838.879729193119 -49.4685162878827 -552.435350914529</f>
        <v>-1440.7835963955308</v>
      </c>
      <c r="O3991">
        <f>-808.470481611975 -180.396115184431 -523.606210167969</f>
        <v>-1512.472806964375</v>
      </c>
      <c r="P3991">
        <f>-798.915143585841 -211.792483955133 -231.178144740932</f>
        <v>-1241.8857722819059</v>
      </c>
      <c r="Q3991">
        <f>-651.388541935278 -53.1788154566617 -336.66966831701</f>
        <v>-1041.2370257089497</v>
      </c>
      <c r="R3991" t="s">
        <v>43682</v>
      </c>
      <c r="S3991" t="s">
        <v>43683</v>
      </c>
      <c r="T3991" t="s">
        <v>43684</v>
      </c>
      <c r="U3991" t="s">
        <v>43685</v>
      </c>
      <c r="V3991">
        <f>-766.314601927764 -90.9158341240296 -91.8649222269697</f>
        <v>-949.09535827876334</v>
      </c>
      <c r="W3991" t="s">
        <v>43686</v>
      </c>
      <c r="X3991" t="s">
        <v>43687</v>
      </c>
      <c r="Y3991" t="s">
        <v>43688</v>
      </c>
    </row>
    <row r="3992" spans="1:25" x14ac:dyDescent="0.3">
      <c r="A3992">
        <v>199550</v>
      </c>
      <c r="B3992" t="s">
        <v>43689</v>
      </c>
      <c r="C3992">
        <f>-799.915085473858 -1.32566000530369 -93.9242913489348</f>
        <v>-895.1650368280965</v>
      </c>
      <c r="D3992">
        <f>-822.786858895188 -13.8303022268185 -206.781433710145</f>
        <v>-1043.3985948321515</v>
      </c>
      <c r="E3992">
        <f>-833.796726311453 -19.0600005178924 -304.649200168356</f>
        <v>-1157.5059269977014</v>
      </c>
      <c r="F3992">
        <f>-840.780827489466 -21.8935184633085 -393.426699416753</f>
        <v>-1256.1010453695276</v>
      </c>
      <c r="G3992">
        <f>-844.406792213147 -22.8063074150396 -482.444914918597</f>
        <v>-1349.6580145467835</v>
      </c>
      <c r="H3992">
        <f>-845.907503414668 -22.1409094902194 -607.016641304598</f>
        <v>-1475.0650542094854</v>
      </c>
      <c r="I3992">
        <f>-811.915507906313 -14.7196521556778 -682.47855140618</f>
        <v>-1509.1137114681708</v>
      </c>
      <c r="J3992" t="s">
        <v>43690</v>
      </c>
      <c r="K3992" t="s">
        <v>43691</v>
      </c>
      <c r="L3992" t="s">
        <v>43692</v>
      </c>
      <c r="M3992" t="s">
        <v>43693</v>
      </c>
      <c r="N3992">
        <f>-838.807055372643 -49.3831482992036 -552.420303172434</f>
        <v>-1440.6105068442807</v>
      </c>
      <c r="O3992">
        <f>-808.347145767834 -180.293980993836 -523.571593736295</f>
        <v>-1512.2127204979649</v>
      </c>
      <c r="P3992">
        <f>-798.828850797516 -211.595884771618 -231.132199734956</f>
        <v>-1241.5569353040901</v>
      </c>
      <c r="Q3992">
        <f>-651.299896126488 -53.0236128067468 -336.682663718537</f>
        <v>-1041.0061726517717</v>
      </c>
      <c r="R3992" t="s">
        <v>43694</v>
      </c>
      <c r="S3992" t="s">
        <v>43695</v>
      </c>
      <c r="T3992" t="s">
        <v>43696</v>
      </c>
      <c r="U3992" t="s">
        <v>43697</v>
      </c>
      <c r="V3992">
        <f>-766.323458782751 -90.6697369937258 -91.8712925169757</f>
        <v>-948.8644882934525</v>
      </c>
      <c r="W3992" t="s">
        <v>43698</v>
      </c>
      <c r="X3992" t="s">
        <v>43699</v>
      </c>
      <c r="Y3992" t="s">
        <v>43700</v>
      </c>
    </row>
    <row r="3993" spans="1:25" x14ac:dyDescent="0.3">
      <c r="A3993">
        <v>199600</v>
      </c>
      <c r="B3993" t="s">
        <v>43701</v>
      </c>
      <c r="C3993">
        <f>-799.955604897421 -1.2650916541204 -93.9060269330993</f>
        <v>-895.12672348464071</v>
      </c>
      <c r="D3993">
        <f>-822.844756165525 -13.8182835365999 -206.75429035766</f>
        <v>-1043.4173300597849</v>
      </c>
      <c r="E3993">
        <f>-833.830244210018 -19.0907038237297 -304.622476659149</f>
        <v>-1157.5434246928967</v>
      </c>
      <c r="F3993">
        <f>-840.776452249749 -21.9641713202134 -393.401546542627</f>
        <v>-1256.1421701125894</v>
      </c>
      <c r="G3993">
        <f>-844.348916200549 -22.9179405134628 -482.421608525257</f>
        <v>-1349.6884652392687</v>
      </c>
      <c r="H3993">
        <f>-845.758156888747 -22.3111955643858 -606.994732725724</f>
        <v>-1475.0640851788567</v>
      </c>
      <c r="I3993">
        <f>-811.720837085776 -14.8220756529452 -682.429460137241</f>
        <v>-1508.9723728759623</v>
      </c>
      <c r="J3993" t="s">
        <v>43702</v>
      </c>
      <c r="K3993" t="s">
        <v>43703</v>
      </c>
      <c r="L3993" t="s">
        <v>43704</v>
      </c>
      <c r="M3993" t="s">
        <v>43705</v>
      </c>
      <c r="N3993">
        <f>-838.661252931625 -49.5188527739934 -552.380787793769</f>
        <v>-1440.5608934993875</v>
      </c>
      <c r="O3993">
        <f>-808.072058803301 -180.387723145304 -523.476896236366</f>
        <v>-1511.936678184971</v>
      </c>
      <c r="P3993">
        <f>-798.521107548538 -211.625790775168 -231.031771207869</f>
        <v>-1241.178669531575</v>
      </c>
      <c r="Q3993">
        <f>-651.149537824234 -52.9769365701542 -336.686857819515</f>
        <v>-1040.8133322139033</v>
      </c>
      <c r="R3993" t="s">
        <v>43706</v>
      </c>
      <c r="S3993" t="s">
        <v>43707</v>
      </c>
      <c r="T3993" t="s">
        <v>43708</v>
      </c>
      <c r="U3993" t="s">
        <v>43709</v>
      </c>
      <c r="V3993">
        <f>-766.219488135765 -90.7084373804261 -91.8615793596837</f>
        <v>-948.78950487587474</v>
      </c>
      <c r="W3993" t="s">
        <v>43710</v>
      </c>
      <c r="X3993" t="s">
        <v>43711</v>
      </c>
      <c r="Y3993" t="s">
        <v>43712</v>
      </c>
    </row>
    <row r="3994" spans="1:25" x14ac:dyDescent="0.3">
      <c r="A3994">
        <v>199650</v>
      </c>
      <c r="B3994" t="s">
        <v>43713</v>
      </c>
      <c r="C3994">
        <f>-799.983219564965 -1.28711747860234 -93.8990261570056</f>
        <v>-895.16936320057289</v>
      </c>
      <c r="D3994">
        <f>-822.894959178616 -13.8808176661414 -206.738180522099</f>
        <v>-1043.5139573668564</v>
      </c>
      <c r="E3994">
        <f>-833.874281289721 -19.1728840085907 -304.605980491858</f>
        <v>-1157.6531457901697</v>
      </c>
      <c r="F3994">
        <f>-840.804083738004 -22.0584072117435 -393.386062407924</f>
        <v>-1256.2485533576714</v>
      </c>
      <c r="G3994">
        <f>-844.349765723184 -23.0185605876768 -482.407026548007</f>
        <v>-1349.7753528588678</v>
      </c>
      <c r="H3994">
        <f>-845.710447153326 -22.4140780159287 -606.980692669296</f>
        <v>-1475.1052178385507</v>
      </c>
      <c r="I3994">
        <f>-811.644632052235 -14.8736238012521 -682.397509069596</f>
        <v>-1508.9157649230831</v>
      </c>
      <c r="J3994" t="s">
        <v>43714</v>
      </c>
      <c r="K3994" t="s">
        <v>43715</v>
      </c>
      <c r="L3994" t="s">
        <v>43716</v>
      </c>
      <c r="M3994" t="s">
        <v>43717</v>
      </c>
      <c r="N3994">
        <f>-838.607615270685 -49.6142008172383 -552.363839914</f>
        <v>-1440.5856560019233</v>
      </c>
      <c r="O3994">
        <f>-807.888260154457 -180.446583533171 -523.427633270326</f>
        <v>-1511.7624769579543</v>
      </c>
      <c r="P3994">
        <f>-798.329581941287 -211.619776374653 -230.975809296556</f>
        <v>-1240.9251676124959</v>
      </c>
      <c r="Q3994">
        <f>-651.086716908861 -52.8823691297385 -336.677555067036</f>
        <v>-1040.6466411056356</v>
      </c>
      <c r="R3994" t="s">
        <v>43718</v>
      </c>
      <c r="S3994" t="s">
        <v>43719</v>
      </c>
      <c r="T3994" t="s">
        <v>43720</v>
      </c>
      <c r="U3994" t="s">
        <v>43721</v>
      </c>
      <c r="V3994">
        <f>-766.198898651048 -90.7112593534551 -91.8492176233125</f>
        <v>-948.75937562781564</v>
      </c>
      <c r="W3994" t="s">
        <v>43722</v>
      </c>
      <c r="X3994" t="s">
        <v>43723</v>
      </c>
      <c r="Y3994" t="s">
        <v>43724</v>
      </c>
    </row>
    <row r="3995" spans="1:25" x14ac:dyDescent="0.3">
      <c r="A3995">
        <v>199700</v>
      </c>
      <c r="B3995" t="s">
        <v>43725</v>
      </c>
      <c r="C3995">
        <f>-799.976696026162 -1.66107941041764 -93.9039313404699</f>
        <v>-895.54170677704951</v>
      </c>
      <c r="D3995">
        <f>-822.960752633551 -14.3573155220161 -206.716796120629</f>
        <v>-1044.034864276196</v>
      </c>
      <c r="E3995">
        <f>-833.950968498392 -19.7083018356645 -304.580211264747</f>
        <v>-1158.2394815988034</v>
      </c>
      <c r="F3995">
        <f>-840.869251957914 -22.6367721280849 -393.359769430764</f>
        <v>-1256.865793516763</v>
      </c>
      <c r="G3995">
        <f>-844.381926757633 -23.6284646837162 -482.381727888555</f>
        <v>-1350.3921193299043</v>
      </c>
      <c r="H3995">
        <f>-845.674066314384 -23.0565470179422 -606.956260964664</f>
        <v>-1475.6868742969903</v>
      </c>
      <c r="I3995">
        <f>-811.604355281895 -15.4395966405405 -682.363595909691</f>
        <v>-1509.4075478321265</v>
      </c>
      <c r="J3995" t="s">
        <v>43726</v>
      </c>
      <c r="K3995" t="s">
        <v>43727</v>
      </c>
      <c r="L3995" t="s">
        <v>43728</v>
      </c>
      <c r="M3995" t="s">
        <v>43729</v>
      </c>
      <c r="N3995">
        <f>-838.531169855977 -50.2252797896748 -552.328989805514</f>
        <v>-1441.0854394511657</v>
      </c>
      <c r="O3995">
        <f>-807.48568825252 -180.967859072061 -523.346013637412</f>
        <v>-1511.7995609619929</v>
      </c>
      <c r="P3995">
        <f>-797.820733095464 -212.059553232501 -230.88914086426</f>
        <v>-1240.7694271922251</v>
      </c>
      <c r="Q3995">
        <f>-650.995231732309 -52.9934938754292 -336.677183717521</f>
        <v>-1040.6659093252592</v>
      </c>
      <c r="R3995" t="s">
        <v>43730</v>
      </c>
      <c r="S3995" t="s">
        <v>43731</v>
      </c>
      <c r="T3995" t="s">
        <v>43732</v>
      </c>
      <c r="U3995" t="s">
        <v>43733</v>
      </c>
      <c r="V3995">
        <f>-765.992141000079 -91.191110112536 -91.8295164778974</f>
        <v>-949.01276759051234</v>
      </c>
      <c r="W3995" t="s">
        <v>43734</v>
      </c>
      <c r="X3995" t="s">
        <v>43735</v>
      </c>
      <c r="Y3995" t="s">
        <v>43736</v>
      </c>
    </row>
    <row r="3996" spans="1:25" x14ac:dyDescent="0.3">
      <c r="A3996">
        <v>199750</v>
      </c>
      <c r="B3996" t="s">
        <v>43737</v>
      </c>
      <c r="C3996">
        <f>-800.088476499039 -1.73321424460687 -93.9073669794262</f>
        <v>-895.72905772307206</v>
      </c>
      <c r="D3996">
        <f>-823.088451054025 -14.4699958091733 -206.712515594508</f>
        <v>-1044.2709624577062</v>
      </c>
      <c r="E3996">
        <f>-834.079284550277 -19.8491433963766 -304.574366410099</f>
        <v>-1158.5027943567525</v>
      </c>
      <c r="F3996">
        <f>-840.992809768335 -22.8007718823749 -393.353403317095</f>
        <v>-1257.1469849678049</v>
      </c>
      <c r="G3996">
        <f>-844.495509402038 -23.8130514334168 -482.375574301401</f>
        <v>-1350.6841351368557</v>
      </c>
      <c r="H3996">
        <f>-845.768494997881 -23.2670230837784 -606.950389011366</f>
        <v>-1475.9859070930256</v>
      </c>
      <c r="I3996">
        <f>-811.698984739274 -15.6161554509501 -682.354390776515</f>
        <v>-1509.6695309667391</v>
      </c>
      <c r="J3996" t="s">
        <v>43738</v>
      </c>
      <c r="K3996" t="s">
        <v>43739</v>
      </c>
      <c r="L3996" t="s">
        <v>43740</v>
      </c>
      <c r="M3996" t="s">
        <v>43741</v>
      </c>
      <c r="N3996">
        <f>-838.59313794752 -50.4144613000658 -552.316707996391</f>
        <v>-1441.3243072439768</v>
      </c>
      <c r="O3996">
        <f>-807.346974636332 -181.103068814433 -523.313960048155</f>
        <v>-1511.7640034989199</v>
      </c>
      <c r="P3996">
        <f>-797.596779401901 -212.165689030367 -230.856743555563</f>
        <v>-1240.619211987831</v>
      </c>
      <c r="Q3996">
        <f>-651.023959369526 -52.9155809060363 -336.718279531484</f>
        <v>-1040.6578198070463</v>
      </c>
      <c r="R3996" t="s">
        <v>43742</v>
      </c>
      <c r="S3996" t="s">
        <v>43743</v>
      </c>
      <c r="T3996" t="s">
        <v>43744</v>
      </c>
      <c r="U3996" t="s">
        <v>43745</v>
      </c>
      <c r="V3996">
        <f>-766.045747853537 -91.1883174808285 -91.8286278545181</f>
        <v>-949.0626931888836</v>
      </c>
      <c r="W3996" t="s">
        <v>43746</v>
      </c>
      <c r="X3996" t="s">
        <v>43747</v>
      </c>
      <c r="Y3996" t="s">
        <v>43748</v>
      </c>
    </row>
    <row r="3997" spans="1:25" x14ac:dyDescent="0.3">
      <c r="A3997">
        <v>199800</v>
      </c>
      <c r="B3997" t="s">
        <v>43749</v>
      </c>
      <c r="C3997">
        <f>-800.284097721849 -2.09642502512088 -93.9260587083276</f>
        <v>-896.30658145529742</v>
      </c>
      <c r="D3997">
        <f>-823.275060523742 -14.9094116954327 -206.724347001171</f>
        <v>-1044.9088192203458</v>
      </c>
      <c r="E3997">
        <f>-834.270926742513 -20.3535773573458 -304.581991103077</f>
        <v>-1159.2064952029357</v>
      </c>
      <c r="F3997">
        <f>-841.193948504502 -23.3645620835662 -393.358391892341</f>
        <v>-1257.9169024804091</v>
      </c>
      <c r="G3997">
        <f>-844.711553608036 -24.4356408597998 -482.379217529508</f>
        <v>-1351.5264119973438</v>
      </c>
      <c r="H3997">
        <f>-846.010686797913 -23.9709558907807 -606.954187335228</f>
        <v>-1476.9358300239217</v>
      </c>
      <c r="I3997">
        <f>-811.964633669761 -16.2804880225931 -682.364689599489</f>
        <v>-1510.609811291843</v>
      </c>
      <c r="J3997" t="s">
        <v>43750</v>
      </c>
      <c r="K3997" t="s">
        <v>43751</v>
      </c>
      <c r="L3997" t="s">
        <v>43752</v>
      </c>
      <c r="M3997" t="s">
        <v>43753</v>
      </c>
      <c r="N3997">
        <f>-838.764107889536 -51.0679116940878 -552.304800571409</f>
        <v>-1442.1368201550329</v>
      </c>
      <c r="O3997">
        <f>-807.162414857261 -181.664870248618 -523.264541711659</f>
        <v>-1512.0918268175378</v>
      </c>
      <c r="P3997">
        <f>-797.149891283435 -212.538587319918 -230.796178207932</f>
        <v>-1240.4846568112848</v>
      </c>
      <c r="Q3997">
        <f>-651.129507145537 -52.9141640435383 -336.85721143172</f>
        <v>-1040.9008826207953</v>
      </c>
      <c r="R3997" t="s">
        <v>43754</v>
      </c>
      <c r="S3997" t="s">
        <v>43755</v>
      </c>
      <c r="T3997" t="s">
        <v>43756</v>
      </c>
      <c r="U3997" t="s">
        <v>43757</v>
      </c>
      <c r="V3997">
        <f>-766.08426660569 -91.6135236650221 -91.8211780329584</f>
        <v>-949.51896830367048</v>
      </c>
      <c r="W3997" t="s">
        <v>43758</v>
      </c>
      <c r="X3997" t="s">
        <v>43759</v>
      </c>
      <c r="Y3997" t="s">
        <v>43760</v>
      </c>
    </row>
    <row r="3998" spans="1:25" x14ac:dyDescent="0.3">
      <c r="A3998">
        <v>199850</v>
      </c>
      <c r="B3998" t="s">
        <v>43761</v>
      </c>
      <c r="C3998">
        <f>-800.480484377354 -2.21420347189246 -93.9570075657522</f>
        <v>-896.65169541499858</v>
      </c>
      <c r="D3998">
        <f>-823.425610185999 -15.0520228285093 -206.761789448262</f>
        <v>-1045.2394224627701</v>
      </c>
      <c r="E3998">
        <f>-834.402014079866 -20.5209975674234 -304.620241054684</f>
        <v>-1159.5432527019734</v>
      </c>
      <c r="F3998">
        <f>-841.315664446182 -23.5557278845854 -393.396633983784</f>
        <v>-1258.2680263145514</v>
      </c>
      <c r="G3998">
        <f>-844.831729557515 -24.6517420803971 -482.417149065788</f>
        <v>-1351.9006207037</v>
      </c>
      <c r="H3998">
        <f>-846.137548650662 -24.2227194509085 -606.992236464643</f>
        <v>-1477.3525045662136</v>
      </c>
      <c r="I3998">
        <f>-812.124585352439 -16.5277227970166 -682.417210053042</f>
        <v>-1511.0695182024976</v>
      </c>
      <c r="J3998" t="s">
        <v>43762</v>
      </c>
      <c r="K3998" t="s">
        <v>43763</v>
      </c>
      <c r="L3998" t="s">
        <v>43764</v>
      </c>
      <c r="M3998" t="s">
        <v>43765</v>
      </c>
      <c r="N3998">
        <f>-838.875202493845 -51.3008561862033 -552.335551743755</f>
        <v>-1442.5116104238032</v>
      </c>
      <c r="O3998">
        <f>-807.170078886321 -181.870008903669 -523.266230350216</f>
        <v>-1512.306318140206</v>
      </c>
      <c r="P3998">
        <f>-797.094730729533 -212.702338662282 -230.795574296682</f>
        <v>-1240.592643688497</v>
      </c>
      <c r="Q3998">
        <f>-651.292443992 -52.9326902033517 -336.937936553873</f>
        <v>-1041.1630707492247</v>
      </c>
      <c r="R3998" t="s">
        <v>43766</v>
      </c>
      <c r="S3998" t="s">
        <v>43767</v>
      </c>
      <c r="T3998" t="s">
        <v>43768</v>
      </c>
      <c r="U3998" t="s">
        <v>43769</v>
      </c>
      <c r="V3998">
        <f>-766.287820372694 -91.7313654298648 -91.8136932958325</f>
        <v>-949.83287909839134</v>
      </c>
      <c r="W3998" t="s">
        <v>43770</v>
      </c>
      <c r="X3998" t="s">
        <v>43771</v>
      </c>
      <c r="Y3998" t="s">
        <v>43772</v>
      </c>
    </row>
    <row r="3999" spans="1:25" x14ac:dyDescent="0.3">
      <c r="A3999">
        <v>199900</v>
      </c>
      <c r="B3999" t="s">
        <v>43773</v>
      </c>
      <c r="C3999">
        <f>-800.981175181739 -2.32827378762136 -94.0712489354431</f>
        <v>-897.38069790480347</v>
      </c>
      <c r="D3999">
        <f>-823.666203860554 -15.0729898855955 -206.939196923987</f>
        <v>-1045.6783906701364</v>
      </c>
      <c r="E3999">
        <f>-834.472635601742 -20.519991694634 -304.817808476376</f>
        <v>-1159.810435772752</v>
      </c>
      <c r="F3999">
        <f>-841.255524546615 -23.5569193989645 -393.60409286168</f>
        <v>-1258.4165368072595</v>
      </c>
      <c r="G3999">
        <f>-844.664871918695 -24.6768847886856 -482.628607492701</f>
        <v>-1351.9703642000816</v>
      </c>
      <c r="H3999">
        <f>-845.846906332421 -24.3035722682976 -607.204949692228</f>
        <v>-1477.3554282929465</v>
      </c>
      <c r="I3999">
        <f>-811.899561241696 -16.6471523000955 -682.663465204563</f>
        <v>-1511.2101787463544</v>
      </c>
      <c r="J3999" t="s">
        <v>43774</v>
      </c>
      <c r="K3999" t="s">
        <v>43775</v>
      </c>
      <c r="L3999" t="s">
        <v>43776</v>
      </c>
      <c r="M3999" t="s">
        <v>43777</v>
      </c>
      <c r="N3999">
        <f>-838.657905493311 -51.3620235144421 -552.528832945751</f>
        <v>-1442.548761953504</v>
      </c>
      <c r="O3999">
        <f>-807.011568634297 -181.921343988728 -523.359463772424</f>
        <v>-1512.2923763954491</v>
      </c>
      <c r="P3999">
        <f>-797.177614334145 -212.57550107617 -230.861874530439</f>
        <v>-1240.614989940754</v>
      </c>
      <c r="Q3999">
        <f>-651.285086587629 -52.8875712774308 -337.003440200833</f>
        <v>-1041.1760980658928</v>
      </c>
      <c r="R3999" t="s">
        <v>43778</v>
      </c>
      <c r="S3999" t="s">
        <v>43779</v>
      </c>
      <c r="T3999" t="s">
        <v>43780</v>
      </c>
      <c r="U3999" t="s">
        <v>43781</v>
      </c>
      <c r="V3999">
        <f>-767.060678829698 -91.6918128180135 -91.8459947750339</f>
        <v>-950.5984864227454</v>
      </c>
      <c r="W3999" t="s">
        <v>43782</v>
      </c>
      <c r="X3999" t="s">
        <v>43783</v>
      </c>
      <c r="Y3999" t="s">
        <v>43784</v>
      </c>
    </row>
    <row r="4000" spans="1:25" x14ac:dyDescent="0.3">
      <c r="A4000">
        <v>199950</v>
      </c>
      <c r="B4000" t="s">
        <v>43785</v>
      </c>
      <c r="C4000">
        <f>-801.061933604156 -2.40989593448535 -94.0695500787301</f>
        <v>-897.54137961737149</v>
      </c>
      <c r="D4000">
        <f>-823.563069137422 -15.0634707469969 -206.984574684154</f>
        <v>-1045.6111145685729</v>
      </c>
      <c r="E4000">
        <f>-834.23807191731 -20.4730337586798 -304.879688958301</f>
        <v>-1159.5907946342909</v>
      </c>
      <c r="F4000">
        <f>-840.914299800157 -23.4909178872965 -393.674685944166</f>
        <v>-1258.0799036316196</v>
      </c>
      <c r="G4000">
        <f>-844.22938204141 -24.6068697130993 -482.702836774855</f>
        <v>-1351.5390885293641</v>
      </c>
      <c r="H4000">
        <f>-845.293697176105 -24.2433538009616 -607.280365235542</f>
        <v>-1476.8174162126086</v>
      </c>
      <c r="I4000">
        <f>-811.36509335882 -16.6482591985603 -682.753467612563</f>
        <v>-1510.7668201699432</v>
      </c>
      <c r="J4000" t="s">
        <v>43786</v>
      </c>
      <c r="K4000" t="s">
        <v>43787</v>
      </c>
      <c r="L4000" t="s">
        <v>43788</v>
      </c>
      <c r="M4000" t="s">
        <v>43789</v>
      </c>
      <c r="N4000">
        <f>-838.190715394097 -51.3060797486174 -552.595151538245</f>
        <v>-1442.0919466809594</v>
      </c>
      <c r="O4000">
        <f>-806.710898409154 -181.88936779375 -523.348635755309</f>
        <v>-1511.9489019582129</v>
      </c>
      <c r="P4000">
        <f>-797.213086431895 -212.454310713636 -230.830726839861</f>
        <v>-1240.4981239853921</v>
      </c>
      <c r="Q4000">
        <f>-651.05055689481 -52.9705167566713 -336.907711281027</f>
        <v>-1040.9287849325083</v>
      </c>
      <c r="R4000" t="s">
        <v>43790</v>
      </c>
      <c r="S4000" t="s">
        <v>43791</v>
      </c>
      <c r="T4000" t="s">
        <v>43792</v>
      </c>
      <c r="U4000" t="s">
        <v>43793</v>
      </c>
      <c r="V4000">
        <f>-767.402546806183 -91.6078625139654 -91.8328606717876</f>
        <v>-950.84326999193593</v>
      </c>
      <c r="W4000" t="s">
        <v>43794</v>
      </c>
      <c r="X4000" t="s">
        <v>43795</v>
      </c>
      <c r="Y4000" t="s">
        <v>43796</v>
      </c>
    </row>
    <row r="4001" spans="1:25" x14ac:dyDescent="0.3">
      <c r="A4001">
        <v>200000</v>
      </c>
      <c r="B4001" t="s">
        <v>43797</v>
      </c>
      <c r="C4001">
        <f>-800.938585027976 -2.48779406206336 -93.9574747726647</f>
        <v>-897.38385386270409</v>
      </c>
      <c r="D4001">
        <f>-823.147997535964 -14.9643327398001 -206.949938043541</f>
        <v>-1045.0622683193051</v>
      </c>
      <c r="E4001">
        <f>-833.464613581019 -20.2496862909818 -304.890175306337</f>
        <v>-1158.6044751783379</v>
      </c>
      <c r="F4001">
        <f>-839.775214729227 -23.1647417739807 -393.715486753601</f>
        <v>-1256.6554432568087</v>
      </c>
      <c r="G4001">
        <f>-842.683435286756 -24.1886370344298 -482.758879832656</f>
        <v>-1349.6309521538419</v>
      </c>
      <c r="H4001">
        <f>-843.136769963425 -23.7082370600274 -607.33971788519</f>
        <v>-1474.1847249086422</v>
      </c>
      <c r="I4001">
        <f>-809.17069782577 -16.3186184460365 -682.816322064225</f>
        <v>-1508.3056383360315</v>
      </c>
      <c r="J4001" t="s">
        <v>43798</v>
      </c>
      <c r="K4001" t="s">
        <v>43799</v>
      </c>
      <c r="L4001" t="s">
        <v>43800</v>
      </c>
      <c r="M4001" t="s">
        <v>43801</v>
      </c>
      <c r="N4001">
        <f>-836.402308712591 -50.8466710047239 -552.645521481977</f>
        <v>-1439.8945011992919</v>
      </c>
      <c r="O4001">
        <f>-805.581497681376 -181.564980262288 -523.309636753238</f>
        <v>-1510.4561146969022</v>
      </c>
      <c r="P4001">
        <f>-797.193350303363 -212.282388900773 -230.773667612437</f>
        <v>-1240.2494068165729</v>
      </c>
      <c r="Q4001">
        <f>-650.067730518472 -53.481031172626 -336.542520976303</f>
        <v>-1040.0912826674009</v>
      </c>
      <c r="R4001" t="s">
        <v>43802</v>
      </c>
      <c r="S4001" t="s">
        <v>43803</v>
      </c>
      <c r="T4001" t="s">
        <v>43804</v>
      </c>
      <c r="U4001" t="s">
        <v>43805</v>
      </c>
      <c r="V4001">
        <f>-767.976077940422 -91.1995431529834 -91.7438590200334</f>
        <v>-950.91948011343879</v>
      </c>
      <c r="W4001" t="s">
        <v>43806</v>
      </c>
      <c r="X4001" t="s">
        <v>43807</v>
      </c>
      <c r="Y4001" t="s">
        <v>43808</v>
      </c>
    </row>
    <row r="4002" spans="1:25" x14ac:dyDescent="0.3">
      <c r="A4002">
        <v>200050</v>
      </c>
      <c r="B4002" t="s">
        <v>43809</v>
      </c>
      <c r="C4002">
        <f>-800.892192939112 -2.32318768915411 -93.9629309603988</f>
        <v>-897.17831158866488</v>
      </c>
      <c r="D4002">
        <f>-822.954068510869 -14.6497285985145 -207.000682390164</f>
        <v>-1044.6044794995473</v>
      </c>
      <c r="E4002">
        <f>-833.034521887919 -19.8272779423864 -304.971352486195</f>
        <v>-1157.8331523165004</v>
      </c>
      <c r="F4002">
        <f>-839.089047810227 -22.6519954991641 -393.817225134176</f>
        <v>-1255.5582684435672</v>
      </c>
      <c r="G4002">
        <f>-841.699101112955 -23.5941388822553 -482.8708333993</f>
        <v>-1348.1640733945103</v>
      </c>
      <c r="H4002">
        <f>-841.69190766288 -23.0086306488254 -607.452002197179</f>
        <v>-1472.1525405088844</v>
      </c>
      <c r="I4002">
        <f>-807.615111271939 -15.711038163337 -682.88770975194</f>
        <v>-1506.2138591872158</v>
      </c>
      <c r="J4002" t="s">
        <v>43810</v>
      </c>
      <c r="K4002" t="s">
        <v>43811</v>
      </c>
      <c r="L4002" t="s">
        <v>43812</v>
      </c>
      <c r="M4002" t="s">
        <v>43813</v>
      </c>
      <c r="N4002">
        <f>-835.219155373134 -50.2077291674422 -552.756221483594</f>
        <v>-1438.1831060241702</v>
      </c>
      <c r="O4002">
        <f>-804.852977892732 -181.02413349095 -523.377008876706</f>
        <v>-1509.2541202603879</v>
      </c>
      <c r="P4002">
        <f>-797.26597397925 -212.015986413834 -230.848131962523</f>
        <v>-1240.1300923556071</v>
      </c>
      <c r="Q4002">
        <f>-649.488222938453 -53.6306630199481 -336.331616246407</f>
        <v>-1039.4505022048081</v>
      </c>
      <c r="R4002" t="s">
        <v>43814</v>
      </c>
      <c r="S4002" t="s">
        <v>43815</v>
      </c>
      <c r="T4002" t="s">
        <v>43816</v>
      </c>
      <c r="U4002" t="s">
        <v>43817</v>
      </c>
      <c r="V4002">
        <f>-768.319335787506 -90.863015475065 -91.7190649637887</f>
        <v>-950.90141622635974</v>
      </c>
      <c r="W4002" t="s">
        <v>43818</v>
      </c>
      <c r="X4002" t="s">
        <v>43819</v>
      </c>
      <c r="Y4002" t="s">
        <v>43820</v>
      </c>
    </row>
    <row r="4003" spans="1:25" x14ac:dyDescent="0.3">
      <c r="A4003">
        <v>200100</v>
      </c>
      <c r="B4003" t="s">
        <v>43821</v>
      </c>
      <c r="C4003">
        <f>-800.934413413426 -1.55146865784172 -93.9463897655306</f>
        <v>-896.43227183679835</v>
      </c>
      <c r="D4003">
        <f>-822.643833038993 -13.5083195957639 -207.092169360357</f>
        <v>-1043.2443219951138</v>
      </c>
      <c r="E4003">
        <f>-832.182006294225 -18.481432492488 -305.127587320366</f>
        <v>-1155.791026107079</v>
      </c>
      <c r="F4003">
        <f>-837.654181861085 -21.1633290022262 -394.015744665647</f>
        <v>-1252.8332555289583</v>
      </c>
      <c r="G4003">
        <f>-839.591284566635 -22.0078227299264 -483.087431742614</f>
        <v>-1344.6865390391754</v>
      </c>
      <c r="H4003">
        <f>-838.550693604944 -21.3338665635192 -607.663861453105</f>
        <v>-1467.5484216215682</v>
      </c>
      <c r="I4003">
        <f>-804.001412518588 -14.1976267022869 -682.899911147859</f>
        <v>-1501.098950368734</v>
      </c>
      <c r="J4003" t="s">
        <v>43822</v>
      </c>
      <c r="K4003" t="s">
        <v>43823</v>
      </c>
      <c r="L4003" t="s">
        <v>43824</v>
      </c>
      <c r="M4003" t="s">
        <v>43825</v>
      </c>
      <c r="N4003">
        <f>-832.672005094163 -48.6051355674789 -552.937008156177</f>
        <v>-1434.2141488178188</v>
      </c>
      <c r="O4003">
        <f>-803.284406398625 -179.606666884965 -523.407775185904</f>
        <v>-1506.298848469494</v>
      </c>
      <c r="P4003">
        <f>-797.918646294373 -211.141352022619 -230.887730598847</f>
        <v>-1239.947728915839</v>
      </c>
      <c r="Q4003">
        <f>-648.539033001103 -53.7547660435828 -335.606796286445</f>
        <v>-1037.9005953311307</v>
      </c>
      <c r="R4003" t="s">
        <v>43826</v>
      </c>
      <c r="S4003" t="s">
        <v>43827</v>
      </c>
      <c r="T4003" t="s">
        <v>43828</v>
      </c>
      <c r="U4003" t="s">
        <v>43829</v>
      </c>
      <c r="V4003">
        <f>-769.121952467241 -90.0976829228667 -91.714101525423</f>
        <v>-950.93373691553074</v>
      </c>
      <c r="W4003" t="s">
        <v>43830</v>
      </c>
      <c r="X4003" t="s">
        <v>43831</v>
      </c>
      <c r="Y4003" t="s">
        <v>43832</v>
      </c>
    </row>
    <row r="4004" spans="1:25" x14ac:dyDescent="0.3">
      <c r="A4004">
        <v>200150</v>
      </c>
      <c r="B4004" t="s">
        <v>43833</v>
      </c>
      <c r="C4004">
        <f>-800.918202711017 -1.08433758020578 -93.8910991802645</f>
        <v>-895.89363947148729</v>
      </c>
      <c r="D4004">
        <f>-822.455463738498 -12.8453210793496 -207.090256113733</f>
        <v>-1042.3910409315806</v>
      </c>
      <c r="E4004">
        <f>-831.738055245968 -17.7219599053115 -305.155164871384</f>
        <v>-1154.6151800226635</v>
      </c>
      <c r="F4004">
        <f>-836.938176743413 -20.3442858564451 -394.061369216423</f>
        <v>-1251.3438318162812</v>
      </c>
      <c r="G4004">
        <f>-838.562655250082 -21.1583774070893 -483.1395907336</f>
        <v>-1342.8606233907713</v>
      </c>
      <c r="H4004">
        <f>-837.043876564823 -20.472937888884 -607.711017234143</f>
        <v>-1465.2278316878501</v>
      </c>
      <c r="I4004">
        <f>-802.180342467127 -13.3991521392409 -682.807706413985</f>
        <v>-1498.3872010203529</v>
      </c>
      <c r="J4004" t="s">
        <v>43834</v>
      </c>
      <c r="K4004" t="s">
        <v>43835</v>
      </c>
      <c r="L4004" t="s">
        <v>43836</v>
      </c>
      <c r="M4004" t="s">
        <v>43837</v>
      </c>
      <c r="N4004">
        <f>-831.451959927464 -47.7670934044309 -552.965520750173</f>
        <v>-1432.1845740820679</v>
      </c>
      <c r="O4004">
        <f>-802.530782621745 -178.851586108083 -523.341234821719</f>
        <v>-1504.7236035515471</v>
      </c>
      <c r="P4004">
        <f>-798.358453834334 -210.625109824635 -230.827540099656</f>
        <v>-1239.811103758625</v>
      </c>
      <c r="Q4004">
        <f>-648.204892723093 -53.7234658144503 -335.16679925234</f>
        <v>-1037.0951577898834</v>
      </c>
      <c r="R4004" t="s">
        <v>43838</v>
      </c>
      <c r="S4004" t="s">
        <v>43839</v>
      </c>
      <c r="T4004" t="s">
        <v>43840</v>
      </c>
      <c r="U4004" t="s">
        <v>43841</v>
      </c>
      <c r="V4004">
        <f>-769.431486525267 -89.5777828304415 -91.6936794851698</f>
        <v>-950.70294884087832</v>
      </c>
      <c r="W4004" t="s">
        <v>43842</v>
      </c>
      <c r="X4004" t="s">
        <v>43843</v>
      </c>
      <c r="Y4004" t="s">
        <v>43844</v>
      </c>
    </row>
    <row r="4005" spans="1:25" x14ac:dyDescent="0.3">
      <c r="A4005">
        <v>200200</v>
      </c>
      <c r="B4005" t="s">
        <v>43845</v>
      </c>
      <c r="C4005">
        <f>-800.436888104986 -0.0777368434330583 -93.7666910189287</f>
        <v>-894.28131596734772</v>
      </c>
      <c r="D4005">
        <f>-821.671896239977 -11.5540176992281 -207.052147630249</f>
        <v>-1040.2780615694542</v>
      </c>
      <c r="E4005">
        <f>-830.492101383227 -16.2562669221049 -305.168260201083</f>
        <v>-1151.916628506415</v>
      </c>
      <c r="F4005">
        <f>-835.194597261345 -18.7488199648294 -394.105894985355</f>
        <v>-1248.0493122115295</v>
      </c>
      <c r="G4005">
        <f>-836.241970128004 -19.4650913052956 -483.193596627713</f>
        <v>-1338.9006580610126</v>
      </c>
      <c r="H4005">
        <f>-833.834395329099 -18.678245846635 -607.750416034379</f>
        <v>-1460.2630572101129</v>
      </c>
      <c r="I4005">
        <f>-798.310215686541 -11.6297062663637 -682.539440001406</f>
        <v>-1492.4793619543107</v>
      </c>
      <c r="J4005" t="s">
        <v>43846</v>
      </c>
      <c r="K4005" t="s">
        <v>43847</v>
      </c>
      <c r="L4005" t="s">
        <v>43848</v>
      </c>
      <c r="M4005" t="s">
        <v>43849</v>
      </c>
      <c r="N4005">
        <f>-828.794657088447 -46.0539920628661 -552.99206375902</f>
        <v>-1427.840712910333</v>
      </c>
      <c r="O4005">
        <f>-800.828180640551 -177.344910195557 -523.352959878824</f>
        <v>-1501.5260507149319</v>
      </c>
      <c r="P4005">
        <f>-798.520761223593 -209.636289065193 -230.875331452328</f>
        <v>-1239.032381741114</v>
      </c>
      <c r="Q4005">
        <f>-647.121198348479 -53.4687318845365 -334.512863877138</f>
        <v>-1035.1027941101534</v>
      </c>
      <c r="R4005" t="s">
        <v>43850</v>
      </c>
      <c r="S4005" t="s">
        <v>43851</v>
      </c>
      <c r="T4005" t="s">
        <v>43852</v>
      </c>
      <c r="U4005" t="s">
        <v>43853</v>
      </c>
      <c r="V4005">
        <f>-769.422853833692 -88.531910074837 -91.625800246189</f>
        <v>-949.58056415471799</v>
      </c>
      <c r="W4005" t="s">
        <v>43854</v>
      </c>
      <c r="X4005" t="s">
        <v>43855</v>
      </c>
      <c r="Y4005" t="s">
        <v>43856</v>
      </c>
    </row>
    <row r="4006" spans="1:25" x14ac:dyDescent="0.3">
      <c r="A4006">
        <v>200250</v>
      </c>
      <c r="B4006" t="s">
        <v>43857</v>
      </c>
      <c r="C4006" t="s">
        <v>43858</v>
      </c>
      <c r="D4006">
        <f>-820.957843686301 -10.9877022620099 -207.032642993832</f>
        <v>-1038.9781889421429</v>
      </c>
      <c r="E4006">
        <f>-829.555570223199 -15.5862647658173 -305.173355936049</f>
        <v>-1150.3151909250653</v>
      </c>
      <c r="F4006">
        <f>-834.032389874273 -17.9894609590813 -394.125089783402</f>
        <v>-1246.1469406167562</v>
      </c>
      <c r="G4006">
        <f>-834.829275930794 -18.6223083773646 -483.216127567342</f>
        <v>-1336.6677118755006</v>
      </c>
      <c r="H4006">
        <f>-832.045950975196 -17.7269640967511 -607.764411261212</f>
        <v>-1457.5373263331589</v>
      </c>
      <c r="I4006">
        <f>-796.216779674919 -10.6655265427876 -682.406427022458</f>
        <v>-1489.2887332401647</v>
      </c>
      <c r="J4006" t="s">
        <v>43859</v>
      </c>
      <c r="K4006" t="s">
        <v>43860</v>
      </c>
      <c r="L4006" t="s">
        <v>43861</v>
      </c>
      <c r="M4006" t="s">
        <v>43862</v>
      </c>
      <c r="N4006">
        <f>-827.261772883831 -45.1705200399189 -553.016977579469</f>
        <v>-1425.4492705032189</v>
      </c>
      <c r="O4006">
        <f>-799.803061482672 -176.586043805984 -523.445059665483</f>
        <v>-1499.8341649541389</v>
      </c>
      <c r="P4006">
        <f>-798.188864902617 -209.279334523218 -231.007316360172</f>
        <v>-1238.475515786007</v>
      </c>
      <c r="Q4006">
        <f>-646.179549998806 -53.5289943453065 -334.379718244468</f>
        <v>-1034.0882625885806</v>
      </c>
      <c r="R4006" t="s">
        <v>43863</v>
      </c>
      <c r="S4006" t="s">
        <v>43864</v>
      </c>
      <c r="T4006" t="s">
        <v>43865</v>
      </c>
      <c r="U4006" t="s">
        <v>43866</v>
      </c>
      <c r="V4006">
        <f>-769.230777245933 -88.0267016397754 -91.5528427186542</f>
        <v>-948.81032160436268</v>
      </c>
      <c r="W4006" t="s">
        <v>43867</v>
      </c>
      <c r="X4006" t="s">
        <v>43868</v>
      </c>
      <c r="Y4006" t="s">
        <v>43869</v>
      </c>
    </row>
    <row r="4007" spans="1:25" x14ac:dyDescent="0.3">
      <c r="A4007">
        <v>200300</v>
      </c>
      <c r="B4007" t="s">
        <v>43870</v>
      </c>
      <c r="C4007" t="s">
        <v>43871</v>
      </c>
      <c r="D4007">
        <f>-818.83673150095 -10.0449371532454 -206.944059528225</f>
        <v>-1035.8257281824203</v>
      </c>
      <c r="E4007">
        <f>-827.006357009986 -14.384372366635 -305.133059287005</f>
        <v>-1146.523788663626</v>
      </c>
      <c r="F4007">
        <f>-831.052650017841 -16.5715328313138 -394.11097540731</f>
        <v>-1241.7351582564647</v>
      </c>
      <c r="G4007">
        <f>-831.375628472808 -17.0109515496358 -483.2061893571</f>
        <v>-1331.5927693795438</v>
      </c>
      <c r="H4007">
        <f>-827.885283729129 -15.8697422780965 -607.734597182647</f>
        <v>-1451.4896231898724</v>
      </c>
      <c r="I4007">
        <f>-791.534899521446 -8.79909466506047 -682.123319355571</f>
        <v>-1482.4573135420774</v>
      </c>
      <c r="J4007" t="s">
        <v>43872</v>
      </c>
      <c r="K4007" t="s">
        <v>43873</v>
      </c>
      <c r="L4007" t="s">
        <v>43874</v>
      </c>
      <c r="M4007" t="s">
        <v>43875</v>
      </c>
      <c r="N4007">
        <f>-823.625614963758 -43.4679147373455 -553.021631190748</f>
        <v>-1420.1151608918517</v>
      </c>
      <c r="O4007">
        <f>-797.370820074218 -175.164474905855 -523.624742794298</f>
        <v>-1496.1600377743712</v>
      </c>
      <c r="P4007">
        <f>-796.970025732751 -208.734635049957 -231.282273757132</f>
        <v>-1236.9869345398399</v>
      </c>
      <c r="Q4007">
        <f>-643.54744638256 -53.9478265027831 -334.01220573217</f>
        <v>-1031.507478617513</v>
      </c>
      <c r="R4007" t="s">
        <v>43876</v>
      </c>
      <c r="S4007" t="s">
        <v>43877</v>
      </c>
      <c r="T4007" t="s">
        <v>43878</v>
      </c>
      <c r="U4007" t="s">
        <v>43879</v>
      </c>
      <c r="V4007">
        <f>-768.152561458105 -87.5074916306354 -91.409597267564</f>
        <v>-947.06965035630435</v>
      </c>
      <c r="W4007" t="s">
        <v>43880</v>
      </c>
      <c r="X4007" t="s">
        <v>43881</v>
      </c>
      <c r="Y4007" t="s">
        <v>43882</v>
      </c>
    </row>
    <row r="4008" spans="1:25" x14ac:dyDescent="0.3">
      <c r="A4008">
        <v>200350</v>
      </c>
      <c r="B4008" t="s">
        <v>43883</v>
      </c>
      <c r="C4008" t="s">
        <v>43884</v>
      </c>
      <c r="D4008">
        <f>-817.613377171658 -9.2728403088563 -206.867590440165</f>
        <v>-1033.7538079206793</v>
      </c>
      <c r="E4008">
        <f>-825.557412198718 -13.4510211052827 -305.081971574586</f>
        <v>-1144.0904048785867</v>
      </c>
      <c r="F4008">
        <f>-829.3697620956 -15.5047561140711 -394.073518717955</f>
        <v>-1238.9480369276262</v>
      </c>
      <c r="G4008">
        <f>-829.428959234618 -15.8252783404678 -483.169733881272</f>
        <v>-1328.4239714563578</v>
      </c>
      <c r="H4008">
        <f>-825.538870809896 -14.5344963543712 -607.684849309045</f>
        <v>-1447.7582164733121</v>
      </c>
      <c r="I4008">
        <f>-788.95215303306 -7.45409014930328 -681.956709922541</f>
        <v>-1478.3629531049041</v>
      </c>
      <c r="J4008" t="s">
        <v>43885</v>
      </c>
      <c r="K4008" t="s">
        <v>43886</v>
      </c>
      <c r="L4008" t="s">
        <v>43887</v>
      </c>
      <c r="M4008" t="s">
        <v>43888</v>
      </c>
      <c r="N4008">
        <f>-821.582922072621 -42.225437224952 -552.9960267958</f>
        <v>-1416.8043860933731</v>
      </c>
      <c r="O4008">
        <f>-796.084160243828 -174.098716651179 -523.696085933652</f>
        <v>-1493.878962828659</v>
      </c>
      <c r="P4008">
        <f>-796.362738105515 -208.124428469035 -231.406116454096</f>
        <v>-1235.893283028646</v>
      </c>
      <c r="Q4008">
        <f>-641.987798933687 -54.0460359079378 -333.773637195624</f>
        <v>-1029.8074720372488</v>
      </c>
      <c r="R4008" t="s">
        <v>43889</v>
      </c>
      <c r="S4008" t="s">
        <v>43890</v>
      </c>
      <c r="T4008" t="s">
        <v>43891</v>
      </c>
      <c r="U4008" t="s">
        <v>43892</v>
      </c>
      <c r="V4008">
        <f>-767.560935797335 -86.9386470384238 -91.3388367280199</f>
        <v>-945.83841956377876</v>
      </c>
      <c r="W4008" t="s">
        <v>43893</v>
      </c>
      <c r="X4008" t="s">
        <v>43894</v>
      </c>
      <c r="Y4008" t="s">
        <v>43895</v>
      </c>
    </row>
    <row r="4009" spans="1:25" x14ac:dyDescent="0.3">
      <c r="A4009">
        <v>200400</v>
      </c>
      <c r="B4009" t="s">
        <v>43896</v>
      </c>
      <c r="C4009" t="s">
        <v>43897</v>
      </c>
      <c r="D4009">
        <f>-814.695933715242 -7.16475021687984 -206.66080622345</f>
        <v>-1028.5214901555719</v>
      </c>
      <c r="E4009">
        <f>-822.24507267981 -11.0205565810932 -304.919581572375</f>
        <v>-1138.1852108332782</v>
      </c>
      <c r="F4009">
        <f>-825.618379017998 -12.7956975318107 -393.934737256011</f>
        <v>-1232.3488138058196</v>
      </c>
      <c r="G4009">
        <f>-825.155813046012 -12.8578569699669 -483.030322003252</f>
        <v>-1321.0439920192309</v>
      </c>
      <c r="H4009">
        <f>-820.450645362304 -11.2298560129414 -607.513362588136</f>
        <v>-1439.1938639633813</v>
      </c>
      <c r="I4009">
        <f>-783.370559183764 -4.17956989045956 -681.543069905686</f>
        <v>-1469.0931989799096</v>
      </c>
      <c r="J4009" t="s">
        <v>43898</v>
      </c>
      <c r="K4009" t="s">
        <v>43899</v>
      </c>
      <c r="L4009" t="s">
        <v>43900</v>
      </c>
      <c r="M4009" t="s">
        <v>43901</v>
      </c>
      <c r="N4009">
        <f>-817.172337092942 -39.1337370133335 -552.887910073233</f>
        <v>-1409.1939841795086</v>
      </c>
      <c r="O4009">
        <f>-793.390468076752 -171.375765633081 -523.821495287153</f>
        <v>-1488.5877289969858</v>
      </c>
      <c r="P4009">
        <f>-795.289201417361 -206.461886838717 -231.662965833838</f>
        <v>-1233.4140540899159</v>
      </c>
      <c r="Q4009">
        <f>-638.835158603247 -54.0062569848532 -333.300987779428</f>
        <v>-1026.1424033675282</v>
      </c>
      <c r="R4009" t="s">
        <v>43902</v>
      </c>
      <c r="S4009" t="s">
        <v>43903</v>
      </c>
      <c r="T4009" t="s">
        <v>43904</v>
      </c>
      <c r="U4009" t="s">
        <v>43905</v>
      </c>
      <c r="V4009">
        <f>-765.638459547638 -85.1524419945301 -91.1514959944346</f>
        <v>-941.94239753660281</v>
      </c>
      <c r="W4009" t="s">
        <v>43906</v>
      </c>
      <c r="X4009" t="s">
        <v>43907</v>
      </c>
      <c r="Y4009" t="s">
        <v>43908</v>
      </c>
    </row>
    <row r="4010" spans="1:25" x14ac:dyDescent="0.3">
      <c r="A4010">
        <v>200450</v>
      </c>
      <c r="B4010" t="s">
        <v>43909</v>
      </c>
      <c r="C4010" t="s">
        <v>43910</v>
      </c>
      <c r="D4010">
        <f>-813.087472053623 -6.06808447740877 -206.563075959037</f>
        <v>-1025.7186324900688</v>
      </c>
      <c r="E4010">
        <f>-820.48548479031 -9.75727455636661 -304.839752185457</f>
        <v>-1135.0825115321336</v>
      </c>
      <c r="F4010">
        <f>-823.676923287019 -11.3826529788255 -393.86455227278</f>
        <v>-1228.9241285386245</v>
      </c>
      <c r="G4010">
        <f>-822.986023717904 -11.2999130681169 -482.958701672106</f>
        <v>-1317.2446384581269</v>
      </c>
      <c r="H4010">
        <f>-817.913024382575 -9.47719388566566 -607.424649259415</f>
        <v>-1434.8148675276557</v>
      </c>
      <c r="I4010">
        <f>-780.624781405015 -2.46550221580856 -681.353168495994</f>
        <v>-1464.4434521168178</v>
      </c>
      <c r="J4010" t="s">
        <v>43911</v>
      </c>
      <c r="K4010" t="s">
        <v>43912</v>
      </c>
      <c r="L4010" t="s">
        <v>43913</v>
      </c>
      <c r="M4010" t="s">
        <v>43914</v>
      </c>
      <c r="N4010">
        <f>-814.97592809978 -37.5011921493874 -552.84115586309</f>
        <v>-1405.3182761122575</v>
      </c>
      <c r="O4010">
        <f>-792.190403738788 -169.953227858737 -523.924058203026</f>
        <v>-1486.0676898005509</v>
      </c>
      <c r="P4010">
        <f>-794.952177466544 -205.632587004435 -231.844414882982</f>
        <v>-1232.429179353961</v>
      </c>
      <c r="Q4010">
        <f>-637.226197827815 -54.1363945512298 -332.949856639237</f>
        <v>-1024.3124490182818</v>
      </c>
      <c r="R4010" t="s">
        <v>43915</v>
      </c>
      <c r="S4010" t="s">
        <v>43916</v>
      </c>
      <c r="T4010" t="s">
        <v>43917</v>
      </c>
      <c r="U4010" t="s">
        <v>43918</v>
      </c>
      <c r="V4010">
        <f>-764.499562236528 -84.5681463283995 -91.0585108123183</f>
        <v>-940.12621937724589</v>
      </c>
      <c r="W4010" t="s">
        <v>43919</v>
      </c>
      <c r="X4010" t="s">
        <v>43920</v>
      </c>
      <c r="Y4010" t="s">
        <v>43921</v>
      </c>
    </row>
    <row r="4011" spans="1:25" x14ac:dyDescent="0.3">
      <c r="A4011">
        <v>200500</v>
      </c>
      <c r="B4011" t="s">
        <v>43922</v>
      </c>
      <c r="C4011" t="s">
        <v>43923</v>
      </c>
      <c r="D4011">
        <f>-809.473763772613 -4.10184620703035 -206.308492234272</f>
        <v>-1019.8841022139153</v>
      </c>
      <c r="E4011">
        <f>-816.659212759843 -7.42713577288532 -304.614064239189</f>
        <v>-1128.7004127719174</v>
      </c>
      <c r="F4011">
        <f>-819.575772463097 -8.74168641067513 -393.653369279849</f>
        <v>-1221.9708281536211</v>
      </c>
      <c r="G4011">
        <f>-818.526357750921 -8.37424524384187 -482.743293128374</f>
        <v>-1309.6438961231368</v>
      </c>
      <c r="H4011">
        <f>-812.865611143145 -6.18407031847028 -607.177780070041</f>
        <v>-1426.2274615316562</v>
      </c>
      <c r="I4011" t="s">
        <v>43924</v>
      </c>
      <c r="J4011" t="s">
        <v>43925</v>
      </c>
      <c r="K4011" t="s">
        <v>43926</v>
      </c>
      <c r="L4011" t="s">
        <v>43927</v>
      </c>
      <c r="M4011" t="s">
        <v>43928</v>
      </c>
      <c r="N4011">
        <f>-810.546360282463 -34.4348218019311 -552.681890184449</f>
        <v>-1397.6630722688431</v>
      </c>
      <c r="O4011">
        <f>-789.662943543076 -167.2664365371 -524.127203442119</f>
        <v>-1481.0565835222951</v>
      </c>
      <c r="P4011">
        <f>-794.178640007533 -204.235565874371 -232.229817364696</f>
        <v>-1230.6440232466</v>
      </c>
      <c r="Q4011">
        <f>-633.972336752623 -54.5111556696371 -332.066937740345</f>
        <v>-1020.5504301626052</v>
      </c>
      <c r="R4011" t="s">
        <v>43929</v>
      </c>
      <c r="S4011" t="s">
        <v>43930</v>
      </c>
      <c r="T4011" t="s">
        <v>43931</v>
      </c>
      <c r="U4011" t="s">
        <v>43932</v>
      </c>
      <c r="V4011">
        <f>-761.537532149868 -83.5204320458017 -90.8471307063495</f>
        <v>-935.90509490201919</v>
      </c>
      <c r="W4011" t="s">
        <v>43933</v>
      </c>
      <c r="X4011" t="s">
        <v>43934</v>
      </c>
      <c r="Y4011" t="s">
        <v>43935</v>
      </c>
    </row>
    <row r="4012" spans="1:25" x14ac:dyDescent="0.3">
      <c r="A4012">
        <v>200550</v>
      </c>
      <c r="B4012" t="s">
        <v>43936</v>
      </c>
      <c r="C4012" t="s">
        <v>43937</v>
      </c>
      <c r="D4012">
        <f>-807.358797012084 -2.99887757213673 -206.235456526356</f>
        <v>-1016.5931311105767</v>
      </c>
      <c r="E4012">
        <f>-814.47949526132 -6.18918038328434 -304.550007479662</f>
        <v>-1125.2186831242664</v>
      </c>
      <c r="F4012">
        <f>-817.315498146557 -7.38406504226191 -393.593582512026</f>
        <v>-1218.2931457008449</v>
      </c>
      <c r="G4012">
        <f>-816.163305804442 -6.90210527243084 -482.681707179974</f>
        <v>-1305.7471182568468</v>
      </c>
      <c r="H4012">
        <f>-810.33533509322 -4.55907342409546 -607.105853392386</f>
        <v>-1422.0002619097015</v>
      </c>
      <c r="I4012" t="s">
        <v>43938</v>
      </c>
      <c r="J4012" t="s">
        <v>43939</v>
      </c>
      <c r="K4012" t="s">
        <v>43940</v>
      </c>
      <c r="L4012" t="s">
        <v>43941</v>
      </c>
      <c r="M4012" t="s">
        <v>43942</v>
      </c>
      <c r="N4012">
        <f>-808.246692175322 -32.904093795338 -552.649331913575</f>
        <v>-1393.8001178842351</v>
      </c>
      <c r="O4012">
        <f>-788.13325447937 -165.893191667111 -524.277468349244</f>
        <v>-1478.3039144957252</v>
      </c>
      <c r="P4012">
        <f>-793.345862334379 -203.296104799186 -232.44691774546</f>
        <v>-1229.088884879025</v>
      </c>
      <c r="Q4012">
        <f>-632.165243395146 -54.2360307882944 -331.708309143992</f>
        <v>-1018.1095833274325</v>
      </c>
      <c r="R4012" t="s">
        <v>43943</v>
      </c>
      <c r="S4012" t="s">
        <v>43944</v>
      </c>
      <c r="T4012" t="s">
        <v>43945</v>
      </c>
      <c r="U4012" t="s">
        <v>43946</v>
      </c>
      <c r="V4012">
        <f>-759.775467693208 -82.7132532105088 -90.8218646536752</f>
        <v>-933.31058555739207</v>
      </c>
      <c r="W4012" t="s">
        <v>43947</v>
      </c>
      <c r="X4012" t="s">
        <v>43948</v>
      </c>
      <c r="Y4012" t="s">
        <v>43949</v>
      </c>
    </row>
    <row r="4013" spans="1:25" x14ac:dyDescent="0.3">
      <c r="A4013">
        <v>200600</v>
      </c>
      <c r="B4013" t="s">
        <v>43950</v>
      </c>
      <c r="C4013" t="s">
        <v>43951</v>
      </c>
      <c r="D4013">
        <f>-803.082746315865 -0.35244355731993 -206.319232519645</f>
        <v>-1009.75442239283</v>
      </c>
      <c r="E4013">
        <f>-810.248284923165 -3.34023033248536 -304.636916140749</f>
        <v>-1118.2254313963995</v>
      </c>
      <c r="F4013">
        <f>-813.115830892326 -4.35881327060338 -393.681737995126</f>
        <v>-1211.1563821580553</v>
      </c>
      <c r="G4013">
        <f>-811.984896461005 -3.71229564163173 -482.76910510125</f>
        <v>-1298.4662972038866</v>
      </c>
      <c r="H4013">
        <f>-806.175795488134 -1.15277807938173 -607.189812895804</f>
        <v>-1414.5183864633198</v>
      </c>
      <c r="I4013" t="s">
        <v>43952</v>
      </c>
      <c r="J4013" t="s">
        <v>43953</v>
      </c>
      <c r="K4013" t="s">
        <v>43954</v>
      </c>
      <c r="L4013" t="s">
        <v>43955</v>
      </c>
      <c r="M4013" t="s">
        <v>43956</v>
      </c>
      <c r="N4013">
        <f>-804.359147834011 -29.638558310927 -552.796958555882</f>
        <v>-1386.79466470082</v>
      </c>
      <c r="O4013">
        <f>-785.517453774015 -162.910037240951 -524.816303728527</f>
        <v>-1473.2437947434933</v>
      </c>
      <c r="P4013">
        <f>-791.412561152854 -201.107906219828 -233.101700322522</f>
        <v>-1225.6221676952041</v>
      </c>
      <c r="Q4013">
        <f>-628.935894451626 -53.0117146229408 -331.690248457644</f>
        <v>-1013.6378575322108</v>
      </c>
      <c r="R4013" t="s">
        <v>43957</v>
      </c>
      <c r="S4013" t="s">
        <v>43958</v>
      </c>
      <c r="T4013" t="s">
        <v>43959</v>
      </c>
      <c r="U4013" t="s">
        <v>43960</v>
      </c>
      <c r="V4013">
        <f>-756.423727085735 -80.7970298698361 -91.0205225616608</f>
        <v>-928.24127951723187</v>
      </c>
      <c r="W4013" t="s">
        <v>43961</v>
      </c>
      <c r="X4013" t="s">
        <v>43962</v>
      </c>
      <c r="Y4013" t="s">
        <v>43963</v>
      </c>
    </row>
    <row r="4014" spans="1:25" x14ac:dyDescent="0.3">
      <c r="A4014">
        <v>200650</v>
      </c>
      <c r="B4014" t="s">
        <v>43964</v>
      </c>
      <c r="C4014" t="s">
        <v>43965</v>
      </c>
      <c r="D4014" t="s">
        <v>43966</v>
      </c>
      <c r="E4014">
        <f>-808.489715679816 -2.16209858316961 -304.802511481677</f>
        <v>-1115.4543257446626</v>
      </c>
      <c r="F4014">
        <f>-811.404308381449 -3.12335892045962 -393.846477871978</f>
        <v>-1208.3741451738865</v>
      </c>
      <c r="G4014">
        <f>-810.344543485884 -2.43265742621202 -482.934269481115</f>
        <v>-1295.7114703932109</v>
      </c>
      <c r="H4014" t="s">
        <v>43967</v>
      </c>
      <c r="I4014" t="s">
        <v>43968</v>
      </c>
      <c r="J4014" t="s">
        <v>43969</v>
      </c>
      <c r="K4014" t="s">
        <v>43970</v>
      </c>
      <c r="L4014" t="s">
        <v>43971</v>
      </c>
      <c r="M4014" t="s">
        <v>43972</v>
      </c>
      <c r="N4014">
        <f>-802.904759397773 -28.3505403646484 -552.985397281859</f>
        <v>-1384.2406970442803</v>
      </c>
      <c r="O4014">
        <f>-784.559309483091 -161.703195728099 -525.143278815114</f>
        <v>-1471.405784026304</v>
      </c>
      <c r="P4014">
        <f>-790.443831650504 -200.307029988256 -233.481935889827</f>
        <v>-1224.2327975285871</v>
      </c>
      <c r="Q4014">
        <f>-627.672176645838 -52.4563522992263 -331.952250408899</f>
        <v>-1012.0807793539633</v>
      </c>
      <c r="R4014" t="s">
        <v>43973</v>
      </c>
      <c r="S4014" t="s">
        <v>43974</v>
      </c>
      <c r="T4014" t="s">
        <v>43975</v>
      </c>
      <c r="U4014" t="s">
        <v>43976</v>
      </c>
      <c r="V4014">
        <f>-755.130636977408 -79.9248143438929 -91.2246361177725</f>
        <v>-926.28008743907344</v>
      </c>
      <c r="W4014" t="s">
        <v>43977</v>
      </c>
      <c r="X4014" t="s">
        <v>43978</v>
      </c>
      <c r="Y4014" t="s">
        <v>43979</v>
      </c>
    </row>
    <row r="4015" spans="1:25" x14ac:dyDescent="0.3">
      <c r="A4015">
        <v>200700</v>
      </c>
      <c r="B4015" t="s">
        <v>43980</v>
      </c>
      <c r="C4015" t="s">
        <v>43981</v>
      </c>
      <c r="D4015" t="s">
        <v>43982</v>
      </c>
      <c r="E4015">
        <f>-806.526292897118 -0.577568196268658 -305.071079355626</f>
        <v>-1112.1749404490126</v>
      </c>
      <c r="F4015">
        <f>-809.454561782366 -1.50754747640235 -394.114842781171</f>
        <v>-1205.0769520399394</v>
      </c>
      <c r="G4015">
        <f>-808.447886367613 -0.809887735045095 -483.203270620405</f>
        <v>-1292.4610447230632</v>
      </c>
      <c r="H4015" t="s">
        <v>43983</v>
      </c>
      <c r="I4015" t="s">
        <v>43984</v>
      </c>
      <c r="J4015" t="s">
        <v>43985</v>
      </c>
      <c r="K4015" t="s">
        <v>43986</v>
      </c>
      <c r="L4015" t="s">
        <v>43987</v>
      </c>
      <c r="M4015" t="s">
        <v>43988</v>
      </c>
      <c r="N4015">
        <f>-801.210364916818 -26.7583189465008 -553.264179199225</f>
        <v>-1381.2328630625439</v>
      </c>
      <c r="O4015">
        <f>-783.354934818416 -160.219972231597 -525.596423206853</f>
        <v>-1469.171330256866</v>
      </c>
      <c r="P4015">
        <f>-789.430175578502 -199.186543249848 -233.987249258267</f>
        <v>-1222.603968086617</v>
      </c>
      <c r="Q4015">
        <f>-626.129474697543 -51.6939659048825 -332.118236361135</f>
        <v>-1009.9416769635604</v>
      </c>
      <c r="R4015" t="s">
        <v>43989</v>
      </c>
      <c r="S4015" t="s">
        <v>43990</v>
      </c>
      <c r="T4015" t="s">
        <v>43991</v>
      </c>
      <c r="U4015" t="s">
        <v>43992</v>
      </c>
      <c r="V4015">
        <f>-753.982889103873 -78.8389390373582 -91.4494133973429</f>
        <v>-924.27124153857415</v>
      </c>
      <c r="W4015" t="s">
        <v>43993</v>
      </c>
      <c r="X4015" t="s">
        <v>43994</v>
      </c>
      <c r="Y4015" t="s">
        <v>43995</v>
      </c>
    </row>
    <row r="4016" spans="1:25" x14ac:dyDescent="0.3">
      <c r="A4016">
        <v>200750</v>
      </c>
      <c r="B4016" t="s">
        <v>43996</v>
      </c>
      <c r="C4016" t="s">
        <v>43997</v>
      </c>
      <c r="D4016" t="s">
        <v>43998</v>
      </c>
      <c r="E4016">
        <f>-806.152379307541 -0.0995848094723897 -305.15482695273</f>
        <v>-1111.4067910697433</v>
      </c>
      <c r="F4016">
        <f>-809.069532717195 -1.03198098856433 -394.199041959874</f>
        <v>-1204.3005556656333</v>
      </c>
      <c r="G4016">
        <f>-808.068949505138 -0.345812941871145 -483.287587290605</f>
        <v>-1291.7023497376142</v>
      </c>
      <c r="H4016" t="s">
        <v>43999</v>
      </c>
      <c r="I4016" t="s">
        <v>44000</v>
      </c>
      <c r="J4016" t="s">
        <v>44001</v>
      </c>
      <c r="K4016" t="s">
        <v>44002</v>
      </c>
      <c r="L4016" t="s">
        <v>44003</v>
      </c>
      <c r="M4016" t="s">
        <v>44004</v>
      </c>
      <c r="N4016">
        <f>-800.850596517111 -26.3091879503202 -553.345017641563</f>
        <v>-1380.5048021089942</v>
      </c>
      <c r="O4016">
        <f>-782.936448964485 -159.778482845721 -525.71675863101</f>
        <v>-1468.4316904412158</v>
      </c>
      <c r="P4016">
        <f>-789.291231197967 -198.717304865094 -234.109857072326</f>
        <v>-1222.1183931353871</v>
      </c>
      <c r="Q4016">
        <f>-626.046457109235 -50.9964058026839 -331.990082618527</f>
        <v>-1009.0329455304459</v>
      </c>
      <c r="R4016" t="s">
        <v>44005</v>
      </c>
      <c r="S4016" t="s">
        <v>44006</v>
      </c>
      <c r="T4016" t="s">
        <v>44007</v>
      </c>
      <c r="U4016" t="s">
        <v>44008</v>
      </c>
      <c r="V4016">
        <f>-753.799064117245 -78.6093167506556 -91.5555828679384</f>
        <v>-923.963963735839</v>
      </c>
      <c r="W4016" t="s">
        <v>44009</v>
      </c>
      <c r="X4016" t="s">
        <v>44010</v>
      </c>
      <c r="Y4016" t="s">
        <v>44011</v>
      </c>
    </row>
    <row r="4017" spans="1:25" x14ac:dyDescent="0.3">
      <c r="A4017">
        <v>200800</v>
      </c>
      <c r="B4017" t="s">
        <v>44012</v>
      </c>
      <c r="C4017" t="s">
        <v>44013</v>
      </c>
      <c r="D4017" t="s">
        <v>44014</v>
      </c>
      <c r="E4017" t="s">
        <v>44015</v>
      </c>
      <c r="F4017" t="s">
        <v>44016</v>
      </c>
      <c r="G4017" t="s">
        <v>44017</v>
      </c>
      <c r="H4017" t="s">
        <v>44018</v>
      </c>
      <c r="I4017" t="s">
        <v>44019</v>
      </c>
      <c r="J4017" t="s">
        <v>44020</v>
      </c>
      <c r="K4017" t="s">
        <v>44021</v>
      </c>
      <c r="L4017" t="s">
        <v>44022</v>
      </c>
      <c r="M4017" t="s">
        <v>44023</v>
      </c>
      <c r="N4017">
        <f>-800.619016181534 -25.0520051351557 -553.329551805319</f>
        <v>-1379.0005731220087</v>
      </c>
      <c r="O4017">
        <f>-782.308276812384 -158.482932831915 -525.746632613897</f>
        <v>-1466.537842258196</v>
      </c>
      <c r="P4017">
        <f>-788.973780020129 -197.674741273113 -234.18061160638</f>
        <v>-1220.829132899622</v>
      </c>
      <c r="Q4017">
        <f>-626.403631991551 -48.9547363476037 -331.670063810142</f>
        <v>-1007.0284321492967</v>
      </c>
      <c r="R4017" t="s">
        <v>44024</v>
      </c>
      <c r="S4017" t="s">
        <v>44025</v>
      </c>
      <c r="T4017" t="s">
        <v>44026</v>
      </c>
      <c r="U4017" t="s">
        <v>44027</v>
      </c>
      <c r="V4017">
        <f>-753.716515894858 -76.4876862032349 -91.492111811059</f>
        <v>-921.69631390915197</v>
      </c>
      <c r="W4017" t="s">
        <v>44028</v>
      </c>
      <c r="X4017" t="s">
        <v>44029</v>
      </c>
      <c r="Y4017" t="s">
        <v>44030</v>
      </c>
    </row>
    <row r="4018" spans="1:25" x14ac:dyDescent="0.3">
      <c r="A4018">
        <v>200850</v>
      </c>
      <c r="B4018" t="s">
        <v>44031</v>
      </c>
      <c r="C4018" t="s">
        <v>44032</v>
      </c>
      <c r="D4018" t="s">
        <v>44033</v>
      </c>
      <c r="E4018" t="s">
        <v>44034</v>
      </c>
      <c r="F4018" t="s">
        <v>44035</v>
      </c>
      <c r="G4018" t="s">
        <v>44036</v>
      </c>
      <c r="H4018" t="s">
        <v>44037</v>
      </c>
      <c r="I4018" t="s">
        <v>44038</v>
      </c>
      <c r="J4018" t="s">
        <v>44039</v>
      </c>
      <c r="K4018" t="s">
        <v>44040</v>
      </c>
      <c r="L4018" t="s">
        <v>44041</v>
      </c>
      <c r="M4018" t="s">
        <v>44042</v>
      </c>
      <c r="N4018">
        <f>-800.780881064306 -24.568137386176 -553.270096842311</f>
        <v>-1378.6191152927929</v>
      </c>
      <c r="O4018">
        <f>-782.252223625404 -157.948013244922 -525.656574022263</f>
        <v>-1465.856810892589</v>
      </c>
      <c r="P4018">
        <f>-788.958359001596 -197.134058419374 -234.090617912845</f>
        <v>-1220.183035333815</v>
      </c>
      <c r="Q4018">
        <f>-626.724420774639 -47.9893361981846 -331.491086508131</f>
        <v>-1006.2048434809547</v>
      </c>
      <c r="R4018" t="s">
        <v>44043</v>
      </c>
      <c r="S4018" t="s">
        <v>44044</v>
      </c>
      <c r="T4018" t="s">
        <v>44045</v>
      </c>
      <c r="U4018" t="s">
        <v>44046</v>
      </c>
      <c r="V4018">
        <f>-753.834270797745 -75.9882186965326 -91.3987188144814</f>
        <v>-921.22120830875906</v>
      </c>
      <c r="W4018" t="s">
        <v>44047</v>
      </c>
      <c r="X4018" t="s">
        <v>44048</v>
      </c>
      <c r="Y4018" t="s">
        <v>44049</v>
      </c>
    </row>
    <row r="4019" spans="1:25" x14ac:dyDescent="0.3">
      <c r="A4019">
        <v>200900</v>
      </c>
      <c r="B4019" t="s">
        <v>44050</v>
      </c>
      <c r="C4019" t="s">
        <v>44051</v>
      </c>
      <c r="D4019" t="s">
        <v>44052</v>
      </c>
      <c r="E4019" t="s">
        <v>44053</v>
      </c>
      <c r="F4019" t="s">
        <v>44054</v>
      </c>
      <c r="G4019" t="s">
        <v>44055</v>
      </c>
      <c r="H4019" t="s">
        <v>44056</v>
      </c>
      <c r="I4019" t="s">
        <v>44057</v>
      </c>
      <c r="J4019" t="s">
        <v>44058</v>
      </c>
      <c r="K4019" t="s">
        <v>44059</v>
      </c>
      <c r="L4019" t="s">
        <v>44060</v>
      </c>
      <c r="M4019" t="s">
        <v>44061</v>
      </c>
      <c r="N4019">
        <f>-801.439161782248 -25.0000665661037 -553.183035189657</f>
        <v>-1379.6222635380086</v>
      </c>
      <c r="O4019">
        <f>-782.410389003362 -158.292443884004 -525.446293897287</f>
        <v>-1466.1491267846529</v>
      </c>
      <c r="P4019">
        <f>-789.203220915421 -196.977443162796 -233.815376068624</f>
        <v>-1219.9960401468411</v>
      </c>
      <c r="Q4019">
        <f>-627.337015590018 -47.508456585217 -331.330648708939</f>
        <v>-1006.176120884174</v>
      </c>
      <c r="R4019" t="s">
        <v>44062</v>
      </c>
      <c r="S4019" t="s">
        <v>44063</v>
      </c>
      <c r="T4019" t="s">
        <v>44064</v>
      </c>
      <c r="U4019" t="s">
        <v>44065</v>
      </c>
      <c r="V4019">
        <f>-754.080489956354 -75.9725150109932 -91.2355118680944</f>
        <v>-921.28851683544156</v>
      </c>
      <c r="W4019" t="s">
        <v>44066</v>
      </c>
      <c r="X4019" t="s">
        <v>44067</v>
      </c>
      <c r="Y4019" t="s">
        <v>44068</v>
      </c>
    </row>
    <row r="4020" spans="1:25" x14ac:dyDescent="0.3">
      <c r="A4020">
        <v>200950</v>
      </c>
      <c r="B4020" t="s">
        <v>44069</v>
      </c>
      <c r="C4020" t="s">
        <v>44070</v>
      </c>
      <c r="D4020" t="s">
        <v>44071</v>
      </c>
      <c r="E4020" t="s">
        <v>44072</v>
      </c>
      <c r="F4020" t="s">
        <v>44073</v>
      </c>
      <c r="G4020" t="s">
        <v>44074</v>
      </c>
      <c r="H4020" t="s">
        <v>44075</v>
      </c>
      <c r="I4020" t="s">
        <v>44076</v>
      </c>
      <c r="J4020" t="s">
        <v>44077</v>
      </c>
      <c r="K4020" t="s">
        <v>44078</v>
      </c>
      <c r="L4020" t="s">
        <v>44079</v>
      </c>
      <c r="M4020" t="s">
        <v>44080</v>
      </c>
      <c r="N4020">
        <f>-802.097848765097 -25.1402459088818 -553.150610069368</f>
        <v>-1380.3887047433468</v>
      </c>
      <c r="O4020">
        <f>-782.879769919095 -158.388458197481 -525.335790592617</f>
        <v>-1466.604018709193</v>
      </c>
      <c r="P4020">
        <f>-789.615245487266 -196.757988839375 -233.661918143006</f>
        <v>-1220.0351524696471</v>
      </c>
      <c r="Q4020">
        <f>-627.947670381086 -47.2198721753921 -331.400294355022</f>
        <v>-1006.5678369115001</v>
      </c>
      <c r="R4020" t="s">
        <v>44081</v>
      </c>
      <c r="S4020" t="s">
        <v>44082</v>
      </c>
      <c r="T4020" t="s">
        <v>44083</v>
      </c>
      <c r="U4020" t="s">
        <v>44084</v>
      </c>
      <c r="V4020">
        <f>-754.523195718481 -75.5678318657416 -91.1820879161158</f>
        <v>-921.27311550033846</v>
      </c>
      <c r="W4020" t="s">
        <v>44085</v>
      </c>
      <c r="X4020" t="s">
        <v>44086</v>
      </c>
      <c r="Y4020" t="s">
        <v>44087</v>
      </c>
    </row>
    <row r="4021" spans="1:25" x14ac:dyDescent="0.3">
      <c r="A4021">
        <v>201000</v>
      </c>
      <c r="B4021" t="s">
        <v>44088</v>
      </c>
      <c r="C4021" t="s">
        <v>44089</v>
      </c>
      <c r="D4021" t="s">
        <v>44090</v>
      </c>
      <c r="E4021" t="s">
        <v>44091</v>
      </c>
      <c r="F4021">
        <f>-811.625310479826 -0.0306001121707595 -393.998561578827</f>
        <v>-1205.6544721708237</v>
      </c>
      <c r="G4021" t="s">
        <v>44092</v>
      </c>
      <c r="H4021" t="s">
        <v>44093</v>
      </c>
      <c r="I4021" t="s">
        <v>44094</v>
      </c>
      <c r="J4021" t="s">
        <v>44095</v>
      </c>
      <c r="K4021" t="s">
        <v>44096</v>
      </c>
      <c r="L4021" t="s">
        <v>44097</v>
      </c>
      <c r="M4021" t="s">
        <v>44098</v>
      </c>
      <c r="N4021">
        <f>-803.643122592631 -26.2460655694581 -553.001319604026</f>
        <v>-1382.8905077661152</v>
      </c>
      <c r="O4021">
        <f>-784.200031403654 -159.398366087953 -524.915198644226</f>
        <v>-1468.513596135833</v>
      </c>
      <c r="P4021">
        <f>-790.527896844575 -197.175139374011 -233.154944966695</f>
        <v>-1220.857981185281</v>
      </c>
      <c r="Q4021">
        <f>-629.310072741219 -47.5140257464549 -331.446673700278</f>
        <v>-1008.2707721879518</v>
      </c>
      <c r="R4021" t="s">
        <v>44099</v>
      </c>
      <c r="S4021" t="s">
        <v>44100</v>
      </c>
      <c r="T4021" t="s">
        <v>44101</v>
      </c>
      <c r="U4021" t="s">
        <v>44102</v>
      </c>
      <c r="V4021">
        <f>-755.290564724134 -75.6373724567698 -91.067805327523</f>
        <v>-921.99574250842682</v>
      </c>
      <c r="W4021" t="s">
        <v>44103</v>
      </c>
      <c r="X4021" t="s">
        <v>44104</v>
      </c>
      <c r="Y4021" t="s">
        <v>44105</v>
      </c>
    </row>
    <row r="4022" spans="1:25" x14ac:dyDescent="0.3">
      <c r="A4022">
        <v>201050</v>
      </c>
      <c r="B4022" t="s">
        <v>44106</v>
      </c>
      <c r="C4022" t="s">
        <v>44107</v>
      </c>
      <c r="D4022" t="s">
        <v>44108</v>
      </c>
      <c r="E4022" t="s">
        <v>44109</v>
      </c>
      <c r="F4022">
        <f>-812.286738466658 -0.690584346262312 -393.925127248702</f>
        <v>-1206.9024500616224</v>
      </c>
      <c r="G4022">
        <f>-811.589415593655 -0.692108606407373 -483.019154556029</f>
        <v>-1295.3006787560912</v>
      </c>
      <c r="H4022" t="s">
        <v>44110</v>
      </c>
      <c r="I4022" t="s">
        <v>44111</v>
      </c>
      <c r="J4022" t="s">
        <v>44112</v>
      </c>
      <c r="K4022" t="s">
        <v>44113</v>
      </c>
      <c r="L4022" t="s">
        <v>44114</v>
      </c>
      <c r="M4022" t="s">
        <v>44115</v>
      </c>
      <c r="N4022">
        <f>-804.430388964743 -27.1721508336932 -552.88913475102</f>
        <v>-1384.4916745494561</v>
      </c>
      <c r="O4022">
        <f>-784.953984201852 -160.295455451961 -524.659245762549</f>
        <v>-1469.908685416362</v>
      </c>
      <c r="P4022">
        <f>-791.149146327096 -197.669628917137 -232.844180700972</f>
        <v>-1221.6629559452049</v>
      </c>
      <c r="Q4022">
        <f>-629.990717286121 -48.1371843700712 -331.428814955399</f>
        <v>-1009.5567166115911</v>
      </c>
      <c r="R4022" t="s">
        <v>44116</v>
      </c>
      <c r="S4022" t="s">
        <v>44117</v>
      </c>
      <c r="T4022" t="s">
        <v>44118</v>
      </c>
      <c r="U4022" t="s">
        <v>44119</v>
      </c>
      <c r="V4022">
        <f>-755.717343486852 -75.927328971313 -90.9743381629218</f>
        <v>-922.61901062108677</v>
      </c>
      <c r="W4022" t="s">
        <v>44120</v>
      </c>
      <c r="X4022" t="s">
        <v>44121</v>
      </c>
      <c r="Y4022" t="s">
        <v>44122</v>
      </c>
    </row>
    <row r="4023" spans="1:25" x14ac:dyDescent="0.3">
      <c r="A4023">
        <v>201100</v>
      </c>
      <c r="B4023" t="s">
        <v>44123</v>
      </c>
      <c r="C4023" t="s">
        <v>44124</v>
      </c>
      <c r="D4023" t="s">
        <v>44125</v>
      </c>
      <c r="E4023" t="s">
        <v>44126</v>
      </c>
      <c r="F4023">
        <f>-813.949516611771 -1.54767225512637 -393.889476561463</f>
        <v>-1209.3866654283604</v>
      </c>
      <c r="G4023">
        <f>-813.390515386023 -1.80310775019711 -482.984201425088</f>
        <v>-1298.1778245613082</v>
      </c>
      <c r="H4023">
        <f>-808.59238700685 -0.602249657350285 -607.46849328708</f>
        <v>-1416.6631299512803</v>
      </c>
      <c r="I4023" t="s">
        <v>44127</v>
      </c>
      <c r="J4023" t="s">
        <v>44128</v>
      </c>
      <c r="K4023" t="s">
        <v>44129</v>
      </c>
      <c r="L4023" t="s">
        <v>44130</v>
      </c>
      <c r="M4023" t="s">
        <v>44131</v>
      </c>
      <c r="N4023">
        <f>-806.408153409457 -28.5044976334752 -552.787745593916</f>
        <v>-1387.7003966368484</v>
      </c>
      <c r="O4023">
        <f>-787.057411295718 -161.589938807087 -524.297931718535</f>
        <v>-1472.9452818213399</v>
      </c>
      <c r="P4023">
        <f>-793.135031052651 -198.119890881515 -232.37355045479</f>
        <v>-1223.6284723889562</v>
      </c>
      <c r="Q4023">
        <f>-631.721462120893 -49.2339083597759 -331.517505855331</f>
        <v>-1012.4728763359999</v>
      </c>
      <c r="R4023" t="s">
        <v>44132</v>
      </c>
      <c r="S4023" t="s">
        <v>44133</v>
      </c>
      <c r="T4023" t="s">
        <v>44134</v>
      </c>
      <c r="U4023" t="s">
        <v>44135</v>
      </c>
      <c r="V4023">
        <f>-757.031439022519 -76.148262743108 -90.8604090817348</f>
        <v>-924.0401108473618</v>
      </c>
      <c r="W4023" t="s">
        <v>44136</v>
      </c>
      <c r="X4023" t="s">
        <v>44137</v>
      </c>
      <c r="Y4023" t="s">
        <v>44138</v>
      </c>
    </row>
    <row r="4024" spans="1:25" x14ac:dyDescent="0.3">
      <c r="A4024">
        <v>201150</v>
      </c>
      <c r="B4024" t="s">
        <v>44139</v>
      </c>
      <c r="C4024" t="s">
        <v>44140</v>
      </c>
      <c r="D4024" t="s">
        <v>44141</v>
      </c>
      <c r="E4024">
        <f>-811.410371364922 -0.0858577329015588 -304.902891151422</f>
        <v>-1116.3991202492455</v>
      </c>
      <c r="F4024">
        <f>-814.669435121784 -1.98200848497959 -393.919939905892</f>
        <v>-1210.5713835126555</v>
      </c>
      <c r="G4024">
        <f>-814.142376984264 -2.31244642533125 -483.014649971403</f>
        <v>-1299.4694733809984</v>
      </c>
      <c r="H4024">
        <f>-809.397107890961 -1.22633619063322 -607.501990963424</f>
        <v>-1418.1254350450181</v>
      </c>
      <c r="I4024" t="s">
        <v>44142</v>
      </c>
      <c r="J4024" t="s">
        <v>44143</v>
      </c>
      <c r="K4024" t="s">
        <v>44144</v>
      </c>
      <c r="L4024" t="s">
        <v>44145</v>
      </c>
      <c r="M4024" t="s">
        <v>44146</v>
      </c>
      <c r="N4024">
        <f>-807.234812080214 -29.0852185053968 -552.798198759748</f>
        <v>-1389.1182293453589</v>
      </c>
      <c r="O4024">
        <f>-788.062106693338 -162.182939112604 -524.238818593607</f>
        <v>-1474.483864399549</v>
      </c>
      <c r="P4024">
        <f>-794.130872182211 -198.579759855579 -232.297714677188</f>
        <v>-1225.008346714978</v>
      </c>
      <c r="Q4024">
        <f>-632.52574918524 -50.0251332943594 -331.626356226466</f>
        <v>-1014.1772387060654</v>
      </c>
      <c r="R4024" t="s">
        <v>44147</v>
      </c>
      <c r="S4024" t="s">
        <v>44148</v>
      </c>
      <c r="T4024" t="s">
        <v>44149</v>
      </c>
      <c r="U4024" t="s">
        <v>44150</v>
      </c>
      <c r="V4024">
        <f>-757.593485387684 -76.4961185587244 -90.8679547583836</f>
        <v>-924.95755870479206</v>
      </c>
      <c r="W4024" t="s">
        <v>44151</v>
      </c>
      <c r="X4024" t="s">
        <v>44152</v>
      </c>
      <c r="Y4024" t="s">
        <v>44153</v>
      </c>
    </row>
    <row r="4025" spans="1:25" x14ac:dyDescent="0.3">
      <c r="A4025">
        <v>201200</v>
      </c>
      <c r="B4025" t="s">
        <v>44154</v>
      </c>
      <c r="C4025" t="s">
        <v>44155</v>
      </c>
      <c r="D4025" t="s">
        <v>44156</v>
      </c>
      <c r="E4025">
        <f>-812.703124381381 -0.496744086177387 -305.008601099311</f>
        <v>-1118.2084695668696</v>
      </c>
      <c r="F4025">
        <f>-815.946993623112 -2.39599852826609 -394.02610501989</f>
        <v>-1212.3690971712681</v>
      </c>
      <c r="G4025">
        <f>-815.392793869683 -2.72278241782033 -483.120508691453</f>
        <v>-1301.2360849789563</v>
      </c>
      <c r="H4025">
        <f>-810.596388036254 -1.62695304572071 -607.605963996474</f>
        <v>-1419.8293050784487</v>
      </c>
      <c r="I4025" t="s">
        <v>44157</v>
      </c>
      <c r="J4025" t="s">
        <v>44158</v>
      </c>
      <c r="K4025" t="s">
        <v>44159</v>
      </c>
      <c r="L4025" t="s">
        <v>44160</v>
      </c>
      <c r="M4025" t="s">
        <v>44161</v>
      </c>
      <c r="N4025">
        <f>-808.554793356759 -29.505085163149 -552.907258758547</f>
        <v>-1390.9671372784551</v>
      </c>
      <c r="O4025">
        <f>-789.864246100904 -162.676288259468 -524.383363175497</f>
        <v>-1476.9238975358689</v>
      </c>
      <c r="P4025">
        <f>-796.17714564423 -199.034366751888 -232.442493987915</f>
        <v>-1227.654006384033</v>
      </c>
      <c r="Q4025">
        <f>-634.027854579994 -51.1529441478622 -331.888688194858</f>
        <v>-1017.0694869227142</v>
      </c>
      <c r="R4025" t="s">
        <v>44162</v>
      </c>
      <c r="S4025" t="s">
        <v>44163</v>
      </c>
      <c r="T4025" t="s">
        <v>44164</v>
      </c>
      <c r="U4025" t="s">
        <v>44165</v>
      </c>
      <c r="V4025">
        <f>-759.074193469514 -76.7290872080273 -90.8830423855992</f>
        <v>-926.68632306314043</v>
      </c>
      <c r="W4025" t="s">
        <v>44166</v>
      </c>
      <c r="X4025" t="s">
        <v>44167</v>
      </c>
      <c r="Y4025" t="s">
        <v>44168</v>
      </c>
    </row>
    <row r="4026" spans="1:25" x14ac:dyDescent="0.3">
      <c r="A4026">
        <v>201250</v>
      </c>
      <c r="B4026" t="s">
        <v>44169</v>
      </c>
      <c r="C4026" t="s">
        <v>44170</v>
      </c>
      <c r="D4026" t="s">
        <v>44171</v>
      </c>
      <c r="E4026">
        <f>-813.322747347907 -0.431555414148988 -305.061361306633</f>
        <v>-1118.8156640686889</v>
      </c>
      <c r="F4026">
        <f>-816.538430108234 -2.285219812984 -394.080840905177</f>
        <v>-1212.904490826395</v>
      </c>
      <c r="G4026">
        <f>-815.944519307305 -2.55839651934753 -483.175252863361</f>
        <v>-1301.6781686900135</v>
      </c>
      <c r="H4026">
        <f>-811.079813374849 -1.38070312604214 -607.657151449293</f>
        <v>-1420.1176679501841</v>
      </c>
      <c r="I4026" t="s">
        <v>44172</v>
      </c>
      <c r="J4026" t="s">
        <v>44173</v>
      </c>
      <c r="K4026" t="s">
        <v>44174</v>
      </c>
      <c r="L4026" t="s">
        <v>44175</v>
      </c>
      <c r="M4026" t="s">
        <v>44176</v>
      </c>
      <c r="N4026">
        <f>-809.109270428899 -29.3010977343145 -552.977413100196</f>
        <v>-1391.3877812634096</v>
      </c>
      <c r="O4026">
        <f>-790.62839469389 -162.524079021907 -524.538640003323</f>
        <v>-1477.69111371912</v>
      </c>
      <c r="P4026">
        <f>-797.191281584433 -198.942188277966 -232.610906755925</f>
        <v>-1228.7443766183239</v>
      </c>
      <c r="Q4026">
        <f>-634.713001783071 -51.3536118869538 -331.955272195536</f>
        <v>-1018.0218858655608</v>
      </c>
      <c r="R4026" t="s">
        <v>44177</v>
      </c>
      <c r="S4026" t="s">
        <v>44178</v>
      </c>
      <c r="T4026" t="s">
        <v>44179</v>
      </c>
      <c r="U4026" t="s">
        <v>44180</v>
      </c>
      <c r="V4026">
        <f>-759.747401616992 -76.6187404764656 -90.9086414714053</f>
        <v>-927.2747835648629</v>
      </c>
      <c r="W4026" t="s">
        <v>44181</v>
      </c>
      <c r="X4026" t="s">
        <v>44182</v>
      </c>
      <c r="Y4026" t="s">
        <v>44183</v>
      </c>
    </row>
    <row r="4027" spans="1:25" x14ac:dyDescent="0.3">
      <c r="A4027">
        <v>201300</v>
      </c>
      <c r="B4027" t="s">
        <v>44184</v>
      </c>
      <c r="C4027" t="s">
        <v>44185</v>
      </c>
      <c r="D4027" t="s">
        <v>44186</v>
      </c>
      <c r="E4027" t="s">
        <v>44187</v>
      </c>
      <c r="F4027">
        <f>-817.552050586813 -1.60182021114338 -394.15423037888</f>
        <v>-1213.3081011768363</v>
      </c>
      <c r="G4027">
        <f>-816.854545742453 -1.70337547955296 -483.248387871388</f>
        <v>-1301.8063090933938</v>
      </c>
      <c r="H4027">
        <f>-811.812780949489 -0.265425205083602 -607.720467625703</f>
        <v>-1419.7986737802757</v>
      </c>
      <c r="I4027" t="s">
        <v>44188</v>
      </c>
      <c r="J4027" t="s">
        <v>44189</v>
      </c>
      <c r="K4027" t="s">
        <v>44190</v>
      </c>
      <c r="L4027" t="s">
        <v>44191</v>
      </c>
      <c r="M4027" t="s">
        <v>44192</v>
      </c>
      <c r="N4027">
        <f>-809.975699126031 -28.3083825519293 -553.098807250635</f>
        <v>-1391.3828889285953</v>
      </c>
      <c r="O4027">
        <f>-791.875743893169 -161.640114589705 -524.940724855033</f>
        <v>-1478.456583337907</v>
      </c>
      <c r="P4027">
        <f>-798.77902104844 -198.59669839552 -233.088507269407</f>
        <v>-1230.464226713367</v>
      </c>
      <c r="Q4027">
        <f>-635.899537472122 -51.2223457926493 -332.093323604047</f>
        <v>-1019.2152068688183</v>
      </c>
      <c r="R4027" t="s">
        <v>44193</v>
      </c>
      <c r="S4027" t="s">
        <v>44194</v>
      </c>
      <c r="T4027" t="s">
        <v>44195</v>
      </c>
      <c r="U4027" t="s">
        <v>44196</v>
      </c>
      <c r="V4027">
        <f>-760.824034104698 -76.3759809842378 -91.0189831551036</f>
        <v>-928.21899824403931</v>
      </c>
      <c r="W4027" t="s">
        <v>44197</v>
      </c>
      <c r="X4027" t="s">
        <v>44198</v>
      </c>
      <c r="Y4027" t="s">
        <v>44199</v>
      </c>
    </row>
    <row r="4028" spans="1:25" x14ac:dyDescent="0.3">
      <c r="A4028">
        <v>201350</v>
      </c>
      <c r="B4028" t="s">
        <v>44200</v>
      </c>
      <c r="C4028" t="s">
        <v>44201</v>
      </c>
      <c r="D4028" t="s">
        <v>44202</v>
      </c>
      <c r="E4028" t="s">
        <v>44203</v>
      </c>
      <c r="F4028">
        <f>-817.884950892102 -1.43667627169157 -394.157259305681</f>
        <v>-1213.4788864694747</v>
      </c>
      <c r="G4028">
        <f>-817.139678811977 -1.45117962176232 -483.251056873895</f>
        <v>-1301.8419153076343</v>
      </c>
      <c r="H4028" t="s">
        <v>44204</v>
      </c>
      <c r="I4028" t="s">
        <v>44205</v>
      </c>
      <c r="J4028" t="s">
        <v>44206</v>
      </c>
      <c r="K4028" t="s">
        <v>44207</v>
      </c>
      <c r="L4028" t="s">
        <v>44208</v>
      </c>
      <c r="M4028" t="s">
        <v>44209</v>
      </c>
      <c r="N4028">
        <f>-810.225979268857 -27.9835526940881 -553.125604597564</f>
        <v>-1391.335136560509</v>
      </c>
      <c r="O4028">
        <f>-792.24068720228 -161.35718813528 -525.114241631481</f>
        <v>-1478.7121169690411</v>
      </c>
      <c r="P4028">
        <f>-799.215530012898 -198.652959641803 -233.306835471347</f>
        <v>-1231.1753251260479</v>
      </c>
      <c r="Q4028">
        <f>-636.24938636054 -51.2560777029004 -332.135257067603</f>
        <v>-1019.6407211310434</v>
      </c>
      <c r="R4028" t="s">
        <v>44210</v>
      </c>
      <c r="S4028" t="s">
        <v>44211</v>
      </c>
      <c r="T4028" t="s">
        <v>44212</v>
      </c>
      <c r="U4028" t="s">
        <v>44213</v>
      </c>
      <c r="V4028">
        <f>-761.192457089112 -76.5262606767747 -91.0518020717852</f>
        <v>-928.77051983767194</v>
      </c>
      <c r="W4028" t="s">
        <v>44214</v>
      </c>
      <c r="X4028" t="s">
        <v>44215</v>
      </c>
      <c r="Y4028" t="s">
        <v>44216</v>
      </c>
    </row>
    <row r="4029" spans="1:25" x14ac:dyDescent="0.3">
      <c r="A4029">
        <v>201400</v>
      </c>
      <c r="B4029" t="s">
        <v>44217</v>
      </c>
      <c r="C4029" t="s">
        <v>44218</v>
      </c>
      <c r="D4029" t="s">
        <v>44219</v>
      </c>
      <c r="E4029" t="s">
        <v>44220</v>
      </c>
      <c r="F4029">
        <f>-818.284623021296 -1.30174045234912 -394.10443535185</f>
        <v>-1213.6907988254952</v>
      </c>
      <c r="G4029">
        <f>-817.521723771024 -1.21177558697536 -483.197855903194</f>
        <v>-1301.9313552611934</v>
      </c>
      <c r="H4029" t="s">
        <v>44221</v>
      </c>
      <c r="I4029" t="s">
        <v>44222</v>
      </c>
      <c r="J4029" t="s">
        <v>44223</v>
      </c>
      <c r="K4029" t="s">
        <v>44224</v>
      </c>
      <c r="L4029" t="s">
        <v>44225</v>
      </c>
      <c r="M4029" t="s">
        <v>44226</v>
      </c>
      <c r="N4029">
        <f>-810.589438182244 -27.6554100790299 -553.104420670966</f>
        <v>-1391.3492689322397</v>
      </c>
      <c r="O4029">
        <f>-792.647140927234 -161.073622175731 -525.278503948635</f>
        <v>-1478.9992670515999</v>
      </c>
      <c r="P4029">
        <f>-799.525784115985 -198.776079724292 -233.521101014531</f>
        <v>-1231.8229648548079</v>
      </c>
      <c r="Q4029">
        <f>-636.474989207081 -51.3233351781123 -332.126220766</f>
        <v>-1019.9245451511933</v>
      </c>
      <c r="R4029" t="s">
        <v>44227</v>
      </c>
      <c r="S4029" t="s">
        <v>44228</v>
      </c>
      <c r="T4029" t="s">
        <v>44229</v>
      </c>
      <c r="U4029" t="s">
        <v>44230</v>
      </c>
      <c r="V4029">
        <f>-761.504757693872 -76.6342239955629 -91.077046409394</f>
        <v>-929.21602809882893</v>
      </c>
      <c r="W4029" t="s">
        <v>44231</v>
      </c>
      <c r="X4029" t="s">
        <v>44232</v>
      </c>
      <c r="Y4029" t="s">
        <v>44233</v>
      </c>
    </row>
    <row r="4030" spans="1:25" x14ac:dyDescent="0.3">
      <c r="A4030">
        <v>201450</v>
      </c>
      <c r="B4030" t="s">
        <v>44234</v>
      </c>
      <c r="C4030" t="s">
        <v>44235</v>
      </c>
      <c r="D4030" t="s">
        <v>44236</v>
      </c>
      <c r="E4030" t="s">
        <v>44237</v>
      </c>
      <c r="F4030">
        <f>-818.415843611767 -1.21695872752821 -394.069541880967</f>
        <v>-1213.7023442202621</v>
      </c>
      <c r="G4030">
        <f>-817.666166483083 -1.10317927051619 -483.163081785341</f>
        <v>-1301.9324275389401</v>
      </c>
      <c r="H4030" t="s">
        <v>44238</v>
      </c>
      <c r="I4030" t="s">
        <v>44239</v>
      </c>
      <c r="J4030" t="s">
        <v>44240</v>
      </c>
      <c r="K4030" t="s">
        <v>44241</v>
      </c>
      <c r="L4030" t="s">
        <v>44242</v>
      </c>
      <c r="M4030" t="s">
        <v>44243</v>
      </c>
      <c r="N4030">
        <f>-810.723427223559 -27.5227841674171 -553.07768495296</f>
        <v>-1391.3238963439362</v>
      </c>
      <c r="O4030">
        <f>-792.698923342012 -160.946243297778 -525.295198968244</f>
        <v>-1478.940365608034</v>
      </c>
      <c r="P4030">
        <f>-799.471242450992 -198.643210156988 -233.534436612579</f>
        <v>-1231.6488892205589</v>
      </c>
      <c r="Q4030">
        <f>-636.420471501059 -51.1846363746067 -332.131145150257</f>
        <v>-1019.7362530259227</v>
      </c>
      <c r="R4030" t="s">
        <v>44244</v>
      </c>
      <c r="S4030" t="s">
        <v>44245</v>
      </c>
      <c r="T4030" t="s">
        <v>44246</v>
      </c>
      <c r="U4030" t="s">
        <v>44247</v>
      </c>
      <c r="V4030">
        <f>-761.533000559523 -76.5101954864649 -91.0734670099772</f>
        <v>-929.11666305596509</v>
      </c>
      <c r="W4030" t="s">
        <v>44248</v>
      </c>
      <c r="X4030" t="s">
        <v>44249</v>
      </c>
      <c r="Y4030" t="s">
        <v>44250</v>
      </c>
    </row>
    <row r="4031" spans="1:25" x14ac:dyDescent="0.3">
      <c r="A4031">
        <v>201500</v>
      </c>
      <c r="B4031" t="s">
        <v>44251</v>
      </c>
      <c r="C4031" t="s">
        <v>44252</v>
      </c>
      <c r="D4031" t="s">
        <v>44253</v>
      </c>
      <c r="E4031" t="s">
        <v>44254</v>
      </c>
      <c r="F4031">
        <f>-818.568474675277 -0.709847877528546 -394.040667007517</f>
        <v>-1213.3189895603225</v>
      </c>
      <c r="G4031">
        <f>-817.854156410745 -0.517006960291155 -483.13441272561</f>
        <v>-1301.5055760966461</v>
      </c>
      <c r="H4031" t="s">
        <v>44255</v>
      </c>
      <c r="I4031" t="s">
        <v>44256</v>
      </c>
      <c r="J4031" t="s">
        <v>44257</v>
      </c>
      <c r="K4031" t="s">
        <v>44258</v>
      </c>
      <c r="L4031" t="s">
        <v>44259</v>
      </c>
      <c r="M4031" t="s">
        <v>44260</v>
      </c>
      <c r="N4031">
        <f>-810.872626964677 -26.8539914169046 -553.076213591816</f>
        <v>-1390.8028319733976</v>
      </c>
      <c r="O4031">
        <f>-792.612954293635 -160.261352341307 -525.375524494638</f>
        <v>-1478.2498311295799</v>
      </c>
      <c r="P4031">
        <f>-798.961168508789 -198.142453264196 -233.629118274861</f>
        <v>-1230.7327400478459</v>
      </c>
      <c r="Q4031">
        <f>-636.131485232374 -50.3706736949184 -332.122137882793</f>
        <v>-1018.6242968100854</v>
      </c>
      <c r="R4031" t="s">
        <v>44261</v>
      </c>
      <c r="S4031" t="s">
        <v>44262</v>
      </c>
      <c r="T4031" t="s">
        <v>44263</v>
      </c>
      <c r="U4031" t="s">
        <v>44264</v>
      </c>
      <c r="V4031">
        <f>-761.337388640251 -76.2433124540727 -91.0997685821445</f>
        <v>-928.68046967646819</v>
      </c>
      <c r="W4031" t="s">
        <v>44265</v>
      </c>
      <c r="X4031" t="s">
        <v>44266</v>
      </c>
      <c r="Y4031" t="s">
        <v>44267</v>
      </c>
    </row>
    <row r="4032" spans="1:25" x14ac:dyDescent="0.3">
      <c r="A4032">
        <v>201550</v>
      </c>
      <c r="B4032" t="s">
        <v>44268</v>
      </c>
      <c r="C4032" t="s">
        <v>44269</v>
      </c>
      <c r="D4032" t="s">
        <v>44270</v>
      </c>
      <c r="E4032" t="s">
        <v>44271</v>
      </c>
      <c r="F4032">
        <f>-818.590096992181 -0.482005576074243 -394.029590052934</f>
        <v>-1213.1016926211892</v>
      </c>
      <c r="G4032">
        <f>-817.899957233589 -0.263314679142013 -483.123488512614</f>
        <v>-1301.2867604253452</v>
      </c>
      <c r="H4032" t="s">
        <v>44272</v>
      </c>
      <c r="I4032" t="s">
        <v>44273</v>
      </c>
      <c r="J4032" t="s">
        <v>44274</v>
      </c>
      <c r="K4032" t="s">
        <v>44275</v>
      </c>
      <c r="L4032" t="s">
        <v>44276</v>
      </c>
      <c r="M4032" t="s">
        <v>44277</v>
      </c>
      <c r="N4032">
        <f>-810.891367039649 -26.5677018532067 -553.07485031423</f>
        <v>-1390.5339192070858</v>
      </c>
      <c r="O4032">
        <f>-792.434698297243 -159.948773734112 -525.426160463656</f>
        <v>-1477.8096324950111</v>
      </c>
      <c r="P4032">
        <f>-798.611087479465 -198.125353170857 -233.714588395782</f>
        <v>-1230.4510290461039</v>
      </c>
      <c r="Q4032">
        <f>-635.944262836656 -50.0668075090952 -332.045928246455</f>
        <v>-1018.0569985922061</v>
      </c>
      <c r="R4032" t="s">
        <v>44278</v>
      </c>
      <c r="S4032" t="s">
        <v>44279</v>
      </c>
      <c r="T4032" t="s">
        <v>44280</v>
      </c>
      <c r="U4032" t="s">
        <v>44281</v>
      </c>
      <c r="V4032">
        <f>-761.190035162055 -76.0801196847674 -91.1206307649632</f>
        <v>-928.39078561178553</v>
      </c>
      <c r="W4032" t="s">
        <v>44282</v>
      </c>
      <c r="X4032" t="s">
        <v>44283</v>
      </c>
      <c r="Y4032" t="s">
        <v>44284</v>
      </c>
    </row>
    <row r="4033" spans="1:25" x14ac:dyDescent="0.3">
      <c r="A4033">
        <v>201600</v>
      </c>
      <c r="B4033" t="s">
        <v>44285</v>
      </c>
      <c r="C4033" t="s">
        <v>44286</v>
      </c>
      <c r="D4033" t="s">
        <v>44287</v>
      </c>
      <c r="E4033" t="s">
        <v>44288</v>
      </c>
      <c r="F4033">
        <f>-818.596482133508 -0.529149466695799 -393.980809764173</f>
        <v>-1213.1064413643767</v>
      </c>
      <c r="G4033">
        <f>-817.954232228585 -0.350489309343402 -483.075112123896</f>
        <v>-1301.3798336618245</v>
      </c>
      <c r="H4033" t="s">
        <v>44289</v>
      </c>
      <c r="I4033" t="s">
        <v>44290</v>
      </c>
      <c r="J4033" t="s">
        <v>44291</v>
      </c>
      <c r="K4033" t="s">
        <v>44292</v>
      </c>
      <c r="L4033" t="s">
        <v>44293</v>
      </c>
      <c r="M4033" t="s">
        <v>44294</v>
      </c>
      <c r="N4033">
        <f>-810.894771029439 -26.673959519152 -553.014223516903</f>
        <v>-1390.5829540654941</v>
      </c>
      <c r="O4033">
        <f>-792.095665549357 -160.010510176882 -525.344497572968</f>
        <v>-1477.450673299207</v>
      </c>
      <c r="P4033">
        <f>-797.805945156818 -198.267254424947 -233.634059964189</f>
        <v>-1229.707259545954</v>
      </c>
      <c r="Q4033">
        <f>-635.337388574493 -49.8941232431912 -331.818923267562</f>
        <v>-1017.0504350852462</v>
      </c>
      <c r="R4033" t="s">
        <v>44295</v>
      </c>
      <c r="S4033" t="s">
        <v>44296</v>
      </c>
      <c r="T4033" t="s">
        <v>44297</v>
      </c>
      <c r="U4033" t="s">
        <v>44298</v>
      </c>
      <c r="V4033">
        <f>-760.736469659118 -76.1971432055259 -91.1228096332376</f>
        <v>-928.0564224978815</v>
      </c>
      <c r="W4033" t="s">
        <v>44299</v>
      </c>
      <c r="X4033" t="s">
        <v>44300</v>
      </c>
      <c r="Y4033" t="s">
        <v>44301</v>
      </c>
    </row>
    <row r="4034" spans="1:25" x14ac:dyDescent="0.3">
      <c r="A4034">
        <v>201650</v>
      </c>
      <c r="B4034" t="s">
        <v>44302</v>
      </c>
      <c r="C4034" t="s">
        <v>44303</v>
      </c>
      <c r="D4034" t="s">
        <v>44304</v>
      </c>
      <c r="E4034" t="s">
        <v>44305</v>
      </c>
      <c r="F4034">
        <f>-818.382106037898 -0.522292437827446 -393.957067433847</f>
        <v>-1212.8614659095724</v>
      </c>
      <c r="G4034">
        <f>-817.721047618058 -0.356680701401729 -483.051219744326</f>
        <v>-1301.1289480637856</v>
      </c>
      <c r="H4034" t="s">
        <v>44306</v>
      </c>
      <c r="I4034" t="s">
        <v>44307</v>
      </c>
      <c r="J4034" t="s">
        <v>44308</v>
      </c>
      <c r="K4034" t="s">
        <v>44309</v>
      </c>
      <c r="L4034" t="s">
        <v>44310</v>
      </c>
      <c r="M4034" t="s">
        <v>44311</v>
      </c>
      <c r="N4034">
        <f>-810.609888160339 -26.6853330972369 -552.983214050628</f>
        <v>-1390.2784353082038</v>
      </c>
      <c r="O4034">
        <f>-791.703283043396 -160.008395814231 -525.294725804224</f>
        <v>-1477.0064046618509</v>
      </c>
      <c r="P4034">
        <f>-797.322012150914 -198.176866261105 -233.570826256743</f>
        <v>-1229.0697046687621</v>
      </c>
      <c r="Q4034">
        <f>-634.854674471728 -49.827499656558 -331.793553887906</f>
        <v>-1016.475728016192</v>
      </c>
      <c r="R4034" t="s">
        <v>44312</v>
      </c>
      <c r="S4034" t="s">
        <v>44313</v>
      </c>
      <c r="T4034" t="s">
        <v>44314</v>
      </c>
      <c r="U4034" t="s">
        <v>44315</v>
      </c>
      <c r="V4034">
        <f>-760.409767200521 -76.0790709524382 -91.1196359257439</f>
        <v>-927.60847407870301</v>
      </c>
      <c r="W4034" t="s">
        <v>44316</v>
      </c>
      <c r="X4034" t="s">
        <v>44317</v>
      </c>
      <c r="Y4034" t="s">
        <v>44318</v>
      </c>
    </row>
    <row r="4035" spans="1:25" x14ac:dyDescent="0.3">
      <c r="A4035">
        <v>201700</v>
      </c>
      <c r="B4035" t="s">
        <v>44319</v>
      </c>
      <c r="C4035" t="s">
        <v>44320</v>
      </c>
      <c r="D4035" t="s">
        <v>44321</v>
      </c>
      <c r="E4035" t="s">
        <v>44322</v>
      </c>
      <c r="F4035">
        <f>-817.892793904543 -0.402267373566247 -393.935309333371</f>
        <v>-1212.2303706114803</v>
      </c>
      <c r="G4035">
        <f>-817.176905540057 -0.263439139079082 -483.029135338602</f>
        <v>-1300.4694800177381</v>
      </c>
      <c r="H4035" t="s">
        <v>44323</v>
      </c>
      <c r="I4035" t="s">
        <v>44324</v>
      </c>
      <c r="J4035" t="s">
        <v>44325</v>
      </c>
      <c r="K4035" t="s">
        <v>44326</v>
      </c>
      <c r="L4035" t="s">
        <v>44327</v>
      </c>
      <c r="M4035" t="s">
        <v>44328</v>
      </c>
      <c r="N4035">
        <f>-809.97475916826 -26.608179216661 -552.945711224777</f>
        <v>-1389.528649609698</v>
      </c>
      <c r="O4035">
        <f>-790.896124227033 -159.896703415665 -525.230110926239</f>
        <v>-1476.0229385689372</v>
      </c>
      <c r="P4035">
        <f>-796.41041342122 -198.002200549621 -233.496125440969</f>
        <v>-1227.9087394118101</v>
      </c>
      <c r="Q4035">
        <f>-634.037138777779 -49.6291631672112 -331.838447472474</f>
        <v>-1015.5047494174642</v>
      </c>
      <c r="R4035" t="s">
        <v>44329</v>
      </c>
      <c r="S4035" t="s">
        <v>44330</v>
      </c>
      <c r="T4035" t="s">
        <v>44331</v>
      </c>
      <c r="U4035" t="s">
        <v>44332</v>
      </c>
      <c r="V4035">
        <f>-759.921004443213 -75.9571416040874 -91.095400402726</f>
        <v>-926.97354645002633</v>
      </c>
      <c r="W4035" t="s">
        <v>44333</v>
      </c>
      <c r="X4035" t="s">
        <v>44334</v>
      </c>
      <c r="Y4035" t="s">
        <v>44335</v>
      </c>
    </row>
    <row r="4036" spans="1:25" x14ac:dyDescent="0.3">
      <c r="A4036">
        <v>201750</v>
      </c>
      <c r="B4036" t="s">
        <v>44336</v>
      </c>
      <c r="C4036" t="s">
        <v>44337</v>
      </c>
      <c r="D4036" t="s">
        <v>44338</v>
      </c>
      <c r="E4036" t="s">
        <v>44339</v>
      </c>
      <c r="F4036">
        <f>-817.613204495362 -0.257298079026668 -393.951428067647</f>
        <v>-1211.8219306420356</v>
      </c>
      <c r="G4036">
        <f>-816.845068667682 -0.12737372934771 -483.044907466764</f>
        <v>-1300.0173498637937</v>
      </c>
      <c r="H4036" t="s">
        <v>44340</v>
      </c>
      <c r="I4036" t="s">
        <v>44341</v>
      </c>
      <c r="J4036" t="s">
        <v>44342</v>
      </c>
      <c r="K4036" t="s">
        <v>44343</v>
      </c>
      <c r="L4036" t="s">
        <v>44344</v>
      </c>
      <c r="M4036" t="s">
        <v>44345</v>
      </c>
      <c r="N4036">
        <f>-809.587982380574 -26.4802426501951 -552.952574885967</f>
        <v>-1389.020799916736</v>
      </c>
      <c r="O4036">
        <f>-790.455700960763 -159.760518669982 -525.23587377453</f>
        <v>-1475.4520934052748</v>
      </c>
      <c r="P4036">
        <f>-795.970381015322 -197.907971219434 -233.507203827604</f>
        <v>-1227.3855560623599</v>
      </c>
      <c r="Q4036">
        <f>-633.608558139367 -49.5157942145772 -331.839940634829</f>
        <v>-1014.9642929887732</v>
      </c>
      <c r="R4036" t="s">
        <v>44346</v>
      </c>
      <c r="S4036" t="s">
        <v>44347</v>
      </c>
      <c r="T4036" t="s">
        <v>44348</v>
      </c>
      <c r="U4036" t="s">
        <v>44349</v>
      </c>
      <c r="V4036">
        <f>-759.7778291385 -75.8607400515746 -91.0968919819004</f>
        <v>-926.73546117197498</v>
      </c>
      <c r="W4036" t="s">
        <v>44350</v>
      </c>
      <c r="X4036" t="s">
        <v>44351</v>
      </c>
      <c r="Y4036" t="s">
        <v>44352</v>
      </c>
    </row>
    <row r="4037" spans="1:25" x14ac:dyDescent="0.3">
      <c r="A4037">
        <v>201800</v>
      </c>
      <c r="B4037" t="s">
        <v>44353</v>
      </c>
      <c r="C4037" t="s">
        <v>44354</v>
      </c>
      <c r="D4037" t="s">
        <v>44355</v>
      </c>
      <c r="E4037" t="s">
        <v>44356</v>
      </c>
      <c r="F4037">
        <f>-816.917027856404 -0.022871723547496 -393.972069121037</f>
        <v>-1210.9119687009886</v>
      </c>
      <c r="G4037" t="s">
        <v>44357</v>
      </c>
      <c r="H4037" t="s">
        <v>44358</v>
      </c>
      <c r="I4037" t="s">
        <v>44359</v>
      </c>
      <c r="J4037" t="s">
        <v>44360</v>
      </c>
      <c r="K4037" t="s">
        <v>44361</v>
      </c>
      <c r="L4037" t="s">
        <v>44362</v>
      </c>
      <c r="M4037" t="s">
        <v>44363</v>
      </c>
      <c r="N4037">
        <f>-808.629027179915 -26.142114653861 -552.976987884446</f>
        <v>-1387.7481297182221</v>
      </c>
      <c r="O4037">
        <f>-789.504958295147 -159.438987334389 -525.324350659795</f>
        <v>-1474.2682962893309</v>
      </c>
      <c r="P4037">
        <f>-795.191207625354 -197.705723739326 -233.614630979041</f>
        <v>-1226.5115623437209</v>
      </c>
      <c r="Q4037">
        <f>-632.734035757207 -49.1969026259941 -331.612905985455</f>
        <v>-1013.5438443686561</v>
      </c>
      <c r="R4037" t="s">
        <v>44364</v>
      </c>
      <c r="S4037" t="s">
        <v>44365</v>
      </c>
      <c r="T4037" t="s">
        <v>44366</v>
      </c>
      <c r="U4037" t="s">
        <v>44367</v>
      </c>
      <c r="V4037">
        <f>-759.542433491324 -75.8407608021439 -91.0821462445195</f>
        <v>-926.46534053798746</v>
      </c>
      <c r="W4037" t="s">
        <v>44368</v>
      </c>
      <c r="X4037" t="s">
        <v>44369</v>
      </c>
      <c r="Y4037" t="s">
        <v>44370</v>
      </c>
    </row>
    <row r="4038" spans="1:25" x14ac:dyDescent="0.3">
      <c r="A4038">
        <v>201850</v>
      </c>
      <c r="B4038" t="s">
        <v>44371</v>
      </c>
      <c r="C4038" t="s">
        <v>44372</v>
      </c>
      <c r="D4038" t="s">
        <v>44373</v>
      </c>
      <c r="E4038" t="s">
        <v>44374</v>
      </c>
      <c r="F4038" t="s">
        <v>44375</v>
      </c>
      <c r="G4038" t="s">
        <v>44376</v>
      </c>
      <c r="H4038" t="s">
        <v>44377</v>
      </c>
      <c r="I4038" t="s">
        <v>44378</v>
      </c>
      <c r="J4038" t="s">
        <v>44379</v>
      </c>
      <c r="K4038" t="s">
        <v>44380</v>
      </c>
      <c r="L4038" t="s">
        <v>44381</v>
      </c>
      <c r="M4038" t="s">
        <v>44382</v>
      </c>
      <c r="N4038">
        <f>-808.065092316127 -25.7677006377301 -553.021839171146</f>
        <v>-1386.854632125003</v>
      </c>
      <c r="O4038">
        <f>-789.020971171267 -159.090022105963 -525.457300801211</f>
        <v>-1473.5682940784409</v>
      </c>
      <c r="P4038">
        <f>-794.877274074972 -197.595608067005 -233.782481384855</f>
        <v>-1226.2553635268318</v>
      </c>
      <c r="Q4038">
        <f>-632.262167918671 -49.0769213774784 -331.503544283258</f>
        <v>-1012.8426335794074</v>
      </c>
      <c r="R4038" t="s">
        <v>44383</v>
      </c>
      <c r="S4038" t="s">
        <v>44384</v>
      </c>
      <c r="T4038" t="s">
        <v>44385</v>
      </c>
      <c r="U4038" t="s">
        <v>44386</v>
      </c>
      <c r="V4038">
        <f>-759.377313877929 -75.8112901437532 -91.0966993335218</f>
        <v>-926.28530335520406</v>
      </c>
      <c r="W4038" t="s">
        <v>44387</v>
      </c>
      <c r="X4038" t="s">
        <v>44388</v>
      </c>
      <c r="Y4038" t="s">
        <v>44389</v>
      </c>
    </row>
    <row r="4039" spans="1:25" x14ac:dyDescent="0.3">
      <c r="A4039">
        <v>201900</v>
      </c>
      <c r="B4039" t="s">
        <v>44390</v>
      </c>
      <c r="C4039" t="s">
        <v>44391</v>
      </c>
      <c r="D4039" t="s">
        <v>44392</v>
      </c>
      <c r="E4039" t="s">
        <v>44393</v>
      </c>
      <c r="F4039" t="s">
        <v>44394</v>
      </c>
      <c r="G4039" t="s">
        <v>44395</v>
      </c>
      <c r="H4039" t="s">
        <v>44396</v>
      </c>
      <c r="I4039" t="s">
        <v>44397</v>
      </c>
      <c r="J4039" t="s">
        <v>44398</v>
      </c>
      <c r="K4039" t="s">
        <v>44399</v>
      </c>
      <c r="L4039" t="s">
        <v>44400</v>
      </c>
      <c r="M4039" t="s">
        <v>44401</v>
      </c>
      <c r="N4039">
        <f>-806.987417221487 -24.5461260114771 -553.125238404448</f>
        <v>-1384.6587816374122</v>
      </c>
      <c r="O4039">
        <f>-788.264865413466 -157.992750352086 -525.937775349213</f>
        <v>-1472.195391114765</v>
      </c>
      <c r="P4039">
        <f>-794.791926164424 -197.299136121937 -234.384057996275</f>
        <v>-1226.475120282636</v>
      </c>
      <c r="Q4039">
        <f>-631.452690519408 -49.0427532553616 -331.292333210268</f>
        <v>-1011.7877769850376</v>
      </c>
      <c r="R4039" t="s">
        <v>44402</v>
      </c>
      <c r="S4039" t="s">
        <v>44403</v>
      </c>
      <c r="T4039" t="s">
        <v>44404</v>
      </c>
      <c r="U4039" t="s">
        <v>44405</v>
      </c>
      <c r="V4039">
        <f>-759.188791177733 -75.4015247401101 -91.1189103952946</f>
        <v>-925.70922631313772</v>
      </c>
      <c r="W4039" t="s">
        <v>44406</v>
      </c>
      <c r="X4039" t="s">
        <v>44407</v>
      </c>
      <c r="Y4039" t="s">
        <v>44408</v>
      </c>
    </row>
    <row r="4040" spans="1:25" x14ac:dyDescent="0.3">
      <c r="A4040">
        <v>201950</v>
      </c>
      <c r="B4040" t="s">
        <v>44409</v>
      </c>
      <c r="C4040" t="s">
        <v>44410</v>
      </c>
      <c r="D4040" t="s">
        <v>44411</v>
      </c>
      <c r="E4040" t="s">
        <v>44412</v>
      </c>
      <c r="F4040" t="s">
        <v>44413</v>
      </c>
      <c r="G4040" t="s">
        <v>44414</v>
      </c>
      <c r="H4040" t="s">
        <v>44415</v>
      </c>
      <c r="I4040" t="s">
        <v>44416</v>
      </c>
      <c r="J4040" t="s">
        <v>44417</v>
      </c>
      <c r="K4040" t="s">
        <v>44418</v>
      </c>
      <c r="L4040" t="s">
        <v>44419</v>
      </c>
      <c r="M4040" t="s">
        <v>44420</v>
      </c>
      <c r="N4040">
        <f>-806.502735998347 -23.9134379405932 -553.171792694761</f>
        <v>-1383.5879666337014</v>
      </c>
      <c r="O4040">
        <f>-787.971638231702 -157.426303909749 -526.172489959852</f>
        <v>-1471.5704321013029</v>
      </c>
      <c r="P4040">
        <f>-794.809079884498 -197.180604146621 -234.686551337419</f>
        <v>-1226.6762353685381</v>
      </c>
      <c r="Q4040">
        <f>-631.141321655414 -49.0273715512511 -331.197413284619</f>
        <v>-1011.3661064912842</v>
      </c>
      <c r="R4040" t="s">
        <v>44421</v>
      </c>
      <c r="S4040" t="s">
        <v>44422</v>
      </c>
      <c r="T4040" t="s">
        <v>44423</v>
      </c>
      <c r="U4040" t="s">
        <v>44424</v>
      </c>
      <c r="V4040">
        <f>-759.061467697589 -75.2125837010013 -91.1116606764343</f>
        <v>-925.38571207502468</v>
      </c>
      <c r="W4040" t="s">
        <v>44425</v>
      </c>
      <c r="X4040" t="s">
        <v>44426</v>
      </c>
      <c r="Y4040" t="s">
        <v>44427</v>
      </c>
    </row>
    <row r="4041" spans="1:25" x14ac:dyDescent="0.3">
      <c r="A4041">
        <v>202000</v>
      </c>
      <c r="B4041" t="s">
        <v>44428</v>
      </c>
      <c r="C4041" t="s">
        <v>44429</v>
      </c>
      <c r="D4041" t="s">
        <v>44430</v>
      </c>
      <c r="E4041" t="s">
        <v>44431</v>
      </c>
      <c r="F4041" t="s">
        <v>44432</v>
      </c>
      <c r="G4041" t="s">
        <v>44433</v>
      </c>
      <c r="H4041" t="s">
        <v>44434</v>
      </c>
      <c r="I4041" t="s">
        <v>44435</v>
      </c>
      <c r="J4041" t="s">
        <v>44436</v>
      </c>
      <c r="K4041" t="s">
        <v>44437</v>
      </c>
      <c r="L4041" t="s">
        <v>44438</v>
      </c>
      <c r="M4041" t="s">
        <v>44439</v>
      </c>
      <c r="N4041">
        <f>-805.76047873853 -22.7208240068016 -553.198863856716</f>
        <v>-1381.6801666020476</v>
      </c>
      <c r="O4041">
        <f>-787.551051365365 -156.334679185054 -526.46516192056</f>
        <v>-1470.350892470979</v>
      </c>
      <c r="P4041">
        <f>-794.865363619838 -196.563813016358 -235.055922136432</f>
        <v>-1226.4850987726281</v>
      </c>
      <c r="Q4041">
        <f>-630.746092717623 -48.6294128824588 -331.134923077185</f>
        <v>-1010.5104286772669</v>
      </c>
      <c r="R4041" t="s">
        <v>44440</v>
      </c>
      <c r="S4041" t="s">
        <v>44441</v>
      </c>
      <c r="T4041" t="s">
        <v>44442</v>
      </c>
      <c r="U4041" t="s">
        <v>44443</v>
      </c>
      <c r="V4041">
        <f>-758.68855799277 -74.6999244905157 -91.1112427126575</f>
        <v>-924.49972519594326</v>
      </c>
      <c r="W4041" t="s">
        <v>44444</v>
      </c>
      <c r="X4041" t="s">
        <v>44445</v>
      </c>
      <c r="Y4041" t="s">
        <v>44446</v>
      </c>
    </row>
    <row r="4042" spans="1:25" x14ac:dyDescent="0.3">
      <c r="A4042">
        <v>202050</v>
      </c>
      <c r="B4042" t="s">
        <v>44447</v>
      </c>
      <c r="C4042" t="s">
        <v>44448</v>
      </c>
      <c r="D4042" t="s">
        <v>44449</v>
      </c>
      <c r="E4042" t="s">
        <v>44450</v>
      </c>
      <c r="F4042" t="s">
        <v>44451</v>
      </c>
      <c r="G4042" t="s">
        <v>44452</v>
      </c>
      <c r="H4042" t="s">
        <v>44453</v>
      </c>
      <c r="I4042" t="s">
        <v>44454</v>
      </c>
      <c r="J4042" t="s">
        <v>44455</v>
      </c>
      <c r="K4042" t="s">
        <v>44456</v>
      </c>
      <c r="L4042" t="s">
        <v>44457</v>
      </c>
      <c r="M4042" t="s">
        <v>44458</v>
      </c>
      <c r="N4042">
        <f>-805.362082001538 -22.0682707498365 -553.21869623671</f>
        <v>-1380.6490489880846</v>
      </c>
      <c r="O4042">
        <f>-787.276967291943 -155.708825017374 -526.546343093474</f>
        <v>-1469.532135402791</v>
      </c>
      <c r="P4042">
        <f>-794.73274936862 -196.113966821255 -235.165128513397</f>
        <v>-1226.0118447032719</v>
      </c>
      <c r="Q4042">
        <f>-630.499283698757 -48.189394004084 -331.063997151768</f>
        <v>-1009.752674854609</v>
      </c>
      <c r="R4042" t="s">
        <v>44459</v>
      </c>
      <c r="S4042" t="s">
        <v>44460</v>
      </c>
      <c r="T4042" t="s">
        <v>44461</v>
      </c>
      <c r="U4042" t="s">
        <v>44462</v>
      </c>
      <c r="V4042">
        <f>-758.614831514208 -74.399229585808 -91.109552314799</f>
        <v>-924.12361341481505</v>
      </c>
      <c r="W4042" t="s">
        <v>44463</v>
      </c>
      <c r="X4042" t="s">
        <v>44464</v>
      </c>
      <c r="Y4042" t="s">
        <v>44465</v>
      </c>
    </row>
    <row r="4043" spans="1:25" x14ac:dyDescent="0.3">
      <c r="A4043">
        <v>202100</v>
      </c>
      <c r="B4043" t="s">
        <v>44466</v>
      </c>
      <c r="C4043" t="s">
        <v>44467</v>
      </c>
      <c r="D4043" t="s">
        <v>44468</v>
      </c>
      <c r="E4043" t="s">
        <v>44469</v>
      </c>
      <c r="F4043" t="s">
        <v>44470</v>
      </c>
      <c r="G4043" t="s">
        <v>44471</v>
      </c>
      <c r="H4043" t="s">
        <v>44472</v>
      </c>
      <c r="I4043" t="s">
        <v>44473</v>
      </c>
      <c r="J4043" t="s">
        <v>44474</v>
      </c>
      <c r="K4043" t="s">
        <v>44475</v>
      </c>
      <c r="L4043" t="s">
        <v>44476</v>
      </c>
      <c r="M4043" t="s">
        <v>44477</v>
      </c>
      <c r="N4043">
        <f>-804.6941669259 -21.1684289954308 -553.268033946997</f>
        <v>-1379.1306298683278</v>
      </c>
      <c r="O4043">
        <f>-786.561087359429 -154.791900722027 -526.599606554698</f>
        <v>-1467.9525946361541</v>
      </c>
      <c r="P4043">
        <f>-794.49585142453 -195.404158728696 -235.259766651881</f>
        <v>-1225.159776805107</v>
      </c>
      <c r="Q4043">
        <f>-629.877194245597 -47.6622115764077 -330.778733912167</f>
        <v>-1008.3181397341717</v>
      </c>
      <c r="R4043" t="s">
        <v>44478</v>
      </c>
      <c r="S4043" t="s">
        <v>44479</v>
      </c>
      <c r="T4043" t="s">
        <v>44480</v>
      </c>
      <c r="U4043" t="s">
        <v>44481</v>
      </c>
      <c r="V4043">
        <f>-758.401186040905 -74.0236862550297 -91.1384646653879</f>
        <v>-923.56333696132265</v>
      </c>
      <c r="W4043" t="s">
        <v>44482</v>
      </c>
      <c r="X4043" t="s">
        <v>44483</v>
      </c>
      <c r="Y4043" t="s">
        <v>44484</v>
      </c>
    </row>
    <row r="4044" spans="1:25" x14ac:dyDescent="0.3">
      <c r="A4044">
        <v>202150</v>
      </c>
      <c r="B4044" t="s">
        <v>44485</v>
      </c>
      <c r="C4044" t="s">
        <v>44486</v>
      </c>
      <c r="D4044" t="s">
        <v>44487</v>
      </c>
      <c r="E4044" t="s">
        <v>44488</v>
      </c>
      <c r="F4044" t="s">
        <v>44489</v>
      </c>
      <c r="G4044" t="s">
        <v>44490</v>
      </c>
      <c r="H4044" t="s">
        <v>44491</v>
      </c>
      <c r="I4044" t="s">
        <v>44492</v>
      </c>
      <c r="J4044" t="s">
        <v>44493</v>
      </c>
      <c r="K4044" t="s">
        <v>44494</v>
      </c>
      <c r="L4044" t="s">
        <v>44495</v>
      </c>
      <c r="M4044" t="s">
        <v>44496</v>
      </c>
      <c r="N4044">
        <f>-804.417179434632 -21.2298954939554 -553.233937362831</f>
        <v>-1378.8810122914183</v>
      </c>
      <c r="O4044">
        <f>-786.105173454648 -154.812796015201 -526.492357333138</f>
        <v>-1467.4103268029871</v>
      </c>
      <c r="P4044">
        <f>-793.982066390099 -195.511582739473 -235.163056994936</f>
        <v>-1224.656706124508</v>
      </c>
      <c r="Q4044">
        <f>-629.420233582837 -47.6229360290326 -330.552886090702</f>
        <v>-1007.5960557025717</v>
      </c>
      <c r="R4044" t="s">
        <v>44497</v>
      </c>
      <c r="S4044" t="s">
        <v>44498</v>
      </c>
      <c r="T4044" t="s">
        <v>44499</v>
      </c>
      <c r="U4044" t="s">
        <v>44500</v>
      </c>
      <c r="V4044">
        <f>-758.21426450156 -73.8346283742477 -91.1406922629653</f>
        <v>-923.18958513877305</v>
      </c>
      <c r="W4044" t="s">
        <v>44501</v>
      </c>
      <c r="X4044" t="s">
        <v>44502</v>
      </c>
      <c r="Y4044" t="s">
        <v>44503</v>
      </c>
    </row>
    <row r="4045" spans="1:25" x14ac:dyDescent="0.3">
      <c r="A4045">
        <v>202200</v>
      </c>
      <c r="B4045" t="s">
        <v>44504</v>
      </c>
      <c r="C4045" t="s">
        <v>44505</v>
      </c>
      <c r="D4045" t="s">
        <v>44506</v>
      </c>
      <c r="E4045" t="s">
        <v>44507</v>
      </c>
      <c r="F4045" t="s">
        <v>44508</v>
      </c>
      <c r="G4045" t="s">
        <v>44509</v>
      </c>
      <c r="H4045" t="s">
        <v>44510</v>
      </c>
      <c r="I4045" t="s">
        <v>44511</v>
      </c>
      <c r="J4045" t="s">
        <v>44512</v>
      </c>
      <c r="K4045" t="s">
        <v>44513</v>
      </c>
      <c r="L4045" t="s">
        <v>44514</v>
      </c>
      <c r="M4045" t="s">
        <v>44515</v>
      </c>
      <c r="N4045">
        <f>-803.521981035214 -21.8875790670365 -553.133823292881</f>
        <v>-1378.5433833951315</v>
      </c>
      <c r="O4045">
        <f>-784.782783225869 -155.367215070874 -526.118167074441</f>
        <v>-1466.2681653711838</v>
      </c>
      <c r="P4045">
        <f>-792.530633109505 -195.70231513644 -234.734932395868</f>
        <v>-1222.9678806418128</v>
      </c>
      <c r="Q4045">
        <f>-628.45313962459 -47.3984160687763 -330.31407546146</f>
        <v>-1006.1656311548263</v>
      </c>
      <c r="R4045" t="s">
        <v>44516</v>
      </c>
      <c r="S4045" t="s">
        <v>44517</v>
      </c>
      <c r="T4045" t="s">
        <v>44518</v>
      </c>
      <c r="U4045" t="s">
        <v>44519</v>
      </c>
      <c r="V4045">
        <f>-757.674663248642 -73.7591350152534 -91.096756395083</f>
        <v>-922.53055465897842</v>
      </c>
      <c r="W4045" t="s">
        <v>44520</v>
      </c>
      <c r="X4045" t="s">
        <v>44521</v>
      </c>
      <c r="Y4045" t="s">
        <v>44522</v>
      </c>
    </row>
    <row r="4046" spans="1:25" x14ac:dyDescent="0.3">
      <c r="A4046">
        <v>202250</v>
      </c>
      <c r="B4046" t="s">
        <v>44523</v>
      </c>
      <c r="C4046" t="s">
        <v>44524</v>
      </c>
      <c r="D4046" t="s">
        <v>44525</v>
      </c>
      <c r="E4046" t="s">
        <v>44526</v>
      </c>
      <c r="F4046" t="s">
        <v>44527</v>
      </c>
      <c r="G4046" t="s">
        <v>44528</v>
      </c>
      <c r="H4046" t="s">
        <v>44529</v>
      </c>
      <c r="I4046" t="s">
        <v>44530</v>
      </c>
      <c r="J4046" t="s">
        <v>44531</v>
      </c>
      <c r="K4046" t="s">
        <v>44532</v>
      </c>
      <c r="L4046" t="s">
        <v>44533</v>
      </c>
      <c r="M4046" t="s">
        <v>44534</v>
      </c>
      <c r="N4046">
        <f>-802.942925845857 -22.2743100313089 -553.129709859158</f>
        <v>-1378.346945736324</v>
      </c>
      <c r="O4046">
        <f>-783.912347229366 -155.68177803904 -525.968383293608</f>
        <v>-1465.562508562014</v>
      </c>
      <c r="P4046">
        <f>-791.81117729525 -195.741225255552 -234.551047570298</f>
        <v>-1222.1034501211</v>
      </c>
      <c r="Q4046">
        <f>-627.997216930945 -47.2435389718329 -330.281249524225</f>
        <v>-1005.5220054270029</v>
      </c>
      <c r="R4046" t="s">
        <v>44535</v>
      </c>
      <c r="S4046" t="s">
        <v>44536</v>
      </c>
      <c r="T4046" t="s">
        <v>44537</v>
      </c>
      <c r="U4046" t="s">
        <v>44538</v>
      </c>
      <c r="V4046">
        <f>-757.423487694744 -73.971516872377 -91.0828153855282</f>
        <v>-922.47781995264927</v>
      </c>
      <c r="W4046" t="s">
        <v>44539</v>
      </c>
      <c r="X4046" t="s">
        <v>44540</v>
      </c>
      <c r="Y4046" t="s">
        <v>44541</v>
      </c>
    </row>
    <row r="4047" spans="1:25" x14ac:dyDescent="0.3">
      <c r="A4047">
        <v>202300</v>
      </c>
      <c r="B4047" t="s">
        <v>44542</v>
      </c>
      <c r="C4047" t="s">
        <v>44543</v>
      </c>
      <c r="D4047" t="s">
        <v>44544</v>
      </c>
      <c r="E4047" t="s">
        <v>44545</v>
      </c>
      <c r="F4047" t="s">
        <v>44546</v>
      </c>
      <c r="G4047" t="s">
        <v>44547</v>
      </c>
      <c r="H4047" t="s">
        <v>44548</v>
      </c>
      <c r="I4047" t="s">
        <v>44549</v>
      </c>
      <c r="J4047" t="s">
        <v>44550</v>
      </c>
      <c r="K4047" t="s">
        <v>44551</v>
      </c>
      <c r="L4047" t="s">
        <v>44552</v>
      </c>
      <c r="M4047" t="s">
        <v>44553</v>
      </c>
      <c r="N4047">
        <f>-801.610908814408 -23.149527100715 -553.265828348887</f>
        <v>-1378.02626426401</v>
      </c>
      <c r="O4047">
        <f>-781.913808143317 -156.396940073113 -525.81805997818</f>
        <v>-1464.12880819461</v>
      </c>
      <c r="P4047">
        <f>-789.71263134179 -196.273138241301 -234.372893176922</f>
        <v>-1220.358662760013</v>
      </c>
      <c r="Q4047">
        <f>-626.408007218165 -47.0324249067205 -329.817288315706</f>
        <v>-1003.2577204405916</v>
      </c>
      <c r="R4047" t="s">
        <v>44554</v>
      </c>
      <c r="S4047" t="s">
        <v>44555</v>
      </c>
      <c r="T4047" t="s">
        <v>44556</v>
      </c>
      <c r="U4047" t="s">
        <v>44557</v>
      </c>
      <c r="V4047">
        <f>-757.597238803795 -74.3147490030537 -91.0312219648043</f>
        <v>-922.94320977165307</v>
      </c>
      <c r="W4047" t="s">
        <v>44558</v>
      </c>
      <c r="X4047" t="s">
        <v>44559</v>
      </c>
      <c r="Y4047" t="s">
        <v>44560</v>
      </c>
    </row>
    <row r="4048" spans="1:25" x14ac:dyDescent="0.3">
      <c r="A4048">
        <v>202350</v>
      </c>
      <c r="B4048" t="s">
        <v>44561</v>
      </c>
      <c r="C4048" t="s">
        <v>44562</v>
      </c>
      <c r="D4048" t="s">
        <v>44563</v>
      </c>
      <c r="E4048" t="s">
        <v>44564</v>
      </c>
      <c r="F4048" t="s">
        <v>44565</v>
      </c>
      <c r="G4048" t="s">
        <v>44566</v>
      </c>
      <c r="H4048" t="s">
        <v>44567</v>
      </c>
      <c r="I4048" t="s">
        <v>44568</v>
      </c>
      <c r="J4048" t="s">
        <v>44569</v>
      </c>
      <c r="K4048" t="s">
        <v>44570</v>
      </c>
      <c r="L4048" t="s">
        <v>44571</v>
      </c>
      <c r="M4048" t="s">
        <v>44572</v>
      </c>
      <c r="N4048">
        <f>-800.481910307893 -23.2817602472785 -553.48691034652</f>
        <v>-1377.2505809016916</v>
      </c>
      <c r="O4048">
        <f>-780.391397474028 -156.441145900406 -525.825581496871</f>
        <v>-1462.6581248713051</v>
      </c>
      <c r="P4048">
        <f>-787.780367978927 -196.524564841626 -234.398229929637</f>
        <v>-1218.7031627501899</v>
      </c>
      <c r="Q4048">
        <f>-624.606416126089 -46.8512952127556 -329.387873558729</f>
        <v>-1000.8455848975736</v>
      </c>
      <c r="R4048" t="s">
        <v>44573</v>
      </c>
      <c r="S4048" t="s">
        <v>44574</v>
      </c>
      <c r="T4048" t="s">
        <v>44575</v>
      </c>
      <c r="U4048" t="s">
        <v>44576</v>
      </c>
      <c r="V4048">
        <f>-758.22474504277 -74.2018670580686 -90.9338550966395</f>
        <v>-923.3604671974781</v>
      </c>
      <c r="W4048" t="s">
        <v>44577</v>
      </c>
      <c r="X4048" t="s">
        <v>44578</v>
      </c>
      <c r="Y4048" t="s">
        <v>44579</v>
      </c>
    </row>
    <row r="4049" spans="1:25" x14ac:dyDescent="0.3">
      <c r="A4049">
        <v>202400</v>
      </c>
      <c r="B4049" t="s">
        <v>44580</v>
      </c>
      <c r="C4049" t="s">
        <v>44581</v>
      </c>
      <c r="D4049" t="s">
        <v>44582</v>
      </c>
      <c r="E4049" t="s">
        <v>44583</v>
      </c>
      <c r="F4049" t="s">
        <v>44584</v>
      </c>
      <c r="G4049" t="s">
        <v>44585</v>
      </c>
      <c r="H4049" t="s">
        <v>44586</v>
      </c>
      <c r="I4049" t="s">
        <v>44587</v>
      </c>
      <c r="J4049" t="s">
        <v>44588</v>
      </c>
      <c r="K4049" t="s">
        <v>44589</v>
      </c>
      <c r="L4049" t="s">
        <v>44590</v>
      </c>
      <c r="M4049" t="s">
        <v>44591</v>
      </c>
      <c r="N4049">
        <f>-798.633298382732 -22.6683500295094 -553.692448902843</f>
        <v>-1374.9940973150844</v>
      </c>
      <c r="O4049">
        <f>-778.066675942888 -155.723144639542 -525.862639541375</f>
        <v>-1459.6524601238048</v>
      </c>
      <c r="P4049">
        <f>-785.105273070753 -196.264268496389 -234.489872649105</f>
        <v>-1215.8594142162469</v>
      </c>
      <c r="Q4049">
        <f>-622.003503393438 -46.0008636552594 -328.668143908041</f>
        <v>-996.67251095673839</v>
      </c>
      <c r="R4049" t="s">
        <v>44592</v>
      </c>
      <c r="S4049" t="s">
        <v>44593</v>
      </c>
      <c r="T4049" t="s">
        <v>44594</v>
      </c>
      <c r="U4049" t="s">
        <v>44595</v>
      </c>
      <c r="V4049">
        <f>-759.220153770972 -73.3652562704034 -90.6453220427321</f>
        <v>-923.23073208410756</v>
      </c>
      <c r="W4049" t="s">
        <v>44596</v>
      </c>
      <c r="X4049" t="s">
        <v>44597</v>
      </c>
      <c r="Y4049" t="s">
        <v>44598</v>
      </c>
    </row>
    <row r="4050" spans="1:25" x14ac:dyDescent="0.3">
      <c r="A4050">
        <v>202450</v>
      </c>
      <c r="B4050" t="s">
        <v>44599</v>
      </c>
      <c r="C4050" t="s">
        <v>44600</v>
      </c>
      <c r="D4050" t="s">
        <v>44601</v>
      </c>
      <c r="E4050" t="s">
        <v>44602</v>
      </c>
      <c r="F4050" t="s">
        <v>44603</v>
      </c>
      <c r="G4050" t="s">
        <v>44604</v>
      </c>
      <c r="H4050" t="s">
        <v>44605</v>
      </c>
      <c r="I4050" t="s">
        <v>44606</v>
      </c>
      <c r="J4050" t="s">
        <v>44607</v>
      </c>
      <c r="K4050" t="s">
        <v>44608</v>
      </c>
      <c r="L4050" t="s">
        <v>44609</v>
      </c>
      <c r="M4050" t="s">
        <v>44610</v>
      </c>
      <c r="N4050">
        <f>-792.438454399105 -19.7924291161444 -553.147799082791</f>
        <v>-1365.3786825980405</v>
      </c>
      <c r="O4050">
        <f>-770.645451412477 -152.652116874001 -525.399571849431</f>
        <v>-1448.697140135909</v>
      </c>
      <c r="P4050">
        <f>-776.386098147533 -195.971743739409 -234.39836340888</f>
        <v>-1206.7562052958219</v>
      </c>
      <c r="Q4050">
        <f>-614.124773766852 -43.1456778795979 -325.866005350326</f>
        <v>-983.13645699677591</v>
      </c>
      <c r="R4050" t="s">
        <v>44611</v>
      </c>
      <c r="S4050" t="s">
        <v>44612</v>
      </c>
      <c r="T4050" t="s">
        <v>44613</v>
      </c>
      <c r="U4050" t="s">
        <v>44614</v>
      </c>
      <c r="V4050">
        <f>-760.721777838991 -70.6397685896181 -89.6631215742032</f>
        <v>-921.02466800281229</v>
      </c>
      <c r="W4050" t="s">
        <v>44615</v>
      </c>
      <c r="X4050" t="s">
        <v>44616</v>
      </c>
      <c r="Y4050" t="s">
        <v>44617</v>
      </c>
    </row>
    <row r="4051" spans="1:25" x14ac:dyDescent="0.3">
      <c r="A4051">
        <v>202500</v>
      </c>
      <c r="B4051" t="s">
        <v>44618</v>
      </c>
      <c r="C4051" t="s">
        <v>44619</v>
      </c>
      <c r="D4051" t="s">
        <v>44620</v>
      </c>
      <c r="E4051" t="s">
        <v>44621</v>
      </c>
      <c r="F4051" t="s">
        <v>44622</v>
      </c>
      <c r="G4051" t="s">
        <v>44623</v>
      </c>
      <c r="H4051" t="s">
        <v>44624</v>
      </c>
      <c r="I4051" t="s">
        <v>44625</v>
      </c>
      <c r="J4051" t="s">
        <v>44626</v>
      </c>
      <c r="K4051" t="s">
        <v>44627</v>
      </c>
      <c r="L4051" t="s">
        <v>44628</v>
      </c>
      <c r="M4051" t="s">
        <v>44629</v>
      </c>
      <c r="N4051">
        <f>-785.473401614654 -12.747385894121 -551.719324480862</f>
        <v>-1349.940111989637</v>
      </c>
      <c r="O4051">
        <f>-762.500245478605 -145.424562522929 -524.068228492057</f>
        <v>-1431.993036493591</v>
      </c>
      <c r="P4051">
        <f>-764.606221786545 -192.903337152739 -233.667597186868</f>
        <v>-1191.1771561261521</v>
      </c>
      <c r="Q4051">
        <f>-604.262938712319 -36.2578798587444 -322.002586100605</f>
        <v>-962.52340467166846</v>
      </c>
      <c r="R4051" t="s">
        <v>44630</v>
      </c>
      <c r="S4051" t="s">
        <v>44631</v>
      </c>
      <c r="T4051" t="s">
        <v>44632</v>
      </c>
      <c r="U4051" t="s">
        <v>44633</v>
      </c>
      <c r="V4051">
        <f>-762.128777534385 -65.0909573033882 -88.552590703952</f>
        <v>-915.77232554172519</v>
      </c>
      <c r="W4051" t="s">
        <v>44634</v>
      </c>
      <c r="X4051" t="s">
        <v>44635</v>
      </c>
      <c r="Y4051" t="s">
        <v>44636</v>
      </c>
    </row>
    <row r="4052" spans="1:25" x14ac:dyDescent="0.3">
      <c r="A4052">
        <v>202550</v>
      </c>
      <c r="B4052" t="s">
        <v>44637</v>
      </c>
      <c r="C4052" t="s">
        <v>44638</v>
      </c>
      <c r="D4052" t="s">
        <v>44639</v>
      </c>
      <c r="E4052" t="s">
        <v>44640</v>
      </c>
      <c r="F4052" t="s">
        <v>44641</v>
      </c>
      <c r="G4052" t="s">
        <v>44642</v>
      </c>
      <c r="H4052" t="s">
        <v>44643</v>
      </c>
      <c r="I4052" t="s">
        <v>44644</v>
      </c>
      <c r="J4052" t="s">
        <v>44645</v>
      </c>
      <c r="K4052" t="s">
        <v>44646</v>
      </c>
      <c r="L4052" t="s">
        <v>44647</v>
      </c>
      <c r="M4052" t="s">
        <v>44648</v>
      </c>
      <c r="N4052">
        <f>-782.56953564167 -8.04767725032889 -551.078300007364</f>
        <v>-1341.6955128993627</v>
      </c>
      <c r="O4052">
        <f>-759.256989439217 -140.654259964656 -523.362224017033</f>
        <v>-1423.2734734209062</v>
      </c>
      <c r="P4052">
        <f>-759.151587232462 -190.080669107808 -233.279054332408</f>
        <v>-1182.5113106726781</v>
      </c>
      <c r="Q4052">
        <f>-599.862577231307 -31.6545534584695 -320.33691669442</f>
        <v>-951.85404738419652</v>
      </c>
      <c r="R4052" t="s">
        <v>44649</v>
      </c>
      <c r="S4052" t="s">
        <v>44650</v>
      </c>
      <c r="T4052" t="s">
        <v>44651</v>
      </c>
      <c r="U4052" t="s">
        <v>44652</v>
      </c>
      <c r="V4052">
        <f>-762.686585382291 -61.3891083750921 -88.2304741195378</f>
        <v>-912.30616787692088</v>
      </c>
      <c r="W4052" t="s">
        <v>44653</v>
      </c>
      <c r="X4052" t="s">
        <v>44654</v>
      </c>
      <c r="Y4052" t="s">
        <v>44655</v>
      </c>
    </row>
    <row r="4053" spans="1:25" x14ac:dyDescent="0.3">
      <c r="A4053">
        <v>202600</v>
      </c>
      <c r="B4053" t="s">
        <v>44656</v>
      </c>
      <c r="C4053" t="s">
        <v>44657</v>
      </c>
      <c r="D4053" t="s">
        <v>44658</v>
      </c>
      <c r="E4053" t="s">
        <v>44659</v>
      </c>
      <c r="F4053" t="s">
        <v>44660</v>
      </c>
      <c r="G4053" t="s">
        <v>44661</v>
      </c>
      <c r="H4053" t="s">
        <v>44662</v>
      </c>
      <c r="I4053" t="s">
        <v>44663</v>
      </c>
      <c r="J4053" t="s">
        <v>44664</v>
      </c>
      <c r="K4053" t="s">
        <v>44665</v>
      </c>
      <c r="L4053" t="s">
        <v>44666</v>
      </c>
      <c r="M4053" t="s">
        <v>44667</v>
      </c>
      <c r="N4053" t="s">
        <v>44668</v>
      </c>
      <c r="O4053">
        <f>-755.065738283907 -130.809328909211 -522.347717507972</f>
        <v>-1408.2227847010899</v>
      </c>
      <c r="P4053">
        <f>-752.31689361446 -182.705730129703 -232.709224072954</f>
        <v>-1167.7318478171169</v>
      </c>
      <c r="Q4053">
        <f>-594.898498961356 -21.8404197191014 -318.689862041433</f>
        <v>-935.42878072189046</v>
      </c>
      <c r="R4053" t="s">
        <v>44669</v>
      </c>
      <c r="S4053" t="s">
        <v>44670</v>
      </c>
      <c r="T4053" t="s">
        <v>44671</v>
      </c>
      <c r="U4053" t="s">
        <v>44672</v>
      </c>
      <c r="V4053">
        <f>-764.153532424483 -53.6105154208661 -87.966276693568</f>
        <v>-905.73032453891722</v>
      </c>
      <c r="W4053" t="s">
        <v>44673</v>
      </c>
      <c r="X4053" t="s">
        <v>44674</v>
      </c>
      <c r="Y4053" t="s">
        <v>44675</v>
      </c>
    </row>
    <row r="4054" spans="1:25" x14ac:dyDescent="0.3">
      <c r="A4054">
        <v>202650</v>
      </c>
      <c r="B4054" t="s">
        <v>44676</v>
      </c>
      <c r="C4054" t="s">
        <v>44677</v>
      </c>
      <c r="D4054" t="s">
        <v>44678</v>
      </c>
      <c r="E4054" t="s">
        <v>44679</v>
      </c>
      <c r="F4054" t="s">
        <v>44680</v>
      </c>
      <c r="G4054" t="s">
        <v>44681</v>
      </c>
      <c r="H4054" t="s">
        <v>44682</v>
      </c>
      <c r="I4054" t="s">
        <v>44683</v>
      </c>
      <c r="J4054" t="s">
        <v>44684</v>
      </c>
      <c r="K4054" t="s">
        <v>44685</v>
      </c>
      <c r="L4054" t="s">
        <v>44686</v>
      </c>
      <c r="M4054" t="s">
        <v>44687</v>
      </c>
      <c r="N4054" t="s">
        <v>44688</v>
      </c>
      <c r="O4054">
        <f>-753.191070975095 -125.589152766562 -522.138072134101</f>
        <v>-1400.9182958757578</v>
      </c>
      <c r="P4054">
        <f>-750.293762544904 -178.566540170187 -232.69671486348</f>
        <v>-1161.557017578571</v>
      </c>
      <c r="Q4054">
        <f>-593.335011934614 -17.3174652910177 -318.798706121691</f>
        <v>-929.45118334732274</v>
      </c>
      <c r="R4054" t="s">
        <v>44689</v>
      </c>
      <c r="S4054" t="s">
        <v>44690</v>
      </c>
      <c r="T4054" t="s">
        <v>44691</v>
      </c>
      <c r="U4054" t="s">
        <v>44692</v>
      </c>
      <c r="V4054">
        <f>-765.042556775314 -49.2414698948298 -87.9977015336012</f>
        <v>-902.28172820374505</v>
      </c>
      <c r="W4054" t="s">
        <v>44693</v>
      </c>
      <c r="X4054" t="s">
        <v>44694</v>
      </c>
      <c r="Y4054" t="s">
        <v>44695</v>
      </c>
    </row>
    <row r="4055" spans="1:25" x14ac:dyDescent="0.3">
      <c r="A4055">
        <v>202700</v>
      </c>
      <c r="B4055" t="s">
        <v>44696</v>
      </c>
      <c r="C4055" t="s">
        <v>44697</v>
      </c>
      <c r="D4055" t="s">
        <v>44698</v>
      </c>
      <c r="E4055" t="s">
        <v>44699</v>
      </c>
      <c r="F4055" t="s">
        <v>44700</v>
      </c>
      <c r="G4055" t="s">
        <v>44701</v>
      </c>
      <c r="H4055" t="s">
        <v>44702</v>
      </c>
      <c r="I4055" t="s">
        <v>44703</v>
      </c>
      <c r="J4055" t="s">
        <v>44704</v>
      </c>
      <c r="K4055" t="s">
        <v>44705</v>
      </c>
      <c r="L4055" t="s">
        <v>44706</v>
      </c>
      <c r="M4055" t="s">
        <v>44707</v>
      </c>
      <c r="N4055" t="s">
        <v>44708</v>
      </c>
      <c r="O4055">
        <f>-749.100137535908 -114.279041640347 -522.251182644539</f>
        <v>-1385.630361820794</v>
      </c>
      <c r="P4055">
        <f>-749.460885975946 -170.922752067837 -233.490824980297</f>
        <v>-1153.8744630240799</v>
      </c>
      <c r="Q4055">
        <f>-592.365149115 -10.0146483627032 -319.980014365157</f>
        <v>-922.35981184286015</v>
      </c>
      <c r="R4055" t="s">
        <v>44709</v>
      </c>
      <c r="S4055" t="s">
        <v>44710</v>
      </c>
      <c r="T4055" t="s">
        <v>44711</v>
      </c>
      <c r="U4055" t="s">
        <v>44712</v>
      </c>
      <c r="V4055">
        <f>-766.530575469086 -39.9762065669172 -88.3516204827434</f>
        <v>-894.85840251874663</v>
      </c>
      <c r="W4055" t="s">
        <v>44713</v>
      </c>
      <c r="X4055" t="s">
        <v>44714</v>
      </c>
      <c r="Y4055" t="s">
        <v>44715</v>
      </c>
    </row>
    <row r="4056" spans="1:25" x14ac:dyDescent="0.3">
      <c r="A4056">
        <v>202750</v>
      </c>
      <c r="B4056" t="s">
        <v>44716</v>
      </c>
      <c r="C4056" t="s">
        <v>44717</v>
      </c>
      <c r="D4056" t="s">
        <v>44718</v>
      </c>
      <c r="E4056" t="s">
        <v>44719</v>
      </c>
      <c r="F4056" t="s">
        <v>44720</v>
      </c>
      <c r="G4056" t="s">
        <v>44721</v>
      </c>
      <c r="H4056" t="s">
        <v>44722</v>
      </c>
      <c r="I4056" t="s">
        <v>44723</v>
      </c>
      <c r="J4056" t="s">
        <v>44724</v>
      </c>
      <c r="K4056" t="s">
        <v>44725</v>
      </c>
      <c r="L4056" t="s">
        <v>44726</v>
      </c>
      <c r="M4056" t="s">
        <v>44727</v>
      </c>
      <c r="N4056" t="s">
        <v>44728</v>
      </c>
      <c r="O4056">
        <f>-748.253627930163 -108.720372292195 -522.38933695893</f>
        <v>-1379.363337181288</v>
      </c>
      <c r="P4056">
        <f>-751.314574099224 -166.968022552669 -233.964158905428</f>
        <v>-1152.2467555573212</v>
      </c>
      <c r="Q4056">
        <f>-593.286236179055 -7.05336160300453 -320.59681591516</f>
        <v>-920.93641369721945</v>
      </c>
      <c r="R4056" t="s">
        <v>44729</v>
      </c>
      <c r="S4056" t="s">
        <v>44730</v>
      </c>
      <c r="T4056" t="s">
        <v>44731</v>
      </c>
      <c r="U4056" t="s">
        <v>44732</v>
      </c>
      <c r="V4056">
        <f>-767.622984935216 -36.1991941981862 -88.4762138147855</f>
        <v>-892.29839294818771</v>
      </c>
      <c r="W4056" t="s">
        <v>44733</v>
      </c>
      <c r="X4056" t="s">
        <v>44734</v>
      </c>
      <c r="Y4056" t="s">
        <v>44735</v>
      </c>
    </row>
    <row r="4057" spans="1:25" x14ac:dyDescent="0.3">
      <c r="A4057">
        <v>202800</v>
      </c>
      <c r="B4057" t="s">
        <v>44736</v>
      </c>
      <c r="C4057" t="s">
        <v>44737</v>
      </c>
      <c r="D4057" t="s">
        <v>44738</v>
      </c>
      <c r="E4057" t="s">
        <v>44739</v>
      </c>
      <c r="F4057" t="s">
        <v>44740</v>
      </c>
      <c r="G4057" t="s">
        <v>44741</v>
      </c>
      <c r="H4057" t="s">
        <v>44742</v>
      </c>
      <c r="I4057" t="s">
        <v>44743</v>
      </c>
      <c r="J4057" t="s">
        <v>44744</v>
      </c>
      <c r="K4057" t="s">
        <v>44745</v>
      </c>
      <c r="L4057" t="s">
        <v>44746</v>
      </c>
      <c r="M4057" t="s">
        <v>44747</v>
      </c>
      <c r="N4057" t="s">
        <v>44748</v>
      </c>
      <c r="O4057">
        <f>-750.119867844514 -102.412833827262 -522.763277669196</f>
        <v>-1375.2959793409721</v>
      </c>
      <c r="P4057">
        <f>-757.614050108175 -163.223630781832 -234.948885363229</f>
        <v>-1155.7865662532358</v>
      </c>
      <c r="Q4057">
        <f>-596.841828436069 -6.40347358876693 -322.187857646362</f>
        <v>-925.43315967119793</v>
      </c>
      <c r="R4057" t="s">
        <v>44749</v>
      </c>
      <c r="S4057" t="s">
        <v>44750</v>
      </c>
      <c r="T4057" t="s">
        <v>44751</v>
      </c>
      <c r="U4057" t="s">
        <v>44752</v>
      </c>
      <c r="V4057">
        <f>-770.295848400232 -33.6645484406031 -89.0918872341317</f>
        <v>-893.05228407496679</v>
      </c>
      <c r="W4057" t="s">
        <v>44753</v>
      </c>
      <c r="X4057" t="s">
        <v>44754</v>
      </c>
      <c r="Y4057" t="s">
        <v>44755</v>
      </c>
    </row>
    <row r="4058" spans="1:25" x14ac:dyDescent="0.3">
      <c r="A4058">
        <v>202850</v>
      </c>
      <c r="B4058" t="s">
        <v>44756</v>
      </c>
      <c r="C4058" t="s">
        <v>44757</v>
      </c>
      <c r="D4058" t="s">
        <v>44758</v>
      </c>
      <c r="E4058" t="s">
        <v>44759</v>
      </c>
      <c r="F4058" t="s">
        <v>44760</v>
      </c>
      <c r="G4058" t="s">
        <v>44761</v>
      </c>
      <c r="H4058" t="s">
        <v>44762</v>
      </c>
      <c r="I4058" t="s">
        <v>44763</v>
      </c>
      <c r="J4058" t="s">
        <v>44764</v>
      </c>
      <c r="K4058" t="s">
        <v>44765</v>
      </c>
      <c r="L4058" t="s">
        <v>44766</v>
      </c>
      <c r="M4058" t="s">
        <v>44767</v>
      </c>
      <c r="N4058" t="s">
        <v>44768</v>
      </c>
      <c r="O4058">
        <f>-752.507493493047 -101.089321322649 -523.060862998012</f>
        <v>-1376.657677813708</v>
      </c>
      <c r="P4058">
        <f>-762.023934319786 -162.344108611851 -235.400534454236</f>
        <v>-1159.768577385873</v>
      </c>
      <c r="Q4058">
        <f>-599.708873865612 -7.56926048316063 -323.431188773107</f>
        <v>-930.70932312187961</v>
      </c>
      <c r="R4058" t="s">
        <v>44769</v>
      </c>
      <c r="S4058" t="s">
        <v>44770</v>
      </c>
      <c r="T4058" t="s">
        <v>44771</v>
      </c>
      <c r="U4058" t="s">
        <v>44772</v>
      </c>
      <c r="V4058">
        <f>-772.051504951032 -33.0701940401279 -89.1379074246947</f>
        <v>-894.25960641585471</v>
      </c>
      <c r="W4058" t="s">
        <v>44773</v>
      </c>
      <c r="X4058" t="s">
        <v>44774</v>
      </c>
      <c r="Y4058" t="s">
        <v>44775</v>
      </c>
    </row>
    <row r="4059" spans="1:25" x14ac:dyDescent="0.3">
      <c r="A4059">
        <v>202900</v>
      </c>
      <c r="B4059" t="s">
        <v>44776</v>
      </c>
      <c r="C4059" t="s">
        <v>44777</v>
      </c>
      <c r="D4059" t="s">
        <v>44778</v>
      </c>
      <c r="E4059" t="s">
        <v>44779</v>
      </c>
      <c r="F4059" t="s">
        <v>44780</v>
      </c>
      <c r="G4059" t="s">
        <v>44781</v>
      </c>
      <c r="H4059" t="s">
        <v>44782</v>
      </c>
      <c r="I4059" t="s">
        <v>44783</v>
      </c>
      <c r="J4059" t="s">
        <v>44784</v>
      </c>
      <c r="K4059" t="s">
        <v>44785</v>
      </c>
      <c r="L4059" t="s">
        <v>44786</v>
      </c>
      <c r="M4059" t="s">
        <v>44787</v>
      </c>
      <c r="N4059" t="s">
        <v>44788</v>
      </c>
      <c r="O4059">
        <f>-757.649463495592 -99.2865795899497 -523.441536299085</f>
        <v>-1380.3775793846266</v>
      </c>
      <c r="P4059">
        <f>-770.721633180466 -159.580533367444 -235.717927455226</f>
        <v>-1166.0200940031359</v>
      </c>
      <c r="Q4059">
        <f>-605.807455579143 -8.83851089077052 -325.890239963682</f>
        <v>-940.53620643359557</v>
      </c>
      <c r="R4059" t="s">
        <v>44789</v>
      </c>
      <c r="S4059" t="s">
        <v>44790</v>
      </c>
      <c r="T4059" t="s">
        <v>44791</v>
      </c>
      <c r="U4059" t="s">
        <v>44792</v>
      </c>
      <c r="V4059">
        <f>-774.21113912236 -31.009132142718 -88.7710188203197</f>
        <v>-893.99129008539774</v>
      </c>
      <c r="W4059" t="s">
        <v>44793</v>
      </c>
      <c r="X4059" t="s">
        <v>44794</v>
      </c>
      <c r="Y4059" t="s">
        <v>44795</v>
      </c>
    </row>
    <row r="4060" spans="1:25" x14ac:dyDescent="0.3">
      <c r="A4060">
        <v>202950</v>
      </c>
      <c r="B4060" t="s">
        <v>44796</v>
      </c>
      <c r="C4060" t="s">
        <v>44797</v>
      </c>
      <c r="D4060" t="s">
        <v>44798</v>
      </c>
      <c r="E4060" t="s">
        <v>44799</v>
      </c>
      <c r="F4060" t="s">
        <v>44800</v>
      </c>
      <c r="G4060" t="s">
        <v>44801</v>
      </c>
      <c r="H4060" t="s">
        <v>44802</v>
      </c>
      <c r="I4060" t="s">
        <v>44803</v>
      </c>
      <c r="J4060" t="s">
        <v>44804</v>
      </c>
      <c r="K4060" t="s">
        <v>44805</v>
      </c>
      <c r="L4060" t="s">
        <v>44806</v>
      </c>
      <c r="M4060" t="s">
        <v>44807</v>
      </c>
      <c r="N4060" t="s">
        <v>44808</v>
      </c>
      <c r="O4060">
        <f>-760.195424223588 -98.7023753044407 -523.503434370377</f>
        <v>-1382.4012338984057</v>
      </c>
      <c r="P4060">
        <f>-774.328315928714 -158.252562627146 -235.674902713942</f>
        <v>-1168.2557812698019</v>
      </c>
      <c r="Q4060">
        <f>-608.678109121861 -8.94267109099246 -326.875046107834</f>
        <v>-944.49582632068746</v>
      </c>
      <c r="R4060" t="s">
        <v>44809</v>
      </c>
      <c r="S4060" t="s">
        <v>44810</v>
      </c>
      <c r="T4060" t="s">
        <v>44811</v>
      </c>
      <c r="U4060" t="s">
        <v>44812</v>
      </c>
      <c r="V4060">
        <f>-774.849058000076 -29.6120593323913 -88.6109250931552</f>
        <v>-893.07204242562239</v>
      </c>
      <c r="W4060" t="s">
        <v>44813</v>
      </c>
      <c r="X4060" t="s">
        <v>44814</v>
      </c>
      <c r="Y4060" t="s">
        <v>44815</v>
      </c>
    </row>
    <row r="4061" spans="1:25" x14ac:dyDescent="0.3">
      <c r="A4061">
        <v>203000</v>
      </c>
      <c r="B4061" t="s">
        <v>44816</v>
      </c>
      <c r="C4061" t="s">
        <v>44817</v>
      </c>
      <c r="D4061" t="s">
        <v>44818</v>
      </c>
      <c r="E4061" t="s">
        <v>44819</v>
      </c>
      <c r="F4061" t="s">
        <v>44820</v>
      </c>
      <c r="G4061" t="s">
        <v>44821</v>
      </c>
      <c r="H4061" t="s">
        <v>44822</v>
      </c>
      <c r="I4061" t="s">
        <v>44823</v>
      </c>
      <c r="J4061" t="s">
        <v>44824</v>
      </c>
      <c r="K4061" t="s">
        <v>44825</v>
      </c>
      <c r="L4061" t="s">
        <v>44826</v>
      </c>
      <c r="M4061" t="s">
        <v>44827</v>
      </c>
      <c r="N4061" t="s">
        <v>44828</v>
      </c>
      <c r="O4061">
        <f>-765.844107686167 -99.8818674903206 -523.430476530441</f>
        <v>-1389.1564517069287</v>
      </c>
      <c r="P4061">
        <f>-780.197020225929 -158.141564241129 -235.348775836254</f>
        <v>-1173.6873603033121</v>
      </c>
      <c r="Q4061">
        <f>-613.851837202612 -10.3436813167455 -327.739043283633</f>
        <v>-951.93456180299052</v>
      </c>
      <c r="R4061" t="s">
        <v>44829</v>
      </c>
      <c r="S4061" t="s">
        <v>44830</v>
      </c>
      <c r="T4061" t="s">
        <v>44831</v>
      </c>
      <c r="U4061" t="s">
        <v>44832</v>
      </c>
      <c r="V4061">
        <f>-776.743114763179 -29.115601949733 -88.1438893568401</f>
        <v>-894.00260606975212</v>
      </c>
      <c r="W4061" t="s">
        <v>44833</v>
      </c>
      <c r="X4061" t="s">
        <v>44834</v>
      </c>
      <c r="Y4061" t="s">
        <v>44835</v>
      </c>
    </row>
    <row r="4062" spans="1:25" x14ac:dyDescent="0.3">
      <c r="A4062">
        <v>203050</v>
      </c>
      <c r="B4062" t="s">
        <v>44836</v>
      </c>
      <c r="C4062" t="s">
        <v>44837</v>
      </c>
      <c r="D4062" t="s">
        <v>44838</v>
      </c>
      <c r="E4062" t="s">
        <v>44839</v>
      </c>
      <c r="F4062" t="s">
        <v>44840</v>
      </c>
      <c r="G4062" t="s">
        <v>44841</v>
      </c>
      <c r="H4062" t="s">
        <v>44842</v>
      </c>
      <c r="I4062" t="s">
        <v>44843</v>
      </c>
      <c r="J4062" t="s">
        <v>44844</v>
      </c>
      <c r="K4062" t="s">
        <v>44845</v>
      </c>
      <c r="L4062" t="s">
        <v>44846</v>
      </c>
      <c r="M4062" t="s">
        <v>44847</v>
      </c>
      <c r="N4062" t="s">
        <v>44848</v>
      </c>
      <c r="O4062">
        <f>-768.668831316321 -100.944645162661 -523.32696627495</f>
        <v>-1392.9404427539321</v>
      </c>
      <c r="P4062">
        <f>-782.685415044018 -158.235929534849 -235.034708153927</f>
        <v>-1175.956052732794</v>
      </c>
      <c r="Q4062">
        <f>-616.143538358388 -10.8280162721169 -327.693204174808</f>
        <v>-954.66475880531289</v>
      </c>
      <c r="R4062" t="s">
        <v>44849</v>
      </c>
      <c r="S4062" t="s">
        <v>44850</v>
      </c>
      <c r="T4062" t="s">
        <v>44851</v>
      </c>
      <c r="U4062" t="s">
        <v>44852</v>
      </c>
      <c r="V4062">
        <f>-777.727321719173 -29.1600114641626 -87.9337566245381</f>
        <v>-894.8210898078737</v>
      </c>
      <c r="W4062" t="s">
        <v>44853</v>
      </c>
      <c r="X4062" t="s">
        <v>44854</v>
      </c>
      <c r="Y4062" t="s">
        <v>44855</v>
      </c>
    </row>
    <row r="4063" spans="1:25" x14ac:dyDescent="0.3">
      <c r="A4063">
        <v>203100</v>
      </c>
      <c r="B4063" t="s">
        <v>44856</v>
      </c>
      <c r="C4063" t="s">
        <v>44857</v>
      </c>
      <c r="D4063" t="s">
        <v>44858</v>
      </c>
      <c r="E4063" t="s">
        <v>44859</v>
      </c>
      <c r="F4063" t="s">
        <v>44860</v>
      </c>
      <c r="G4063" t="s">
        <v>44861</v>
      </c>
      <c r="H4063" t="s">
        <v>44862</v>
      </c>
      <c r="I4063" t="s">
        <v>44863</v>
      </c>
      <c r="J4063" t="s">
        <v>44864</v>
      </c>
      <c r="K4063" t="s">
        <v>44865</v>
      </c>
      <c r="L4063" t="s">
        <v>44866</v>
      </c>
      <c r="M4063" t="s">
        <v>44867</v>
      </c>
      <c r="N4063" t="s">
        <v>44868</v>
      </c>
      <c r="O4063">
        <f>-772.899791610982 -103.766006845875 -522.957768279827</f>
        <v>-1399.6235667366841</v>
      </c>
      <c r="P4063">
        <f>-786.844658313507 -158.379797818419 -234.14275593045</f>
        <v>-1179.367212062376</v>
      </c>
      <c r="Q4063">
        <f>-620.271975274731 -11.438537536437 -327.484680992986</f>
        <v>-959.19519380415397</v>
      </c>
      <c r="R4063" t="s">
        <v>44869</v>
      </c>
      <c r="S4063" t="s">
        <v>44870</v>
      </c>
      <c r="T4063" t="s">
        <v>44871</v>
      </c>
      <c r="U4063" t="s">
        <v>44872</v>
      </c>
      <c r="V4063">
        <f>-779.244246342919 -30.3376913368559 -87.6532130065341</f>
        <v>-897.235150686309</v>
      </c>
      <c r="W4063" t="s">
        <v>44873</v>
      </c>
      <c r="X4063" t="s">
        <v>44874</v>
      </c>
      <c r="Y4063" t="s">
        <v>44875</v>
      </c>
    </row>
    <row r="4064" spans="1:25" x14ac:dyDescent="0.3">
      <c r="A4064">
        <v>203150</v>
      </c>
      <c r="B4064" t="s">
        <v>44876</v>
      </c>
      <c r="C4064" t="s">
        <v>44877</v>
      </c>
      <c r="D4064" t="s">
        <v>44878</v>
      </c>
      <c r="E4064" t="s">
        <v>44879</v>
      </c>
      <c r="F4064" t="s">
        <v>44880</v>
      </c>
      <c r="G4064" t="s">
        <v>44881</v>
      </c>
      <c r="H4064" t="s">
        <v>44882</v>
      </c>
      <c r="I4064" t="s">
        <v>44883</v>
      </c>
      <c r="J4064" t="s">
        <v>44884</v>
      </c>
      <c r="K4064" t="s">
        <v>44885</v>
      </c>
      <c r="L4064" t="s">
        <v>44886</v>
      </c>
      <c r="M4064" t="s">
        <v>44887</v>
      </c>
      <c r="N4064" t="s">
        <v>44888</v>
      </c>
      <c r="O4064">
        <f>-774.469882227878 -105.680682068592 -522.636482248924</f>
        <v>-1402.7870465453939</v>
      </c>
      <c r="P4064">
        <f>-788.517804412581 -158.745020456735 -233.537901248403</f>
        <v>-1180.800726117719</v>
      </c>
      <c r="Q4064">
        <f>-622.02990259149 -12.0128858466173 -327.358650544175</f>
        <v>-961.40143898228234</v>
      </c>
      <c r="R4064" t="s">
        <v>44889</v>
      </c>
      <c r="S4064" t="s">
        <v>44890</v>
      </c>
      <c r="T4064" t="s">
        <v>44891</v>
      </c>
      <c r="U4064" t="s">
        <v>44892</v>
      </c>
      <c r="V4064">
        <f>-780.052159749616 -31.2141018139398 -87.6258854563887</f>
        <v>-898.89214701994445</v>
      </c>
      <c r="W4064" t="s">
        <v>44893</v>
      </c>
      <c r="X4064" t="s">
        <v>44894</v>
      </c>
      <c r="Y4064" t="s">
        <v>44895</v>
      </c>
    </row>
    <row r="4065" spans="1:25" x14ac:dyDescent="0.3">
      <c r="A4065">
        <v>203200</v>
      </c>
      <c r="B4065" t="s">
        <v>44896</v>
      </c>
      <c r="C4065" t="s">
        <v>44897</v>
      </c>
      <c r="D4065" t="s">
        <v>44898</v>
      </c>
      <c r="E4065" t="s">
        <v>44899</v>
      </c>
      <c r="F4065" t="s">
        <v>44900</v>
      </c>
      <c r="G4065" t="s">
        <v>44901</v>
      </c>
      <c r="H4065" t="s">
        <v>44902</v>
      </c>
      <c r="I4065" t="s">
        <v>44903</v>
      </c>
      <c r="J4065" t="s">
        <v>44904</v>
      </c>
      <c r="K4065" t="s">
        <v>44905</v>
      </c>
      <c r="L4065" t="s">
        <v>44906</v>
      </c>
      <c r="M4065" t="s">
        <v>44907</v>
      </c>
      <c r="N4065" t="s">
        <v>44908</v>
      </c>
      <c r="O4065">
        <f>-776.826233496406 -109.952226372192 -522.042760047495</f>
        <v>-1408.821219916093</v>
      </c>
      <c r="P4065">
        <f>-790.21978514596 -161.003762881146 -232.550793277795</f>
        <v>-1183.7743413049011</v>
      </c>
      <c r="Q4065">
        <f>-624.276703605758 -14.3492448450861 -327.451829195799</f>
        <v>-966.0777776466432</v>
      </c>
      <c r="R4065" t="s">
        <v>44909</v>
      </c>
      <c r="S4065" t="s">
        <v>44910</v>
      </c>
      <c r="T4065" t="s">
        <v>44911</v>
      </c>
      <c r="U4065" t="s">
        <v>44912</v>
      </c>
      <c r="V4065">
        <f>-781.451356082737 -33.4204515853926 -87.6610136376549</f>
        <v>-902.53282130578452</v>
      </c>
      <c r="W4065" t="s">
        <v>44913</v>
      </c>
      <c r="X4065" t="s">
        <v>44914</v>
      </c>
      <c r="Y4065" t="s">
        <v>44915</v>
      </c>
    </row>
    <row r="4066" spans="1:25" x14ac:dyDescent="0.3">
      <c r="A4066">
        <v>203250</v>
      </c>
      <c r="B4066" t="s">
        <v>44916</v>
      </c>
      <c r="C4066" t="s">
        <v>44917</v>
      </c>
      <c r="D4066" t="s">
        <v>44918</v>
      </c>
      <c r="E4066" t="s">
        <v>44919</v>
      </c>
      <c r="F4066" t="s">
        <v>44920</v>
      </c>
      <c r="G4066" t="s">
        <v>44921</v>
      </c>
      <c r="H4066" t="s">
        <v>44922</v>
      </c>
      <c r="I4066" t="s">
        <v>44923</v>
      </c>
      <c r="J4066" t="s">
        <v>44924</v>
      </c>
      <c r="K4066" t="s">
        <v>44925</v>
      </c>
      <c r="L4066" t="s">
        <v>44926</v>
      </c>
      <c r="M4066" t="s">
        <v>44927</v>
      </c>
      <c r="N4066" t="s">
        <v>44928</v>
      </c>
      <c r="O4066">
        <f>-777.709035980827 -111.548051508832 -522.049562712801</f>
        <v>-1411.3066502024601</v>
      </c>
      <c r="P4066">
        <f>-791.081623396991 -161.904308710579 -232.435037817348</f>
        <v>-1185.4209699249179</v>
      </c>
      <c r="Q4066">
        <f>-625.191692877658 -15.5333134393743 -327.865258733288</f>
        <v>-968.59026505032034</v>
      </c>
      <c r="R4066" t="s">
        <v>44929</v>
      </c>
      <c r="S4066" t="s">
        <v>44930</v>
      </c>
      <c r="T4066" t="s">
        <v>44931</v>
      </c>
      <c r="U4066" t="s">
        <v>44932</v>
      </c>
      <c r="V4066">
        <f>-782.19177678243 -34.4208818806142 -87.7709593810043</f>
        <v>-904.38361804404849</v>
      </c>
      <c r="W4066" t="s">
        <v>44933</v>
      </c>
      <c r="X4066" t="s">
        <v>44934</v>
      </c>
      <c r="Y4066" t="s">
        <v>44935</v>
      </c>
    </row>
    <row r="4067" spans="1:25" x14ac:dyDescent="0.3">
      <c r="A4067">
        <v>203300</v>
      </c>
      <c r="B4067" t="s">
        <v>44936</v>
      </c>
      <c r="C4067" t="s">
        <v>44937</v>
      </c>
      <c r="D4067" t="s">
        <v>44938</v>
      </c>
      <c r="E4067" t="s">
        <v>44939</v>
      </c>
      <c r="F4067" t="s">
        <v>44940</v>
      </c>
      <c r="G4067" t="s">
        <v>44941</v>
      </c>
      <c r="H4067" t="s">
        <v>44942</v>
      </c>
      <c r="I4067" t="s">
        <v>44943</v>
      </c>
      <c r="J4067" t="s">
        <v>44944</v>
      </c>
      <c r="K4067" t="s">
        <v>44945</v>
      </c>
      <c r="L4067" t="s">
        <v>44946</v>
      </c>
      <c r="M4067" t="s">
        <v>44947</v>
      </c>
      <c r="N4067" t="s">
        <v>44948</v>
      </c>
      <c r="O4067">
        <f>-779.09661672134 -113.740651774997 -522.506896335225</f>
        <v>-1415.344164831562</v>
      </c>
      <c r="P4067">
        <f>-793.34040012094 -162.886460792074 -232.725923933395</f>
        <v>-1188.952784846409</v>
      </c>
      <c r="Q4067">
        <f>-627.02417355302 -17.3481303742637 -328.686233523084</f>
        <v>-973.05853745036779</v>
      </c>
      <c r="R4067" t="s">
        <v>44949</v>
      </c>
      <c r="S4067" t="s">
        <v>44950</v>
      </c>
      <c r="T4067" t="s">
        <v>44951</v>
      </c>
      <c r="U4067" t="s">
        <v>44952</v>
      </c>
      <c r="V4067">
        <f>-783.879240126539 -36.667442854779 -88.104579120146</f>
        <v>-908.651262101464</v>
      </c>
      <c r="W4067" t="s">
        <v>44953</v>
      </c>
      <c r="X4067" t="s">
        <v>44954</v>
      </c>
      <c r="Y4067" t="s">
        <v>44955</v>
      </c>
    </row>
    <row r="4068" spans="1:25" x14ac:dyDescent="0.3">
      <c r="A4068">
        <v>203350</v>
      </c>
      <c r="B4068" t="s">
        <v>44956</v>
      </c>
      <c r="C4068" t="s">
        <v>44957</v>
      </c>
      <c r="D4068" t="s">
        <v>44958</v>
      </c>
      <c r="E4068" t="s">
        <v>44959</v>
      </c>
      <c r="F4068" t="s">
        <v>44960</v>
      </c>
      <c r="G4068" t="s">
        <v>44961</v>
      </c>
      <c r="H4068" t="s">
        <v>44962</v>
      </c>
      <c r="I4068" t="s">
        <v>44963</v>
      </c>
      <c r="J4068" t="s">
        <v>44964</v>
      </c>
      <c r="K4068" t="s">
        <v>44965</v>
      </c>
      <c r="L4068" t="s">
        <v>44966</v>
      </c>
      <c r="M4068" t="s">
        <v>44967</v>
      </c>
      <c r="N4068" t="s">
        <v>44968</v>
      </c>
      <c r="O4068">
        <f>-779.491869938938 -114.933297466428 -522.776020774157</f>
        <v>-1417.2011881795229</v>
      </c>
      <c r="P4068">
        <f>-794.166511679407 -163.696828094731 -232.952060119316</f>
        <v>-1190.815399893454</v>
      </c>
      <c r="Q4068">
        <f>-627.481750418586 -18.5779433213547 -328.908287667266</f>
        <v>-974.96798140720671</v>
      </c>
      <c r="R4068" t="s">
        <v>44969</v>
      </c>
      <c r="S4068" t="s">
        <v>44970</v>
      </c>
      <c r="T4068" t="s">
        <v>44971</v>
      </c>
      <c r="U4068" t="s">
        <v>44972</v>
      </c>
      <c r="V4068">
        <f>-784.609357709559 -38.0471213076157 -88.2910923160645</f>
        <v>-910.94757133323924</v>
      </c>
      <c r="W4068" t="s">
        <v>44973</v>
      </c>
      <c r="X4068" t="s">
        <v>44974</v>
      </c>
      <c r="Y4068" t="s">
        <v>44975</v>
      </c>
    </row>
    <row r="4069" spans="1:25" x14ac:dyDescent="0.3">
      <c r="A4069">
        <v>203400</v>
      </c>
      <c r="B4069" t="s">
        <v>44976</v>
      </c>
      <c r="C4069" t="s">
        <v>44977</v>
      </c>
      <c r="D4069" t="s">
        <v>44978</v>
      </c>
      <c r="E4069" t="s">
        <v>44979</v>
      </c>
      <c r="F4069" t="s">
        <v>44980</v>
      </c>
      <c r="G4069" t="s">
        <v>44981</v>
      </c>
      <c r="H4069" t="s">
        <v>44982</v>
      </c>
      <c r="I4069" t="s">
        <v>44983</v>
      </c>
      <c r="J4069" t="s">
        <v>44984</v>
      </c>
      <c r="K4069" t="s">
        <v>44985</v>
      </c>
      <c r="L4069" t="s">
        <v>44986</v>
      </c>
      <c r="M4069" t="s">
        <v>44987</v>
      </c>
      <c r="N4069" t="s">
        <v>44988</v>
      </c>
      <c r="O4069">
        <f>-779.727138435182 -116.946280186407 -523.135296310572</f>
        <v>-1419.8087149321609</v>
      </c>
      <c r="P4069">
        <f>-794.825095631336 -165.576660456099 -233.310790762555</f>
        <v>-1193.7125468499901</v>
      </c>
      <c r="Q4069">
        <f>-627.719962288301 -20.7179946872614 -328.928360141717</f>
        <v>-977.36631711727932</v>
      </c>
      <c r="R4069" t="s">
        <v>44989</v>
      </c>
      <c r="S4069" t="s">
        <v>44990</v>
      </c>
      <c r="T4069" t="s">
        <v>44991</v>
      </c>
      <c r="U4069" t="s">
        <v>44992</v>
      </c>
      <c r="V4069">
        <f>-785.810117848805 -40.3493687544808 -88.6181833618854</f>
        <v>-914.77766996517119</v>
      </c>
      <c r="W4069" t="s">
        <v>44993</v>
      </c>
      <c r="X4069" t="s">
        <v>44994</v>
      </c>
      <c r="Y4069" t="s">
        <v>44995</v>
      </c>
    </row>
    <row r="4070" spans="1:25" x14ac:dyDescent="0.3">
      <c r="A4070">
        <v>203450</v>
      </c>
      <c r="B4070" t="s">
        <v>44996</v>
      </c>
      <c r="C4070" t="s">
        <v>44997</v>
      </c>
      <c r="D4070" t="s">
        <v>44998</v>
      </c>
      <c r="E4070" t="s">
        <v>44999</v>
      </c>
      <c r="F4070" t="s">
        <v>45000</v>
      </c>
      <c r="G4070" t="s">
        <v>45001</v>
      </c>
      <c r="H4070" t="s">
        <v>45002</v>
      </c>
      <c r="I4070" t="s">
        <v>45003</v>
      </c>
      <c r="J4070" t="s">
        <v>45004</v>
      </c>
      <c r="K4070" t="s">
        <v>45005</v>
      </c>
      <c r="L4070" t="s">
        <v>45006</v>
      </c>
      <c r="M4070" t="s">
        <v>45007</v>
      </c>
      <c r="N4070" t="s">
        <v>45008</v>
      </c>
      <c r="O4070">
        <f>-779.487238430162 -117.712312434929 -523.282225625252</f>
        <v>-1420.481776490343</v>
      </c>
      <c r="P4070">
        <f>-794.882668935254 -166.420424016614 -233.486358717615</f>
        <v>-1194.789451669483</v>
      </c>
      <c r="Q4070">
        <f>-627.694635240586 -21.574369228179 -328.977738037217</f>
        <v>-978.24674250598196</v>
      </c>
      <c r="R4070" t="s">
        <v>45009</v>
      </c>
      <c r="S4070" t="s">
        <v>45010</v>
      </c>
      <c r="T4070" t="s">
        <v>45011</v>
      </c>
      <c r="U4070" t="s">
        <v>45012</v>
      </c>
      <c r="V4070">
        <f>-786.295847794445 -41.4018470150349 -88.7100388920071</f>
        <v>-916.40773370148702</v>
      </c>
      <c r="W4070" t="s">
        <v>45013</v>
      </c>
      <c r="X4070" t="s">
        <v>45014</v>
      </c>
      <c r="Y4070" t="s">
        <v>45015</v>
      </c>
    </row>
    <row r="4071" spans="1:25" x14ac:dyDescent="0.3">
      <c r="A4071">
        <v>203500</v>
      </c>
      <c r="B4071" t="s">
        <v>45016</v>
      </c>
      <c r="C4071" t="s">
        <v>45017</v>
      </c>
      <c r="D4071" t="s">
        <v>45018</v>
      </c>
      <c r="E4071" t="s">
        <v>45019</v>
      </c>
      <c r="F4071" t="s">
        <v>45020</v>
      </c>
      <c r="G4071" t="s">
        <v>45021</v>
      </c>
      <c r="H4071" t="s">
        <v>45022</v>
      </c>
      <c r="I4071" t="s">
        <v>45023</v>
      </c>
      <c r="J4071" t="s">
        <v>45024</v>
      </c>
      <c r="K4071" t="s">
        <v>45025</v>
      </c>
      <c r="L4071" t="s">
        <v>45026</v>
      </c>
      <c r="M4071" t="s">
        <v>45027</v>
      </c>
      <c r="N4071" t="s">
        <v>45028</v>
      </c>
      <c r="O4071">
        <f>-778.508844491034 -119.868965923759 -523.373971869171</f>
        <v>-1421.7517822839641</v>
      </c>
      <c r="P4071">
        <f>-794.192909769801 -168.769095282126 -233.625888522542</f>
        <v>-1196.587893574469</v>
      </c>
      <c r="Q4071">
        <f>-627.100111306508 -23.7418327331773 -329.009133812305</f>
        <v>-979.85107785199023</v>
      </c>
      <c r="R4071" t="s">
        <v>45029</v>
      </c>
      <c r="S4071" t="s">
        <v>45030</v>
      </c>
      <c r="T4071" t="s">
        <v>45031</v>
      </c>
      <c r="U4071" t="s">
        <v>45032</v>
      </c>
      <c r="V4071">
        <f>-787.028789304 -44.1505266807389 -88.9249178288439</f>
        <v>-920.10423381358294</v>
      </c>
      <c r="W4071" t="s">
        <v>45033</v>
      </c>
      <c r="X4071" t="s">
        <v>45034</v>
      </c>
      <c r="Y4071" t="s">
        <v>45035</v>
      </c>
    </row>
    <row r="4072" spans="1:25" x14ac:dyDescent="0.3">
      <c r="A4072">
        <v>203550</v>
      </c>
      <c r="B4072" t="s">
        <v>45036</v>
      </c>
      <c r="C4072" t="s">
        <v>45037</v>
      </c>
      <c r="D4072" t="s">
        <v>45038</v>
      </c>
      <c r="E4072" t="s">
        <v>45039</v>
      </c>
      <c r="F4072" t="s">
        <v>45040</v>
      </c>
      <c r="G4072" t="s">
        <v>45041</v>
      </c>
      <c r="H4072" t="s">
        <v>45042</v>
      </c>
      <c r="I4072" t="s">
        <v>45043</v>
      </c>
      <c r="J4072" t="s">
        <v>45044</v>
      </c>
      <c r="K4072" t="s">
        <v>45045</v>
      </c>
      <c r="L4072" t="s">
        <v>45046</v>
      </c>
      <c r="M4072" t="s">
        <v>45047</v>
      </c>
      <c r="N4072" t="s">
        <v>45048</v>
      </c>
      <c r="O4072">
        <f>-777.700536875169 -120.995660925445 -523.310565921286</f>
        <v>-1422.0067637218999</v>
      </c>
      <c r="P4072">
        <f>-793.43868663418 -169.921893182507 -233.569729992165</f>
        <v>-1196.9303098088521</v>
      </c>
      <c r="Q4072">
        <f>-626.49622505158 -24.7457653722554 -328.989721152059</f>
        <v>-980.23171157589445</v>
      </c>
      <c r="R4072" t="s">
        <v>45049</v>
      </c>
      <c r="S4072" t="s">
        <v>45050</v>
      </c>
      <c r="T4072" t="s">
        <v>45051</v>
      </c>
      <c r="U4072" t="s">
        <v>45052</v>
      </c>
      <c r="V4072">
        <f>-787.10190463185 -45.3056258190544 -89.0083427716833</f>
        <v>-921.41587322258761</v>
      </c>
      <c r="W4072" t="s">
        <v>45053</v>
      </c>
      <c r="X4072" t="s">
        <v>45054</v>
      </c>
      <c r="Y4072" t="s">
        <v>45055</v>
      </c>
    </row>
    <row r="4073" spans="1:25" x14ac:dyDescent="0.3">
      <c r="A4073">
        <v>203600</v>
      </c>
      <c r="B4073" t="s">
        <v>45056</v>
      </c>
      <c r="C4073" t="s">
        <v>45057</v>
      </c>
      <c r="D4073" t="s">
        <v>45058</v>
      </c>
      <c r="E4073" t="s">
        <v>45059</v>
      </c>
      <c r="F4073" t="s">
        <v>45060</v>
      </c>
      <c r="G4073" t="s">
        <v>45061</v>
      </c>
      <c r="H4073" t="s">
        <v>45062</v>
      </c>
      <c r="I4073" t="s">
        <v>45063</v>
      </c>
      <c r="J4073" t="s">
        <v>45064</v>
      </c>
      <c r="K4073" t="s">
        <v>45065</v>
      </c>
      <c r="L4073" t="s">
        <v>45066</v>
      </c>
      <c r="M4073" t="s">
        <v>45067</v>
      </c>
      <c r="N4073" t="s">
        <v>45068</v>
      </c>
      <c r="O4073">
        <f>-775.912125008602 -123.016121569475 -523.149869773363</f>
        <v>-1422.0781163514398</v>
      </c>
      <c r="P4073">
        <f>-792.220378721066 -171.709317870964 -233.401399703155</f>
        <v>-1197.331096295185</v>
      </c>
      <c r="Q4073">
        <f>-625.493704513052 -26.3022801962047 -328.846978497339</f>
        <v>-980.64296320659571</v>
      </c>
      <c r="R4073" t="s">
        <v>45069</v>
      </c>
      <c r="S4073" t="s">
        <v>45070</v>
      </c>
      <c r="T4073" t="s">
        <v>45071</v>
      </c>
      <c r="U4073" t="s">
        <v>45072</v>
      </c>
      <c r="V4073">
        <f>-786.939096882227 -47.4328998160752 -89.1558795428978</f>
        <v>-923.52787624119992</v>
      </c>
      <c r="W4073" t="s">
        <v>45073</v>
      </c>
      <c r="X4073" t="s">
        <v>45074</v>
      </c>
      <c r="Y4073" t="s">
        <v>45075</v>
      </c>
    </row>
    <row r="4074" spans="1:25" x14ac:dyDescent="0.3">
      <c r="A4074">
        <v>203650</v>
      </c>
      <c r="B4074" t="s">
        <v>45076</v>
      </c>
      <c r="C4074" t="s">
        <v>45077</v>
      </c>
      <c r="D4074" t="s">
        <v>45078</v>
      </c>
      <c r="E4074" t="s">
        <v>45079</v>
      </c>
      <c r="F4074" t="s">
        <v>45080</v>
      </c>
      <c r="G4074" t="s">
        <v>45081</v>
      </c>
      <c r="H4074" t="s">
        <v>45082</v>
      </c>
      <c r="I4074" t="s">
        <v>45083</v>
      </c>
      <c r="J4074" t="s">
        <v>45084</v>
      </c>
      <c r="K4074" t="s">
        <v>45085</v>
      </c>
      <c r="L4074" t="s">
        <v>45086</v>
      </c>
      <c r="M4074" t="s">
        <v>45087</v>
      </c>
      <c r="N4074" t="s">
        <v>45088</v>
      </c>
      <c r="O4074">
        <f>-774.909271886357 -124.286341929624 -522.984071254576</f>
        <v>-1422.1796850705568</v>
      </c>
      <c r="P4074">
        <f>-791.265653242326 -172.818592189531 -233.211335221778</f>
        <v>-1197.2955806536349</v>
      </c>
      <c r="Q4074">
        <f>-624.707682865042 -27.1815508945649 -328.600797192191</f>
        <v>-980.49003095179796</v>
      </c>
      <c r="R4074" t="s">
        <v>45089</v>
      </c>
      <c r="S4074" t="s">
        <v>45090</v>
      </c>
      <c r="T4074" t="s">
        <v>45091</v>
      </c>
      <c r="U4074" t="s">
        <v>45092</v>
      </c>
      <c r="V4074">
        <f>-786.592562462134 -48.4590663724236 -89.2233936174482</f>
        <v>-924.27502245200583</v>
      </c>
      <c r="W4074" t="s">
        <v>45093</v>
      </c>
      <c r="X4074" t="s">
        <v>45094</v>
      </c>
      <c r="Y4074" t="s">
        <v>45095</v>
      </c>
    </row>
    <row r="4075" spans="1:25" x14ac:dyDescent="0.3">
      <c r="A4075">
        <v>203700</v>
      </c>
      <c r="B4075" t="s">
        <v>45096</v>
      </c>
      <c r="C4075" t="s">
        <v>45097</v>
      </c>
      <c r="D4075" t="s">
        <v>45098</v>
      </c>
      <c r="E4075" t="s">
        <v>45099</v>
      </c>
      <c r="F4075" t="s">
        <v>45100</v>
      </c>
      <c r="G4075" t="s">
        <v>45101</v>
      </c>
      <c r="H4075" t="s">
        <v>45102</v>
      </c>
      <c r="I4075" t="s">
        <v>45103</v>
      </c>
      <c r="J4075" t="s">
        <v>45104</v>
      </c>
      <c r="K4075" t="s">
        <v>45105</v>
      </c>
      <c r="L4075" t="s">
        <v>45106</v>
      </c>
      <c r="M4075" t="s">
        <v>45107</v>
      </c>
      <c r="N4075" t="s">
        <v>45108</v>
      </c>
      <c r="O4075">
        <f>-773.314333394016 -126.538155954012 -522.737413762939</f>
        <v>-1422.589903110967</v>
      </c>
      <c r="P4075">
        <f>-789.230433125218 -174.455626609856 -232.837823237199</f>
        <v>-1196.523882972273</v>
      </c>
      <c r="Q4075">
        <f>-623.206099341526 -28.1584969533262 -328.147656524385</f>
        <v>-979.51225281923735</v>
      </c>
      <c r="R4075" t="s">
        <v>45109</v>
      </c>
      <c r="S4075" t="s">
        <v>45110</v>
      </c>
      <c r="T4075" t="s">
        <v>45111</v>
      </c>
      <c r="U4075" t="s">
        <v>45112</v>
      </c>
      <c r="V4075">
        <f>-785.583591842678 -50.2039708716171 -89.3415937234356</f>
        <v>-925.12915643773067</v>
      </c>
      <c r="W4075" t="s">
        <v>45113</v>
      </c>
      <c r="X4075" t="s">
        <v>45114</v>
      </c>
      <c r="Y4075" t="s">
        <v>45115</v>
      </c>
    </row>
    <row r="4076" spans="1:25" x14ac:dyDescent="0.3">
      <c r="A4076">
        <v>203750</v>
      </c>
      <c r="B4076" t="s">
        <v>45116</v>
      </c>
      <c r="C4076" t="s">
        <v>45117</v>
      </c>
      <c r="D4076" t="s">
        <v>45118</v>
      </c>
      <c r="E4076" t="s">
        <v>45119</v>
      </c>
      <c r="F4076" t="s">
        <v>45120</v>
      </c>
      <c r="G4076" t="s">
        <v>45121</v>
      </c>
      <c r="H4076" t="s">
        <v>45122</v>
      </c>
      <c r="I4076" t="s">
        <v>45123</v>
      </c>
      <c r="J4076" t="s">
        <v>45124</v>
      </c>
      <c r="K4076" t="s">
        <v>45125</v>
      </c>
      <c r="L4076" t="s">
        <v>45126</v>
      </c>
      <c r="M4076" t="s">
        <v>45127</v>
      </c>
      <c r="N4076" t="s">
        <v>45128</v>
      </c>
      <c r="O4076">
        <f>-772.624916026403 -127.558144941695 -522.768737177557</f>
        <v>-1422.9517981456549</v>
      </c>
      <c r="P4076">
        <f>-788.146488977976 -175.476086976128 -232.847854895695</f>
        <v>-1196.470430849799</v>
      </c>
      <c r="Q4076">
        <f>-622.543617787251 -28.6880147618974 -328.135763784315</f>
        <v>-979.36739633346338</v>
      </c>
      <c r="R4076" t="s">
        <v>45129</v>
      </c>
      <c r="S4076" t="s">
        <v>45130</v>
      </c>
      <c r="T4076" t="s">
        <v>45131</v>
      </c>
      <c r="U4076" t="s">
        <v>45132</v>
      </c>
      <c r="V4076">
        <f>-785.030707574863 -51.3218141676347 -89.3976467758672</f>
        <v>-925.75016851836483</v>
      </c>
      <c r="W4076" t="s">
        <v>45133</v>
      </c>
      <c r="X4076" t="s">
        <v>45134</v>
      </c>
      <c r="Y4076" t="s">
        <v>45135</v>
      </c>
    </row>
    <row r="4077" spans="1:25" x14ac:dyDescent="0.3">
      <c r="A4077">
        <v>203800</v>
      </c>
      <c r="B4077" t="s">
        <v>45136</v>
      </c>
      <c r="C4077" t="s">
        <v>45137</v>
      </c>
      <c r="D4077" t="s">
        <v>45138</v>
      </c>
      <c r="E4077" t="s">
        <v>45139</v>
      </c>
      <c r="F4077" t="s">
        <v>45140</v>
      </c>
      <c r="G4077" t="s">
        <v>45141</v>
      </c>
      <c r="H4077" t="s">
        <v>45142</v>
      </c>
      <c r="I4077" t="s">
        <v>45143</v>
      </c>
      <c r="J4077" t="s">
        <v>45144</v>
      </c>
      <c r="K4077" t="s">
        <v>45145</v>
      </c>
      <c r="L4077" t="s">
        <v>45146</v>
      </c>
      <c r="M4077" t="s">
        <v>45147</v>
      </c>
      <c r="N4077" t="s">
        <v>45148</v>
      </c>
      <c r="O4077">
        <f>-771.509117577684 -129.271941338541 -523.128033344506</f>
        <v>-1423.9090922607311</v>
      </c>
      <c r="P4077">
        <f>-786.352199311319 -177.295018191413 -233.18895032194</f>
        <v>-1196.836167824672</v>
      </c>
      <c r="Q4077">
        <f>-621.47176589948 -29.7815465438346 -328.609465833811</f>
        <v>-979.86277827712559</v>
      </c>
      <c r="R4077" t="s">
        <v>45149</v>
      </c>
      <c r="S4077" t="s">
        <v>45150</v>
      </c>
      <c r="T4077" t="s">
        <v>45151</v>
      </c>
      <c r="U4077" t="s">
        <v>45152</v>
      </c>
      <c r="V4077">
        <f>-783.915526785414 -53.5411171700085 -89.472788840265</f>
        <v>-926.9294327956876</v>
      </c>
      <c r="W4077" t="s">
        <v>45153</v>
      </c>
      <c r="X4077" t="s">
        <v>45154</v>
      </c>
      <c r="Y4077" t="s">
        <v>45155</v>
      </c>
    </row>
    <row r="4078" spans="1:25" x14ac:dyDescent="0.3">
      <c r="A4078">
        <v>203850</v>
      </c>
      <c r="B4078" t="s">
        <v>45156</v>
      </c>
      <c r="C4078" t="s">
        <v>45157</v>
      </c>
      <c r="D4078" t="s">
        <v>45158</v>
      </c>
      <c r="E4078" t="s">
        <v>45159</v>
      </c>
      <c r="F4078" t="s">
        <v>45160</v>
      </c>
      <c r="G4078" t="s">
        <v>45161</v>
      </c>
      <c r="H4078" t="s">
        <v>45162</v>
      </c>
      <c r="I4078" t="s">
        <v>45163</v>
      </c>
      <c r="J4078" t="s">
        <v>45164</v>
      </c>
      <c r="K4078" t="s">
        <v>45165</v>
      </c>
      <c r="L4078" t="s">
        <v>45166</v>
      </c>
      <c r="M4078" t="s">
        <v>45167</v>
      </c>
      <c r="N4078" t="s">
        <v>45168</v>
      </c>
      <c r="O4078">
        <f>-771.180489911395 -129.612964049418 -523.425892248321</f>
        <v>-1424.2193462091341</v>
      </c>
      <c r="P4078">
        <f>-785.652092177969 -177.725915085849 -233.482811691984</f>
        <v>-1196.8608189558022</v>
      </c>
      <c r="Q4078">
        <f>-621.115421534145 -29.8928106111598 -329.002361302473</f>
        <v>-980.01059344777775</v>
      </c>
      <c r="R4078" t="s">
        <v>45169</v>
      </c>
      <c r="S4078" t="s">
        <v>45170</v>
      </c>
      <c r="T4078" t="s">
        <v>45171</v>
      </c>
      <c r="U4078" t="s">
        <v>45172</v>
      </c>
      <c r="V4078">
        <f>-783.295990815771 -54.2324291557788 -89.5112214210889</f>
        <v>-927.03964139263871</v>
      </c>
      <c r="W4078" t="s">
        <v>45173</v>
      </c>
      <c r="X4078" t="s">
        <v>45174</v>
      </c>
      <c r="Y4078" t="s">
        <v>45175</v>
      </c>
    </row>
    <row r="4079" spans="1:25" x14ac:dyDescent="0.3">
      <c r="A4079">
        <v>203900</v>
      </c>
      <c r="B4079" t="s">
        <v>45176</v>
      </c>
      <c r="C4079" t="s">
        <v>45177</v>
      </c>
      <c r="D4079" t="s">
        <v>45178</v>
      </c>
      <c r="E4079" t="s">
        <v>45179</v>
      </c>
      <c r="F4079" t="s">
        <v>45180</v>
      </c>
      <c r="G4079" t="s">
        <v>45181</v>
      </c>
      <c r="H4079" t="s">
        <v>45182</v>
      </c>
      <c r="I4079" t="s">
        <v>45183</v>
      </c>
      <c r="J4079" t="s">
        <v>45184</v>
      </c>
      <c r="K4079" t="s">
        <v>45185</v>
      </c>
      <c r="L4079" t="s">
        <v>45186</v>
      </c>
      <c r="M4079" t="s">
        <v>45187</v>
      </c>
      <c r="N4079" t="s">
        <v>45188</v>
      </c>
      <c r="O4079">
        <f>-771.170529944163 -129.837340361448 -524.082129366651</f>
        <v>-1425.0899996722619</v>
      </c>
      <c r="P4079">
        <f>-784.590431657025 -178.216142719406 -234.132897832415</f>
        <v>-1196.9394722088459</v>
      </c>
      <c r="Q4079">
        <f>-620.4929645964 -30.0557663121849 -329.900204270791</f>
        <v>-980.44893517937589</v>
      </c>
      <c r="R4079" t="s">
        <v>45189</v>
      </c>
      <c r="S4079" t="s">
        <v>45190</v>
      </c>
      <c r="T4079" t="s">
        <v>45191</v>
      </c>
      <c r="U4079" t="s">
        <v>45192</v>
      </c>
      <c r="V4079">
        <f>-782.407147410903 -55.3669289754317 -89.5701765962892</f>
        <v>-927.34425298262397</v>
      </c>
      <c r="W4079" t="s">
        <v>45193</v>
      </c>
      <c r="X4079" t="s">
        <v>45194</v>
      </c>
      <c r="Y4079" t="s">
        <v>45195</v>
      </c>
    </row>
    <row r="4080" spans="1:25" x14ac:dyDescent="0.3">
      <c r="A4080">
        <v>203950</v>
      </c>
      <c r="B4080" t="s">
        <v>45196</v>
      </c>
      <c r="C4080" t="s">
        <v>45197</v>
      </c>
      <c r="D4080" t="s">
        <v>45198</v>
      </c>
      <c r="E4080" t="s">
        <v>45199</v>
      </c>
      <c r="F4080" t="s">
        <v>45200</v>
      </c>
      <c r="G4080" t="s">
        <v>45201</v>
      </c>
      <c r="H4080" t="s">
        <v>45202</v>
      </c>
      <c r="I4080" t="s">
        <v>45203</v>
      </c>
      <c r="J4080" t="s">
        <v>45204</v>
      </c>
      <c r="K4080" t="s">
        <v>45205</v>
      </c>
      <c r="L4080" t="s">
        <v>45206</v>
      </c>
      <c r="M4080" t="s">
        <v>45207</v>
      </c>
      <c r="N4080" t="s">
        <v>45208</v>
      </c>
      <c r="O4080">
        <f>-771.509690140164 -130.017178079904 -524.39052337217</f>
        <v>-1425.9173915922381</v>
      </c>
      <c r="P4080">
        <f>-784.303898458237 -178.47253463051 -234.425731542462</f>
        <v>-1197.2021646312089</v>
      </c>
      <c r="Q4080">
        <f>-620.385634406141 -30.2086247892855 -330.339830850847</f>
        <v>-980.93409004627347</v>
      </c>
      <c r="R4080" t="s">
        <v>45209</v>
      </c>
      <c r="S4080" t="s">
        <v>45210</v>
      </c>
      <c r="T4080" t="s">
        <v>45211</v>
      </c>
      <c r="U4080" t="s">
        <v>45212</v>
      </c>
      <c r="V4080">
        <f>-782.103273290311 -55.9324539661673 -89.5854383533228</f>
        <v>-927.6211656098011</v>
      </c>
      <c r="W4080" t="s">
        <v>45213</v>
      </c>
      <c r="X4080" t="s">
        <v>45214</v>
      </c>
      <c r="Y4080" t="s">
        <v>45215</v>
      </c>
    </row>
    <row r="4081" spans="1:25" x14ac:dyDescent="0.3">
      <c r="A4081">
        <v>204000</v>
      </c>
      <c r="B4081" t="s">
        <v>45216</v>
      </c>
      <c r="C4081" t="s">
        <v>45217</v>
      </c>
      <c r="D4081" t="s">
        <v>45218</v>
      </c>
      <c r="E4081" t="s">
        <v>45219</v>
      </c>
      <c r="F4081" t="s">
        <v>45220</v>
      </c>
      <c r="G4081" t="s">
        <v>45221</v>
      </c>
      <c r="H4081" t="s">
        <v>45222</v>
      </c>
      <c r="I4081" t="s">
        <v>45223</v>
      </c>
      <c r="J4081" t="s">
        <v>45224</v>
      </c>
      <c r="K4081" t="s">
        <v>45225</v>
      </c>
      <c r="L4081" t="s">
        <v>45226</v>
      </c>
      <c r="M4081" t="s">
        <v>45227</v>
      </c>
      <c r="N4081" t="s">
        <v>45228</v>
      </c>
      <c r="O4081">
        <f>-772.213873950387 -130.508081453813 -524.692741762796</f>
        <v>-1427.4146971669961</v>
      </c>
      <c r="P4081">
        <f>-783.780978241343 -178.929496919039 -234.670734929845</f>
        <v>-1197.3812100902269</v>
      </c>
      <c r="Q4081">
        <f>-620.113526444716 -30.6529958482586 -330.99264882438</f>
        <v>-981.75917111735453</v>
      </c>
      <c r="R4081" t="s">
        <v>45229</v>
      </c>
      <c r="S4081" t="s">
        <v>45230</v>
      </c>
      <c r="T4081" t="s">
        <v>45231</v>
      </c>
      <c r="U4081" t="s">
        <v>45232</v>
      </c>
      <c r="V4081">
        <f>-781.764372105821 -56.5012206053675 -89.6601253198401</f>
        <v>-927.92571803102862</v>
      </c>
      <c r="W4081" t="s">
        <v>45233</v>
      </c>
      <c r="X4081" t="s">
        <v>45234</v>
      </c>
      <c r="Y4081" t="s">
        <v>45235</v>
      </c>
    </row>
    <row r="4082" spans="1:25" x14ac:dyDescent="0.3">
      <c r="A4082">
        <v>204050</v>
      </c>
      <c r="B4082" t="s">
        <v>45236</v>
      </c>
      <c r="C4082" t="s">
        <v>45237</v>
      </c>
      <c r="D4082" t="s">
        <v>45238</v>
      </c>
      <c r="E4082" t="s">
        <v>45239</v>
      </c>
      <c r="F4082" t="s">
        <v>45240</v>
      </c>
      <c r="G4082" t="s">
        <v>45241</v>
      </c>
      <c r="H4082" t="s">
        <v>45242</v>
      </c>
      <c r="I4082" t="s">
        <v>45243</v>
      </c>
      <c r="J4082" t="s">
        <v>45244</v>
      </c>
      <c r="K4082" t="s">
        <v>45245</v>
      </c>
      <c r="L4082" t="s">
        <v>45246</v>
      </c>
      <c r="M4082" t="s">
        <v>45247</v>
      </c>
      <c r="N4082" t="s">
        <v>45248</v>
      </c>
      <c r="O4082">
        <f>-772.410383687704 -131.053196771773 -524.667924873279</f>
        <v>-1428.1315053327562</v>
      </c>
      <c r="P4082">
        <f>-783.660214755141 -179.210611866248 -234.589529583975</f>
        <v>-1197.460356205364</v>
      </c>
      <c r="Q4082">
        <f>-620.098392136614 -30.96544025916 -331.13876537029</f>
        <v>-982.20259776606406</v>
      </c>
      <c r="R4082" t="s">
        <v>45249</v>
      </c>
      <c r="S4082" t="s">
        <v>45250</v>
      </c>
      <c r="T4082" t="s">
        <v>45251</v>
      </c>
      <c r="U4082" t="s">
        <v>45252</v>
      </c>
      <c r="V4082">
        <f>-781.536630306221 -56.9072486138462 -89.6883498894298</f>
        <v>-928.13222880949695</v>
      </c>
      <c r="W4082" t="s">
        <v>45253</v>
      </c>
      <c r="X4082" t="s">
        <v>45254</v>
      </c>
      <c r="Y4082" t="s">
        <v>45255</v>
      </c>
    </row>
    <row r="4083" spans="1:25" x14ac:dyDescent="0.3">
      <c r="A4083">
        <v>204100</v>
      </c>
      <c r="B4083" t="s">
        <v>45256</v>
      </c>
      <c r="C4083" t="s">
        <v>45257</v>
      </c>
      <c r="D4083" t="s">
        <v>45258</v>
      </c>
      <c r="E4083" t="s">
        <v>45259</v>
      </c>
      <c r="F4083" t="s">
        <v>45260</v>
      </c>
      <c r="G4083" t="s">
        <v>45261</v>
      </c>
      <c r="H4083" t="s">
        <v>45262</v>
      </c>
      <c r="I4083" t="s">
        <v>45263</v>
      </c>
      <c r="J4083" t="s">
        <v>45264</v>
      </c>
      <c r="K4083" t="s">
        <v>45265</v>
      </c>
      <c r="L4083" t="s">
        <v>45266</v>
      </c>
      <c r="M4083" t="s">
        <v>45267</v>
      </c>
      <c r="N4083" t="s">
        <v>45268</v>
      </c>
      <c r="O4083">
        <f>-772.461849492992 -132.010300579431 -524.424912507693</f>
        <v>-1428.897062580116</v>
      </c>
      <c r="P4083">
        <f>-783.539914099816 -179.599766195203 -234.246157804287</f>
        <v>-1197.3858380993061</v>
      </c>
      <c r="Q4083">
        <f>-620.030041726297 -31.448154732062 -331.026859585072</f>
        <v>-982.50505604343095</v>
      </c>
      <c r="R4083" t="s">
        <v>45269</v>
      </c>
      <c r="S4083" t="s">
        <v>45270</v>
      </c>
      <c r="T4083" t="s">
        <v>45271</v>
      </c>
      <c r="U4083" t="s">
        <v>45272</v>
      </c>
      <c r="V4083">
        <f>-780.958167942791 -57.2401823110557 -89.7602428296182</f>
        <v>-927.95859308346485</v>
      </c>
      <c r="W4083" t="s">
        <v>45273</v>
      </c>
      <c r="X4083" t="s">
        <v>45274</v>
      </c>
      <c r="Y4083" t="s">
        <v>45275</v>
      </c>
    </row>
    <row r="4084" spans="1:25" x14ac:dyDescent="0.3">
      <c r="A4084">
        <v>204150</v>
      </c>
      <c r="B4084" t="s">
        <v>45276</v>
      </c>
      <c r="C4084" t="s">
        <v>45277</v>
      </c>
      <c r="D4084" t="s">
        <v>45278</v>
      </c>
      <c r="E4084" t="s">
        <v>45279</v>
      </c>
      <c r="F4084" t="s">
        <v>45280</v>
      </c>
      <c r="G4084" t="s">
        <v>45281</v>
      </c>
      <c r="H4084" t="s">
        <v>45282</v>
      </c>
      <c r="I4084" t="s">
        <v>45283</v>
      </c>
      <c r="J4084" t="s">
        <v>45284</v>
      </c>
      <c r="K4084" t="s">
        <v>45285</v>
      </c>
      <c r="L4084" t="s">
        <v>45286</v>
      </c>
      <c r="M4084" t="s">
        <v>45287</v>
      </c>
      <c r="N4084" t="s">
        <v>45288</v>
      </c>
      <c r="O4084">
        <f>-772.298489414727 -132.528455641295 -524.240808724732</f>
        <v>-1429.0677537807539</v>
      </c>
      <c r="P4084">
        <f>-783.648008135957 -179.700141921921 -234.004365063178</f>
        <v>-1197.3525151210561</v>
      </c>
      <c r="Q4084">
        <f>-620.114744037179 -31.5979854839522 -330.820964706734</f>
        <v>-982.53369422786523</v>
      </c>
      <c r="R4084" t="s">
        <v>45289</v>
      </c>
      <c r="S4084" t="s">
        <v>45290</v>
      </c>
      <c r="T4084" t="s">
        <v>45291</v>
      </c>
      <c r="U4084" t="s">
        <v>45292</v>
      </c>
      <c r="V4084">
        <f>-780.740752611629 -57.4603326211383 -89.8157975812804</f>
        <v>-928.01688281404768</v>
      </c>
      <c r="W4084" t="s">
        <v>45293</v>
      </c>
      <c r="X4084" t="s">
        <v>45294</v>
      </c>
      <c r="Y4084" t="s">
        <v>45295</v>
      </c>
    </row>
    <row r="4085" spans="1:25" x14ac:dyDescent="0.3">
      <c r="A4085">
        <v>204200</v>
      </c>
      <c r="B4085" t="s">
        <v>45296</v>
      </c>
      <c r="C4085" t="s">
        <v>45297</v>
      </c>
      <c r="D4085" t="s">
        <v>45298</v>
      </c>
      <c r="E4085" t="s">
        <v>45299</v>
      </c>
      <c r="F4085" t="s">
        <v>45300</v>
      </c>
      <c r="G4085" t="s">
        <v>45301</v>
      </c>
      <c r="H4085" t="s">
        <v>45302</v>
      </c>
      <c r="I4085" t="s">
        <v>45303</v>
      </c>
      <c r="J4085" t="s">
        <v>45304</v>
      </c>
      <c r="K4085" t="s">
        <v>45305</v>
      </c>
      <c r="L4085" t="s">
        <v>45306</v>
      </c>
      <c r="M4085" t="s">
        <v>45307</v>
      </c>
      <c r="N4085">
        <f>-792.765394701801 -1.18245223068107 -552.057800767216</f>
        <v>-1346.0056476996981</v>
      </c>
      <c r="O4085">
        <f>-771.766409123567 -134.053277367372 -523.760942790622</f>
        <v>-1429.580629281561</v>
      </c>
      <c r="P4085">
        <f>-783.153031480078 -180.319762096467 -233.38011167688</f>
        <v>-1196.852905253425</v>
      </c>
      <c r="Q4085">
        <f>-620.005443204071 -31.7915881996275 -330.194978870098</f>
        <v>-981.9920102737965</v>
      </c>
      <c r="R4085" t="s">
        <v>45308</v>
      </c>
      <c r="S4085" t="s">
        <v>45309</v>
      </c>
      <c r="T4085" t="s">
        <v>45310</v>
      </c>
      <c r="U4085" t="s">
        <v>45311</v>
      </c>
      <c r="V4085">
        <f>-779.988317012195 -58.0024181258352 -89.9338707492672</f>
        <v>-927.92460588729739</v>
      </c>
      <c r="W4085" t="s">
        <v>45312</v>
      </c>
      <c r="X4085" t="s">
        <v>45313</v>
      </c>
      <c r="Y4085" t="s">
        <v>45314</v>
      </c>
    </row>
    <row r="4086" spans="1:25" x14ac:dyDescent="0.3">
      <c r="A4086">
        <v>204250</v>
      </c>
      <c r="B4086" t="s">
        <v>45315</v>
      </c>
      <c r="C4086" t="s">
        <v>45316</v>
      </c>
      <c r="D4086" t="s">
        <v>45317</v>
      </c>
      <c r="E4086" t="s">
        <v>45318</v>
      </c>
      <c r="F4086" t="s">
        <v>45319</v>
      </c>
      <c r="G4086" t="s">
        <v>45320</v>
      </c>
      <c r="H4086" t="s">
        <v>45321</v>
      </c>
      <c r="I4086" t="s">
        <v>45322</v>
      </c>
      <c r="J4086" t="s">
        <v>45323</v>
      </c>
      <c r="K4086" t="s">
        <v>45324</v>
      </c>
      <c r="L4086" t="s">
        <v>45325</v>
      </c>
      <c r="M4086" t="s">
        <v>45326</v>
      </c>
      <c r="N4086">
        <f>-792.859543735625 -1.89133400234368 -552.041726300818</f>
        <v>-1346.7926040387867</v>
      </c>
      <c r="O4086">
        <f>-771.433604731463 -134.65626437442 -523.534137855543</f>
        <v>-1429.6240069614259</v>
      </c>
      <c r="P4086">
        <f>-782.648086606317 -180.518345031072 -233.08244553015</f>
        <v>-1196.2488771675389</v>
      </c>
      <c r="Q4086">
        <f>-619.832917949905 -31.6894034315403 -329.995060828803</f>
        <v>-981.51738221024834</v>
      </c>
      <c r="R4086" t="s">
        <v>45327</v>
      </c>
      <c r="S4086" t="s">
        <v>45328</v>
      </c>
      <c r="T4086" t="s">
        <v>45329</v>
      </c>
      <c r="U4086" t="s">
        <v>45330</v>
      </c>
      <c r="V4086">
        <f>-779.659267052898 -58.1219078192091 -89.9638332663831</f>
        <v>-927.74500813849022</v>
      </c>
      <c r="W4086" t="s">
        <v>45331</v>
      </c>
      <c r="X4086" t="s">
        <v>45332</v>
      </c>
      <c r="Y4086" t="s">
        <v>45333</v>
      </c>
    </row>
    <row r="4087" spans="1:25" x14ac:dyDescent="0.3">
      <c r="A4087">
        <v>204300</v>
      </c>
      <c r="B4087" t="s">
        <v>45334</v>
      </c>
      <c r="C4087" t="s">
        <v>45335</v>
      </c>
      <c r="D4087" t="s">
        <v>45336</v>
      </c>
      <c r="E4087" t="s">
        <v>45337</v>
      </c>
      <c r="F4087" t="s">
        <v>45338</v>
      </c>
      <c r="G4087" t="s">
        <v>45339</v>
      </c>
      <c r="H4087" t="s">
        <v>45340</v>
      </c>
      <c r="I4087" t="s">
        <v>45341</v>
      </c>
      <c r="J4087" t="s">
        <v>45342</v>
      </c>
      <c r="K4087" t="s">
        <v>45343</v>
      </c>
      <c r="L4087" t="s">
        <v>45344</v>
      </c>
      <c r="M4087" t="s">
        <v>45345</v>
      </c>
      <c r="N4087">
        <f>-792.229765146161 -3.13760953328097 -552.067885257883</f>
        <v>-1347.4352599373249</v>
      </c>
      <c r="O4087">
        <f>-770.017847566198 -135.73271492202 -523.338502931843</f>
        <v>-1429.0890654200612</v>
      </c>
      <c r="P4087">
        <f>-781.026598825879 -181.321342327588 -232.835918927391</f>
        <v>-1195.183860080858</v>
      </c>
      <c r="Q4087">
        <f>-619.031849363927 -31.7859546817378 -330.035356861361</f>
        <v>-980.85316090702577</v>
      </c>
      <c r="R4087" t="s">
        <v>45346</v>
      </c>
      <c r="S4087" t="s">
        <v>45347</v>
      </c>
      <c r="T4087" t="s">
        <v>45348</v>
      </c>
      <c r="U4087" t="s">
        <v>45349</v>
      </c>
      <c r="V4087">
        <f>-778.921982350547 -58.7489147571212 -90.0534014991508</f>
        <v>-927.72429860681893</v>
      </c>
      <c r="W4087" t="s">
        <v>45350</v>
      </c>
      <c r="X4087" t="s">
        <v>45351</v>
      </c>
      <c r="Y4087" t="s">
        <v>45352</v>
      </c>
    </row>
    <row r="4088" spans="1:25" x14ac:dyDescent="0.3">
      <c r="A4088">
        <v>204350</v>
      </c>
      <c r="B4088" t="s">
        <v>45353</v>
      </c>
      <c r="C4088" t="s">
        <v>45354</v>
      </c>
      <c r="D4088" t="s">
        <v>45355</v>
      </c>
      <c r="E4088" t="s">
        <v>45356</v>
      </c>
      <c r="F4088" t="s">
        <v>45357</v>
      </c>
      <c r="G4088" t="s">
        <v>45358</v>
      </c>
      <c r="H4088" t="s">
        <v>45359</v>
      </c>
      <c r="I4088" t="s">
        <v>45360</v>
      </c>
      <c r="J4088" t="s">
        <v>45361</v>
      </c>
      <c r="K4088" t="s">
        <v>45362</v>
      </c>
      <c r="L4088" t="s">
        <v>45363</v>
      </c>
      <c r="M4088" t="s">
        <v>45364</v>
      </c>
      <c r="N4088">
        <f>-791.91459829835 -3.40968270454323 -552.114775105701</f>
        <v>-1347.4390561085943</v>
      </c>
      <c r="O4088">
        <f>-769.417459656342 -135.957969735505 -523.361558238745</f>
        <v>-1428.736987630592</v>
      </c>
      <c r="P4088">
        <f>-780.325616626314 -181.461273192955 -232.841968679677</f>
        <v>-1194.6288584989459</v>
      </c>
      <c r="Q4088">
        <f>-618.676121404682 -31.6194516704941 -330.144342721575</f>
        <v>-980.43991579675117</v>
      </c>
      <c r="R4088" t="s">
        <v>45365</v>
      </c>
      <c r="S4088" t="s">
        <v>45366</v>
      </c>
      <c r="T4088" t="s">
        <v>45367</v>
      </c>
      <c r="U4088" t="s">
        <v>45368</v>
      </c>
      <c r="V4088">
        <f>-778.681701066442 -58.9662464416122 -90.1134894875438</f>
        <v>-927.76143699559793</v>
      </c>
      <c r="W4088" t="s">
        <v>45369</v>
      </c>
      <c r="X4088" t="s">
        <v>45370</v>
      </c>
      <c r="Y4088" t="s">
        <v>45371</v>
      </c>
    </row>
    <row r="4089" spans="1:25" x14ac:dyDescent="0.3">
      <c r="A4089">
        <v>204400</v>
      </c>
      <c r="B4089" t="s">
        <v>45372</v>
      </c>
      <c r="C4089" t="s">
        <v>45373</v>
      </c>
      <c r="D4089" t="s">
        <v>45374</v>
      </c>
      <c r="E4089" t="s">
        <v>45375</v>
      </c>
      <c r="F4089" t="s">
        <v>45376</v>
      </c>
      <c r="G4089" t="s">
        <v>45377</v>
      </c>
      <c r="H4089" t="s">
        <v>45378</v>
      </c>
      <c r="I4089" t="s">
        <v>45379</v>
      </c>
      <c r="J4089" t="s">
        <v>45380</v>
      </c>
      <c r="K4089" t="s">
        <v>45381</v>
      </c>
      <c r="L4089" t="s">
        <v>45382</v>
      </c>
      <c r="M4089" t="s">
        <v>45383</v>
      </c>
      <c r="N4089">
        <f>-791.534019873145 -2.96243732042285 -552.274857155177</f>
        <v>-1346.7713143487449</v>
      </c>
      <c r="O4089">
        <f>-768.905697104584 -135.504876194541 -523.63901798183</f>
        <v>-1428.0495912809549</v>
      </c>
      <c r="P4089">
        <f>-779.473878107299 -181.219905432715 -233.139945803368</f>
        <v>-1193.8337293433819</v>
      </c>
      <c r="Q4089">
        <f>-618.273365960207 -30.9586993538915 -330.540356807673</f>
        <v>-979.77242212177146</v>
      </c>
      <c r="R4089" t="s">
        <v>45384</v>
      </c>
      <c r="S4089" t="s">
        <v>45385</v>
      </c>
      <c r="T4089" t="s">
        <v>45386</v>
      </c>
      <c r="U4089" t="s">
        <v>45387</v>
      </c>
      <c r="V4089">
        <f>-778.674817995486 -59.1149550489589 -90.2283710556521</f>
        <v>-928.01814410009706</v>
      </c>
      <c r="W4089" t="s">
        <v>45388</v>
      </c>
      <c r="X4089" t="s">
        <v>45389</v>
      </c>
      <c r="Y4089" t="s">
        <v>45390</v>
      </c>
    </row>
    <row r="4090" spans="1:25" x14ac:dyDescent="0.3">
      <c r="A4090">
        <v>204450</v>
      </c>
      <c r="B4090" t="s">
        <v>45391</v>
      </c>
      <c r="C4090" t="s">
        <v>45392</v>
      </c>
      <c r="D4090" t="s">
        <v>45393</v>
      </c>
      <c r="E4090" t="s">
        <v>45394</v>
      </c>
      <c r="F4090" t="s">
        <v>45395</v>
      </c>
      <c r="G4090" t="s">
        <v>45396</v>
      </c>
      <c r="H4090" t="s">
        <v>45397</v>
      </c>
      <c r="I4090" t="s">
        <v>45398</v>
      </c>
      <c r="J4090" t="s">
        <v>45399</v>
      </c>
      <c r="K4090" t="s">
        <v>45400</v>
      </c>
      <c r="L4090" t="s">
        <v>45401</v>
      </c>
      <c r="M4090" t="s">
        <v>45402</v>
      </c>
      <c r="N4090">
        <f>-791.461085710316 -2.45333145696009 -552.339683966273</f>
        <v>-1346.2541011335491</v>
      </c>
      <c r="O4090">
        <f>-768.906477063932 -135.043390994057 -523.887410229905</f>
        <v>-1427.8372782878942</v>
      </c>
      <c r="P4090">
        <f>-779.388503435405 -181.060360329335 -233.432849947278</f>
        <v>-1193.8817137120182</v>
      </c>
      <c r="Q4090">
        <f>-618.243723849318 -30.6986514051962 -330.770354992495</f>
        <v>-979.71273024700918</v>
      </c>
      <c r="R4090" t="s">
        <v>45403</v>
      </c>
      <c r="S4090" t="s">
        <v>45404</v>
      </c>
      <c r="T4090" t="s">
        <v>45405</v>
      </c>
      <c r="U4090" t="s">
        <v>45406</v>
      </c>
      <c r="V4090">
        <f>-778.750329370004 -59.084992426746 -90.2634237553193</f>
        <v>-928.09874555206932</v>
      </c>
      <c r="W4090" t="s">
        <v>45407</v>
      </c>
      <c r="X4090" t="s">
        <v>45408</v>
      </c>
      <c r="Y4090" t="s">
        <v>45409</v>
      </c>
    </row>
    <row r="4091" spans="1:25" x14ac:dyDescent="0.3">
      <c r="A4091">
        <v>204500</v>
      </c>
      <c r="B4091" t="s">
        <v>45410</v>
      </c>
      <c r="C4091" t="s">
        <v>45411</v>
      </c>
      <c r="D4091" t="s">
        <v>45412</v>
      </c>
      <c r="E4091" t="s">
        <v>45413</v>
      </c>
      <c r="F4091" t="s">
        <v>45414</v>
      </c>
      <c r="G4091" t="s">
        <v>45415</v>
      </c>
      <c r="H4091" t="s">
        <v>45416</v>
      </c>
      <c r="I4091" t="s">
        <v>45417</v>
      </c>
      <c r="J4091" t="s">
        <v>45418</v>
      </c>
      <c r="K4091" t="s">
        <v>45419</v>
      </c>
      <c r="L4091" t="s">
        <v>45420</v>
      </c>
      <c r="M4091" t="s">
        <v>45421</v>
      </c>
      <c r="N4091">
        <f>-791.536912817994 -1.80259629160514 -552.453475354541</f>
        <v>-1345.7929844641401</v>
      </c>
      <c r="O4091">
        <f>-769.328193339044 -134.551588691922 -524.51843406872</f>
        <v>-1428.3982160996861</v>
      </c>
      <c r="P4091">
        <f>-779.546552581447 -181.641365271129 -234.22662586155</f>
        <v>-1195.414543714126</v>
      </c>
      <c r="Q4091">
        <f>-618.090435766799 -31.3765997638598 -331.197424859587</f>
        <v>-980.66446039024572</v>
      </c>
      <c r="R4091" t="s">
        <v>45422</v>
      </c>
      <c r="S4091" t="s">
        <v>45423</v>
      </c>
      <c r="T4091" t="s">
        <v>45424</v>
      </c>
      <c r="U4091" t="s">
        <v>45425</v>
      </c>
      <c r="V4091">
        <f>-779.146536598205 -59.6366413366026 -90.3311081760536</f>
        <v>-929.11428611086114</v>
      </c>
      <c r="W4091" t="s">
        <v>45426</v>
      </c>
      <c r="X4091" t="s">
        <v>45427</v>
      </c>
      <c r="Y4091" t="s">
        <v>45428</v>
      </c>
    </row>
    <row r="4092" spans="1:25" x14ac:dyDescent="0.3">
      <c r="A4092">
        <v>204550</v>
      </c>
      <c r="B4092" t="s">
        <v>45429</v>
      </c>
      <c r="C4092" t="s">
        <v>45430</v>
      </c>
      <c r="D4092" t="s">
        <v>45431</v>
      </c>
      <c r="E4092" t="s">
        <v>45432</v>
      </c>
      <c r="F4092" t="s">
        <v>45433</v>
      </c>
      <c r="G4092" t="s">
        <v>45434</v>
      </c>
      <c r="H4092" t="s">
        <v>45435</v>
      </c>
      <c r="I4092" t="s">
        <v>45436</v>
      </c>
      <c r="J4092" t="s">
        <v>45437</v>
      </c>
      <c r="K4092" t="s">
        <v>45438</v>
      </c>
      <c r="L4092" t="s">
        <v>45439</v>
      </c>
      <c r="M4092" t="s">
        <v>45440</v>
      </c>
      <c r="N4092">
        <f>-791.703282405235 -1.85085583347018 -552.499999214348</f>
        <v>-1346.054137453053</v>
      </c>
      <c r="O4092">
        <f>-769.71800664052 -134.689579100538 -524.810196163672</f>
        <v>-1429.2177819047301</v>
      </c>
      <c r="P4092">
        <f>-779.753702750224 -182.295151277768 -234.596117406511</f>
        <v>-1196.6449714345031</v>
      </c>
      <c r="Q4092">
        <f>-618.125963354659 -32.1458211396539 -331.459643523232</f>
        <v>-981.73142801754489</v>
      </c>
      <c r="R4092" t="s">
        <v>45441</v>
      </c>
      <c r="S4092" t="s">
        <v>45442</v>
      </c>
      <c r="T4092" t="s">
        <v>45443</v>
      </c>
      <c r="U4092" t="s">
        <v>45444</v>
      </c>
      <c r="V4092">
        <f>-779.340615812359 -60.237943712361 -90.3510668618745</f>
        <v>-929.92962638659458</v>
      </c>
      <c r="W4092" t="s">
        <v>45445</v>
      </c>
      <c r="X4092" t="s">
        <v>45446</v>
      </c>
      <c r="Y4092" t="s">
        <v>45447</v>
      </c>
    </row>
    <row r="4093" spans="1:25" x14ac:dyDescent="0.3">
      <c r="A4093">
        <v>204600</v>
      </c>
      <c r="B4093" t="s">
        <v>45448</v>
      </c>
      <c r="C4093" t="s">
        <v>45449</v>
      </c>
      <c r="D4093" t="s">
        <v>45450</v>
      </c>
      <c r="E4093" t="s">
        <v>45451</v>
      </c>
      <c r="F4093" t="s">
        <v>45452</v>
      </c>
      <c r="G4093" t="s">
        <v>45453</v>
      </c>
      <c r="H4093" t="s">
        <v>45454</v>
      </c>
      <c r="I4093" t="s">
        <v>45455</v>
      </c>
      <c r="J4093" t="s">
        <v>45456</v>
      </c>
      <c r="K4093" t="s">
        <v>45457</v>
      </c>
      <c r="L4093" t="s">
        <v>45458</v>
      </c>
      <c r="M4093" t="s">
        <v>45459</v>
      </c>
      <c r="N4093">
        <f>-791.860186114891 -2.39430110764943 -552.537453244247</f>
        <v>-1346.7919404667873</v>
      </c>
      <c r="O4093">
        <f>-770.338275153428 -135.375962980406 -525.172276137527</f>
        <v>-1430.886514271361</v>
      </c>
      <c r="P4093">
        <f>-780.043525528597 -183.538139255431 -235.038750502605</f>
        <v>-1198.620415286633</v>
      </c>
      <c r="Q4093">
        <f>-618.058714495635 -33.8196777195253 -331.972656583146</f>
        <v>-983.85104879830624</v>
      </c>
      <c r="R4093" t="s">
        <v>45460</v>
      </c>
      <c r="S4093" t="s">
        <v>45461</v>
      </c>
      <c r="T4093" t="s">
        <v>45462</v>
      </c>
      <c r="U4093" t="s">
        <v>45463</v>
      </c>
      <c r="V4093">
        <f>-779.959447939402 -61.6884009842388 -90.4038142410369</f>
        <v>-932.05166316467773</v>
      </c>
      <c r="W4093" t="s">
        <v>45464</v>
      </c>
      <c r="X4093" t="s">
        <v>45465</v>
      </c>
      <c r="Y4093" t="s">
        <v>45466</v>
      </c>
    </row>
    <row r="4094" spans="1:25" x14ac:dyDescent="0.3">
      <c r="A4094">
        <v>204650</v>
      </c>
      <c r="B4094" t="s">
        <v>45467</v>
      </c>
      <c r="C4094" t="s">
        <v>45468</v>
      </c>
      <c r="D4094" t="s">
        <v>45469</v>
      </c>
      <c r="E4094" t="s">
        <v>45470</v>
      </c>
      <c r="F4094" t="s">
        <v>45471</v>
      </c>
      <c r="G4094" t="s">
        <v>45472</v>
      </c>
      <c r="H4094" t="s">
        <v>45473</v>
      </c>
      <c r="I4094" t="s">
        <v>45474</v>
      </c>
      <c r="J4094" t="s">
        <v>45475</v>
      </c>
      <c r="K4094" t="s">
        <v>45476</v>
      </c>
      <c r="L4094" t="s">
        <v>45477</v>
      </c>
      <c r="M4094" t="s">
        <v>45478</v>
      </c>
      <c r="N4094">
        <f>-791.836847823807 -2.96046865086146 -552.548272668695</f>
        <v>-1347.3455891433634</v>
      </c>
      <c r="O4094">
        <f>-770.559954862468 -136.00772212265 -525.263346847464</f>
        <v>-1431.8310238325821</v>
      </c>
      <c r="P4094">
        <f>-780.208311311985 -184.290001312456 -235.147937510939</f>
        <v>-1199.6462501353801</v>
      </c>
      <c r="Q4094">
        <f>-618.090382189665 -34.7785710648845 -332.178574998261</f>
        <v>-985.04752825281048</v>
      </c>
      <c r="R4094" t="s">
        <v>45479</v>
      </c>
      <c r="S4094" t="s">
        <v>45480</v>
      </c>
      <c r="T4094" t="s">
        <v>45481</v>
      </c>
      <c r="U4094" t="s">
        <v>45482</v>
      </c>
      <c r="V4094">
        <f>-780.27320097485 -62.5468842118963 -90.4167950376356</f>
        <v>-933.23688022438193</v>
      </c>
      <c r="W4094" t="s">
        <v>45483</v>
      </c>
      <c r="X4094" t="s">
        <v>45484</v>
      </c>
      <c r="Y4094" t="s">
        <v>45485</v>
      </c>
    </row>
    <row r="4095" spans="1:25" x14ac:dyDescent="0.3">
      <c r="A4095">
        <v>204700</v>
      </c>
      <c r="B4095" t="s">
        <v>45486</v>
      </c>
      <c r="C4095" t="s">
        <v>45487</v>
      </c>
      <c r="D4095" t="s">
        <v>45488</v>
      </c>
      <c r="E4095" t="s">
        <v>45489</v>
      </c>
      <c r="F4095" t="s">
        <v>45490</v>
      </c>
      <c r="G4095" t="s">
        <v>45491</v>
      </c>
      <c r="H4095" t="s">
        <v>45492</v>
      </c>
      <c r="I4095" t="s">
        <v>45493</v>
      </c>
      <c r="J4095" t="s">
        <v>45494</v>
      </c>
      <c r="K4095" t="s">
        <v>45495</v>
      </c>
      <c r="L4095" t="s">
        <v>45496</v>
      </c>
      <c r="M4095" t="s">
        <v>45497</v>
      </c>
      <c r="N4095">
        <f>-791.736528388959 -3.51309619439326 -552.54146393059</f>
        <v>-1347.7910885139422</v>
      </c>
      <c r="O4095">
        <f>-771.19556429459 -136.687451947008 -525.271460937757</f>
        <v>-1433.1544771793549</v>
      </c>
      <c r="P4095">
        <f>-780.859463127036 -184.916900814155 -235.147756810851</f>
        <v>-1200.924120752042</v>
      </c>
      <c r="Q4095">
        <f>-618.232485823938 -36.0659246726282 -332.342070778128</f>
        <v>-986.64048127469414</v>
      </c>
      <c r="R4095" t="s">
        <v>45498</v>
      </c>
      <c r="S4095" t="s">
        <v>45499</v>
      </c>
      <c r="T4095" t="s">
        <v>45500</v>
      </c>
      <c r="U4095" t="s">
        <v>45501</v>
      </c>
      <c r="V4095">
        <f>-781.194079863895 -63.2818736737538 -90.4152415417269</f>
        <v>-934.89119507937573</v>
      </c>
      <c r="W4095" t="s">
        <v>45502</v>
      </c>
      <c r="X4095" t="s">
        <v>45503</v>
      </c>
      <c r="Y4095" t="s">
        <v>45504</v>
      </c>
    </row>
    <row r="4096" spans="1:25" x14ac:dyDescent="0.3">
      <c r="A4096">
        <v>204750</v>
      </c>
      <c r="B4096" t="s">
        <v>45505</v>
      </c>
      <c r="C4096" t="s">
        <v>45506</v>
      </c>
      <c r="D4096" t="s">
        <v>45507</v>
      </c>
      <c r="E4096" t="s">
        <v>45508</v>
      </c>
      <c r="F4096" t="s">
        <v>45509</v>
      </c>
      <c r="G4096" t="s">
        <v>45510</v>
      </c>
      <c r="H4096" t="s">
        <v>45511</v>
      </c>
      <c r="I4096" t="s">
        <v>45512</v>
      </c>
      <c r="J4096" t="s">
        <v>45513</v>
      </c>
      <c r="K4096" t="s">
        <v>45514</v>
      </c>
      <c r="L4096" t="s">
        <v>45515</v>
      </c>
      <c r="M4096" t="s">
        <v>45516</v>
      </c>
      <c r="N4096">
        <f>-791.691228327029 -3.45637330674731 -552.549440985468</f>
        <v>-1347.6970426192443</v>
      </c>
      <c r="O4096">
        <f>-771.559501429292 -136.678772036404 -525.225111786656</f>
        <v>-1433.4633852523521</v>
      </c>
      <c r="P4096">
        <f>-781.417906163704 -184.727960529856 -235.07811871666</f>
        <v>-1201.2239854102199</v>
      </c>
      <c r="Q4096">
        <f>-618.413168374937 -36.329380418076 -332.331158462975</f>
        <v>-987.07370725598798</v>
      </c>
      <c r="R4096" t="s">
        <v>45517</v>
      </c>
      <c r="S4096" t="s">
        <v>45518</v>
      </c>
      <c r="T4096" t="s">
        <v>45519</v>
      </c>
      <c r="U4096" t="s">
        <v>45520</v>
      </c>
      <c r="V4096">
        <f>-781.659391251961 -63.2561677066906 -90.4203807445266</f>
        <v>-935.33593970317816</v>
      </c>
      <c r="W4096" t="s">
        <v>45521</v>
      </c>
      <c r="X4096" t="s">
        <v>45522</v>
      </c>
      <c r="Y4096" t="s">
        <v>45523</v>
      </c>
    </row>
    <row r="4097" spans="1:25" x14ac:dyDescent="0.3">
      <c r="A4097">
        <v>204800</v>
      </c>
      <c r="B4097" t="s">
        <v>45524</v>
      </c>
      <c r="C4097" t="s">
        <v>45525</v>
      </c>
      <c r="D4097" t="s">
        <v>45526</v>
      </c>
      <c r="E4097" t="s">
        <v>45527</v>
      </c>
      <c r="F4097" t="s">
        <v>45528</v>
      </c>
      <c r="G4097" t="s">
        <v>45529</v>
      </c>
      <c r="H4097" t="s">
        <v>45530</v>
      </c>
      <c r="I4097" t="s">
        <v>45531</v>
      </c>
      <c r="J4097" t="s">
        <v>45532</v>
      </c>
      <c r="K4097" t="s">
        <v>45533</v>
      </c>
      <c r="L4097" t="s">
        <v>45534</v>
      </c>
      <c r="M4097" t="s">
        <v>45535</v>
      </c>
      <c r="N4097">
        <f>-791.832561842677 -3.02331294604073 -552.58684150253</f>
        <v>-1347.4427162912477</v>
      </c>
      <c r="O4097">
        <f>-772.2434413934 -136.282305038416 -525.096652479359</f>
        <v>-1433.622398911175</v>
      </c>
      <c r="P4097">
        <f>-782.751395726541 -183.853946963931 -234.893657835074</f>
        <v>-1201.4990005255459</v>
      </c>
      <c r="Q4097">
        <f>-618.780890704657 -36.5199050762371 -332.141871496144</f>
        <v>-987.44266727703825</v>
      </c>
      <c r="R4097" t="s">
        <v>45536</v>
      </c>
      <c r="S4097" t="s">
        <v>45537</v>
      </c>
      <c r="T4097" t="s">
        <v>45538</v>
      </c>
      <c r="U4097" t="s">
        <v>45539</v>
      </c>
      <c r="V4097">
        <f>-782.055689928703 -62.7857562602502 -90.4436138206007</f>
        <v>-935.28506000955394</v>
      </c>
      <c r="W4097" t="s">
        <v>45540</v>
      </c>
      <c r="X4097" t="s">
        <v>45541</v>
      </c>
      <c r="Y4097" t="s">
        <v>45542</v>
      </c>
    </row>
    <row r="4098" spans="1:25" x14ac:dyDescent="0.3">
      <c r="A4098">
        <v>204850</v>
      </c>
      <c r="B4098" t="s">
        <v>45543</v>
      </c>
      <c r="C4098" t="s">
        <v>45544</v>
      </c>
      <c r="D4098" t="s">
        <v>45545</v>
      </c>
      <c r="E4098" t="s">
        <v>45546</v>
      </c>
      <c r="F4098" t="s">
        <v>45547</v>
      </c>
      <c r="G4098" t="s">
        <v>45548</v>
      </c>
      <c r="H4098" t="s">
        <v>45549</v>
      </c>
      <c r="I4098" t="s">
        <v>45550</v>
      </c>
      <c r="J4098" t="s">
        <v>45551</v>
      </c>
      <c r="K4098" t="s">
        <v>45552</v>
      </c>
      <c r="L4098" t="s">
        <v>45553</v>
      </c>
      <c r="M4098" t="s">
        <v>45554</v>
      </c>
      <c r="N4098">
        <f>-791.897476153026 -3.01618466070386 -552.540762035533</f>
        <v>-1347.4544228492628</v>
      </c>
      <c r="O4098">
        <f>-772.359241417333 -136.257171008033 -524.986433383639</f>
        <v>-1433.602845809005</v>
      </c>
      <c r="P4098">
        <f>-783.144744598134 -183.988942501482 -234.820047834606</f>
        <v>-1201.953734934222</v>
      </c>
      <c r="Q4098">
        <f>-618.91441071998 -36.8744183755446 -331.962262966355</f>
        <v>-987.75109206187949</v>
      </c>
      <c r="R4098" t="s">
        <v>45555</v>
      </c>
      <c r="S4098" t="s">
        <v>45556</v>
      </c>
      <c r="T4098" t="s">
        <v>45557</v>
      </c>
      <c r="U4098" t="s">
        <v>45558</v>
      </c>
      <c r="V4098">
        <f>-782.190222101414 -62.6633242459549 -90.4463613809082</f>
        <v>-935.29990772827705</v>
      </c>
      <c r="W4098" t="s">
        <v>45559</v>
      </c>
      <c r="X4098" t="s">
        <v>45560</v>
      </c>
      <c r="Y4098" t="s">
        <v>45561</v>
      </c>
    </row>
    <row r="4099" spans="1:25" x14ac:dyDescent="0.3">
      <c r="A4099">
        <v>204900</v>
      </c>
      <c r="B4099" t="s">
        <v>45562</v>
      </c>
      <c r="C4099" t="s">
        <v>45563</v>
      </c>
      <c r="D4099" t="s">
        <v>45564</v>
      </c>
      <c r="E4099" t="s">
        <v>45565</v>
      </c>
      <c r="F4099" t="s">
        <v>45566</v>
      </c>
      <c r="G4099" t="s">
        <v>45567</v>
      </c>
      <c r="H4099" t="s">
        <v>45568</v>
      </c>
      <c r="I4099" t="s">
        <v>45569</v>
      </c>
      <c r="J4099" t="s">
        <v>45570</v>
      </c>
      <c r="K4099" t="s">
        <v>45571</v>
      </c>
      <c r="L4099" t="s">
        <v>45572</v>
      </c>
      <c r="M4099" t="s">
        <v>45573</v>
      </c>
      <c r="N4099">
        <f>-791.912851450148 -4.24924916577538 -552.427161951572</f>
        <v>-1348.5892625674953</v>
      </c>
      <c r="O4099">
        <f>-771.848309050713 -137.382399723207 -524.734898616245</f>
        <v>-1433.9656073901651</v>
      </c>
      <c r="P4099">
        <f>-782.697832440663 -185.593344643148 -234.650124027753</f>
        <v>-1202.9413011115639</v>
      </c>
      <c r="Q4099">
        <f>-618.369776929554 -38.3559813107402 -331.440395232611</f>
        <v>-988.16615347290508</v>
      </c>
      <c r="R4099" t="s">
        <v>45574</v>
      </c>
      <c r="S4099" t="s">
        <v>45575</v>
      </c>
      <c r="T4099" t="s">
        <v>45576</v>
      </c>
      <c r="U4099" t="s">
        <v>45577</v>
      </c>
      <c r="V4099">
        <f>-782.070685138244 -63.4980597375608 -90.4223409689413</f>
        <v>-935.99108584474607</v>
      </c>
      <c r="W4099" t="s">
        <v>45578</v>
      </c>
      <c r="X4099" t="s">
        <v>45579</v>
      </c>
      <c r="Y4099" t="s">
        <v>45580</v>
      </c>
    </row>
    <row r="4100" spans="1:25" x14ac:dyDescent="0.3">
      <c r="A4100">
        <v>204950</v>
      </c>
      <c r="B4100" t="s">
        <v>45581</v>
      </c>
      <c r="C4100" t="s">
        <v>45582</v>
      </c>
      <c r="D4100" t="s">
        <v>45583</v>
      </c>
      <c r="E4100" t="s">
        <v>45584</v>
      </c>
      <c r="F4100" t="s">
        <v>45585</v>
      </c>
      <c r="G4100" t="s">
        <v>45586</v>
      </c>
      <c r="H4100" t="s">
        <v>45587</v>
      </c>
      <c r="I4100" t="s">
        <v>45588</v>
      </c>
      <c r="J4100" t="s">
        <v>45589</v>
      </c>
      <c r="K4100" t="s">
        <v>45590</v>
      </c>
      <c r="L4100" t="s">
        <v>45591</v>
      </c>
      <c r="M4100" t="s">
        <v>45592</v>
      </c>
      <c r="N4100">
        <f>-792.009765984324 -5.01822642986122 -552.418320831573</f>
        <v>-1349.4463132457581</v>
      </c>
      <c r="O4100">
        <f>-771.477662377326 -138.078489491238 -524.661824487647</f>
        <v>-1434.217976356211</v>
      </c>
      <c r="P4100">
        <f>-782.296312724298 -186.290103662709 -234.575913081057</f>
        <v>-1203.1623294680639</v>
      </c>
      <c r="Q4100">
        <f>-618.071685803201 -38.8442708842238 -331.22409657206</f>
        <v>-988.14005325948483</v>
      </c>
      <c r="R4100" t="s">
        <v>45593</v>
      </c>
      <c r="S4100" t="s">
        <v>45594</v>
      </c>
      <c r="T4100" t="s">
        <v>45595</v>
      </c>
      <c r="U4100" t="s">
        <v>45596</v>
      </c>
      <c r="V4100">
        <f>-782.034818496358 -64.0589026952036 -90.4306736209412</f>
        <v>-936.52439481250281</v>
      </c>
      <c r="W4100" t="s">
        <v>45597</v>
      </c>
      <c r="X4100" t="s">
        <v>45598</v>
      </c>
      <c r="Y4100" t="s">
        <v>45599</v>
      </c>
    </row>
    <row r="4101" spans="1:25" x14ac:dyDescent="0.3">
      <c r="A4101">
        <v>205000</v>
      </c>
      <c r="B4101" t="s">
        <v>45600</v>
      </c>
      <c r="C4101" t="s">
        <v>45601</v>
      </c>
      <c r="D4101" t="s">
        <v>45602</v>
      </c>
      <c r="E4101" t="s">
        <v>45603</v>
      </c>
      <c r="F4101" t="s">
        <v>45604</v>
      </c>
      <c r="G4101" t="s">
        <v>45605</v>
      </c>
      <c r="H4101" t="s">
        <v>45606</v>
      </c>
      <c r="I4101" t="s">
        <v>45607</v>
      </c>
      <c r="J4101" t="s">
        <v>45608</v>
      </c>
      <c r="K4101" t="s">
        <v>45609</v>
      </c>
      <c r="L4101" t="s">
        <v>45610</v>
      </c>
      <c r="M4101" t="s">
        <v>45611</v>
      </c>
      <c r="N4101">
        <f>-792.161377820458 -5.95156839314086 -552.420050403611</f>
        <v>-1350.5329966172098</v>
      </c>
      <c r="O4101">
        <f>-770.672166442781 -138.885967456437 -524.686997012263</f>
        <v>-1434.2451309114808</v>
      </c>
      <c r="P4101">
        <f>-781.173658076163 -187.035406276483 -234.579108487075</f>
        <v>-1202.788172839721</v>
      </c>
      <c r="Q4101">
        <f>-617.580783093353 -38.7406935345416 -330.999782707202</f>
        <v>-987.32125933509656</v>
      </c>
      <c r="R4101" t="s">
        <v>45612</v>
      </c>
      <c r="S4101" t="s">
        <v>45613</v>
      </c>
      <c r="T4101" t="s">
        <v>45614</v>
      </c>
      <c r="U4101" t="s">
        <v>45615</v>
      </c>
      <c r="V4101">
        <f>-782.057991707623 -65.1823628093125 -90.4937070762707</f>
        <v>-937.73406159320621</v>
      </c>
      <c r="W4101" t="s">
        <v>45616</v>
      </c>
      <c r="X4101" t="s">
        <v>45617</v>
      </c>
      <c r="Y4101" t="s">
        <v>45618</v>
      </c>
    </row>
    <row r="4102" spans="1:25" x14ac:dyDescent="0.3">
      <c r="A4102">
        <v>205050</v>
      </c>
      <c r="B4102" t="s">
        <v>45619</v>
      </c>
      <c r="C4102" t="s">
        <v>45620</v>
      </c>
      <c r="D4102" t="s">
        <v>45621</v>
      </c>
      <c r="E4102" t="s">
        <v>45622</v>
      </c>
      <c r="F4102" t="s">
        <v>45623</v>
      </c>
      <c r="G4102" t="s">
        <v>45624</v>
      </c>
      <c r="H4102" t="s">
        <v>45625</v>
      </c>
      <c r="I4102" t="s">
        <v>45626</v>
      </c>
      <c r="J4102" t="s">
        <v>45627</v>
      </c>
      <c r="K4102" t="s">
        <v>45628</v>
      </c>
      <c r="L4102" t="s">
        <v>45629</v>
      </c>
      <c r="M4102" t="s">
        <v>45630</v>
      </c>
      <c r="N4102">
        <f>-792.268905293397 -5.90190917016503 -552.46295680946</f>
        <v>-1350.6337712730219</v>
      </c>
      <c r="O4102">
        <f>-770.498160110458 -138.806675299625 -524.812184652933</f>
        <v>-1434.1170200630158</v>
      </c>
      <c r="P4102">
        <f>-780.569860262171 -186.985978570989 -234.694148818799</f>
        <v>-1202.2499876519589</v>
      </c>
      <c r="Q4102">
        <f>-617.446070166489 -38.1060003824189 -331.007399512166</f>
        <v>-986.55947006107385</v>
      </c>
      <c r="R4102" t="s">
        <v>45631</v>
      </c>
      <c r="S4102" t="s">
        <v>45632</v>
      </c>
      <c r="T4102" t="s">
        <v>45633</v>
      </c>
      <c r="U4102" t="s">
        <v>45634</v>
      </c>
      <c r="V4102">
        <f>-782.11372168736 -65.4766068483904 -90.5316163323813</f>
        <v>-938.12194486813166</v>
      </c>
      <c r="W4102" t="s">
        <v>45635</v>
      </c>
      <c r="X4102" t="s">
        <v>45636</v>
      </c>
      <c r="Y4102" t="s">
        <v>45637</v>
      </c>
    </row>
    <row r="4103" spans="1:25" x14ac:dyDescent="0.3">
      <c r="A4103">
        <v>205100</v>
      </c>
      <c r="B4103" t="s">
        <v>45638</v>
      </c>
      <c r="C4103" t="s">
        <v>45639</v>
      </c>
      <c r="D4103" t="s">
        <v>45640</v>
      </c>
      <c r="E4103" t="s">
        <v>45641</v>
      </c>
      <c r="F4103" t="s">
        <v>45642</v>
      </c>
      <c r="G4103" t="s">
        <v>45643</v>
      </c>
      <c r="H4103" t="s">
        <v>45644</v>
      </c>
      <c r="I4103" t="s">
        <v>45645</v>
      </c>
      <c r="J4103" t="s">
        <v>45646</v>
      </c>
      <c r="K4103" t="s">
        <v>45647</v>
      </c>
      <c r="L4103" t="s">
        <v>45648</v>
      </c>
      <c r="M4103" t="s">
        <v>45649</v>
      </c>
      <c r="N4103">
        <f>-792.587839475096 -5.34113483117221 -552.536367269846</f>
        <v>-1350.465341576114</v>
      </c>
      <c r="O4103">
        <f>-770.633072760822 -138.264824294522 -525.182110117521</f>
        <v>-1434.080007172865</v>
      </c>
      <c r="P4103">
        <f>-780.01845272875 -186.713085186006 -235.085766503747</f>
        <v>-1201.817304418503</v>
      </c>
      <c r="Q4103">
        <f>-617.759826880562 -36.9080281648694 -331.425946697183</f>
        <v>-986.09380174261435</v>
      </c>
      <c r="R4103" t="s">
        <v>45650</v>
      </c>
      <c r="S4103" t="s">
        <v>45651</v>
      </c>
      <c r="T4103" t="s">
        <v>45652</v>
      </c>
      <c r="U4103" t="s">
        <v>45653</v>
      </c>
      <c r="V4103">
        <f>-782.084965787174 -65.6587912674215 -90.579550788406</f>
        <v>-938.32330784300154</v>
      </c>
      <c r="W4103" t="s">
        <v>45654</v>
      </c>
      <c r="X4103" t="s">
        <v>45655</v>
      </c>
      <c r="Y4103" t="s">
        <v>45656</v>
      </c>
    </row>
    <row r="4104" spans="1:25" x14ac:dyDescent="0.3">
      <c r="A4104">
        <v>205150</v>
      </c>
      <c r="B4104" t="s">
        <v>45657</v>
      </c>
      <c r="C4104" t="s">
        <v>45658</v>
      </c>
      <c r="D4104" t="s">
        <v>45659</v>
      </c>
      <c r="E4104" t="s">
        <v>45660</v>
      </c>
      <c r="F4104" t="s">
        <v>45661</v>
      </c>
      <c r="G4104" t="s">
        <v>45662</v>
      </c>
      <c r="H4104" t="s">
        <v>45663</v>
      </c>
      <c r="I4104" t="s">
        <v>45664</v>
      </c>
      <c r="J4104" t="s">
        <v>45665</v>
      </c>
      <c r="K4104" t="s">
        <v>45666</v>
      </c>
      <c r="L4104" t="s">
        <v>45667</v>
      </c>
      <c r="M4104" t="s">
        <v>45668</v>
      </c>
      <c r="N4104">
        <f>-793.077703400885 -5.05860306644581 -552.582228585591</f>
        <v>-1350.7185350529217</v>
      </c>
      <c r="O4104">
        <f>-771.282750207642 -138.053867472002 -525.439710668271</f>
        <v>-1434.7763283479151</v>
      </c>
      <c r="P4104">
        <f>-780.310802207952 -186.699182928099 -235.364971094944</f>
        <v>-1202.3749562309949</v>
      </c>
      <c r="Q4104">
        <f>-618.326240675431 -36.6238587870857 -331.74603565462</f>
        <v>-986.69613511713669</v>
      </c>
      <c r="R4104" t="s">
        <v>45669</v>
      </c>
      <c r="S4104" t="s">
        <v>45670</v>
      </c>
      <c r="T4104" t="s">
        <v>45671</v>
      </c>
      <c r="U4104" t="s">
        <v>45672</v>
      </c>
      <c r="V4104">
        <f>-781.991789948438 -66.0070500131466 -90.6103482605087</f>
        <v>-938.60918822209328</v>
      </c>
      <c r="W4104" t="s">
        <v>45673</v>
      </c>
      <c r="X4104" t="s">
        <v>45674</v>
      </c>
      <c r="Y4104" t="s">
        <v>45675</v>
      </c>
    </row>
    <row r="4105" spans="1:25" x14ac:dyDescent="0.3">
      <c r="A4105">
        <v>205200</v>
      </c>
      <c r="B4105" t="s">
        <v>45676</v>
      </c>
      <c r="C4105" t="s">
        <v>45677</v>
      </c>
      <c r="D4105" t="s">
        <v>45678</v>
      </c>
      <c r="E4105" t="s">
        <v>45679</v>
      </c>
      <c r="F4105" t="s">
        <v>45680</v>
      </c>
      <c r="G4105" t="s">
        <v>45681</v>
      </c>
      <c r="H4105" t="s">
        <v>45682</v>
      </c>
      <c r="I4105" t="s">
        <v>45683</v>
      </c>
      <c r="J4105" t="s">
        <v>45684</v>
      </c>
      <c r="K4105" t="s">
        <v>45685</v>
      </c>
      <c r="L4105" t="s">
        <v>45686</v>
      </c>
      <c r="M4105" t="s">
        <v>45687</v>
      </c>
      <c r="N4105">
        <f>-794.517911991948 -4.93463549155558 -552.698286658123</f>
        <v>-1352.1508341416265</v>
      </c>
      <c r="O4105">
        <f>-772.938415007046 -137.987246440432 -525.757724891322</f>
        <v>-1436.6833863388001</v>
      </c>
      <c r="P4105">
        <f>-781.458429868164 -186.788371316792 -235.693757033323</f>
        <v>-1203.940558218279</v>
      </c>
      <c r="Q4105">
        <f>-619.529382356561 -36.7015646886111 -332.150136238455</f>
        <v>-988.38108328362705</v>
      </c>
      <c r="R4105" t="s">
        <v>45688</v>
      </c>
      <c r="S4105" t="s">
        <v>45689</v>
      </c>
      <c r="T4105" t="s">
        <v>45690</v>
      </c>
      <c r="U4105" t="s">
        <v>45691</v>
      </c>
      <c r="V4105">
        <f>-781.833416308687 -66.4764041961437 -90.6463934847517</f>
        <v>-938.95621398958235</v>
      </c>
      <c r="W4105" t="s">
        <v>45692</v>
      </c>
      <c r="X4105" t="s">
        <v>45693</v>
      </c>
      <c r="Y4105" t="s">
        <v>45694</v>
      </c>
    </row>
    <row r="4106" spans="1:25" x14ac:dyDescent="0.3">
      <c r="A4106">
        <v>205250</v>
      </c>
      <c r="B4106" t="s">
        <v>45695</v>
      </c>
      <c r="C4106" t="s">
        <v>45696</v>
      </c>
      <c r="D4106" t="s">
        <v>45697</v>
      </c>
      <c r="E4106" t="s">
        <v>45698</v>
      </c>
      <c r="F4106" t="s">
        <v>45699</v>
      </c>
      <c r="G4106" t="s">
        <v>45700</v>
      </c>
      <c r="H4106" t="s">
        <v>45701</v>
      </c>
      <c r="I4106" t="s">
        <v>45702</v>
      </c>
      <c r="J4106" t="s">
        <v>45703</v>
      </c>
      <c r="K4106" t="s">
        <v>45704</v>
      </c>
      <c r="L4106" t="s">
        <v>45705</v>
      </c>
      <c r="M4106" t="s">
        <v>45706</v>
      </c>
      <c r="N4106">
        <f>-795.308290621567 -5.73638668874719 -552.714874917827</f>
        <v>-1353.7595522281413</v>
      </c>
      <c r="O4106">
        <f>-773.526472165376 -138.745232895495 -525.736633224221</f>
        <v>-1438.0083382850921</v>
      </c>
      <c r="P4106">
        <f>-781.80690462526 -187.243566161519 -235.614997904317</f>
        <v>-1204.6654686910961</v>
      </c>
      <c r="Q4106">
        <f>-619.918076480735 -37.1922376052366 -332.193852610287</f>
        <v>-989.30416669625856</v>
      </c>
      <c r="R4106" t="s">
        <v>45707</v>
      </c>
      <c r="S4106" t="s">
        <v>45708</v>
      </c>
      <c r="T4106" t="s">
        <v>45709</v>
      </c>
      <c r="U4106" t="s">
        <v>45710</v>
      </c>
      <c r="V4106">
        <f>-781.447410684602 -67.0282730154348 -90.6647974068634</f>
        <v>-939.14048110690021</v>
      </c>
      <c r="W4106" t="s">
        <v>45711</v>
      </c>
      <c r="X4106" t="s">
        <v>45712</v>
      </c>
      <c r="Y4106" t="s">
        <v>45713</v>
      </c>
    </row>
    <row r="4107" spans="1:25" x14ac:dyDescent="0.3">
      <c r="A4107">
        <v>205300</v>
      </c>
      <c r="B4107" t="s">
        <v>45714</v>
      </c>
      <c r="C4107" t="s">
        <v>45715</v>
      </c>
      <c r="D4107" t="s">
        <v>45716</v>
      </c>
      <c r="E4107" t="s">
        <v>45717</v>
      </c>
      <c r="F4107" t="s">
        <v>45718</v>
      </c>
      <c r="G4107" t="s">
        <v>45719</v>
      </c>
      <c r="H4107" t="s">
        <v>45720</v>
      </c>
      <c r="I4107" t="s">
        <v>45721</v>
      </c>
      <c r="J4107" t="s">
        <v>45722</v>
      </c>
      <c r="K4107" t="s">
        <v>45723</v>
      </c>
      <c r="L4107" t="s">
        <v>45724</v>
      </c>
      <c r="M4107" t="s">
        <v>45725</v>
      </c>
      <c r="N4107">
        <f>-796.380655553751 -8.07601477342132 -552.71778890779</f>
        <v>-1357.1744592349623</v>
      </c>
      <c r="O4107">
        <f>-773.715760132301 -140.911649121132 -525.573522409035</f>
        <v>-1440.2009316624681</v>
      </c>
      <c r="P4107">
        <f>-781.329819781921 -188.947866771014 -235.356696678668</f>
        <v>-1205.6343832316029</v>
      </c>
      <c r="Q4107">
        <f>-619.94983715154 -38.485551381541 -332.147608061339</f>
        <v>-990.58299659441991</v>
      </c>
      <c r="R4107" t="s">
        <v>45726</v>
      </c>
      <c r="S4107" t="s">
        <v>45727</v>
      </c>
      <c r="T4107" t="s">
        <v>45728</v>
      </c>
      <c r="U4107" t="s">
        <v>45729</v>
      </c>
      <c r="V4107">
        <f>-780.361409205053 -68.7647039163863 -90.6848522028831</f>
        <v>-939.81096532432241</v>
      </c>
      <c r="W4107" t="s">
        <v>45730</v>
      </c>
      <c r="X4107" t="s">
        <v>45731</v>
      </c>
      <c r="Y4107" t="s">
        <v>45732</v>
      </c>
    </row>
    <row r="4108" spans="1:25" x14ac:dyDescent="0.3">
      <c r="A4108">
        <v>205350</v>
      </c>
      <c r="B4108" t="s">
        <v>45733</v>
      </c>
      <c r="C4108" t="s">
        <v>45734</v>
      </c>
      <c r="D4108" t="s">
        <v>45735</v>
      </c>
      <c r="E4108" t="s">
        <v>45736</v>
      </c>
      <c r="F4108" t="s">
        <v>45737</v>
      </c>
      <c r="G4108" t="s">
        <v>45738</v>
      </c>
      <c r="H4108" t="s">
        <v>45739</v>
      </c>
      <c r="I4108" t="s">
        <v>45740</v>
      </c>
      <c r="J4108" t="s">
        <v>45741</v>
      </c>
      <c r="K4108" t="s">
        <v>45742</v>
      </c>
      <c r="L4108" t="s">
        <v>45743</v>
      </c>
      <c r="M4108" t="s">
        <v>45744</v>
      </c>
      <c r="N4108">
        <f>-796.726790201483 -9.5889865707768 -552.752208855724</f>
        <v>-1359.0679856279839</v>
      </c>
      <c r="O4108">
        <f>-773.272063823684 -142.288177653448 -525.560309404962</f>
        <v>-1441.120550882094</v>
      </c>
      <c r="P4108">
        <f>-780.652501984694 -190.214627317686 -235.319382855995</f>
        <v>-1206.1865121583751</v>
      </c>
      <c r="Q4108">
        <f>-619.851416988371 -39.2136797658784 -332.234804428057</f>
        <v>-991.29990118230648</v>
      </c>
      <c r="R4108" t="s">
        <v>45745</v>
      </c>
      <c r="S4108" t="s">
        <v>45746</v>
      </c>
      <c r="T4108" t="s">
        <v>45747</v>
      </c>
      <c r="U4108" t="s">
        <v>45748</v>
      </c>
      <c r="V4108">
        <f>-779.788771538068 -70.2503387235462 -90.7358546862414</f>
        <v>-940.77496494785555</v>
      </c>
      <c r="W4108" t="s">
        <v>45749</v>
      </c>
      <c r="X4108" t="s">
        <v>45750</v>
      </c>
      <c r="Y4108" t="s">
        <v>45751</v>
      </c>
    </row>
    <row r="4109" spans="1:25" x14ac:dyDescent="0.3">
      <c r="A4109">
        <v>205400</v>
      </c>
      <c r="B4109" t="s">
        <v>45752</v>
      </c>
      <c r="C4109" t="s">
        <v>45753</v>
      </c>
      <c r="D4109" t="s">
        <v>45754</v>
      </c>
      <c r="E4109" t="s">
        <v>45755</v>
      </c>
      <c r="F4109" t="s">
        <v>45756</v>
      </c>
      <c r="G4109" t="s">
        <v>45757</v>
      </c>
      <c r="H4109" t="s">
        <v>45758</v>
      </c>
      <c r="I4109" t="s">
        <v>45759</v>
      </c>
      <c r="J4109" t="s">
        <v>45760</v>
      </c>
      <c r="K4109" t="s">
        <v>45761</v>
      </c>
      <c r="L4109" t="s">
        <v>45762</v>
      </c>
      <c r="M4109" t="s">
        <v>45763</v>
      </c>
      <c r="N4109">
        <f>-797.107692126399 -13.4691703385108 -552.747907152366</f>
        <v>-1363.3247696172757</v>
      </c>
      <c r="O4109">
        <f>-771.680497017297 -145.822979411376 -525.574959592866</f>
        <v>-1443.0784360215389</v>
      </c>
      <c r="P4109">
        <f>-778.036794157566 -193.893084529411 -235.333567573181</f>
        <v>-1207.2634462601579</v>
      </c>
      <c r="Q4109">
        <f>-619.221521896909 -40.9651321816423 -332.501549972287</f>
        <v>-992.68820405083829</v>
      </c>
      <c r="R4109" t="s">
        <v>45764</v>
      </c>
      <c r="S4109" t="s">
        <v>45765</v>
      </c>
      <c r="T4109" t="s">
        <v>45766</v>
      </c>
      <c r="U4109" t="s">
        <v>45767</v>
      </c>
      <c r="V4109">
        <f>-778.092245342371 -75.5529824707734 -90.7630646644441</f>
        <v>-944.40829247758847</v>
      </c>
      <c r="W4109" t="s">
        <v>45768</v>
      </c>
      <c r="X4109" t="s">
        <v>45769</v>
      </c>
      <c r="Y4109" t="s">
        <v>45770</v>
      </c>
    </row>
    <row r="4110" spans="1:25" x14ac:dyDescent="0.3">
      <c r="A4110">
        <v>205450</v>
      </c>
      <c r="B4110" t="s">
        <v>45771</v>
      </c>
      <c r="C4110" t="s">
        <v>45772</v>
      </c>
      <c r="D4110" t="s">
        <v>45773</v>
      </c>
      <c r="E4110" t="s">
        <v>45774</v>
      </c>
      <c r="F4110" t="s">
        <v>45775</v>
      </c>
      <c r="G4110" t="s">
        <v>45776</v>
      </c>
      <c r="H4110" t="s">
        <v>45777</v>
      </c>
      <c r="I4110" t="s">
        <v>45778</v>
      </c>
      <c r="J4110" t="s">
        <v>45779</v>
      </c>
      <c r="K4110" t="s">
        <v>45780</v>
      </c>
      <c r="L4110" t="s">
        <v>45781</v>
      </c>
      <c r="M4110" t="s">
        <v>45782</v>
      </c>
      <c r="N4110">
        <f>-797.20579128037 -15.1151424351467 -552.753780882408</f>
        <v>-1365.0747145979249</v>
      </c>
      <c r="O4110">
        <f>-770.016745796727 -147.153709263666 -525.713993248478</f>
        <v>-1442.884448308871</v>
      </c>
      <c r="P4110">
        <f>-775.93894083505 -195.7111777041 -235.544538029546</f>
        <v>-1207.194656568696</v>
      </c>
      <c r="Q4110">
        <f>-618.529375504691 -41.2446789848373 -332.566195037434</f>
        <v>-992.34024952696222</v>
      </c>
      <c r="R4110" t="s">
        <v>45783</v>
      </c>
      <c r="S4110" t="s">
        <v>45784</v>
      </c>
      <c r="T4110" t="s">
        <v>45785</v>
      </c>
      <c r="U4110" t="s">
        <v>45786</v>
      </c>
      <c r="V4110">
        <f>-776.857673087343 -78.958151941543 -90.75612598134</f>
        <v>-946.57195101022592</v>
      </c>
      <c r="W4110" t="s">
        <v>45787</v>
      </c>
      <c r="X4110" t="s">
        <v>45788</v>
      </c>
      <c r="Y4110" t="s">
        <v>45789</v>
      </c>
    </row>
    <row r="4111" spans="1:25" x14ac:dyDescent="0.3">
      <c r="A4111">
        <v>205500</v>
      </c>
      <c r="B4111" t="s">
        <v>45790</v>
      </c>
      <c r="C4111" t="s">
        <v>45791</v>
      </c>
      <c r="D4111">
        <f>-823.010403195461 -2.36589437802604 -206.359871577074</f>
        <v>-1031.736169150561</v>
      </c>
      <c r="E4111">
        <f>-824.851178896998 -3.09887644892638 -304.963867404712</f>
        <v>-1132.9139227506364</v>
      </c>
      <c r="F4111">
        <f>-822.097839979971 -1.29800437746894 -393.999873693688</f>
        <v>-1217.3957180511279</v>
      </c>
      <c r="G4111" t="s">
        <v>45792</v>
      </c>
      <c r="H4111" t="s">
        <v>45793</v>
      </c>
      <c r="I4111" t="s">
        <v>45794</v>
      </c>
      <c r="J4111" t="s">
        <v>45795</v>
      </c>
      <c r="K4111" t="s">
        <v>45796</v>
      </c>
      <c r="L4111" t="s">
        <v>45797</v>
      </c>
      <c r="M4111" t="s">
        <v>45798</v>
      </c>
      <c r="N4111">
        <f>-798.247897121965 -18.8235971352422 -552.612173817326</f>
        <v>-1369.6836680745332</v>
      </c>
      <c r="O4111">
        <f>-765.229356389735 -149.701104266178 -526.792017538798</f>
        <v>-1441.722478194712</v>
      </c>
      <c r="P4111">
        <f>-770.642456122195 -200.429670191915 -236.984316676153</f>
        <v>-1208.0564429902629</v>
      </c>
      <c r="Q4111">
        <f>-617.72848929204 -40.4486360923263 -332.243282058623</f>
        <v>-990.42040744298924</v>
      </c>
      <c r="R4111" t="s">
        <v>45799</v>
      </c>
      <c r="S4111" t="s">
        <v>45800</v>
      </c>
      <c r="T4111" t="s">
        <v>45801</v>
      </c>
      <c r="U4111" t="s">
        <v>45802</v>
      </c>
      <c r="V4111">
        <f>-774.457522591032 -85.8487863629051 -90.6179567958399</f>
        <v>-950.92426574977696</v>
      </c>
      <c r="W4111" t="s">
        <v>45803</v>
      </c>
      <c r="X4111" t="s">
        <v>45804</v>
      </c>
      <c r="Y4111" t="s">
        <v>45805</v>
      </c>
    </row>
    <row r="4112" spans="1:25" x14ac:dyDescent="0.3">
      <c r="A4112">
        <v>205550</v>
      </c>
      <c r="B4112" t="s">
        <v>45806</v>
      </c>
      <c r="C4112" t="s">
        <v>45807</v>
      </c>
      <c r="D4112">
        <f>-824.268714082175 -6.59429731486739 -206.034782659274</f>
        <v>-1036.8977940563163</v>
      </c>
      <c r="E4112">
        <f>-826.217573503063 -7.12666016024082 -304.637944433303</f>
        <v>-1137.9821780966067</v>
      </c>
      <c r="F4112">
        <f>-823.596643747463 -5.01670266323276 -393.67112696082</f>
        <v>-1222.2844733715158</v>
      </c>
      <c r="G4112">
        <f>-816.232795717213 -0.272103090695282 -482.336279467521</f>
        <v>-1298.8411782754292</v>
      </c>
      <c r="H4112" t="s">
        <v>45808</v>
      </c>
      <c r="I4112" t="s">
        <v>45809</v>
      </c>
      <c r="J4112" t="s">
        <v>45810</v>
      </c>
      <c r="K4112" t="s">
        <v>45811</v>
      </c>
      <c r="L4112" t="s">
        <v>45812</v>
      </c>
      <c r="M4112" t="s">
        <v>45813</v>
      </c>
      <c r="N4112">
        <f>-799.443289656348 -21.4922473140225 -552.351063574907</f>
        <v>-1373.2866005452775</v>
      </c>
      <c r="O4112">
        <f>-763.410414336283 -151.719636018596 -527.318604668443</f>
        <v>-1442.4486550233219</v>
      </c>
      <c r="P4112">
        <f>-766.976687300716 -204.054969765025 -237.768111603094</f>
        <v>-1208.799768668835</v>
      </c>
      <c r="Q4112">
        <f>-617.441853892922 -40.2043870357927 -331.806334912499</f>
        <v>-989.45257584121373</v>
      </c>
      <c r="R4112" t="s">
        <v>45814</v>
      </c>
      <c r="S4112" t="s">
        <v>45815</v>
      </c>
      <c r="T4112" t="s">
        <v>45816</v>
      </c>
      <c r="U4112" t="s">
        <v>45817</v>
      </c>
      <c r="V4112">
        <f>-774.093476282815 -89.5164003946337 -90.3907379166111</f>
        <v>-954.00061459405981</v>
      </c>
      <c r="W4112" t="s">
        <v>45818</v>
      </c>
      <c r="X4112" t="s">
        <v>45819</v>
      </c>
      <c r="Y4112" t="s">
        <v>45820</v>
      </c>
    </row>
    <row r="4113" spans="1:25" x14ac:dyDescent="0.3">
      <c r="A4113">
        <v>205600</v>
      </c>
      <c r="B4113" t="s">
        <v>45821</v>
      </c>
      <c r="C4113">
        <f>-811.133575768626 -6.592240873626 -90.9978514189105</f>
        <v>-908.72366806116247</v>
      </c>
      <c r="D4113">
        <f>-826.434268540811 -15.7684673905576 -205.44399337574</f>
        <v>-1047.6467293071087</v>
      </c>
      <c r="E4113">
        <f>-828.098322439215 -15.7267999492979 -304.053770582537</f>
        <v>-1147.8788929710499</v>
      </c>
      <c r="F4113">
        <f>-825.475598821781 -12.8696527617401 -393.066158370619</f>
        <v>-1231.41140995414</v>
      </c>
      <c r="G4113">
        <f>-818.35937190561 -7.14550423445394 -481.693544710572</f>
        <v>-1307.198420850636</v>
      </c>
      <c r="H4113" t="s">
        <v>45822</v>
      </c>
      <c r="I4113" t="s">
        <v>45823</v>
      </c>
      <c r="J4113" t="s">
        <v>45824</v>
      </c>
      <c r="K4113" t="s">
        <v>45825</v>
      </c>
      <c r="L4113" t="s">
        <v>45826</v>
      </c>
      <c r="M4113" t="s">
        <v>45827</v>
      </c>
      <c r="N4113">
        <f>-800.862754264864 -27.1119867420318 -551.903539126199</f>
        <v>-1379.8782801330949</v>
      </c>
      <c r="O4113">
        <f>-759.208500170428 -155.993463517108 -528.362126641153</f>
        <v>-1443.564090328689</v>
      </c>
      <c r="P4113">
        <f>-757.741075614578 -211.356073105052 -239.35689420787</f>
        <v>-1208.4540429275</v>
      </c>
      <c r="Q4113">
        <f>-615.118934380365 -40.0700709318201 -330.849310233507</f>
        <v>-986.03831554569206</v>
      </c>
      <c r="R4113" t="s">
        <v>45828</v>
      </c>
      <c r="S4113" t="s">
        <v>45829</v>
      </c>
      <c r="T4113" t="s">
        <v>45830</v>
      </c>
      <c r="U4113" t="s">
        <v>45831</v>
      </c>
      <c r="V4113">
        <f>-773.226532846245 -98.1616375901802 -89.8396506564411</f>
        <v>-961.22782109286641</v>
      </c>
      <c r="W4113" t="s">
        <v>45832</v>
      </c>
      <c r="X4113" t="s">
        <v>45833</v>
      </c>
      <c r="Y4113" t="s">
        <v>45834</v>
      </c>
    </row>
    <row r="4114" spans="1:25" x14ac:dyDescent="0.3">
      <c r="A4114">
        <v>205650</v>
      </c>
      <c r="B4114" t="s">
        <v>45835</v>
      </c>
      <c r="C4114">
        <f>-813.932074662285 -15.4721662901031 -89.9214868247598</f>
        <v>-919.3257277771479</v>
      </c>
      <c r="D4114">
        <f>-828.059294104861 -24.1974039191202 -204.553553033609</f>
        <v>-1056.8102510575902</v>
      </c>
      <c r="E4114">
        <f>-829.005860021257 -23.1678769050752 -303.167554215426</f>
        <v>-1155.3412911417581</v>
      </c>
      <c r="F4114">
        <f>-825.823018680635 -19.2154871805985 -392.119709222544</f>
        <v>-1237.1582150837776</v>
      </c>
      <c r="G4114">
        <f>-818.22929529147 -12.1972101626391 -480.614422709484</f>
        <v>-1311.040928163593</v>
      </c>
      <c r="H4114" t="s">
        <v>45836</v>
      </c>
      <c r="I4114" t="s">
        <v>45837</v>
      </c>
      <c r="J4114" t="s">
        <v>45838</v>
      </c>
      <c r="K4114" t="s">
        <v>45839</v>
      </c>
      <c r="L4114" t="s">
        <v>45840</v>
      </c>
      <c r="M4114" t="s">
        <v>45841</v>
      </c>
      <c r="N4114">
        <f>-799.736636605393 -30.7818552135313 -550.948425217157</f>
        <v>-1381.4669170360812</v>
      </c>
      <c r="O4114">
        <f>-754.323159541243 -158.655209698632 -528.947292324401</f>
        <v>-1441.925661564276</v>
      </c>
      <c r="P4114">
        <f>-748.825135456461 -217.417391540083 -240.662740757764</f>
        <v>-1206.9052677543079</v>
      </c>
      <c r="Q4114">
        <f>-612.220711342727 -40.1680875440879 -329.953267353292</f>
        <v>-982.34206624010699</v>
      </c>
      <c r="R4114" t="s">
        <v>45842</v>
      </c>
      <c r="S4114" t="s">
        <v>45843</v>
      </c>
      <c r="T4114" t="s">
        <v>45844</v>
      </c>
      <c r="U4114" t="s">
        <v>45845</v>
      </c>
      <c r="V4114">
        <f>-772.928645415088 -107.739280795975 -88.8691103857138</f>
        <v>-969.53703659677683</v>
      </c>
      <c r="W4114" t="s">
        <v>45846</v>
      </c>
      <c r="X4114" t="s">
        <v>45847</v>
      </c>
      <c r="Y4114" t="s">
        <v>45848</v>
      </c>
    </row>
    <row r="4115" spans="1:25" x14ac:dyDescent="0.3">
      <c r="A4115">
        <v>205700</v>
      </c>
      <c r="B4115" t="s">
        <v>45849</v>
      </c>
      <c r="C4115">
        <f>-815.067981152337 -19.1538510867908 -89.0836942961192</f>
        <v>-923.30552653524705</v>
      </c>
      <c r="D4115">
        <f>-828.660696116659 -27.66281956342 -203.796592353533</f>
        <v>-1060.120108033612</v>
      </c>
      <c r="E4115">
        <f>-829.209436333935 -26.2607246992509 -302.409031342222</f>
        <v>-1157.8791923754079</v>
      </c>
      <c r="F4115">
        <f>-825.686129391689 -21.9047516088347 -391.329420074707</f>
        <v>-1238.9203010752306</v>
      </c>
      <c r="G4115">
        <f>-817.770678421324 -14.4157130513781 -479.757309059717</f>
        <v>-1311.9437005324191</v>
      </c>
      <c r="H4115">
        <f>-802.065403972798 -0.763606717547646 -602.589727072249</f>
        <v>-1405.4187377625947</v>
      </c>
      <c r="I4115" t="s">
        <v>45850</v>
      </c>
      <c r="J4115" t="s">
        <v>45851</v>
      </c>
      <c r="K4115" t="s">
        <v>45852</v>
      </c>
      <c r="L4115" t="s">
        <v>45853</v>
      </c>
      <c r="M4115" t="s">
        <v>45854</v>
      </c>
      <c r="N4115">
        <f>-798.813815447014 -32.5019679693635 -550.097706210707</f>
        <v>-1381.4134896270843</v>
      </c>
      <c r="O4115">
        <f>-752.1428307177 -160.025392820309 -528.651098690486</f>
        <v>-1440.8193222284949</v>
      </c>
      <c r="P4115">
        <f>-744.892864364374 -220.326366382233 -240.723142686556</f>
        <v>-1205.9423734331631</v>
      </c>
      <c r="Q4115">
        <f>-610.867583745351 -40.6651429397325 -329.097225393954</f>
        <v>-980.62995207903748</v>
      </c>
      <c r="R4115" t="s">
        <v>45855</v>
      </c>
      <c r="S4115" t="s">
        <v>45856</v>
      </c>
      <c r="T4115" t="s">
        <v>45857</v>
      </c>
      <c r="U4115" t="s">
        <v>45858</v>
      </c>
      <c r="V4115">
        <f>-772.584202863572 -111.486900384667 -88.2402708158597</f>
        <v>-972.3113740640988</v>
      </c>
      <c r="W4115" t="s">
        <v>45859</v>
      </c>
      <c r="X4115" t="s">
        <v>45860</v>
      </c>
      <c r="Y4115" t="s">
        <v>45861</v>
      </c>
    </row>
    <row r="4116" spans="1:25" x14ac:dyDescent="0.3">
      <c r="A4116">
        <v>205750</v>
      </c>
      <c r="B4116" t="s">
        <v>45862</v>
      </c>
      <c r="C4116">
        <f>-816.45835057017 -21.9175727423003 -88.3168448528484</f>
        <v>-926.69276816531863</v>
      </c>
      <c r="D4116">
        <f>-829.772106626184 -30.335151309497 -203.069273306916</f>
        <v>-1063.1765312425969</v>
      </c>
      <c r="E4116">
        <f>-830.084518868371 -28.7242888123026 -301.679427471359</f>
        <v>-1160.4882351520325</v>
      </c>
      <c r="F4116">
        <f>-826.345353956912 -24.1326949935794 -390.579266657479</f>
        <v>-1241.0573156079704</v>
      </c>
      <c r="G4116">
        <f>-818.212426080543 -16.3604547789316 -478.963021446011</f>
        <v>-1313.5359023054857</v>
      </c>
      <c r="H4116">
        <f>-802.200964241377 -2.26395422676524 -601.705557831868</f>
        <v>-1406.1704763000103</v>
      </c>
      <c r="I4116" t="s">
        <v>45863</v>
      </c>
      <c r="J4116" t="s">
        <v>45864</v>
      </c>
      <c r="K4116" t="s">
        <v>45865</v>
      </c>
      <c r="L4116" t="s">
        <v>45866</v>
      </c>
      <c r="M4116" t="s">
        <v>45867</v>
      </c>
      <c r="N4116">
        <f>-798.905842972469 -34.1244933763708 -549.290271421893</f>
        <v>-1382.3206077707327</v>
      </c>
      <c r="O4116">
        <f>-751.261131817216 -161.342776352901 -528.147460452174</f>
        <v>-1440.751368622291</v>
      </c>
      <c r="P4116">
        <f>-742.778090564451 -222.501386212653 -240.434334035329</f>
        <v>-1205.7138108124329</v>
      </c>
      <c r="Q4116">
        <f>-610.61898551358 -41.1606207691136 -328.18613249538</f>
        <v>-979.96573877807361</v>
      </c>
      <c r="R4116" t="s">
        <v>45868</v>
      </c>
      <c r="S4116" t="s">
        <v>45869</v>
      </c>
      <c r="T4116" t="s">
        <v>45870</v>
      </c>
      <c r="U4116" t="s">
        <v>45871</v>
      </c>
      <c r="V4116">
        <f>-772.888666272044 -114.152368953481 -87.8594757849318</f>
        <v>-974.90051101045674</v>
      </c>
      <c r="W4116" t="s">
        <v>45872</v>
      </c>
      <c r="X4116" t="s">
        <v>45873</v>
      </c>
      <c r="Y4116" t="s">
        <v>45874</v>
      </c>
    </row>
    <row r="4117" spans="1:25" x14ac:dyDescent="0.3">
      <c r="A4117">
        <v>205800</v>
      </c>
      <c r="B4117" t="s">
        <v>45875</v>
      </c>
      <c r="C4117">
        <f>-818.620835754811 -24.7509876633678 -87.6158826208617</f>
        <v>-930.98770603904052</v>
      </c>
      <c r="D4117">
        <f>-831.918538371163 -33.2268143004292 -202.365800612326</f>
        <v>-1067.5111532839182</v>
      </c>
      <c r="E4117">
        <f>-832.112252960232 -31.5901974143655 -300.975966023348</f>
        <v>-1164.6784163979455</v>
      </c>
      <c r="F4117">
        <f>-828.220311365527 -26.9515188948469 -389.866776039861</f>
        <v>-1245.038606300235</v>
      </c>
      <c r="G4117">
        <f>-819.890569822564 -19.1070936550634 -478.225692544122</f>
        <v>-1317.2233560217494</v>
      </c>
      <c r="H4117">
        <f>-803.558373755744 -4.88581863479271 -600.911617127101</f>
        <v>-1409.3558095176377</v>
      </c>
      <c r="I4117" t="s">
        <v>45876</v>
      </c>
      <c r="J4117" t="s">
        <v>45877</v>
      </c>
      <c r="K4117" t="s">
        <v>45878</v>
      </c>
      <c r="L4117" t="s">
        <v>45879</v>
      </c>
      <c r="M4117" t="s">
        <v>45880</v>
      </c>
      <c r="N4117">
        <f>-800.194763779401 -36.7181248467109 -548.483529560035</f>
        <v>-1385.396418186147</v>
      </c>
      <c r="O4117">
        <f>-751.335787570326 -163.448653237227 -527.172074572877</f>
        <v>-1441.9565153804301</v>
      </c>
      <c r="P4117">
        <f>-741.926524581811 -224.510302403453 -239.467166353031</f>
        <v>-1205.9039933382951</v>
      </c>
      <c r="Q4117">
        <f>-611.287509338543 -41.9586441995973 -326.983914084902</f>
        <v>-980.23006762304226</v>
      </c>
      <c r="R4117" t="s">
        <v>45881</v>
      </c>
      <c r="S4117" t="s">
        <v>45882</v>
      </c>
      <c r="T4117" t="s">
        <v>45883</v>
      </c>
      <c r="U4117" t="s">
        <v>45884</v>
      </c>
      <c r="V4117">
        <f>-773.879496217474 -116.452367339642 -87.567900958334</f>
        <v>-977.89976451544999</v>
      </c>
      <c r="W4117" t="s">
        <v>45885</v>
      </c>
      <c r="X4117" t="s">
        <v>45886</v>
      </c>
      <c r="Y4117" t="s">
        <v>45887</v>
      </c>
    </row>
    <row r="4118" spans="1:25" x14ac:dyDescent="0.3">
      <c r="A4118">
        <v>205850</v>
      </c>
      <c r="B4118" t="s">
        <v>45888</v>
      </c>
      <c r="C4118">
        <f>-819.299716500657 -26.1755252762293 -87.5026475779592</f>
        <v>-932.97788935484562</v>
      </c>
      <c r="D4118">
        <f>-832.699846379322 -34.6927923954929 -202.237711635932</f>
        <v>-1069.6303504107468</v>
      </c>
      <c r="E4118">
        <f>-832.938643901161 -33.1542923040563 -300.849160279829</f>
        <v>-1166.9420964850462</v>
      </c>
      <c r="F4118">
        <f>-829.072345943627 -28.628155698002 -389.746834427251</f>
        <v>-1247.4473360688801</v>
      </c>
      <c r="G4118">
        <f>-820.754131258831 -20.919046068163 -478.119027982911</f>
        <v>-1319.7922053099051</v>
      </c>
      <c r="H4118">
        <f>-804.424217943146 -6.90914049570461 -600.829525008958</f>
        <v>-1412.1628834478086</v>
      </c>
      <c r="I4118" t="s">
        <v>45889</v>
      </c>
      <c r="J4118" t="s">
        <v>45890</v>
      </c>
      <c r="K4118" t="s">
        <v>45891</v>
      </c>
      <c r="L4118" t="s">
        <v>45892</v>
      </c>
      <c r="M4118" t="s">
        <v>45893</v>
      </c>
      <c r="N4118">
        <f>-801.029595342326 -38.6389042595315 -548.341245822393</f>
        <v>-1388.0097454242505</v>
      </c>
      <c r="O4118">
        <f>-751.951646789395 -165.23187547705 -526.741089963157</f>
        <v>-1443.9246122296022</v>
      </c>
      <c r="P4118">
        <f>-742.761880097456 -225.491296014163 -238.860059366277</f>
        <v>-1207.1132354778961</v>
      </c>
      <c r="Q4118">
        <f>-612.180402591757 -42.9780829001502 -326.542834600264</f>
        <v>-981.70132009217116</v>
      </c>
      <c r="R4118" t="s">
        <v>45894</v>
      </c>
      <c r="S4118" t="s">
        <v>45895</v>
      </c>
      <c r="T4118" t="s">
        <v>45896</v>
      </c>
      <c r="U4118" t="s">
        <v>45897</v>
      </c>
      <c r="V4118">
        <f>-774.639574511806 -118.390283020043 -87.3861471759298</f>
        <v>-980.41600470777894</v>
      </c>
      <c r="W4118" t="s">
        <v>45898</v>
      </c>
      <c r="X4118" t="s">
        <v>45899</v>
      </c>
      <c r="Y4118" t="s">
        <v>45900</v>
      </c>
    </row>
    <row r="4119" spans="1:25" x14ac:dyDescent="0.3">
      <c r="A4119">
        <v>205900</v>
      </c>
      <c r="B4119" t="s">
        <v>45901</v>
      </c>
      <c r="C4119">
        <f>-819.16564420548 -28.756836800414 -87.2752181609475</f>
        <v>-935.19769916684152</v>
      </c>
      <c r="D4119">
        <f>-832.831289046466 -37.4129531968363 -201.968535734672</f>
        <v>-1072.2127779779744</v>
      </c>
      <c r="E4119">
        <f>-833.2843429159 -36.1647541061234 -300.58337147277</f>
        <v>-1170.0324684947934</v>
      </c>
      <c r="F4119">
        <f>-829.610740296872 -31.9642820166118 -389.505215786218</f>
        <v>-1251.0802380997018</v>
      </c>
      <c r="G4119">
        <f>-821.486035048235 -24.6413319586547 -477.928175910052</f>
        <v>-1324.0555429169417</v>
      </c>
      <c r="H4119">
        <f>-805.428854828081 -11.2318811753792 -600.741797306485</f>
        <v>-1417.4025333099451</v>
      </c>
      <c r="I4119" t="s">
        <v>45902</v>
      </c>
      <c r="J4119" t="s">
        <v>45903</v>
      </c>
      <c r="K4119" t="s">
        <v>45904</v>
      </c>
      <c r="L4119" t="s">
        <v>45905</v>
      </c>
      <c r="M4119" t="s">
        <v>45906</v>
      </c>
      <c r="N4119">
        <f>-801.954116133867 -42.7195106060183 -548.113045413275</f>
        <v>-1392.7866721531605</v>
      </c>
      <c r="O4119">
        <f>-753.045946474493 -169.249276823288 -525.803392563822</f>
        <v>-1448.0986158616029</v>
      </c>
      <c r="P4119">
        <f>-744.500804413032 -227.627104680999 -237.515082428878</f>
        <v>-1209.6429915229089</v>
      </c>
      <c r="Q4119">
        <f>-613.487404095362 -45.72301542139 -325.817049810393</f>
        <v>-985.0274693271449</v>
      </c>
      <c r="R4119" t="s">
        <v>45907</v>
      </c>
      <c r="S4119" t="s">
        <v>45908</v>
      </c>
      <c r="T4119" t="s">
        <v>45909</v>
      </c>
      <c r="U4119" t="s">
        <v>45910</v>
      </c>
      <c r="V4119">
        <f>-774.786689635915 -120.951629074925 -87.0926877167202</f>
        <v>-982.83100642756017</v>
      </c>
      <c r="W4119" t="s">
        <v>45911</v>
      </c>
      <c r="X4119" t="s">
        <v>45912</v>
      </c>
      <c r="Y4119" t="s">
        <v>45913</v>
      </c>
    </row>
    <row r="4120" spans="1:25" x14ac:dyDescent="0.3">
      <c r="A4120">
        <v>205950</v>
      </c>
      <c r="B4120" t="s">
        <v>45914</v>
      </c>
      <c r="C4120">
        <f>-818.901337594531 -29.0761931491343 -87.2096411302704</f>
        <v>-935.18717187393565</v>
      </c>
      <c r="D4120">
        <f>-832.707583543767 -37.8348333705294 -201.878254285824</f>
        <v>-1072.4206712001203</v>
      </c>
      <c r="E4120">
        <f>-833.271580313025 -36.7509417022102 -300.494488065187</f>
        <v>-1170.5170100804221</v>
      </c>
      <c r="F4120">
        <f>-829.69646270448 -32.7270066843064 -389.428619118699</f>
        <v>-1251.8520885074854</v>
      </c>
      <c r="G4120">
        <f>-821.668304208208 -25.6084366940231 -477.876938290959</f>
        <v>-1325.1536791931901</v>
      </c>
      <c r="H4120">
        <f>-805.744714220623 -12.5125073930069 -600.741772164741</f>
        <v>-1418.9989937783707</v>
      </c>
      <c r="I4120" t="s">
        <v>45915</v>
      </c>
      <c r="J4120" t="s">
        <v>45916</v>
      </c>
      <c r="K4120" t="s">
        <v>45917</v>
      </c>
      <c r="L4120" t="s">
        <v>45918</v>
      </c>
      <c r="M4120" t="s">
        <v>45919</v>
      </c>
      <c r="N4120">
        <f>-802.256163376029 -43.8832584767935 -548.04426927694</f>
        <v>-1394.1836911297623</v>
      </c>
      <c r="O4120">
        <f>-753.584496540455 -170.442845601999 -525.394880040983</f>
        <v>-1449.422222183437</v>
      </c>
      <c r="P4120">
        <f>-745.286571760379 -227.952631519289 -236.924854298141</f>
        <v>-1210.1640575778092</v>
      </c>
      <c r="Q4120">
        <f>-613.872131429705 -46.5405986007697 -325.642161691488</f>
        <v>-986.05489172196269</v>
      </c>
      <c r="R4120" t="s">
        <v>45920</v>
      </c>
      <c r="S4120" t="s">
        <v>45921</v>
      </c>
      <c r="T4120" t="s">
        <v>45922</v>
      </c>
      <c r="U4120" t="s">
        <v>45923</v>
      </c>
      <c r="V4120">
        <f>-774.562966095275 -120.987478629185 -87.0092770381576</f>
        <v>-982.55972176261764</v>
      </c>
      <c r="W4120" t="s">
        <v>45924</v>
      </c>
      <c r="X4120" t="s">
        <v>45925</v>
      </c>
      <c r="Y4120" t="s">
        <v>45926</v>
      </c>
    </row>
    <row r="4121" spans="1:25" x14ac:dyDescent="0.3">
      <c r="A4121">
        <v>206000</v>
      </c>
      <c r="B4121" t="s">
        <v>45927</v>
      </c>
      <c r="C4121">
        <f>-818.241427289586 -28.8388321816751 -87.1109374076848</f>
        <v>-934.1911968789459</v>
      </c>
      <c r="D4121">
        <f>-832.40602938036 -37.8128963754 -201.719128512037</f>
        <v>-1071.938054267797</v>
      </c>
      <c r="E4121">
        <f>-833.172678975247 -37.0815269222221 -300.33726934078</f>
        <v>-1170.5914752382491</v>
      </c>
      <c r="F4121">
        <f>-829.743965634285 -33.437439450001 -389.293543915765</f>
        <v>-1252.4749490000509</v>
      </c>
      <c r="G4121">
        <f>-821.826892000578 -26.7589218018311 -477.78625235837</f>
        <v>-1326.372066160779</v>
      </c>
      <c r="H4121">
        <f>-806.023279297641 -14.3388899140755 -600.736691389019</f>
        <v>-1421.0988606007354</v>
      </c>
      <c r="I4121" t="s">
        <v>45928</v>
      </c>
      <c r="J4121" t="s">
        <v>45929</v>
      </c>
      <c r="K4121" t="s">
        <v>45930</v>
      </c>
      <c r="L4121" t="s">
        <v>45931</v>
      </c>
      <c r="M4121" t="s">
        <v>45932</v>
      </c>
      <c r="N4121">
        <f>-802.595277859975 -45.4639291776537 -547.889855949329</f>
        <v>-1395.9490629869576</v>
      </c>
      <c r="O4121">
        <f>-754.621844396464 -172.166974354814 -524.561829727909</f>
        <v>-1451.3506484791869</v>
      </c>
      <c r="P4121">
        <f>-746.56668788797 -228.024762019178 -235.760405397618</f>
        <v>-1210.3518553047661</v>
      </c>
      <c r="Q4121">
        <f>-614.124652012629 -47.8117830291058 -325.38885509404</f>
        <v>-987.32529013577482</v>
      </c>
      <c r="R4121" t="s">
        <v>45933</v>
      </c>
      <c r="S4121" t="s">
        <v>45934</v>
      </c>
      <c r="T4121" t="s">
        <v>45935</v>
      </c>
      <c r="U4121" t="s">
        <v>45936</v>
      </c>
      <c r="V4121">
        <f>-774.200533049085 -120.695583933973 -86.7589856893178</f>
        <v>-981.65510267237585</v>
      </c>
      <c r="W4121" t="s">
        <v>45937</v>
      </c>
      <c r="X4121" t="s">
        <v>45938</v>
      </c>
      <c r="Y4121" t="s">
        <v>45939</v>
      </c>
    </row>
    <row r="4122" spans="1:25" x14ac:dyDescent="0.3">
      <c r="A4122">
        <v>206050</v>
      </c>
      <c r="B4122" t="s">
        <v>45940</v>
      </c>
      <c r="C4122">
        <f>-817.630652283038 -28.6837094727498 -87.0213381802375</f>
        <v>-933.33569993602532</v>
      </c>
      <c r="D4122">
        <f>-832.028537981402 -37.7905631752333 -201.590034425385</f>
        <v>-1071.4091355820203</v>
      </c>
      <c r="E4122">
        <f>-832.914920522473 -37.2410154232966 -300.20834986254</f>
        <v>-1170.3642858083097</v>
      </c>
      <c r="F4122">
        <f>-829.565884857259 -33.7834161346084 -389.175003981872</f>
        <v>-1252.5243049737394</v>
      </c>
      <c r="G4122">
        <f>-821.701140772461 -27.312658051577 -477.687814066891</f>
        <v>-1326.701612890929</v>
      </c>
      <c r="H4122">
        <f>-805.943518049134 -15.2031439541743 -600.675005784789</f>
        <v>-1421.8216677880973</v>
      </c>
      <c r="I4122" t="s">
        <v>45941</v>
      </c>
      <c r="J4122" t="s">
        <v>45942</v>
      </c>
      <c r="K4122" t="s">
        <v>45943</v>
      </c>
      <c r="L4122" t="s">
        <v>45944</v>
      </c>
      <c r="M4122" t="s">
        <v>45945</v>
      </c>
      <c r="N4122">
        <f>-802.560788012946 -46.2202801257611 -547.76190078413</f>
        <v>-1396.5429689228372</v>
      </c>
      <c r="O4122">
        <f>-755.057239356826 -173.033451343109 -524.073026501219</f>
        <v>-1452.1637172011542</v>
      </c>
      <c r="P4122">
        <f>-747.085528190783 -228.050215086925 -235.108022975152</f>
        <v>-1210.2437662528598</v>
      </c>
      <c r="Q4122">
        <f>-613.967461518658 -48.6413074725322 -325.345751168283</f>
        <v>-987.95452015947308</v>
      </c>
      <c r="R4122" t="s">
        <v>45946</v>
      </c>
      <c r="S4122" t="s">
        <v>45947</v>
      </c>
      <c r="T4122" t="s">
        <v>45948</v>
      </c>
      <c r="U4122" t="s">
        <v>45949</v>
      </c>
      <c r="V4122">
        <f>-773.927402673965 -120.741330460334 -86.5975809572271</f>
        <v>-981.26631409152617</v>
      </c>
      <c r="W4122" t="s">
        <v>45950</v>
      </c>
      <c r="X4122" t="s">
        <v>45951</v>
      </c>
      <c r="Y4122" t="s">
        <v>45952</v>
      </c>
    </row>
    <row r="4123" spans="1:25" x14ac:dyDescent="0.3">
      <c r="A4123">
        <v>206100</v>
      </c>
      <c r="B4123" t="s">
        <v>45953</v>
      </c>
      <c r="C4123">
        <f>-816.473391388915 -28.0350796253761 -87.0522576409073</f>
        <v>-931.56072865519843</v>
      </c>
      <c r="D4123">
        <f>-831.17767210362 -37.441308820652 -201.557915510901</f>
        <v>-1070.1768964351731</v>
      </c>
      <c r="E4123">
        <f>-832.241782222821 -37.2514060597318 -300.175780535731</f>
        <v>-1169.6689688182839</v>
      </c>
      <c r="F4123">
        <f>-829.024596266166 -34.1518397830687 -389.160487681153</f>
        <v>-1252.3369237303878</v>
      </c>
      <c r="G4123">
        <f>-821.264134605836 -28.0707535420202 -477.71011322401</f>
        <v>-1327.0450013718662</v>
      </c>
      <c r="H4123">
        <f>-805.625281768417 -16.5361462441892 -600.767823605167</f>
        <v>-1422.9292516177734</v>
      </c>
      <c r="I4123" t="s">
        <v>45954</v>
      </c>
      <c r="J4123" t="s">
        <v>45955</v>
      </c>
      <c r="K4123" t="s">
        <v>45956</v>
      </c>
      <c r="L4123" t="s">
        <v>45957</v>
      </c>
      <c r="M4123" t="s">
        <v>45958</v>
      </c>
      <c r="N4123">
        <f>-802.309253638178 -47.3519906417246 -547.732921431194</f>
        <v>-1397.3941657110965</v>
      </c>
      <c r="O4123">
        <f>-755.738555888554 -174.353382138983 -523.293929089765</f>
        <v>-1453.385867117302</v>
      </c>
      <c r="P4123">
        <f>-748.060783829683 -227.710971366319 -234.009964962089</f>
        <v>-1209.781720158091</v>
      </c>
      <c r="Q4123">
        <f>-613.461812969138 -49.9974424793587 -325.398612801574</f>
        <v>-988.85786825007074</v>
      </c>
      <c r="R4123" t="s">
        <v>45959</v>
      </c>
      <c r="S4123" t="s">
        <v>45960</v>
      </c>
      <c r="T4123" t="s">
        <v>45961</v>
      </c>
      <c r="U4123" t="s">
        <v>45962</v>
      </c>
      <c r="V4123">
        <f>-773.491155036867 -120.118820757766 -86.4698578568278</f>
        <v>-980.07983365146083</v>
      </c>
      <c r="W4123" t="s">
        <v>45963</v>
      </c>
      <c r="X4123" t="s">
        <v>45964</v>
      </c>
      <c r="Y4123" t="s">
        <v>45965</v>
      </c>
    </row>
    <row r="4124" spans="1:25" x14ac:dyDescent="0.3">
      <c r="A4124">
        <v>206150</v>
      </c>
      <c r="B4124" t="s">
        <v>45966</v>
      </c>
      <c r="C4124">
        <f>-816.206415374222 -27.2144325438824 -87.1291487221298</f>
        <v>-930.54999664023421</v>
      </c>
      <c r="D4124">
        <f>-831.028028581895 -36.7578926260958 -201.608296334275</f>
        <v>-1069.3942175422658</v>
      </c>
      <c r="E4124">
        <f>-832.146840781407 -36.7864272497807 -300.225759539024</f>
        <v>-1169.1590275702117</v>
      </c>
      <c r="F4124">
        <f>-828.962732344177 -33.9229154210661 -389.219553995661</f>
        <v>-1252.105201760904</v>
      </c>
      <c r="G4124">
        <f>-821.219610685389 -28.1161872517739 -477.789122348257</f>
        <v>-1327.1249202854199</v>
      </c>
      <c r="H4124">
        <f>-805.588906922639 -17.0040194068351 -600.886696119783</f>
        <v>-1423.479622449257</v>
      </c>
      <c r="I4124" t="s">
        <v>45967</v>
      </c>
      <c r="J4124" t="s">
        <v>45968</v>
      </c>
      <c r="K4124" t="s">
        <v>45969</v>
      </c>
      <c r="L4124" t="s">
        <v>45970</v>
      </c>
      <c r="M4124" t="s">
        <v>45971</v>
      </c>
      <c r="N4124">
        <f>-802.313494041285 -47.6547045003426 -547.75372937647</f>
        <v>-1397.7219279180977</v>
      </c>
      <c r="O4124">
        <f>-756.10433680053 -174.71678929882 -522.925648279001</f>
        <v>-1453.7467743783509</v>
      </c>
      <c r="P4124">
        <f>-749.037241496203 -227.324981460857 -233.488968108014</f>
        <v>-1209.8511910650741</v>
      </c>
      <c r="Q4124">
        <f>-613.714141631343 -50.4370470710774 -325.408387572306</f>
        <v>-989.5595762747264</v>
      </c>
      <c r="R4124" t="s">
        <v>45972</v>
      </c>
      <c r="S4124" t="s">
        <v>45973</v>
      </c>
      <c r="T4124" t="s">
        <v>45974</v>
      </c>
      <c r="U4124" t="s">
        <v>45975</v>
      </c>
      <c r="V4124">
        <f>-773.522700602607 -118.972818602853 -86.4812761018513</f>
        <v>-978.97679530731125</v>
      </c>
      <c r="W4124" t="s">
        <v>45976</v>
      </c>
      <c r="X4124" t="s">
        <v>45977</v>
      </c>
      <c r="Y4124" t="s">
        <v>45978</v>
      </c>
    </row>
    <row r="4125" spans="1:25" x14ac:dyDescent="0.3">
      <c r="A4125">
        <v>206200</v>
      </c>
      <c r="B4125" t="s">
        <v>45979</v>
      </c>
      <c r="C4125">
        <f>-815.730200671134 -24.7174973672525 -87.3600208070807</f>
        <v>-927.80771884546709</v>
      </c>
      <c r="D4125">
        <f>-830.733141252072 -34.5329098065599 -201.792532524669</f>
        <v>-1067.0585835833008</v>
      </c>
      <c r="E4125">
        <f>-831.927653809822 -35.0643707376917 -300.407657689417</f>
        <v>-1167.3996822369306</v>
      </c>
      <c r="F4125">
        <f>-828.783851747208 -32.7610039952083 -389.419113914149</f>
        <v>-1250.9639696565653</v>
      </c>
      <c r="G4125">
        <f>-821.054011613261 -27.6198412387873 -478.030983756426</f>
        <v>-1326.7048366084744</v>
      </c>
      <c r="H4125">
        <f>-805.415221646307 -17.5465535080421 -601.216862839006</f>
        <v>-1424.1786379933551</v>
      </c>
      <c r="I4125">
        <f>-762.311874058059 -1.13578472624954 -670.338656007761</f>
        <v>-1433.7863147920693</v>
      </c>
      <c r="J4125" t="s">
        <v>45980</v>
      </c>
      <c r="K4125" t="s">
        <v>45981</v>
      </c>
      <c r="L4125" t="s">
        <v>45982</v>
      </c>
      <c r="M4125" t="s">
        <v>45983</v>
      </c>
      <c r="N4125">
        <f>-802.210907489115 -47.7741351621889 -547.837725989314</f>
        <v>-1397.8227686406181</v>
      </c>
      <c r="O4125">
        <f>-756.346320568077 -174.778598704291 -522.104767510252</f>
        <v>-1453.2296867826199</v>
      </c>
      <c r="P4125">
        <f>-750.625610933607 -225.71096805672 -232.338660472551</f>
        <v>-1208.6752394628782</v>
      </c>
      <c r="Q4125">
        <f>-614.135589271112 -50.0624521445689 -324.907239055049</f>
        <v>-989.10528047072989</v>
      </c>
      <c r="R4125" t="s">
        <v>45984</v>
      </c>
      <c r="S4125" t="s">
        <v>45985</v>
      </c>
      <c r="T4125" t="s">
        <v>45986</v>
      </c>
      <c r="U4125" t="s">
        <v>45987</v>
      </c>
      <c r="V4125">
        <f>-773.257495770365 -116.155512212459 -86.5806402954776</f>
        <v>-975.99364827830163</v>
      </c>
      <c r="W4125" t="s">
        <v>45988</v>
      </c>
      <c r="X4125" t="s">
        <v>45989</v>
      </c>
      <c r="Y4125" t="s">
        <v>45990</v>
      </c>
    </row>
    <row r="4126" spans="1:25" x14ac:dyDescent="0.3">
      <c r="A4126">
        <v>206250</v>
      </c>
      <c r="B4126" t="s">
        <v>45991</v>
      </c>
      <c r="C4126">
        <f>-815.558611351141 -23.3273888995855 -87.5334350952822</f>
        <v>-926.41943534600875</v>
      </c>
      <c r="D4126">
        <f>-830.695914754857 -33.2820752951113 -201.936164702325</f>
        <v>-1065.9141547522934</v>
      </c>
      <c r="E4126">
        <f>-831.976745390928 -34.0787111805375 -300.548520157244</f>
        <v>-1166.6039767287095</v>
      </c>
      <c r="F4126">
        <f>-828.901367818573 -32.0721826473866 -389.569521426752</f>
        <v>-1250.5430718927116</v>
      </c>
      <c r="G4126">
        <f>-821.230713615318 -27.2843527597809 -478.206374429116</f>
        <v>-1326.7214408042148</v>
      </c>
      <c r="H4126">
        <f>-805.665733823834 -17.7631718282923 -601.445472972768</f>
        <v>-1424.8743786248942</v>
      </c>
      <c r="I4126">
        <f>-762.580783548581 -1.8038195574527 -670.68425998082</f>
        <v>-1435.0688630868538</v>
      </c>
      <c r="J4126" t="s">
        <v>45992</v>
      </c>
      <c r="K4126" t="s">
        <v>45993</v>
      </c>
      <c r="L4126" t="s">
        <v>45994</v>
      </c>
      <c r="M4126" t="s">
        <v>45995</v>
      </c>
      <c r="N4126">
        <f>-802.469234108824 -47.766742058365 -547.939576028701</f>
        <v>-1398.1755521958901</v>
      </c>
      <c r="O4126">
        <f>-756.722164170993 -174.721580955704 -521.722328895729</f>
        <v>-1453.1660740224261</v>
      </c>
      <c r="P4126">
        <f>-751.569224920917 -224.557101485325 -231.754840177631</f>
        <v>-1207.881166583873</v>
      </c>
      <c r="Q4126">
        <f>-614.591863177176 -49.3571802412173 -324.453510321301</f>
        <v>-988.40255373969433</v>
      </c>
      <c r="R4126" t="s">
        <v>45996</v>
      </c>
      <c r="S4126" t="s">
        <v>45997</v>
      </c>
      <c r="T4126" t="s">
        <v>45998</v>
      </c>
      <c r="U4126" t="s">
        <v>45999</v>
      </c>
      <c r="V4126">
        <f>-773.368805491732 -114.64826031996 -86.7200270831595</f>
        <v>-974.73709289485146</v>
      </c>
      <c r="W4126" t="s">
        <v>46000</v>
      </c>
      <c r="X4126" t="s">
        <v>46001</v>
      </c>
      <c r="Y4126" t="s">
        <v>46002</v>
      </c>
    </row>
    <row r="4127" spans="1:25" x14ac:dyDescent="0.3">
      <c r="A4127">
        <v>206300</v>
      </c>
      <c r="B4127" t="s">
        <v>46003</v>
      </c>
      <c r="C4127">
        <f>-815.257992571033 -19.9049364219516 -88.0696626936327</f>
        <v>-923.2325916866173</v>
      </c>
      <c r="D4127">
        <f>-830.760079841232 -30.2179230675426 -202.391763267092</f>
        <v>-1063.3697661758667</v>
      </c>
      <c r="E4127">
        <f>-832.324927691135 -31.5988874950499 -300.993613996788</f>
        <v>-1164.9174291829729</v>
      </c>
      <c r="F4127">
        <f>-829.496465552823 -30.2306662572314 -390.034878880804</f>
        <v>-1249.7620106908585</v>
      </c>
      <c r="G4127">
        <f>-822.063333895257 -26.1914358147635 -478.729217929182</f>
        <v>-1326.9839876392025</v>
      </c>
      <c r="H4127">
        <f>-806.820259945827 -17.8310268946211 -602.092820574324</f>
        <v>-1426.7441074147723</v>
      </c>
      <c r="I4127">
        <f>-763.929061896488 -2.87213456594964 -671.674410491459</f>
        <v>-1438.4756069538967</v>
      </c>
      <c r="J4127" t="s">
        <v>46004</v>
      </c>
      <c r="K4127" t="s">
        <v>46005</v>
      </c>
      <c r="L4127" t="s">
        <v>46006</v>
      </c>
      <c r="M4127" t="s">
        <v>46007</v>
      </c>
      <c r="N4127">
        <f>-803.576331044388 -47.3650467268088 -548.329045874632</f>
        <v>-1399.2704236458289</v>
      </c>
      <c r="O4127">
        <f>-758.10508042191 -174.218023540554 -521.161897786758</f>
        <v>-1453.485001749222</v>
      </c>
      <c r="P4127">
        <f>-754.12326805915 -221.538162184276 -230.755003132673</f>
        <v>-1206.4164333760989</v>
      </c>
      <c r="Q4127">
        <f>-616.110586469961 -47.4057062279597 -323.928079139102</f>
        <v>-987.4443718370228</v>
      </c>
      <c r="R4127" t="s">
        <v>46008</v>
      </c>
      <c r="S4127" t="s">
        <v>46009</v>
      </c>
      <c r="T4127" t="s">
        <v>46010</v>
      </c>
      <c r="U4127" t="s">
        <v>46011</v>
      </c>
      <c r="V4127">
        <f>-773.793249363391 -110.507484927841 -87.2199868324057</f>
        <v>-971.52072112363771</v>
      </c>
      <c r="W4127" t="s">
        <v>46012</v>
      </c>
      <c r="X4127" t="s">
        <v>46013</v>
      </c>
      <c r="Y4127" t="s">
        <v>46014</v>
      </c>
    </row>
    <row r="4128" spans="1:25" x14ac:dyDescent="0.3">
      <c r="A4128">
        <v>206350</v>
      </c>
      <c r="B4128" t="s">
        <v>46015</v>
      </c>
      <c r="C4128">
        <f>-814.976151145308 -17.9200034276964 -88.4610944570046</f>
        <v>-921.35724903000903</v>
      </c>
      <c r="D4128">
        <f>-830.738694301733 -28.4797285106581 -202.725001767659</f>
        <v>-1061.9434245800501</v>
      </c>
      <c r="E4128">
        <f>-832.538252013563 -30.2207514410686 -301.317070018477</f>
        <v>-1164.0760734731086</v>
      </c>
      <c r="F4128">
        <f>-829.927805587859 -29.2360362878014 -390.370189416498</f>
        <v>-1249.5340312921585</v>
      </c>
      <c r="G4128">
        <f>-822.71812245168 -25.6383733496211 -479.101899952956</f>
        <v>-1327.458395754257</v>
      </c>
      <c r="H4128">
        <f>-807.793045910656 -17.9551071003659 -602.548312200779</f>
        <v>-1428.296465211801</v>
      </c>
      <c r="I4128">
        <f>-765.242362444508 -3.63315656775012 -672.4722969072</f>
        <v>-1441.3478159194581</v>
      </c>
      <c r="J4128" t="s">
        <v>46016</v>
      </c>
      <c r="K4128" t="s">
        <v>46017</v>
      </c>
      <c r="L4128" t="s">
        <v>46018</v>
      </c>
      <c r="M4128" t="s">
        <v>46019</v>
      </c>
      <c r="N4128">
        <f>-804.461276646869 -47.2130681081154 -548.639420356786</f>
        <v>-1400.3137651117704</v>
      </c>
      <c r="O4128">
        <f>-759.181780300671 -174.042478030078 -521.037657894476</f>
        <v>-1454.2619162252249</v>
      </c>
      <c r="P4128">
        <f>-755.75422286547 -220.005844250972 -230.405898204895</f>
        <v>-1206.1659653213369</v>
      </c>
      <c r="Q4128">
        <f>-617.191246458239 -46.5215795203062 -323.970670821396</f>
        <v>-987.68349679994117</v>
      </c>
      <c r="R4128" t="s">
        <v>46020</v>
      </c>
      <c r="S4128" t="s">
        <v>46021</v>
      </c>
      <c r="T4128" t="s">
        <v>46022</v>
      </c>
      <c r="U4128" t="s">
        <v>46023</v>
      </c>
      <c r="V4128">
        <f>-773.959290119417 -108.00206455128 -87.5876428400046</f>
        <v>-969.54899751070161</v>
      </c>
      <c r="W4128" t="s">
        <v>46024</v>
      </c>
      <c r="X4128" t="s">
        <v>46025</v>
      </c>
      <c r="Y4128" t="s">
        <v>46026</v>
      </c>
    </row>
    <row r="4129" spans="1:25" x14ac:dyDescent="0.3">
      <c r="A4129">
        <v>206400</v>
      </c>
      <c r="B4129" t="s">
        <v>46027</v>
      </c>
      <c r="C4129">
        <f>-814.456280061118 -13.1814366858739 -89.6316460478613</f>
        <v>-917.26936279485324</v>
      </c>
      <c r="D4129">
        <f>-830.73277046661 -24.3872417610974 -203.761878340756</f>
        <v>-1058.8818905684634</v>
      </c>
      <c r="E4129">
        <f>-833.146642364776 -26.8848809232454 -302.324517838291</f>
        <v>-1162.3560411263124</v>
      </c>
      <c r="F4129">
        <f>-831.160626832815 -26.6631153371231 -391.398894275092</f>
        <v>-1249.22263644503</v>
      </c>
      <c r="G4129">
        <f>-824.64169009505 -23.9082341140561 -480.214184474869</f>
        <v>-1328.7641086839751</v>
      </c>
      <c r="H4129">
        <f>-810.748751390025 -17.4859489406772 -603.853016355718</f>
        <v>-1432.0877166864202</v>
      </c>
      <c r="I4129">
        <f>-769.15331095504 -4.51907241792696 -674.611139477417</f>
        <v>-1448.2835228503841</v>
      </c>
      <c r="J4129" t="s">
        <v>46028</v>
      </c>
      <c r="K4129" t="s">
        <v>46029</v>
      </c>
      <c r="L4129" t="s">
        <v>46030</v>
      </c>
      <c r="M4129" t="s">
        <v>46031</v>
      </c>
      <c r="N4129">
        <f>-807.15107696442 -46.2624713271817 -549.702357203799</f>
        <v>-1403.1159054954007</v>
      </c>
      <c r="O4129">
        <f>-762.516870549092 -173.203821263764 -521.523543894731</f>
        <v>-1457.244235707587</v>
      </c>
      <c r="P4129">
        <f>-760.211952894141 -216.688208916242 -230.499490502819</f>
        <v>-1207.3996523132021</v>
      </c>
      <c r="Q4129">
        <f>-620.251170848759 -44.8078244059105 -324.939849531483</f>
        <v>-989.99884478615252</v>
      </c>
      <c r="R4129" t="s">
        <v>46032</v>
      </c>
      <c r="S4129" t="s">
        <v>46033</v>
      </c>
      <c r="T4129" t="s">
        <v>46034</v>
      </c>
      <c r="U4129" t="s">
        <v>46035</v>
      </c>
      <c r="V4129">
        <f>-774.597653886068 -101.950074362181 -88.6875350980833</f>
        <v>-965.23526334633232</v>
      </c>
      <c r="W4129" t="s">
        <v>46036</v>
      </c>
      <c r="X4129" t="s">
        <v>46037</v>
      </c>
      <c r="Y4129" t="s">
        <v>46038</v>
      </c>
    </row>
    <row r="4130" spans="1:25" x14ac:dyDescent="0.3">
      <c r="A4130">
        <v>206450</v>
      </c>
      <c r="B4130" t="s">
        <v>46039</v>
      </c>
      <c r="C4130">
        <f>-814.088137430338 -10.3120240655144 -90.4601690817011</f>
        <v>-914.86033057755344</v>
      </c>
      <c r="D4130">
        <f>-830.600313445189 -21.9572590780565 -204.512608252379</f>
        <v>-1057.0701807756245</v>
      </c>
      <c r="E4130">
        <f>-833.412987963788 -24.872288436864 -303.053200261339</f>
        <v>-1161.3384766619911</v>
      </c>
      <c r="F4130">
        <f>-831.864651522629 -25.0429259714906 -392.136425679136</f>
        <v>-1249.0440031732555</v>
      </c>
      <c r="G4130">
        <f>-825.857556951411 -22.6966502992252 -480.999486018601</f>
        <v>-1329.5536932692371</v>
      </c>
      <c r="H4130">
        <f>-812.755508683853 -16.8620468075976 -604.75370495241</f>
        <v>-1434.3712604438606</v>
      </c>
      <c r="I4130">
        <f>-771.722085976562 -4.54846904783926 -675.955313640755</f>
        <v>-1452.2258686651562</v>
      </c>
      <c r="J4130" t="s">
        <v>46040</v>
      </c>
      <c r="K4130" t="s">
        <v>46041</v>
      </c>
      <c r="L4130" t="s">
        <v>46042</v>
      </c>
      <c r="M4130" t="s">
        <v>46043</v>
      </c>
      <c r="N4130">
        <f>-808.950193129052 -45.4323231456814 -550.508305522385</f>
        <v>-1404.8908217971184</v>
      </c>
      <c r="O4130">
        <f>-764.738776937937 -172.489948334192 -522.181390861318</f>
        <v>-1459.410116133447</v>
      </c>
      <c r="P4130">
        <f>-762.743596816623 -214.714530389752 -230.969683318061</f>
        <v>-1208.4278105244359</v>
      </c>
      <c r="Q4130">
        <f>-622.081457863922 -43.6673045760094 -325.879476106678</f>
        <v>-991.6282385466094</v>
      </c>
      <c r="R4130" t="s">
        <v>46044</v>
      </c>
      <c r="S4130" t="s">
        <v>46045</v>
      </c>
      <c r="T4130" t="s">
        <v>46046</v>
      </c>
      <c r="U4130" t="s">
        <v>46047</v>
      </c>
      <c r="V4130">
        <f>-774.766051238472 -98.4548688692246 -89.4108712649594</f>
        <v>-962.63179137265593</v>
      </c>
      <c r="W4130" t="s">
        <v>46048</v>
      </c>
      <c r="X4130" t="s">
        <v>46049</v>
      </c>
      <c r="Y4130" t="s">
        <v>46050</v>
      </c>
    </row>
    <row r="4131" spans="1:25" x14ac:dyDescent="0.3">
      <c r="A4131">
        <v>206500</v>
      </c>
      <c r="B4131" t="s">
        <v>46051</v>
      </c>
      <c r="C4131">
        <f>-813.303675759773 -3.71056435238984 -92.2994037763548</f>
        <v>-909.31364388851762</v>
      </c>
      <c r="D4131">
        <f>-830.362464985128 -16.324032291137 -206.168353528367</f>
        <v>-1052.854850804632</v>
      </c>
      <c r="E4131">
        <f>-834.102161741215 -20.0742306195821 -304.649933524916</f>
        <v>-1158.826325885713</v>
      </c>
      <c r="F4131">
        <f>-833.573804767891 -20.9938610779564 -393.740324340248</f>
        <v>-1248.3079901860954</v>
      </c>
      <c r="G4131">
        <f>-828.763003835486 -19.3905882036204 -482.692750251903</f>
        <v>-1330.8463422910095</v>
      </c>
      <c r="H4131">
        <f>-817.512708617502 -14.585382331803 -606.673094952021</f>
        <v>-1438.7711859013259</v>
      </c>
      <c r="I4131">
        <f>-777.544470053563 -3.14624002560186 -678.622654396168</f>
        <v>-1459.3133644753329</v>
      </c>
      <c r="J4131" t="s">
        <v>46052</v>
      </c>
      <c r="K4131" t="s">
        <v>46053</v>
      </c>
      <c r="L4131" t="s">
        <v>46054</v>
      </c>
      <c r="M4131" t="s">
        <v>46055</v>
      </c>
      <c r="N4131">
        <f>-813.180254113685 -42.8071210818837 -552.284914005882</f>
        <v>-1408.2722892014508</v>
      </c>
      <c r="O4131">
        <f>-769.965726823011 -170.162946698339 -523.74532094642</f>
        <v>-1463.87399446777</v>
      </c>
      <c r="P4131">
        <f>-767.429963365462 -209.734742315361 -232.165437171356</f>
        <v>-1209.3301428521791</v>
      </c>
      <c r="Q4131">
        <f>-625.784714854644 -40.4590369875557 -328.77406157914</f>
        <v>-995.01781342133972</v>
      </c>
      <c r="R4131" t="s">
        <v>46056</v>
      </c>
      <c r="S4131" t="s">
        <v>46057</v>
      </c>
      <c r="T4131" t="s">
        <v>46058</v>
      </c>
      <c r="U4131" t="s">
        <v>46059</v>
      </c>
      <c r="V4131">
        <f>-775.182832511141 -91.1293786450719 -90.6776409659174</f>
        <v>-956.98985212213029</v>
      </c>
      <c r="W4131" t="s">
        <v>46060</v>
      </c>
      <c r="X4131" t="s">
        <v>46061</v>
      </c>
      <c r="Y4131" t="s">
        <v>46062</v>
      </c>
    </row>
    <row r="4132" spans="1:25" x14ac:dyDescent="0.3">
      <c r="A4132">
        <v>206550</v>
      </c>
      <c r="B4132" t="s">
        <v>46063</v>
      </c>
      <c r="C4132">
        <f>-813.05890443895 -0.345756243441201 -93.2767066654062</f>
        <v>-906.68136734779739</v>
      </c>
      <c r="D4132">
        <f>-830.4900596583 -13.3028523941057 -207.050519973839</f>
        <v>-1050.8434320262447</v>
      </c>
      <c r="E4132">
        <f>-834.693782357047 -17.4008107711895 -305.499454387775</f>
        <v>-1157.5940475160114</v>
      </c>
      <c r="F4132">
        <f>-834.644670295843 -18.6495037667855 -394.587547388064</f>
        <v>-1247.8817214506926</v>
      </c>
      <c r="G4132">
        <f>-830.371248738104 -17.39048088551 -483.572905160052</f>
        <v>-1331.3346347836659</v>
      </c>
      <c r="H4132">
        <f>-819.93178538341 -13.0797212923571 -607.642481069156</f>
        <v>-1440.6539877449231</v>
      </c>
      <c r="I4132">
        <f>-780.314784070271 -1.8852096504952 -679.824266814291</f>
        <v>-1462.0242605350572</v>
      </c>
      <c r="J4132" t="s">
        <v>46064</v>
      </c>
      <c r="K4132" t="s">
        <v>46065</v>
      </c>
      <c r="L4132" t="s">
        <v>46066</v>
      </c>
      <c r="M4132" t="s">
        <v>46067</v>
      </c>
      <c r="N4132">
        <f>-815.411381412404 -41.1434313981429 -553.187873422422</f>
        <v>-1409.7426862329689</v>
      </c>
      <c r="O4132">
        <f>-772.769991236188 -168.629467093878 -524.368860925393</f>
        <v>-1465.7683192554591</v>
      </c>
      <c r="P4132">
        <f>-769.354536501606 -206.884591163256 -232.622280205502</f>
        <v>-1208.861407870364</v>
      </c>
      <c r="Q4132">
        <f>-627.195538744128 -38.7071714965002 -330.387408602815</f>
        <v>-996.29011884344322</v>
      </c>
      <c r="R4132" t="s">
        <v>46068</v>
      </c>
      <c r="S4132" t="s">
        <v>46069</v>
      </c>
      <c r="T4132" t="s">
        <v>46070</v>
      </c>
      <c r="U4132" t="s">
        <v>46071</v>
      </c>
      <c r="V4132">
        <f>-775.399209506113 -87.7216461286723 -91.1892739547567</f>
        <v>-954.31012958954204</v>
      </c>
      <c r="W4132" t="s">
        <v>46072</v>
      </c>
      <c r="X4132" t="s">
        <v>46073</v>
      </c>
      <c r="Y4132" t="s">
        <v>46074</v>
      </c>
    </row>
    <row r="4133" spans="1:25" x14ac:dyDescent="0.3">
      <c r="A4133">
        <v>206600</v>
      </c>
      <c r="B4133" t="s">
        <v>46075</v>
      </c>
      <c r="C4133" t="s">
        <v>46076</v>
      </c>
      <c r="D4133">
        <f>-830.232088060603 -7.55003813702524 -209.12408192506</f>
        <v>-1046.9062081226882</v>
      </c>
      <c r="E4133">
        <f>-835.186299248129 -11.919232288782 -307.526486656706</f>
        <v>-1154.6320181936171</v>
      </c>
      <c r="F4133">
        <f>-835.83722909146 -13.5543856148968 -396.605853426265</f>
        <v>-1245.9974681326219</v>
      </c>
      <c r="G4133">
        <f>-832.285195793909 -12.8267018201334 -485.6289074437</f>
        <v>-1330.7408050577424</v>
      </c>
      <c r="H4133">
        <f>-822.877376392939 -9.40848126226228 -609.808645400958</f>
        <v>-1442.0945030561593</v>
      </c>
      <c r="I4133" t="s">
        <v>46077</v>
      </c>
      <c r="J4133" t="s">
        <v>46078</v>
      </c>
      <c r="K4133" t="s">
        <v>46079</v>
      </c>
      <c r="L4133" t="s">
        <v>46080</v>
      </c>
      <c r="M4133" t="s">
        <v>46081</v>
      </c>
      <c r="N4133">
        <f>-818.338644533823 -37.227489064155 -555.230162421637</f>
        <v>-1410.7962960196151</v>
      </c>
      <c r="O4133">
        <f>-777.494064772883 -165.077782151509 -525.525990430479</f>
        <v>-1468.097837354871</v>
      </c>
      <c r="P4133">
        <f>-772.205404211223 -201.249453003015 -233.541644859453</f>
        <v>-1206.9965020736911</v>
      </c>
      <c r="Q4133">
        <f>-628.061359715061 -35.5092710713827 -332.554576861782</f>
        <v>-996.1252076482258</v>
      </c>
      <c r="R4133" t="s">
        <v>46082</v>
      </c>
      <c r="S4133" t="s">
        <v>46083</v>
      </c>
      <c r="T4133" t="s">
        <v>46084</v>
      </c>
      <c r="U4133" t="s">
        <v>46085</v>
      </c>
      <c r="V4133">
        <f>-774.680300046796 -83.9904325174266 -92.2761498103149</f>
        <v>-950.94688237453749</v>
      </c>
      <c r="W4133" t="s">
        <v>46086</v>
      </c>
      <c r="X4133" t="s">
        <v>46087</v>
      </c>
      <c r="Y4133" t="s">
        <v>46088</v>
      </c>
    </row>
    <row r="4134" spans="1:25" x14ac:dyDescent="0.3">
      <c r="A4134">
        <v>206650</v>
      </c>
      <c r="B4134" t="s">
        <v>46089</v>
      </c>
      <c r="C4134" t="s">
        <v>46090</v>
      </c>
      <c r="D4134">
        <f>-829.23676351489 -6.67646753784788 -209.734400555874</f>
        <v>-1045.6476316086118</v>
      </c>
      <c r="E4134">
        <f>-834.406220245002 -11.1207919705191 -308.122318369922</f>
        <v>-1153.6493305854433</v>
      </c>
      <c r="F4134">
        <f>-835.248881377076 -12.9040694675246 -397.197356411721</f>
        <v>-1245.3503072563217</v>
      </c>
      <c r="G4134">
        <f>-831.885531756086 -12.4079463117689 -486.229301787896</f>
        <v>-1330.522779855751</v>
      </c>
      <c r="H4134">
        <f>-822.738935329361 -9.40122294804519 -610.439349781405</f>
        <v>-1442.5795080588111</v>
      </c>
      <c r="I4134" t="s">
        <v>46091</v>
      </c>
      <c r="J4134" t="s">
        <v>46092</v>
      </c>
      <c r="K4134" t="s">
        <v>46093</v>
      </c>
      <c r="L4134" t="s">
        <v>46094</v>
      </c>
      <c r="M4134" t="s">
        <v>46095</v>
      </c>
      <c r="N4134">
        <f>-818.320346858278 -37.115526906005 -555.797645442029</f>
        <v>-1411.2335192063119</v>
      </c>
      <c r="O4134">
        <f>-778.694204781506 -165.232376499828 -525.794163970987</f>
        <v>-1469.720745252321</v>
      </c>
      <c r="P4134">
        <f>-773.505503335094 -200.547781225359 -233.703337231437</f>
        <v>-1207.75662179189</v>
      </c>
      <c r="Q4134">
        <f>-628.005454723157 -36.0364127702794 -332.782159250763</f>
        <v>-996.82402674419939</v>
      </c>
      <c r="R4134" t="s">
        <v>46096</v>
      </c>
      <c r="S4134" t="s">
        <v>46097</v>
      </c>
      <c r="T4134" t="s">
        <v>46098</v>
      </c>
      <c r="U4134" t="s">
        <v>46099</v>
      </c>
      <c r="V4134">
        <f>-773.469642866128 -84.1196700663285 -92.79693632872</f>
        <v>-950.38624926117643</v>
      </c>
      <c r="W4134" t="s">
        <v>46100</v>
      </c>
      <c r="X4134" t="s">
        <v>46101</v>
      </c>
      <c r="Y4134" t="s">
        <v>46102</v>
      </c>
    </row>
    <row r="4135" spans="1:25" x14ac:dyDescent="0.3">
      <c r="A4135">
        <v>206700</v>
      </c>
      <c r="B4135" t="s">
        <v>46103</v>
      </c>
      <c r="C4135" t="s">
        <v>46104</v>
      </c>
      <c r="D4135">
        <f>-825.635977705011 -7.98433985790757 -209.408722790292</f>
        <v>-1043.0290403532106</v>
      </c>
      <c r="E4135">
        <f>-831.034060358283 -12.7556593868035 -307.769061965619</f>
        <v>-1151.5587817107055</v>
      </c>
      <c r="F4135">
        <f>-832.05888902667 -14.8986288304498 -396.834207537576</f>
        <v>-1243.7917253946957</v>
      </c>
      <c r="G4135">
        <f>-828.849954812808 -14.8345850630158 -485.873179302943</f>
        <v>-1329.5577191787668</v>
      </c>
      <c r="H4135">
        <f>-819.888945904963 -12.511720763526 -610.111363986061</f>
        <v>-1442.51203065455</v>
      </c>
      <c r="I4135">
        <f>-780.616973567865 -2.6535286854471 -682.675494203901</f>
        <v>-1465.9459964572131</v>
      </c>
      <c r="J4135" t="s">
        <v>46105</v>
      </c>
      <c r="K4135" t="s">
        <v>46106</v>
      </c>
      <c r="L4135" t="s">
        <v>46107</v>
      </c>
      <c r="M4135" t="s">
        <v>46108</v>
      </c>
      <c r="N4135">
        <f>-815.788254299651 -40.0495572950369 -555.355706624949</f>
        <v>-1411.1935182196371</v>
      </c>
      <c r="O4135">
        <f>-778.242404268212 -168.761872876272 -524.995344135095</f>
        <v>-1471.9996212795791</v>
      </c>
      <c r="P4135">
        <f>-774.679714157418 -202.999958907478 -232.751696914823</f>
        <v>-1210.431369979719</v>
      </c>
      <c r="Q4135">
        <f>-626.870358577543 -40.9677043497309 -332.495441179338</f>
        <v>-1000.3335041066118</v>
      </c>
      <c r="R4135" t="s">
        <v>46109</v>
      </c>
      <c r="S4135" t="s">
        <v>46110</v>
      </c>
      <c r="T4135" t="s">
        <v>46111</v>
      </c>
      <c r="U4135" t="s">
        <v>46112</v>
      </c>
      <c r="V4135">
        <f>-770.42502322244 -84.049293083158 -92.7942837249329</f>
        <v>-947.26860003053093</v>
      </c>
      <c r="W4135" t="s">
        <v>46113</v>
      </c>
      <c r="X4135" t="s">
        <v>46114</v>
      </c>
      <c r="Y4135" t="s">
        <v>46115</v>
      </c>
    </row>
    <row r="4136" spans="1:25" x14ac:dyDescent="0.3">
      <c r="A4136">
        <v>206750</v>
      </c>
      <c r="B4136" t="s">
        <v>46116</v>
      </c>
      <c r="C4136" t="s">
        <v>46117</v>
      </c>
      <c r="D4136">
        <f>-823.831919621907 -8.40754766908026 -208.886445082056</f>
        <v>-1041.1259123730433</v>
      </c>
      <c r="E4136">
        <f>-829.341948439915 -13.2516431835897 -307.236941798988</f>
        <v>-1149.8305334224929</v>
      </c>
      <c r="F4136">
        <f>-830.459765708513 -15.4696263602318 -396.299206128772</f>
        <v>-1242.2285981975169</v>
      </c>
      <c r="G4136">
        <f>-827.334672571113 -15.4928830878143 -485.341181037776</f>
        <v>-1328.1687366967033</v>
      </c>
      <c r="H4136">
        <f>-818.480692300266 -13.3062816390582 -609.58940476027</f>
        <v>-1441.3763786995942</v>
      </c>
      <c r="I4136">
        <f>-779.293060247439 -3.67595389213966 -682.229696791372</f>
        <v>-1465.1987109309507</v>
      </c>
      <c r="J4136" t="s">
        <v>46118</v>
      </c>
      <c r="K4136" t="s">
        <v>46119</v>
      </c>
      <c r="L4136" t="s">
        <v>46120</v>
      </c>
      <c r="M4136" t="s">
        <v>46121</v>
      </c>
      <c r="N4136">
        <f>-814.48081804692 -40.8285474462807 -554.818630953079</f>
        <v>-1410.1279964462797</v>
      </c>
      <c r="O4136">
        <f>-777.597634963928 -169.73604686786 -524.364859267479</f>
        <v>-1471.698541099267</v>
      </c>
      <c r="P4136">
        <f>-774.574827372579 -203.659568027468 -232.078625878303</f>
        <v>-1210.3130212783499</v>
      </c>
      <c r="Q4136">
        <f>-626.158777238944 -42.4440121151008 -332.243935325116</f>
        <v>-1000.8467246791608</v>
      </c>
      <c r="R4136" t="s">
        <v>46122</v>
      </c>
      <c r="S4136" t="s">
        <v>46123</v>
      </c>
      <c r="T4136" t="s">
        <v>46124</v>
      </c>
      <c r="U4136" t="s">
        <v>46125</v>
      </c>
      <c r="V4136">
        <f>-769.243277563806 -83.8763524970071 -92.5119255696868</f>
        <v>-945.63155563049997</v>
      </c>
      <c r="W4136" t="s">
        <v>46126</v>
      </c>
      <c r="X4136" t="s">
        <v>46127</v>
      </c>
      <c r="Y4136" t="s">
        <v>46128</v>
      </c>
    </row>
    <row r="4137" spans="1:25" x14ac:dyDescent="0.3">
      <c r="A4137">
        <v>206800</v>
      </c>
      <c r="B4137" t="s">
        <v>46129</v>
      </c>
      <c r="C4137" t="s">
        <v>46130</v>
      </c>
      <c r="D4137">
        <f>-821.977837915452 -6.95418107436535 -208.412704095507</f>
        <v>-1037.3447230853244</v>
      </c>
      <c r="E4137">
        <f>-827.863374077111 -11.7632927517018 -306.743114093308</f>
        <v>-1146.3697809221208</v>
      </c>
      <c r="F4137">
        <f>-829.325627335547 -13.9638680611588 -395.800732266116</f>
        <v>-1239.0902276628217</v>
      </c>
      <c r="G4137">
        <f>-826.550093843012 -13.9845608131818 -484.854258431553</f>
        <v>-1325.3889130877467</v>
      </c>
      <c r="H4137">
        <f>-818.191438493635 -11.8059554988758 -609.137028243582</f>
        <v>-1439.1344222360929</v>
      </c>
      <c r="I4137">
        <f>-779.301755730299 -2.46202208661771 -681.974589966226</f>
        <v>-1463.7383677831426</v>
      </c>
      <c r="J4137" t="s">
        <v>46131</v>
      </c>
      <c r="K4137" t="s">
        <v>46132</v>
      </c>
      <c r="L4137" t="s">
        <v>46133</v>
      </c>
      <c r="M4137" t="s">
        <v>46134</v>
      </c>
      <c r="N4137">
        <f>-814.226572716672 -39.3987418963825 -554.399230850901</f>
        <v>-1408.0245454639553</v>
      </c>
      <c r="O4137">
        <f>-778.481521283373 -168.576280543133 -523.852058023852</f>
        <v>-1470.9098598503579</v>
      </c>
      <c r="P4137">
        <f>-775.271561611249 -202.0443463078 -231.515427958293</f>
        <v>-1208.8313358773421</v>
      </c>
      <c r="Q4137">
        <f>-626.091079754545 -41.7607545417379 -332.040000053363</f>
        <v>-999.89183434964593</v>
      </c>
      <c r="R4137" t="s">
        <v>46135</v>
      </c>
      <c r="S4137" t="s">
        <v>46136</v>
      </c>
      <c r="T4137" t="s">
        <v>46137</v>
      </c>
      <c r="U4137" t="s">
        <v>46138</v>
      </c>
      <c r="V4137">
        <f>-767.915410606354 -82.6543265695798 -92.2966937288754</f>
        <v>-942.86643090480925</v>
      </c>
      <c r="W4137" t="s">
        <v>46139</v>
      </c>
      <c r="X4137" t="s">
        <v>46140</v>
      </c>
      <c r="Y4137" t="s">
        <v>46141</v>
      </c>
    </row>
    <row r="4138" spans="1:25" x14ac:dyDescent="0.3">
      <c r="A4138">
        <v>206850</v>
      </c>
      <c r="B4138" t="s">
        <v>46142</v>
      </c>
      <c r="C4138" t="s">
        <v>46143</v>
      </c>
      <c r="D4138">
        <f>-821.821677949843 -5.72810293284988 -208.510282195277</f>
        <v>-1036.06006307797</v>
      </c>
      <c r="E4138">
        <f>-827.861656946165 -10.4915340282041 -306.833600574674</f>
        <v>-1145.1867915490432</v>
      </c>
      <c r="F4138">
        <f>-829.462992241546 -12.6732269978538 -395.889385640192</f>
        <v>-1238.0256048795918</v>
      </c>
      <c r="G4138">
        <f>-826.826807633067 -12.6968012341315 -484.947135853644</f>
        <v>-1324.4707447208425</v>
      </c>
      <c r="H4138">
        <f>-818.663901969664 -10.5434613991554 -609.24334187836</f>
        <v>-1438.4507052471795</v>
      </c>
      <c r="I4138">
        <f>-779.934949021849 -1.31972506921238 -682.181827345082</f>
        <v>-1463.4365014361433</v>
      </c>
      <c r="J4138" t="s">
        <v>46144</v>
      </c>
      <c r="K4138" t="s">
        <v>46145</v>
      </c>
      <c r="L4138" t="s">
        <v>46146</v>
      </c>
      <c r="M4138" t="s">
        <v>46147</v>
      </c>
      <c r="N4138">
        <f>-814.729580807834 -38.1582512144385 -554.514447608772</f>
        <v>-1407.4022796310446</v>
      </c>
      <c r="O4138">
        <f>-779.560914674934 -167.453030857591 -523.874506896973</f>
        <v>-1470.8884524294981</v>
      </c>
      <c r="P4138">
        <f>-775.736828417942 -201.012129229154 -231.555525275065</f>
        <v>-1208.304482922161</v>
      </c>
      <c r="Q4138">
        <f>-626.31977019338 -40.9731707943049 -332.118801880832</f>
        <v>-999.41174286851697</v>
      </c>
      <c r="R4138" t="s">
        <v>46148</v>
      </c>
      <c r="S4138" t="s">
        <v>46149</v>
      </c>
      <c r="T4138" t="s">
        <v>46150</v>
      </c>
      <c r="U4138" t="s">
        <v>46151</v>
      </c>
      <c r="V4138">
        <f>-767.858655561197 -81.9500696401141 -92.3618705632122</f>
        <v>-942.17059576452323</v>
      </c>
      <c r="W4138" t="s">
        <v>46152</v>
      </c>
      <c r="X4138" t="s">
        <v>46153</v>
      </c>
      <c r="Y4138" t="s">
        <v>46154</v>
      </c>
    </row>
    <row r="4139" spans="1:25" x14ac:dyDescent="0.3">
      <c r="A4139">
        <v>206900</v>
      </c>
      <c r="B4139" t="s">
        <v>46155</v>
      </c>
      <c r="C4139" t="s">
        <v>46156</v>
      </c>
      <c r="D4139">
        <f>-821.524712582035 -4.60868501129153 -208.797113746729</f>
        <v>-1034.9305113400555</v>
      </c>
      <c r="E4139">
        <f>-827.614007313888 -9.25572962390606 -307.123138518034</f>
        <v>-1143.9928754558282</v>
      </c>
      <c r="F4139">
        <f>-829.243529236163 -11.348632945721 -396.180350586509</f>
        <v>-1236.772512768393</v>
      </c>
      <c r="G4139">
        <f>-826.619116769007 -11.3016523217348 -485.2385565839</f>
        <v>-1323.1593256746417</v>
      </c>
      <c r="H4139">
        <f>-818.456189420118 -9.06816208255941 -609.533421123335</f>
        <v>-1437.0577726260124</v>
      </c>
      <c r="I4139" t="s">
        <v>46157</v>
      </c>
      <c r="J4139" t="s">
        <v>46158</v>
      </c>
      <c r="K4139" t="s">
        <v>46159</v>
      </c>
      <c r="L4139" t="s">
        <v>46160</v>
      </c>
      <c r="M4139" t="s">
        <v>46161</v>
      </c>
      <c r="N4139">
        <f>-814.699075734036 -36.7676062939863 -554.834755249587</f>
        <v>-1406.3014372776092</v>
      </c>
      <c r="O4139">
        <f>-780.314496765841 -166.272762448655 -524.1473747318</f>
        <v>-1470.7346339462961</v>
      </c>
      <c r="P4139">
        <f>-776.301022466287 -199.81923320916 -231.829332188743</f>
        <v>-1207.9495878641899</v>
      </c>
      <c r="Q4139">
        <f>-626.092382242846 -40.5367243477042 -332.414386687979</f>
        <v>-999.04349327852924</v>
      </c>
      <c r="R4139" t="s">
        <v>46162</v>
      </c>
      <c r="S4139" t="s">
        <v>46163</v>
      </c>
      <c r="T4139" t="s">
        <v>46164</v>
      </c>
      <c r="U4139" t="s">
        <v>46165</v>
      </c>
      <c r="V4139">
        <f>-767.674759598796 -81.7782770785972 -92.5094552588612</f>
        <v>-941.96249193625431</v>
      </c>
      <c r="W4139" t="s">
        <v>46166</v>
      </c>
      <c r="X4139" t="s">
        <v>46167</v>
      </c>
      <c r="Y4139" t="s">
        <v>46168</v>
      </c>
    </row>
    <row r="4140" spans="1:25" x14ac:dyDescent="0.3">
      <c r="A4140">
        <v>206950</v>
      </c>
      <c r="B4140" t="s">
        <v>46169</v>
      </c>
      <c r="C4140" t="s">
        <v>46170</v>
      </c>
      <c r="D4140">
        <f>-821.088296664061 -4.85581614086777 -208.840418728008</f>
        <v>-1034.7845315329369</v>
      </c>
      <c r="E4140">
        <f>-827.145004267486 -9.46350216483143 -307.170131359461</f>
        <v>-1143.7786377917785</v>
      </c>
      <c r="F4140">
        <f>-828.748151706234 -11.5102857525981 -396.229024358805</f>
        <v>-1236.487461817637</v>
      </c>
      <c r="G4140">
        <f>-826.100149467302 -11.4076685514826 -485.286480505138</f>
        <v>-1322.7942985239226</v>
      </c>
      <c r="H4140">
        <f>-817.907112995382 -9.08695869281132 -609.577684210496</f>
        <v>-1436.5717558986894</v>
      </c>
      <c r="I4140">
        <f>-779.607319361656 -0.027989857331022 -682.76289546922</f>
        <v>-1462.398204688207</v>
      </c>
      <c r="J4140" t="s">
        <v>46171</v>
      </c>
      <c r="K4140" t="s">
        <v>46172</v>
      </c>
      <c r="L4140" t="s">
        <v>46173</v>
      </c>
      <c r="M4140" t="s">
        <v>46174</v>
      </c>
      <c r="N4140">
        <f>-814.221482132576 -36.8408445025345 -554.901827002745</f>
        <v>-1405.9641536378556</v>
      </c>
      <c r="O4140">
        <f>-780.102111215983 -166.441289853415 -524.317825709045</f>
        <v>-1470.8612267784429</v>
      </c>
      <c r="P4140">
        <f>-776.31333666491 -200.053303538288 -232.004504566642</f>
        <v>-1208.3711447698399</v>
      </c>
      <c r="Q4140">
        <f>-625.741672086605 -41.0737821670427 -332.525937269938</f>
        <v>-999.3413915235858</v>
      </c>
      <c r="R4140" t="s">
        <v>46175</v>
      </c>
      <c r="S4140" t="s">
        <v>46176</v>
      </c>
      <c r="T4140" t="s">
        <v>46177</v>
      </c>
      <c r="U4140" t="s">
        <v>46178</v>
      </c>
      <c r="V4140">
        <f>-767.609453508461 -81.8735867779211 -92.5066614193879</f>
        <v>-941.98970170577002</v>
      </c>
      <c r="W4140" t="s">
        <v>46179</v>
      </c>
      <c r="X4140" t="s">
        <v>46180</v>
      </c>
      <c r="Y4140" t="s">
        <v>46181</v>
      </c>
    </row>
    <row r="4141" spans="1:25" x14ac:dyDescent="0.3">
      <c r="A4141">
        <v>207000</v>
      </c>
      <c r="B4141" t="s">
        <v>46182</v>
      </c>
      <c r="C4141" t="s">
        <v>46183</v>
      </c>
      <c r="D4141">
        <f>-820.249421956031 -5.91785147051996 -208.708305558591</f>
        <v>-1034.8755789851421</v>
      </c>
      <c r="E4141">
        <f>-826.152948052711 -10.4399416720678 -307.051447191424</f>
        <v>-1143.644336916203</v>
      </c>
      <c r="F4141">
        <f>-827.625257795589 -12.4176890940964 -396.114031505102</f>
        <v>-1236.1569783947875</v>
      </c>
      <c r="G4141">
        <f>-824.853034420089 -12.2573243849017 -485.167585678515</f>
        <v>-1322.2779444835057</v>
      </c>
      <c r="H4141">
        <f>-816.493446871852 -9.86893898636413 -609.446345671819</f>
        <v>-1435.8087315300352</v>
      </c>
      <c r="I4141">
        <f>-778.421950897758 -0.890287950914399 -682.760661068378</f>
        <v>-1462.0728999170506</v>
      </c>
      <c r="J4141" t="s">
        <v>46184</v>
      </c>
      <c r="K4141" t="s">
        <v>46185</v>
      </c>
      <c r="L4141" t="s">
        <v>46186</v>
      </c>
      <c r="M4141" t="s">
        <v>46187</v>
      </c>
      <c r="N4141">
        <f>-812.993051062263 -37.6828496181877 -554.788819502814</f>
        <v>-1405.4647201832647</v>
      </c>
      <c r="O4141">
        <f>-779.35812871443 -167.44381163217 -524.342562953252</f>
        <v>-1471.144503299852</v>
      </c>
      <c r="P4141">
        <f>-775.632190340339 -201.52405612514 -232.082693067842</f>
        <v>-1209.2389395333209</v>
      </c>
      <c r="Q4141">
        <f>-624.632318570151 -42.8386760047449 -332.426558936893</f>
        <v>-999.89755351178894</v>
      </c>
      <c r="R4141" t="s">
        <v>46188</v>
      </c>
      <c r="S4141" t="s">
        <v>46189</v>
      </c>
      <c r="T4141" t="s">
        <v>46190</v>
      </c>
      <c r="U4141" t="s">
        <v>46191</v>
      </c>
      <c r="V4141">
        <f>-767.585584577001 -82.5454856381688 -92.3890716572066</f>
        <v>-942.52014187237637</v>
      </c>
      <c r="W4141" t="s">
        <v>46192</v>
      </c>
      <c r="X4141" t="s">
        <v>46193</v>
      </c>
      <c r="Y4141" t="s">
        <v>46194</v>
      </c>
    </row>
    <row r="4142" spans="1:25" x14ac:dyDescent="0.3">
      <c r="A4142">
        <v>207050</v>
      </c>
      <c r="B4142" t="s">
        <v>46195</v>
      </c>
      <c r="C4142" t="s">
        <v>46196</v>
      </c>
      <c r="D4142">
        <f>-820.268228442457 -5.9586734770362 -208.601698242515</f>
        <v>-1034.8286001620081</v>
      </c>
      <c r="E4142">
        <f>-826.129787669376 -10.4758733365343 -306.947525316305</f>
        <v>-1143.5531863222154</v>
      </c>
      <c r="F4142">
        <f>-827.564501508253 -12.4572682172311 -396.010723375775</f>
        <v>-1236.0324931012592</v>
      </c>
      <c r="G4142">
        <f>-824.754926240445 -12.3100267244415 -485.06306308938</f>
        <v>-1322.1280160542665</v>
      </c>
      <c r="H4142">
        <f>-816.342662282545 -9.95064065534916 -609.338923811165</f>
        <v>-1435.6322267490591</v>
      </c>
      <c r="I4142">
        <f>-778.367413631237 -1.01713818239136 -682.708642679452</f>
        <v>-1462.0931944930803</v>
      </c>
      <c r="J4142" t="s">
        <v>46197</v>
      </c>
      <c r="K4142" t="s">
        <v>46198</v>
      </c>
      <c r="L4142" t="s">
        <v>46199</v>
      </c>
      <c r="M4142" t="s">
        <v>46200</v>
      </c>
      <c r="N4142">
        <f>-812.915118824904 -37.7650370292163 -554.677007424931</f>
        <v>-1405.3571632790513</v>
      </c>
      <c r="O4142">
        <f>-779.516733921406 -167.590959625948 -524.22835289008</f>
        <v>-1471.3360464374341</v>
      </c>
      <c r="P4142">
        <f>-775.878090531504 -201.774393521619 -231.979408076871</f>
        <v>-1209.631892129994</v>
      </c>
      <c r="Q4142">
        <f>-624.682948517999 -43.2683127684419 -332.312524513938</f>
        <v>-1000.2637858003789</v>
      </c>
      <c r="R4142" t="s">
        <v>46201</v>
      </c>
      <c r="S4142" t="s">
        <v>46202</v>
      </c>
      <c r="T4142" t="s">
        <v>46203</v>
      </c>
      <c r="U4142" t="s">
        <v>46204</v>
      </c>
      <c r="V4142">
        <f>-767.629520265084 -82.5547176658768 -92.3223106845978</f>
        <v>-942.50654861555859</v>
      </c>
      <c r="W4142" t="s">
        <v>46205</v>
      </c>
      <c r="X4142" t="s">
        <v>46206</v>
      </c>
      <c r="Y4142" t="s">
        <v>46207</v>
      </c>
    </row>
    <row r="4143" spans="1:25" x14ac:dyDescent="0.3">
      <c r="A4143">
        <v>207100</v>
      </c>
      <c r="B4143" t="s">
        <v>46208</v>
      </c>
      <c r="C4143" t="s">
        <v>46209</v>
      </c>
      <c r="D4143">
        <f>-820.192427529185 -5.34716552946429 -208.520797158903</f>
        <v>-1034.0603902175524</v>
      </c>
      <c r="E4143">
        <f>-826.036710947826 -9.85287836279372 -306.868119221724</f>
        <v>-1142.7577085323437</v>
      </c>
      <c r="F4143">
        <f>-827.466304016143 -11.8508505903765 -395.931091523989</f>
        <v>-1235.2482461305085</v>
      </c>
      <c r="G4143">
        <f>-824.66164901709 -11.7488323064542 -484.983621486772</f>
        <v>-1321.3941028103163</v>
      </c>
      <c r="H4143">
        <f>-816.266965374906 -9.48384293559593 -609.262428172621</f>
        <v>-1435.0132364831229</v>
      </c>
      <c r="I4143">
        <f>-778.492758341962 -0.619501842949603 -682.744148751392</f>
        <v>-1461.8564089363035</v>
      </c>
      <c r="J4143" t="s">
        <v>46210</v>
      </c>
      <c r="K4143" t="s">
        <v>46211</v>
      </c>
      <c r="L4143" t="s">
        <v>46212</v>
      </c>
      <c r="M4143" t="s">
        <v>46213</v>
      </c>
      <c r="N4143">
        <f>-812.937052521828 -37.2846136086735 -554.587536290549</f>
        <v>-1404.8092024210505</v>
      </c>
      <c r="O4143">
        <f>-779.985405097509 -167.219657403194 -524.095927157132</f>
        <v>-1471.3009896578351</v>
      </c>
      <c r="P4143">
        <f>-776.443309754868 -201.146787369198 -231.815899298184</f>
        <v>-1209.4059964222499</v>
      </c>
      <c r="Q4143">
        <f>-624.718137990978 -43.1377339207943 -332.133165784495</f>
        <v>-999.98903769626736</v>
      </c>
      <c r="R4143" t="s">
        <v>46214</v>
      </c>
      <c r="S4143" t="s">
        <v>46215</v>
      </c>
      <c r="T4143" t="s">
        <v>46216</v>
      </c>
      <c r="U4143" t="s">
        <v>46217</v>
      </c>
      <c r="V4143">
        <f>-767.597986575076 -82.342205575243 -92.279117069702</f>
        <v>-942.21930922002105</v>
      </c>
      <c r="W4143" t="s">
        <v>46218</v>
      </c>
      <c r="X4143" t="s">
        <v>46219</v>
      </c>
      <c r="Y4143" t="s">
        <v>46220</v>
      </c>
    </row>
    <row r="4144" spans="1:25" x14ac:dyDescent="0.3">
      <c r="A4144">
        <v>207150</v>
      </c>
      <c r="B4144" t="s">
        <v>46221</v>
      </c>
      <c r="C4144" t="s">
        <v>46222</v>
      </c>
      <c r="D4144">
        <f>-819.960259042136 -5.07196230658769 -208.531473860148</f>
        <v>-1033.5636952088716</v>
      </c>
      <c r="E4144">
        <f>-825.802887535121 -9.57026818004601 -306.879278932732</f>
        <v>-1142.252434647899</v>
      </c>
      <c r="F4144">
        <f>-827.239599369248 -11.5800659994429 -395.941835980031</f>
        <v>-1234.761501348722</v>
      </c>
      <c r="G4144">
        <f>-824.450485213785 -11.5097689009071 -484.994881240445</f>
        <v>-1320.9551353551371</v>
      </c>
      <c r="H4144">
        <f>-816.086560353679 -9.30974795019733 -609.276891811287</f>
        <v>-1434.6732001151634</v>
      </c>
      <c r="I4144">
        <f>-778.403109740553 -0.493146126166494 -682.810967772564</f>
        <v>-1461.7072236392835</v>
      </c>
      <c r="J4144" t="s">
        <v>46223</v>
      </c>
      <c r="K4144" t="s">
        <v>46224</v>
      </c>
      <c r="L4144" t="s">
        <v>46225</v>
      </c>
      <c r="M4144" t="s">
        <v>46226</v>
      </c>
      <c r="N4144">
        <f>-812.802859609608 -37.0974537019065 -554.592640150621</f>
        <v>-1404.4929534621356</v>
      </c>
      <c r="O4144">
        <f>-780.148748019884 -167.09379079209 -524.061036406237</f>
        <v>-1471.3035752182109</v>
      </c>
      <c r="P4144">
        <f>-776.630304857887 -200.990647092952 -231.777255693668</f>
        <v>-1209.398207644507</v>
      </c>
      <c r="Q4144">
        <f>-624.618700544911 -43.280339136759 -332.13059326301</f>
        <v>-1000.0296329446801</v>
      </c>
      <c r="R4144" t="s">
        <v>46227</v>
      </c>
      <c r="S4144" t="s">
        <v>46228</v>
      </c>
      <c r="T4144" t="s">
        <v>46229</v>
      </c>
      <c r="U4144" t="s">
        <v>46230</v>
      </c>
      <c r="V4144">
        <f>-767.526188658669 -82.2321773333592 -92.2821737288633</f>
        <v>-942.0405397208915</v>
      </c>
      <c r="W4144" t="s">
        <v>46231</v>
      </c>
      <c r="X4144" t="s">
        <v>46232</v>
      </c>
      <c r="Y4144" t="s">
        <v>46233</v>
      </c>
    </row>
    <row r="4145" spans="1:25" x14ac:dyDescent="0.3">
      <c r="A4145">
        <v>207200</v>
      </c>
      <c r="B4145" t="s">
        <v>46234</v>
      </c>
      <c r="C4145" t="s">
        <v>46235</v>
      </c>
      <c r="D4145">
        <f>-818.940475106765 -4.54576635793342 -208.618318127715</f>
        <v>-1032.1045595924134</v>
      </c>
      <c r="E4145">
        <f>-824.773910035687 -9.05535248342153 -306.965924708055</f>
        <v>-1140.7951872271635</v>
      </c>
      <c r="F4145">
        <f>-826.214090855997 -11.1165960334993 -396.027348998864</f>
        <v>-1233.3580358883603</v>
      </c>
      <c r="G4145">
        <f>-823.439930789886 -11.1417841545308 -485.080961793816</f>
        <v>-1319.6626767382329</v>
      </c>
      <c r="H4145">
        <f>-815.108913021128 -9.12252349861092 -609.368283874694</f>
        <v>-1433.599720394433</v>
      </c>
      <c r="I4145">
        <f>-777.563433203613 -0.487138117165387 -682.994280900567</f>
        <v>-1461.0448522213455</v>
      </c>
      <c r="J4145" t="s">
        <v>46236</v>
      </c>
      <c r="K4145" t="s">
        <v>46237</v>
      </c>
      <c r="L4145" t="s">
        <v>46238</v>
      </c>
      <c r="M4145" t="s">
        <v>46239</v>
      </c>
      <c r="N4145">
        <f>-811.945656377056 -36.8653444149659 -554.654161662626</f>
        <v>-1403.465162454648</v>
      </c>
      <c r="O4145">
        <f>-779.924937599222 -166.998862013737 -524.029632724213</f>
        <v>-1470.953432337172</v>
      </c>
      <c r="P4145">
        <f>-776.497064958129 -200.753690398883 -231.728316018761</f>
        <v>-1208.9790713757729</v>
      </c>
      <c r="Q4145">
        <f>-623.795484871117 -43.768741873786 -332.17138297817</f>
        <v>-999.73560972307291</v>
      </c>
      <c r="R4145" t="s">
        <v>46240</v>
      </c>
      <c r="S4145" t="s">
        <v>46241</v>
      </c>
      <c r="T4145" t="s">
        <v>46242</v>
      </c>
      <c r="U4145" t="s">
        <v>46243</v>
      </c>
      <c r="V4145">
        <f>-766.746937955199 -81.766321397445 -92.3168043644582</f>
        <v>-940.83006371710223</v>
      </c>
      <c r="W4145" t="s">
        <v>46244</v>
      </c>
      <c r="X4145" t="s">
        <v>46245</v>
      </c>
      <c r="Y4145" t="s">
        <v>46246</v>
      </c>
    </row>
    <row r="4146" spans="1:25" x14ac:dyDescent="0.3">
      <c r="A4146">
        <v>207250</v>
      </c>
      <c r="B4146" t="s">
        <v>46247</v>
      </c>
      <c r="C4146" t="s">
        <v>46248</v>
      </c>
      <c r="D4146">
        <f>-818.234589821949 -4.35071269853256 -208.604370888666</f>
        <v>-1031.1896734091476</v>
      </c>
      <c r="E4146">
        <f>-824.108622815268 -8.89388965432386 -306.948272671764</f>
        <v>-1139.9507851413559</v>
      </c>
      <c r="F4146">
        <f>-825.576672941738 -10.9993960096235 -396.008131311784</f>
        <v>-1232.5842002631455</v>
      </c>
      <c r="G4146">
        <f>-822.821276557252 -11.0836042260448 -485.062335631883</f>
        <v>-1318.9672164151798</v>
      </c>
      <c r="H4146">
        <f>-814.506884789737 -9.16363497168504 -609.35227317011</f>
        <v>-1433.022792931532</v>
      </c>
      <c r="I4146">
        <f>-777.007530869034 -0.639564198710559 -683.014749514598</f>
        <v>-1460.6618445823424</v>
      </c>
      <c r="J4146" t="s">
        <v>46249</v>
      </c>
      <c r="K4146" t="s">
        <v>46250</v>
      </c>
      <c r="L4146" t="s">
        <v>46251</v>
      </c>
      <c r="M4146" t="s">
        <v>46252</v>
      </c>
      <c r="N4146">
        <f>-811.405143699812 -36.8802150560382 -554.621247222654</f>
        <v>-1402.9066059785041</v>
      </c>
      <c r="O4146">
        <f>-779.672822706575 -167.07020841374 -523.947752636864</f>
        <v>-1470.6907837571789</v>
      </c>
      <c r="P4146">
        <f>-776.285675779504 -200.669014034108 -231.627928755849</f>
        <v>-1208.5826185694611</v>
      </c>
      <c r="Q4146">
        <f>-623.157554478466 -44.1234452254514 -332.107674082519</f>
        <v>-999.38867378643636</v>
      </c>
      <c r="R4146" t="s">
        <v>46253</v>
      </c>
      <c r="S4146" t="s">
        <v>46254</v>
      </c>
      <c r="T4146" t="s">
        <v>46255</v>
      </c>
      <c r="U4146" t="s">
        <v>46256</v>
      </c>
      <c r="V4146">
        <f>-766.019849762569 -81.6003403189037 -92.3287295968333</f>
        <v>-939.94891967830608</v>
      </c>
      <c r="W4146" t="s">
        <v>46257</v>
      </c>
      <c r="X4146" t="s">
        <v>46258</v>
      </c>
      <c r="Y4146" t="s">
        <v>46259</v>
      </c>
    </row>
    <row r="4147" spans="1:25" x14ac:dyDescent="0.3">
      <c r="A4147">
        <v>207300</v>
      </c>
      <c r="B4147" t="s">
        <v>46260</v>
      </c>
      <c r="C4147" t="s">
        <v>46261</v>
      </c>
      <c r="D4147">
        <f>-816.565580137813 -3.86309373661697 -208.538972993886</f>
        <v>-1028.967646868316</v>
      </c>
      <c r="E4147">
        <f>-822.600799002881 -8.47243176540155 -306.869884890689</f>
        <v>-1137.9431156589715</v>
      </c>
      <c r="F4147">
        <f>-824.199953124251 -10.658436157026 -395.92551873935</f>
        <v>-1230.783908020627</v>
      </c>
      <c r="G4147">
        <f>-821.56049136208 -10.8463303501642 -484.983037486633</f>
        <v>-1317.3898591988773</v>
      </c>
      <c r="H4147">
        <f>-813.391794019365 -9.09627731838305 -609.28523995438</f>
        <v>-1431.773311292128</v>
      </c>
      <c r="I4147">
        <f>-776.000395316469 -0.773783456279943 -683.025649580292</f>
        <v>-1459.799828353041</v>
      </c>
      <c r="J4147" t="s">
        <v>46262</v>
      </c>
      <c r="K4147" t="s">
        <v>46263</v>
      </c>
      <c r="L4147" t="s">
        <v>46264</v>
      </c>
      <c r="M4147" t="s">
        <v>46265</v>
      </c>
      <c r="N4147">
        <f>-810.357330201466 -36.7706729963816 -554.529189841857</f>
        <v>-1401.6571930397045</v>
      </c>
      <c r="O4147">
        <f>-779.236373300754 -167.088009919764 -523.738854985174</f>
        <v>-1470.063238205692</v>
      </c>
      <c r="P4147">
        <f>-775.446793964253 -200.45237763487 -231.397030280683</f>
        <v>-1207.2962018798059</v>
      </c>
      <c r="Q4147">
        <f>-621.620278134154 -44.7459220083052 -332.1133275657</f>
        <v>-998.47952770815914</v>
      </c>
      <c r="R4147" t="s">
        <v>46266</v>
      </c>
      <c r="S4147" t="s">
        <v>46267</v>
      </c>
      <c r="T4147" t="s">
        <v>46268</v>
      </c>
      <c r="U4147" t="s">
        <v>46269</v>
      </c>
      <c r="V4147">
        <f>-764.290984187737 -81.0180139243249 -92.3188680477592</f>
        <v>-937.62786615982111</v>
      </c>
      <c r="W4147" t="s">
        <v>46270</v>
      </c>
      <c r="X4147" t="s">
        <v>46271</v>
      </c>
      <c r="Y4147" t="s">
        <v>46272</v>
      </c>
    </row>
    <row r="4148" spans="1:25" x14ac:dyDescent="0.3">
      <c r="A4148">
        <v>207350</v>
      </c>
      <c r="B4148" t="s">
        <v>46273</v>
      </c>
      <c r="C4148" t="s">
        <v>46274</v>
      </c>
      <c r="D4148">
        <f>-815.603007215362 -3.73891314651723 -208.511005367639</f>
        <v>-1027.8529257295183</v>
      </c>
      <c r="E4148">
        <f>-821.727888622424 -8.34461608534866 -306.836673712619</f>
        <v>-1136.9091784203915</v>
      </c>
      <c r="F4148">
        <f>-823.402637306584 -10.5285660750919 -395.890938063898</f>
        <v>-1229.8221414455738</v>
      </c>
      <c r="G4148">
        <f>-820.832949356801 -10.7167990449964 -484.950531173767</f>
        <v>-1316.5002795755645</v>
      </c>
      <c r="H4148">
        <f>-812.755890595119 -8.96958180863408 -609.258625921177</f>
        <v>-1430.9840983249301</v>
      </c>
      <c r="I4148">
        <f>-775.405188231171 -0.713841678838889 -683.027262286855</f>
        <v>-1459.146292196865</v>
      </c>
      <c r="J4148" t="s">
        <v>46275</v>
      </c>
      <c r="K4148" t="s">
        <v>46276</v>
      </c>
      <c r="L4148" t="s">
        <v>46277</v>
      </c>
      <c r="M4148" t="s">
        <v>46278</v>
      </c>
      <c r="N4148">
        <f>-809.738177394593 -36.6567507604716 -554.508154278168</f>
        <v>-1400.9030824332326</v>
      </c>
      <c r="O4148">
        <f>-778.856252126818 -167.024889269611 -523.705416718079</f>
        <v>-1469.5865581145081</v>
      </c>
      <c r="P4148">
        <f>-774.85428780127 -200.30934278122 -231.357447146599</f>
        <v>-1206.521077729089</v>
      </c>
      <c r="Q4148">
        <f>-620.713503791628 -45.0340583457779 -332.258693450625</f>
        <v>-998.00625558803085</v>
      </c>
      <c r="R4148" t="s">
        <v>46279</v>
      </c>
      <c r="S4148" t="s">
        <v>46280</v>
      </c>
      <c r="T4148" t="s">
        <v>46281</v>
      </c>
      <c r="U4148" t="s">
        <v>46282</v>
      </c>
      <c r="V4148">
        <f>-763.379873120687 -80.775333388166 -92.3180807393437</f>
        <v>-936.4732872481967</v>
      </c>
      <c r="W4148" t="s">
        <v>46283</v>
      </c>
      <c r="X4148" t="s">
        <v>46284</v>
      </c>
      <c r="Y4148" t="s">
        <v>46285</v>
      </c>
    </row>
    <row r="4149" spans="1:25" x14ac:dyDescent="0.3">
      <c r="A4149">
        <v>207400</v>
      </c>
      <c r="B4149" t="s">
        <v>46286</v>
      </c>
      <c r="C4149" t="s">
        <v>46287</v>
      </c>
      <c r="D4149">
        <f>-814.100071902983 -3.61252083609861 -208.480102908616</f>
        <v>-1026.1926956476977</v>
      </c>
      <c r="E4149">
        <f>-820.516359929094 -8.22904316052473 -306.786649796435</f>
        <v>-1135.5320528860539</v>
      </c>
      <c r="F4149">
        <f>-822.439994635615 -10.4240967635449 -395.835611824055</f>
        <v>-1228.6997032232148</v>
      </c>
      <c r="G4149">
        <f>-820.104360684569 -10.6252248081723 -484.901617811042</f>
        <v>-1315.6312033037834</v>
      </c>
      <c r="H4149">
        <f>-812.338857328448 -8.89725230202453 -609.229878972767</f>
        <v>-1430.4659886032396</v>
      </c>
      <c r="I4149">
        <f>-775.1211545604 -0.784246253410402 -683.081408512268</f>
        <v>-1458.9868093260784</v>
      </c>
      <c r="J4149" t="s">
        <v>46288</v>
      </c>
      <c r="K4149" t="s">
        <v>46289</v>
      </c>
      <c r="L4149" t="s">
        <v>46290</v>
      </c>
      <c r="M4149" t="s">
        <v>46291</v>
      </c>
      <c r="N4149">
        <f>-809.273405348541 -36.5976349528923 -554.48869464085</f>
        <v>-1400.3597349422835</v>
      </c>
      <c r="O4149">
        <f>-778.741957674063 -167.04427060513 -523.706615866449</f>
        <v>-1469.492844145642</v>
      </c>
      <c r="P4149">
        <f>-774.026759893724 -200.257142831952 -231.361124027977</f>
        <v>-1205.6450267536532</v>
      </c>
      <c r="Q4149">
        <f>-619.596386218944 -45.432884408958 -332.512316691827</f>
        <v>-997.54158731972893</v>
      </c>
      <c r="R4149" t="s">
        <v>46292</v>
      </c>
      <c r="S4149" t="s">
        <v>46293</v>
      </c>
      <c r="T4149" t="s">
        <v>46294</v>
      </c>
      <c r="U4149" t="s">
        <v>46295</v>
      </c>
      <c r="V4149">
        <f>-761.7579230587 -80.8306603373291 -92.3590487569261</f>
        <v>-934.94763215295529</v>
      </c>
      <c r="W4149" t="s">
        <v>46296</v>
      </c>
      <c r="X4149" t="s">
        <v>46297</v>
      </c>
      <c r="Y4149" t="s">
        <v>46298</v>
      </c>
    </row>
    <row r="4150" spans="1:25" x14ac:dyDescent="0.3">
      <c r="A4150">
        <v>207450</v>
      </c>
      <c r="B4150" t="s">
        <v>46299</v>
      </c>
      <c r="C4150" t="s">
        <v>46300</v>
      </c>
      <c r="D4150">
        <f>-813.55845724124 -3.69930186280976 -208.464898287763</f>
        <v>-1025.7226573918128</v>
      </c>
      <c r="E4150">
        <f>-820.108951702778 -8.32993640993641 -306.761890456586</f>
        <v>-1135.2007785693004</v>
      </c>
      <c r="F4150">
        <f>-822.150608414798 -10.530413791595 -395.808062270206</f>
        <v>-1228.4890844765989</v>
      </c>
      <c r="G4150">
        <f>-819.929745071983 -10.7293521725237 -484.876953486999</f>
        <v>-1315.5360507315058</v>
      </c>
      <c r="H4150">
        <f>-812.321260969086 -8.9894105887372 -609.214804118529</f>
        <v>-1430.525475676352</v>
      </c>
      <c r="I4150">
        <f>-775.213047152697 -0.937830738829689 -683.128085749766</f>
        <v>-1459.2789636412926</v>
      </c>
      <c r="J4150" t="s">
        <v>46301</v>
      </c>
      <c r="K4150" t="s">
        <v>46302</v>
      </c>
      <c r="L4150" t="s">
        <v>46303</v>
      </c>
      <c r="M4150" t="s">
        <v>46304</v>
      </c>
      <c r="N4150">
        <f>-809.209812005808 -36.7007423009582 -554.481557527088</f>
        <v>-1400.392111833854</v>
      </c>
      <c r="O4150">
        <f>-778.77794168444 -167.184835620448 -523.747744928249</f>
        <v>-1469.710522233137</v>
      </c>
      <c r="P4150">
        <f>-773.660866276791 -200.434294717505 -231.413081082235</f>
        <v>-1205.5082420765311</v>
      </c>
      <c r="Q4150">
        <f>-619.220716433371 -45.7024248168407 -332.69089452113</f>
        <v>-997.61403577134161</v>
      </c>
      <c r="R4150" t="s">
        <v>46305</v>
      </c>
      <c r="S4150" t="s">
        <v>46306</v>
      </c>
      <c r="T4150" t="s">
        <v>46307</v>
      </c>
      <c r="U4150" t="s">
        <v>46308</v>
      </c>
      <c r="V4150">
        <f>-761.178207128484 -80.9359692582615 -92.3603623704172</f>
        <v>-934.47453875716269</v>
      </c>
      <c r="W4150" t="s">
        <v>46309</v>
      </c>
      <c r="X4150" t="s">
        <v>46310</v>
      </c>
      <c r="Y4150" t="s">
        <v>46311</v>
      </c>
    </row>
    <row r="4151" spans="1:25" x14ac:dyDescent="0.3">
      <c r="A4151">
        <v>207500</v>
      </c>
      <c r="B4151" t="s">
        <v>46312</v>
      </c>
      <c r="C4151" t="s">
        <v>46313</v>
      </c>
      <c r="D4151">
        <f>-812.544292988318 -4.38228864517646 -208.360015153709</f>
        <v>-1025.2865967872035</v>
      </c>
      <c r="E4151">
        <f>-819.303813889856 -9.07076951256568 -306.640227307611</f>
        <v>-1135.0148107100326</v>
      </c>
      <c r="F4151">
        <f>-821.538491014856 -11.3024442393842 -395.681092174229</f>
        <v>-1228.5220274284693</v>
      </c>
      <c r="G4151">
        <f>-819.514166995067 -11.5106580444772 -484.754618777451</f>
        <v>-1315.7794438169951</v>
      </c>
      <c r="H4151">
        <f>-812.183777514092 -9.75959321819801 -609.108926041967</f>
        <v>-1431.052296774257</v>
      </c>
      <c r="I4151">
        <f>-775.327362117917 -1.75851555658005 -683.153539943104</f>
        <v>-1460.239417617601</v>
      </c>
      <c r="J4151" t="s">
        <v>46314</v>
      </c>
      <c r="K4151" t="s">
        <v>46315</v>
      </c>
      <c r="L4151" t="s">
        <v>46316</v>
      </c>
      <c r="M4151" t="s">
        <v>46317</v>
      </c>
      <c r="N4151">
        <f>-808.973536105297 -37.481472950471 -554.386815778404</f>
        <v>-1400.8418248341718</v>
      </c>
      <c r="O4151">
        <f>-778.545952451217 -167.997188598876 -523.763021914263</f>
        <v>-1470.3061629643562</v>
      </c>
      <c r="P4151">
        <f>-772.602317362209 -201.372549319702 -231.458565098135</f>
        <v>-1205.433431780046</v>
      </c>
      <c r="Q4151">
        <f>-618.389785437626 -46.6500493659498 -333.096816818033</f>
        <v>-998.13665162160873</v>
      </c>
      <c r="R4151" t="s">
        <v>46318</v>
      </c>
      <c r="S4151" t="s">
        <v>46319</v>
      </c>
      <c r="T4151" t="s">
        <v>46320</v>
      </c>
      <c r="U4151" t="s">
        <v>46321</v>
      </c>
      <c r="V4151">
        <f>-760.194509494094 -81.4712360498856 -92.2536223064534</f>
        <v>-933.91936785043299</v>
      </c>
      <c r="W4151" t="s">
        <v>46322</v>
      </c>
      <c r="X4151" t="s">
        <v>46323</v>
      </c>
      <c r="Y4151" t="s">
        <v>46324</v>
      </c>
    </row>
    <row r="4152" spans="1:25" x14ac:dyDescent="0.3">
      <c r="A4152">
        <v>207550</v>
      </c>
      <c r="B4152" t="s">
        <v>46325</v>
      </c>
      <c r="C4152" t="s">
        <v>46326</v>
      </c>
      <c r="D4152">
        <f>-812.13241921159 -4.78480630281047 -208.28662912087</f>
        <v>-1025.2038546352705</v>
      </c>
      <c r="E4152">
        <f>-818.984136814085 -9.5075158959437 -306.558752116457</f>
        <v>-1135.0504048264856</v>
      </c>
      <c r="F4152">
        <f>-821.308317514075 -11.7606564560347 -395.596820745992</f>
        <v>-1228.6657947161016</v>
      </c>
      <c r="G4152">
        <f>-819.37945548034 -11.9802116931673 -484.672477315812</f>
        <v>-1316.0321444893193</v>
      </c>
      <c r="H4152">
        <f>-812.188594187476 -10.2342007856714 -609.034981307338</f>
        <v>-1431.4577762804854</v>
      </c>
      <c r="I4152">
        <f>-775.465397720729 -2.22139965190195 -683.144625302882</f>
        <v>-1460.8314226755128</v>
      </c>
      <c r="J4152" t="s">
        <v>46327</v>
      </c>
      <c r="K4152" t="s">
        <v>46328</v>
      </c>
      <c r="L4152" t="s">
        <v>46329</v>
      </c>
      <c r="M4152" t="s">
        <v>46330</v>
      </c>
      <c r="N4152">
        <f>-808.91688761082 -37.9538712425699 -554.315439265904</f>
        <v>-1401.186198119294</v>
      </c>
      <c r="O4152">
        <f>-778.432361913137 -168.463224306688 -523.726779335591</f>
        <v>-1470.6223655554159</v>
      </c>
      <c r="P4152">
        <f>-772.000215003282 -201.798739835668 -231.428024745741</f>
        <v>-1205.226979584691</v>
      </c>
      <c r="Q4152">
        <f>-617.986903536431 -46.9932628177831 -333.241680252766</f>
        <v>-998.22184660698008</v>
      </c>
      <c r="R4152" t="s">
        <v>46331</v>
      </c>
      <c r="S4152" t="s">
        <v>46332</v>
      </c>
      <c r="T4152" t="s">
        <v>46333</v>
      </c>
      <c r="U4152" t="s">
        <v>46334</v>
      </c>
      <c r="V4152">
        <f>-759.773441230222 -81.8149149903956 -92.1842542861784</f>
        <v>-933.77261050679601</v>
      </c>
      <c r="W4152" t="s">
        <v>46335</v>
      </c>
      <c r="X4152" t="s">
        <v>46336</v>
      </c>
      <c r="Y4152" t="s">
        <v>46337</v>
      </c>
    </row>
    <row r="4153" spans="1:25" x14ac:dyDescent="0.3">
      <c r="A4153">
        <v>207600</v>
      </c>
      <c r="B4153" t="s">
        <v>46338</v>
      </c>
      <c r="C4153" t="s">
        <v>46339</v>
      </c>
      <c r="D4153">
        <f>-811.757747208015 -5.48806837632219 -208.204356968562</f>
        <v>-1025.4501725528992</v>
      </c>
      <c r="E4153">
        <f>-818.788145078003 -10.3009383995443 -306.45948273636</f>
        <v>-1135.5485662139072</v>
      </c>
      <c r="F4153">
        <f>-821.274802861202 -12.6181861740956 -395.491286464432</f>
        <v>-1229.3842754997297</v>
      </c>
      <c r="G4153">
        <f>-819.508952013241 -12.8841256282328 -484.570255714326</f>
        <v>-1316.9633333557999</v>
      </c>
      <c r="H4153">
        <f>-812.546304571143 -11.1830570017657 -608.946536084516</f>
        <v>-1432.6758976574247</v>
      </c>
      <c r="I4153">
        <f>-776.011616219989 -3.14567745981276 -683.146471905545</f>
        <v>-1462.3037655853468</v>
      </c>
      <c r="J4153" t="s">
        <v>46340</v>
      </c>
      <c r="K4153" t="s">
        <v>46341</v>
      </c>
      <c r="L4153" t="s">
        <v>46342</v>
      </c>
      <c r="M4153" t="s">
        <v>46343</v>
      </c>
      <c r="N4153">
        <f>-809.170452824362 -38.8819708488813 -554.222831529396</f>
        <v>-1402.2752552026393</v>
      </c>
      <c r="O4153">
        <f>-778.590419716133 -169.37067838122 -523.655484773538</f>
        <v>-1471.6165828708909</v>
      </c>
      <c r="P4153">
        <f>-771.255374118717 -202.558936681779 -231.361207105576</f>
        <v>-1205.1755179060719</v>
      </c>
      <c r="Q4153">
        <f>-617.625745821822 -47.6316663516769 -333.56872646983</f>
        <v>-998.82613864332893</v>
      </c>
      <c r="R4153" t="s">
        <v>46344</v>
      </c>
      <c r="S4153" t="s">
        <v>46345</v>
      </c>
      <c r="T4153" t="s">
        <v>46346</v>
      </c>
      <c r="U4153" t="s">
        <v>46347</v>
      </c>
      <c r="V4153">
        <f>-759.151121820007 -82.4167738200374 -92.1039474383526</f>
        <v>-933.67184307839705</v>
      </c>
      <c r="W4153" t="s">
        <v>46348</v>
      </c>
      <c r="X4153" t="s">
        <v>46349</v>
      </c>
      <c r="Y4153" t="s">
        <v>46350</v>
      </c>
    </row>
    <row r="4154" spans="1:25" x14ac:dyDescent="0.3">
      <c r="A4154">
        <v>207650</v>
      </c>
      <c r="B4154" t="s">
        <v>46351</v>
      </c>
      <c r="C4154" t="s">
        <v>46352</v>
      </c>
      <c r="D4154">
        <f>-811.689457084986 -5.86068327247585 -208.197280299302</f>
        <v>-1025.7474206567638</v>
      </c>
      <c r="E4154">
        <f>-818.792992802678 -10.7296324800559 -306.444327273295</f>
        <v>-1135.9669525560289</v>
      </c>
      <c r="F4154">
        <f>-821.341051124669 -13.0865831528713 -395.473505003565</f>
        <v>-1229.9011392811053</v>
      </c>
      <c r="G4154">
        <f>-819.631557806487 -13.3809302712734 -484.553476922618</f>
        <v>-1317.5659650003784</v>
      </c>
      <c r="H4154">
        <f>-812.741990547579 -11.7079189554072 -608.934093980987</f>
        <v>-1433.3840034839732</v>
      </c>
      <c r="I4154">
        <f>-776.276911803534 -3.66581539877939 -683.167878416423</f>
        <v>-1463.1106056187364</v>
      </c>
      <c r="J4154" t="s">
        <v>46353</v>
      </c>
      <c r="K4154" t="s">
        <v>46354</v>
      </c>
      <c r="L4154" t="s">
        <v>46355</v>
      </c>
      <c r="M4154" t="s">
        <v>46356</v>
      </c>
      <c r="N4154">
        <f>-809.329991068342 -39.3935927308125 -554.205866678691</f>
        <v>-1402.9294504778454</v>
      </c>
      <c r="O4154">
        <f>-778.722781382026 -169.877680359062 -523.648379365353</f>
        <v>-1472.248841106441</v>
      </c>
      <c r="P4154">
        <f>-771.096515555142 -202.998755120301 -231.353821818011</f>
        <v>-1205.4490924934539</v>
      </c>
      <c r="Q4154">
        <f>-617.607412608603 -48.0762235790717 -333.779417990038</f>
        <v>-999.46305417771259</v>
      </c>
      <c r="R4154" t="s">
        <v>46357</v>
      </c>
      <c r="S4154" t="s">
        <v>46358</v>
      </c>
      <c r="T4154" t="s">
        <v>46359</v>
      </c>
      <c r="U4154" t="s">
        <v>46360</v>
      </c>
      <c r="V4154">
        <f>-758.925178603779 -82.760694093963 -92.0724125872249</f>
        <v>-933.75828528496697</v>
      </c>
      <c r="W4154" t="s">
        <v>46361</v>
      </c>
      <c r="X4154" t="s">
        <v>46362</v>
      </c>
      <c r="Y4154" t="s">
        <v>46363</v>
      </c>
    </row>
    <row r="4155" spans="1:25" x14ac:dyDescent="0.3">
      <c r="A4155">
        <v>207700</v>
      </c>
      <c r="B4155" t="s">
        <v>46364</v>
      </c>
      <c r="C4155" t="s">
        <v>46365</v>
      </c>
      <c r="D4155">
        <f>-811.44038316692 -6.58207279834051 -208.181286341858</f>
        <v>-1026.2037423071185</v>
      </c>
      <c r="E4155">
        <f>-818.648228943298 -11.5469603002418 -306.415992977998</f>
        <v>-1136.6111822215378</v>
      </c>
      <c r="F4155">
        <f>-821.287502742841 -13.982327874779 -395.440313445994</f>
        <v>-1230.7101440636138</v>
      </c>
      <c r="G4155">
        <f>-819.666033339857 -14.3465130856284 -484.521613747173</f>
        <v>-1318.5341601726584</v>
      </c>
      <c r="H4155">
        <f>-812.895610996149 -12.7617281663147 -608.909964619008</f>
        <v>-1434.5673037814718</v>
      </c>
      <c r="I4155">
        <f>-776.563595883473 -4.76592358423045 -683.213965901951</f>
        <v>-1464.5434853696545</v>
      </c>
      <c r="J4155" t="s">
        <v>46366</v>
      </c>
      <c r="K4155" t="s">
        <v>46367</v>
      </c>
      <c r="L4155" t="s">
        <v>46368</v>
      </c>
      <c r="M4155" t="s">
        <v>46369</v>
      </c>
      <c r="N4155">
        <f>-809.426000524327 -40.4072697421432 -554.165181117771</f>
        <v>-1403.9984513842412</v>
      </c>
      <c r="O4155">
        <f>-778.806500022918 -170.89323786283 -523.595614890804</f>
        <v>-1473.2953527765521</v>
      </c>
      <c r="P4155">
        <f>-770.79671328149 -203.924130920199 -231.301265223536</f>
        <v>-1206.0221094252252</v>
      </c>
      <c r="Q4155">
        <f>-617.471308289707 -49.0741038548221 -334.080905438186</f>
        <v>-1000.626317582715</v>
      </c>
      <c r="R4155" t="s">
        <v>46370</v>
      </c>
      <c r="S4155" t="s">
        <v>46371</v>
      </c>
      <c r="T4155" t="s">
        <v>46372</v>
      </c>
      <c r="U4155" t="s">
        <v>46373</v>
      </c>
      <c r="V4155">
        <f>-758.577053528441 -83.2035094592687 -92.0145700686112</f>
        <v>-933.79513305632088</v>
      </c>
      <c r="W4155" t="s">
        <v>46374</v>
      </c>
      <c r="X4155" t="s">
        <v>46375</v>
      </c>
      <c r="Y4155" t="s">
        <v>46376</v>
      </c>
    </row>
    <row r="4156" spans="1:25" x14ac:dyDescent="0.3">
      <c r="A4156">
        <v>207750</v>
      </c>
      <c r="B4156" t="s">
        <v>46377</v>
      </c>
      <c r="C4156" t="s">
        <v>46378</v>
      </c>
      <c r="D4156">
        <f>-811.372072471661 -6.71854805568364 -208.181441255111</f>
        <v>-1026.2720617824557</v>
      </c>
      <c r="E4156">
        <f>-818.629574748383 -11.7177924487082 -306.410763875812</f>
        <v>-1136.7581310729033</v>
      </c>
      <c r="F4156">
        <f>-821.318484629847 -14.184054223565 -395.432840102737</f>
        <v>-1230.935378956149</v>
      </c>
      <c r="G4156">
        <f>-819.751392310083 -14.5786355564364 -484.515041550989</f>
        <v>-1318.8450694175085</v>
      </c>
      <c r="H4156">
        <f>-813.062032240842 -13.0356940637473 -608.908213277855</f>
        <v>-1435.0059395824442</v>
      </c>
      <c r="I4156">
        <f>-776.804389318385 -5.07419178396208 -683.252274909747</f>
        <v>-1465.1308560120942</v>
      </c>
      <c r="J4156" t="s">
        <v>46379</v>
      </c>
      <c r="K4156" t="s">
        <v>46380</v>
      </c>
      <c r="L4156" t="s">
        <v>46381</v>
      </c>
      <c r="M4156" t="s">
        <v>46382</v>
      </c>
      <c r="N4156">
        <f>-809.557557246355 -40.6630240582224 -554.156417752094</f>
        <v>-1404.3769990566714</v>
      </c>
      <c r="O4156">
        <f>-778.945716398992 -171.140723726558 -523.555018627668</f>
        <v>-1473.6414587532181</v>
      </c>
      <c r="P4156">
        <f>-770.800672155003 -204.147049019084 -231.261596424543</f>
        <v>-1206.2093175986299</v>
      </c>
      <c r="Q4156">
        <f>-617.482185229808 -49.3538878868699 -334.137107246696</f>
        <v>-1000.9731803633739</v>
      </c>
      <c r="R4156" t="s">
        <v>46383</v>
      </c>
      <c r="S4156" t="s">
        <v>46384</v>
      </c>
      <c r="T4156" t="s">
        <v>46385</v>
      </c>
      <c r="U4156" t="s">
        <v>46386</v>
      </c>
      <c r="V4156">
        <f>-758.465303847971 -83.2180998041804 -92.0019296934422</f>
        <v>-933.68533334559356</v>
      </c>
      <c r="W4156" t="s">
        <v>46387</v>
      </c>
      <c r="X4156" t="s">
        <v>46388</v>
      </c>
      <c r="Y4156" t="s">
        <v>46389</v>
      </c>
    </row>
    <row r="4157" spans="1:25" x14ac:dyDescent="0.3">
      <c r="A4157">
        <v>207800</v>
      </c>
      <c r="B4157" t="s">
        <v>46390</v>
      </c>
      <c r="C4157" t="s">
        <v>46391</v>
      </c>
      <c r="D4157">
        <f>-811.361327886338 -6.68451782504962 -208.301896261731</f>
        <v>-1026.3477419731187</v>
      </c>
      <c r="E4157">
        <f>-818.635335042974 -11.7486816047478 -306.526735893474</f>
        <v>-1136.910752541196</v>
      </c>
      <c r="F4157">
        <f>-821.35766302803 -14.2928919180995 -395.54561933198</f>
        <v>-1231.1961742781095</v>
      </c>
      <c r="G4157">
        <f>-819.843156379902 -14.7835944887547 -484.628157477801</f>
        <v>-1319.2549083464578</v>
      </c>
      <c r="H4157">
        <f>-813.247895321701 -13.3928336296453 -609.028254738888</f>
        <v>-1435.6689836902342</v>
      </c>
      <c r="I4157">
        <f>-777.130722375168 -5.510752538205 -683.449041067758</f>
        <v>-1466.0905159811309</v>
      </c>
      <c r="J4157" t="s">
        <v>46392</v>
      </c>
      <c r="K4157" t="s">
        <v>46393</v>
      </c>
      <c r="L4157" t="s">
        <v>46394</v>
      </c>
      <c r="M4157" t="s">
        <v>46395</v>
      </c>
      <c r="N4157">
        <f>-809.692417933778 -40.9508308591703 -554.244867936409</f>
        <v>-1404.8881167293573</v>
      </c>
      <c r="O4157">
        <f>-779.08954085598 -171.39569232977 -523.502104922998</f>
        <v>-1473.987338108748</v>
      </c>
      <c r="P4157">
        <f>-770.862890297448 -204.223564194361 -231.190965732451</f>
        <v>-1206.2774202242599</v>
      </c>
      <c r="Q4157">
        <f>-617.549186716989 -49.5120354709586 -334.196272237073</f>
        <v>-1001.2574944250206</v>
      </c>
      <c r="R4157" t="s">
        <v>46396</v>
      </c>
      <c r="S4157" t="s">
        <v>46397</v>
      </c>
      <c r="T4157" t="s">
        <v>46398</v>
      </c>
      <c r="U4157" t="s">
        <v>46399</v>
      </c>
      <c r="V4157">
        <f>-758.464707718003 -83.2651462670644 -92.0537064575307</f>
        <v>-933.78356044259806</v>
      </c>
      <c r="W4157" t="s">
        <v>46400</v>
      </c>
      <c r="X4157" t="s">
        <v>46401</v>
      </c>
      <c r="Y4157" t="s">
        <v>46402</v>
      </c>
    </row>
    <row r="4158" spans="1:25" x14ac:dyDescent="0.3">
      <c r="A4158">
        <v>207850</v>
      </c>
      <c r="B4158" t="s">
        <v>46403</v>
      </c>
      <c r="C4158" t="s">
        <v>46404</v>
      </c>
      <c r="D4158">
        <f>-811.454149787875 -6.6154566273492 -208.368638038454</f>
        <v>-1026.4382444536782</v>
      </c>
      <c r="E4158">
        <f>-818.714165745324 -11.7084481435086 -306.593018446397</f>
        <v>-1137.0156323352296</v>
      </c>
      <c r="F4158">
        <f>-821.428778269873 -14.287588577555 -395.611074398566</f>
        <v>-1231.3274412459939</v>
      </c>
      <c r="G4158">
        <f>-819.911745905162 -14.8214442606791 -484.693380423423</f>
        <v>-1319.426570589264</v>
      </c>
      <c r="H4158">
        <f>-813.31888958407 -13.4992957670311 -609.094284482098</f>
        <v>-1435.9124698331991</v>
      </c>
      <c r="I4158">
        <f>-777.233611526672 -5.6525209740837 -683.534353941446</f>
        <v>-1466.4204864422018</v>
      </c>
      <c r="J4158" t="s">
        <v>46405</v>
      </c>
      <c r="K4158" t="s">
        <v>46406</v>
      </c>
      <c r="L4158" t="s">
        <v>46407</v>
      </c>
      <c r="M4158" t="s">
        <v>46408</v>
      </c>
      <c r="N4158">
        <f>-809.747420260162 -41.0234831630935 -554.294932125599</f>
        <v>-1405.0658355488545</v>
      </c>
      <c r="O4158">
        <f>-779.110871835138 -171.440281415025 -523.46483851162</f>
        <v>-1474.015991761783</v>
      </c>
      <c r="P4158">
        <f>-770.930717382388 -204.082437563718 -231.131561224783</f>
        <v>-1206.1447161708891</v>
      </c>
      <c r="Q4158">
        <f>-617.600288596625 -49.4585309082091 -334.243565608307</f>
        <v>-1001.3023851131411</v>
      </c>
      <c r="R4158" t="s">
        <v>46409</v>
      </c>
      <c r="S4158" t="s">
        <v>46410</v>
      </c>
      <c r="T4158" t="s">
        <v>46411</v>
      </c>
      <c r="U4158" t="s">
        <v>46412</v>
      </c>
      <c r="V4158">
        <f>-758.59527070515 -83.1838411239047 -92.086378365383</f>
        <v>-933.86549019443771</v>
      </c>
      <c r="W4158" t="s">
        <v>46413</v>
      </c>
      <c r="X4158" t="s">
        <v>46414</v>
      </c>
      <c r="Y4158" t="s">
        <v>46415</v>
      </c>
    </row>
    <row r="4159" spans="1:25" x14ac:dyDescent="0.3">
      <c r="A4159">
        <v>207900</v>
      </c>
      <c r="B4159" t="s">
        <v>46416</v>
      </c>
      <c r="C4159" t="s">
        <v>46417</v>
      </c>
      <c r="D4159">
        <f>-811.596094366053 -6.68438020972599 -208.451554355691</f>
        <v>-1026.73202893147</v>
      </c>
      <c r="E4159">
        <f>-818.823720946929 -11.8478007894023 -306.674614112923</f>
        <v>-1137.3461358492543</v>
      </c>
      <c r="F4159">
        <f>-821.512531018614 -14.5033506661728 -395.691217618996</f>
        <v>-1231.7070993037828</v>
      </c>
      <c r="G4159">
        <f>-819.973732168366 -15.125400892254 -484.772619920018</f>
        <v>-1319.8717529806381</v>
      </c>
      <c r="H4159">
        <f>-813.354693297794 -13.9389394672637 -609.173570064251</f>
        <v>-1436.4672028293087</v>
      </c>
      <c r="I4159">
        <f>-777.222616351304 -6.14426322244935 -683.596286684226</f>
        <v>-1466.9631662579795</v>
      </c>
      <c r="J4159" t="s">
        <v>46418</v>
      </c>
      <c r="K4159" t="s">
        <v>46419</v>
      </c>
      <c r="L4159" t="s">
        <v>46420</v>
      </c>
      <c r="M4159" t="s">
        <v>46421</v>
      </c>
      <c r="N4159">
        <f>-809.760246619853 -41.3949561466338 -554.341618798507</f>
        <v>-1405.4968215649938</v>
      </c>
      <c r="O4159">
        <f>-779.03451319945 -171.748926446316 -523.34316677731</f>
        <v>-1474.1266064230758</v>
      </c>
      <c r="P4159">
        <f>-770.821345799609 -204.050826136971 -230.97304279657</f>
        <v>-1205.8452147331502</v>
      </c>
      <c r="Q4159">
        <f>-617.544182431314 -49.4950749287379 -334.266260041772</f>
        <v>-1001.3055174018239</v>
      </c>
      <c r="R4159" t="s">
        <v>46422</v>
      </c>
      <c r="S4159" t="s">
        <v>46423</v>
      </c>
      <c r="T4159" t="s">
        <v>46424</v>
      </c>
      <c r="U4159" t="s">
        <v>46425</v>
      </c>
      <c r="V4159">
        <f>-758.614248469298 -83.3557039183588 -92.1356459385358</f>
        <v>-934.10559832619265</v>
      </c>
      <c r="W4159" t="s">
        <v>46426</v>
      </c>
      <c r="X4159" t="s">
        <v>46427</v>
      </c>
      <c r="Y4159" t="s">
        <v>46428</v>
      </c>
    </row>
    <row r="4160" spans="1:25" x14ac:dyDescent="0.3">
      <c r="A4160">
        <v>207950</v>
      </c>
      <c r="B4160" t="s">
        <v>46429</v>
      </c>
      <c r="C4160" t="s">
        <v>46430</v>
      </c>
      <c r="D4160">
        <f>-811.680644015429 -6.64146336470276 -208.483247494923</f>
        <v>-1026.8053548750547</v>
      </c>
      <c r="E4160">
        <f>-818.899971327365 -11.8526198246539 -306.704332280565</f>
        <v>-1137.4569234325838</v>
      </c>
      <c r="F4160">
        <f>-821.576990907026 -14.5570905491566 -395.719786966322</f>
        <v>-1231.8538684225045</v>
      </c>
      <c r="G4160">
        <f>-820.022076015157 -15.2342579477156 -484.800406869968</f>
        <v>-1320.0567408328407</v>
      </c>
      <c r="H4160">
        <f>-813.376180978 -14.1313302054509 -609.200744918326</f>
        <v>-1436.7082561017769</v>
      </c>
      <c r="I4160">
        <f>-777.184140623183 -6.36239139331406 -683.597071196688</f>
        <v>-1467.1436032131851</v>
      </c>
      <c r="J4160" t="s">
        <v>46431</v>
      </c>
      <c r="K4160" t="s">
        <v>46432</v>
      </c>
      <c r="L4160" t="s">
        <v>46433</v>
      </c>
      <c r="M4160" t="s">
        <v>46434</v>
      </c>
      <c r="N4160">
        <f>-809.780388511917 -41.5474229217441 -554.348800150472</f>
        <v>-1405.6766115841331</v>
      </c>
      <c r="O4160">
        <f>-779.018027224832 -171.870131794544 -523.262343644037</f>
        <v>-1474.1505026634131</v>
      </c>
      <c r="P4160">
        <f>-770.72793598352 -204.021535278942 -230.877566358258</f>
        <v>-1205.6270376207199</v>
      </c>
      <c r="Q4160">
        <f>-617.543128167377 -49.4577304235241 -334.295798933355</f>
        <v>-1001.296657524256</v>
      </c>
      <c r="R4160" t="s">
        <v>46435</v>
      </c>
      <c r="S4160" t="s">
        <v>46436</v>
      </c>
      <c r="T4160" t="s">
        <v>46437</v>
      </c>
      <c r="U4160" t="s">
        <v>46438</v>
      </c>
      <c r="V4160">
        <f>-758.612417369323 -83.2492693717888 -92.1587124774436</f>
        <v>-934.02039921855544</v>
      </c>
      <c r="W4160" t="s">
        <v>46439</v>
      </c>
      <c r="X4160" t="s">
        <v>46440</v>
      </c>
      <c r="Y4160" t="s">
        <v>46441</v>
      </c>
    </row>
    <row r="4161" spans="1:25" x14ac:dyDescent="0.3">
      <c r="A4161">
        <v>208000</v>
      </c>
      <c r="B4161" t="s">
        <v>46442</v>
      </c>
      <c r="C4161" t="s">
        <v>46443</v>
      </c>
      <c r="D4161">
        <f>-811.955030270407 -6.49501244310682 -208.569726086395</f>
        <v>-1027.0197687999089</v>
      </c>
      <c r="E4161">
        <f>-819.157371526702 -11.8072597011203 -306.786615115422</f>
        <v>-1137.7512463432445</v>
      </c>
      <c r="F4161">
        <f>-821.812302416559 -14.6208941401478 -395.79944362061</f>
        <v>-1232.2326401773169</v>
      </c>
      <c r="G4161">
        <f>-820.228481619902 -15.4254530167389 -484.878452385735</f>
        <v>-1320.5323870223758</v>
      </c>
      <c r="H4161">
        <f>-813.534979273806 -14.5205030991879 -609.277697955555</f>
        <v>-1437.3331803285489</v>
      </c>
      <c r="I4161">
        <f>-777.195233098946 -6.81912690364629 -683.608992458744</f>
        <v>-1467.6233524613363</v>
      </c>
      <c r="J4161" t="s">
        <v>46444</v>
      </c>
      <c r="K4161" t="s">
        <v>46445</v>
      </c>
      <c r="L4161" t="s">
        <v>46446</v>
      </c>
      <c r="M4161" t="s">
        <v>46447</v>
      </c>
      <c r="N4161">
        <f>-809.954649245368 -41.8479715637113 -554.380458840343</f>
        <v>-1406.1830796494223</v>
      </c>
      <c r="O4161">
        <f>-779.139570814753 -172.122793996298 -523.115452213114</f>
        <v>-1474.3778170241651</v>
      </c>
      <c r="P4161">
        <f>-770.843812881287 -203.799389689004 -230.679052020247</f>
        <v>-1205.322254590538</v>
      </c>
      <c r="Q4161">
        <f>-617.768549786887 -49.3389853449288 -334.41336867492</f>
        <v>-1001.5209038067358</v>
      </c>
      <c r="R4161" t="s">
        <v>46448</v>
      </c>
      <c r="S4161" t="s">
        <v>46449</v>
      </c>
      <c r="T4161" t="s">
        <v>46450</v>
      </c>
      <c r="U4161" t="s">
        <v>46451</v>
      </c>
      <c r="V4161">
        <f>-758.838540504763 -83.0019983474313 -92.192157960817</f>
        <v>-934.03269681301128</v>
      </c>
      <c r="W4161" t="s">
        <v>46452</v>
      </c>
      <c r="X4161" t="s">
        <v>46453</v>
      </c>
      <c r="Y4161" t="s">
        <v>46454</v>
      </c>
    </row>
    <row r="4162" spans="1:25" x14ac:dyDescent="0.3">
      <c r="A4162">
        <v>208050</v>
      </c>
      <c r="B4162" t="s">
        <v>46455</v>
      </c>
      <c r="C4162" t="s">
        <v>46456</v>
      </c>
      <c r="D4162">
        <f>-812.152011605074 -6.34667991774609 -208.596642940742</f>
        <v>-1027.095334463562</v>
      </c>
      <c r="E4162">
        <f>-819.358493888538 -11.7072625100054 -306.810618944757</f>
        <v>-1137.8763753433004</v>
      </c>
      <c r="F4162">
        <f>-822.01700197734 -14.5762279716512 -395.821482976728</f>
        <v>-1232.4147129257192</v>
      </c>
      <c r="G4162">
        <f>-820.43716948688 -15.448239219804 -484.900049712031</f>
        <v>-1320.7854584187148</v>
      </c>
      <c r="H4162">
        <f>-813.749640459097 -14.6500720456652 -609.300511735101</f>
        <v>-1437.7002242398632</v>
      </c>
      <c r="I4162">
        <f>-777.368783918689 -7.00270975750004 -683.617140217468</f>
        <v>-1467.9886338936572</v>
      </c>
      <c r="J4162" t="s">
        <v>46457</v>
      </c>
      <c r="K4162" t="s">
        <v>46458</v>
      </c>
      <c r="L4162" t="s">
        <v>46459</v>
      </c>
      <c r="M4162" t="s">
        <v>46460</v>
      </c>
      <c r="N4162">
        <f>-810.17337736932 -41.9320701355407 -554.380415217175</f>
        <v>-1406.4858627220356</v>
      </c>
      <c r="O4162">
        <f>-779.366741028509 -172.181873400448 -523.020056528044</f>
        <v>-1474.5686709570009</v>
      </c>
      <c r="P4162">
        <f>-771.052380820422 -203.663999517104 -230.563395732957</f>
        <v>-1205.279776070483</v>
      </c>
      <c r="Q4162">
        <f>-618.011951217178 -49.2650280988694 -334.440635447237</f>
        <v>-1001.7176147632844</v>
      </c>
      <c r="R4162" t="s">
        <v>46461</v>
      </c>
      <c r="S4162" t="s">
        <v>46462</v>
      </c>
      <c r="T4162" t="s">
        <v>46463</v>
      </c>
      <c r="U4162" t="s">
        <v>46464</v>
      </c>
      <c r="V4162">
        <f>-759.007239657639 -82.7933447888299 -92.2106615111281</f>
        <v>-934.01124595759711</v>
      </c>
      <c r="W4162" t="s">
        <v>46465</v>
      </c>
      <c r="X4162" t="s">
        <v>46466</v>
      </c>
      <c r="Y4162" t="s">
        <v>46467</v>
      </c>
    </row>
    <row r="4163" spans="1:25" x14ac:dyDescent="0.3">
      <c r="A4163">
        <v>208100</v>
      </c>
      <c r="B4163" t="s">
        <v>46468</v>
      </c>
      <c r="C4163" t="s">
        <v>46469</v>
      </c>
      <c r="D4163">
        <f>-812.604160974392 -5.98257462108745 -208.668417000959</f>
        <v>-1027.2551525964384</v>
      </c>
      <c r="E4163">
        <f>-819.870995603249 -11.4316869660104 -306.873113510215</f>
        <v>-1138.1757960794744</v>
      </c>
      <c r="F4163">
        <f>-822.599411074662 -14.4122994963082 -395.878320528911</f>
        <v>-1232.8900310998811</v>
      </c>
      <c r="G4163">
        <f>-821.104666297679 -15.4285438405745 -484.956746460591</f>
        <v>-1321.4899565988446</v>
      </c>
      <c r="H4163">
        <f>-814.552193520432 -14.8662208331432 -609.365547705246</f>
        <v>-1438.7839620588211</v>
      </c>
      <c r="I4163">
        <f>-778.203478771975 -7.38138239291402 -683.714595123674</f>
        <v>-1469.2994562885631</v>
      </c>
      <c r="J4163" t="s">
        <v>46470</v>
      </c>
      <c r="K4163" t="s">
        <v>46471</v>
      </c>
      <c r="L4163" t="s">
        <v>46472</v>
      </c>
      <c r="M4163" t="s">
        <v>46473</v>
      </c>
      <c r="N4163">
        <f>-810.960882723133 -42.0547919042497 -554.400240555794</f>
        <v>-1407.4159151831766</v>
      </c>
      <c r="O4163">
        <f>-780.275595761241 -172.300743663646 -522.89608257756</f>
        <v>-1475.472422002447</v>
      </c>
      <c r="P4163">
        <f>-771.879206972046 -203.426942491905 -230.403570745479</f>
        <v>-1205.7097202094301</v>
      </c>
      <c r="Q4163">
        <f>-618.771504320015 -49.2879917896183 -334.567238082135</f>
        <v>-1002.6267341917683</v>
      </c>
      <c r="R4163" t="s">
        <v>46474</v>
      </c>
      <c r="S4163" t="s">
        <v>46475</v>
      </c>
      <c r="T4163" t="s">
        <v>46476</v>
      </c>
      <c r="U4163" t="s">
        <v>46477</v>
      </c>
      <c r="V4163">
        <f>-759.432564300311 -82.4810474778641 -92.2634755197906</f>
        <v>-934.17708729796573</v>
      </c>
      <c r="W4163" t="s">
        <v>46478</v>
      </c>
      <c r="X4163" t="s">
        <v>46479</v>
      </c>
      <c r="Y4163" t="s">
        <v>46480</v>
      </c>
    </row>
    <row r="4164" spans="1:25" x14ac:dyDescent="0.3">
      <c r="A4164">
        <v>208150</v>
      </c>
      <c r="B4164" t="s">
        <v>46481</v>
      </c>
      <c r="C4164" t="s">
        <v>46482</v>
      </c>
      <c r="D4164">
        <f>-812.862135097377 -5.79014227788844 -208.715905255072</f>
        <v>-1027.3681826303373</v>
      </c>
      <c r="E4164">
        <f>-820.183172578435 -11.2764368438272 -306.91437900975</f>
        <v>-1138.3739884320123</v>
      </c>
      <c r="F4164">
        <f>-822.986610427258 -14.3120912317427 -395.915376505022</f>
        <v>-1233.2140781640228</v>
      </c>
      <c r="G4164">
        <f>-821.593006972953 -15.4045118085164 -484.994639917258</f>
        <v>-1321.9921586987275</v>
      </c>
      <c r="H4164">
        <f>-815.209206350612 -14.9709328194949 -609.412731586812</f>
        <v>-1439.592870756919</v>
      </c>
      <c r="I4164">
        <f>-778.937382208718 -7.5913874488117 -683.809914987044</f>
        <v>-1470.3386846445737</v>
      </c>
      <c r="J4164" t="s">
        <v>46483</v>
      </c>
      <c r="K4164" t="s">
        <v>46484</v>
      </c>
      <c r="L4164" t="s">
        <v>46485</v>
      </c>
      <c r="M4164" t="s">
        <v>46486</v>
      </c>
      <c r="N4164">
        <f>-811.577663073552 -42.110863785877 -554.425947983954</f>
        <v>-1408.1144748433831</v>
      </c>
      <c r="O4164">
        <f>-780.978164809759 -172.363479830701 -522.856805979558</f>
        <v>-1476.1984506200181</v>
      </c>
      <c r="P4164">
        <f>-772.463401982658 -203.316190140004 -230.349206884995</f>
        <v>-1206.1287990076569</v>
      </c>
      <c r="Q4164">
        <f>-619.310466878389 -49.3219261426516 -334.660472372431</f>
        <v>-1003.2928653934716</v>
      </c>
      <c r="R4164" t="s">
        <v>46487</v>
      </c>
      <c r="S4164" t="s">
        <v>46488</v>
      </c>
      <c r="T4164" t="s">
        <v>46489</v>
      </c>
      <c r="U4164" t="s">
        <v>46490</v>
      </c>
      <c r="V4164">
        <f>-759.672088106113 -82.4041408748291 -92.2968755724446</f>
        <v>-934.37310455338672</v>
      </c>
      <c r="W4164" t="s">
        <v>46491</v>
      </c>
      <c r="X4164" t="s">
        <v>46492</v>
      </c>
      <c r="Y4164" t="s">
        <v>46493</v>
      </c>
    </row>
    <row r="4165" spans="1:25" x14ac:dyDescent="0.3">
      <c r="A4165">
        <v>208200</v>
      </c>
      <c r="B4165" t="s">
        <v>46494</v>
      </c>
      <c r="C4165" t="s">
        <v>46495</v>
      </c>
      <c r="D4165">
        <f>-813.187321189356 -5.53019175496502 -208.828793231115</f>
        <v>-1027.546306175436</v>
      </c>
      <c r="E4165">
        <f>-820.596122832977 -11.0182250282467 -307.020614589054</f>
        <v>-1138.6349624502777</v>
      </c>
      <c r="F4165">
        <f>-823.562143341172 -14.0826892020862 -396.015349913792</f>
        <v>-1233.6601824570503</v>
      </c>
      <c r="G4165">
        <f>-822.414293367905 -15.2305628940346 -485.097379197669</f>
        <v>-1322.7422354596085</v>
      </c>
      <c r="H4165">
        <f>-816.461458642064 -14.9007541683432 -609.537220922267</f>
        <v>-1440.8994337326742</v>
      </c>
      <c r="I4165">
        <f>-780.42209493492 -7.67077578889143 -684.061794658214</f>
        <v>-1472.1546653820255</v>
      </c>
      <c r="J4165" t="s">
        <v>46496</v>
      </c>
      <c r="K4165" t="s">
        <v>46497</v>
      </c>
      <c r="L4165" t="s">
        <v>46498</v>
      </c>
      <c r="M4165" t="s">
        <v>46499</v>
      </c>
      <c r="N4165">
        <f>-812.676143537625 -42.0034148660784 -554.542425142245</f>
        <v>-1409.2219835459482</v>
      </c>
      <c r="O4165">
        <f>-782.145867102455 -172.257532933648 -522.921466499622</f>
        <v>-1477.3248665357251</v>
      </c>
      <c r="P4165">
        <f>-773.454108231267 -202.894329587071 -230.385978278916</f>
        <v>-1206.7344160972539</v>
      </c>
      <c r="Q4165">
        <f>-620.178582691721 -49.1273523323453 -334.852248511382</f>
        <v>-1004.1581835354482</v>
      </c>
      <c r="R4165" t="s">
        <v>46500</v>
      </c>
      <c r="S4165" t="s">
        <v>46501</v>
      </c>
      <c r="T4165" t="s">
        <v>46502</v>
      </c>
      <c r="U4165" t="s">
        <v>46503</v>
      </c>
      <c r="V4165">
        <f>-759.937878448643 -82.5492643784038 -92.3765365511658</f>
        <v>-934.86367937821262</v>
      </c>
      <c r="W4165" t="s">
        <v>46504</v>
      </c>
      <c r="X4165" t="s">
        <v>46505</v>
      </c>
      <c r="Y4165" t="s">
        <v>46506</v>
      </c>
    </row>
    <row r="4166" spans="1:25" x14ac:dyDescent="0.3">
      <c r="A4166">
        <v>208250</v>
      </c>
      <c r="B4166" t="s">
        <v>46507</v>
      </c>
      <c r="C4166" t="s">
        <v>46508</v>
      </c>
      <c r="D4166">
        <f>-813.264815355522 -5.52838060660179 -208.862906135778</f>
        <v>-1027.6561020979018</v>
      </c>
      <c r="E4166">
        <f>-820.737985859474 -11.0113132259728 -307.050159181179</f>
        <v>-1138.7994582666258</v>
      </c>
      <c r="F4166">
        <f>-823.79560979416 -14.0772858515561 -396.041656830433</f>
        <v>-1233.9145524761491</v>
      </c>
      <c r="G4166">
        <f>-822.773339446843 -15.2316476177327 -485.125126539389</f>
        <v>-1323.1301136039647</v>
      </c>
      <c r="H4166">
        <f>-817.031183720382 -14.9158675815715 -609.574858232997</f>
        <v>-1441.5219095349507</v>
      </c>
      <c r="I4166">
        <f>-781.121050078249 -7.72189097159526 -684.165269083068</f>
        <v>-1473.0082101329122</v>
      </c>
      <c r="J4166" t="s">
        <v>46509</v>
      </c>
      <c r="K4166" t="s">
        <v>46510</v>
      </c>
      <c r="L4166" t="s">
        <v>46511</v>
      </c>
      <c r="M4166" t="s">
        <v>46512</v>
      </c>
      <c r="N4166">
        <f>-813.158688238978 -42.0140225792704 -554.583951832541</f>
        <v>-1409.7566626507894</v>
      </c>
      <c r="O4166">
        <f>-782.605554966611 -172.272827531708 -522.998987802213</f>
        <v>-1477.877370300532</v>
      </c>
      <c r="P4166">
        <f>-773.761383677361 -202.865383036843 -230.463429671941</f>
        <v>-1207.090196386145</v>
      </c>
      <c r="Q4166">
        <f>-620.561934460706 -49.0345284244312 -334.947172532501</f>
        <v>-1004.5436354176381</v>
      </c>
      <c r="R4166" t="s">
        <v>46513</v>
      </c>
      <c r="S4166" t="s">
        <v>46514</v>
      </c>
      <c r="T4166" t="s">
        <v>46515</v>
      </c>
      <c r="U4166" t="s">
        <v>46516</v>
      </c>
      <c r="V4166">
        <f>-760.079838670239 -82.7363544221461 -92.4231510706873</f>
        <v>-935.23934416307236</v>
      </c>
      <c r="W4166" t="s">
        <v>46517</v>
      </c>
      <c r="X4166" t="s">
        <v>46518</v>
      </c>
      <c r="Y4166" t="s">
        <v>46519</v>
      </c>
    </row>
    <row r="4167" spans="1:25" x14ac:dyDescent="0.3">
      <c r="A4167">
        <v>208300</v>
      </c>
      <c r="B4167" t="s">
        <v>46520</v>
      </c>
      <c r="C4167" t="s">
        <v>46521</v>
      </c>
      <c r="D4167">
        <f>-813.758517684486 -5.49683964571227 -208.878069856933</f>
        <v>-1028.1334271871312</v>
      </c>
      <c r="E4167">
        <f>-821.388242370996 -10.9965546234964 -307.052234128241</f>
        <v>-1139.4370311227335</v>
      </c>
      <c r="F4167">
        <f>-824.643747420192 -14.0873437468931 -396.035967132918</f>
        <v>-1234.7670583000031</v>
      </c>
      <c r="G4167">
        <f>-823.875573429762 -15.2750045171924 -485.121596755381</f>
        <v>-1324.2721747023354</v>
      </c>
      <c r="H4167">
        <f>-818.547661156306 -15.0130308175019 -609.589873129884</f>
        <v>-1443.1505651036919</v>
      </c>
      <c r="I4167">
        <f>-782.879559031159 -7.85086707897472 -684.299340393135</f>
        <v>-1475.0297665032688</v>
      </c>
      <c r="J4167" t="s">
        <v>46522</v>
      </c>
      <c r="K4167" t="s">
        <v>46523</v>
      </c>
      <c r="L4167" t="s">
        <v>46524</v>
      </c>
      <c r="M4167" t="s">
        <v>46525</v>
      </c>
      <c r="N4167">
        <f>-814.503111064027 -42.0898929415728 -554.600855666131</f>
        <v>-1411.1938596717309</v>
      </c>
      <c r="O4167">
        <f>-783.884071632259 -172.341679034145 -523.076646319101</f>
        <v>-1479.3023969855049</v>
      </c>
      <c r="P4167">
        <f>-774.474802701394 -202.952398928516 -230.560390668723</f>
        <v>-1207.987592298633</v>
      </c>
      <c r="Q4167">
        <f>-621.579581452941 -48.9444471786246 -335.228673352024</f>
        <v>-1005.7527019835896</v>
      </c>
      <c r="R4167" t="s">
        <v>46526</v>
      </c>
      <c r="S4167" t="s">
        <v>46527</v>
      </c>
      <c r="T4167" t="s">
        <v>46528</v>
      </c>
      <c r="U4167" t="s">
        <v>46529</v>
      </c>
      <c r="V4167">
        <f>-760.700205505934 -82.7562814622695 -92.4298222057653</f>
        <v>-935.88630917396881</v>
      </c>
      <c r="W4167" t="s">
        <v>46530</v>
      </c>
      <c r="X4167" t="s">
        <v>46531</v>
      </c>
      <c r="Y4167" t="s">
        <v>46532</v>
      </c>
    </row>
    <row r="4168" spans="1:25" x14ac:dyDescent="0.3">
      <c r="A4168">
        <v>208350</v>
      </c>
      <c r="B4168" t="s">
        <v>46533</v>
      </c>
      <c r="C4168" t="s">
        <v>46534</v>
      </c>
      <c r="D4168">
        <f>-814.012311248668 -5.55090239332139 -208.870325512723</f>
        <v>-1028.4335391547124</v>
      </c>
      <c r="E4168">
        <f>-821.726465435243 -11.0604706531744 -307.037511451671</f>
        <v>-1139.8244475400884</v>
      </c>
      <c r="F4168">
        <f>-825.085471170491 -14.1635088556714 -396.016840134063</f>
        <v>-1235.2658201602253</v>
      </c>
      <c r="G4168">
        <f>-824.448157283122 -15.3664585934048 -485.103266457096</f>
        <v>-1324.9178823336229</v>
      </c>
      <c r="H4168">
        <f>-819.331629312824 -15.1282458753246 -609.580437481862</f>
        <v>-1444.0403126700107</v>
      </c>
      <c r="I4168">
        <f>-783.765115496106 -7.96809539115861 -684.338599385781</f>
        <v>-1476.0718102730457</v>
      </c>
      <c r="J4168" t="s">
        <v>46535</v>
      </c>
      <c r="K4168" t="s">
        <v>46536</v>
      </c>
      <c r="L4168" t="s">
        <v>46537</v>
      </c>
      <c r="M4168" t="s">
        <v>46538</v>
      </c>
      <c r="N4168">
        <f>-815.199435016302 -42.1959212237534 -554.593362800636</f>
        <v>-1411.9887190406914</v>
      </c>
      <c r="O4168">
        <f>-784.567669394037 -172.453449335395 -523.086563325149</f>
        <v>-1480.1076820545809</v>
      </c>
      <c r="P4168">
        <f>-774.940845600313 -202.906234086495 -230.561116510654</f>
        <v>-1208.4081961974621</v>
      </c>
      <c r="Q4168">
        <f>-622.176350642719 -48.869141399412 -335.377291687227</f>
        <v>-1006.4227837293579</v>
      </c>
      <c r="R4168" t="s">
        <v>46539</v>
      </c>
      <c r="S4168" t="s">
        <v>46540</v>
      </c>
      <c r="T4168" t="s">
        <v>46541</v>
      </c>
      <c r="U4168" t="s">
        <v>46542</v>
      </c>
      <c r="V4168">
        <f>-760.919463532441 -82.8234422825683 -92.4317008188725</f>
        <v>-936.17460663388181</v>
      </c>
      <c r="W4168" t="s">
        <v>46543</v>
      </c>
      <c r="X4168" t="s">
        <v>46544</v>
      </c>
      <c r="Y4168" t="s">
        <v>46545</v>
      </c>
    </row>
    <row r="4169" spans="1:25" x14ac:dyDescent="0.3">
      <c r="A4169">
        <v>208400</v>
      </c>
      <c r="B4169" t="s">
        <v>46546</v>
      </c>
      <c r="C4169" t="s">
        <v>46547</v>
      </c>
      <c r="D4169">
        <f>-814.560661173973 -5.70134947705628 -208.863375612032</f>
        <v>-1029.1253862630613</v>
      </c>
      <c r="E4169">
        <f>-822.446042500209 -11.2278775863249 -307.015978285167</f>
        <v>-1140.689898371701</v>
      </c>
      <c r="F4169">
        <f>-826.006062448445 -14.3451560570768 -395.986957946905</f>
        <v>-1236.338176452427</v>
      </c>
      <c r="G4169">
        <f>-825.61581616167 -15.5607527532443 -485.074705592566</f>
        <v>-1326.2512745074803</v>
      </c>
      <c r="H4169">
        <f>-820.892159107602 -15.3380775837722 -609.567459449189</f>
        <v>-1445.7976961405632</v>
      </c>
      <c r="I4169">
        <f>-785.498577292645 -8.1935275116648 -684.409123172684</f>
        <v>-1478.1012279769939</v>
      </c>
      <c r="J4169" t="s">
        <v>46548</v>
      </c>
      <c r="K4169" t="s">
        <v>46549</v>
      </c>
      <c r="L4169" t="s">
        <v>46550</v>
      </c>
      <c r="M4169" t="s">
        <v>46551</v>
      </c>
      <c r="N4169">
        <f>-816.603416826235 -42.4029547706532 -554.591054860679</f>
        <v>-1413.5974264575673</v>
      </c>
      <c r="O4169">
        <f>-785.981601359866 -172.668248833473 -523.111575422305</f>
        <v>-1481.7614256156439</v>
      </c>
      <c r="P4169">
        <f>-776.001179504737 -202.894920097697 -230.574436289601</f>
        <v>-1209.4705358920351</v>
      </c>
      <c r="Q4169">
        <f>-623.350218856479 -48.9165462743546 -335.642157816105</f>
        <v>-1007.9089229469387</v>
      </c>
      <c r="R4169" t="s">
        <v>46552</v>
      </c>
      <c r="S4169" t="s">
        <v>46553</v>
      </c>
      <c r="T4169" t="s">
        <v>46554</v>
      </c>
      <c r="U4169" t="s">
        <v>46555</v>
      </c>
      <c r="V4169">
        <f>-761.438318160003 -83.0512772642804 -92.4254807026922</f>
        <v>-936.91507612697558</v>
      </c>
      <c r="W4169" t="s">
        <v>46556</v>
      </c>
      <c r="X4169" t="s">
        <v>46557</v>
      </c>
      <c r="Y4169" t="s">
        <v>46558</v>
      </c>
    </row>
    <row r="4170" spans="1:25" x14ac:dyDescent="0.3">
      <c r="A4170">
        <v>208450</v>
      </c>
      <c r="B4170" t="s">
        <v>46559</v>
      </c>
      <c r="C4170" t="s">
        <v>46560</v>
      </c>
      <c r="D4170">
        <f>-814.86745182322 -5.77916274403879 -208.868105717061</f>
        <v>-1029.5147202843198</v>
      </c>
      <c r="E4170">
        <f>-822.821092991416 -11.3009872110079 -307.015383519388</f>
        <v>-1141.1374637218119</v>
      </c>
      <c r="F4170">
        <f>-826.462079687692 -14.415825641423 -395.983349206649</f>
        <v>-1236.8612545357641</v>
      </c>
      <c r="G4170">
        <f>-826.17206166769 -15.6304163024192 -485.071406803625</f>
        <v>-1326.8738847737341</v>
      </c>
      <c r="H4170">
        <f>-821.608450031881 -15.4071035743059 -609.570068869664</f>
        <v>-1446.5856224758509</v>
      </c>
      <c r="I4170">
        <f>-786.283133002362 -8.2822881811237 -684.44588637639</f>
        <v>-1479.0113075598756</v>
      </c>
      <c r="J4170" t="s">
        <v>46561</v>
      </c>
      <c r="K4170" t="s">
        <v>46562</v>
      </c>
      <c r="L4170" t="s">
        <v>46563</v>
      </c>
      <c r="M4170" t="s">
        <v>46564</v>
      </c>
      <c r="N4170">
        <f>-817.255193560871 -42.473575254528 -554.599545076567</f>
        <v>-1414.328313891966</v>
      </c>
      <c r="O4170">
        <f>-786.636589933235 -172.754326592701 -523.169059431751</f>
        <v>-1482.5599759576869</v>
      </c>
      <c r="P4170">
        <f>-776.539808593367 -203.007087149605 -230.638526000867</f>
        <v>-1210.185421743839</v>
      </c>
      <c r="Q4170">
        <f>-623.927593961917 -49.0179489480322 -335.746575840588</f>
        <v>-1008.6921187505371</v>
      </c>
      <c r="R4170" t="s">
        <v>46565</v>
      </c>
      <c r="S4170" t="s">
        <v>46566</v>
      </c>
      <c r="T4170" t="s">
        <v>46567</v>
      </c>
      <c r="U4170" t="s">
        <v>46568</v>
      </c>
      <c r="V4170">
        <f>-761.723168606104 -83.1893517810502 -92.4329885057402</f>
        <v>-937.34550889289437</v>
      </c>
      <c r="W4170" t="s">
        <v>46569</v>
      </c>
      <c r="X4170" t="s">
        <v>46570</v>
      </c>
      <c r="Y4170" t="s">
        <v>46571</v>
      </c>
    </row>
    <row r="4171" spans="1:25" x14ac:dyDescent="0.3">
      <c r="A4171">
        <v>208500</v>
      </c>
      <c r="B4171" t="s">
        <v>46572</v>
      </c>
      <c r="C4171" t="s">
        <v>46573</v>
      </c>
      <c r="D4171">
        <f>-815.437814230888 -6.07419833735048 -208.87212956589</f>
        <v>-1030.3841421341285</v>
      </c>
      <c r="E4171">
        <f>-823.491884783352 -11.5532175856699 -307.01376637625</f>
        <v>-1142.0588687452719</v>
      </c>
      <c r="F4171">
        <f>-827.256737569355 -14.627543067453 -395.977781979913</f>
        <v>-1237.862062616721</v>
      </c>
      <c r="G4171">
        <f>-827.123747374798 -15.7986857652052 -485.066911448155</f>
        <v>-1327.989344588158</v>
      </c>
      <c r="H4171">
        <f>-822.814803974618 -15.5101504784127 -609.574517095354</f>
        <v>-1447.8994715483848</v>
      </c>
      <c r="I4171">
        <f>-787.600371341475 -8.41971053774796 -684.505856157034</f>
        <v>-1480.525938036257</v>
      </c>
      <c r="J4171" t="s">
        <v>46574</v>
      </c>
      <c r="K4171" t="s">
        <v>46575</v>
      </c>
      <c r="L4171" t="s">
        <v>46576</v>
      </c>
      <c r="M4171" t="s">
        <v>46577</v>
      </c>
      <c r="N4171">
        <f>-818.357470325452 -42.6074865547625 -554.627525164747</f>
        <v>-1415.5924820449616</v>
      </c>
      <c r="O4171">
        <f>-787.732882309372 -172.915116291885 -523.334290634392</f>
        <v>-1483.9822892356492</v>
      </c>
      <c r="P4171">
        <f>-777.390207088415 -203.373017172158 -230.833732547673</f>
        <v>-1211.596956808246</v>
      </c>
      <c r="Q4171">
        <f>-624.873776507567 -49.2622805299815 -335.9026725141</f>
        <v>-1010.0387295516484</v>
      </c>
      <c r="R4171" t="s">
        <v>46578</v>
      </c>
      <c r="S4171" t="s">
        <v>46579</v>
      </c>
      <c r="T4171" t="s">
        <v>46580</v>
      </c>
      <c r="U4171" t="s">
        <v>46581</v>
      </c>
      <c r="V4171">
        <f>-762.365786142167 -83.7118179367581 -92.4552044484192</f>
        <v>-938.53280852734429</v>
      </c>
      <c r="W4171" t="s">
        <v>46582</v>
      </c>
      <c r="X4171" t="s">
        <v>46583</v>
      </c>
      <c r="Y4171" t="s">
        <v>46584</v>
      </c>
    </row>
    <row r="4172" spans="1:25" x14ac:dyDescent="0.3">
      <c r="A4172">
        <v>208550</v>
      </c>
      <c r="B4172" t="s">
        <v>46585</v>
      </c>
      <c r="C4172" t="s">
        <v>46586</v>
      </c>
      <c r="D4172">
        <f>-815.838683721094 -6.04639877098566 -208.87492875372</f>
        <v>-1030.7600112457997</v>
      </c>
      <c r="E4172">
        <f>-823.924579153592 -11.5131743805573 -307.014652787678</f>
        <v>-1142.4524063218273</v>
      </c>
      <c r="F4172">
        <f>-827.733172070397 -14.5744379835205 -395.977336690852</f>
        <v>-1238.2849467447695</v>
      </c>
      <c r="G4172">
        <f>-827.658900243706 -15.7305667952874 -485.066613633209</f>
        <v>-1328.4560806722022</v>
      </c>
      <c r="H4172">
        <f>-823.447653952116 -15.4185558534457 -609.577609832858</f>
        <v>-1448.4438196384197</v>
      </c>
      <c r="I4172">
        <f>-788.28128195937 -8.33647469353969 -684.532234799056</f>
        <v>-1481.1499914519657</v>
      </c>
      <c r="J4172" t="s">
        <v>46587</v>
      </c>
      <c r="K4172" t="s">
        <v>46588</v>
      </c>
      <c r="L4172" t="s">
        <v>46589</v>
      </c>
      <c r="M4172" t="s">
        <v>46590</v>
      </c>
      <c r="N4172">
        <f>-818.954329621005 -42.5278969401754 -554.639402031289</f>
        <v>-1416.1216285924693</v>
      </c>
      <c r="O4172">
        <f>-788.340242461724 -172.856042610465 -523.412377192013</f>
        <v>-1484.6086622642019</v>
      </c>
      <c r="P4172">
        <f>-777.875660531047 -203.390046809321 -230.924117651894</f>
        <v>-1212.1898249922619</v>
      </c>
      <c r="Q4172">
        <f>-625.419291723177 -49.2113184630567 -335.980644985037</f>
        <v>-1010.6112551712707</v>
      </c>
      <c r="R4172" t="s">
        <v>46591</v>
      </c>
      <c r="S4172" t="s">
        <v>46592</v>
      </c>
      <c r="T4172" t="s">
        <v>46593</v>
      </c>
      <c r="U4172" t="s">
        <v>46594</v>
      </c>
      <c r="V4172">
        <f>-762.860853426644 -83.6791119650068 -92.4468290420334</f>
        <v>-938.98679443368417</v>
      </c>
      <c r="W4172" t="s">
        <v>46595</v>
      </c>
      <c r="X4172" t="s">
        <v>46596</v>
      </c>
      <c r="Y4172" t="s">
        <v>46597</v>
      </c>
    </row>
    <row r="4173" spans="1:25" x14ac:dyDescent="0.3">
      <c r="A4173">
        <v>208600</v>
      </c>
      <c r="B4173" t="s">
        <v>46598</v>
      </c>
      <c r="C4173" t="s">
        <v>46599</v>
      </c>
      <c r="D4173">
        <f>-816.597455407178 -6.06548788837745 -208.846361027125</f>
        <v>-1031.5093043226805</v>
      </c>
      <c r="E4173">
        <f>-824.731490209253 -11.5194391163227 -306.982883306226</f>
        <v>-1143.2338126318018</v>
      </c>
      <c r="F4173">
        <f>-828.609588079118 -14.5693260213743 -395.942927539676</f>
        <v>-1239.1218416401684</v>
      </c>
      <c r="G4173">
        <f>-828.630321775107 -15.7135534778608 -485.032474183151</f>
        <v>-1329.3763494361187</v>
      </c>
      <c r="H4173">
        <f>-824.578707920691 -15.3842829256741 -609.548576992179</f>
        <v>-1449.5115678385441</v>
      </c>
      <c r="I4173">
        <f>-789.495546286703 -8.29758507071142 -684.541704317565</f>
        <v>-1482.3348356749793</v>
      </c>
      <c r="J4173" t="s">
        <v>46600</v>
      </c>
      <c r="K4173" t="s">
        <v>46601</v>
      </c>
      <c r="L4173" t="s">
        <v>46602</v>
      </c>
      <c r="M4173" t="s">
        <v>46603</v>
      </c>
      <c r="N4173">
        <f>-820.035341198182 -42.5060496881017 -554.620611501118</f>
        <v>-1417.1620023874016</v>
      </c>
      <c r="O4173">
        <f>-789.469983223117 -172.863208408254 -523.461796380613</f>
        <v>-1485.7949880119841</v>
      </c>
      <c r="P4173">
        <f>-778.850515282543 -203.421493393121 -230.981655085427</f>
        <v>-1213.253663761091</v>
      </c>
      <c r="Q4173">
        <f>-626.509310220016 -49.2151405105317 -336.16434471615</f>
        <v>-1011.8887954466977</v>
      </c>
      <c r="R4173" t="s">
        <v>46604</v>
      </c>
      <c r="S4173" t="s">
        <v>46605</v>
      </c>
      <c r="T4173" t="s">
        <v>46606</v>
      </c>
      <c r="U4173" t="s">
        <v>46607</v>
      </c>
      <c r="V4173">
        <f>-763.749852749838 -83.7674624741981 -92.4109203850359</f>
        <v>-939.92823560907198</v>
      </c>
      <c r="W4173" t="s">
        <v>46608</v>
      </c>
      <c r="X4173" t="s">
        <v>46609</v>
      </c>
      <c r="Y4173" t="s">
        <v>46610</v>
      </c>
    </row>
    <row r="4174" spans="1:25" x14ac:dyDescent="0.3">
      <c r="A4174">
        <v>208650</v>
      </c>
      <c r="B4174" t="s">
        <v>46611</v>
      </c>
      <c r="C4174" t="s">
        <v>46612</v>
      </c>
      <c r="D4174">
        <f>-816.988361955911 -5.98974180268806 -208.819400448501</f>
        <v>-1031.7975042071</v>
      </c>
      <c r="E4174">
        <f>-825.142750204296 -11.4409524352272 -306.954300982435</f>
        <v>-1143.5380036219583</v>
      </c>
      <c r="F4174">
        <f>-829.048972482789 -14.4879655083171 -395.913188273577</f>
        <v>-1239.4501262646831</v>
      </c>
      <c r="G4174">
        <f>-829.107827213263 -15.6294049500948 -485.00269274677</f>
        <v>-1329.7399249101277</v>
      </c>
      <c r="H4174">
        <f>-825.119678319487 -15.2963181983619 -609.520947435132</f>
        <v>-1449.936943952981</v>
      </c>
      <c r="I4174">
        <f>-790.069781334385 -8.22236831714736 -684.530928378876</f>
        <v>-1482.8230780304084</v>
      </c>
      <c r="J4174" t="s">
        <v>46613</v>
      </c>
      <c r="K4174" t="s">
        <v>46614</v>
      </c>
      <c r="L4174" t="s">
        <v>46615</v>
      </c>
      <c r="M4174" t="s">
        <v>46616</v>
      </c>
      <c r="N4174">
        <f>-820.560950243993 -42.4227361390592 -554.596581872438</f>
        <v>-1417.5802682554904</v>
      </c>
      <c r="O4174">
        <f>-790.025602929464 -172.794486200423 -523.467273731414</f>
        <v>-1486.2873628613011</v>
      </c>
      <c r="P4174">
        <f>-779.335459861573 -203.372586578898 -230.991806248416</f>
        <v>-1213.6998526888869</v>
      </c>
      <c r="Q4174">
        <f>-627.044143435613 -49.1626505161256 -336.241628112304</f>
        <v>-1012.4484220640427</v>
      </c>
      <c r="R4174" t="s">
        <v>46617</v>
      </c>
      <c r="S4174" t="s">
        <v>46618</v>
      </c>
      <c r="T4174" t="s">
        <v>46619</v>
      </c>
      <c r="U4174" t="s">
        <v>46620</v>
      </c>
      <c r="V4174">
        <f>-764.167185577378 -83.731818407971 -92.3907322901903</f>
        <v>-940.28973627553921</v>
      </c>
      <c r="W4174" t="s">
        <v>46621</v>
      </c>
      <c r="X4174" t="s">
        <v>46622</v>
      </c>
      <c r="Y4174" t="s">
        <v>46623</v>
      </c>
    </row>
    <row r="4175" spans="1:25" x14ac:dyDescent="0.3">
      <c r="A4175">
        <v>208700</v>
      </c>
      <c r="B4175" t="s">
        <v>46624</v>
      </c>
      <c r="C4175" t="s">
        <v>46625</v>
      </c>
      <c r="D4175">
        <f>-817.754450439218 -5.70066988392978 -208.800054844438</f>
        <v>-1032.2551751675858</v>
      </c>
      <c r="E4175">
        <f>-825.96845482883 -11.154549814921 -306.929874731302</f>
        <v>-1144.052879375053</v>
      </c>
      <c r="F4175">
        <f>-829.935961876093 -14.2041387877759 -395.886068972637</f>
        <v>-1240.026169636506</v>
      </c>
      <c r="G4175">
        <f>-830.06310461053 -15.3488202284186 -484.975429591328</f>
        <v>-1330.3873544302767</v>
      </c>
      <c r="H4175">
        <f>-826.177723770564 -15.0207381693108 -609.496935459549</f>
        <v>-1450.6953973994237</v>
      </c>
      <c r="I4175">
        <f>-791.171170513814 -8.00365556985957 -684.532481820132</f>
        <v>-1483.7073079038055</v>
      </c>
      <c r="J4175" t="s">
        <v>46626</v>
      </c>
      <c r="K4175" t="s">
        <v>46627</v>
      </c>
      <c r="L4175" t="s">
        <v>46628</v>
      </c>
      <c r="M4175" t="s">
        <v>46629</v>
      </c>
      <c r="N4175">
        <f>-821.594853171549 -42.1498883548461 -554.575912600698</f>
        <v>-1418.3206541270929</v>
      </c>
      <c r="O4175">
        <f>-791.133013680972 -172.554401125374 -523.524486574705</f>
        <v>-1487.2119013810509</v>
      </c>
      <c r="P4175">
        <f>-780.268676021075 -203.287451077922 -231.071605293954</f>
        <v>-1214.627732392951</v>
      </c>
      <c r="Q4175">
        <f>-628.069554375747 -48.9667434779443 -336.292563792443</f>
        <v>-1013.3288616461343</v>
      </c>
      <c r="R4175" t="s">
        <v>46630</v>
      </c>
      <c r="S4175" t="s">
        <v>46631</v>
      </c>
      <c r="T4175" t="s">
        <v>46632</v>
      </c>
      <c r="U4175" t="s">
        <v>46633</v>
      </c>
      <c r="V4175">
        <f>-764.945860654616 -83.4541439048165 -92.3969375924315</f>
        <v>-940.79694215186407</v>
      </c>
      <c r="W4175" t="s">
        <v>46634</v>
      </c>
      <c r="X4175" t="s">
        <v>46635</v>
      </c>
      <c r="Y4175" t="s">
        <v>46636</v>
      </c>
    </row>
    <row r="4176" spans="1:25" x14ac:dyDescent="0.3">
      <c r="A4176">
        <v>208750</v>
      </c>
      <c r="B4176" t="s">
        <v>46637</v>
      </c>
      <c r="C4176" t="s">
        <v>46638</v>
      </c>
      <c r="D4176">
        <f>-818.069054266539 -5.63380749381372 -208.79790275356</f>
        <v>-1032.5007645139126</v>
      </c>
      <c r="E4176">
        <f>-826.310829121133 -11.0877192175601 -306.925285321483</f>
        <v>-1144.3238336601762</v>
      </c>
      <c r="F4176">
        <f>-830.306438261933 -14.1365097317762 -395.880272735812</f>
        <v>-1240.3232207295212</v>
      </c>
      <c r="G4176">
        <f>-830.464700724619 -15.2798731677431 -484.969433397554</f>
        <v>-1330.714007289916</v>
      </c>
      <c r="H4176">
        <f>-826.625442296973 -14.9493811269804 -609.492440996277</f>
        <v>-1451.0672644202305</v>
      </c>
      <c r="I4176">
        <f>-791.636393543687 -7.97783863385052 -684.540436986039</f>
        <v>-1484.1546691635765</v>
      </c>
      <c r="J4176" t="s">
        <v>46639</v>
      </c>
      <c r="K4176" t="s">
        <v>46640</v>
      </c>
      <c r="L4176" t="s">
        <v>46641</v>
      </c>
      <c r="M4176" t="s">
        <v>46642</v>
      </c>
      <c r="N4176">
        <f>-822.03437218299 -42.0825361913151 -554.574050504056</f>
        <v>-1418.690958878361</v>
      </c>
      <c r="O4176">
        <f>-791.61016207856 -172.504060953336 -523.552050509284</f>
        <v>-1487.6662735411801</v>
      </c>
      <c r="P4176">
        <f>-780.67994719223 -203.295588641197 -231.107740984593</f>
        <v>-1215.0832768180201</v>
      </c>
      <c r="Q4176">
        <f>-628.470068897912 -48.9484390862948 -336.274372788545</f>
        <v>-1013.6928807727518</v>
      </c>
      <c r="R4176" t="s">
        <v>46643</v>
      </c>
      <c r="S4176" t="s">
        <v>46644</v>
      </c>
      <c r="T4176" t="s">
        <v>46645</v>
      </c>
      <c r="U4176" t="s">
        <v>46646</v>
      </c>
      <c r="V4176">
        <f>-765.242898988059 -83.4475879325763 -92.3880012844922</f>
        <v>-941.07848820512754</v>
      </c>
      <c r="W4176" t="s">
        <v>46647</v>
      </c>
      <c r="X4176" t="s">
        <v>46648</v>
      </c>
      <c r="Y4176" t="s">
        <v>46649</v>
      </c>
    </row>
    <row r="4177" spans="1:25" x14ac:dyDescent="0.3">
      <c r="A4177">
        <v>208800</v>
      </c>
      <c r="B4177" t="s">
        <v>46650</v>
      </c>
      <c r="C4177" t="s">
        <v>46651</v>
      </c>
      <c r="D4177">
        <f>-818.343857191104 -5.54869013024904 -208.797953592577</f>
        <v>-1032.69050091393</v>
      </c>
      <c r="E4177">
        <f>-826.600203469369 -10.996205648448 -306.924616600846</f>
        <v>-1144.5210257186632</v>
      </c>
      <c r="F4177">
        <f>-830.60950461156 -14.0367924064935 -395.879203673333</f>
        <v>-1240.5255006913867</v>
      </c>
      <c r="G4177">
        <f>-830.781732998926 -15.1691547756268 -484.968633615996</f>
        <v>-1330.9195213905489</v>
      </c>
      <c r="H4177">
        <f>-826.962372736287 -14.8212082515699 -609.49222729407</f>
        <v>-1451.2758082819269</v>
      </c>
      <c r="I4177">
        <f>-791.99287089986 -7.89518744357633 -684.553457263838</f>
        <v>-1484.4415156072744</v>
      </c>
      <c r="J4177" t="s">
        <v>46652</v>
      </c>
      <c r="K4177" t="s">
        <v>46653</v>
      </c>
      <c r="L4177" t="s">
        <v>46654</v>
      </c>
      <c r="M4177" t="s">
        <v>46655</v>
      </c>
      <c r="N4177">
        <f>-822.371230147486 -41.9641325666573 -554.578610272844</f>
        <v>-1418.9139729869873</v>
      </c>
      <c r="O4177">
        <f>-791.955892108359 -172.398226067816 -523.587149630981</f>
        <v>-1487.941267807156</v>
      </c>
      <c r="P4177">
        <f>-781.07292505732 -203.204375878604 -231.142542727709</f>
        <v>-1215.4198436636329</v>
      </c>
      <c r="Q4177">
        <f>-628.822429077775 -48.8505193045668 -336.24038119988</f>
        <v>-1013.9133295822219</v>
      </c>
      <c r="R4177" t="s">
        <v>46656</v>
      </c>
      <c r="S4177" t="s">
        <v>46657</v>
      </c>
      <c r="T4177" t="s">
        <v>46658</v>
      </c>
      <c r="U4177" t="s">
        <v>46659</v>
      </c>
      <c r="V4177">
        <f>-765.507873318416 -83.3929469327938 -92.3833752230938</f>
        <v>-941.28419547430371</v>
      </c>
      <c r="W4177" t="s">
        <v>46660</v>
      </c>
      <c r="X4177" t="s">
        <v>46661</v>
      </c>
      <c r="Y4177" t="s">
        <v>46662</v>
      </c>
    </row>
    <row r="4178" spans="1:25" x14ac:dyDescent="0.3">
      <c r="A4178">
        <v>208850</v>
      </c>
      <c r="B4178" t="s">
        <v>46663</v>
      </c>
      <c r="C4178" t="s">
        <v>46664</v>
      </c>
      <c r="D4178">
        <f>-818.890915782302 -5.12097676910344 -208.790134704253</f>
        <v>-1032.8020272556585</v>
      </c>
      <c r="E4178">
        <f>-827.213924813563 -10.5949132671556 -306.909547015651</f>
        <v>-1144.7183850963697</v>
      </c>
      <c r="F4178">
        <f>-831.28981485117 -13.6682298917158 -395.860030849479</f>
        <v>-1240.8180755923649</v>
      </c>
      <c r="G4178">
        <f>-831.53515982633 -14.8424468546389 -484.94881650208</f>
        <v>-1331.3264231830487</v>
      </c>
      <c r="H4178">
        <f>-827.824688895071 -14.5626560944684 -609.475738527754</f>
        <v>-1451.8630835172933</v>
      </c>
      <c r="I4178">
        <f>-792.911650203129 -7.76991672939812 -684.575604877134</f>
        <v>-1485.257171809661</v>
      </c>
      <c r="J4178" t="s">
        <v>46665</v>
      </c>
      <c r="K4178" t="s">
        <v>46666</v>
      </c>
      <c r="L4178" t="s">
        <v>46667</v>
      </c>
      <c r="M4178" t="s">
        <v>46668</v>
      </c>
      <c r="N4178">
        <f>-823.203794554383 -41.6795000386401 -554.551946213504</f>
        <v>-1419.435240806527</v>
      </c>
      <c r="O4178">
        <f>-792.726868631487 -172.113088805881 -523.63828006406</f>
        <v>-1488.4782375014281</v>
      </c>
      <c r="P4178">
        <f>-781.798173620121 -202.986141848713 -231.20255697815</f>
        <v>-1215.9868724469841</v>
      </c>
      <c r="Q4178">
        <f>-629.610418061666 -48.4676424965232 -336.14925162704</f>
        <v>-1014.2273121852293</v>
      </c>
      <c r="R4178" t="s">
        <v>46669</v>
      </c>
      <c r="S4178" t="s">
        <v>46670</v>
      </c>
      <c r="T4178" t="s">
        <v>46671</v>
      </c>
      <c r="U4178" t="s">
        <v>46672</v>
      </c>
      <c r="V4178">
        <f>-766.093867947598 -82.9658831222227 -92.3865813437329</f>
        <v>-941.44633241355371</v>
      </c>
      <c r="W4178" t="s">
        <v>46673</v>
      </c>
      <c r="X4178" t="s">
        <v>46674</v>
      </c>
      <c r="Y4178" t="s">
        <v>46675</v>
      </c>
    </row>
    <row r="4179" spans="1:25" x14ac:dyDescent="0.3">
      <c r="A4179">
        <v>208900</v>
      </c>
      <c r="B4179" t="s">
        <v>46676</v>
      </c>
      <c r="C4179" t="s">
        <v>46677</v>
      </c>
      <c r="D4179">
        <f>-819.389751333 -4.78317590322422 -208.776674277402</f>
        <v>-1032.9496015136262</v>
      </c>
      <c r="E4179">
        <f>-827.83824757769 -10.2930501534354 -306.88349356504</f>
        <v>-1145.0147912961654</v>
      </c>
      <c r="F4179">
        <f>-832.050520220813 -13.3942930511498 -395.826575211972</f>
        <v>-1241.271388483935</v>
      </c>
      <c r="G4179">
        <f>-832.454492772312 -14.591907897307 -484.914378438453</f>
        <v>-1331.9607791080721</v>
      </c>
      <c r="H4179">
        <f>-828.988300094691 -14.3403535458579 -609.448569919672</f>
        <v>-1452.7772235602208</v>
      </c>
      <c r="I4179">
        <f>-794.13921852771 -7.67042064462839 -684.588899225148</f>
        <v>-1486.3985383974864</v>
      </c>
      <c r="J4179" t="s">
        <v>46678</v>
      </c>
      <c r="K4179" t="s">
        <v>46679</v>
      </c>
      <c r="L4179" t="s">
        <v>46680</v>
      </c>
      <c r="M4179" t="s">
        <v>46681</v>
      </c>
      <c r="N4179">
        <f>-824.285861090876 -41.4508700132258 -554.528392351606</f>
        <v>-1420.2651234557079</v>
      </c>
      <c r="O4179">
        <f>-793.790424147286 -171.912532968545 -523.744077517552</f>
        <v>-1489.4470346333828</v>
      </c>
      <c r="P4179">
        <f>-782.471298032982 -202.898568013159 -231.33512247307</f>
        <v>-1216.7049885192109</v>
      </c>
      <c r="Q4179">
        <f>-630.516773122861 -48.0522783600692 -336.136396151542</f>
        <v>-1014.7054476344722</v>
      </c>
      <c r="R4179" t="s">
        <v>46682</v>
      </c>
      <c r="S4179" t="s">
        <v>46683</v>
      </c>
      <c r="T4179" t="s">
        <v>46684</v>
      </c>
      <c r="U4179" t="s">
        <v>46685</v>
      </c>
      <c r="V4179">
        <f>-766.437221885477 -82.6392699383362 -92.3944086269127</f>
        <v>-941.47090045072582</v>
      </c>
      <c r="W4179" t="s">
        <v>46686</v>
      </c>
      <c r="X4179" t="s">
        <v>46687</v>
      </c>
      <c r="Y4179" t="s">
        <v>46688</v>
      </c>
    </row>
    <row r="4180" spans="1:25" x14ac:dyDescent="0.3">
      <c r="A4180">
        <v>208950</v>
      </c>
      <c r="B4180" t="s">
        <v>46689</v>
      </c>
      <c r="C4180" t="s">
        <v>46690</v>
      </c>
      <c r="D4180">
        <f>-819.61911415797 -4.62570344202595 -208.78948720303</f>
        <v>-1033.0343048030259</v>
      </c>
      <c r="E4180">
        <f>-828.136898139908 -10.148768564238 -306.889409227631</f>
        <v>-1145.175075931777</v>
      </c>
      <c r="F4180">
        <f>-832.425747629171 -13.2621632649625 -395.828540988088</f>
        <v>-1241.5164518822216</v>
      </c>
      <c r="G4180">
        <f>-832.919869099903 -14.4729805698025 -484.915682053313</f>
        <v>-1332.3085317230186</v>
      </c>
      <c r="H4180">
        <f>-829.593935458485 -14.2404012302004 -609.453672901044</f>
        <v>-1453.2880095897294</v>
      </c>
      <c r="I4180">
        <f>-794.774245655912 -7.61775426232316 -684.611858541467</f>
        <v>-1487.0038584597021</v>
      </c>
      <c r="J4180" t="s">
        <v>46691</v>
      </c>
      <c r="K4180" t="s">
        <v>46692</v>
      </c>
      <c r="L4180" t="s">
        <v>46693</v>
      </c>
      <c r="M4180" t="s">
        <v>46694</v>
      </c>
      <c r="N4180">
        <f>-824.842335814007 -41.345523753909 -554.535100443406</f>
        <v>-1420.7229600113219</v>
      </c>
      <c r="O4180">
        <f>-794.358562178199 -171.815903070106 -523.795372307662</f>
        <v>-1489.9698375559669</v>
      </c>
      <c r="P4180">
        <f>-782.82492657435 -202.832181998105 -231.398061683024</f>
        <v>-1217.055170255479</v>
      </c>
      <c r="Q4180">
        <f>-630.947747803078 -47.8912472310003 -336.171818974464</f>
        <v>-1015.0108140085422</v>
      </c>
      <c r="R4180" t="s">
        <v>46695</v>
      </c>
      <c r="S4180" t="s">
        <v>46696</v>
      </c>
      <c r="T4180" t="s">
        <v>46697</v>
      </c>
      <c r="U4180" t="s">
        <v>46698</v>
      </c>
      <c r="V4180">
        <f>-766.59511722381 -82.5332448472736 -92.4064468707476</f>
        <v>-941.53480894183122</v>
      </c>
      <c r="W4180" t="s">
        <v>46699</v>
      </c>
      <c r="X4180" t="s">
        <v>46700</v>
      </c>
      <c r="Y4180" t="s">
        <v>46701</v>
      </c>
    </row>
    <row r="4181" spans="1:25" x14ac:dyDescent="0.3">
      <c r="A4181">
        <v>209000</v>
      </c>
      <c r="B4181" t="s">
        <v>46702</v>
      </c>
      <c r="C4181" t="s">
        <v>46703</v>
      </c>
      <c r="D4181">
        <f>-820.097114956402 -4.24283898598219 -208.799603142069</f>
        <v>-1033.1395570844531</v>
      </c>
      <c r="E4181">
        <f>-828.743880737542 -9.78639473434419 -306.887187131857</f>
        <v>-1145.4174626037432</v>
      </c>
      <c r="F4181">
        <f>-833.168934129585 -12.9218544251096 -395.818821674274</f>
        <v>-1241.9096102289686</v>
      </c>
      <c r="G4181">
        <f>-833.818777121934 -14.1579479520387 -484.904669460262</f>
        <v>-1332.8813945342347</v>
      </c>
      <c r="H4181">
        <f>-830.730802983309 -13.9635872152976 -609.448807238539</f>
        <v>-1454.1431974371455</v>
      </c>
      <c r="I4181">
        <f>-795.936531726096 -7.38556032978795 -684.62273168532</f>
        <v>-1487.9448237412039</v>
      </c>
      <c r="J4181" t="s">
        <v>46704</v>
      </c>
      <c r="K4181" t="s">
        <v>46705</v>
      </c>
      <c r="L4181" t="s">
        <v>46706</v>
      </c>
      <c r="M4181" t="s">
        <v>46707</v>
      </c>
      <c r="N4181">
        <f>-825.886920984909 -41.0547067557836 -554.531479756862</f>
        <v>-1421.4731074975548</v>
      </c>
      <c r="O4181">
        <f>-795.421603275622 -171.545854557686 -523.842282350945</f>
        <v>-1490.8097401842529</v>
      </c>
      <c r="P4181">
        <f>-783.740837667985 -202.51212902236 -231.445468837123</f>
        <v>-1217.6984355274681</v>
      </c>
      <c r="Q4181">
        <f>-631.905949716779 -47.57545183298 -336.28655461923</f>
        <v>-1015.767956168989</v>
      </c>
      <c r="R4181" t="s">
        <v>46708</v>
      </c>
      <c r="S4181" t="s">
        <v>46709</v>
      </c>
      <c r="T4181" t="s">
        <v>46710</v>
      </c>
      <c r="U4181" t="s">
        <v>46711</v>
      </c>
      <c r="V4181">
        <f>-767.039333784763 -82.1744416655338 -92.4329172955028</f>
        <v>-941.64669274579956</v>
      </c>
      <c r="W4181" t="s">
        <v>46712</v>
      </c>
      <c r="X4181" t="s">
        <v>46713</v>
      </c>
      <c r="Y4181" t="s">
        <v>46714</v>
      </c>
    </row>
    <row r="4182" spans="1:25" x14ac:dyDescent="0.3">
      <c r="A4182">
        <v>209050</v>
      </c>
      <c r="B4182" t="s">
        <v>46715</v>
      </c>
      <c r="C4182" t="s">
        <v>46716</v>
      </c>
      <c r="D4182">
        <f>-820.319325711406 -4.02955275233057 -208.811951436423</f>
        <v>-1033.1608299001596</v>
      </c>
      <c r="E4182">
        <f>-829.00256422558 -9.56258971512739 -306.896807229033</f>
        <v>-1145.4619611697403</v>
      </c>
      <c r="F4182">
        <f>-833.467980728319 -12.6915070295254 -395.826458011177</f>
        <v>-1241.9859457690213</v>
      </c>
      <c r="G4182">
        <f>-834.165699879406 -13.9240180796944 -484.912186515545</f>
        <v>-1333.0019044746455</v>
      </c>
      <c r="H4182">
        <f>-831.152566195456 -13.7273279979679 -609.458042387788</f>
        <v>-1454.337936581212</v>
      </c>
      <c r="I4182">
        <f>-796.334341455532 -7.14151347453435 -684.620164920387</f>
        <v>-1488.0960198504533</v>
      </c>
      <c r="J4182" t="s">
        <v>46717</v>
      </c>
      <c r="K4182" t="s">
        <v>46718</v>
      </c>
      <c r="L4182" t="s">
        <v>46719</v>
      </c>
      <c r="M4182" t="s">
        <v>46720</v>
      </c>
      <c r="N4182">
        <f>-826.282964525688 -40.8212166718301 -554.544356181197</f>
        <v>-1421.6485373787152</v>
      </c>
      <c r="O4182">
        <f>-795.862053234351 -171.326359388924 -523.866705385651</f>
        <v>-1491.055118008926</v>
      </c>
      <c r="P4182">
        <f>-784.13775907144 -202.243470465586 -231.466503996338</f>
        <v>-1217.8477335333639</v>
      </c>
      <c r="Q4182">
        <f>-632.330323481309 -47.3128157831833 -336.356333415044</f>
        <v>-1015.9994726795363</v>
      </c>
      <c r="R4182" t="s">
        <v>46721</v>
      </c>
      <c r="S4182" t="s">
        <v>46722</v>
      </c>
      <c r="T4182" t="s">
        <v>46723</v>
      </c>
      <c r="U4182" t="s">
        <v>46724</v>
      </c>
      <c r="V4182">
        <f>-767.275137074533 -82.0084404789156 -92.4513337136445</f>
        <v>-941.73491126709314</v>
      </c>
      <c r="W4182" t="s">
        <v>46725</v>
      </c>
      <c r="X4182" t="s">
        <v>46726</v>
      </c>
      <c r="Y4182" t="s">
        <v>46727</v>
      </c>
    </row>
    <row r="4183" spans="1:25" x14ac:dyDescent="0.3">
      <c r="A4183">
        <v>209100</v>
      </c>
      <c r="B4183" t="s">
        <v>46728</v>
      </c>
      <c r="C4183" t="s">
        <v>46729</v>
      </c>
      <c r="D4183">
        <f>-820.662431699496 -3.57532166551573 -208.797977861831</f>
        <v>-1033.0357312268427</v>
      </c>
      <c r="E4183">
        <f>-829.341841814337 -9.06697434021976 -306.885566065083</f>
        <v>-1145.2943822196398</v>
      </c>
      <c r="F4183">
        <f>-833.784313612774 -12.1610898071865 -395.817845631263</f>
        <v>-1241.7632490512235</v>
      </c>
      <c r="G4183">
        <f>-834.439890063366 -13.361788356254 -484.903990602057</f>
        <v>-1332.7056690216768</v>
      </c>
      <c r="H4183">
        <f>-831.348242412855 -13.1234037005881 -609.447987470224</f>
        <v>-1453.9196335836673</v>
      </c>
      <c r="I4183">
        <f>-796.382753151685 -6.50153597824078 -684.538550892556</f>
        <v>-1487.422840022482</v>
      </c>
      <c r="J4183" t="s">
        <v>46730</v>
      </c>
      <c r="K4183" t="s">
        <v>46731</v>
      </c>
      <c r="L4183" t="s">
        <v>46732</v>
      </c>
      <c r="M4183" t="s">
        <v>46733</v>
      </c>
      <c r="N4183">
        <f>-826.530914102519 -40.2396834388735 -554.540725130988</f>
        <v>-1421.3113226723804</v>
      </c>
      <c r="O4183">
        <f>-796.218340639275 -170.775178446831 -523.887749073689</f>
        <v>-1490.8812681597949</v>
      </c>
      <c r="P4183">
        <f>-784.449647490246 -201.824497496414 -231.503343512353</f>
        <v>-1217.7774884990131</v>
      </c>
      <c r="Q4183">
        <f>-632.658321972174 -46.9134762975716 -336.445401693832</f>
        <v>-1016.0171999635777</v>
      </c>
      <c r="R4183" t="s">
        <v>46734</v>
      </c>
      <c r="S4183" t="s">
        <v>46735</v>
      </c>
      <c r="T4183" t="s">
        <v>46736</v>
      </c>
      <c r="U4183" t="s">
        <v>46737</v>
      </c>
      <c r="V4183">
        <f>-767.689579024468 -81.6013450415928 -92.4706765990171</f>
        <v>-941.76160066507794</v>
      </c>
      <c r="W4183" t="s">
        <v>46738</v>
      </c>
      <c r="X4183" t="s">
        <v>46739</v>
      </c>
      <c r="Y4183" t="s">
        <v>46740</v>
      </c>
    </row>
    <row r="4184" spans="1:25" x14ac:dyDescent="0.3">
      <c r="A4184">
        <v>209150</v>
      </c>
      <c r="B4184" t="s">
        <v>46741</v>
      </c>
      <c r="C4184" t="s">
        <v>46742</v>
      </c>
      <c r="D4184">
        <f>-820.775169811668 -3.36514497483404 -208.779864766445</f>
        <v>-1032.920179552947</v>
      </c>
      <c r="E4184">
        <f>-829.426982390771 -8.82846710546414 -306.871430349151</f>
        <v>-1145.1268798453862</v>
      </c>
      <c r="F4184">
        <f>-833.827439799119 -11.8959612152362 -395.80668315649</f>
        <v>-1241.5300841708452</v>
      </c>
      <c r="G4184">
        <f>-834.42405057446 -13.0689591632927 -484.893732049603</f>
        <v>-1332.3867417873557</v>
      </c>
      <c r="H4184">
        <f>-831.232047570735 -12.7915883476833 -609.435100813627</f>
        <v>-1453.4587367320451</v>
      </c>
      <c r="I4184">
        <f>-796.1882922912 -6.14615287147467 -684.487066248066</f>
        <v>-1486.8215114107406</v>
      </c>
      <c r="J4184" t="s">
        <v>46743</v>
      </c>
      <c r="K4184" t="s">
        <v>46744</v>
      </c>
      <c r="L4184" t="s">
        <v>46745</v>
      </c>
      <c r="M4184" t="s">
        <v>46746</v>
      </c>
      <c r="N4184">
        <f>-826.46772990973 -39.927150541492 -554.532601930789</f>
        <v>-1420.927482382011</v>
      </c>
      <c r="O4184">
        <f>-796.227030795057 -170.478842031261 -523.89467964404</f>
        <v>-1490.600552470358</v>
      </c>
      <c r="P4184">
        <f>-784.496851818858 -201.613489958384 -231.517841540089</f>
        <v>-1217.6281833173309</v>
      </c>
      <c r="Q4184">
        <f>-632.614489437616 -46.7848247384827 -336.449829617452</f>
        <v>-1015.8491437935508</v>
      </c>
      <c r="R4184" t="s">
        <v>46747</v>
      </c>
      <c r="S4184" t="s">
        <v>46748</v>
      </c>
      <c r="T4184" t="s">
        <v>46749</v>
      </c>
      <c r="U4184" t="s">
        <v>46750</v>
      </c>
      <c r="V4184">
        <f>-767.791964833299 -81.4440113842982 -92.4749718250634</f>
        <v>-941.71094804266056</v>
      </c>
      <c r="W4184" t="s">
        <v>46751</v>
      </c>
      <c r="X4184" t="s">
        <v>46752</v>
      </c>
      <c r="Y4184" t="s">
        <v>46753</v>
      </c>
    </row>
    <row r="4185" spans="1:25" x14ac:dyDescent="0.3">
      <c r="A4185">
        <v>209200</v>
      </c>
      <c r="B4185" t="s">
        <v>46754</v>
      </c>
      <c r="C4185" t="s">
        <v>46755</v>
      </c>
      <c r="D4185">
        <f>-820.846881879922 -3.29135482379638 -208.734808588725</f>
        <v>-1032.8730452924433</v>
      </c>
      <c r="E4185">
        <f>-829.443300102905 -8.70741188167563 -306.833862154046</f>
        <v>-1144.9845741386266</v>
      </c>
      <c r="F4185">
        <f>-833.75809600988 -11.7226685098356 -395.77497177392</f>
        <v>-1241.2557362936354</v>
      </c>
      <c r="G4185">
        <f>-834.23318429168 -12.8350746990732 -484.863591983424</f>
        <v>-1331.9318509741772</v>
      </c>
      <c r="H4185">
        <f>-830.833696574863 -12.4650705539393 -609.399321698083</f>
        <v>-1452.6980888268854</v>
      </c>
      <c r="I4185">
        <f>-795.660375517289 -5.80094757132838 -684.388948866755</f>
        <v>-1485.8502719553724</v>
      </c>
      <c r="J4185" t="s">
        <v>46756</v>
      </c>
      <c r="K4185" t="s">
        <v>46757</v>
      </c>
      <c r="L4185" t="s">
        <v>46758</v>
      </c>
      <c r="M4185" t="s">
        <v>46759</v>
      </c>
      <c r="N4185">
        <f>-826.178199008489 -39.6453345702291 -554.509645369225</f>
        <v>-1420.333178947943</v>
      </c>
      <c r="O4185">
        <f>-796.061286040851 -170.242082939322 -523.926899604547</f>
        <v>-1490.2302685847199</v>
      </c>
      <c r="P4185">
        <f>-784.496686524249 -201.525439393442 -231.559339157697</f>
        <v>-1217.581465075388</v>
      </c>
      <c r="Q4185">
        <f>-632.315441060182 -46.9533506786054 -336.436371671336</f>
        <v>-1015.7051634101234</v>
      </c>
      <c r="R4185" t="s">
        <v>46760</v>
      </c>
      <c r="S4185" t="s">
        <v>46761</v>
      </c>
      <c r="T4185" t="s">
        <v>46762</v>
      </c>
      <c r="U4185" t="s">
        <v>46763</v>
      </c>
      <c r="V4185">
        <f>-767.864310228599 -81.5117433912608 -92.4585722939014</f>
        <v>-941.83462591376122</v>
      </c>
      <c r="W4185" t="s">
        <v>46764</v>
      </c>
      <c r="X4185" t="s">
        <v>46765</v>
      </c>
      <c r="Y4185" t="s">
        <v>46766</v>
      </c>
    </row>
    <row r="4186" spans="1:25" x14ac:dyDescent="0.3">
      <c r="A4186">
        <v>209250</v>
      </c>
      <c r="B4186" t="s">
        <v>46767</v>
      </c>
      <c r="C4186" t="s">
        <v>46768</v>
      </c>
      <c r="D4186">
        <f>-820.840958307331 -3.20325022323186 -208.713829799433</f>
        <v>-1032.7580383299958</v>
      </c>
      <c r="E4186">
        <f>-829.401126339678 -8.60091607160393 -306.817164810647</f>
        <v>-1144.819207221929</v>
      </c>
      <c r="F4186">
        <f>-833.668844931922 -11.5994145262971 -395.761183800738</f>
        <v>-1241.0294432589571</v>
      </c>
      <c r="G4186">
        <f>-834.082173384133 -12.6952724637492 -484.850166770305</f>
        <v>-1331.6276126181872</v>
      </c>
      <c r="H4186">
        <f>-830.581234708356 -12.3027809809571 -609.382903891337</f>
        <v>-1452.2669195806502</v>
      </c>
      <c r="I4186">
        <f>-795.354900573342 -5.64416970405 -684.34834650978</f>
        <v>-1485.3474167871718</v>
      </c>
      <c r="J4186" t="s">
        <v>46769</v>
      </c>
      <c r="K4186" t="s">
        <v>46770</v>
      </c>
      <c r="L4186" t="s">
        <v>46771</v>
      </c>
      <c r="M4186" t="s">
        <v>46772</v>
      </c>
      <c r="N4186">
        <f>-825.979165112692 -39.4950323638272 -554.494733453404</f>
        <v>-1419.9689309299233</v>
      </c>
      <c r="O4186">
        <f>-795.918839213543 -170.10791252149 -523.930143018388</f>
        <v>-1489.956894753421</v>
      </c>
      <c r="P4186">
        <f>-784.334484529122 -201.460292766263 -231.570629248775</f>
        <v>-1217.3654065441601</v>
      </c>
      <c r="Q4186">
        <f>-632.049502758463 -46.9843834449026 -336.438797578713</f>
        <v>-1015.4726837820785</v>
      </c>
      <c r="R4186" t="s">
        <v>46773</v>
      </c>
      <c r="S4186" t="s">
        <v>46774</v>
      </c>
      <c r="T4186" t="s">
        <v>46775</v>
      </c>
      <c r="U4186" t="s">
        <v>46776</v>
      </c>
      <c r="V4186">
        <f>-767.90752583255 -81.3795955918902 -92.4491697675273</f>
        <v>-941.73629119196755</v>
      </c>
      <c r="W4186" t="s">
        <v>46777</v>
      </c>
      <c r="X4186" t="s">
        <v>46778</v>
      </c>
      <c r="Y4186" t="s">
        <v>46779</v>
      </c>
    </row>
    <row r="4187" spans="1:25" x14ac:dyDescent="0.3">
      <c r="A4187">
        <v>209300</v>
      </c>
      <c r="B4187" t="s">
        <v>46780</v>
      </c>
      <c r="C4187" t="s">
        <v>46781</v>
      </c>
      <c r="D4187">
        <f>-820.938442261609 -2.89412729252945 -208.688402000895</f>
        <v>-1032.5209715550334</v>
      </c>
      <c r="E4187">
        <f>-829.416473114592 -8.27569174837936 -306.799643043379</f>
        <v>-1144.4918079063505</v>
      </c>
      <c r="F4187">
        <f>-833.588104870275 -11.2620620249143 -395.748659614126</f>
        <v>-1240.5988265093151</v>
      </c>
      <c r="G4187">
        <f>-833.883282287446 -12.3496363439479 -484.838307860446</f>
        <v>-1331.0712264918398</v>
      </c>
      <c r="H4187">
        <f>-830.193774743104 -11.9508751388469 -609.365568987157</f>
        <v>-1451.5102188691078</v>
      </c>
      <c r="I4187">
        <f>-794.904200800065 -5.35609782223469 -684.30673807701</f>
        <v>-1484.5670366993097</v>
      </c>
      <c r="J4187" t="s">
        <v>46782</v>
      </c>
      <c r="K4187" t="s">
        <v>46783</v>
      </c>
      <c r="L4187" t="s">
        <v>46784</v>
      </c>
      <c r="M4187" t="s">
        <v>46785</v>
      </c>
      <c r="N4187">
        <f>-825.707124942556 -39.1530712002943 -554.472756180376</f>
        <v>-1419.3329523232264</v>
      </c>
      <c r="O4187">
        <f>-795.784894739004 -169.790859436943 -523.893690872411</f>
        <v>-1489.469445048358</v>
      </c>
      <c r="P4187">
        <f>-784.039518479407 -201.162391790339 -231.542634941928</f>
        <v>-1216.744545211674</v>
      </c>
      <c r="Q4187">
        <f>-631.655868824877 -46.8834380633142 -336.557526416259</f>
        <v>-1015.0968333044502</v>
      </c>
      <c r="R4187" t="s">
        <v>46786</v>
      </c>
      <c r="S4187" t="s">
        <v>46787</v>
      </c>
      <c r="T4187" t="s">
        <v>46788</v>
      </c>
      <c r="U4187" t="s">
        <v>46789</v>
      </c>
      <c r="V4187">
        <f>-768.065887728699 -81.0850857779502 -92.4307881347225</f>
        <v>-941.58176164137171</v>
      </c>
      <c r="W4187" t="s">
        <v>46790</v>
      </c>
      <c r="X4187" t="s">
        <v>46791</v>
      </c>
      <c r="Y4187" t="s">
        <v>46792</v>
      </c>
    </row>
    <row r="4188" spans="1:25" x14ac:dyDescent="0.3">
      <c r="A4188">
        <v>209350</v>
      </c>
      <c r="B4188" t="s">
        <v>46793</v>
      </c>
      <c r="C4188" t="s">
        <v>46794</v>
      </c>
      <c r="D4188">
        <f>-820.964167934836 -2.7847124226987 -208.68858578548</f>
        <v>-1032.4374661430147</v>
      </c>
      <c r="E4188">
        <f>-829.400781352632 -8.16591940335593 -306.803482043461</f>
        <v>-1144.3701827994489</v>
      </c>
      <c r="F4188">
        <f>-833.524935094642 -11.1572559634246 -395.754525100418</f>
        <v>-1240.4367161584846</v>
      </c>
      <c r="G4188">
        <f>-833.762484370251 -12.2559201946613 -484.844205751433</f>
        <v>-1330.8626103163451</v>
      </c>
      <c r="H4188">
        <f>-829.981940957007 -11.8794306812824 -609.368850406136</f>
        <v>-1451.2302220444253</v>
      </c>
      <c r="I4188">
        <f>-794.666556704243 -5.3669579720065 -684.305002338002</f>
        <v>-1484.3385170142515</v>
      </c>
      <c r="J4188" t="s">
        <v>46795</v>
      </c>
      <c r="K4188" t="s">
        <v>46796</v>
      </c>
      <c r="L4188" t="s">
        <v>46797</v>
      </c>
      <c r="M4188" t="s">
        <v>46798</v>
      </c>
      <c r="N4188">
        <f>-825.554112242861 -39.0760665250066 -554.468497648627</f>
        <v>-1419.0986764164945</v>
      </c>
      <c r="O4188">
        <f>-795.713129805851 -169.730752447876 -523.851725745613</f>
        <v>-1489.2956079993401</v>
      </c>
      <c r="P4188">
        <f>-783.948548896749 -201.023557793562 -231.493121737023</f>
        <v>-1216.4652284273338</v>
      </c>
      <c r="Q4188">
        <f>-631.499021357293 -46.8670749480208 -336.591996906623</f>
        <v>-1014.9580932119368</v>
      </c>
      <c r="R4188" t="s">
        <v>46799</v>
      </c>
      <c r="S4188" t="s">
        <v>46800</v>
      </c>
      <c r="T4188" t="s">
        <v>46801</v>
      </c>
      <c r="U4188" t="s">
        <v>46802</v>
      </c>
      <c r="V4188">
        <f>-768.133922070016 -81.0277809351751 -92.4291988780431</f>
        <v>-941.5909018832341</v>
      </c>
      <c r="W4188" t="s">
        <v>46803</v>
      </c>
      <c r="X4188" t="s">
        <v>46804</v>
      </c>
      <c r="Y4188" t="s">
        <v>46805</v>
      </c>
    </row>
    <row r="4189" spans="1:25" x14ac:dyDescent="0.3">
      <c r="A4189">
        <v>209400</v>
      </c>
      <c r="B4189" t="s">
        <v>46806</v>
      </c>
      <c r="C4189" t="s">
        <v>46807</v>
      </c>
      <c r="D4189">
        <f>-820.969121269253 -2.76772248493785 -208.677098074314</f>
        <v>-1032.4139418285049</v>
      </c>
      <c r="E4189">
        <f>-829.356006795431 -8.16118068177229 -306.795509948602</f>
        <v>-1144.3126974258053</v>
      </c>
      <c r="F4189">
        <f>-833.413993710973 -11.1762753856867 -395.748651593282</f>
        <v>-1240.3389206899417</v>
      </c>
      <c r="G4189">
        <f>-833.564074191501 -12.3129602888976 -484.838139010333</f>
        <v>-1330.7151734907316</v>
      </c>
      <c r="H4189">
        <f>-829.638676793209 -12.0053798006093 -609.358465588027</f>
        <v>-1451.0025221818453</v>
      </c>
      <c r="I4189">
        <f>-794.271268088785 -5.77623292996054 -684.294283839383</f>
        <v>-1484.3417848581284</v>
      </c>
      <c r="J4189" t="s">
        <v>46808</v>
      </c>
      <c r="K4189" t="s">
        <v>46809</v>
      </c>
      <c r="L4189" t="s">
        <v>46810</v>
      </c>
      <c r="M4189" t="s">
        <v>46811</v>
      </c>
      <c r="N4189">
        <f>-825.320928337555 -39.1821537627354 -554.439478580848</f>
        <v>-1418.9425606811383</v>
      </c>
      <c r="O4189">
        <f>-795.699065713289 -169.863124303289 -523.728515068013</f>
        <v>-1489.2907050845911</v>
      </c>
      <c r="P4189">
        <f>-783.99524548345 -201.00852075396 -231.351837521675</f>
        <v>-1216.3556037590849</v>
      </c>
      <c r="Q4189">
        <f>-631.310822446044 -47.214118788722 -336.640073031116</f>
        <v>-1015.165014265882</v>
      </c>
      <c r="R4189" t="s">
        <v>46812</v>
      </c>
      <c r="S4189" t="s">
        <v>46813</v>
      </c>
      <c r="T4189" t="s">
        <v>46814</v>
      </c>
      <c r="U4189" t="s">
        <v>46815</v>
      </c>
      <c r="V4189">
        <f>-768.210439407538 -81.1264415822935 -92.4170912317629</f>
        <v>-941.75397222159449</v>
      </c>
      <c r="W4189" t="s">
        <v>46816</v>
      </c>
      <c r="X4189" t="s">
        <v>46817</v>
      </c>
      <c r="Y4189" t="s">
        <v>46818</v>
      </c>
    </row>
    <row r="4190" spans="1:25" x14ac:dyDescent="0.3">
      <c r="A4190">
        <v>209450</v>
      </c>
      <c r="B4190" t="s">
        <v>46819</v>
      </c>
      <c r="C4190" t="s">
        <v>46820</v>
      </c>
      <c r="D4190">
        <f>-821.0072933929 -2.69883662943198 -208.666327415973</f>
        <v>-1032.372457438305</v>
      </c>
      <c r="E4190">
        <f>-829.371060713853 -8.09704530100112 -306.786530758529</f>
        <v>-1144.254636773383</v>
      </c>
      <c r="F4190">
        <f>-833.39766716811 -11.1236212196297 -395.74073299486</f>
        <v>-1240.2620213825999</v>
      </c>
      <c r="G4190">
        <f>-833.50584529036 -12.2795232987712 -484.829993638936</f>
        <v>-1330.6153622280672</v>
      </c>
      <c r="H4190">
        <f>-829.511189751166 -12.0074996185731 -609.348206812865</f>
        <v>-1450.866896182604</v>
      </c>
      <c r="I4190">
        <f>-794.111140495113 -5.92151629412479 -684.280326675141</f>
        <v>-1484.3129834643787</v>
      </c>
      <c r="J4190" t="s">
        <v>46821</v>
      </c>
      <c r="K4190" t="s">
        <v>46822</v>
      </c>
      <c r="L4190" t="s">
        <v>46823</v>
      </c>
      <c r="M4190" t="s">
        <v>46824</v>
      </c>
      <c r="N4190">
        <f>-825.246845218713 -39.1736376379793 -554.419793792861</f>
        <v>-1418.8402766495533</v>
      </c>
      <c r="O4190">
        <f>-795.754626890128 -169.872923075923 -523.663777659687</f>
        <v>-1489.2913276257379</v>
      </c>
      <c r="P4190">
        <f>-784.080784992022 -200.932981773333 -231.276528668912</f>
        <v>-1216.2902954342671</v>
      </c>
      <c r="Q4190">
        <f>-631.240628765422 -47.3651636411716 -336.669505905038</f>
        <v>-1015.2752983116317</v>
      </c>
      <c r="R4190" t="s">
        <v>46825</v>
      </c>
      <c r="S4190" t="s">
        <v>46826</v>
      </c>
      <c r="T4190" t="s">
        <v>46827</v>
      </c>
      <c r="U4190" t="s">
        <v>46828</v>
      </c>
      <c r="V4190">
        <f>-768.292790244781 -81.0688079367446 -92.4057239799404</f>
        <v>-941.76732216146604</v>
      </c>
      <c r="W4190" t="s">
        <v>46829</v>
      </c>
      <c r="X4190" t="s">
        <v>46830</v>
      </c>
      <c r="Y4190" t="s">
        <v>46831</v>
      </c>
    </row>
    <row r="4191" spans="1:25" x14ac:dyDescent="0.3">
      <c r="A4191">
        <v>209500</v>
      </c>
      <c r="B4191" t="s">
        <v>46832</v>
      </c>
      <c r="C4191" t="s">
        <v>46833</v>
      </c>
      <c r="D4191">
        <f>-821.13068830099 -2.44910634161079 -208.632435261021</f>
        <v>-1032.2122299036218</v>
      </c>
      <c r="E4191">
        <f>-829.467242310393 -7.85471159609619 -306.754630748832</f>
        <v>-1144.0765846553213</v>
      </c>
      <c r="F4191">
        <f>-833.449433801851 -10.9004683776848 -395.710161069206</f>
        <v>-1240.0600632487417</v>
      </c>
      <c r="G4191">
        <f>-833.493314459811 -12.0895573481976 -484.799025543458</f>
        <v>-1330.3818973514667</v>
      </c>
      <c r="H4191">
        <f>-829.387959918752 -11.8792313104545 -609.313735943731</f>
        <v>-1450.5809271729377</v>
      </c>
      <c r="I4191">
        <f>-793.91733776002 -5.97007167795596 -684.226655417055</f>
        <v>-1484.1140648550308</v>
      </c>
      <c r="J4191" t="s">
        <v>46834</v>
      </c>
      <c r="K4191" t="s">
        <v>46835</v>
      </c>
      <c r="L4191" t="s">
        <v>46836</v>
      </c>
      <c r="M4191" t="s">
        <v>46837</v>
      </c>
      <c r="N4191">
        <f>-825.218886748105 -39.0284207138893 -554.369578637559</f>
        <v>-1418.6168860995533</v>
      </c>
      <c r="O4191">
        <f>-796.005696262631 -169.763503497419 -523.497618528489</f>
        <v>-1489.2668182885391</v>
      </c>
      <c r="P4191">
        <f>-784.433380211082 -200.655517767708 -231.088687337333</f>
        <v>-1216.177585316123</v>
      </c>
      <c r="Q4191">
        <f>-631.250464295429 -47.5942780038412 -336.720627641196</f>
        <v>-1015.5653699404661</v>
      </c>
      <c r="R4191" t="s">
        <v>46838</v>
      </c>
      <c r="S4191" t="s">
        <v>46839</v>
      </c>
      <c r="T4191" t="s">
        <v>46840</v>
      </c>
      <c r="U4191" t="s">
        <v>46841</v>
      </c>
      <c r="V4191">
        <f>-768.510685193377 -80.8521785274017 -92.3886757625246</f>
        <v>-941.7515394833033</v>
      </c>
      <c r="W4191" t="s">
        <v>46842</v>
      </c>
      <c r="X4191" t="s">
        <v>46843</v>
      </c>
      <c r="Y4191" t="s">
        <v>46844</v>
      </c>
    </row>
    <row r="4192" spans="1:25" x14ac:dyDescent="0.3">
      <c r="A4192">
        <v>209550</v>
      </c>
      <c r="B4192" t="s">
        <v>46845</v>
      </c>
      <c r="C4192" t="s">
        <v>46846</v>
      </c>
      <c r="D4192">
        <f>-821.168411701662 -2.43582664091241 -208.63742817546</f>
        <v>-1032.2416665180344</v>
      </c>
      <c r="E4192">
        <f>-829.48688970112 -7.84265421819441 -306.760836350075</f>
        <v>-1144.0903802693895</v>
      </c>
      <c r="F4192">
        <f>-833.44109255286 -10.8950689539997 -395.717548671037</f>
        <v>-1240.0537101778968</v>
      </c>
      <c r="G4192">
        <f>-833.445629179631 -12.0966121568511 -484.806262076401</f>
        <v>-1330.348503412883</v>
      </c>
      <c r="H4192">
        <f>-829.273714707784 -11.9099448164438 -609.318810887583</f>
        <v>-1450.5024704118109</v>
      </c>
      <c r="I4192">
        <f>-793.758413150706 -6.03510765839201 -684.213271240557</f>
        <v>-1484.0067920496549</v>
      </c>
      <c r="J4192" t="s">
        <v>46847</v>
      </c>
      <c r="K4192" t="s">
        <v>46848</v>
      </c>
      <c r="L4192" t="s">
        <v>46849</v>
      </c>
      <c r="M4192" t="s">
        <v>46850</v>
      </c>
      <c r="N4192">
        <f>-825.150882730245 -39.0524829299241 -554.367824201145</f>
        <v>-1418.571189861314</v>
      </c>
      <c r="O4192">
        <f>-796.052143672614 -169.793823131538 -523.42622301683</f>
        <v>-1489.272189820982</v>
      </c>
      <c r="P4192">
        <f>-784.510105654405 -200.575951349 -231.004499020437</f>
        <v>-1216.0905560238421</v>
      </c>
      <c r="Q4192">
        <f>-631.164571705745 -47.7530771809816 -336.745654708546</f>
        <v>-1015.6633035952725</v>
      </c>
      <c r="R4192" t="s">
        <v>46851</v>
      </c>
      <c r="S4192" t="s">
        <v>46852</v>
      </c>
      <c r="T4192" t="s">
        <v>46853</v>
      </c>
      <c r="U4192" t="s">
        <v>46854</v>
      </c>
      <c r="V4192">
        <f>-768.561980431101 -80.9229801278751 -92.3889425723304</f>
        <v>-941.87390313130652</v>
      </c>
      <c r="W4192" t="s">
        <v>46855</v>
      </c>
      <c r="X4192" t="s">
        <v>46856</v>
      </c>
      <c r="Y4192" t="s">
        <v>46857</v>
      </c>
    </row>
    <row r="4193" spans="1:25" x14ac:dyDescent="0.3">
      <c r="A4193">
        <v>209600</v>
      </c>
      <c r="B4193" t="s">
        <v>46858</v>
      </c>
      <c r="C4193" t="s">
        <v>46859</v>
      </c>
      <c r="D4193">
        <f>-821.286788834685 -2.32682415332511 -208.654768674699</f>
        <v>-1032.2683816627091</v>
      </c>
      <c r="E4193">
        <f>-829.588363267354 -7.7491255155976 -306.778756296082</f>
        <v>-1144.1162450790337</v>
      </c>
      <c r="F4193">
        <f>-833.516008242351 -10.8267134991204 -395.73578208057</f>
        <v>-1240.0785038220413</v>
      </c>
      <c r="G4193">
        <f>-833.482940225258 -12.0646089974102 -484.824066777554</f>
        <v>-1330.3716160002223</v>
      </c>
      <c r="H4193">
        <f>-829.247176895633 -11.9402665003063 -609.334514972499</f>
        <v>-1450.5219583684384</v>
      </c>
      <c r="I4193">
        <f>-793.611852184007 -6.06366518442746 -684.171632994962</f>
        <v>-1483.8471503633964</v>
      </c>
      <c r="J4193" t="s">
        <v>46860</v>
      </c>
      <c r="K4193" t="s">
        <v>46861</v>
      </c>
      <c r="L4193" t="s">
        <v>46862</v>
      </c>
      <c r="M4193" t="s">
        <v>46863</v>
      </c>
      <c r="N4193">
        <f>-825.164440668154 -39.0577384628582 -554.368321784451</f>
        <v>-1418.5905009154633</v>
      </c>
      <c r="O4193">
        <f>-796.212336511126 -169.801443671466 -523.279320209083</f>
        <v>-1489.2931003916751</v>
      </c>
      <c r="P4193">
        <f>-784.809899033328 -200.341981107994 -230.826726705363</f>
        <v>-1215.9786068466849</v>
      </c>
      <c r="Q4193">
        <f>-631.292489259265 -47.8197452374976 -336.752508640509</f>
        <v>-1015.8647431372717</v>
      </c>
      <c r="R4193" t="s">
        <v>46864</v>
      </c>
      <c r="S4193" t="s">
        <v>46865</v>
      </c>
      <c r="T4193" t="s">
        <v>46866</v>
      </c>
      <c r="U4193" t="s">
        <v>46867</v>
      </c>
      <c r="V4193">
        <f>-768.769275285461 -80.7417347089784 -92.4040844072055</f>
        <v>-941.91509440164486</v>
      </c>
      <c r="W4193" t="s">
        <v>46868</v>
      </c>
      <c r="X4193" t="s">
        <v>46869</v>
      </c>
      <c r="Y4193" t="s">
        <v>46870</v>
      </c>
    </row>
    <row r="4194" spans="1:25" x14ac:dyDescent="0.3">
      <c r="A4194">
        <v>209650</v>
      </c>
      <c r="B4194" t="s">
        <v>46871</v>
      </c>
      <c r="C4194" t="s">
        <v>46872</v>
      </c>
      <c r="D4194">
        <f>-821.295603008801 -2.32000810865429 -208.637888261519</f>
        <v>-1032.2534993789743</v>
      </c>
      <c r="E4194">
        <f>-829.59129236425 -7.74316885228745 -306.762549267332</f>
        <v>-1144.0970104838693</v>
      </c>
      <c r="F4194">
        <f>-833.509258983289 -10.8252175763892 -395.719804341052</f>
        <v>-1240.0542809007302</v>
      </c>
      <c r="G4194">
        <f>-833.46247310728 -12.0710579227434 -484.807885698127</f>
        <v>-1330.3414167281503</v>
      </c>
      <c r="H4194">
        <f>-829.20356862827 -11.9612916084543 -609.317442672667</f>
        <v>-1450.4823029093914</v>
      </c>
      <c r="I4194">
        <f>-793.490808972734 -6.05988577400694 -684.115963859591</f>
        <v>-1483.666658606332</v>
      </c>
      <c r="J4194" t="s">
        <v>46873</v>
      </c>
      <c r="K4194" t="s">
        <v>46874</v>
      </c>
      <c r="L4194" t="s">
        <v>46875</v>
      </c>
      <c r="M4194" t="s">
        <v>46876</v>
      </c>
      <c r="N4194">
        <f>-825.128505805786 -39.0719280219091 -554.347360611735</f>
        <v>-1418.5477944394302</v>
      </c>
      <c r="O4194">
        <f>-796.218519581991 -169.80952267351 -523.20425424287</f>
        <v>-1489.2322964983709</v>
      </c>
      <c r="P4194">
        <f>-784.821809486589 -200.267844124243 -230.742837923049</f>
        <v>-1215.832491533881</v>
      </c>
      <c r="Q4194">
        <f>-631.264132430471 -47.8382428809456 -336.743395618557</f>
        <v>-1015.8457709299736</v>
      </c>
      <c r="R4194" t="s">
        <v>46877</v>
      </c>
      <c r="S4194" t="s">
        <v>46878</v>
      </c>
      <c r="T4194" t="s">
        <v>46879</v>
      </c>
      <c r="U4194" t="s">
        <v>46880</v>
      </c>
      <c r="V4194">
        <f>-768.78854336847 -80.7707115587356 -92.4026426531749</f>
        <v>-941.96189758038042</v>
      </c>
      <c r="W4194" t="s">
        <v>46881</v>
      </c>
      <c r="X4194" t="s">
        <v>46882</v>
      </c>
      <c r="Y4194" t="s">
        <v>46883</v>
      </c>
    </row>
    <row r="4195" spans="1:25" x14ac:dyDescent="0.3">
      <c r="A4195">
        <v>209700</v>
      </c>
      <c r="B4195" t="s">
        <v>46884</v>
      </c>
      <c r="C4195" t="s">
        <v>46885</v>
      </c>
      <c r="D4195">
        <f>-821.33261001176 -2.38755640053864 -208.617107692984</f>
        <v>-1032.3372741052826</v>
      </c>
      <c r="E4195">
        <f>-829.639484816604 -7.81340683489248 -306.740456922062</f>
        <v>-1144.1933485735585</v>
      </c>
      <c r="F4195">
        <f>-833.556812855876 -10.9004722788879 -395.697611840137</f>
        <v>-1240.154896974901</v>
      </c>
      <c r="G4195">
        <f>-833.498752588239 -12.1539718156498 -484.78565581235</f>
        <v>-1330.4383802162388</v>
      </c>
      <c r="H4195">
        <f>-829.212901009295 -12.0577543752304 -609.294357453554</f>
        <v>-1450.5650128380794</v>
      </c>
      <c r="I4195">
        <f>-793.439651563763 -6.14561362411769 -684.062998540768</f>
        <v>-1483.6482637286488</v>
      </c>
      <c r="J4195" t="s">
        <v>46886</v>
      </c>
      <c r="K4195" t="s">
        <v>46887</v>
      </c>
      <c r="L4195" t="s">
        <v>46888</v>
      </c>
      <c r="M4195" t="s">
        <v>46889</v>
      </c>
      <c r="N4195">
        <f>-825.149556942062 -39.1623337678716 -554.320348340735</f>
        <v>-1418.6322390506684</v>
      </c>
      <c r="O4195">
        <f>-796.260161333093 -169.893412252424 -523.142104290772</f>
        <v>-1489.2956778762891</v>
      </c>
      <c r="P4195">
        <f>-784.806578630788 -200.33485518035 -230.681254565459</f>
        <v>-1215.8226883765969</v>
      </c>
      <c r="Q4195">
        <f>-631.245471212767 -47.9509282980293 -336.742518599627</f>
        <v>-1015.9389181104234</v>
      </c>
      <c r="R4195" t="s">
        <v>46890</v>
      </c>
      <c r="S4195" t="s">
        <v>46891</v>
      </c>
      <c r="T4195" t="s">
        <v>46892</v>
      </c>
      <c r="U4195" t="s">
        <v>46893</v>
      </c>
      <c r="V4195">
        <f>-768.802019823253 -80.8623183087682 -92.4032954113507</f>
        <v>-942.06763354337181</v>
      </c>
      <c r="W4195" t="s">
        <v>46894</v>
      </c>
      <c r="X4195" t="s">
        <v>46895</v>
      </c>
      <c r="Y4195" t="s">
        <v>46896</v>
      </c>
    </row>
    <row r="4196" spans="1:25" x14ac:dyDescent="0.3">
      <c r="A4196">
        <v>209750</v>
      </c>
      <c r="B4196" t="s">
        <v>46897</v>
      </c>
      <c r="C4196" t="s">
        <v>46898</v>
      </c>
      <c r="D4196">
        <f>-821.422793274074 -2.72519920947229 -208.609257113636</f>
        <v>-1032.7572495971824</v>
      </c>
      <c r="E4196">
        <f>-829.738043851111 -8.15965891622727 -306.73149259533</f>
        <v>-1144.6291953626683</v>
      </c>
      <c r="F4196">
        <f>-833.639850123434 -11.2519093723895 -395.689063304838</f>
        <v>-1240.5808228006615</v>
      </c>
      <c r="G4196">
        <f>-833.54329209926 -12.5080760970586 -484.776921198265</f>
        <v>-1330.8282893945836</v>
      </c>
      <c r="H4196">
        <f>-829.179920768835 -12.4129952351996 -609.283050035566</f>
        <v>-1450.8759660396006</v>
      </c>
      <c r="I4196">
        <f>-793.338165045868 -6.42923540195829 -684.013314238522</f>
        <v>-1483.7807146863483</v>
      </c>
      <c r="J4196" t="s">
        <v>46899</v>
      </c>
      <c r="K4196" t="s">
        <v>46900</v>
      </c>
      <c r="L4196" t="s">
        <v>46901</v>
      </c>
      <c r="M4196" t="s">
        <v>46902</v>
      </c>
      <c r="N4196">
        <f>-825.132192801948 -39.5130466559058 -554.305673447456</f>
        <v>-1418.9509129053099</v>
      </c>
      <c r="O4196">
        <f>-796.20242787121 -170.22401692497 -523.089377648635</f>
        <v>-1489.5158224448151</v>
      </c>
      <c r="P4196">
        <f>-784.722047970796 -200.672720142044 -230.630264493455</f>
        <v>-1216.0250326062951</v>
      </c>
      <c r="Q4196">
        <f>-631.299786576929 -48.2124038169617 -336.78274341172</f>
        <v>-1016.2949338056108</v>
      </c>
      <c r="R4196" t="s">
        <v>46903</v>
      </c>
      <c r="S4196" t="s">
        <v>46904</v>
      </c>
      <c r="T4196" t="s">
        <v>46905</v>
      </c>
      <c r="U4196" t="s">
        <v>46906</v>
      </c>
      <c r="V4196">
        <f>-768.72308798465 -81.3216698334916 -92.408768353077</f>
        <v>-942.45352617121853</v>
      </c>
      <c r="W4196" t="s">
        <v>46907</v>
      </c>
      <c r="X4196" t="s">
        <v>46908</v>
      </c>
      <c r="Y4196" t="s">
        <v>46909</v>
      </c>
    </row>
    <row r="4197" spans="1:25" x14ac:dyDescent="0.3">
      <c r="A4197">
        <v>209800</v>
      </c>
      <c r="B4197" t="s">
        <v>46910</v>
      </c>
      <c r="C4197" t="s">
        <v>46911</v>
      </c>
      <c r="D4197">
        <f>-821.408615498142 -3.09062868039314 -208.565276863112</f>
        <v>-1033.0645210416471</v>
      </c>
      <c r="E4197">
        <f>-829.715098779473 -8.51466204599001 -306.688928493969</f>
        <v>-1144.9186893194319</v>
      </c>
      <c r="F4197">
        <f>-833.602116472127 -11.5785302793711 -395.648197550452</f>
        <v>-1240.8288443019501</v>
      </c>
      <c r="G4197">
        <f>-833.483750787561 -12.7866328673456 -484.736646816515</f>
        <v>-1331.0070304714216</v>
      </c>
      <c r="H4197">
        <f>-829.082206728699 -12.6034401646173 -609.241373261741</f>
        <v>-1450.9270201550573</v>
      </c>
      <c r="I4197">
        <f>-793.230347411053 -6.46738316574169 -683.954326716474</f>
        <v>-1483.6520572932686</v>
      </c>
      <c r="J4197" t="s">
        <v>46912</v>
      </c>
      <c r="K4197" t="s">
        <v>46913</v>
      </c>
      <c r="L4197" t="s">
        <v>46914</v>
      </c>
      <c r="M4197" t="s">
        <v>46915</v>
      </c>
      <c r="N4197">
        <f>-825.022190622925 -39.7357751199004 -554.280865482751</f>
        <v>-1419.0388312255764</v>
      </c>
      <c r="O4197">
        <f>-795.902875505005 -170.41030884596 -523.077825048352</f>
        <v>-1489.391009399317</v>
      </c>
      <c r="P4197">
        <f>-784.318342551359 -200.865596691187 -230.623656687696</f>
        <v>-1215.8075959302421</v>
      </c>
      <c r="Q4197">
        <f>-631.205826166106 -48.2023746902538 -336.931544852547</f>
        <v>-1016.3397457089068</v>
      </c>
      <c r="R4197" t="s">
        <v>46916</v>
      </c>
      <c r="S4197" t="s">
        <v>46917</v>
      </c>
      <c r="T4197" t="s">
        <v>46918</v>
      </c>
      <c r="U4197" t="s">
        <v>46919</v>
      </c>
      <c r="V4197">
        <f>-768.70148009016 -81.5449459194141 -92.3643638477847</f>
        <v>-942.61078985735878</v>
      </c>
      <c r="W4197" t="s">
        <v>46920</v>
      </c>
      <c r="X4197" t="s">
        <v>46921</v>
      </c>
      <c r="Y4197" t="s">
        <v>46922</v>
      </c>
    </row>
    <row r="4198" spans="1:25" x14ac:dyDescent="0.3">
      <c r="A4198">
        <v>209850</v>
      </c>
      <c r="B4198" t="s">
        <v>46923</v>
      </c>
      <c r="C4198" t="s">
        <v>46924</v>
      </c>
      <c r="D4198">
        <f>-821.451093156395 -3.27692444584181 -208.540306617972</f>
        <v>-1033.2683242202088</v>
      </c>
      <c r="E4198">
        <f>-829.774729437013 -8.71353042780629 -306.6618301436</f>
        <v>-1145.1500900084193</v>
      </c>
      <c r="F4198">
        <f>-833.678959099547 -11.7882827777394 -395.619865522396</f>
        <v>-1241.0871073996823</v>
      </c>
      <c r="G4198">
        <f>-833.579537447527 -13.0062898554418 -484.708266314649</f>
        <v>-1331.2940936176178</v>
      </c>
      <c r="H4198">
        <f>-829.206668070705 -12.8354086363759 -609.21388950576</f>
        <v>-1451.2559662128408</v>
      </c>
      <c r="I4198">
        <f>-793.365279001998 -6.64359697226178 -683.927227292674</f>
        <v>-1483.936103266934</v>
      </c>
      <c r="J4198" t="s">
        <v>46925</v>
      </c>
      <c r="K4198" t="s">
        <v>46926</v>
      </c>
      <c r="L4198" t="s">
        <v>46927</v>
      </c>
      <c r="M4198" t="s">
        <v>46928</v>
      </c>
      <c r="N4198">
        <f>-825.110441488731 -39.9571199301317 -554.250874379371</f>
        <v>-1419.3184357982336</v>
      </c>
      <c r="O4198">
        <f>-795.85764674393 -170.598967659874 -523.04291059289</f>
        <v>-1489.4995249966942</v>
      </c>
      <c r="P4198">
        <f>-784.116191867487 -200.979036046223 -230.587020340539</f>
        <v>-1215.6822482542491</v>
      </c>
      <c r="Q4198">
        <f>-631.262118716432 -48.138997806936 -337.012742035039</f>
        <v>-1016.4138585584071</v>
      </c>
      <c r="R4198" t="s">
        <v>46929</v>
      </c>
      <c r="S4198" t="s">
        <v>46930</v>
      </c>
      <c r="T4198" t="s">
        <v>46931</v>
      </c>
      <c r="U4198" t="s">
        <v>46932</v>
      </c>
      <c r="V4198">
        <f>-768.713351010402 -81.7208046598881 -92.3363193470515</f>
        <v>-942.7704750173416</v>
      </c>
      <c r="W4198" t="s">
        <v>46933</v>
      </c>
      <c r="X4198" t="s">
        <v>46934</v>
      </c>
      <c r="Y4198" t="s">
        <v>46935</v>
      </c>
    </row>
    <row r="4199" spans="1:25" x14ac:dyDescent="0.3">
      <c r="A4199">
        <v>209900</v>
      </c>
      <c r="B4199" t="s">
        <v>46936</v>
      </c>
      <c r="C4199" t="s">
        <v>46937</v>
      </c>
      <c r="D4199">
        <f>-821.591052755861 -3.74854186564789 -208.506064411227</f>
        <v>-1033.845659032736</v>
      </c>
      <c r="E4199">
        <f>-829.935524667954 -9.22056745077339 -306.623673775524</f>
        <v>-1145.7797658942513</v>
      </c>
      <c r="F4199">
        <f>-833.863572865591 -12.3202334340247 -395.579902135394</f>
        <v>-1241.7637084350097</v>
      </c>
      <c r="G4199">
        <f>-833.79300220834 -13.5550431742449 -484.668228605027</f>
        <v>-1332.0162739876118</v>
      </c>
      <c r="H4199">
        <f>-829.465440819194 -13.3991149988356 -609.175569020681</f>
        <v>-1452.0401248387107</v>
      </c>
      <c r="I4199">
        <f>-793.628689088168 -7.27763942884485 -683.896802200939</f>
        <v>-1484.8031307179517</v>
      </c>
      <c r="J4199" t="s">
        <v>46938</v>
      </c>
      <c r="K4199" t="s">
        <v>46939</v>
      </c>
      <c r="L4199" t="s">
        <v>46940</v>
      </c>
      <c r="M4199" t="s">
        <v>46941</v>
      </c>
      <c r="N4199">
        <f>-825.306967749092 -40.5048029370255 -554.209133229609</f>
        <v>-1420.0209039157266</v>
      </c>
      <c r="O4199">
        <f>-795.844365950662 -171.100164203437 -522.971148393888</f>
        <v>-1489.915678547987</v>
      </c>
      <c r="P4199">
        <f>-783.901807672787 -201.432770207726 -230.518556608148</f>
        <v>-1215.853134488661</v>
      </c>
      <c r="Q4199">
        <f>-631.492355607058 -48.3196352374653 -337.189179300592</f>
        <v>-1017.0011701451153</v>
      </c>
      <c r="R4199" t="s">
        <v>46942</v>
      </c>
      <c r="S4199" t="s">
        <v>46943</v>
      </c>
      <c r="T4199" t="s">
        <v>46944</v>
      </c>
      <c r="U4199" t="s">
        <v>46945</v>
      </c>
      <c r="V4199">
        <f>-768.741648654392 -82.1173923344599 -92.3001742051335</f>
        <v>-943.15921519398535</v>
      </c>
      <c r="W4199" t="s">
        <v>46946</v>
      </c>
      <c r="X4199" t="s">
        <v>46947</v>
      </c>
      <c r="Y4199" t="s">
        <v>46948</v>
      </c>
    </row>
    <row r="4200" spans="1:25" x14ac:dyDescent="0.3">
      <c r="A4200">
        <v>209950</v>
      </c>
      <c r="B4200" t="s">
        <v>46949</v>
      </c>
      <c r="C4200" t="s">
        <v>46950</v>
      </c>
      <c r="D4200">
        <f>-821.647004793236 -4.02407829885124 -208.484798196476</f>
        <v>-1034.1558812885633</v>
      </c>
      <c r="E4200">
        <f>-829.992904326874 -9.50790620408657 -306.601703011977</f>
        <v>-1146.1025135429377</v>
      </c>
      <c r="F4200">
        <f>-833.922043905512 -12.610480220442 -395.557822244783</f>
        <v>-1242.0903463707371</v>
      </c>
      <c r="G4200">
        <f>-833.852651902893 -13.8400155339712 -484.646114108538</f>
        <v>-1332.3387815454021</v>
      </c>
      <c r="H4200">
        <f>-829.526609345558 -13.6680593191927 -609.153426188782</f>
        <v>-1452.3480948535325</v>
      </c>
      <c r="I4200">
        <f>-793.641965896852 -7.88649353310961 -683.878908999516</f>
        <v>-1485.4073684294776</v>
      </c>
      <c r="J4200" t="s">
        <v>46951</v>
      </c>
      <c r="K4200" t="s">
        <v>46952</v>
      </c>
      <c r="L4200" t="s">
        <v>46953</v>
      </c>
      <c r="M4200" t="s">
        <v>46954</v>
      </c>
      <c r="N4200">
        <f>-825.337813441309 -40.7742534780182 -554.189503768663</f>
        <v>-1420.3015706879901</v>
      </c>
      <c r="O4200">
        <f>-795.777220148822 -171.344141405846 -522.970837503993</f>
        <v>-1490.0921990586612</v>
      </c>
      <c r="P4200">
        <f>-783.926716050499 -201.716990767809 -230.518567390677</f>
        <v>-1216.1622742089849</v>
      </c>
      <c r="Q4200">
        <f>-631.599150722276 -48.5194161547846 -337.184846861914</f>
        <v>-1017.3034137389747</v>
      </c>
      <c r="R4200" t="s">
        <v>46955</v>
      </c>
      <c r="S4200" t="s">
        <v>46956</v>
      </c>
      <c r="T4200" t="s">
        <v>46957</v>
      </c>
      <c r="U4200" t="s">
        <v>46958</v>
      </c>
      <c r="V4200">
        <f>-768.805719360331 -82.2530096384852 -92.2622466909793</f>
        <v>-943.32097568979543</v>
      </c>
      <c r="W4200" t="s">
        <v>46959</v>
      </c>
      <c r="X4200" t="s">
        <v>46960</v>
      </c>
      <c r="Y4200" t="s">
        <v>46961</v>
      </c>
    </row>
    <row r="4201" spans="1:25" x14ac:dyDescent="0.3">
      <c r="A4201">
        <v>210000</v>
      </c>
      <c r="B4201" t="s">
        <v>46962</v>
      </c>
      <c r="C4201" t="s">
        <v>46963</v>
      </c>
      <c r="D4201">
        <f>-821.825961001218 -4.61153276380242 -208.467258491787</f>
        <v>-1034.9047522568076</v>
      </c>
      <c r="E4201">
        <f>-830.09106309959 -10.0341063899612 -306.594468798942</f>
        <v>-1146.7196382884931</v>
      </c>
      <c r="F4201">
        <f>-833.936135585438 -13.045839324285 -395.557209349622</f>
        <v>-1242.5391842593449</v>
      </c>
      <c r="G4201">
        <f>-833.771517463412 -14.147487334455 -484.647063415071</f>
        <v>-1332.566068212938</v>
      </c>
      <c r="H4201">
        <f>-829.30030026211 -13.7578968477753 -609.148755458417</f>
        <v>-1452.2069525683023</v>
      </c>
      <c r="I4201">
        <f>-793.250357749018 -9.93538668845781 -683.920648515757</f>
        <v>-1487.1063929532329</v>
      </c>
      <c r="J4201" t="s">
        <v>46964</v>
      </c>
      <c r="K4201" t="s">
        <v>46965</v>
      </c>
      <c r="L4201" t="s">
        <v>46966</v>
      </c>
      <c r="M4201" t="s">
        <v>46967</v>
      </c>
      <c r="N4201">
        <f>-825.077153203309 -40.9376493449361 -554.224068689239</f>
        <v>-1420.2388712374841</v>
      </c>
      <c r="O4201">
        <f>-795.253000142294 -171.525984871155 -523.328533631737</f>
        <v>-1490.107518645186</v>
      </c>
      <c r="P4201">
        <f>-783.541097227165 -202.535855043269 -230.937608560834</f>
        <v>-1217.014560831268</v>
      </c>
      <c r="Q4201">
        <f>-631.337849707406 -48.9444132477545 -337.214025358793</f>
        <v>-1017.4962883139535</v>
      </c>
      <c r="R4201" t="s">
        <v>46968</v>
      </c>
      <c r="S4201" t="s">
        <v>46969</v>
      </c>
      <c r="T4201" t="s">
        <v>46970</v>
      </c>
      <c r="U4201" t="s">
        <v>46971</v>
      </c>
      <c r="V4201">
        <f>-768.884765855321 -82.676878902195 -92.2316040299067</f>
        <v>-943.79324878742273</v>
      </c>
      <c r="W4201" t="s">
        <v>46972</v>
      </c>
      <c r="X4201" t="s">
        <v>46973</v>
      </c>
      <c r="Y4201" t="s">
        <v>46974</v>
      </c>
    </row>
    <row r="4202" spans="1:25" x14ac:dyDescent="0.3">
      <c r="A4202">
        <v>210050</v>
      </c>
      <c r="B4202" t="s">
        <v>46975</v>
      </c>
      <c r="C4202" t="s">
        <v>46976</v>
      </c>
      <c r="D4202">
        <f>-821.987296516917 -4.77634733867603 -208.48252249774</f>
        <v>-1035.2461663533331</v>
      </c>
      <c r="E4202">
        <f>-830.166548440318 -10.1277659136113 -306.620823094979</f>
        <v>-1146.9151374489084</v>
      </c>
      <c r="F4202">
        <f>-833.91834673091 -13.0487183871765 -395.590627383783</f>
        <v>-1242.5576925018695</v>
      </c>
      <c r="G4202">
        <f>-833.644457954958 -14.032987352794 -484.68154478504</f>
        <v>-1332.3589900927921</v>
      </c>
      <c r="H4202">
        <f>-829.003835888698 -13.4510947576962 -609.176256686401</f>
        <v>-1451.631187332795</v>
      </c>
      <c r="I4202">
        <f>-792.955442268153 -11.1794956890865 -684.012011364298</f>
        <v>-1488.1469493215375</v>
      </c>
      <c r="J4202" t="s">
        <v>46977</v>
      </c>
      <c r="K4202" t="s">
        <v>46978</v>
      </c>
      <c r="L4202" t="s">
        <v>46979</v>
      </c>
      <c r="M4202" t="s">
        <v>46980</v>
      </c>
      <c r="N4202">
        <f>-824.806027731548 -40.704269241073 -554.285913011602</f>
        <v>-1419.796209984223</v>
      </c>
      <c r="O4202">
        <f>-794.943069795978 -171.343402556142 -523.653549841701</f>
        <v>-1489.9400221938208</v>
      </c>
      <c r="P4202">
        <f>-783.138770165411 -202.943631098305 -231.329637332075</f>
        <v>-1217.412038595791</v>
      </c>
      <c r="Q4202">
        <f>-631.038979407447 -49.0302466132398 -337.287984528567</f>
        <v>-1017.3572105492538</v>
      </c>
      <c r="R4202" t="s">
        <v>46981</v>
      </c>
      <c r="S4202" t="s">
        <v>46982</v>
      </c>
      <c r="T4202" t="s">
        <v>46983</v>
      </c>
      <c r="U4202" t="s">
        <v>46984</v>
      </c>
      <c r="V4202">
        <f>-768.962162976863 -82.8568259116353 -92.2521807114227</f>
        <v>-944.07116959992106</v>
      </c>
      <c r="W4202" t="s">
        <v>46985</v>
      </c>
      <c r="X4202" t="s">
        <v>46986</v>
      </c>
      <c r="Y4202" t="s">
        <v>46987</v>
      </c>
    </row>
    <row r="4203" spans="1:25" x14ac:dyDescent="0.3">
      <c r="A4203">
        <v>210100</v>
      </c>
      <c r="B4203" t="s">
        <v>46988</v>
      </c>
      <c r="C4203" t="s">
        <v>46989</v>
      </c>
      <c r="D4203">
        <f>-822.320327889257 -4.74363884182412 -208.550857433453</f>
        <v>-1035.6148241645342</v>
      </c>
      <c r="E4203">
        <f>-830.253869697138 -9.93633470923578 -306.717746435937</f>
        <v>-1146.9079508423108</v>
      </c>
      <c r="F4203">
        <f>-833.72927303082 -12.683819773998 -395.704375719959</f>
        <v>-1242.117468524777</v>
      </c>
      <c r="G4203">
        <f>-833.124755505227 -13.4645660687629 -484.795686634108</f>
        <v>-1331.3850082080978</v>
      </c>
      <c r="H4203">
        <f>-827.965460139187 -12.5671665596087 -609.268207291237</f>
        <v>-1449.8008339900327</v>
      </c>
      <c r="I4203">
        <f>-792.138475733941 -13.9678108254718 -684.231391149935</f>
        <v>-1490.3376777093479</v>
      </c>
      <c r="J4203" t="s">
        <v>46990</v>
      </c>
      <c r="K4203" t="s">
        <v>46991</v>
      </c>
      <c r="L4203" t="s">
        <v>46992</v>
      </c>
      <c r="M4203" t="s">
        <v>46993</v>
      </c>
      <c r="N4203">
        <f>-823.920750832172 -39.9419402843087 -554.426726239542</f>
        <v>-1418.2894173560226</v>
      </c>
      <c r="O4203">
        <f>-794.178926282153 -170.727639815237 -524.289327833055</f>
        <v>-1489.195893930445</v>
      </c>
      <c r="P4203">
        <f>-782.559240138554 -203.296802903444 -232.064456124683</f>
        <v>-1217.9204991666809</v>
      </c>
      <c r="Q4203">
        <f>-630.475853469867 -49.0411463735061 -337.547603616346</f>
        <v>-1017.0646034597191</v>
      </c>
      <c r="R4203" t="s">
        <v>46994</v>
      </c>
      <c r="S4203" t="s">
        <v>46995</v>
      </c>
      <c r="T4203" t="s">
        <v>46996</v>
      </c>
      <c r="U4203" t="s">
        <v>46997</v>
      </c>
      <c r="V4203">
        <f>-769.206857563498 -83.016328626597 -92.3319223469773</f>
        <v>-944.55510853707233</v>
      </c>
      <c r="W4203" t="s">
        <v>46998</v>
      </c>
      <c r="X4203" t="s">
        <v>46999</v>
      </c>
      <c r="Y4203" t="s">
        <v>47000</v>
      </c>
    </row>
    <row r="4204" spans="1:25" x14ac:dyDescent="0.3">
      <c r="A4204">
        <v>210150</v>
      </c>
      <c r="B4204" t="s">
        <v>47001</v>
      </c>
      <c r="C4204" t="s">
        <v>47002</v>
      </c>
      <c r="D4204">
        <f>-822.369664886415 -4.76223832415531 -208.584111958124</f>
        <v>-1035.7160151686942</v>
      </c>
      <c r="E4204">
        <f>-829.959038037031 -9.80029288478227 -306.786351187874</f>
        <v>-1146.5456821096873</v>
      </c>
      <c r="F4204">
        <f>-833.033643413859 -12.4059970239573 -395.792034886645</f>
        <v>-1241.2316753244613</v>
      </c>
      <c r="G4204">
        <f>-831.9400468015 -13.0432346572186 -484.879869111579</f>
        <v>-1329.8631505702976</v>
      </c>
      <c r="H4204">
        <f>-826.005915847367 -11.9439348496571 -609.316094009359</f>
        <v>-1447.2659447063829</v>
      </c>
      <c r="I4204">
        <f>-790.316443145211 -16.5672090132612 -684.215472526403</f>
        <v>-1491.0991246848753</v>
      </c>
      <c r="J4204" t="s">
        <v>47003</v>
      </c>
      <c r="K4204" t="s">
        <v>47004</v>
      </c>
      <c r="L4204" t="s">
        <v>47005</v>
      </c>
      <c r="M4204" t="s">
        <v>47006</v>
      </c>
      <c r="N4204">
        <f>-822.266077925398 -39.3989800507113 -554.493156587187</f>
        <v>-1416.1582145632963</v>
      </c>
      <c r="O4204">
        <f>-792.859917070287 -170.333047939568 -524.685080309249</f>
        <v>-1487.8780453191039</v>
      </c>
      <c r="P4204">
        <f>-781.950591662091 -203.296689348566 -232.476950654628</f>
        <v>-1217.7242316652851</v>
      </c>
      <c r="Q4204">
        <f>-629.410315488896 -49.1503897944172 -337.459010674112</f>
        <v>-1016.0197159574252</v>
      </c>
      <c r="R4204" t="s">
        <v>47007</v>
      </c>
      <c r="S4204" t="s">
        <v>47008</v>
      </c>
      <c r="T4204" t="s">
        <v>47009</v>
      </c>
      <c r="U4204" t="s">
        <v>47010</v>
      </c>
      <c r="V4204">
        <f>-769.296998741881 -83.4501814927572 -92.4349864726485</f>
        <v>-945.18216670728668</v>
      </c>
      <c r="W4204" t="s">
        <v>47011</v>
      </c>
      <c r="X4204" t="s">
        <v>47012</v>
      </c>
      <c r="Y4204" t="s">
        <v>47013</v>
      </c>
    </row>
    <row r="4205" spans="1:25" x14ac:dyDescent="0.3">
      <c r="A4205">
        <v>210200</v>
      </c>
      <c r="B4205" t="s">
        <v>47014</v>
      </c>
      <c r="C4205" t="s">
        <v>47015</v>
      </c>
      <c r="D4205">
        <f>-822.48496649276 -4.68630545825454 -208.598064635942</f>
        <v>-1035.7693365869566</v>
      </c>
      <c r="E4205">
        <f>-829.931830244352 -9.67203278354668 -306.813891790279</f>
        <v>-1146.4177548181776</v>
      </c>
      <c r="F4205">
        <f>-832.821803382396 -12.2377620475136 -395.82688069103</f>
        <v>-1240.8864461209396</v>
      </c>
      <c r="G4205">
        <f>-831.488269729129 -12.8428768711433 -484.91154280271</f>
        <v>-1329.2426894029823</v>
      </c>
      <c r="H4205">
        <f>-825.161595191576 -11.7079059045848 -609.328266414958</f>
        <v>-1446.1977675111189</v>
      </c>
      <c r="I4205">
        <f>-789.452593555102 -17.5731440692282 -684.131297326233</f>
        <v>-1491.1570349505632</v>
      </c>
      <c r="J4205" t="s">
        <v>47016</v>
      </c>
      <c r="K4205" t="s">
        <v>47017</v>
      </c>
      <c r="L4205" t="s">
        <v>47018</v>
      </c>
      <c r="M4205" t="s">
        <v>47019</v>
      </c>
      <c r="N4205">
        <f>-821.604147478232 -39.1808444300141 -554.5021844459</f>
        <v>-1415.2871763541461</v>
      </c>
      <c r="O4205">
        <f>-792.505685783653 -170.207772896951 -524.785798717926</f>
        <v>-1487.4992573985301</v>
      </c>
      <c r="P4205">
        <f>-781.938428779525 -203.161515630239 -232.563880913947</f>
        <v>-1217.6638253237111</v>
      </c>
      <c r="Q4205">
        <f>-629.068825725132 -49.1537291310108 -337.26999582728</f>
        <v>-1015.4925506834228</v>
      </c>
      <c r="R4205" t="s">
        <v>47020</v>
      </c>
      <c r="S4205" t="s">
        <v>47021</v>
      </c>
      <c r="T4205" t="s">
        <v>47022</v>
      </c>
      <c r="U4205" t="s">
        <v>47023</v>
      </c>
      <c r="V4205">
        <f>-769.44260365215 -83.6047089117108 -92.4764038676205</f>
        <v>-945.52371643148126</v>
      </c>
      <c r="W4205" t="s">
        <v>47024</v>
      </c>
      <c r="X4205" t="s">
        <v>47025</v>
      </c>
      <c r="Y4205" t="s">
        <v>47026</v>
      </c>
    </row>
    <row r="4206" spans="1:25" x14ac:dyDescent="0.3">
      <c r="A4206">
        <v>210250</v>
      </c>
      <c r="B4206" t="s">
        <v>47027</v>
      </c>
      <c r="C4206" t="s">
        <v>47028</v>
      </c>
      <c r="D4206">
        <f>-822.617154770997 -4.55834451769647 -208.624548944124</f>
        <v>-1035.8000482328175</v>
      </c>
      <c r="E4206">
        <f>-829.854019034555 -9.52080754321014 -306.857201158761</f>
        <v>-1146.2320277365261</v>
      </c>
      <c r="F4206">
        <f>-832.476546189503 -12.0863562837283 -395.878440061824</f>
        <v>-1240.4413425350554</v>
      </c>
      <c r="G4206">
        <f>-830.7982693424 -12.7148496442917 -484.957227909213</f>
        <v>-1328.4703468959046</v>
      </c>
      <c r="H4206">
        <f>-823.909759147942 -11.6384677022975 -609.344502512964</f>
        <v>-1444.8927293632037</v>
      </c>
      <c r="I4206">
        <f>-788.07475480327 -18.5294620933682 -683.999704711411</f>
        <v>-1490.6039216080494</v>
      </c>
      <c r="J4206" t="s">
        <v>47029</v>
      </c>
      <c r="K4206" t="s">
        <v>47030</v>
      </c>
      <c r="L4206" t="s">
        <v>47031</v>
      </c>
      <c r="M4206" t="s">
        <v>47032</v>
      </c>
      <c r="N4206">
        <f>-820.638718811254 -39.0945397423632 -554.492207870551</f>
        <v>-1414.2254664241682</v>
      </c>
      <c r="O4206">
        <f>-791.851480335613 -170.18800374005 -524.796800590044</f>
        <v>-1486.8362846657069</v>
      </c>
      <c r="P4206">
        <f>-781.722290365047 -203.124351296753 -232.557556669224</f>
        <v>-1217.404198331024</v>
      </c>
      <c r="Q4206">
        <f>-628.484059440558 -49.3049422436309 -337.001322378043</f>
        <v>-1014.7903240622319</v>
      </c>
      <c r="R4206" t="s">
        <v>47033</v>
      </c>
      <c r="S4206" t="s">
        <v>47034</v>
      </c>
      <c r="T4206" t="s">
        <v>47035</v>
      </c>
      <c r="U4206" t="s">
        <v>47036</v>
      </c>
      <c r="V4206">
        <f>-769.591678050934 -83.7093857992184 -92.5244151437106</f>
        <v>-945.82547899386293</v>
      </c>
      <c r="W4206" t="s">
        <v>47037</v>
      </c>
      <c r="X4206" t="s">
        <v>47038</v>
      </c>
      <c r="Y4206" t="s">
        <v>47039</v>
      </c>
    </row>
    <row r="4207" spans="1:25" x14ac:dyDescent="0.3">
      <c r="A4207">
        <v>210300</v>
      </c>
      <c r="B4207" t="s">
        <v>47040</v>
      </c>
      <c r="C4207" t="s">
        <v>47041</v>
      </c>
      <c r="D4207">
        <f>-822.731995994355 -4.5026164360163 -208.620796922077</f>
        <v>-1035.8554093524483</v>
      </c>
      <c r="E4207">
        <f>-829.514048847101 -9.40629826975965 -306.888859165236</f>
        <v>-1145.8092062820965</v>
      </c>
      <c r="F4207">
        <f>-831.563701577707 -11.9416488778872 -395.926087858957</f>
        <v>-1239.4314383145511</v>
      </c>
      <c r="G4207">
        <f>-829.151063992434 -12.5676552444741 -484.987955579883</f>
        <v>-1326.7066748167911</v>
      </c>
      <c r="H4207">
        <f>-821.068767078193 -11.52162999897 -609.3036741302</f>
        <v>-1441.8940712073629</v>
      </c>
      <c r="I4207">
        <f>-784.957503129831 -19.8476149685807 -683.678872701776</f>
        <v>-1488.4839908001877</v>
      </c>
      <c r="J4207" t="s">
        <v>47042</v>
      </c>
      <c r="K4207" t="s">
        <v>47043</v>
      </c>
      <c r="L4207" t="s">
        <v>47044</v>
      </c>
      <c r="M4207" t="s">
        <v>47045</v>
      </c>
      <c r="N4207">
        <f>-818.427755664675 -38.9883235168347 -554.422874182269</f>
        <v>-1411.8389533637787</v>
      </c>
      <c r="O4207">
        <f>-790.086711695108 -170.194104114692 -524.755562703704</f>
        <v>-1485.0363785135039</v>
      </c>
      <c r="P4207">
        <f>-781.028457571422 -203.439191032954 -232.516078924018</f>
        <v>-1216.983727528394</v>
      </c>
      <c r="Q4207">
        <f>-627.239817091209 -49.8323395700487 -336.462315795011</f>
        <v>-1013.5344724562688</v>
      </c>
      <c r="R4207" t="s">
        <v>47046</v>
      </c>
      <c r="S4207" t="s">
        <v>47047</v>
      </c>
      <c r="T4207" t="s">
        <v>47048</v>
      </c>
      <c r="U4207" t="s">
        <v>47049</v>
      </c>
      <c r="V4207">
        <f>-769.901025478591 -83.8787540331736 -92.5391000562242</f>
        <v>-946.31887956798892</v>
      </c>
      <c r="W4207" t="s">
        <v>47050</v>
      </c>
      <c r="X4207" t="s">
        <v>47051</v>
      </c>
      <c r="Y4207" t="s">
        <v>47052</v>
      </c>
    </row>
    <row r="4208" spans="1:25" x14ac:dyDescent="0.3">
      <c r="A4208">
        <v>210350</v>
      </c>
      <c r="B4208" t="s">
        <v>47053</v>
      </c>
      <c r="C4208" t="s">
        <v>47054</v>
      </c>
      <c r="D4208">
        <f>-822.817340890275 -4.53064690031601 -208.608822155498</f>
        <v>-1035.9568099460889</v>
      </c>
      <c r="E4208">
        <f>-829.403069562786 -9.41843815971401 -306.891096702341</f>
        <v>-1145.7126044248409</v>
      </c>
      <c r="F4208">
        <f>-831.20973384712 -11.9474614905332 -395.933671586363</f>
        <v>-1239.0908669240162</v>
      </c>
      <c r="G4208">
        <f>-828.48883930262 -12.5781374065527 -484.986647590311</f>
        <v>-1326.0536242994838</v>
      </c>
      <c r="H4208">
        <f>-819.907711626644 -11.5519368515127 -609.269096103489</f>
        <v>-1440.7287445816455</v>
      </c>
      <c r="I4208">
        <f>-783.721154691391 -20.3574838133291 -683.552501787448</f>
        <v>-1487.6311402921681</v>
      </c>
      <c r="J4208" t="s">
        <v>47055</v>
      </c>
      <c r="K4208" t="s">
        <v>47056</v>
      </c>
      <c r="L4208" t="s">
        <v>47057</v>
      </c>
      <c r="M4208" t="s">
        <v>47058</v>
      </c>
      <c r="N4208">
        <f>-817.531930411213 -39.0203612651696 -554.376909020126</f>
        <v>-1410.9292006965088</v>
      </c>
      <c r="O4208">
        <f>-789.246289978368 -170.238814020364 -524.713094763759</f>
        <v>-1484.1981987624911</v>
      </c>
      <c r="P4208">
        <f>-780.66600146166 -203.653178784456 -232.478557459389</f>
        <v>-1216.7977377055051</v>
      </c>
      <c r="Q4208">
        <f>-626.714739253002 -50.0347695371451 -336.166725403331</f>
        <v>-1012.916234193478</v>
      </c>
      <c r="R4208" t="s">
        <v>47059</v>
      </c>
      <c r="S4208" t="s">
        <v>47060</v>
      </c>
      <c r="T4208" t="s">
        <v>47061</v>
      </c>
      <c r="U4208" t="s">
        <v>47062</v>
      </c>
      <c r="V4208">
        <f>-770.096317238326 -83.8951221835415 -92.5212467344199</f>
        <v>-946.51268615628749</v>
      </c>
      <c r="W4208" t="s">
        <v>47063</v>
      </c>
      <c r="X4208" t="s">
        <v>47064</v>
      </c>
      <c r="Y4208" t="s">
        <v>47065</v>
      </c>
    </row>
    <row r="4209" spans="1:25" x14ac:dyDescent="0.3">
      <c r="A4209">
        <v>210400</v>
      </c>
      <c r="B4209" t="s">
        <v>47066</v>
      </c>
      <c r="C4209" t="s">
        <v>47067</v>
      </c>
      <c r="D4209">
        <f>-823.111933796029 -4.9474336554108 -208.631361432323</f>
        <v>-1036.6907288837629</v>
      </c>
      <c r="E4209">
        <f>-829.452075932042 -9.85361949460435 -306.928854836596</f>
        <v>-1146.2345502632425</v>
      </c>
      <c r="F4209">
        <f>-830.965821178297 -12.4204573615834 -395.97585465544</f>
        <v>-1239.3621331953204</v>
      </c>
      <c r="G4209">
        <f>-827.880859511872 -13.1130580366848 -485.016459383593</f>
        <v>-1326.0103769321499</v>
      </c>
      <c r="H4209">
        <f>-818.717300625453 -12.2022186967929 -609.258285033839</f>
        <v>-1440.1778043560848</v>
      </c>
      <c r="I4209">
        <f>-782.536623018832 -21.5293356438867 -683.480857590687</f>
        <v>-1487.5468162534057</v>
      </c>
      <c r="J4209" t="s">
        <v>47068</v>
      </c>
      <c r="K4209" t="s">
        <v>47069</v>
      </c>
      <c r="L4209" t="s">
        <v>47070</v>
      </c>
      <c r="M4209" t="s">
        <v>47071</v>
      </c>
      <c r="N4209">
        <f>-816.637330636708 -39.6282692387204 -554.332970686505</f>
        <v>-1410.5985705619332</v>
      </c>
      <c r="O4209">
        <f>-788.201648015105 -170.823458901748 -524.713576425885</f>
        <v>-1483.7386833427381</v>
      </c>
      <c r="P4209">
        <f>-780.122283808362 -204.463873742418 -232.490594470814</f>
        <v>-1217.0767520215938</v>
      </c>
      <c r="Q4209">
        <f>-626.149483709444 -50.4806522755659 -335.604394933731</f>
        <v>-1012.2345309187409</v>
      </c>
      <c r="R4209" t="s">
        <v>47072</v>
      </c>
      <c r="S4209" t="s">
        <v>47073</v>
      </c>
      <c r="T4209" t="s">
        <v>47074</v>
      </c>
      <c r="U4209" t="s">
        <v>47075</v>
      </c>
      <c r="V4209">
        <f>-770.360792791359 -84.4570154669105 -92.5147216135364</f>
        <v>-947.33252987180595</v>
      </c>
      <c r="W4209" t="s">
        <v>47076</v>
      </c>
      <c r="X4209" t="s">
        <v>47077</v>
      </c>
      <c r="Y4209" t="s">
        <v>47078</v>
      </c>
    </row>
    <row r="4210" spans="1:25" x14ac:dyDescent="0.3">
      <c r="A4210">
        <v>210450</v>
      </c>
      <c r="B4210" t="s">
        <v>47079</v>
      </c>
      <c r="C4210" t="s">
        <v>47080</v>
      </c>
      <c r="D4210">
        <f>-823.247283120227 -5.38788212376721 -208.631641041634</f>
        <v>-1037.2668062856283</v>
      </c>
      <c r="E4210">
        <f>-829.551983345621 -10.2990557932624 -306.931228559465</f>
        <v>-1146.7822676983483</v>
      </c>
      <c r="F4210">
        <f>-831.029465164936 -12.8659724638487 -395.978760501636</f>
        <v>-1239.8741981304206</v>
      </c>
      <c r="G4210">
        <f>-827.90419817634 -13.55489811607 -485.018175327604</f>
        <v>-1326.4772716200141</v>
      </c>
      <c r="H4210">
        <f>-818.679238709997 -12.6361690711194 -609.255252564246</f>
        <v>-1440.5706603453623</v>
      </c>
      <c r="I4210">
        <f>-782.545469850696 -22.0603792356656 -683.48835531134</f>
        <v>-1488.0942043977016</v>
      </c>
      <c r="J4210" t="s">
        <v>47081</v>
      </c>
      <c r="K4210" t="s">
        <v>47082</v>
      </c>
      <c r="L4210" t="s">
        <v>47083</v>
      </c>
      <c r="M4210" t="s">
        <v>47084</v>
      </c>
      <c r="N4210">
        <f>-816.622055500501 -40.0648570627989 -554.330299415966</f>
        <v>-1411.017211979266</v>
      </c>
      <c r="O4210">
        <f>-788.003328530168 -171.246163418544 -524.795591680318</f>
        <v>-1484.0450836290302</v>
      </c>
      <c r="P4210">
        <f>-779.851442816654 -204.986892302388 -232.586257027956</f>
        <v>-1217.4245921469981</v>
      </c>
      <c r="Q4210">
        <f>-626.074973380556 -50.6418617855971 -335.451436211174</f>
        <v>-1012.1682713773271</v>
      </c>
      <c r="R4210" t="s">
        <v>47085</v>
      </c>
      <c r="S4210" t="s">
        <v>47086</v>
      </c>
      <c r="T4210" t="s">
        <v>47087</v>
      </c>
      <c r="U4210" t="s">
        <v>47088</v>
      </c>
      <c r="V4210">
        <f>-770.417412298632 -84.9772227005548 -92.5054808424317</f>
        <v>-947.90011584161846</v>
      </c>
      <c r="W4210" t="s">
        <v>47089</v>
      </c>
      <c r="X4210" t="s">
        <v>47090</v>
      </c>
      <c r="Y4210" t="s">
        <v>47091</v>
      </c>
    </row>
    <row r="4211" spans="1:25" x14ac:dyDescent="0.3">
      <c r="A4211">
        <v>210500</v>
      </c>
      <c r="B4211" t="s">
        <v>47092</v>
      </c>
      <c r="C4211" t="s">
        <v>47093</v>
      </c>
      <c r="D4211">
        <f>-823.429433450772 -6.55704848032519 -208.616772036321</f>
        <v>-1038.6032539674181</v>
      </c>
      <c r="E4211">
        <f>-829.725364571206 -11.4686434524215 -306.916900045814</f>
        <v>-1148.1109080694414</v>
      </c>
      <c r="F4211">
        <f>-831.258890951653 -13.9962910561237 -395.964531927082</f>
        <v>-1241.2197139348586</v>
      </c>
      <c r="G4211">
        <f>-828.252011998494 -14.6054514376513 -485.008599372761</f>
        <v>-1327.8660628089062</v>
      </c>
      <c r="H4211">
        <f>-819.256635493102 -13.532370466924 -609.261338011593</f>
        <v>-1442.050343971619</v>
      </c>
      <c r="I4211">
        <f>-783.183312044897 -22.9522975063815 -683.524444670332</f>
        <v>-1489.6600542216104</v>
      </c>
      <c r="J4211" t="s">
        <v>47094</v>
      </c>
      <c r="K4211" t="s">
        <v>47095</v>
      </c>
      <c r="L4211" t="s">
        <v>47096</v>
      </c>
      <c r="M4211" t="s">
        <v>47097</v>
      </c>
      <c r="N4211">
        <f>-817.032492290682 -41.0142199626125 -554.369511460983</f>
        <v>-1412.4162237142773</v>
      </c>
      <c r="O4211">
        <f>-787.947998349982 -172.162949010892 -525.179075205753</f>
        <v>-1485.2900225666269</v>
      </c>
      <c r="P4211">
        <f>-779.295500257 -206.410820905319 -233.043151978829</f>
        <v>-1218.749473141148</v>
      </c>
      <c r="Q4211">
        <f>-626.264506180978 -51.0651252245427 -335.512920974517</f>
        <v>-1012.8425523800377</v>
      </c>
      <c r="R4211" t="s">
        <v>47098</v>
      </c>
      <c r="S4211" t="s">
        <v>47099</v>
      </c>
      <c r="T4211" t="s">
        <v>47100</v>
      </c>
      <c r="U4211" t="s">
        <v>47101</v>
      </c>
      <c r="V4211">
        <f>-770.716873340886 -85.6185913677024 -92.4092277211713</f>
        <v>-948.74469242975965</v>
      </c>
      <c r="W4211" t="s">
        <v>47102</v>
      </c>
      <c r="X4211" t="s">
        <v>47103</v>
      </c>
      <c r="Y4211" t="s">
        <v>47104</v>
      </c>
    </row>
    <row r="4212" spans="1:25" x14ac:dyDescent="0.3">
      <c r="A4212">
        <v>210550</v>
      </c>
      <c r="B4212" t="s">
        <v>47105</v>
      </c>
      <c r="C4212" t="s">
        <v>47106</v>
      </c>
      <c r="D4212">
        <f>-823.456550139363 -7.15466002780681 -208.560182625735</f>
        <v>-1039.1713927929047</v>
      </c>
      <c r="E4212">
        <f>-829.726304984405 -12.0544625683872 -306.862490627744</f>
        <v>-1148.6432581805361</v>
      </c>
      <c r="F4212">
        <f>-831.269378577649 -14.5500797619034 -395.911059563368</f>
        <v>-1241.7305179029204</v>
      </c>
      <c r="G4212">
        <f>-828.305046596532 -15.1047517484578 -484.956803211716</f>
        <v>-1328.3666015567057</v>
      </c>
      <c r="H4212">
        <f>-819.402913392733 -13.9322508161299 -609.215308541672</f>
        <v>-1442.5504727505349</v>
      </c>
      <c r="I4212">
        <f>-783.347483547093 -23.3159058593856 -683.491748817061</f>
        <v>-1490.1551382235396</v>
      </c>
      <c r="J4212" t="s">
        <v>47107</v>
      </c>
      <c r="K4212" t="s">
        <v>47108</v>
      </c>
      <c r="L4212" t="s">
        <v>47109</v>
      </c>
      <c r="M4212" t="s">
        <v>47110</v>
      </c>
      <c r="N4212">
        <f>-817.101515410967 -41.4497751478341 -554.344493005071</f>
        <v>-1412.8957835638721</v>
      </c>
      <c r="O4212">
        <f>-787.780233051424 -172.591636965747 -525.352001346073</f>
        <v>-1485.7238713632441</v>
      </c>
      <c r="P4212">
        <f>-778.905548324305 -207.212102942925 -233.266673019694</f>
        <v>-1219.3843242869239</v>
      </c>
      <c r="Q4212">
        <f>-626.349031581641 -51.3320591037659 -335.632596487313</f>
        <v>-1013.3136871727199</v>
      </c>
      <c r="R4212" t="s">
        <v>47111</v>
      </c>
      <c r="S4212" t="s">
        <v>47112</v>
      </c>
      <c r="T4212" t="s">
        <v>47113</v>
      </c>
      <c r="U4212" t="s">
        <v>47114</v>
      </c>
      <c r="V4212">
        <f>-770.923747199685 -85.9745924828188 -92.3118745202353</f>
        <v>-949.21021420273905</v>
      </c>
      <c r="W4212" t="s">
        <v>47115</v>
      </c>
      <c r="X4212" t="s">
        <v>47116</v>
      </c>
      <c r="Y4212" t="s">
        <v>47117</v>
      </c>
    </row>
    <row r="4213" spans="1:25" x14ac:dyDescent="0.3">
      <c r="A4213">
        <v>210600</v>
      </c>
      <c r="B4213" t="s">
        <v>47118</v>
      </c>
      <c r="C4213" t="s">
        <v>47119</v>
      </c>
      <c r="D4213">
        <f>-823.774449150928 -7.99636084952726 -208.493827222164</f>
        <v>-1040.2646372226193</v>
      </c>
      <c r="E4213">
        <f>-829.966920414739 -12.8278283283719 -306.804291529727</f>
        <v>-1149.5990402728378</v>
      </c>
      <c r="F4213">
        <f>-831.476690473814 -15.2329108234505 -395.855867781737</f>
        <v>-1242.5654690790016</v>
      </c>
      <c r="G4213">
        <f>-828.5152925166 -15.6673712512741 -484.902366457778</f>
        <v>-1329.085030225652</v>
      </c>
      <c r="H4213">
        <f>-819.654550893186 -14.29468552361 -609.161868792784</f>
        <v>-1443.11110520958</v>
      </c>
      <c r="I4213">
        <f>-783.60331566087 -23.5999092197098 -683.450218216464</f>
        <v>-1490.6534430970437</v>
      </c>
      <c r="J4213" t="s">
        <v>47120</v>
      </c>
      <c r="K4213" t="s">
        <v>47121</v>
      </c>
      <c r="L4213" t="s">
        <v>47122</v>
      </c>
      <c r="M4213" t="s">
        <v>47123</v>
      </c>
      <c r="N4213">
        <f>-817.289165564475 -41.8899287951451 -554.332933435927</f>
        <v>-1413.5120277955471</v>
      </c>
      <c r="O4213">
        <f>-787.737083138625 -173.033480066972 -525.599180998359</f>
        <v>-1486.3697442039561</v>
      </c>
      <c r="P4213">
        <f>-778.465503711302 -208.376143353785 -233.612600718968</f>
        <v>-1220.454247784055</v>
      </c>
      <c r="Q4213">
        <f>-626.534263221166 -51.8003890777047 -335.84683526825</f>
        <v>-1014.1814875671207</v>
      </c>
      <c r="R4213" t="s">
        <v>47124</v>
      </c>
      <c r="S4213" t="s">
        <v>47125</v>
      </c>
      <c r="T4213" t="s">
        <v>47126</v>
      </c>
      <c r="U4213" t="s">
        <v>47127</v>
      </c>
      <c r="V4213">
        <f>-771.638241678546 -86.568349130814 -92.1815717096777</f>
        <v>-950.38816251903768</v>
      </c>
      <c r="W4213" t="s">
        <v>47128</v>
      </c>
      <c r="X4213" t="s">
        <v>47129</v>
      </c>
      <c r="Y4213" t="s">
        <v>47130</v>
      </c>
    </row>
    <row r="4214" spans="1:25" x14ac:dyDescent="0.3">
      <c r="A4214">
        <v>210650</v>
      </c>
      <c r="B4214" t="s">
        <v>47131</v>
      </c>
      <c r="C4214" t="s">
        <v>47132</v>
      </c>
      <c r="D4214">
        <f>-824.086306710233 -8.15061232098287 -208.487106302278</f>
        <v>-1040.724025333494</v>
      </c>
      <c r="E4214">
        <f>-830.256564110649 -12.9493539350292 -306.80073408296</f>
        <v>-1150.0066521286383</v>
      </c>
      <c r="F4214">
        <f>-831.75922901612 -15.3239330703868 -395.85305889867</f>
        <v>-1242.9362209851768</v>
      </c>
      <c r="G4214">
        <f>-828.804000385004 -15.726291627883 -484.900003499508</f>
        <v>-1329.4302955123949</v>
      </c>
      <c r="H4214">
        <f>-819.96577349607 -14.3065599587806 -609.160600696085</f>
        <v>-1443.4329341509356</v>
      </c>
      <c r="I4214">
        <f>-783.903810195672 -23.6133107035794 -683.443423010805</f>
        <v>-1490.9605439100565</v>
      </c>
      <c r="J4214" t="s">
        <v>47133</v>
      </c>
      <c r="K4214" t="s">
        <v>47134</v>
      </c>
      <c r="L4214" t="s">
        <v>47135</v>
      </c>
      <c r="M4214" t="s">
        <v>47136</v>
      </c>
      <c r="N4214">
        <f>-817.587768944225 -41.9219665528938 -554.342243815796</f>
        <v>-1413.8519793129149</v>
      </c>
      <c r="O4214">
        <f>-788.029123300582 -173.073369929275 -525.663510547653</f>
        <v>-1486.7660037775099</v>
      </c>
      <c r="P4214">
        <f>-778.688488785294 -208.607382669097 -233.702407084864</f>
        <v>-1220.9982785392549</v>
      </c>
      <c r="Q4214">
        <f>-626.812977564752 -51.9266511482447 -335.858450194006</f>
        <v>-1014.5980789070027</v>
      </c>
      <c r="R4214" t="s">
        <v>47137</v>
      </c>
      <c r="S4214" t="s">
        <v>47138</v>
      </c>
      <c r="T4214" t="s">
        <v>47139</v>
      </c>
      <c r="U4214" t="s">
        <v>47140</v>
      </c>
      <c r="V4214">
        <f>-772.001831516168 -86.7987815612162 -92.1634859773615</f>
        <v>-950.96409905474559</v>
      </c>
      <c r="W4214" t="s">
        <v>47141</v>
      </c>
      <c r="X4214" t="s">
        <v>47142</v>
      </c>
      <c r="Y4214" t="s">
        <v>47143</v>
      </c>
    </row>
    <row r="4215" spans="1:25" x14ac:dyDescent="0.3">
      <c r="A4215">
        <v>210700</v>
      </c>
      <c r="B4215" t="s">
        <v>47144</v>
      </c>
      <c r="C4215" t="s">
        <v>47145</v>
      </c>
      <c r="D4215">
        <f>-824.611895612729 -8.08607045374401 -208.451867177284</f>
        <v>-1041.149833243757</v>
      </c>
      <c r="E4215">
        <f>-830.805231181649 -12.8527526190901 -306.765593372597</f>
        <v>-1150.4235771733361</v>
      </c>
      <c r="F4215">
        <f>-832.36043826301 -15.2129082142733 -395.817533975286</f>
        <v>-1243.3908804525693</v>
      </c>
      <c r="G4215">
        <f>-829.489409974202 -15.6148664934317 -484.867288693542</f>
        <v>-1329.9715651611757</v>
      </c>
      <c r="H4215">
        <f>-820.802625634343 -14.2085766860505 -609.13851606059</f>
        <v>-1444.1497183809834</v>
      </c>
      <c r="I4215">
        <f>-784.748757625492 -23.5482740011346 -683.421350837685</f>
        <v>-1491.7183824643116</v>
      </c>
      <c r="J4215" t="s">
        <v>47146</v>
      </c>
      <c r="K4215" t="s">
        <v>47147</v>
      </c>
      <c r="L4215" t="s">
        <v>47148</v>
      </c>
      <c r="M4215" t="s">
        <v>47149</v>
      </c>
      <c r="N4215">
        <f>-818.382473412639 -41.8238382544669 -554.322002008262</f>
        <v>-1414.5283136753678</v>
      </c>
      <c r="O4215">
        <f>-789.028952947707 -173.024029913659 -525.649571867189</f>
        <v>-1487.702554728555</v>
      </c>
      <c r="P4215">
        <f>-779.924318213316 -208.356396777803 -233.656554216587</f>
        <v>-1221.9372692077061</v>
      </c>
      <c r="Q4215">
        <f>-627.627334577219 -52.0297027313701 -335.727412455076</f>
        <v>-1015.3844497636651</v>
      </c>
      <c r="R4215" t="s">
        <v>47150</v>
      </c>
      <c r="S4215" t="s">
        <v>47151</v>
      </c>
      <c r="T4215" t="s">
        <v>47152</v>
      </c>
      <c r="U4215" t="s">
        <v>47153</v>
      </c>
      <c r="V4215">
        <f>-772.719868306614 -86.6847541727988 -92.1413629235286</f>
        <v>-951.54598540294137</v>
      </c>
      <c r="W4215" t="s">
        <v>47154</v>
      </c>
      <c r="X4215" t="s">
        <v>47155</v>
      </c>
      <c r="Y4215" t="s">
        <v>47156</v>
      </c>
    </row>
    <row r="4216" spans="1:25" x14ac:dyDescent="0.3">
      <c r="A4216">
        <v>210750</v>
      </c>
      <c r="B4216" t="s">
        <v>47157</v>
      </c>
      <c r="C4216" t="s">
        <v>47158</v>
      </c>
      <c r="D4216">
        <f>-824.708516710293 -8.08407732644218 -208.429601573569</f>
        <v>-1041.2221956103042</v>
      </c>
      <c r="E4216">
        <f>-830.895218418196 -12.8411336751692 -306.744161103339</f>
        <v>-1150.4805131967041</v>
      </c>
      <c r="F4216">
        <f>-832.448229088522 -15.1947411393589 -395.796338308405</f>
        <v>-1243.4393085362858</v>
      </c>
      <c r="G4216">
        <f>-829.578835938667 -15.5930028038258 -484.846003952216</f>
        <v>-1330.0178426947089</v>
      </c>
      <c r="H4216">
        <f>-820.898076243191 -14.1845388898003 -609.117806964947</f>
        <v>-1444.2004220979384</v>
      </c>
      <c r="I4216">
        <f>-784.84289172516 -23.5599138786492 -683.395418251655</f>
        <v>-1491.7982238554641</v>
      </c>
      <c r="J4216" t="s">
        <v>47159</v>
      </c>
      <c r="K4216" t="s">
        <v>47160</v>
      </c>
      <c r="L4216" t="s">
        <v>47161</v>
      </c>
      <c r="M4216" t="s">
        <v>47162</v>
      </c>
      <c r="N4216">
        <f>-818.503197720293 -41.8069666423835 -554.303900279314</f>
        <v>-1414.6140646419904</v>
      </c>
      <c r="O4216">
        <f>-789.310793341898 -173.045321858406 -525.626985765751</f>
        <v>-1487.983100966055</v>
      </c>
      <c r="P4216">
        <f>-780.463853044741 -208.36023618593 -233.623923513603</f>
        <v>-1222.4480127442739</v>
      </c>
      <c r="Q4216">
        <f>-627.913341741264 -52.2525571576888 -335.651376432387</f>
        <v>-1015.8172753313398</v>
      </c>
      <c r="R4216" t="s">
        <v>47163</v>
      </c>
      <c r="S4216" t="s">
        <v>47164</v>
      </c>
      <c r="T4216" t="s">
        <v>47165</v>
      </c>
      <c r="U4216" t="s">
        <v>47166</v>
      </c>
      <c r="V4216">
        <f>-772.902545135452 -86.680098866491 -92.1256243486756</f>
        <v>-951.7082683506186</v>
      </c>
      <c r="W4216" t="s">
        <v>47167</v>
      </c>
      <c r="X4216" t="s">
        <v>47168</v>
      </c>
      <c r="Y4216" t="s">
        <v>47169</v>
      </c>
    </row>
    <row r="4217" spans="1:25" x14ac:dyDescent="0.3">
      <c r="A4217">
        <v>210800</v>
      </c>
      <c r="B4217" t="s">
        <v>47170</v>
      </c>
      <c r="C4217" t="s">
        <v>47171</v>
      </c>
      <c r="D4217">
        <f>-824.544430224527 -8.12523304411047 -208.414659293732</f>
        <v>-1041.0843225623694</v>
      </c>
      <c r="E4217">
        <f>-830.759750815477 -12.8360916292036 -306.729713141619</f>
        <v>-1150.3255555862995</v>
      </c>
      <c r="F4217">
        <f>-832.34851065404 -15.1589914125652 -395.782001730167</f>
        <v>-1243.2895037967721</v>
      </c>
      <c r="G4217">
        <f>-829.524904104721 -15.5375086302374 -484.83323746765</f>
        <v>-1329.8956502026085</v>
      </c>
      <c r="H4217">
        <f>-820.918947509849 -14.1127532052428 -609.110033074693</f>
        <v>-1444.1417337897847</v>
      </c>
      <c r="I4217">
        <f>-784.892186862601 -23.5551440145009 -683.392834750968</f>
        <v>-1491.8401656280698</v>
      </c>
      <c r="J4217" t="s">
        <v>47172</v>
      </c>
      <c r="K4217" t="s">
        <v>47173</v>
      </c>
      <c r="L4217" t="s">
        <v>47174</v>
      </c>
      <c r="M4217" t="s">
        <v>47175</v>
      </c>
      <c r="N4217">
        <f>-818.533785673438 -41.7523025372898 -554.304288113002</f>
        <v>-1414.5903763237297</v>
      </c>
      <c r="O4217">
        <f>-789.607100891313 -173.054890277698 -525.663926929893</f>
        <v>-1488.3259180989041</v>
      </c>
      <c r="P4217">
        <f>-781.356108247234 -208.527580944299 -233.6625802508</f>
        <v>-1223.5462694423329</v>
      </c>
      <c r="Q4217">
        <f>-628.371794121931 -52.7404809710201 -335.530099266898</f>
        <v>-1016.6423743598491</v>
      </c>
      <c r="R4217" t="s">
        <v>47176</v>
      </c>
      <c r="S4217" t="s">
        <v>47177</v>
      </c>
      <c r="T4217" t="s">
        <v>47178</v>
      </c>
      <c r="U4217" t="s">
        <v>47179</v>
      </c>
      <c r="V4217">
        <f>-772.948353112012 -86.84767448934 -92.1139459368026</f>
        <v>-951.90997353815453</v>
      </c>
      <c r="W4217" t="s">
        <v>47180</v>
      </c>
      <c r="X4217" t="s">
        <v>47181</v>
      </c>
      <c r="Y4217" t="s">
        <v>47182</v>
      </c>
    </row>
    <row r="4218" spans="1:25" x14ac:dyDescent="0.3">
      <c r="A4218">
        <v>210850</v>
      </c>
      <c r="B4218" t="s">
        <v>47183</v>
      </c>
      <c r="C4218" t="s">
        <v>47184</v>
      </c>
      <c r="D4218">
        <f>-824.400856379908 -8.07221691502355 -208.404842447587</f>
        <v>-1040.8779157425186</v>
      </c>
      <c r="E4218">
        <f>-830.640083862904 -12.7736868448578 -306.718801402551</f>
        <v>-1150.1325721103128</v>
      </c>
      <c r="F4218">
        <f>-832.259889657662 -15.0952608814036 -395.770526257454</f>
        <v>-1243.1256767965197</v>
      </c>
      <c r="G4218">
        <f>-829.477064812167 -15.4796469425471 -484.823126057482</f>
        <v>-1329.7798378121961</v>
      </c>
      <c r="H4218">
        <f>-820.938266633205 -14.0698793330314 -609.104662147998</f>
        <v>-1444.1128081142344</v>
      </c>
      <c r="I4218">
        <f>-784.938877901454 -23.5267041266711 -683.398984037953</f>
        <v>-1491.8645660660782</v>
      </c>
      <c r="J4218" t="s">
        <v>47185</v>
      </c>
      <c r="K4218" t="s">
        <v>47186</v>
      </c>
      <c r="L4218" t="s">
        <v>47187</v>
      </c>
      <c r="M4218" t="s">
        <v>47188</v>
      </c>
      <c r="N4218">
        <f>-818.544681315301 -41.7077376827344 -554.298275354976</f>
        <v>-1414.5506943530113</v>
      </c>
      <c r="O4218">
        <f>-789.734177007374 -173.034212035899 -525.649728159489</f>
        <v>-1488.418117202762</v>
      </c>
      <c r="P4218">
        <f>-781.549932281323 -208.558097067121 -233.652618969386</f>
        <v>-1223.7606483178299</v>
      </c>
      <c r="Q4218">
        <f>-628.451184529418 -52.8086778446459 -335.40592279725</f>
        <v>-1016.6657851713139</v>
      </c>
      <c r="R4218" t="s">
        <v>47189</v>
      </c>
      <c r="S4218" t="s">
        <v>47190</v>
      </c>
      <c r="T4218" t="s">
        <v>47191</v>
      </c>
      <c r="U4218" t="s">
        <v>47192</v>
      </c>
      <c r="V4218">
        <f>-772.892742700831 -86.8407201889606 -92.1118436222894</f>
        <v>-951.84530651208104</v>
      </c>
      <c r="W4218" t="s">
        <v>47193</v>
      </c>
      <c r="X4218" t="s">
        <v>47194</v>
      </c>
      <c r="Y4218" t="s">
        <v>47195</v>
      </c>
    </row>
    <row r="4219" spans="1:25" x14ac:dyDescent="0.3">
      <c r="A4219">
        <v>210900</v>
      </c>
      <c r="B4219" t="s">
        <v>47196</v>
      </c>
      <c r="C4219" t="s">
        <v>47197</v>
      </c>
      <c r="D4219">
        <f>-824.287823903045 -7.655928828882 -208.425185832653</f>
        <v>-1040.36893856458</v>
      </c>
      <c r="E4219">
        <f>-830.565436578565 -12.3396658922209 -306.737503325272</f>
        <v>-1149.642605796058</v>
      </c>
      <c r="F4219">
        <f>-832.232559712294 -14.6582633273827 -395.788502728553</f>
        <v>-1242.6793257682298</v>
      </c>
      <c r="G4219">
        <f>-829.510091494099 -15.0523168365605 -484.842911674033</f>
        <v>-1329.4053200046926</v>
      </c>
      <c r="H4219">
        <f>-821.069293910312 -13.6688665255992 -609.131499402889</f>
        <v>-1443.8696598388001</v>
      </c>
      <c r="I4219">
        <f>-785.129361044189 -23.1547635014665 -683.450769164429</f>
        <v>-1491.7348937100844</v>
      </c>
      <c r="J4219" t="s">
        <v>47198</v>
      </c>
      <c r="K4219" t="s">
        <v>47199</v>
      </c>
      <c r="L4219" t="s">
        <v>47200</v>
      </c>
      <c r="M4219" t="s">
        <v>47201</v>
      </c>
      <c r="N4219">
        <f>-818.671525516534 -41.3040876018024 -554.323979165828</f>
        <v>-1414.2995922841642</v>
      </c>
      <c r="O4219">
        <f>-790.060854772913 -172.666649535002 -525.636412117121</f>
        <v>-1488.363916425036</v>
      </c>
      <c r="P4219">
        <f>-781.998550941518 -208.005336468683 -233.613538517264</f>
        <v>-1223.6174259274651</v>
      </c>
      <c r="Q4219">
        <f>-628.694827764303 -52.4321266448361 -335.327917078026</f>
        <v>-1016.4548714871651</v>
      </c>
      <c r="R4219" t="s">
        <v>47202</v>
      </c>
      <c r="S4219" t="s">
        <v>47203</v>
      </c>
      <c r="T4219" t="s">
        <v>47204</v>
      </c>
      <c r="U4219" t="s">
        <v>47205</v>
      </c>
      <c r="V4219">
        <f>-772.945264582684 -86.4467677434648 -92.1378306188718</f>
        <v>-951.52986294502057</v>
      </c>
      <c r="W4219" t="s">
        <v>47206</v>
      </c>
      <c r="X4219" t="s">
        <v>47207</v>
      </c>
      <c r="Y4219" t="s">
        <v>47208</v>
      </c>
    </row>
    <row r="4220" spans="1:25" x14ac:dyDescent="0.3">
      <c r="A4220">
        <v>210950</v>
      </c>
      <c r="B4220" t="s">
        <v>47209</v>
      </c>
      <c r="C4220" t="s">
        <v>47210</v>
      </c>
      <c r="D4220">
        <f>-824.194775391538 -7.41127559706706 -208.44259584136</f>
        <v>-1040.048646829965</v>
      </c>
      <c r="E4220">
        <f>-830.485240182748 -12.0877986700457 -306.754395996298</f>
        <v>-1149.3274348490918</v>
      </c>
      <c r="F4220">
        <f>-832.163663597919 -14.4066699961659 -395.805238215762</f>
        <v>-1242.3755718098469</v>
      </c>
      <c r="G4220">
        <f>-829.451847262911 -14.8078573771331 -484.859833891432</f>
        <v>-1329.1195385314761</v>
      </c>
      <c r="H4220">
        <f>-821.026025390068 -13.4415018366085 -609.149680271601</f>
        <v>-1443.6172074982774</v>
      </c>
      <c r="I4220">
        <f>-785.11538548665 -22.9499730170503 -683.480204399926</f>
        <v>-1491.5455629036264</v>
      </c>
      <c r="J4220" t="s">
        <v>47211</v>
      </c>
      <c r="K4220" t="s">
        <v>47212</v>
      </c>
      <c r="L4220" t="s">
        <v>47213</v>
      </c>
      <c r="M4220" t="s">
        <v>47214</v>
      </c>
      <c r="N4220">
        <f>-818.642174377371 -41.0737233467012 -554.340036416541</f>
        <v>-1414.0559341406133</v>
      </c>
      <c r="O4220">
        <f>-790.130637121636 -172.455878416289 -525.643028934116</f>
        <v>-1488.2295444720412</v>
      </c>
      <c r="P4220">
        <f>-782.129277920104 -207.672595430858 -233.603653608135</f>
        <v>-1223.405526959097</v>
      </c>
      <c r="Q4220">
        <f>-628.699101366301 -52.2570737758434 -335.368451160028</f>
        <v>-1016.3246263021724</v>
      </c>
      <c r="R4220" t="s">
        <v>47215</v>
      </c>
      <c r="S4220" t="s">
        <v>47216</v>
      </c>
      <c r="T4220" t="s">
        <v>47217</v>
      </c>
      <c r="U4220" t="s">
        <v>47218</v>
      </c>
      <c r="V4220">
        <f>-772.894733874193 -86.2249384716853 -92.1619337197461</f>
        <v>-951.28160606562437</v>
      </c>
      <c r="W4220" t="s">
        <v>47219</v>
      </c>
      <c r="X4220" t="s">
        <v>47220</v>
      </c>
      <c r="Y4220" t="s">
        <v>47221</v>
      </c>
    </row>
    <row r="4221" spans="1:25" x14ac:dyDescent="0.3">
      <c r="A4221">
        <v>211000</v>
      </c>
      <c r="B4221" t="s">
        <v>47222</v>
      </c>
      <c r="C4221" t="s">
        <v>47223</v>
      </c>
      <c r="D4221">
        <f>-823.853965746471 -7.06002175328376 -208.461613283039</f>
        <v>-1039.3756007827938</v>
      </c>
      <c r="E4221">
        <f>-830.146565060222 -11.722961181453 -306.773914821535</f>
        <v>-1148.64344106321</v>
      </c>
      <c r="F4221">
        <f>-831.829069356473 -14.0379722460209 -395.824830863559</f>
        <v>-1241.6918724660529</v>
      </c>
      <c r="G4221">
        <f>-829.12365868176 -14.4447834977077 -484.879554143114</f>
        <v>-1328.4479963225817</v>
      </c>
      <c r="H4221">
        <f>-820.709027907182 -13.0963166487288 -609.170283312346</f>
        <v>-1442.9756278682567</v>
      </c>
      <c r="I4221">
        <f>-784.855853583777 -22.6535983266947 -683.522410654116</f>
        <v>-1491.0318625645878</v>
      </c>
      <c r="J4221" t="s">
        <v>47224</v>
      </c>
      <c r="K4221" t="s">
        <v>47225</v>
      </c>
      <c r="L4221" t="s">
        <v>47226</v>
      </c>
      <c r="M4221" t="s">
        <v>47227</v>
      </c>
      <c r="N4221">
        <f>-818.358200333286 -40.7292395911222 -554.359590594103</f>
        <v>-1413.4470305185114</v>
      </c>
      <c r="O4221">
        <f>-790.090070313215 -172.16501735676 -525.670973803673</f>
        <v>-1487.9260614736481</v>
      </c>
      <c r="P4221">
        <f>-781.926251683593 -207.440442406927 -233.643295070892</f>
        <v>-1223.009989161412</v>
      </c>
      <c r="Q4221">
        <f>-628.295026432716 -52.2856783527913 -335.502587224271</f>
        <v>-1016.0832920097782</v>
      </c>
      <c r="R4221" t="s">
        <v>47228</v>
      </c>
      <c r="S4221" t="s">
        <v>47229</v>
      </c>
      <c r="T4221" t="s">
        <v>47230</v>
      </c>
      <c r="U4221" t="s">
        <v>47231</v>
      </c>
      <c r="V4221">
        <f>-772.634928312931 -85.9271902308784 -92.1881162452352</f>
        <v>-950.75023478904461</v>
      </c>
      <c r="W4221" t="s">
        <v>47232</v>
      </c>
      <c r="X4221" t="s">
        <v>47233</v>
      </c>
      <c r="Y4221" t="s">
        <v>47234</v>
      </c>
    </row>
    <row r="4222" spans="1:25" x14ac:dyDescent="0.3">
      <c r="A4222">
        <v>211050</v>
      </c>
      <c r="B4222" t="s">
        <v>47235</v>
      </c>
      <c r="C4222" t="s">
        <v>47236</v>
      </c>
      <c r="D4222">
        <f>-823.650629250367 -7.01544423161226 -208.471150592812</f>
        <v>-1039.1372240747912</v>
      </c>
      <c r="E4222">
        <f>-829.908292393749 -11.6570130080847 -306.786782947564</f>
        <v>-1148.3520883493977</v>
      </c>
      <c r="F4222">
        <f>-831.548732315774 -13.9521989947184 -395.838919710074</f>
        <v>-1241.3398510205664</v>
      </c>
      <c r="G4222">
        <f>-828.790360228979 -14.3393243019204 -484.892308735267</f>
        <v>-1328.0219932661664</v>
      </c>
      <c r="H4222">
        <f>-820.290630705505 -12.9638308434501 -609.176774571095</f>
        <v>-1442.43123612005</v>
      </c>
      <c r="I4222">
        <f>-784.451840042393 -22.5394030306902 -683.533573133723</f>
        <v>-1490.5248162068062</v>
      </c>
      <c r="J4222" t="s">
        <v>47237</v>
      </c>
      <c r="K4222" t="s">
        <v>47238</v>
      </c>
      <c r="L4222" t="s">
        <v>47239</v>
      </c>
      <c r="M4222" t="s">
        <v>47240</v>
      </c>
      <c r="N4222">
        <f>-817.993502665243 -40.6121384597643 -554.371771659488</f>
        <v>-1412.9774127844953</v>
      </c>
      <c r="O4222">
        <f>-789.838677603408 -172.082449667445 -525.707798334652</f>
        <v>-1487.6289256055049</v>
      </c>
      <c r="P4222">
        <f>-781.700868254748 -207.459226509526 -233.691520472406</f>
        <v>-1222.8516152366799</v>
      </c>
      <c r="Q4222">
        <f>-627.937358775967 -52.4606065427931 -335.588888396383</f>
        <v>-1015.9868537151432</v>
      </c>
      <c r="R4222" t="s">
        <v>47241</v>
      </c>
      <c r="S4222" t="s">
        <v>47242</v>
      </c>
      <c r="T4222" t="s">
        <v>47243</v>
      </c>
      <c r="U4222" t="s">
        <v>47244</v>
      </c>
      <c r="V4222">
        <f>-772.418097039127 -86.0173916675675 -92.1977061013953</f>
        <v>-950.6331948080898</v>
      </c>
      <c r="W4222" t="s">
        <v>47245</v>
      </c>
      <c r="X4222" t="s">
        <v>47246</v>
      </c>
      <c r="Y4222" t="s">
        <v>47247</v>
      </c>
    </row>
    <row r="4223" spans="1:25" x14ac:dyDescent="0.3">
      <c r="A4223">
        <v>211100</v>
      </c>
      <c r="B4223" t="s">
        <v>47248</v>
      </c>
      <c r="C4223" t="s">
        <v>47249</v>
      </c>
      <c r="D4223">
        <f>-823.3432281373 -6.64436067538281 -208.4888738388</f>
        <v>-1038.4764626514827</v>
      </c>
      <c r="E4223">
        <f>-829.479320238242 -11.2331202917633 -306.814441897077</f>
        <v>-1147.5268824270825</v>
      </c>
      <c r="F4223">
        <f>-830.968850839983 -13.4787053461953 -395.870619050458</f>
        <v>-1240.3181752366363</v>
      </c>
      <c r="G4223">
        <f>-828.018702675546 -13.8152715632268 -484.917892633002</f>
        <v>-1326.7518668717748</v>
      </c>
      <c r="H4223">
        <f>-819.208599234049 -12.3689204095058 -609.180111865509</f>
        <v>-1440.7576315090637</v>
      </c>
      <c r="I4223">
        <f>-783.329189455884 -21.9491373001397 -683.516590308136</f>
        <v>-1488.7949170641596</v>
      </c>
      <c r="J4223" t="s">
        <v>47250</v>
      </c>
      <c r="K4223" t="s">
        <v>47251</v>
      </c>
      <c r="L4223" t="s">
        <v>47252</v>
      </c>
      <c r="M4223" t="s">
        <v>47253</v>
      </c>
      <c r="N4223">
        <f>-817.068514912167 -40.0530616160959 -554.386707310341</f>
        <v>-1411.5082838386038</v>
      </c>
      <c r="O4223">
        <f>-789.097632416802 -171.565882210414 -525.764874378739</f>
        <v>-1486.4283890059551</v>
      </c>
      <c r="P4223">
        <f>-781.166969836131 -207.049326319893 -233.755981854803</f>
        <v>-1221.972278010827</v>
      </c>
      <c r="Q4223">
        <f>-627.073032589405 -52.3525043781892 -335.612809884213</f>
        <v>-1015.0383468518072</v>
      </c>
      <c r="R4223" t="s">
        <v>47254</v>
      </c>
      <c r="S4223" t="s">
        <v>47255</v>
      </c>
      <c r="T4223" t="s">
        <v>47256</v>
      </c>
      <c r="U4223" t="s">
        <v>47257</v>
      </c>
      <c r="V4223">
        <f>-772.243525401204 -85.6513410385187 -92.2153690659378</f>
        <v>-950.11023550566051</v>
      </c>
      <c r="W4223" t="s">
        <v>47258</v>
      </c>
      <c r="X4223" t="s">
        <v>47259</v>
      </c>
      <c r="Y4223" t="s">
        <v>47260</v>
      </c>
    </row>
    <row r="4224" spans="1:25" x14ac:dyDescent="0.3">
      <c r="A4224">
        <v>211150</v>
      </c>
      <c r="B4224" t="s">
        <v>47261</v>
      </c>
      <c r="C4224" t="s">
        <v>47262</v>
      </c>
      <c r="D4224">
        <f>-823.226742980759 -6.39526948191974 -208.496947905081</f>
        <v>-1038.1189603677597</v>
      </c>
      <c r="E4224">
        <f>-829.28238542262 -10.9706500265147 -306.828219490925</f>
        <v>-1147.0812549400598</v>
      </c>
      <c r="F4224">
        <f>-830.672602362542 -13.2105561455262 -395.886050646696</f>
        <v>-1239.7692091547642</v>
      </c>
      <c r="G4224">
        <f>-827.596939768214 -13.5488684992076 -484.929114706451</f>
        <v>-1326.0749229738726</v>
      </c>
      <c r="H4224">
        <f>-818.584060239747 -12.1131449857978 -609.177022653556</f>
        <v>-1439.874227879101</v>
      </c>
      <c r="I4224">
        <f>-782.671592970461 -21.7006391519685 -683.496640103322</f>
        <v>-1487.8688722257516</v>
      </c>
      <c r="J4224" t="s">
        <v>47263</v>
      </c>
      <c r="K4224" t="s">
        <v>47264</v>
      </c>
      <c r="L4224" t="s">
        <v>47265</v>
      </c>
      <c r="M4224" t="s">
        <v>47266</v>
      </c>
      <c r="N4224">
        <f>-816.552110485221 -39.796745012618 -554.379119732929</f>
        <v>-1410.7279752307679</v>
      </c>
      <c r="O4224">
        <f>-788.68973718644 -171.331487512866 -525.752715696531</f>
        <v>-1485.7739403958371</v>
      </c>
      <c r="P4224">
        <f>-780.804456492009 -206.860479650183 -233.748089815141</f>
        <v>-1221.413025957333</v>
      </c>
      <c r="Q4224">
        <f>-626.565517932202 -52.2621967606802 -335.53524774811</f>
        <v>-1014.3629624409923</v>
      </c>
      <c r="R4224" t="s">
        <v>47267</v>
      </c>
      <c r="S4224" t="s">
        <v>47268</v>
      </c>
      <c r="T4224" t="s">
        <v>47269</v>
      </c>
      <c r="U4224" t="s">
        <v>47270</v>
      </c>
      <c r="V4224">
        <f>-772.187350812854 -85.4069642454706 -92.224947167858</f>
        <v>-949.81926222618256</v>
      </c>
      <c r="W4224" t="s">
        <v>47271</v>
      </c>
      <c r="X4224" t="s">
        <v>47272</v>
      </c>
      <c r="Y4224" t="s">
        <v>47273</v>
      </c>
    </row>
    <row r="4225" spans="1:25" x14ac:dyDescent="0.3">
      <c r="A4225">
        <v>211200</v>
      </c>
      <c r="B4225" t="s">
        <v>47274</v>
      </c>
      <c r="C4225" t="s">
        <v>47275</v>
      </c>
      <c r="D4225">
        <f>-822.934679246307 -6.06978844424475 -208.469525474322</f>
        <v>-1037.4739931648737</v>
      </c>
      <c r="E4225">
        <f>-828.870830277079 -10.6267204554058 -306.809088190528</f>
        <v>-1146.3066389230128</v>
      </c>
      <c r="F4225">
        <f>-830.115450002577 -12.8543776482443 -395.86925136832</f>
        <v>-1238.8390790191413</v>
      </c>
      <c r="G4225">
        <f>-826.856688655891 -13.186661369195 -484.905909321847</f>
        <v>-1324.9492593469331</v>
      </c>
      <c r="H4225">
        <f>-817.548925361062 -11.7502680778871 -609.131881763691</f>
        <v>-1438.4310752026399</v>
      </c>
      <c r="I4225">
        <f>-781.59118213046 -21.317970825676 -683.432182717194</f>
        <v>-1486.3413356733299</v>
      </c>
      <c r="J4225" t="s">
        <v>47276</v>
      </c>
      <c r="K4225" t="s">
        <v>47277</v>
      </c>
      <c r="L4225" t="s">
        <v>47278</v>
      </c>
      <c r="M4225" t="s">
        <v>47279</v>
      </c>
      <c r="N4225">
        <f>-815.680764785361 -39.4416367419485 -554.332097971714</f>
        <v>-1409.4544994990235</v>
      </c>
      <c r="O4225">
        <f>-788.016995176687 -171.018729139159 -525.684158266861</f>
        <v>-1484.719882582707</v>
      </c>
      <c r="P4225">
        <f>-780.327162232068 -206.485010113106 -233.666658642542</f>
        <v>-1220.478830987716</v>
      </c>
      <c r="Q4225">
        <f>-625.731728561688 -52.2184584411675 -335.416266969889</f>
        <v>-1013.3664539727445</v>
      </c>
      <c r="R4225" t="s">
        <v>47280</v>
      </c>
      <c r="S4225" t="s">
        <v>47281</v>
      </c>
      <c r="T4225" t="s">
        <v>47282</v>
      </c>
      <c r="U4225" t="s">
        <v>47283</v>
      </c>
      <c r="V4225">
        <f>-772.005419618421 -85.1225641142528 -92.220347589989</f>
        <v>-949.34833132266283</v>
      </c>
      <c r="W4225" t="s">
        <v>47284</v>
      </c>
      <c r="X4225" t="s">
        <v>47285</v>
      </c>
      <c r="Y4225" t="s">
        <v>47286</v>
      </c>
    </row>
    <row r="4226" spans="1:25" x14ac:dyDescent="0.3">
      <c r="A4226">
        <v>211250</v>
      </c>
      <c r="B4226" t="s">
        <v>47287</v>
      </c>
      <c r="C4226" t="s">
        <v>47288</v>
      </c>
      <c r="D4226">
        <f>-822.815022423469 -5.85830854827555 -208.465307162763</f>
        <v>-1037.1386381345076</v>
      </c>
      <c r="E4226">
        <f>-828.713756299026 -10.3989133887278 -306.807797721008</f>
        <v>-1145.9204674087619</v>
      </c>
      <c r="F4226">
        <f>-829.91195540539 -12.612197854384 -395.86907855221</f>
        <v>-1238.3932318119842</v>
      </c>
      <c r="G4226">
        <f>-826.594391973786 -12.9307437380762 -484.903483683268</f>
        <v>-1324.4286193951302</v>
      </c>
      <c r="H4226">
        <f>-817.191409778345 -11.4765227440662 -609.122100037695</f>
        <v>-1437.7900325601063</v>
      </c>
      <c r="I4226">
        <f>-781.20935412896 -21.0180910356087 -683.414114034433</f>
        <v>-1485.6415591990017</v>
      </c>
      <c r="J4226" t="s">
        <v>47289</v>
      </c>
      <c r="K4226" t="s">
        <v>47290</v>
      </c>
      <c r="L4226" t="s">
        <v>47291</v>
      </c>
      <c r="M4226" t="s">
        <v>47292</v>
      </c>
      <c r="N4226">
        <f>-815.376471548077 -39.1781039859509 -554.325949727913</f>
        <v>-1408.8805252619409</v>
      </c>
      <c r="O4226">
        <f>-787.80877871175 -170.771526842281 -525.67743091</f>
        <v>-1484.257736464031</v>
      </c>
      <c r="P4226">
        <f>-780.206156412048 -206.217193861869 -233.655187900775</f>
        <v>-1220.0785381746919</v>
      </c>
      <c r="Q4226">
        <f>-625.474508398593 -52.0816916553893 -335.396215652125</f>
        <v>-1012.9524157061073</v>
      </c>
      <c r="R4226" t="s">
        <v>47293</v>
      </c>
      <c r="S4226" t="s">
        <v>47294</v>
      </c>
      <c r="T4226" t="s">
        <v>47295</v>
      </c>
      <c r="U4226" t="s">
        <v>47296</v>
      </c>
      <c r="V4226">
        <f>-771.911187844955 -84.896466721816 -92.2195075066024</f>
        <v>-949.02716207337335</v>
      </c>
      <c r="W4226" t="s">
        <v>47297</v>
      </c>
      <c r="X4226" t="s">
        <v>47298</v>
      </c>
      <c r="Y4226" t="s">
        <v>47299</v>
      </c>
    </row>
    <row r="4227" spans="1:25" x14ac:dyDescent="0.3">
      <c r="A4227">
        <v>211300</v>
      </c>
      <c r="B4227" t="s">
        <v>47300</v>
      </c>
      <c r="C4227" t="s">
        <v>47301</v>
      </c>
      <c r="D4227">
        <f>-822.717423672629 -5.73066879541443 -208.465235690603</f>
        <v>-1036.9133281586464</v>
      </c>
      <c r="E4227">
        <f>-828.548672301648 -10.243840232697 -306.812953321468</f>
        <v>-1145.605465855813</v>
      </c>
      <c r="F4227">
        <f>-829.656863895219 -12.4335662141716 -395.875999454385</f>
        <v>-1237.9664295637756</v>
      </c>
      <c r="G4227">
        <f>-826.220357425495 -12.7311345273124 -484.905909271984</f>
        <v>-1323.8574012247914</v>
      </c>
      <c r="H4227">
        <f>-816.620944922563 -11.2512492597143 -609.109290214389</f>
        <v>-1436.9814843966665</v>
      </c>
      <c r="I4227">
        <f>-780.588579918758 -20.7533299648458 -683.381789152918</f>
        <v>-1484.7236990365218</v>
      </c>
      <c r="J4227" t="s">
        <v>47302</v>
      </c>
      <c r="K4227" t="s">
        <v>47303</v>
      </c>
      <c r="L4227" t="s">
        <v>47304</v>
      </c>
      <c r="M4227" t="s">
        <v>47305</v>
      </c>
      <c r="N4227">
        <f>-814.917980815843 -38.9697941486731 -554.317976717953</f>
        <v>-1408.2057516824691</v>
      </c>
      <c r="O4227">
        <f>-787.528752721136 -170.608785975959 -525.69803072105</f>
        <v>-1483.835569418145</v>
      </c>
      <c r="P4227">
        <f>-779.969332443597 -206.229530238029 -233.695906509852</f>
        <v>-1219.894769191478</v>
      </c>
      <c r="Q4227">
        <f>-625.092071631489 -52.2389132066435 -335.43494211292</f>
        <v>-1012.7659269510525</v>
      </c>
      <c r="R4227" t="s">
        <v>47306</v>
      </c>
      <c r="S4227" t="s">
        <v>47307</v>
      </c>
      <c r="T4227" t="s">
        <v>47308</v>
      </c>
      <c r="U4227" t="s">
        <v>47309</v>
      </c>
      <c r="V4227">
        <f>-771.817674156491 -84.8919106732245 -92.2239859603714</f>
        <v>-948.93357079008683</v>
      </c>
      <c r="W4227" t="s">
        <v>47310</v>
      </c>
      <c r="X4227" t="s">
        <v>47311</v>
      </c>
      <c r="Y4227" t="s">
        <v>47312</v>
      </c>
    </row>
    <row r="4228" spans="1:25" x14ac:dyDescent="0.3">
      <c r="A4228">
        <v>211350</v>
      </c>
      <c r="B4228" t="s">
        <v>47313</v>
      </c>
      <c r="C4228" t="s">
        <v>47314</v>
      </c>
      <c r="D4228">
        <f>-822.777812746278 -5.5661522436319 -208.451380389263</f>
        <v>-1036.7953453791729</v>
      </c>
      <c r="E4228">
        <f>-828.559166337302 -10.0400708736145 -306.80387680383</f>
        <v>-1145.4031140147465</v>
      </c>
      <c r="F4228">
        <f>-829.592820117291 -12.184946151717 -395.86878966004</f>
        <v>-1237.646555929048</v>
      </c>
      <c r="G4228">
        <f>-826.052221446478 -12.429280963622 -484.894961402205</f>
        <v>-1323.376463812305</v>
      </c>
      <c r="H4228">
        <f>-816.276292248004 -10.8668222115875 -609.083433837577</f>
        <v>-1436.2265482971684</v>
      </c>
      <c r="I4228">
        <f>-780.202523560743 -20.3180434853223 -683.342493201454</f>
        <v>-1483.8630602475191</v>
      </c>
      <c r="J4228" t="s">
        <v>47315</v>
      </c>
      <c r="K4228" t="s">
        <v>47316</v>
      </c>
      <c r="L4228" t="s">
        <v>47317</v>
      </c>
      <c r="M4228" t="s">
        <v>47318</v>
      </c>
      <c r="N4228">
        <f>-814.666942226507 -38.6253371848757 -554.30949954005</f>
        <v>-1407.6017789514326</v>
      </c>
      <c r="O4228">
        <f>-787.425683668715 -170.309873458863 -525.760245410316</f>
        <v>-1483.495802537894</v>
      </c>
      <c r="P4228">
        <f>-779.899108806323 -206.098488182789 -233.777800366824</f>
        <v>-1219.7753973559361</v>
      </c>
      <c r="Q4228">
        <f>-624.891426563583 -52.2484791398168 -335.530911869569</f>
        <v>-1012.6708175729689</v>
      </c>
      <c r="R4228" t="s">
        <v>47319</v>
      </c>
      <c r="S4228" t="s">
        <v>47320</v>
      </c>
      <c r="T4228" t="s">
        <v>47321</v>
      </c>
      <c r="U4228" t="s">
        <v>47322</v>
      </c>
      <c r="V4228">
        <f>-771.940903113493 -84.6603796693832 -92.2192842505165</f>
        <v>-948.82056703339276</v>
      </c>
      <c r="W4228" t="s">
        <v>47323</v>
      </c>
      <c r="X4228" t="s">
        <v>47324</v>
      </c>
      <c r="Y4228" t="s">
        <v>47325</v>
      </c>
    </row>
    <row r="4229" spans="1:25" x14ac:dyDescent="0.3">
      <c r="A4229">
        <v>211400</v>
      </c>
      <c r="B4229" t="s">
        <v>47326</v>
      </c>
      <c r="C4229" t="s">
        <v>47327</v>
      </c>
      <c r="D4229">
        <f>-822.854770228803 -5.49434029788404 -208.440425537069</f>
        <v>-1036.789536063756</v>
      </c>
      <c r="E4229">
        <f>-828.619193462075 -9.9556666659214 -306.794431851014</f>
        <v>-1145.3692919790105</v>
      </c>
      <c r="F4229">
        <f>-829.624526072643 -12.0878971840648 -395.860032099808</f>
        <v>-1237.5724553565158</v>
      </c>
      <c r="G4229">
        <f>-826.041948552023 -12.3186847890861 -484.884580331839</f>
        <v>-1323.245213672948</v>
      </c>
      <c r="H4229">
        <f>-816.193787641508 -10.7366654320479 -609.067257196419</f>
        <v>-1435.997710269975</v>
      </c>
      <c r="I4229">
        <f>-780.106084921469 -20.1631338028558 -683.322398295425</f>
        <v>-1483.5916170197497</v>
      </c>
      <c r="J4229" t="s">
        <v>47328</v>
      </c>
      <c r="K4229" t="s">
        <v>47329</v>
      </c>
      <c r="L4229" t="s">
        <v>47330</v>
      </c>
      <c r="M4229" t="s">
        <v>47331</v>
      </c>
      <c r="N4229">
        <f>-814.626571354616 -38.5059785303895 -554.297451731302</f>
        <v>-1407.4300016163074</v>
      </c>
      <c r="O4229">
        <f>-787.46617480326 -170.205260311539 -525.7607734817</f>
        <v>-1483.4322085964989</v>
      </c>
      <c r="P4229">
        <f>-779.896659317168 -206.06686337504 -233.78843248212</f>
        <v>-1219.751955174328</v>
      </c>
      <c r="Q4229">
        <f>-624.842091216825 -52.3020249044938 -335.598650417193</f>
        <v>-1012.7427665385119</v>
      </c>
      <c r="R4229" t="s">
        <v>47332</v>
      </c>
      <c r="S4229" t="s">
        <v>47333</v>
      </c>
      <c r="T4229" t="s">
        <v>47334</v>
      </c>
      <c r="U4229" t="s">
        <v>47335</v>
      </c>
      <c r="V4229">
        <f>-772.009743831088 -84.6516261627776 -92.213610314543</f>
        <v>-948.87498030840857</v>
      </c>
      <c r="W4229" t="s">
        <v>47336</v>
      </c>
      <c r="X4229" t="s">
        <v>47337</v>
      </c>
      <c r="Y4229" t="s">
        <v>47338</v>
      </c>
    </row>
    <row r="4230" spans="1:25" x14ac:dyDescent="0.3">
      <c r="A4230">
        <v>211450</v>
      </c>
      <c r="B4230" t="s">
        <v>47339</v>
      </c>
      <c r="C4230" t="s">
        <v>47340</v>
      </c>
      <c r="D4230">
        <f>-822.972746086309 -5.37192045540792 -208.428906308127</f>
        <v>-1036.773572849844</v>
      </c>
      <c r="E4230">
        <f>-828.711492605254 -9.82229597207538 -306.784932432698</f>
        <v>-1145.3187210100273</v>
      </c>
      <c r="F4230">
        <f>-829.681529462013 -11.9443337812761 -395.851281742213</f>
        <v>-1237.477144985502</v>
      </c>
      <c r="G4230">
        <f>-826.051833541564 -12.1649576919028 -484.873814729087</f>
        <v>-1323.0906059625538</v>
      </c>
      <c r="H4230">
        <f>-816.125357995414 -10.5689705183659 -609.050038956044</f>
        <v>-1435.7443674698238</v>
      </c>
      <c r="I4230">
        <f>-780.022764540387 -19.9800784150307 -683.300088480538</f>
        <v>-1483.3029314359555</v>
      </c>
      <c r="J4230" t="s">
        <v>47341</v>
      </c>
      <c r="K4230" t="s">
        <v>47342</v>
      </c>
      <c r="L4230" t="s">
        <v>47343</v>
      </c>
      <c r="M4230" t="s">
        <v>47344</v>
      </c>
      <c r="N4230">
        <f>-814.601953688846 -38.3464552387602 -554.283145988415</f>
        <v>-1407.2315549160212</v>
      </c>
      <c r="O4230">
        <f>-787.517483410692 -170.064971714642 -525.744444755652</f>
        <v>-1483.326899880986</v>
      </c>
      <c r="P4230">
        <f>-779.941449498197 -205.9452575707 -233.774441242189</f>
        <v>-1219.661148311086</v>
      </c>
      <c r="Q4230">
        <f>-624.81392157342 -52.2958466760994 -335.647924935194</f>
        <v>-1012.7576931847134</v>
      </c>
      <c r="R4230" t="s">
        <v>47345</v>
      </c>
      <c r="S4230" t="s">
        <v>47346</v>
      </c>
      <c r="T4230" t="s">
        <v>47347</v>
      </c>
      <c r="U4230" t="s">
        <v>47348</v>
      </c>
      <c r="V4230">
        <f>-772.142577691973 -84.5294966791986 -92.2076738797696</f>
        <v>-948.87974825094113</v>
      </c>
      <c r="W4230" t="s">
        <v>47349</v>
      </c>
      <c r="X4230" t="s">
        <v>47350</v>
      </c>
      <c r="Y4230" t="s">
        <v>47351</v>
      </c>
    </row>
    <row r="4231" spans="1:25" x14ac:dyDescent="0.3">
      <c r="A4231">
        <v>211500</v>
      </c>
      <c r="B4231" t="s">
        <v>47352</v>
      </c>
      <c r="C4231" t="s">
        <v>47353</v>
      </c>
      <c r="D4231">
        <f>-823.199089473758 -5.20875894984897 -208.412273600894</f>
        <v>-1036.820122024501</v>
      </c>
      <c r="E4231">
        <f>-828.895123303097 -9.63974328961399 -306.771731768077</f>
        <v>-1145.306598360788</v>
      </c>
      <c r="F4231">
        <f>-829.806545641776 -11.7459191202242 -395.838928085024</f>
        <v>-1237.3913928470242</v>
      </c>
      <c r="G4231">
        <f>-826.098650148072 -11.9526556015119 -484.858301342574</f>
        <v>-1322.9096070921578</v>
      </c>
      <c r="H4231">
        <f>-816.042717471196 -10.3400056986527 -609.023816708313</f>
        <v>-1435.4065398781618</v>
      </c>
      <c r="I4231">
        <f>-779.91314405748 -19.7417921609895 -683.261963152238</f>
        <v>-1482.9168993707076</v>
      </c>
      <c r="J4231" t="s">
        <v>47354</v>
      </c>
      <c r="K4231" t="s">
        <v>47355</v>
      </c>
      <c r="L4231" t="s">
        <v>47356</v>
      </c>
      <c r="M4231" t="s">
        <v>47357</v>
      </c>
      <c r="N4231">
        <f>-814.590864395803 -38.1279710073645 -554.260521129233</f>
        <v>-1406.9793565324005</v>
      </c>
      <c r="O4231">
        <f>-787.640874443819 -169.867156892395 -525.698777785335</f>
        <v>-1483.206809121549</v>
      </c>
      <c r="P4231">
        <f>-780.19076706513 -205.714871794897 -233.721625961807</f>
        <v>-1219.6272648218339</v>
      </c>
      <c r="Q4231">
        <f>-624.831469268414 -52.3476570227457 -335.666939948491</f>
        <v>-1012.8460662396508</v>
      </c>
      <c r="R4231" t="s">
        <v>47358</v>
      </c>
      <c r="S4231" t="s">
        <v>47359</v>
      </c>
      <c r="T4231" t="s">
        <v>47360</v>
      </c>
      <c r="U4231" t="s">
        <v>47361</v>
      </c>
      <c r="V4231">
        <f>-772.483560850744 -84.3837595223538 -92.1967510440671</f>
        <v>-949.06407141716488</v>
      </c>
      <c r="W4231" t="s">
        <v>47362</v>
      </c>
      <c r="X4231" t="s">
        <v>47363</v>
      </c>
      <c r="Y4231" t="s">
        <v>47364</v>
      </c>
    </row>
    <row r="4232" spans="1:25" x14ac:dyDescent="0.3">
      <c r="A4232">
        <v>211550</v>
      </c>
      <c r="B4232" t="s">
        <v>47365</v>
      </c>
      <c r="C4232" t="s">
        <v>47366</v>
      </c>
      <c r="D4232">
        <f>-823.341917652352 -5.10746452727176 -208.404501860784</f>
        <v>-1036.8538840404078</v>
      </c>
      <c r="E4232">
        <f>-829.033195300762 -9.53159062845589 -306.76453800778</f>
        <v>-1145.329323936998</v>
      </c>
      <c r="F4232">
        <f>-829.932029365928 -11.6338560395191 -395.832025289869</f>
        <v>-1237.3979106953161</v>
      </c>
      <c r="G4232">
        <f>-826.203548051418 -11.8388793939266 -484.850571333181</f>
        <v>-1322.8929987785257</v>
      </c>
      <c r="H4232">
        <f>-816.110309290329 -10.2262368221088 -609.012991565312</f>
        <v>-1435.3495376777498</v>
      </c>
      <c r="I4232">
        <f>-779.971419586815 -19.6282046681572 -683.246571869167</f>
        <v>-1482.8461961241392</v>
      </c>
      <c r="J4232" t="s">
        <v>47367</v>
      </c>
      <c r="K4232" t="s">
        <v>47368</v>
      </c>
      <c r="L4232" t="s">
        <v>47369</v>
      </c>
      <c r="M4232" t="s">
        <v>47370</v>
      </c>
      <c r="N4232">
        <f>-814.682070095177 -38.0158408828559 -554.249808302424</f>
        <v>-1406.9477192804568</v>
      </c>
      <c r="O4232">
        <f>-787.788958064321 -169.766769144761 -525.679926149972</f>
        <v>-1483.2356533590541</v>
      </c>
      <c r="P4232">
        <f>-780.405209584833 -205.620549525887 -233.70177368416</f>
        <v>-1219.7275327948801</v>
      </c>
      <c r="Q4232">
        <f>-624.913641222129 -52.3760984376087 -335.630018882587</f>
        <v>-1012.9197585423246</v>
      </c>
      <c r="R4232" t="s">
        <v>47371</v>
      </c>
      <c r="S4232" t="s">
        <v>47372</v>
      </c>
      <c r="T4232" t="s">
        <v>47373</v>
      </c>
      <c r="U4232" t="s">
        <v>47374</v>
      </c>
      <c r="V4232">
        <f>-772.614989731729 -84.316267152143 -92.1988767489089</f>
        <v>-949.13013363278094</v>
      </c>
      <c r="W4232" t="s">
        <v>47375</v>
      </c>
      <c r="X4232" t="s">
        <v>47376</v>
      </c>
      <c r="Y4232" t="s">
        <v>47377</v>
      </c>
    </row>
    <row r="4233" spans="1:25" x14ac:dyDescent="0.3">
      <c r="A4233">
        <v>211600</v>
      </c>
      <c r="B4233" t="s">
        <v>47378</v>
      </c>
      <c r="C4233" t="s">
        <v>47379</v>
      </c>
      <c r="D4233">
        <f>-823.681411352205 -4.84121757869184 -208.393762813804</f>
        <v>-1036.9163917447008</v>
      </c>
      <c r="E4233">
        <f>-829.400577870101 -9.26710029784113 -306.752048484676</f>
        <v>-1145.419726652618</v>
      </c>
      <c r="F4233">
        <f>-830.314125378416 -11.3725053991354 -395.819311539289</f>
        <v>-1237.5059423168404</v>
      </c>
      <c r="G4233">
        <f>-826.589910617425 -11.582950244501 -484.838064872718</f>
        <v>-1323.0109257346439</v>
      </c>
      <c r="H4233">
        <f>-816.492201182656 -9.97966496095046 -609.000168526896</f>
        <v>-1435.4720346705026</v>
      </c>
      <c r="I4233">
        <f>-780.350353308363 -19.3873720216054 -683.231512828816</f>
        <v>-1482.9692381587843</v>
      </c>
      <c r="J4233" t="s">
        <v>47380</v>
      </c>
      <c r="K4233" t="s">
        <v>47381</v>
      </c>
      <c r="L4233" t="s">
        <v>47382</v>
      </c>
      <c r="M4233" t="s">
        <v>47383</v>
      </c>
      <c r="N4233">
        <f>-815.071850144503 -37.7663931970931 -554.235313663563</f>
        <v>-1407.073557005159</v>
      </c>
      <c r="O4233">
        <f>-788.247903083285 -169.522325311299 -525.624161133116</f>
        <v>-1483.3943895277</v>
      </c>
      <c r="P4233">
        <f>-780.929372583028 -205.344218604317 -233.640476245358</f>
        <v>-1219.914067432703</v>
      </c>
      <c r="Q4233">
        <f>-625.31701247416 -52.2072147270587 -335.546005132697</f>
        <v>-1013.0702323339158</v>
      </c>
      <c r="R4233" t="s">
        <v>47384</v>
      </c>
      <c r="S4233" t="s">
        <v>47385</v>
      </c>
      <c r="T4233" t="s">
        <v>47386</v>
      </c>
      <c r="U4233" t="s">
        <v>47387</v>
      </c>
      <c r="V4233">
        <f>-772.871341828825 -84.115574875078 -92.2128402333962</f>
        <v>-949.19975693729918</v>
      </c>
      <c r="W4233" t="s">
        <v>47388</v>
      </c>
      <c r="X4233" t="s">
        <v>47389</v>
      </c>
      <c r="Y4233" t="s">
        <v>47390</v>
      </c>
    </row>
    <row r="4234" spans="1:25" x14ac:dyDescent="0.3">
      <c r="A4234">
        <v>211650</v>
      </c>
      <c r="B4234" t="s">
        <v>47391</v>
      </c>
      <c r="C4234" t="s">
        <v>47392</v>
      </c>
      <c r="D4234">
        <f>-823.860604968479 -4.78096847347547 -208.379319846627</f>
        <v>-1037.0208932885814</v>
      </c>
      <c r="E4234">
        <f>-829.600832626468 -9.21521299355686 -306.736054553234</f>
        <v>-1145.5521001732589</v>
      </c>
      <c r="F4234">
        <f>-830.529733457586 -11.3286275090788 -395.802952140678</f>
        <v>-1237.6613131073427</v>
      </c>
      <c r="G4234">
        <f>-826.816926874939 -11.54705197922 -484.822089493089</f>
        <v>-1323.186068347248</v>
      </c>
      <c r="H4234">
        <f>-816.731215566885 -9.95517990035887 -608.985572361157</f>
        <v>-1435.6719678284007</v>
      </c>
      <c r="I4234">
        <f>-780.599169030102 -19.3620919597861 -683.221725196452</f>
        <v>-1483.18298618634</v>
      </c>
      <c r="J4234" t="s">
        <v>47393</v>
      </c>
      <c r="K4234" t="s">
        <v>47394</v>
      </c>
      <c r="L4234" t="s">
        <v>47395</v>
      </c>
      <c r="M4234" t="s">
        <v>47396</v>
      </c>
      <c r="N4234">
        <f>-815.301424648497 -37.7360258977351 -554.217769876625</f>
        <v>-1407.2552204228571</v>
      </c>
      <c r="O4234">
        <f>-788.468764434598 -169.485554287791 -525.593149482257</f>
        <v>-1483.5474682046461</v>
      </c>
      <c r="P4234">
        <f>-781.204892220523 -205.236809109055 -233.599504646742</f>
        <v>-1220.04120597632</v>
      </c>
      <c r="Q4234">
        <f>-625.591984862981 -52.1131183109749 -335.524154458933</f>
        <v>-1013.2292576328889</v>
      </c>
      <c r="R4234" t="s">
        <v>47397</v>
      </c>
      <c r="S4234" t="s">
        <v>47398</v>
      </c>
      <c r="T4234" t="s">
        <v>47399</v>
      </c>
      <c r="U4234" t="s">
        <v>47400</v>
      </c>
      <c r="V4234">
        <f>-772.996190225871 -84.0821632793092 -92.2103319114946</f>
        <v>-949.28868541667475</v>
      </c>
      <c r="W4234" t="s">
        <v>47401</v>
      </c>
      <c r="X4234" t="s">
        <v>47402</v>
      </c>
      <c r="Y4234" t="s">
        <v>47403</v>
      </c>
    </row>
    <row r="4235" spans="1:25" x14ac:dyDescent="0.3">
      <c r="A4235">
        <v>211700</v>
      </c>
      <c r="B4235" t="s">
        <v>47404</v>
      </c>
      <c r="C4235" t="s">
        <v>47405</v>
      </c>
      <c r="D4235">
        <f>-824.267945681277 -4.645729506419 -208.354214819374</f>
        <v>-1037.26789000707</v>
      </c>
      <c r="E4235">
        <f>-830.108524913287 -9.0907678502283 -306.704613687771</f>
        <v>-1145.9039064512863</v>
      </c>
      <c r="F4235">
        <f>-831.143102964727 -11.2064569706499 -395.770328927329</f>
        <v>-1238.1198888627059</v>
      </c>
      <c r="G4235">
        <f>-827.550731640792 -11.4183613650187 -484.794336367231</f>
        <v>-1323.7634293730416</v>
      </c>
      <c r="H4235">
        <f>-817.648579010066 -9.80743021182343 -608.972274767603</f>
        <v>-1436.4282839894925</v>
      </c>
      <c r="I4235">
        <f>-781.582121815443 -19.1567036785393 -683.247740435212</f>
        <v>-1483.9865659291943</v>
      </c>
      <c r="J4235" t="s">
        <v>47406</v>
      </c>
      <c r="K4235" t="s">
        <v>47407</v>
      </c>
      <c r="L4235" t="s">
        <v>47408</v>
      </c>
      <c r="M4235" t="s">
        <v>47409</v>
      </c>
      <c r="N4235">
        <f>-816.116161851736 -37.5918986669788 -554.209313858909</f>
        <v>-1407.9173743776237</v>
      </c>
      <c r="O4235">
        <f>-789.156345147992 -169.317722877487 -525.577375001861</f>
        <v>-1484.0514430273402</v>
      </c>
      <c r="P4235">
        <f>-781.845312997596 -204.894764906682 -233.563484202191</f>
        <v>-1220.3035621064689</v>
      </c>
      <c r="Q4235">
        <f>-626.359377381604 -51.687304416599 -335.556240838692</f>
        <v>-1013.602922636895</v>
      </c>
      <c r="R4235" t="s">
        <v>47410</v>
      </c>
      <c r="S4235" t="s">
        <v>47411</v>
      </c>
      <c r="T4235" t="s">
        <v>47412</v>
      </c>
      <c r="U4235" t="s">
        <v>47413</v>
      </c>
      <c r="V4235">
        <f>-773.296188474585 -83.8603079591331 -92.2017830438426</f>
        <v>-949.35827947756081</v>
      </c>
      <c r="W4235" t="s">
        <v>47414</v>
      </c>
      <c r="X4235" t="s">
        <v>47415</v>
      </c>
      <c r="Y4235" t="s">
        <v>47416</v>
      </c>
    </row>
    <row r="4236" spans="1:25" x14ac:dyDescent="0.3">
      <c r="A4236">
        <v>211750</v>
      </c>
      <c r="B4236" t="s">
        <v>47417</v>
      </c>
      <c r="C4236" t="s">
        <v>47418</v>
      </c>
      <c r="D4236">
        <f>-824.538820957066 -4.66792323724826 -208.349706119818</f>
        <v>-1037.5564503141322</v>
      </c>
      <c r="E4236">
        <f>-830.48795479275 -9.12614629358745 -306.692935424301</f>
        <v>-1146.3070365106385</v>
      </c>
      <c r="F4236">
        <f>-831.646413290206 -11.2448595202197 -395.75705831547</f>
        <v>-1238.6483311258958</v>
      </c>
      <c r="G4236">
        <f>-828.203347073016 -11.4503429370675 -484.787001719287</f>
        <v>-1324.4406917293704</v>
      </c>
      <c r="H4236">
        <f>-818.536047736247 -9.81924564206429 -608.983128468989</f>
        <v>-1437.3384218473002</v>
      </c>
      <c r="I4236">
        <f>-782.548658231982 -19.1194303933546 -683.303091976261</f>
        <v>-1484.9711806015976</v>
      </c>
      <c r="J4236" t="s">
        <v>47419</v>
      </c>
      <c r="K4236" t="s">
        <v>47420</v>
      </c>
      <c r="L4236" t="s">
        <v>47421</v>
      </c>
      <c r="M4236" t="s">
        <v>47422</v>
      </c>
      <c r="N4236">
        <f>-816.882259742066 -37.6086939760264 -554.226241886942</f>
        <v>-1408.7171956050345</v>
      </c>
      <c r="O4236">
        <f>-789.817211687252 -169.31634197847 -525.619194592591</f>
        <v>-1484.7527482583132</v>
      </c>
      <c r="P4236">
        <f>-782.3343091324 -204.890096980972 -233.609434716029</f>
        <v>-1220.833840829401</v>
      </c>
      <c r="Q4236">
        <f>-627.03245649062 -51.4819094623471 -335.580499335548</f>
        <v>-1014.0948652885151</v>
      </c>
      <c r="R4236" t="s">
        <v>47423</v>
      </c>
      <c r="S4236" t="s">
        <v>47424</v>
      </c>
      <c r="T4236" t="s">
        <v>47425</v>
      </c>
      <c r="U4236" t="s">
        <v>47426</v>
      </c>
      <c r="V4236">
        <f>-773.450265787916 -83.8905990962683 -92.1995695240629</f>
        <v>-949.54043440824717</v>
      </c>
      <c r="W4236" t="s">
        <v>47427</v>
      </c>
      <c r="X4236" t="s">
        <v>47428</v>
      </c>
      <c r="Y4236" t="s">
        <v>47429</v>
      </c>
    </row>
    <row r="4237" spans="1:25" x14ac:dyDescent="0.3">
      <c r="A4237">
        <v>211800</v>
      </c>
      <c r="B4237" t="s">
        <v>47430</v>
      </c>
      <c r="C4237" t="s">
        <v>47431</v>
      </c>
      <c r="D4237">
        <f>-825.205473256894 -4.75850243981608 -208.356700585566</f>
        <v>-1038.3206762822761</v>
      </c>
      <c r="E4237">
        <f>-831.418336404394 -9.24300309766068 -306.682497807888</f>
        <v>-1147.3438373099427</v>
      </c>
      <c r="F4237">
        <f>-832.867713784858 -11.3653419961427 -395.742231456945</f>
        <v>-1239.9752872379456</v>
      </c>
      <c r="G4237">
        <f>-829.7678862329 -11.5522857082817 -484.78482571534</f>
        <v>-1326.1049976565216</v>
      </c>
      <c r="H4237">
        <f>-820.633619794698 -9.87084536493421 -609.020736741249</f>
        <v>-1439.5252019008813</v>
      </c>
      <c r="I4237">
        <f>-784.805311704314 -19.0310702988977 -683.43471484962</f>
        <v>-1487.2710968528318</v>
      </c>
      <c r="J4237" t="s">
        <v>47432</v>
      </c>
      <c r="K4237" t="s">
        <v>47433</v>
      </c>
      <c r="L4237" t="s">
        <v>47434</v>
      </c>
      <c r="M4237" t="s">
        <v>47435</v>
      </c>
      <c r="N4237">
        <f>-818.693465805013 -37.6711351024749 -554.2787234432</f>
        <v>-1410.6433243506879</v>
      </c>
      <c r="O4237">
        <f>-791.237866563868 -169.314765517058 -525.777422025038</f>
        <v>-1486.3300541059641</v>
      </c>
      <c r="P4237">
        <f>-783.331368409473 -205.060940860879 -233.799880533063</f>
        <v>-1222.192189803415</v>
      </c>
      <c r="Q4237">
        <f>-628.524217084325 -51.0052836316905 -335.546973336203</f>
        <v>-1015.0764740522185</v>
      </c>
      <c r="R4237" t="s">
        <v>47436</v>
      </c>
      <c r="S4237" t="s">
        <v>47437</v>
      </c>
      <c r="T4237" t="s">
        <v>47438</v>
      </c>
      <c r="U4237" t="s">
        <v>47439</v>
      </c>
      <c r="V4237">
        <f>-773.693692491983 -84.0624131451139 -92.2408733035755</f>
        <v>-949.99697894067242</v>
      </c>
      <c r="W4237" t="s">
        <v>47440</v>
      </c>
      <c r="X4237" t="s">
        <v>47441</v>
      </c>
      <c r="Y4237" t="s">
        <v>47442</v>
      </c>
    </row>
    <row r="4238" spans="1:25" x14ac:dyDescent="0.3">
      <c r="A4238">
        <v>211850</v>
      </c>
      <c r="B4238" t="s">
        <v>47443</v>
      </c>
      <c r="C4238" t="s">
        <v>47444</v>
      </c>
      <c r="D4238">
        <f>-825.500059578242 -5.01728005947052 -208.346198734198</f>
        <v>-1038.8635383719106</v>
      </c>
      <c r="E4238">
        <f>-831.848053181338 -9.50587557073391 -306.663020039541</f>
        <v>-1148.0169487916128</v>
      </c>
      <c r="F4238">
        <f>-833.433304317697 -11.6205017389079 -395.720760011783</f>
        <v>-1240.7745660683879</v>
      </c>
      <c r="G4238">
        <f>-830.4825386377 -11.7869622690346 -484.768420211177</f>
        <v>-1327.0379211179115</v>
      </c>
      <c r="H4238">
        <f>-821.570440319443 -10.0629312308602 -609.019844835911</f>
        <v>-1440.6532163862144</v>
      </c>
      <c r="I4238">
        <f>-785.777811620164 -19.1364803588035 -683.461816382902</f>
        <v>-1488.3761083618697</v>
      </c>
      <c r="J4238" t="s">
        <v>47445</v>
      </c>
      <c r="K4238" t="s">
        <v>47446</v>
      </c>
      <c r="L4238" t="s">
        <v>47447</v>
      </c>
      <c r="M4238" t="s">
        <v>47448</v>
      </c>
      <c r="N4238">
        <f>-819.492358264803 -37.8732537624123 -554.288026497103</f>
        <v>-1411.6536385243185</v>
      </c>
      <c r="O4238">
        <f>-791.748310076122 -169.476416301825 -525.867679733426</f>
        <v>-1487.0924061113731</v>
      </c>
      <c r="P4238">
        <f>-783.589518482102 -205.332835953901 -233.910435707334</f>
        <v>-1222.832790143337</v>
      </c>
      <c r="Q4238">
        <f>-629.137605177589 -50.8040854073602 -335.479868728276</f>
        <v>-1015.4215593132251</v>
      </c>
      <c r="R4238" t="s">
        <v>47449</v>
      </c>
      <c r="S4238" t="s">
        <v>47450</v>
      </c>
      <c r="T4238" t="s">
        <v>47451</v>
      </c>
      <c r="U4238" t="s">
        <v>47452</v>
      </c>
      <c r="V4238">
        <f>-773.663527456623 -84.4199545158357 -92.2674096952288</f>
        <v>-950.35089166768751</v>
      </c>
      <c r="W4238" t="s">
        <v>47453</v>
      </c>
      <c r="X4238" t="s">
        <v>47454</v>
      </c>
      <c r="Y4238" t="s">
        <v>47455</v>
      </c>
    </row>
    <row r="4239" spans="1:25" x14ac:dyDescent="0.3">
      <c r="A4239">
        <v>211900</v>
      </c>
      <c r="B4239" t="s">
        <v>47456</v>
      </c>
      <c r="C4239" t="s">
        <v>47457</v>
      </c>
      <c r="D4239">
        <f>-826.045403056077 -6.2174570852535 -208.352581270064</f>
        <v>-1040.6154414113946</v>
      </c>
      <c r="E4239">
        <f>-832.714125291613 -10.7150426789715 -306.647835017813</f>
        <v>-1150.0770029883975</v>
      </c>
      <c r="F4239">
        <f>-834.603675869256 -12.8267780671022 -395.699655467445</f>
        <v>-1243.1301094038031</v>
      </c>
      <c r="G4239">
        <f>-831.970945966057 -12.977423917082 -484.757359576514</f>
        <v>-1329.705729459653</v>
      </c>
      <c r="H4239">
        <f>-823.516919449558 -11.2171837935146 -609.040213001981</f>
        <v>-1443.7743162450536</v>
      </c>
      <c r="I4239">
        <f>-787.77682336786 -20.0595217759578 -683.53511012932</f>
        <v>-1491.3714552731376</v>
      </c>
      <c r="J4239" t="s">
        <v>47458</v>
      </c>
      <c r="K4239" t="s">
        <v>47459</v>
      </c>
      <c r="L4239" t="s">
        <v>47460</v>
      </c>
      <c r="M4239" t="s">
        <v>47461</v>
      </c>
      <c r="N4239">
        <f>-821.134628133443 -39.0204541510698 -554.317241749627</f>
        <v>-1414.4723240341398</v>
      </c>
      <c r="O4239">
        <f>-792.628754887679 -170.501339694213 -526.079593085857</f>
        <v>-1489.209687667749</v>
      </c>
      <c r="P4239">
        <f>-783.894405770161 -206.48606710826 -234.155089560548</f>
        <v>-1224.535562438969</v>
      </c>
      <c r="Q4239">
        <f>-630.438882949967 -50.7183392453315 -335.34131298671</f>
        <v>-1016.4985351820086</v>
      </c>
      <c r="R4239" t="s">
        <v>47462</v>
      </c>
      <c r="S4239" t="s">
        <v>47463</v>
      </c>
      <c r="T4239" t="s">
        <v>47464</v>
      </c>
      <c r="U4239" t="s">
        <v>47465</v>
      </c>
      <c r="V4239">
        <f>-773.360003028737 -85.8807156869157 -92.3886671249544</f>
        <v>-951.62938584060703</v>
      </c>
      <c r="W4239" t="s">
        <v>47466</v>
      </c>
      <c r="X4239" t="s">
        <v>47467</v>
      </c>
      <c r="Y4239" t="s">
        <v>47468</v>
      </c>
    </row>
    <row r="4240" spans="1:25" x14ac:dyDescent="0.3">
      <c r="A4240">
        <v>211950</v>
      </c>
      <c r="B4240" t="s">
        <v>47469</v>
      </c>
      <c r="C4240" t="s">
        <v>47470</v>
      </c>
      <c r="D4240">
        <f>-826.23442303724 -7.21187292614286 -208.324021999853</f>
        <v>-1041.7703179632358</v>
      </c>
      <c r="E4240">
        <f>-833.071491797974 -11.6976178789062 -306.608306387792</f>
        <v>-1151.3774160646722</v>
      </c>
      <c r="F4240">
        <f>-835.120055354209 -13.7907960744972 -395.656856269099</f>
        <v>-1244.5677076978052</v>
      </c>
      <c r="G4240">
        <f>-832.653112336748 -13.9144137707965 -484.719446045239</f>
        <v>-1331.2869721527836</v>
      </c>
      <c r="H4240">
        <f>-824.436998751953 -12.1078674324115 -609.01772015429</f>
        <v>-1445.5625863386545</v>
      </c>
      <c r="I4240">
        <f>-788.718396371834 -20.7965080406939 -683.54090983043</f>
        <v>-1493.0558142429579</v>
      </c>
      <c r="J4240" t="s">
        <v>47471</v>
      </c>
      <c r="K4240" t="s">
        <v>47472</v>
      </c>
      <c r="L4240" t="s">
        <v>47473</v>
      </c>
      <c r="M4240" t="s">
        <v>47474</v>
      </c>
      <c r="N4240">
        <f>-821.88352479516 -39.9164213564793 -554.305122167201</f>
        <v>-1416.1050683188405</v>
      </c>
      <c r="O4240">
        <f>-792.903905435209 -171.326942383645 -526.221121844534</f>
        <v>-1490.4519696633879</v>
      </c>
      <c r="P4240">
        <f>-783.817936934055 -207.498294119544 -234.330251266415</f>
        <v>-1225.646482320014</v>
      </c>
      <c r="Q4240">
        <f>-631.032633744582 -50.9046915882411 -335.256025640749</f>
        <v>-1017.193350973572</v>
      </c>
      <c r="R4240" t="s">
        <v>47475</v>
      </c>
      <c r="S4240" t="s">
        <v>47476</v>
      </c>
      <c r="T4240" t="s">
        <v>47477</v>
      </c>
      <c r="U4240" t="s">
        <v>47478</v>
      </c>
      <c r="V4240">
        <f>-772.953998947838 -87.0746628384516 -92.4523306048883</f>
        <v>-952.48099239117789</v>
      </c>
      <c r="W4240" t="s">
        <v>47479</v>
      </c>
      <c r="X4240" t="s">
        <v>47480</v>
      </c>
      <c r="Y4240" t="s">
        <v>47481</v>
      </c>
    </row>
    <row r="4241" spans="1:25" x14ac:dyDescent="0.3">
      <c r="A4241">
        <v>212000</v>
      </c>
      <c r="B4241" t="s">
        <v>47482</v>
      </c>
      <c r="C4241" t="s">
        <v>47483</v>
      </c>
      <c r="D4241">
        <f>-826.368216112702 -10.2425572501493 -208.00576399208</f>
        <v>-1044.6165373549313</v>
      </c>
      <c r="E4241">
        <f>-833.531245879641 -14.7062765856956 -306.267711159248</f>
        <v>-1154.5052336245847</v>
      </c>
      <c r="F4241">
        <f>-835.903279296788 -16.7408653571508 -395.309687390036</f>
        <v>-1247.9538320439749</v>
      </c>
      <c r="G4241">
        <f>-833.787643729246 -16.7648538141884 -484.381371862085</f>
        <v>-1334.9338694055195</v>
      </c>
      <c r="H4241">
        <f>-826.089990272209 -14.7754913863614 -608.710100031391</f>
        <v>-1449.5755816899614</v>
      </c>
      <c r="I4241">
        <f>-790.451864054438 -23.047952518182 -683.319077834485</f>
        <v>-1496.8188944071051</v>
      </c>
      <c r="J4241" t="s">
        <v>47484</v>
      </c>
      <c r="K4241" t="s">
        <v>47485</v>
      </c>
      <c r="L4241" t="s">
        <v>47486</v>
      </c>
      <c r="M4241" t="s">
        <v>47487</v>
      </c>
      <c r="N4241">
        <f>-823.110464073266 -42.6186128324262 -554.036470452934</f>
        <v>-1419.7655473586262</v>
      </c>
      <c r="O4241">
        <f>-792.899122658122 -173.849056147913 -526.412877964482</f>
        <v>-1493.161056770517</v>
      </c>
      <c r="P4241">
        <f>-783.068585248613 -210.610020911368 -234.619890613031</f>
        <v>-1228.2984967730119</v>
      </c>
      <c r="Q4241">
        <f>-631.923455216692 -52.0100658977499 -334.8798759465</f>
        <v>-1018.813397060942</v>
      </c>
      <c r="R4241" t="s">
        <v>47488</v>
      </c>
      <c r="S4241" t="s">
        <v>47489</v>
      </c>
      <c r="T4241" t="s">
        <v>47490</v>
      </c>
      <c r="U4241" t="s">
        <v>47491</v>
      </c>
      <c r="V4241">
        <f>-771.873162730207 -90.3789093950169 -92.3338647042355</f>
        <v>-954.58593682945934</v>
      </c>
      <c r="W4241" t="s">
        <v>47492</v>
      </c>
      <c r="X4241" t="s">
        <v>47493</v>
      </c>
      <c r="Y4241" t="s">
        <v>47494</v>
      </c>
    </row>
    <row r="4242" spans="1:25" x14ac:dyDescent="0.3">
      <c r="A4242">
        <v>212050</v>
      </c>
      <c r="B4242" t="s">
        <v>47495</v>
      </c>
      <c r="C4242">
        <f>-804.640812671724 -0.0752451679811657 -94.6456282183998</f>
        <v>-899.36168605810497</v>
      </c>
      <c r="D4242">
        <f>-826.383918862386 -12.0517728192724 -207.782908224216</f>
        <v>-1046.2185999058745</v>
      </c>
      <c r="E4242">
        <f>-833.675634860732 -16.4955335582742 -306.03620312474</f>
        <v>-1156.2073715437461</v>
      </c>
      <c r="F4242">
        <f>-836.195898986085 -18.4939401243578 -395.075104906133</f>
        <v>-1249.7649440165758</v>
      </c>
      <c r="G4242">
        <f>-834.259919989824 -18.4613090659122 -484.150813164073</f>
        <v>-1336.8720422198091</v>
      </c>
      <c r="H4242">
        <f>-826.845959803116 -16.3708050543703 -608.494945353121</f>
        <v>-1451.7117102106072</v>
      </c>
      <c r="I4242">
        <f>-791.268118936513 -24.4091393742124 -683.158359550907</f>
        <v>-1498.8356178616323</v>
      </c>
      <c r="J4242" t="s">
        <v>47496</v>
      </c>
      <c r="K4242" t="s">
        <v>47497</v>
      </c>
      <c r="L4242" t="s">
        <v>47498</v>
      </c>
      <c r="M4242" t="s">
        <v>47499</v>
      </c>
      <c r="N4242">
        <f>-823.626562050063 -44.2308064989949 -553.843702780247</f>
        <v>-1421.7010713293048</v>
      </c>
      <c r="O4242">
        <f>-792.673089096026 -175.351109048651 -526.492360217957</f>
        <v>-1494.516558362634</v>
      </c>
      <c r="P4242">
        <f>-782.28088543179 -212.508510110141 -234.768945398632</f>
        <v>-1229.5583409405631</v>
      </c>
      <c r="Q4242">
        <f>-632.158112970539 -52.7046844955034 -334.652631612819</f>
        <v>-1019.5154290788614</v>
      </c>
      <c r="R4242" t="s">
        <v>47500</v>
      </c>
      <c r="S4242" t="s">
        <v>47501</v>
      </c>
      <c r="T4242" t="s">
        <v>47502</v>
      </c>
      <c r="U4242" t="s">
        <v>47503</v>
      </c>
      <c r="V4242">
        <f>-771.587419133261 -92.1740370193039 -92.1774174737087</f>
        <v>-955.93887362627368</v>
      </c>
      <c r="W4242" t="s">
        <v>47504</v>
      </c>
      <c r="X4242" t="s">
        <v>47505</v>
      </c>
      <c r="Y4242" t="s">
        <v>47506</v>
      </c>
    </row>
    <row r="4243" spans="1:25" x14ac:dyDescent="0.3">
      <c r="A4243">
        <v>212100</v>
      </c>
      <c r="B4243" t="s">
        <v>47507</v>
      </c>
      <c r="C4243">
        <f>-805.116698625729 -2.89649722889681 -94.1489869938662</f>
        <v>-902.16218284849197</v>
      </c>
      <c r="D4243">
        <f>-826.910370582336 -14.9899912395233 -207.264050612572</f>
        <v>-1049.1644124344314</v>
      </c>
      <c r="E4243">
        <f>-834.46636389614 -19.4123531015246 -305.498492366058</f>
        <v>-1159.3772093637226</v>
      </c>
      <c r="F4243">
        <f>-837.311106417483 -21.3446531753593 -394.528891684736</f>
        <v>-1253.1846512775783</v>
      </c>
      <c r="G4243">
        <f>-835.784981967025 -21.1941721730741 -483.612460208981</f>
        <v>-1340.5916143490801</v>
      </c>
      <c r="H4243">
        <f>-829.03137502555 -18.8836039180917 -607.990328540128</f>
        <v>-1455.9053074837698</v>
      </c>
      <c r="I4243">
        <f>-793.653848147018 -26.4903592387366 -682.79412196442</f>
        <v>-1502.9383293501746</v>
      </c>
      <c r="J4243" t="s">
        <v>47508</v>
      </c>
      <c r="K4243" t="s">
        <v>47509</v>
      </c>
      <c r="L4243" t="s">
        <v>47510</v>
      </c>
      <c r="M4243" t="s">
        <v>47511</v>
      </c>
      <c r="N4243">
        <f>-825.289040148761 -46.783276900576 -553.392678021361</f>
        <v>-1425.464995070698</v>
      </c>
      <c r="O4243">
        <f>-792.837131657756 -177.660792586428 -526.625122639835</f>
        <v>-1497.123046884019</v>
      </c>
      <c r="P4243">
        <f>-780.693595445464 -215.951107357192 -235.115830550922</f>
        <v>-1231.760533353578</v>
      </c>
      <c r="Q4243">
        <f>-632.892330167626 -53.4422437600356 -334.093366303259</f>
        <v>-1020.4279402309206</v>
      </c>
      <c r="R4243" t="s">
        <v>47512</v>
      </c>
      <c r="S4243" t="s">
        <v>47513</v>
      </c>
      <c r="T4243" t="s">
        <v>47514</v>
      </c>
      <c r="U4243" t="s">
        <v>47515</v>
      </c>
      <c r="V4243">
        <f>-771.759086063548 -94.3071521601327 -91.8054615596658</f>
        <v>-957.87169978334646</v>
      </c>
      <c r="W4243" t="s">
        <v>47516</v>
      </c>
      <c r="X4243" t="s">
        <v>47517</v>
      </c>
      <c r="Y4243" t="s">
        <v>47518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20170724T1043-50ms-XSens-Positi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else vdv</dc:creator>
  <cp:lastModifiedBy>else vdv</cp:lastModifiedBy>
  <dcterms:created xsi:type="dcterms:W3CDTF">2017-08-31T15:37:38Z</dcterms:created>
  <dcterms:modified xsi:type="dcterms:W3CDTF">2017-08-31T15:37:42Z</dcterms:modified>
</cp:coreProperties>
</file>